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Trilogy Spa Ventures\Corporate - Daily Flash Reports - Documents\Workflow Automation\Automatic Attachement Downloads\"/>
    </mc:Choice>
  </mc:AlternateContent>
  <xr:revisionPtr revIDLastSave="0" documentId="13_ncr:1_{51F3893E-F635-4573-A03C-BC81D864129F}" xr6:coauthVersionLast="45" xr6:coauthVersionMax="45" xr10:uidLastSave="{00000000-0000-0000-0000-000000000000}"/>
  <bookViews>
    <workbookView xWindow="-120" yWindow="-120" windowWidth="29040" windowHeight="15840" xr2:uid="{00000000-000D-0000-FFFF-FFFF00000000}"/>
  </bookViews>
  <sheets>
    <sheet name="DaybyDays" sheetId="3" r:id="rId1"/>
    <sheet name="Summary Page" sheetId="1" r:id="rId2"/>
    <sheet name="Tools" sheetId="5" r:id="rId3"/>
  </sheets>
  <definedNames>
    <definedName name="FiscalLYmindate">DaybyDays!$E$2</definedName>
    <definedName name="maxBudget">DaybyDays!$D$4</definedName>
    <definedName name="maxDate">DaybyDays!$D$2</definedName>
    <definedName name="maxDateLY">DaybyDays!$E$5</definedName>
    <definedName name="maxMonth">DaybyDays!$C$3</definedName>
    <definedName name="maxYear">DaybyDays!$D$1</definedName>
    <definedName name="minDate">DaybyDays!$C$5</definedName>
    <definedName name="minDateLY">DaybyDays!$D$5</definedName>
    <definedName name="minMonth">DaybyDays!$C$2</definedName>
    <definedName name="minYear">DaybyDays!$C$4</definedName>
    <definedName name="ret_act">Tools!$R$18</definedName>
    <definedName name="ret_bud">Tools!$S$18</definedName>
    <definedName name="ret_LY">Tools!$T$18</definedName>
    <definedName name="Retail_Actuals">DaybyDay[Retail-Actuals]</definedName>
    <definedName name="serv_act">Tools!$R$17</definedName>
    <definedName name="serv_bud">Tools!$S$17</definedName>
    <definedName name="serv_LY">Tools!$T$17</definedName>
    <definedName name="Service_Actuals">DaybyDay[Service-Actuals]</definedName>
    <definedName name="simple_forecast_scaler">DaybyDays!$F$1</definedName>
    <definedName name="Slicer_Month" workbookParameter="1">#N/A</definedName>
    <definedName name="Slicer_Year" workbookParameter="1">#N/A</definedName>
    <definedName name="trmnts_LY">DaybyDays!$E$3</definedName>
    <definedName name="trmnts_TY">DaybyDays!$D$3</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S7" i="3" l="1"/>
  <c r="AS8" i="3"/>
  <c r="AS9" i="3"/>
  <c r="AS10" i="3"/>
  <c r="AS11" i="3"/>
  <c r="AS12" i="3"/>
  <c r="AS13" i="3"/>
  <c r="AS14" i="3"/>
  <c r="AS15" i="3"/>
  <c r="AS16" i="3"/>
  <c r="AS17" i="3"/>
  <c r="AS18" i="3"/>
  <c r="AS19" i="3"/>
  <c r="AS20" i="3"/>
  <c r="AS21" i="3"/>
  <c r="AS22" i="3"/>
  <c r="AS23" i="3"/>
  <c r="AS24" i="3"/>
  <c r="AS25" i="3"/>
  <c r="AS26" i="3"/>
  <c r="AS27" i="3"/>
  <c r="AS28" i="3"/>
  <c r="AS29" i="3"/>
  <c r="AS30" i="3"/>
  <c r="AS31" i="3"/>
  <c r="AS32" i="3"/>
  <c r="AS33" i="3"/>
  <c r="AS34" i="3"/>
  <c r="AS35" i="3"/>
  <c r="AS36" i="3"/>
  <c r="AS37" i="3"/>
  <c r="AS38" i="3"/>
  <c r="AS39" i="3"/>
  <c r="AS40" i="3"/>
  <c r="AS41" i="3"/>
  <c r="AS42" i="3"/>
  <c r="AS43" i="3"/>
  <c r="AS44" i="3"/>
  <c r="AS45" i="3"/>
  <c r="AS46" i="3"/>
  <c r="AS47" i="3"/>
  <c r="AS48" i="3"/>
  <c r="AS49" i="3"/>
  <c r="AS50" i="3"/>
  <c r="AS51" i="3"/>
  <c r="AS52" i="3"/>
  <c r="AS53" i="3"/>
  <c r="AS54" i="3"/>
  <c r="AS55" i="3"/>
  <c r="AS56" i="3"/>
  <c r="AS57" i="3"/>
  <c r="AS58" i="3"/>
  <c r="AS59" i="3"/>
  <c r="AS60" i="3"/>
  <c r="AS61" i="3"/>
  <c r="AS62" i="3"/>
  <c r="AS63" i="3"/>
  <c r="AS64" i="3"/>
  <c r="AS65" i="3"/>
  <c r="AS66" i="3"/>
  <c r="AS67" i="3"/>
  <c r="AS68" i="3"/>
  <c r="AS69" i="3"/>
  <c r="AS70" i="3"/>
  <c r="AS71" i="3"/>
  <c r="AS72" i="3"/>
  <c r="AS73" i="3"/>
  <c r="AS74" i="3"/>
  <c r="AS75" i="3"/>
  <c r="AS76" i="3"/>
  <c r="AS77" i="3"/>
  <c r="AS78" i="3"/>
  <c r="AS79" i="3"/>
  <c r="AS80" i="3"/>
  <c r="AS81" i="3"/>
  <c r="AS82" i="3"/>
  <c r="AS83" i="3"/>
  <c r="AS84" i="3"/>
  <c r="AS85" i="3"/>
  <c r="AS86" i="3"/>
  <c r="AS87" i="3"/>
  <c r="AS88" i="3"/>
  <c r="AS89" i="3"/>
  <c r="AS90" i="3"/>
  <c r="AS91" i="3"/>
  <c r="AS92" i="3"/>
  <c r="AS93" i="3"/>
  <c r="AS94" i="3"/>
  <c r="AS95" i="3"/>
  <c r="AS96" i="3"/>
  <c r="AS97" i="3"/>
  <c r="AS98" i="3"/>
  <c r="AS99" i="3"/>
  <c r="AS100" i="3"/>
  <c r="AS101" i="3"/>
  <c r="AS102" i="3"/>
  <c r="AS103" i="3"/>
  <c r="AS104" i="3"/>
  <c r="AS105" i="3"/>
  <c r="AS106" i="3"/>
  <c r="AS107" i="3"/>
  <c r="AS108" i="3"/>
  <c r="AS109" i="3"/>
  <c r="AS110" i="3"/>
  <c r="AS111" i="3"/>
  <c r="AS112" i="3"/>
  <c r="AS113" i="3"/>
  <c r="AS114" i="3"/>
  <c r="AS115" i="3"/>
  <c r="AS116" i="3"/>
  <c r="AS117" i="3"/>
  <c r="AS118" i="3"/>
  <c r="AS119" i="3"/>
  <c r="AS120" i="3"/>
  <c r="AS121" i="3"/>
  <c r="AS122" i="3"/>
  <c r="AS123" i="3"/>
  <c r="AS124" i="3"/>
  <c r="AS125" i="3"/>
  <c r="AS126" i="3"/>
  <c r="AS127" i="3"/>
  <c r="AS128" i="3"/>
  <c r="AS129" i="3"/>
  <c r="AS130" i="3"/>
  <c r="AS131" i="3"/>
  <c r="AS132" i="3"/>
  <c r="AS133" i="3"/>
  <c r="AS134" i="3"/>
  <c r="AS135" i="3"/>
  <c r="AS136" i="3"/>
  <c r="AS137" i="3"/>
  <c r="AS138" i="3"/>
  <c r="AS139" i="3"/>
  <c r="AS140" i="3"/>
  <c r="AS141" i="3"/>
  <c r="AS142" i="3"/>
  <c r="AS143" i="3"/>
  <c r="AS144" i="3"/>
  <c r="AS145" i="3"/>
  <c r="AS146" i="3"/>
  <c r="AS147" i="3"/>
  <c r="AS148" i="3"/>
  <c r="AS149" i="3"/>
  <c r="AS150" i="3"/>
  <c r="AS151" i="3"/>
  <c r="AS152" i="3"/>
  <c r="AS153" i="3"/>
  <c r="AS154" i="3"/>
  <c r="AS155" i="3"/>
  <c r="AS156" i="3"/>
  <c r="AS157" i="3"/>
  <c r="AS158" i="3"/>
  <c r="AS159" i="3"/>
  <c r="AS160" i="3"/>
  <c r="AS161" i="3"/>
  <c r="AS162" i="3"/>
  <c r="AS163" i="3"/>
  <c r="AS164" i="3"/>
  <c r="AS165" i="3"/>
  <c r="AS166" i="3"/>
  <c r="AS167" i="3"/>
  <c r="AS168" i="3"/>
  <c r="AS169" i="3"/>
  <c r="AS170" i="3"/>
  <c r="AS171" i="3"/>
  <c r="AS172" i="3"/>
  <c r="AS173" i="3"/>
  <c r="AS174" i="3"/>
  <c r="AS175" i="3"/>
  <c r="AS176" i="3"/>
  <c r="AS177" i="3"/>
  <c r="AS178" i="3"/>
  <c r="AS179" i="3"/>
  <c r="AS180" i="3"/>
  <c r="AS181" i="3"/>
  <c r="AS182" i="3"/>
  <c r="AS183" i="3"/>
  <c r="AS184" i="3"/>
  <c r="AS185" i="3"/>
  <c r="AS186" i="3"/>
  <c r="AS187" i="3"/>
  <c r="AS188" i="3"/>
  <c r="AS189" i="3"/>
  <c r="AS190" i="3"/>
  <c r="AS191" i="3"/>
  <c r="AS192" i="3"/>
  <c r="AS193" i="3"/>
  <c r="AS194" i="3"/>
  <c r="AS195" i="3"/>
  <c r="AS196" i="3"/>
  <c r="AS197" i="3"/>
  <c r="AS198" i="3"/>
  <c r="AS199" i="3"/>
  <c r="AS200" i="3"/>
  <c r="AS201" i="3"/>
  <c r="AS202" i="3"/>
  <c r="AS203" i="3"/>
  <c r="AS204" i="3"/>
  <c r="AS205" i="3"/>
  <c r="AS206" i="3"/>
  <c r="AS207" i="3"/>
  <c r="AS208" i="3"/>
  <c r="AS209" i="3"/>
  <c r="AS210" i="3"/>
  <c r="AS211" i="3"/>
  <c r="AS212" i="3"/>
  <c r="AS213" i="3"/>
  <c r="AS214" i="3"/>
  <c r="AS215" i="3"/>
  <c r="AS216" i="3"/>
  <c r="AS217" i="3"/>
  <c r="AS218" i="3"/>
  <c r="AS219" i="3"/>
  <c r="AS220" i="3"/>
  <c r="AS221" i="3"/>
  <c r="AS222" i="3"/>
  <c r="AS223" i="3"/>
  <c r="AS224" i="3"/>
  <c r="AS225" i="3"/>
  <c r="AS226" i="3"/>
  <c r="AS227" i="3"/>
  <c r="AS228" i="3"/>
  <c r="AS229" i="3"/>
  <c r="AS230" i="3"/>
  <c r="AS231" i="3"/>
  <c r="AS232" i="3"/>
  <c r="AS233" i="3"/>
  <c r="AS234" i="3"/>
  <c r="AS235" i="3"/>
  <c r="AS236" i="3"/>
  <c r="AS237" i="3"/>
  <c r="AS238" i="3"/>
  <c r="AS239" i="3"/>
  <c r="AS240" i="3"/>
  <c r="AS241" i="3"/>
  <c r="AS242" i="3"/>
  <c r="AS243" i="3"/>
  <c r="AS244" i="3"/>
  <c r="AS245" i="3"/>
  <c r="AS246" i="3"/>
  <c r="AS247" i="3"/>
  <c r="AS248" i="3"/>
  <c r="AS249" i="3"/>
  <c r="AS250" i="3"/>
  <c r="AS251" i="3"/>
  <c r="AS252" i="3"/>
  <c r="AS253" i="3"/>
  <c r="AS254" i="3"/>
  <c r="AS255" i="3"/>
  <c r="AS256" i="3"/>
  <c r="AS257" i="3"/>
  <c r="AS258" i="3"/>
  <c r="AS259" i="3"/>
  <c r="AS260" i="3"/>
  <c r="AS261" i="3"/>
  <c r="AS262" i="3"/>
  <c r="AS263" i="3"/>
  <c r="AS264" i="3"/>
  <c r="AS265" i="3"/>
  <c r="AS266" i="3"/>
  <c r="AS267" i="3"/>
  <c r="AS268" i="3"/>
  <c r="AS269" i="3"/>
  <c r="AS270" i="3"/>
  <c r="AS271" i="3"/>
  <c r="AS272" i="3"/>
  <c r="AS273" i="3"/>
  <c r="AS274" i="3"/>
  <c r="AS275" i="3"/>
  <c r="AS276" i="3"/>
  <c r="AS277" i="3"/>
  <c r="AS278" i="3"/>
  <c r="AS279" i="3"/>
  <c r="AS280" i="3"/>
  <c r="AS281" i="3"/>
  <c r="AS282" i="3"/>
  <c r="AS283" i="3"/>
  <c r="AS284" i="3"/>
  <c r="AS285" i="3"/>
  <c r="AS286" i="3"/>
  <c r="AS287" i="3"/>
  <c r="AS288" i="3"/>
  <c r="AS289" i="3"/>
  <c r="AS290" i="3"/>
  <c r="AS291" i="3"/>
  <c r="AS292" i="3"/>
  <c r="AS293" i="3"/>
  <c r="AS294" i="3"/>
  <c r="AS295" i="3"/>
  <c r="AS296" i="3"/>
  <c r="AS297" i="3"/>
  <c r="AS298" i="3"/>
  <c r="AS299" i="3"/>
  <c r="AS300" i="3"/>
  <c r="AS301" i="3"/>
  <c r="AS302" i="3"/>
  <c r="AS303" i="3"/>
  <c r="AS304" i="3"/>
  <c r="AS305" i="3"/>
  <c r="AS306" i="3"/>
  <c r="AS307" i="3"/>
  <c r="AS308" i="3"/>
  <c r="AS309" i="3"/>
  <c r="AS310" i="3"/>
  <c r="AS311" i="3"/>
  <c r="AS312" i="3"/>
  <c r="AS313" i="3"/>
  <c r="AS314" i="3"/>
  <c r="AS315" i="3"/>
  <c r="AS316" i="3"/>
  <c r="AS317" i="3"/>
  <c r="AS318" i="3"/>
  <c r="AS319" i="3"/>
  <c r="AS320" i="3"/>
  <c r="AS321" i="3"/>
  <c r="AS322" i="3"/>
  <c r="AS323" i="3"/>
  <c r="AS324" i="3"/>
  <c r="AS325" i="3"/>
  <c r="AS326" i="3"/>
  <c r="AS327" i="3"/>
  <c r="AS328" i="3"/>
  <c r="AS329" i="3"/>
  <c r="AS330" i="3"/>
  <c r="AS331" i="3"/>
  <c r="AS332" i="3"/>
  <c r="AS333" i="3"/>
  <c r="AS334" i="3"/>
  <c r="AS335" i="3"/>
  <c r="AS336" i="3"/>
  <c r="AS337" i="3"/>
  <c r="AS338" i="3"/>
  <c r="AS339" i="3"/>
  <c r="AS340" i="3"/>
  <c r="AS341" i="3"/>
  <c r="AS342" i="3"/>
  <c r="AS343" i="3"/>
  <c r="AS344" i="3"/>
  <c r="AS345" i="3"/>
  <c r="AS346" i="3"/>
  <c r="AS347" i="3"/>
  <c r="AS348" i="3"/>
  <c r="AS349" i="3"/>
  <c r="AS350" i="3"/>
  <c r="AS351" i="3"/>
  <c r="AS352" i="3"/>
  <c r="AS353" i="3"/>
  <c r="AS354" i="3"/>
  <c r="AS355" i="3"/>
  <c r="AS356" i="3"/>
  <c r="AS357" i="3"/>
  <c r="AS358" i="3"/>
  <c r="AS359" i="3"/>
  <c r="AS360" i="3"/>
  <c r="AS361" i="3"/>
  <c r="AS362" i="3"/>
  <c r="AS363" i="3"/>
  <c r="AS364" i="3"/>
  <c r="AS365" i="3"/>
  <c r="AS366" i="3"/>
  <c r="AS367" i="3"/>
  <c r="AS368" i="3"/>
  <c r="AS369" i="3"/>
  <c r="AS370" i="3"/>
  <c r="AS371" i="3"/>
  <c r="AS372" i="3"/>
  <c r="AS373" i="3"/>
  <c r="AS374" i="3"/>
  <c r="AS375" i="3"/>
  <c r="AS376" i="3"/>
  <c r="AS377" i="3"/>
  <c r="AS378" i="3"/>
  <c r="AS379" i="3"/>
  <c r="AS380" i="3"/>
  <c r="AS381" i="3"/>
  <c r="AS382" i="3"/>
  <c r="AS383" i="3"/>
  <c r="AS384" i="3"/>
  <c r="AS385" i="3"/>
  <c r="AS386" i="3"/>
  <c r="AS387" i="3"/>
  <c r="AS388" i="3"/>
  <c r="AS389" i="3"/>
  <c r="AS390" i="3"/>
  <c r="AS391" i="3"/>
  <c r="AS392" i="3"/>
  <c r="AS393" i="3"/>
  <c r="AS394" i="3"/>
  <c r="AS395" i="3"/>
  <c r="AS396" i="3"/>
  <c r="AS397" i="3"/>
  <c r="AS398" i="3"/>
  <c r="AS399" i="3"/>
  <c r="AS400" i="3"/>
  <c r="AS401" i="3"/>
  <c r="AS402" i="3"/>
  <c r="AS403" i="3"/>
  <c r="AS404" i="3"/>
  <c r="AS405" i="3"/>
  <c r="AS406" i="3"/>
  <c r="AS407" i="3"/>
  <c r="AS408" i="3"/>
  <c r="AS409" i="3"/>
  <c r="AS410" i="3"/>
  <c r="AS411" i="3"/>
  <c r="AS412" i="3"/>
  <c r="AS413" i="3"/>
  <c r="AS414" i="3"/>
  <c r="AS415" i="3"/>
  <c r="AS416" i="3"/>
  <c r="AS417" i="3"/>
  <c r="AS418" i="3"/>
  <c r="AS419" i="3"/>
  <c r="AS420" i="3"/>
  <c r="AS421" i="3"/>
  <c r="AS422" i="3"/>
  <c r="AS423" i="3"/>
  <c r="AS424" i="3"/>
  <c r="AS425" i="3"/>
  <c r="AS426" i="3"/>
  <c r="AS427" i="3"/>
  <c r="AS428" i="3"/>
  <c r="AS429" i="3"/>
  <c r="AS430" i="3"/>
  <c r="AS431" i="3"/>
  <c r="AS432" i="3"/>
  <c r="AS433" i="3"/>
  <c r="AS434" i="3"/>
  <c r="AS435" i="3"/>
  <c r="AS436" i="3"/>
  <c r="AS437" i="3"/>
  <c r="AS438" i="3"/>
  <c r="AS439" i="3"/>
  <c r="AS440" i="3"/>
  <c r="AS441" i="3"/>
  <c r="AS442" i="3"/>
  <c r="AS443" i="3"/>
  <c r="AS444" i="3"/>
  <c r="AS445" i="3"/>
  <c r="AS446" i="3"/>
  <c r="AS447" i="3"/>
  <c r="AS448" i="3"/>
  <c r="AS449" i="3"/>
  <c r="AS450" i="3"/>
  <c r="AS451" i="3"/>
  <c r="AS452" i="3"/>
  <c r="AS453" i="3"/>
  <c r="AS454" i="3"/>
  <c r="AS455" i="3"/>
  <c r="AS456" i="3"/>
  <c r="AS457" i="3"/>
  <c r="AS458" i="3"/>
  <c r="AS459" i="3"/>
  <c r="AS460" i="3"/>
  <c r="AS461" i="3"/>
  <c r="AS462" i="3"/>
  <c r="AS463" i="3"/>
  <c r="AS464" i="3"/>
  <c r="AS465" i="3"/>
  <c r="AS466" i="3"/>
  <c r="AS467" i="3"/>
  <c r="AS468" i="3"/>
  <c r="AS469" i="3"/>
  <c r="AS470" i="3"/>
  <c r="AS471" i="3"/>
  <c r="AS472" i="3"/>
  <c r="AS473" i="3"/>
  <c r="AS474" i="3"/>
  <c r="AS475" i="3"/>
  <c r="AS476" i="3"/>
  <c r="AS477" i="3"/>
  <c r="AS478" i="3"/>
  <c r="AS479" i="3"/>
  <c r="AS480" i="3"/>
  <c r="AS481" i="3"/>
  <c r="AS482" i="3"/>
  <c r="AS483" i="3"/>
  <c r="AS484" i="3"/>
  <c r="AS485" i="3"/>
  <c r="AS486" i="3"/>
  <c r="AS487" i="3"/>
  <c r="AS488" i="3"/>
  <c r="AS489" i="3"/>
  <c r="AS490" i="3"/>
  <c r="AS491" i="3"/>
  <c r="AS492" i="3"/>
  <c r="AS493" i="3"/>
  <c r="AS494" i="3"/>
  <c r="AS495" i="3"/>
  <c r="AS496" i="3"/>
  <c r="AS497" i="3"/>
  <c r="AS498" i="3"/>
  <c r="AS499" i="3"/>
  <c r="AS500" i="3"/>
  <c r="AS501" i="3"/>
  <c r="AS502" i="3"/>
  <c r="AS503" i="3"/>
  <c r="AS504" i="3"/>
  <c r="AS505" i="3"/>
  <c r="AS506" i="3"/>
  <c r="AS507" i="3"/>
  <c r="AS508" i="3"/>
  <c r="AS509" i="3"/>
  <c r="AS510" i="3"/>
  <c r="AS511" i="3"/>
  <c r="AS512" i="3"/>
  <c r="AS513" i="3"/>
  <c r="AS514" i="3"/>
  <c r="AS515" i="3"/>
  <c r="AS516" i="3"/>
  <c r="AS517" i="3"/>
  <c r="AS518" i="3"/>
  <c r="AS519" i="3"/>
  <c r="AS520" i="3"/>
  <c r="AS521" i="3"/>
  <c r="AS522" i="3"/>
  <c r="AS523" i="3"/>
  <c r="AS524" i="3"/>
  <c r="AS525" i="3"/>
  <c r="AS526" i="3"/>
  <c r="AS527" i="3"/>
  <c r="AS528" i="3"/>
  <c r="AS529" i="3"/>
  <c r="AS530" i="3"/>
  <c r="AS531" i="3"/>
  <c r="AS532" i="3"/>
  <c r="AS533" i="3"/>
  <c r="AS534" i="3"/>
  <c r="AS535" i="3"/>
  <c r="AS536" i="3"/>
  <c r="AS537" i="3"/>
  <c r="AS538" i="3"/>
  <c r="AS539" i="3"/>
  <c r="AS540" i="3"/>
  <c r="AS541" i="3"/>
  <c r="AS542" i="3"/>
  <c r="AS543" i="3"/>
  <c r="AS544" i="3"/>
  <c r="AS545" i="3"/>
  <c r="AS546" i="3"/>
  <c r="AS547" i="3"/>
  <c r="AS548" i="3"/>
  <c r="AS549" i="3"/>
  <c r="AS550" i="3"/>
  <c r="AS551" i="3"/>
  <c r="AS552" i="3"/>
  <c r="AS553" i="3"/>
  <c r="AS554" i="3"/>
  <c r="AS555" i="3"/>
  <c r="AS556" i="3"/>
  <c r="AS557" i="3"/>
  <c r="AS558" i="3"/>
  <c r="AS559" i="3"/>
  <c r="AS560" i="3"/>
  <c r="AS561" i="3"/>
  <c r="AS562" i="3"/>
  <c r="AS563" i="3"/>
  <c r="AS564" i="3"/>
  <c r="AS565" i="3"/>
  <c r="AS566" i="3"/>
  <c r="AS567" i="3"/>
  <c r="AS568" i="3"/>
  <c r="AS569" i="3"/>
  <c r="AS570" i="3"/>
  <c r="AS571" i="3"/>
  <c r="AS572" i="3"/>
  <c r="AS573" i="3"/>
  <c r="AS574" i="3"/>
  <c r="AS575" i="3"/>
  <c r="AS576" i="3"/>
  <c r="AS577" i="3"/>
  <c r="AS578" i="3"/>
  <c r="AS579" i="3"/>
  <c r="AS580" i="3"/>
  <c r="AS581" i="3"/>
  <c r="AS582" i="3"/>
  <c r="AS583" i="3"/>
  <c r="AS584" i="3"/>
  <c r="AS585" i="3"/>
  <c r="AS586" i="3"/>
  <c r="AS587" i="3"/>
  <c r="AS588" i="3"/>
  <c r="AS589" i="3"/>
  <c r="AS590" i="3"/>
  <c r="AS591" i="3"/>
  <c r="AS592" i="3"/>
  <c r="AS593" i="3"/>
  <c r="AS594" i="3"/>
  <c r="AS595" i="3"/>
  <c r="AS596" i="3"/>
  <c r="AS597" i="3"/>
  <c r="AS598" i="3"/>
  <c r="AS599" i="3"/>
  <c r="AS600" i="3"/>
  <c r="AS601" i="3"/>
  <c r="AS602" i="3"/>
  <c r="AS603" i="3"/>
  <c r="AS604" i="3"/>
  <c r="AS605" i="3"/>
  <c r="AS606" i="3"/>
  <c r="AS607" i="3"/>
  <c r="AS608" i="3"/>
  <c r="AS609" i="3"/>
  <c r="AS610" i="3"/>
  <c r="AS611" i="3"/>
  <c r="AS612" i="3"/>
  <c r="AS613" i="3"/>
  <c r="AS614" i="3"/>
  <c r="AS615" i="3"/>
  <c r="AS616" i="3"/>
  <c r="AS617" i="3"/>
  <c r="AS618" i="3"/>
  <c r="AS619" i="3"/>
  <c r="AS620" i="3"/>
  <c r="AS621" i="3"/>
  <c r="AS622" i="3"/>
  <c r="AS623" i="3"/>
  <c r="AS624" i="3"/>
  <c r="AS625" i="3"/>
  <c r="AS626" i="3"/>
  <c r="AS627" i="3"/>
  <c r="AS628" i="3"/>
  <c r="AS629" i="3"/>
  <c r="AS630" i="3"/>
  <c r="AS631" i="3"/>
  <c r="AS632" i="3"/>
  <c r="AS633" i="3"/>
  <c r="AS634" i="3"/>
  <c r="AS635" i="3"/>
  <c r="AS636" i="3"/>
  <c r="AS637" i="3"/>
  <c r="AS638" i="3"/>
  <c r="AS639" i="3"/>
  <c r="AS640" i="3"/>
  <c r="AS641" i="3"/>
  <c r="AS642" i="3"/>
  <c r="AS643" i="3"/>
  <c r="AS644" i="3"/>
  <c r="AS645" i="3"/>
  <c r="AS646" i="3"/>
  <c r="AS647" i="3"/>
  <c r="AS648" i="3"/>
  <c r="AS649" i="3"/>
  <c r="AS650" i="3"/>
  <c r="AS651" i="3"/>
  <c r="AS652" i="3"/>
  <c r="AS653" i="3"/>
  <c r="AS654" i="3"/>
  <c r="AS655" i="3"/>
  <c r="AS656" i="3"/>
  <c r="AS657" i="3"/>
  <c r="AS658" i="3"/>
  <c r="AS659" i="3"/>
  <c r="AS660" i="3"/>
  <c r="AS661" i="3"/>
  <c r="AS662" i="3"/>
  <c r="AS663" i="3"/>
  <c r="AS664" i="3"/>
  <c r="AS665" i="3"/>
  <c r="AS666" i="3"/>
  <c r="AS667" i="3"/>
  <c r="AS668" i="3"/>
  <c r="AS669" i="3"/>
  <c r="AS670" i="3"/>
  <c r="AS671" i="3"/>
  <c r="AS672" i="3"/>
  <c r="AS673" i="3"/>
  <c r="AS674" i="3"/>
  <c r="AS675" i="3"/>
  <c r="AS676" i="3"/>
  <c r="AS677" i="3"/>
  <c r="AS678" i="3"/>
  <c r="AS679" i="3"/>
  <c r="AS680" i="3"/>
  <c r="AS681" i="3"/>
  <c r="AS682" i="3"/>
  <c r="AS683" i="3"/>
  <c r="AS684" i="3"/>
  <c r="AS685" i="3"/>
  <c r="AS686" i="3"/>
  <c r="AS687" i="3"/>
  <c r="AS688" i="3"/>
  <c r="AS689" i="3"/>
  <c r="AS690" i="3"/>
  <c r="AS691" i="3"/>
  <c r="AS692" i="3"/>
  <c r="AS693" i="3"/>
  <c r="AS694" i="3"/>
  <c r="AS695" i="3"/>
  <c r="AS696" i="3"/>
  <c r="AS697" i="3"/>
  <c r="AS698" i="3"/>
  <c r="AS699" i="3"/>
  <c r="AS700" i="3"/>
  <c r="AS701" i="3"/>
  <c r="AS702" i="3"/>
  <c r="AS703" i="3"/>
  <c r="AS704" i="3"/>
  <c r="AS705" i="3"/>
  <c r="AS706" i="3"/>
  <c r="AS707" i="3"/>
  <c r="AS708" i="3"/>
  <c r="AS709" i="3"/>
  <c r="AS710" i="3"/>
  <c r="AS711" i="3"/>
  <c r="AS712" i="3"/>
  <c r="AS713" i="3"/>
  <c r="AS714" i="3"/>
  <c r="AS715" i="3"/>
  <c r="AS716" i="3"/>
  <c r="AS717" i="3"/>
  <c r="AS718" i="3"/>
  <c r="AS719" i="3"/>
  <c r="AS720" i="3"/>
  <c r="AS721" i="3"/>
  <c r="AS722" i="3"/>
  <c r="AS723" i="3"/>
  <c r="AS724" i="3"/>
  <c r="AS725" i="3"/>
  <c r="AS726" i="3"/>
  <c r="AS727" i="3"/>
  <c r="AS728" i="3"/>
  <c r="AS729" i="3"/>
  <c r="AS730" i="3"/>
  <c r="AS731" i="3"/>
  <c r="AS732" i="3"/>
  <c r="AS733" i="3"/>
  <c r="AS734" i="3"/>
  <c r="AS735" i="3"/>
  <c r="AS736" i="3"/>
  <c r="AS737" i="3"/>
  <c r="AS738" i="3"/>
  <c r="AS739" i="3"/>
  <c r="AS740" i="3"/>
  <c r="AS741" i="3"/>
  <c r="AS742" i="3"/>
  <c r="AS743" i="3"/>
  <c r="AS744" i="3"/>
  <c r="AS745" i="3"/>
  <c r="AS746" i="3"/>
  <c r="AS747" i="3"/>
  <c r="AS748" i="3"/>
  <c r="AS749" i="3"/>
  <c r="AS750" i="3"/>
  <c r="AS751" i="3"/>
  <c r="AS752" i="3"/>
  <c r="AS753" i="3"/>
  <c r="AS754" i="3"/>
  <c r="AS755" i="3"/>
  <c r="AS756" i="3"/>
  <c r="AS757" i="3"/>
  <c r="AS758" i="3"/>
  <c r="AS759" i="3"/>
  <c r="AS760" i="3"/>
  <c r="AS761" i="3"/>
  <c r="AS762" i="3"/>
  <c r="AS763" i="3"/>
  <c r="AS764" i="3"/>
  <c r="AS765" i="3"/>
  <c r="AS766" i="3"/>
  <c r="AS767" i="3"/>
  <c r="AS768" i="3"/>
  <c r="AS769" i="3"/>
  <c r="AS770" i="3"/>
  <c r="AS771" i="3"/>
  <c r="AS772" i="3"/>
  <c r="AS773" i="3"/>
  <c r="AS774" i="3"/>
  <c r="AS775" i="3"/>
  <c r="AS776" i="3"/>
  <c r="AS777" i="3"/>
  <c r="AS778" i="3"/>
  <c r="AS779" i="3"/>
  <c r="AS780" i="3"/>
  <c r="AS781" i="3"/>
  <c r="AS782" i="3"/>
  <c r="AS783" i="3"/>
  <c r="AS784" i="3"/>
  <c r="AS785" i="3"/>
  <c r="AS786" i="3"/>
  <c r="AS787" i="3"/>
  <c r="AS788" i="3"/>
  <c r="AS789" i="3"/>
  <c r="AS790" i="3"/>
  <c r="AS791" i="3"/>
  <c r="AS792" i="3"/>
  <c r="AS793" i="3"/>
  <c r="AS794" i="3"/>
  <c r="AS795" i="3"/>
  <c r="AS796" i="3"/>
  <c r="AS797" i="3"/>
  <c r="AS798" i="3"/>
  <c r="AS799" i="3"/>
  <c r="AS800" i="3"/>
  <c r="AS801" i="3"/>
  <c r="AS802" i="3"/>
  <c r="AS803" i="3"/>
  <c r="AS804" i="3"/>
  <c r="AS805" i="3"/>
  <c r="AS806" i="3"/>
  <c r="AS807" i="3"/>
  <c r="AS808" i="3"/>
  <c r="AS809" i="3"/>
  <c r="AS810" i="3"/>
  <c r="AS811" i="3"/>
  <c r="AS812" i="3"/>
  <c r="AS813" i="3"/>
  <c r="AS814" i="3"/>
  <c r="AS815" i="3"/>
  <c r="AS816" i="3"/>
  <c r="AS817" i="3"/>
  <c r="AS818" i="3"/>
  <c r="AS819" i="3"/>
  <c r="AS820" i="3"/>
  <c r="AS821" i="3"/>
  <c r="AS822" i="3"/>
  <c r="AS823" i="3"/>
  <c r="AS824" i="3"/>
  <c r="AS825" i="3"/>
  <c r="AS826" i="3"/>
  <c r="AS827" i="3"/>
  <c r="AS828" i="3"/>
  <c r="AS829" i="3"/>
  <c r="AS830" i="3"/>
  <c r="AS831" i="3"/>
  <c r="AS832" i="3"/>
  <c r="AS833" i="3"/>
  <c r="AS834" i="3"/>
  <c r="AS835" i="3"/>
  <c r="AS836" i="3"/>
  <c r="AS837" i="3"/>
  <c r="AS838" i="3"/>
  <c r="AS839" i="3"/>
  <c r="AS840" i="3"/>
  <c r="AS841" i="3"/>
  <c r="AS842" i="3"/>
  <c r="AS843" i="3"/>
  <c r="AS844" i="3"/>
  <c r="AS845" i="3"/>
  <c r="AS846" i="3"/>
  <c r="AS847" i="3"/>
  <c r="AS848" i="3"/>
  <c r="AS849" i="3"/>
  <c r="AS850" i="3"/>
  <c r="AS851" i="3"/>
  <c r="AS852" i="3"/>
  <c r="AS853" i="3"/>
  <c r="AS854" i="3"/>
  <c r="AS855" i="3"/>
  <c r="AS856" i="3"/>
  <c r="AS857" i="3"/>
  <c r="AS858" i="3"/>
  <c r="AS859" i="3"/>
  <c r="AS860" i="3"/>
  <c r="AS861" i="3"/>
  <c r="AS862" i="3"/>
  <c r="AS863" i="3"/>
  <c r="AS864" i="3"/>
  <c r="AS865" i="3"/>
  <c r="AS866" i="3"/>
  <c r="AS867" i="3"/>
  <c r="AS868" i="3"/>
  <c r="AS869" i="3"/>
  <c r="AS870" i="3"/>
  <c r="AS871" i="3"/>
  <c r="AS872" i="3"/>
  <c r="AS873" i="3"/>
  <c r="AS874" i="3"/>
  <c r="AS875" i="3"/>
  <c r="AS876" i="3"/>
  <c r="AS877" i="3"/>
  <c r="AS878" i="3"/>
  <c r="AS879" i="3"/>
  <c r="AS880" i="3"/>
  <c r="AS881" i="3"/>
  <c r="AS882" i="3"/>
  <c r="AS883" i="3"/>
  <c r="AS884" i="3"/>
  <c r="AS885" i="3"/>
  <c r="AS886" i="3"/>
  <c r="AS887" i="3"/>
  <c r="AS888" i="3"/>
  <c r="AS889" i="3"/>
  <c r="AS890" i="3"/>
  <c r="AS891" i="3"/>
  <c r="AS892" i="3"/>
  <c r="AS893" i="3"/>
  <c r="AS894" i="3"/>
  <c r="AS895" i="3"/>
  <c r="AS896" i="3"/>
  <c r="AS897" i="3"/>
  <c r="AS898" i="3"/>
  <c r="AS899" i="3"/>
  <c r="AS900" i="3"/>
  <c r="AS901" i="3"/>
  <c r="AS902" i="3"/>
  <c r="AS903" i="3"/>
  <c r="AS904" i="3"/>
  <c r="AS905" i="3"/>
  <c r="AS906" i="3"/>
  <c r="AS907" i="3"/>
  <c r="AS908" i="3"/>
  <c r="AS909" i="3"/>
  <c r="AS910" i="3"/>
  <c r="AS911" i="3"/>
  <c r="AS912" i="3"/>
  <c r="AS913" i="3"/>
  <c r="AS914" i="3"/>
  <c r="AS915" i="3"/>
  <c r="AS916" i="3"/>
  <c r="AS917" i="3"/>
  <c r="AS918" i="3"/>
  <c r="AS919" i="3"/>
  <c r="AS920" i="3"/>
  <c r="AS921" i="3"/>
  <c r="AS922" i="3"/>
  <c r="AS923" i="3"/>
  <c r="AS924" i="3"/>
  <c r="AS925" i="3"/>
  <c r="AS926" i="3"/>
  <c r="AS927" i="3"/>
  <c r="AS928" i="3"/>
  <c r="AS929" i="3"/>
  <c r="AS930" i="3"/>
  <c r="AS931" i="3"/>
  <c r="AS932" i="3"/>
  <c r="AS933" i="3"/>
  <c r="AS934" i="3"/>
  <c r="AS935" i="3"/>
  <c r="AS936" i="3"/>
  <c r="AS937" i="3"/>
  <c r="AS938" i="3"/>
  <c r="AS939" i="3"/>
  <c r="AS940" i="3"/>
  <c r="AS941" i="3"/>
  <c r="AS942" i="3"/>
  <c r="AS943" i="3"/>
  <c r="AS944" i="3"/>
  <c r="AS945" i="3"/>
  <c r="AS946" i="3"/>
  <c r="AS947" i="3"/>
  <c r="AS948" i="3"/>
  <c r="AS949" i="3"/>
  <c r="AS950" i="3"/>
  <c r="AS951" i="3"/>
  <c r="AS952" i="3"/>
  <c r="AS953" i="3"/>
  <c r="AS954" i="3"/>
  <c r="AS955" i="3"/>
  <c r="AS956" i="3"/>
  <c r="AS957" i="3"/>
  <c r="AS958" i="3"/>
  <c r="AS959" i="3"/>
  <c r="AS960" i="3"/>
  <c r="AS961" i="3"/>
  <c r="AS962" i="3"/>
  <c r="AS963" i="3"/>
  <c r="AS964" i="3"/>
  <c r="AS965" i="3"/>
  <c r="AS966" i="3"/>
  <c r="AS967" i="3"/>
  <c r="AS968" i="3"/>
  <c r="AS969" i="3"/>
  <c r="AS970" i="3"/>
  <c r="AS971" i="3"/>
  <c r="AS972" i="3"/>
  <c r="AS973" i="3"/>
  <c r="AS974" i="3"/>
  <c r="AS975" i="3"/>
  <c r="AS976" i="3"/>
  <c r="AS977" i="3"/>
  <c r="AS978" i="3"/>
  <c r="AS979" i="3"/>
  <c r="AS980" i="3"/>
  <c r="AS981" i="3"/>
  <c r="AS982" i="3"/>
  <c r="AS983" i="3"/>
  <c r="AS984" i="3"/>
  <c r="AS985" i="3"/>
  <c r="AS986" i="3"/>
  <c r="AS987" i="3"/>
  <c r="AS988" i="3"/>
  <c r="AS989" i="3"/>
  <c r="AS990" i="3"/>
  <c r="AS991" i="3"/>
  <c r="AS992" i="3"/>
  <c r="AS993" i="3"/>
  <c r="AS994" i="3"/>
  <c r="AS995" i="3"/>
  <c r="AS996" i="3"/>
  <c r="AS997" i="3"/>
  <c r="AS998" i="3"/>
  <c r="AS999" i="3"/>
  <c r="AS1000" i="3"/>
  <c r="AS1001" i="3"/>
  <c r="AS1002" i="3"/>
  <c r="AS1003" i="3"/>
  <c r="AS1004" i="3"/>
  <c r="AS1005" i="3"/>
  <c r="AS1006" i="3"/>
  <c r="AS1007" i="3"/>
  <c r="AS1008" i="3"/>
  <c r="AS1009" i="3"/>
  <c r="AS1010" i="3"/>
  <c r="AS1011" i="3"/>
  <c r="AS1012" i="3"/>
  <c r="AS1013" i="3"/>
  <c r="AS1014" i="3"/>
  <c r="AS1015" i="3"/>
  <c r="AS1016" i="3"/>
  <c r="AS1017" i="3"/>
  <c r="AS1018" i="3"/>
  <c r="AS1019" i="3"/>
  <c r="AS1020" i="3"/>
  <c r="AS1021" i="3"/>
  <c r="AS1022" i="3"/>
  <c r="AS1023" i="3"/>
  <c r="AS1024" i="3"/>
  <c r="AS1025" i="3"/>
  <c r="AS1026" i="3"/>
  <c r="AS1027" i="3"/>
  <c r="AS1028" i="3"/>
  <c r="AS1029" i="3"/>
  <c r="AS1030" i="3"/>
  <c r="AS1031" i="3"/>
  <c r="AS1032" i="3"/>
  <c r="AS1033" i="3"/>
  <c r="AS1034" i="3"/>
  <c r="AS1035" i="3"/>
  <c r="AS1036" i="3"/>
  <c r="AS1037" i="3"/>
  <c r="AS1038" i="3"/>
  <c r="AS1039" i="3"/>
  <c r="AS1040" i="3"/>
  <c r="AS1041" i="3"/>
  <c r="AS1042" i="3"/>
  <c r="AS1043" i="3"/>
  <c r="AS1044" i="3"/>
  <c r="AS1045" i="3"/>
  <c r="AS1046" i="3"/>
  <c r="AS1047" i="3"/>
  <c r="AS1048" i="3"/>
  <c r="AS1049" i="3"/>
  <c r="AS1050" i="3"/>
  <c r="AS1051" i="3"/>
  <c r="AS1052" i="3"/>
  <c r="AS1053" i="3"/>
  <c r="AS1054" i="3"/>
  <c r="AS1055" i="3"/>
  <c r="AS1056" i="3"/>
  <c r="AS1057" i="3"/>
  <c r="AS1058" i="3"/>
  <c r="AS1059" i="3"/>
  <c r="AS1060" i="3"/>
  <c r="AS1061" i="3"/>
  <c r="AS1062" i="3"/>
  <c r="AS1063" i="3"/>
  <c r="AS1064" i="3"/>
  <c r="AS1065" i="3"/>
  <c r="AS1066" i="3"/>
  <c r="AS1067" i="3"/>
  <c r="AS1068" i="3"/>
  <c r="AS1069" i="3"/>
  <c r="AS1070" i="3"/>
  <c r="AS1071" i="3"/>
  <c r="AS1072" i="3"/>
  <c r="AS1073" i="3"/>
  <c r="AS1074" i="3"/>
  <c r="AS1075" i="3"/>
  <c r="AS1076" i="3"/>
  <c r="AS1077" i="3"/>
  <c r="AS1078" i="3"/>
  <c r="AS1079" i="3"/>
  <c r="AS1080" i="3"/>
  <c r="AS1081" i="3"/>
  <c r="AS1082" i="3"/>
  <c r="AS1083" i="3"/>
  <c r="AS1084" i="3"/>
  <c r="AS1085" i="3"/>
  <c r="AS1086" i="3"/>
  <c r="AS1087" i="3"/>
  <c r="AS1088" i="3"/>
  <c r="AS1089" i="3"/>
  <c r="AS1090" i="3"/>
  <c r="AS1091" i="3"/>
  <c r="AS1092" i="3"/>
  <c r="AS1093" i="3"/>
  <c r="AS1094" i="3"/>
  <c r="AS1095" i="3"/>
  <c r="AS1096" i="3"/>
  <c r="AS1097" i="3"/>
  <c r="AS1098" i="3"/>
  <c r="AS1099" i="3"/>
  <c r="AS1100" i="3"/>
  <c r="AS1101" i="3"/>
  <c r="AS1102" i="3"/>
  <c r="AS1103" i="3"/>
  <c r="AS1104" i="3"/>
  <c r="AS1105" i="3"/>
  <c r="AS1106" i="3"/>
  <c r="AS1107" i="3"/>
  <c r="AS1108" i="3"/>
  <c r="AS1109" i="3"/>
  <c r="AS1110" i="3"/>
  <c r="AS1111" i="3"/>
  <c r="AS1112" i="3"/>
  <c r="AS1113" i="3"/>
  <c r="AS1114" i="3"/>
  <c r="AS1115" i="3"/>
  <c r="AS1116" i="3"/>
  <c r="AS1117" i="3"/>
  <c r="AS1118" i="3"/>
  <c r="AS1119" i="3"/>
  <c r="AS1120" i="3"/>
  <c r="AS1121" i="3"/>
  <c r="AS1122" i="3"/>
  <c r="AS1123" i="3"/>
  <c r="AS1124" i="3"/>
  <c r="AS1125" i="3"/>
  <c r="AS1126" i="3"/>
  <c r="AS1127" i="3"/>
  <c r="AS1128" i="3"/>
  <c r="AS1129" i="3"/>
  <c r="AS1130" i="3"/>
  <c r="AS1131" i="3"/>
  <c r="AS1132" i="3"/>
  <c r="AS1133" i="3"/>
  <c r="AS1134" i="3"/>
  <c r="AS1135" i="3"/>
  <c r="AS1136" i="3"/>
  <c r="AS1137" i="3"/>
  <c r="AS1138" i="3"/>
  <c r="AS1139" i="3"/>
  <c r="AS1140" i="3"/>
  <c r="AS1141" i="3"/>
  <c r="AS1142" i="3"/>
  <c r="AS1143" i="3"/>
  <c r="AS1144" i="3"/>
  <c r="AS1145" i="3"/>
  <c r="AS1146" i="3"/>
  <c r="AS1147" i="3"/>
  <c r="AS1148" i="3"/>
  <c r="AS1149" i="3"/>
  <c r="AS1150" i="3"/>
  <c r="AS1151" i="3"/>
  <c r="AS1152" i="3"/>
  <c r="AS1153" i="3"/>
  <c r="AS1154" i="3"/>
  <c r="AS1155" i="3"/>
  <c r="AS1156" i="3"/>
  <c r="AS1157" i="3"/>
  <c r="AS1158" i="3"/>
  <c r="AS1159" i="3"/>
  <c r="AS1160" i="3"/>
  <c r="AS1161" i="3"/>
  <c r="AS1162" i="3"/>
  <c r="AS1163" i="3"/>
  <c r="AS1164" i="3"/>
  <c r="AS1165" i="3"/>
  <c r="AS1166" i="3"/>
  <c r="AS1167" i="3"/>
  <c r="AS1168" i="3"/>
  <c r="AS1169" i="3"/>
  <c r="AS1170" i="3"/>
  <c r="AS1171" i="3"/>
  <c r="AS1172" i="3"/>
  <c r="AS1173" i="3"/>
  <c r="AS1174" i="3"/>
  <c r="AS1175" i="3"/>
  <c r="AS1176" i="3"/>
  <c r="AS1177" i="3"/>
  <c r="AS1178" i="3"/>
  <c r="AS1179" i="3"/>
  <c r="AS1180" i="3"/>
  <c r="AS1181" i="3"/>
  <c r="AS1182" i="3"/>
  <c r="AS1183" i="3"/>
  <c r="AS1184" i="3"/>
  <c r="AS1185" i="3"/>
  <c r="AS1186" i="3"/>
  <c r="AS1187" i="3"/>
  <c r="AS1188" i="3"/>
  <c r="AS1189" i="3"/>
  <c r="AS1190" i="3"/>
  <c r="AS1191" i="3"/>
  <c r="AS1192" i="3"/>
  <c r="AS1193" i="3"/>
  <c r="AS1194" i="3"/>
  <c r="AS1195" i="3"/>
  <c r="AS1196" i="3"/>
  <c r="AS1197" i="3"/>
  <c r="AS1198" i="3"/>
  <c r="AS1199" i="3"/>
  <c r="AS1200" i="3"/>
  <c r="AS1201" i="3"/>
  <c r="AS1202" i="3"/>
  <c r="AS1203" i="3"/>
  <c r="AS1204" i="3"/>
  <c r="AS1205" i="3"/>
  <c r="AS1206" i="3"/>
  <c r="AS1207" i="3"/>
  <c r="AS1208" i="3"/>
  <c r="AS1209" i="3"/>
  <c r="AS1210" i="3"/>
  <c r="AS1211" i="3"/>
  <c r="AS1212" i="3"/>
  <c r="AS1213" i="3"/>
  <c r="AS1214" i="3"/>
  <c r="AS1215" i="3"/>
  <c r="AS1216" i="3"/>
  <c r="AS1217" i="3"/>
  <c r="AS1218" i="3"/>
  <c r="AS1219" i="3"/>
  <c r="AS1220" i="3"/>
  <c r="AS1221" i="3"/>
  <c r="AS1222" i="3"/>
  <c r="AS1223" i="3"/>
  <c r="AS1224" i="3"/>
  <c r="AS1225" i="3"/>
  <c r="AS1226" i="3"/>
  <c r="AS1227" i="3"/>
  <c r="AS1228" i="3"/>
  <c r="AS1229" i="3"/>
  <c r="AS1230" i="3"/>
  <c r="AS1231" i="3"/>
  <c r="AS1232" i="3"/>
  <c r="AS1233" i="3"/>
  <c r="AS1234" i="3"/>
  <c r="AS1235" i="3"/>
  <c r="AS1236" i="3"/>
  <c r="AS1237" i="3"/>
  <c r="AS1238" i="3"/>
  <c r="AS1239" i="3"/>
  <c r="AS1240" i="3"/>
  <c r="AS1241" i="3"/>
  <c r="AS1242" i="3"/>
  <c r="AS1243" i="3"/>
  <c r="AS1244" i="3"/>
  <c r="AS1245" i="3"/>
  <c r="AS1246" i="3"/>
  <c r="AS1247" i="3"/>
  <c r="AS1248" i="3"/>
  <c r="AS1249" i="3"/>
  <c r="AS1250" i="3"/>
  <c r="AS1251" i="3"/>
  <c r="AS1252" i="3"/>
  <c r="AS1253" i="3"/>
  <c r="AS1254" i="3"/>
  <c r="AS1255" i="3"/>
  <c r="AS1256" i="3"/>
  <c r="AS1257" i="3"/>
  <c r="AS1258" i="3"/>
  <c r="AS1259" i="3"/>
  <c r="AS1260" i="3"/>
  <c r="AS1261" i="3"/>
  <c r="AS1262" i="3"/>
  <c r="AS1263" i="3"/>
  <c r="AS1264" i="3"/>
  <c r="AS1265" i="3"/>
  <c r="AS1266" i="3"/>
  <c r="AS1267" i="3"/>
  <c r="AS1268" i="3"/>
  <c r="AS1269" i="3"/>
  <c r="AS1270" i="3"/>
  <c r="AS1271" i="3"/>
  <c r="AS1272" i="3"/>
  <c r="AS1273" i="3"/>
  <c r="AS1274" i="3"/>
  <c r="AS1275" i="3"/>
  <c r="AS1276" i="3"/>
  <c r="AS1277" i="3"/>
  <c r="AS1278" i="3"/>
  <c r="AS1279" i="3"/>
  <c r="AS1280" i="3"/>
  <c r="AS1281" i="3"/>
  <c r="AS1282" i="3"/>
  <c r="AS1283" i="3"/>
  <c r="AS1284" i="3"/>
  <c r="AS1285" i="3"/>
  <c r="AS1286" i="3"/>
  <c r="AS1287" i="3"/>
  <c r="AS1288" i="3"/>
  <c r="AS1289" i="3"/>
  <c r="AS1290" i="3"/>
  <c r="AS1291" i="3"/>
  <c r="AS1292" i="3"/>
  <c r="AS1293" i="3"/>
  <c r="AS1294" i="3"/>
  <c r="AS1295" i="3"/>
  <c r="AS1296" i="3"/>
  <c r="AS1297" i="3"/>
  <c r="AS1298" i="3"/>
  <c r="AS1299" i="3"/>
  <c r="AS1300" i="3"/>
  <c r="AS1301" i="3"/>
  <c r="AS1302" i="3"/>
  <c r="AS1303" i="3"/>
  <c r="AS1304" i="3"/>
  <c r="AS1305" i="3"/>
  <c r="AS1306" i="3"/>
  <c r="AS1307" i="3"/>
  <c r="AS1308" i="3"/>
  <c r="AS1309" i="3"/>
  <c r="AS1310" i="3"/>
  <c r="AS1311" i="3"/>
  <c r="AS1312" i="3"/>
  <c r="AS1313" i="3"/>
  <c r="AS1314" i="3"/>
  <c r="AS1315" i="3"/>
  <c r="AS1316" i="3"/>
  <c r="AS1317" i="3"/>
  <c r="AS1318" i="3"/>
  <c r="AS1319" i="3"/>
  <c r="AS1320" i="3"/>
  <c r="AS1321" i="3"/>
  <c r="AS1322" i="3"/>
  <c r="AS1323" i="3"/>
  <c r="AS1324" i="3"/>
  <c r="AS1325" i="3"/>
  <c r="AS1326" i="3"/>
  <c r="AS1327" i="3"/>
  <c r="AS1328" i="3"/>
  <c r="AS1329" i="3"/>
  <c r="AS1330" i="3"/>
  <c r="AS1331" i="3"/>
  <c r="AS1332" i="3"/>
  <c r="AS1333" i="3"/>
  <c r="AS1334" i="3"/>
  <c r="AS1335" i="3"/>
  <c r="AS1336" i="3"/>
  <c r="AS1337" i="3"/>
  <c r="AS1338" i="3"/>
  <c r="AS1339" i="3"/>
  <c r="AS1340" i="3"/>
  <c r="AS1341" i="3"/>
  <c r="AS1342" i="3"/>
  <c r="AS1343" i="3"/>
  <c r="AS1344" i="3"/>
  <c r="AS1345" i="3"/>
  <c r="AS1346" i="3"/>
  <c r="AS1347" i="3"/>
  <c r="AS1348" i="3"/>
  <c r="AS1349" i="3"/>
  <c r="AS1350" i="3"/>
  <c r="AS1351" i="3"/>
  <c r="AS1352" i="3"/>
  <c r="AS1353" i="3"/>
  <c r="AS1354" i="3"/>
  <c r="AS1355" i="3"/>
  <c r="AS1356" i="3"/>
  <c r="AS1357" i="3"/>
  <c r="AS1358" i="3"/>
  <c r="AS1359" i="3"/>
  <c r="AS1360" i="3"/>
  <c r="AS1361" i="3"/>
  <c r="AS1362" i="3"/>
  <c r="AS1363" i="3"/>
  <c r="AS1364" i="3"/>
  <c r="AS1365" i="3"/>
  <c r="AS1366" i="3"/>
  <c r="AS1367" i="3"/>
  <c r="AS1368" i="3"/>
  <c r="AS1369" i="3"/>
  <c r="AS1370" i="3"/>
  <c r="AS1371" i="3"/>
  <c r="AS1372" i="3"/>
  <c r="AS1373" i="3"/>
  <c r="AS1374" i="3"/>
  <c r="AS1375" i="3"/>
  <c r="AS1376" i="3"/>
  <c r="AS1377" i="3"/>
  <c r="AS1378" i="3"/>
  <c r="AS1379" i="3"/>
  <c r="AS1380" i="3"/>
  <c r="AS1381" i="3"/>
  <c r="AS1382" i="3"/>
  <c r="AS1383" i="3"/>
  <c r="AS1384" i="3"/>
  <c r="AS1385" i="3"/>
  <c r="AS1386" i="3"/>
  <c r="AS1387" i="3"/>
  <c r="AS1388" i="3"/>
  <c r="AS1389" i="3"/>
  <c r="AS1390" i="3"/>
  <c r="AS1391" i="3"/>
  <c r="AS1392" i="3"/>
  <c r="AS1393" i="3"/>
  <c r="AS1394" i="3"/>
  <c r="AS1395" i="3"/>
  <c r="AS1396" i="3"/>
  <c r="AS1397" i="3"/>
  <c r="AS1398" i="3"/>
  <c r="AS1399" i="3"/>
  <c r="AS1400" i="3"/>
  <c r="AS1401" i="3"/>
  <c r="AS1402" i="3"/>
  <c r="AS1403" i="3"/>
  <c r="AS1404" i="3"/>
  <c r="AS1405" i="3"/>
  <c r="AS1406" i="3"/>
  <c r="AS1407" i="3"/>
  <c r="AS1408" i="3"/>
  <c r="AS1409" i="3"/>
  <c r="AS1410" i="3"/>
  <c r="AS1411" i="3"/>
  <c r="AS1412" i="3"/>
  <c r="AS1413" i="3"/>
  <c r="AS1414" i="3"/>
  <c r="AS1415" i="3"/>
  <c r="AS1416" i="3"/>
  <c r="AS1417" i="3"/>
  <c r="AS1418" i="3"/>
  <c r="AS1419" i="3"/>
  <c r="AS1420" i="3"/>
  <c r="AS1421" i="3"/>
  <c r="AS1422" i="3"/>
  <c r="AS1423" i="3"/>
  <c r="AS1424" i="3"/>
  <c r="AS1425" i="3"/>
  <c r="AS1426" i="3"/>
  <c r="AS1427" i="3"/>
  <c r="AS1428" i="3"/>
  <c r="AS1429" i="3"/>
  <c r="AS1430" i="3"/>
  <c r="AS1431" i="3"/>
  <c r="AS1432" i="3"/>
  <c r="AS1433" i="3"/>
  <c r="AS1434" i="3"/>
  <c r="AS1435" i="3"/>
  <c r="AS1436" i="3"/>
  <c r="AS1437" i="3"/>
  <c r="AS1438" i="3"/>
  <c r="AS1439" i="3"/>
  <c r="AS1440" i="3"/>
  <c r="AS1441" i="3"/>
  <c r="AS1442" i="3"/>
  <c r="AS1443" i="3"/>
  <c r="AS1444" i="3"/>
  <c r="AS1445" i="3"/>
  <c r="AS1446" i="3"/>
  <c r="AS1447" i="3"/>
  <c r="AS1448" i="3"/>
  <c r="AS1449" i="3"/>
  <c r="AS1450" i="3"/>
  <c r="AS1451" i="3"/>
  <c r="AS1452" i="3"/>
  <c r="AS1453" i="3"/>
  <c r="AS1454" i="3"/>
  <c r="AS1455" i="3"/>
  <c r="AS1456" i="3"/>
  <c r="AS1457" i="3"/>
  <c r="AS1458" i="3"/>
  <c r="AS1459" i="3"/>
  <c r="AS1460" i="3"/>
  <c r="AS1461" i="3"/>
  <c r="AS1462" i="3"/>
  <c r="AS1463" i="3"/>
  <c r="AS1464" i="3"/>
  <c r="AS1465" i="3"/>
  <c r="AS1466" i="3"/>
  <c r="AS1467" i="3"/>
  <c r="AS1468" i="3"/>
  <c r="AS1469" i="3"/>
  <c r="AM1171" i="3" l="1"/>
  <c r="AM1172" i="3"/>
  <c r="AM7" i="3"/>
  <c r="AM8" i="3"/>
  <c r="AM9" i="3"/>
  <c r="AM10" i="3"/>
  <c r="AM11" i="3"/>
  <c r="AM12" i="3"/>
  <c r="AM13" i="3"/>
  <c r="AM14" i="3"/>
  <c r="AM15" i="3"/>
  <c r="AM16" i="3"/>
  <c r="AM17" i="3"/>
  <c r="AM18" i="3"/>
  <c r="AM19" i="3"/>
  <c r="AM20" i="3"/>
  <c r="AM21" i="3"/>
  <c r="AM22" i="3"/>
  <c r="AM23" i="3"/>
  <c r="AM24" i="3"/>
  <c r="AM25" i="3"/>
  <c r="AM26" i="3"/>
  <c r="AM27" i="3"/>
  <c r="AM28" i="3"/>
  <c r="AM29" i="3"/>
  <c r="AM30" i="3"/>
  <c r="AM31" i="3"/>
  <c r="AM32" i="3"/>
  <c r="AM33" i="3"/>
  <c r="AM34" i="3"/>
  <c r="AM35" i="3"/>
  <c r="AM36" i="3"/>
  <c r="AM37" i="3"/>
  <c r="AM38" i="3"/>
  <c r="AM39" i="3"/>
  <c r="AM40" i="3"/>
  <c r="AM41" i="3"/>
  <c r="AM42" i="3"/>
  <c r="AM43" i="3"/>
  <c r="AM44" i="3"/>
  <c r="AM45" i="3"/>
  <c r="AM46" i="3"/>
  <c r="AM47" i="3"/>
  <c r="AM48" i="3"/>
  <c r="AM49" i="3"/>
  <c r="AM50" i="3"/>
  <c r="AM51" i="3"/>
  <c r="AM52" i="3"/>
  <c r="AM53" i="3"/>
  <c r="AM54" i="3"/>
  <c r="AM55" i="3"/>
  <c r="AM56" i="3"/>
  <c r="AM57" i="3"/>
  <c r="AM58" i="3"/>
  <c r="AM59" i="3"/>
  <c r="AM60" i="3"/>
  <c r="AM61" i="3"/>
  <c r="AM62" i="3"/>
  <c r="AM63" i="3"/>
  <c r="AM64" i="3"/>
  <c r="AM65" i="3"/>
  <c r="AM66" i="3"/>
  <c r="AM67" i="3"/>
  <c r="AM68" i="3"/>
  <c r="AM69" i="3"/>
  <c r="AM70" i="3"/>
  <c r="AM71" i="3"/>
  <c r="AM72" i="3"/>
  <c r="AM73" i="3"/>
  <c r="AM74" i="3"/>
  <c r="AM75" i="3"/>
  <c r="AM76" i="3"/>
  <c r="AM77" i="3"/>
  <c r="AM78" i="3"/>
  <c r="AM79" i="3"/>
  <c r="AM80" i="3"/>
  <c r="AM81" i="3"/>
  <c r="AM82" i="3"/>
  <c r="AM83" i="3"/>
  <c r="AM84" i="3"/>
  <c r="AM85" i="3"/>
  <c r="AM86" i="3"/>
  <c r="AM87" i="3"/>
  <c r="AM88" i="3"/>
  <c r="AM89" i="3"/>
  <c r="AM90" i="3"/>
  <c r="AM91" i="3"/>
  <c r="AM92" i="3"/>
  <c r="AM93" i="3"/>
  <c r="AM94" i="3"/>
  <c r="AM95" i="3"/>
  <c r="AM96" i="3"/>
  <c r="AM97" i="3"/>
  <c r="AM98" i="3"/>
  <c r="AM99" i="3"/>
  <c r="AM100" i="3"/>
  <c r="AM101" i="3"/>
  <c r="AM102" i="3"/>
  <c r="AM103" i="3"/>
  <c r="AM104" i="3"/>
  <c r="AM105" i="3"/>
  <c r="AM106" i="3"/>
  <c r="AM107" i="3"/>
  <c r="AM108" i="3"/>
  <c r="AM109" i="3"/>
  <c r="AM110" i="3"/>
  <c r="AM111" i="3"/>
  <c r="AM112" i="3"/>
  <c r="AM113" i="3"/>
  <c r="AM114" i="3"/>
  <c r="AM115" i="3"/>
  <c r="AM116" i="3"/>
  <c r="AM117" i="3"/>
  <c r="AM118" i="3"/>
  <c r="AM119" i="3"/>
  <c r="AM120" i="3"/>
  <c r="AM121" i="3"/>
  <c r="AM122" i="3"/>
  <c r="AM123" i="3"/>
  <c r="AM124" i="3"/>
  <c r="AM125" i="3"/>
  <c r="AM126" i="3"/>
  <c r="AM127" i="3"/>
  <c r="AM128" i="3"/>
  <c r="AM129" i="3"/>
  <c r="AM130" i="3"/>
  <c r="AM131" i="3"/>
  <c r="AM132" i="3"/>
  <c r="AM133" i="3"/>
  <c r="AM134" i="3"/>
  <c r="AM135" i="3"/>
  <c r="AM136" i="3"/>
  <c r="AM137" i="3"/>
  <c r="AM138" i="3"/>
  <c r="AM139" i="3"/>
  <c r="AM140" i="3"/>
  <c r="AM141" i="3"/>
  <c r="AM142" i="3"/>
  <c r="AM143" i="3"/>
  <c r="AM144" i="3"/>
  <c r="AM145" i="3"/>
  <c r="AM146" i="3"/>
  <c r="AM147" i="3"/>
  <c r="AM148" i="3"/>
  <c r="AM149" i="3"/>
  <c r="AM150" i="3"/>
  <c r="AM151" i="3"/>
  <c r="AM152" i="3"/>
  <c r="AM153" i="3"/>
  <c r="AM154" i="3"/>
  <c r="AM155" i="3"/>
  <c r="AM156" i="3"/>
  <c r="AM157" i="3"/>
  <c r="AM158" i="3"/>
  <c r="AM159" i="3"/>
  <c r="AM160" i="3"/>
  <c r="AM161" i="3"/>
  <c r="AM162" i="3"/>
  <c r="AM163" i="3"/>
  <c r="AM164" i="3"/>
  <c r="AM165" i="3"/>
  <c r="AM166" i="3"/>
  <c r="AM167" i="3"/>
  <c r="AM168" i="3"/>
  <c r="AM169" i="3"/>
  <c r="AM170" i="3"/>
  <c r="AM171" i="3"/>
  <c r="AM172" i="3"/>
  <c r="AM173" i="3"/>
  <c r="AM174" i="3"/>
  <c r="AM175" i="3"/>
  <c r="AM176" i="3"/>
  <c r="AM177" i="3"/>
  <c r="AM178" i="3"/>
  <c r="AM179" i="3"/>
  <c r="AM180" i="3"/>
  <c r="AM181" i="3"/>
  <c r="AM182" i="3"/>
  <c r="AM183" i="3"/>
  <c r="AM184" i="3"/>
  <c r="AM185" i="3"/>
  <c r="AM186" i="3"/>
  <c r="AM187" i="3"/>
  <c r="AM188" i="3"/>
  <c r="AM189" i="3"/>
  <c r="AM190" i="3"/>
  <c r="AM191" i="3"/>
  <c r="AM192" i="3"/>
  <c r="AM193" i="3"/>
  <c r="AM194" i="3"/>
  <c r="AM195" i="3"/>
  <c r="AM196" i="3"/>
  <c r="AM197" i="3"/>
  <c r="AM198" i="3"/>
  <c r="AM199" i="3"/>
  <c r="AM200" i="3"/>
  <c r="AM201" i="3"/>
  <c r="AM202" i="3"/>
  <c r="AM203" i="3"/>
  <c r="AM204" i="3"/>
  <c r="AM205" i="3"/>
  <c r="AM206" i="3"/>
  <c r="AM207" i="3"/>
  <c r="AM208" i="3"/>
  <c r="AM209" i="3"/>
  <c r="AM210" i="3"/>
  <c r="AM211" i="3"/>
  <c r="AM212" i="3"/>
  <c r="AM213" i="3"/>
  <c r="AM214" i="3"/>
  <c r="AM215" i="3"/>
  <c r="AM216" i="3"/>
  <c r="AM217" i="3"/>
  <c r="AM218" i="3"/>
  <c r="AM219" i="3"/>
  <c r="AM220" i="3"/>
  <c r="AM221" i="3"/>
  <c r="AM222" i="3"/>
  <c r="AM223" i="3"/>
  <c r="AM224" i="3"/>
  <c r="AM225" i="3"/>
  <c r="AM226" i="3"/>
  <c r="AM227" i="3"/>
  <c r="AM228" i="3"/>
  <c r="AM229" i="3"/>
  <c r="AM230" i="3"/>
  <c r="AM231" i="3"/>
  <c r="AM232" i="3"/>
  <c r="AM233" i="3"/>
  <c r="AM234" i="3"/>
  <c r="AM235" i="3"/>
  <c r="AM236" i="3"/>
  <c r="AM237" i="3"/>
  <c r="AM238" i="3"/>
  <c r="AM239" i="3"/>
  <c r="AM240" i="3"/>
  <c r="AM241" i="3"/>
  <c r="AM242" i="3"/>
  <c r="AM243" i="3"/>
  <c r="AM244" i="3"/>
  <c r="AM245" i="3"/>
  <c r="AM246" i="3"/>
  <c r="AM247" i="3"/>
  <c r="AM248" i="3"/>
  <c r="AM249" i="3"/>
  <c r="AM250" i="3"/>
  <c r="AM251" i="3"/>
  <c r="AM252" i="3"/>
  <c r="AM253" i="3"/>
  <c r="AM254" i="3"/>
  <c r="AM255" i="3"/>
  <c r="AM256" i="3"/>
  <c r="AM257" i="3"/>
  <c r="AM258" i="3"/>
  <c r="AM259" i="3"/>
  <c r="AM260" i="3"/>
  <c r="AM261" i="3"/>
  <c r="AM262" i="3"/>
  <c r="AM263" i="3"/>
  <c r="AM264" i="3"/>
  <c r="AM265" i="3"/>
  <c r="AM266" i="3"/>
  <c r="AM267" i="3"/>
  <c r="AM268" i="3"/>
  <c r="AM269" i="3"/>
  <c r="AM270" i="3"/>
  <c r="AM271" i="3"/>
  <c r="AM272" i="3"/>
  <c r="AM273" i="3"/>
  <c r="AM274" i="3"/>
  <c r="AM275" i="3"/>
  <c r="AM276" i="3"/>
  <c r="AM277" i="3"/>
  <c r="AM278" i="3"/>
  <c r="AM279" i="3"/>
  <c r="AM280" i="3"/>
  <c r="AM281" i="3"/>
  <c r="AM282" i="3"/>
  <c r="AM283" i="3"/>
  <c r="AM284" i="3"/>
  <c r="AM285" i="3"/>
  <c r="AM286" i="3"/>
  <c r="AM287" i="3"/>
  <c r="AM288" i="3"/>
  <c r="AM289" i="3"/>
  <c r="AM290" i="3"/>
  <c r="AM291" i="3"/>
  <c r="AM292" i="3"/>
  <c r="AM293" i="3"/>
  <c r="AM294" i="3"/>
  <c r="AM295" i="3"/>
  <c r="AM296" i="3"/>
  <c r="AM297" i="3"/>
  <c r="AM298" i="3"/>
  <c r="AM299" i="3"/>
  <c r="AM300" i="3"/>
  <c r="AM301" i="3"/>
  <c r="AM302" i="3"/>
  <c r="AM303" i="3"/>
  <c r="AM304" i="3"/>
  <c r="AM305" i="3"/>
  <c r="AM306" i="3"/>
  <c r="AM307" i="3"/>
  <c r="AM308" i="3"/>
  <c r="AM309" i="3"/>
  <c r="AM310" i="3"/>
  <c r="AM311" i="3"/>
  <c r="AM312" i="3"/>
  <c r="AM313" i="3"/>
  <c r="AM314" i="3"/>
  <c r="AM315" i="3"/>
  <c r="AM316" i="3"/>
  <c r="AM317" i="3"/>
  <c r="AM318" i="3"/>
  <c r="AM319" i="3"/>
  <c r="AM320" i="3"/>
  <c r="AM321" i="3"/>
  <c r="AM322" i="3"/>
  <c r="AM323" i="3"/>
  <c r="AM324" i="3"/>
  <c r="AM325" i="3"/>
  <c r="AM326" i="3"/>
  <c r="AM327" i="3"/>
  <c r="AM328" i="3"/>
  <c r="AM329" i="3"/>
  <c r="AM330" i="3"/>
  <c r="AM331" i="3"/>
  <c r="AM332" i="3"/>
  <c r="AM333" i="3"/>
  <c r="AM334" i="3"/>
  <c r="AM335" i="3"/>
  <c r="AM336" i="3"/>
  <c r="AM337" i="3"/>
  <c r="AM338" i="3"/>
  <c r="AM339" i="3"/>
  <c r="AM340" i="3"/>
  <c r="AM341" i="3"/>
  <c r="AM342" i="3"/>
  <c r="AM343" i="3"/>
  <c r="AM344" i="3"/>
  <c r="AM345" i="3"/>
  <c r="AM346" i="3"/>
  <c r="AM347" i="3"/>
  <c r="AM348" i="3"/>
  <c r="AM349" i="3"/>
  <c r="AM350" i="3"/>
  <c r="AM351" i="3"/>
  <c r="AM352" i="3"/>
  <c r="AM353" i="3"/>
  <c r="AM354" i="3"/>
  <c r="AM355" i="3"/>
  <c r="AM356" i="3"/>
  <c r="AM357" i="3"/>
  <c r="AM358" i="3"/>
  <c r="AM359" i="3"/>
  <c r="AM360" i="3"/>
  <c r="AM361" i="3"/>
  <c r="AM362" i="3"/>
  <c r="AM363" i="3"/>
  <c r="AM364" i="3"/>
  <c r="AM365" i="3"/>
  <c r="AM366" i="3"/>
  <c r="AM367" i="3"/>
  <c r="AM368" i="3"/>
  <c r="AM369" i="3"/>
  <c r="AM370" i="3"/>
  <c r="AM371" i="3"/>
  <c r="AM372" i="3"/>
  <c r="AM373" i="3"/>
  <c r="AM374" i="3"/>
  <c r="AM375" i="3"/>
  <c r="AM376" i="3"/>
  <c r="AM377" i="3"/>
  <c r="AM378" i="3"/>
  <c r="AM379" i="3"/>
  <c r="AM380" i="3"/>
  <c r="AM381" i="3"/>
  <c r="AM382" i="3"/>
  <c r="AM383" i="3"/>
  <c r="AM384" i="3"/>
  <c r="AM385" i="3"/>
  <c r="AM386" i="3"/>
  <c r="AM387" i="3"/>
  <c r="AM388" i="3"/>
  <c r="AM389" i="3"/>
  <c r="AM390" i="3"/>
  <c r="AM391" i="3"/>
  <c r="AM392" i="3"/>
  <c r="AM393" i="3"/>
  <c r="AM394" i="3"/>
  <c r="AM395" i="3"/>
  <c r="AM396" i="3"/>
  <c r="AM397" i="3"/>
  <c r="AM398" i="3"/>
  <c r="AM399" i="3"/>
  <c r="AM400" i="3"/>
  <c r="AM401" i="3"/>
  <c r="AM402" i="3"/>
  <c r="AM403" i="3"/>
  <c r="AM404" i="3"/>
  <c r="AM405" i="3"/>
  <c r="AM406" i="3"/>
  <c r="AM407" i="3"/>
  <c r="AM408" i="3"/>
  <c r="AM409" i="3"/>
  <c r="AM410" i="3"/>
  <c r="AM411" i="3"/>
  <c r="AM412" i="3"/>
  <c r="AM413" i="3"/>
  <c r="AM414" i="3"/>
  <c r="AM415" i="3"/>
  <c r="AM416" i="3"/>
  <c r="AM417" i="3"/>
  <c r="AM418" i="3"/>
  <c r="AM419" i="3"/>
  <c r="AM420" i="3"/>
  <c r="AM421" i="3"/>
  <c r="AM422" i="3"/>
  <c r="AM423" i="3"/>
  <c r="AM424" i="3"/>
  <c r="AM425" i="3"/>
  <c r="AM426" i="3"/>
  <c r="AM427" i="3"/>
  <c r="AM428" i="3"/>
  <c r="AM429" i="3"/>
  <c r="AM430" i="3"/>
  <c r="AM431" i="3"/>
  <c r="AM432" i="3"/>
  <c r="AM433" i="3"/>
  <c r="AM434" i="3"/>
  <c r="AM435" i="3"/>
  <c r="AM436" i="3"/>
  <c r="AM437" i="3"/>
  <c r="AM438" i="3"/>
  <c r="AM439" i="3"/>
  <c r="AM440" i="3"/>
  <c r="AM441" i="3"/>
  <c r="AM442" i="3"/>
  <c r="AM443" i="3"/>
  <c r="AM444" i="3"/>
  <c r="AM445" i="3"/>
  <c r="AM446" i="3"/>
  <c r="AM447" i="3"/>
  <c r="AM448" i="3"/>
  <c r="AM449" i="3"/>
  <c r="AM450" i="3"/>
  <c r="AM451" i="3"/>
  <c r="AM452" i="3"/>
  <c r="AM453" i="3"/>
  <c r="AM454" i="3"/>
  <c r="AM455" i="3"/>
  <c r="AM456" i="3"/>
  <c r="AM457" i="3"/>
  <c r="AM458" i="3"/>
  <c r="AM459" i="3"/>
  <c r="AM460" i="3"/>
  <c r="AM461" i="3"/>
  <c r="AM462" i="3"/>
  <c r="AM463" i="3"/>
  <c r="AM464" i="3"/>
  <c r="AM465" i="3"/>
  <c r="AM466" i="3"/>
  <c r="AM467" i="3"/>
  <c r="AM468" i="3"/>
  <c r="AM469" i="3"/>
  <c r="AM470" i="3"/>
  <c r="AM471" i="3"/>
  <c r="AM472" i="3"/>
  <c r="AM473" i="3"/>
  <c r="AM474" i="3"/>
  <c r="AM475" i="3"/>
  <c r="AM476" i="3"/>
  <c r="AM477" i="3"/>
  <c r="AM478" i="3"/>
  <c r="AM479" i="3"/>
  <c r="AM480" i="3"/>
  <c r="AM481" i="3"/>
  <c r="AM482" i="3"/>
  <c r="AM483" i="3"/>
  <c r="AM484" i="3"/>
  <c r="AM485" i="3"/>
  <c r="AM486" i="3"/>
  <c r="AM487" i="3"/>
  <c r="AM488" i="3"/>
  <c r="AM489" i="3"/>
  <c r="AM490" i="3"/>
  <c r="AM491" i="3"/>
  <c r="AM492" i="3"/>
  <c r="AM493" i="3"/>
  <c r="AM494" i="3"/>
  <c r="AM495" i="3"/>
  <c r="AM496" i="3"/>
  <c r="AM497" i="3"/>
  <c r="AM498" i="3"/>
  <c r="AM499" i="3"/>
  <c r="AM500" i="3"/>
  <c r="AM501" i="3"/>
  <c r="AM502" i="3"/>
  <c r="AM503" i="3"/>
  <c r="AM504" i="3"/>
  <c r="AM505" i="3"/>
  <c r="AM506" i="3"/>
  <c r="AM507" i="3"/>
  <c r="AM508" i="3"/>
  <c r="AM509" i="3"/>
  <c r="AM510" i="3"/>
  <c r="AM511" i="3"/>
  <c r="AM512" i="3"/>
  <c r="AM513" i="3"/>
  <c r="AM514" i="3"/>
  <c r="AM515" i="3"/>
  <c r="AM516" i="3"/>
  <c r="AM517" i="3"/>
  <c r="AM518" i="3"/>
  <c r="AM519" i="3"/>
  <c r="AM520" i="3"/>
  <c r="AM521" i="3"/>
  <c r="AM522" i="3"/>
  <c r="AM523" i="3"/>
  <c r="AM524" i="3"/>
  <c r="AM525" i="3"/>
  <c r="AM526" i="3"/>
  <c r="AM527" i="3"/>
  <c r="AM528" i="3"/>
  <c r="AM529" i="3"/>
  <c r="AM530" i="3"/>
  <c r="AM531" i="3"/>
  <c r="AM532" i="3"/>
  <c r="AM533" i="3"/>
  <c r="AM534" i="3"/>
  <c r="AM535" i="3"/>
  <c r="AM536" i="3"/>
  <c r="AM537" i="3"/>
  <c r="AM538" i="3"/>
  <c r="AM539" i="3"/>
  <c r="AM540" i="3"/>
  <c r="AM541" i="3"/>
  <c r="AM542" i="3"/>
  <c r="AM543" i="3"/>
  <c r="AM544" i="3"/>
  <c r="AM545" i="3"/>
  <c r="AM546" i="3"/>
  <c r="AM547" i="3"/>
  <c r="AM548" i="3"/>
  <c r="AM549" i="3"/>
  <c r="AM550" i="3"/>
  <c r="AM551" i="3"/>
  <c r="AM552" i="3"/>
  <c r="AM553" i="3"/>
  <c r="AM554" i="3"/>
  <c r="AM555" i="3"/>
  <c r="AM556" i="3"/>
  <c r="AM557" i="3"/>
  <c r="AM558" i="3"/>
  <c r="AM559" i="3"/>
  <c r="AM560" i="3"/>
  <c r="AM561" i="3"/>
  <c r="AM562" i="3"/>
  <c r="AM563" i="3"/>
  <c r="AM564" i="3"/>
  <c r="AM565" i="3"/>
  <c r="AM566" i="3"/>
  <c r="AM567" i="3"/>
  <c r="AM568" i="3"/>
  <c r="AM569" i="3"/>
  <c r="AM570" i="3"/>
  <c r="AM571" i="3"/>
  <c r="AM572" i="3"/>
  <c r="AM573" i="3"/>
  <c r="AM574" i="3"/>
  <c r="AM575" i="3"/>
  <c r="AM576" i="3"/>
  <c r="AM577" i="3"/>
  <c r="AM578" i="3"/>
  <c r="AM579" i="3"/>
  <c r="AM580" i="3"/>
  <c r="AM581" i="3"/>
  <c r="AM582" i="3"/>
  <c r="AM583" i="3"/>
  <c r="AM584" i="3"/>
  <c r="AM585" i="3"/>
  <c r="AM586" i="3"/>
  <c r="AM587" i="3"/>
  <c r="AM588" i="3"/>
  <c r="AM589" i="3"/>
  <c r="AM590" i="3"/>
  <c r="AM591" i="3"/>
  <c r="AM592" i="3"/>
  <c r="AM593" i="3"/>
  <c r="AM594" i="3"/>
  <c r="AM595" i="3"/>
  <c r="AM596" i="3"/>
  <c r="AM597" i="3"/>
  <c r="AM598" i="3"/>
  <c r="AM599" i="3"/>
  <c r="AM600" i="3"/>
  <c r="AM601" i="3"/>
  <c r="AM602" i="3"/>
  <c r="AM603" i="3"/>
  <c r="AM604" i="3"/>
  <c r="AM605" i="3"/>
  <c r="AM606" i="3"/>
  <c r="AM607" i="3"/>
  <c r="AM608" i="3"/>
  <c r="AM609" i="3"/>
  <c r="AM610" i="3"/>
  <c r="AM611" i="3"/>
  <c r="AM612" i="3"/>
  <c r="AM613" i="3"/>
  <c r="AM614" i="3"/>
  <c r="AM615" i="3"/>
  <c r="AM616" i="3"/>
  <c r="AM617" i="3"/>
  <c r="AM618" i="3"/>
  <c r="AM619" i="3"/>
  <c r="AM620" i="3"/>
  <c r="AM621" i="3"/>
  <c r="AM622" i="3"/>
  <c r="AM623" i="3"/>
  <c r="AM624" i="3"/>
  <c r="AM625" i="3"/>
  <c r="AM626" i="3"/>
  <c r="AM627" i="3"/>
  <c r="AM628" i="3"/>
  <c r="AM629" i="3"/>
  <c r="AM630" i="3"/>
  <c r="AM631" i="3"/>
  <c r="AM632" i="3"/>
  <c r="AM633" i="3"/>
  <c r="AM634" i="3"/>
  <c r="AM635" i="3"/>
  <c r="AM636" i="3"/>
  <c r="AM637" i="3"/>
  <c r="AM638" i="3"/>
  <c r="AM639" i="3"/>
  <c r="AM640" i="3"/>
  <c r="AM641" i="3"/>
  <c r="AM642" i="3"/>
  <c r="AM643" i="3"/>
  <c r="AM644" i="3"/>
  <c r="AM645" i="3"/>
  <c r="AM646" i="3"/>
  <c r="AM647" i="3"/>
  <c r="AM648" i="3"/>
  <c r="AM649" i="3"/>
  <c r="AM650" i="3"/>
  <c r="AM651" i="3"/>
  <c r="AM652" i="3"/>
  <c r="AM653" i="3"/>
  <c r="AM654" i="3"/>
  <c r="AM655" i="3"/>
  <c r="AM656" i="3"/>
  <c r="AM657" i="3"/>
  <c r="AM658" i="3"/>
  <c r="AM659" i="3"/>
  <c r="AM660" i="3"/>
  <c r="AM661" i="3"/>
  <c r="AM662" i="3"/>
  <c r="AM663" i="3"/>
  <c r="AM664" i="3"/>
  <c r="AM665" i="3"/>
  <c r="AM666" i="3"/>
  <c r="AM667" i="3"/>
  <c r="AM668" i="3"/>
  <c r="AM669" i="3"/>
  <c r="AM670" i="3"/>
  <c r="AM671" i="3"/>
  <c r="AM672" i="3"/>
  <c r="AM673" i="3"/>
  <c r="AM674" i="3"/>
  <c r="AM675" i="3"/>
  <c r="AM676" i="3"/>
  <c r="AM677" i="3"/>
  <c r="AM678" i="3"/>
  <c r="AM679" i="3"/>
  <c r="AM680" i="3"/>
  <c r="AM681" i="3"/>
  <c r="AM682" i="3"/>
  <c r="AM683" i="3"/>
  <c r="AM684" i="3"/>
  <c r="AM685" i="3"/>
  <c r="AM686" i="3"/>
  <c r="AM687" i="3"/>
  <c r="AM688" i="3"/>
  <c r="AM689" i="3"/>
  <c r="AM690" i="3"/>
  <c r="AM691" i="3"/>
  <c r="AM692" i="3"/>
  <c r="AM693" i="3"/>
  <c r="AM694" i="3"/>
  <c r="AM695" i="3"/>
  <c r="AM696" i="3"/>
  <c r="AM697" i="3"/>
  <c r="AM698" i="3"/>
  <c r="AM699" i="3"/>
  <c r="AM700" i="3"/>
  <c r="AM701" i="3"/>
  <c r="AM702" i="3"/>
  <c r="AM703" i="3"/>
  <c r="AM704" i="3"/>
  <c r="AM705" i="3"/>
  <c r="AM706" i="3"/>
  <c r="AM707" i="3"/>
  <c r="AM708" i="3"/>
  <c r="AM709" i="3"/>
  <c r="AM710" i="3"/>
  <c r="AM711" i="3"/>
  <c r="AM712" i="3"/>
  <c r="AM713" i="3"/>
  <c r="AM714" i="3"/>
  <c r="AM715" i="3"/>
  <c r="AM716" i="3"/>
  <c r="AM717" i="3"/>
  <c r="AM718" i="3"/>
  <c r="AM719" i="3"/>
  <c r="AM720" i="3"/>
  <c r="AM721" i="3"/>
  <c r="AM722" i="3"/>
  <c r="AM723" i="3"/>
  <c r="AM724" i="3"/>
  <c r="AM725" i="3"/>
  <c r="AM726" i="3"/>
  <c r="AM727" i="3"/>
  <c r="AM728" i="3"/>
  <c r="AM729" i="3"/>
  <c r="AM730" i="3"/>
  <c r="AM731" i="3"/>
  <c r="AM732" i="3"/>
  <c r="AM733" i="3"/>
  <c r="AM734" i="3"/>
  <c r="AM735" i="3"/>
  <c r="AM736" i="3"/>
  <c r="AM737" i="3"/>
  <c r="AM738" i="3"/>
  <c r="AM739" i="3"/>
  <c r="AM740" i="3"/>
  <c r="AM741" i="3"/>
  <c r="AM742" i="3"/>
  <c r="AM743" i="3"/>
  <c r="AM744" i="3"/>
  <c r="AM745" i="3"/>
  <c r="AM746" i="3"/>
  <c r="AM747" i="3"/>
  <c r="AM748" i="3"/>
  <c r="AM749" i="3"/>
  <c r="AM750" i="3"/>
  <c r="AM751" i="3"/>
  <c r="AM752" i="3"/>
  <c r="AM753" i="3"/>
  <c r="AM754" i="3"/>
  <c r="AM755" i="3"/>
  <c r="AM756" i="3"/>
  <c r="AM757" i="3"/>
  <c r="AM758" i="3"/>
  <c r="AM759" i="3"/>
  <c r="AM760" i="3"/>
  <c r="AM761" i="3"/>
  <c r="AM762" i="3"/>
  <c r="AM763" i="3"/>
  <c r="AM764" i="3"/>
  <c r="AM765" i="3"/>
  <c r="AM766" i="3"/>
  <c r="AM767" i="3"/>
  <c r="AM768" i="3"/>
  <c r="AM769" i="3"/>
  <c r="AM770" i="3"/>
  <c r="AM771" i="3"/>
  <c r="AM772" i="3"/>
  <c r="AM773" i="3"/>
  <c r="AM774" i="3"/>
  <c r="AM775" i="3"/>
  <c r="AM776" i="3"/>
  <c r="AM777" i="3"/>
  <c r="AM778" i="3"/>
  <c r="AM779" i="3"/>
  <c r="AM780" i="3"/>
  <c r="AM781" i="3"/>
  <c r="AM782" i="3"/>
  <c r="AM783" i="3"/>
  <c r="AM784" i="3"/>
  <c r="AM785" i="3"/>
  <c r="AM786" i="3"/>
  <c r="AM787" i="3"/>
  <c r="AM788" i="3"/>
  <c r="AM789" i="3"/>
  <c r="AM790" i="3"/>
  <c r="AM791" i="3"/>
  <c r="AM792" i="3"/>
  <c r="AM793" i="3"/>
  <c r="AM794" i="3"/>
  <c r="AM795" i="3"/>
  <c r="AM796" i="3"/>
  <c r="AM797" i="3"/>
  <c r="AM798" i="3"/>
  <c r="AM799" i="3"/>
  <c r="AM800" i="3"/>
  <c r="AM801" i="3"/>
  <c r="AM802" i="3"/>
  <c r="AM803" i="3"/>
  <c r="AM804" i="3"/>
  <c r="AM805" i="3"/>
  <c r="AM806" i="3"/>
  <c r="AM807" i="3"/>
  <c r="AM808" i="3"/>
  <c r="AM809" i="3"/>
  <c r="AM810" i="3"/>
  <c r="AM811" i="3"/>
  <c r="AM812" i="3"/>
  <c r="AM813" i="3"/>
  <c r="AM814" i="3"/>
  <c r="AM815" i="3"/>
  <c r="AM816" i="3"/>
  <c r="AM817" i="3"/>
  <c r="AM818" i="3"/>
  <c r="AM819" i="3"/>
  <c r="AM820" i="3"/>
  <c r="AM821" i="3"/>
  <c r="AM822" i="3"/>
  <c r="AM823" i="3"/>
  <c r="AM824" i="3"/>
  <c r="AM825" i="3"/>
  <c r="AM826" i="3"/>
  <c r="AM827" i="3"/>
  <c r="AM828" i="3"/>
  <c r="AM829" i="3"/>
  <c r="AM830" i="3"/>
  <c r="AM831" i="3"/>
  <c r="AM832" i="3"/>
  <c r="AM833" i="3"/>
  <c r="AM834" i="3"/>
  <c r="AM835" i="3"/>
  <c r="AM836" i="3"/>
  <c r="AM837" i="3"/>
  <c r="AM838" i="3"/>
  <c r="AM839" i="3"/>
  <c r="AM840" i="3"/>
  <c r="AM841" i="3"/>
  <c r="AM842" i="3"/>
  <c r="AM843" i="3"/>
  <c r="AM844" i="3"/>
  <c r="AM845" i="3"/>
  <c r="AM846" i="3"/>
  <c r="AM847" i="3"/>
  <c r="AM848" i="3"/>
  <c r="AM849" i="3"/>
  <c r="AM850" i="3"/>
  <c r="AM851" i="3"/>
  <c r="AM852" i="3"/>
  <c r="AM853" i="3"/>
  <c r="AM854" i="3"/>
  <c r="AM855" i="3"/>
  <c r="AM856" i="3"/>
  <c r="AM857" i="3"/>
  <c r="AM858" i="3"/>
  <c r="AM859" i="3"/>
  <c r="AM860" i="3"/>
  <c r="AM861" i="3"/>
  <c r="AM862" i="3"/>
  <c r="AM863" i="3"/>
  <c r="AM864" i="3"/>
  <c r="AM865" i="3"/>
  <c r="AM866" i="3"/>
  <c r="AM867" i="3"/>
  <c r="AM868" i="3"/>
  <c r="AM869" i="3"/>
  <c r="AM870" i="3"/>
  <c r="AM871" i="3"/>
  <c r="AM872" i="3"/>
  <c r="AM873" i="3"/>
  <c r="AM874" i="3"/>
  <c r="AM875" i="3"/>
  <c r="AM876" i="3"/>
  <c r="AM877" i="3"/>
  <c r="AM878" i="3"/>
  <c r="AM879" i="3"/>
  <c r="AM880" i="3"/>
  <c r="AM881" i="3"/>
  <c r="AM882" i="3"/>
  <c r="AM883" i="3"/>
  <c r="AM884" i="3"/>
  <c r="AM885" i="3"/>
  <c r="AM886" i="3"/>
  <c r="AM887" i="3"/>
  <c r="AM888" i="3"/>
  <c r="AM889" i="3"/>
  <c r="AM890" i="3"/>
  <c r="AM891" i="3"/>
  <c r="AM892" i="3"/>
  <c r="AM893" i="3"/>
  <c r="AM894" i="3"/>
  <c r="AM895" i="3"/>
  <c r="AM896" i="3"/>
  <c r="AM897" i="3"/>
  <c r="AM898" i="3"/>
  <c r="AM899" i="3"/>
  <c r="AM900" i="3"/>
  <c r="AM901" i="3"/>
  <c r="AM902" i="3"/>
  <c r="AM903" i="3"/>
  <c r="AM904" i="3"/>
  <c r="AM905" i="3"/>
  <c r="AM906" i="3"/>
  <c r="AM907" i="3"/>
  <c r="AM908" i="3"/>
  <c r="AM909" i="3"/>
  <c r="AM910" i="3"/>
  <c r="AM911" i="3"/>
  <c r="AM912" i="3"/>
  <c r="AM913" i="3"/>
  <c r="AM914" i="3"/>
  <c r="AM915" i="3"/>
  <c r="AM916" i="3"/>
  <c r="AM917" i="3"/>
  <c r="AM918" i="3"/>
  <c r="AM919" i="3"/>
  <c r="AM920" i="3"/>
  <c r="AM921" i="3"/>
  <c r="AM922" i="3"/>
  <c r="AM923" i="3"/>
  <c r="AM924" i="3"/>
  <c r="AM925" i="3"/>
  <c r="AM926" i="3"/>
  <c r="AM927" i="3"/>
  <c r="AM928" i="3"/>
  <c r="AM929" i="3"/>
  <c r="AM930" i="3"/>
  <c r="AM931" i="3"/>
  <c r="AM932" i="3"/>
  <c r="AM933" i="3"/>
  <c r="AM934" i="3"/>
  <c r="AM935" i="3"/>
  <c r="AM936" i="3"/>
  <c r="AM937" i="3"/>
  <c r="AM938" i="3"/>
  <c r="AM939" i="3"/>
  <c r="AM940" i="3"/>
  <c r="AM941" i="3"/>
  <c r="AM942" i="3"/>
  <c r="AM943" i="3"/>
  <c r="AM944" i="3"/>
  <c r="AM945" i="3"/>
  <c r="AM946" i="3"/>
  <c r="AM947" i="3"/>
  <c r="AM948" i="3"/>
  <c r="AM949" i="3"/>
  <c r="AM950" i="3"/>
  <c r="AM951" i="3"/>
  <c r="AM952" i="3"/>
  <c r="AM953" i="3"/>
  <c r="AM954" i="3"/>
  <c r="AM955" i="3"/>
  <c r="AM956" i="3"/>
  <c r="AM957" i="3"/>
  <c r="AM958" i="3"/>
  <c r="AM959" i="3"/>
  <c r="AM960" i="3"/>
  <c r="AM961" i="3"/>
  <c r="AM962" i="3"/>
  <c r="AM963" i="3"/>
  <c r="AM964" i="3"/>
  <c r="AM965" i="3"/>
  <c r="AM966" i="3"/>
  <c r="AM967" i="3"/>
  <c r="AM968" i="3"/>
  <c r="AM969" i="3"/>
  <c r="AM970" i="3"/>
  <c r="AM971" i="3"/>
  <c r="AM972" i="3"/>
  <c r="AM973" i="3"/>
  <c r="AM974" i="3"/>
  <c r="AM975" i="3"/>
  <c r="AM976" i="3"/>
  <c r="AM977" i="3"/>
  <c r="AM978" i="3"/>
  <c r="AM979" i="3"/>
  <c r="AM980" i="3"/>
  <c r="AM981" i="3"/>
  <c r="AM982" i="3"/>
  <c r="AM983" i="3"/>
  <c r="AM984" i="3"/>
  <c r="AM985" i="3"/>
  <c r="AM986" i="3"/>
  <c r="AM987" i="3"/>
  <c r="AM988" i="3"/>
  <c r="AM989" i="3"/>
  <c r="AM990" i="3"/>
  <c r="AM991" i="3"/>
  <c r="AM992" i="3"/>
  <c r="AM993" i="3"/>
  <c r="AM994" i="3"/>
  <c r="AM995" i="3"/>
  <c r="AM996" i="3"/>
  <c r="AM997" i="3"/>
  <c r="AM998" i="3"/>
  <c r="AM999" i="3"/>
  <c r="AM1000" i="3"/>
  <c r="AM1001" i="3"/>
  <c r="AM1002" i="3"/>
  <c r="AM1003" i="3"/>
  <c r="AM1004" i="3"/>
  <c r="AM1005" i="3"/>
  <c r="AM1006" i="3"/>
  <c r="AM1007" i="3"/>
  <c r="AM1008" i="3"/>
  <c r="AM1009" i="3"/>
  <c r="AM1010" i="3"/>
  <c r="AM1011" i="3"/>
  <c r="AM1012" i="3"/>
  <c r="AM1013" i="3"/>
  <c r="AM1014" i="3"/>
  <c r="AM1015" i="3"/>
  <c r="AM1016" i="3"/>
  <c r="AM1017" i="3"/>
  <c r="AM1018" i="3"/>
  <c r="AM1019" i="3"/>
  <c r="AM1020" i="3"/>
  <c r="AM1021" i="3"/>
  <c r="AM1022" i="3"/>
  <c r="AM1023" i="3"/>
  <c r="AM1024" i="3"/>
  <c r="AM1025" i="3"/>
  <c r="AM1026" i="3"/>
  <c r="AM1027" i="3"/>
  <c r="AM1028" i="3"/>
  <c r="AM1029" i="3"/>
  <c r="AM1030" i="3"/>
  <c r="AM1031" i="3"/>
  <c r="AM1032" i="3"/>
  <c r="AM1033" i="3"/>
  <c r="AM1034" i="3"/>
  <c r="AM1035" i="3"/>
  <c r="AM1036" i="3"/>
  <c r="AM1037" i="3"/>
  <c r="AM1038" i="3"/>
  <c r="AM1039" i="3"/>
  <c r="AM1040" i="3"/>
  <c r="AM1041" i="3"/>
  <c r="AM1042" i="3"/>
  <c r="AM1043" i="3"/>
  <c r="AM1044" i="3"/>
  <c r="AM1045" i="3"/>
  <c r="AM1046" i="3"/>
  <c r="AM1047" i="3"/>
  <c r="AM1048" i="3"/>
  <c r="AM1049" i="3"/>
  <c r="AM1050" i="3"/>
  <c r="AM1051" i="3"/>
  <c r="AM1052" i="3"/>
  <c r="AM1053" i="3"/>
  <c r="AM1054" i="3"/>
  <c r="AM1055" i="3"/>
  <c r="AM1056" i="3"/>
  <c r="AM1057" i="3"/>
  <c r="AM1058" i="3"/>
  <c r="AM1059" i="3"/>
  <c r="AM1060" i="3"/>
  <c r="AM1061" i="3"/>
  <c r="AM1062" i="3"/>
  <c r="AM1063" i="3"/>
  <c r="AM1064" i="3"/>
  <c r="AM1065" i="3"/>
  <c r="AM1066" i="3"/>
  <c r="AM1067" i="3"/>
  <c r="AM1068" i="3"/>
  <c r="AM1069" i="3"/>
  <c r="AM1070" i="3"/>
  <c r="AM1071" i="3"/>
  <c r="AM1072" i="3"/>
  <c r="AM1073" i="3"/>
  <c r="AM1074" i="3"/>
  <c r="AM1075" i="3"/>
  <c r="AM1076" i="3"/>
  <c r="AM1077" i="3"/>
  <c r="AM1078" i="3"/>
  <c r="AM1079" i="3"/>
  <c r="AM1080" i="3"/>
  <c r="AM1081" i="3"/>
  <c r="AM1082" i="3"/>
  <c r="AM1083" i="3"/>
  <c r="AM1084" i="3"/>
  <c r="AM1085" i="3"/>
  <c r="AM1086" i="3"/>
  <c r="AM1087" i="3"/>
  <c r="AM1088" i="3"/>
  <c r="AM1089" i="3"/>
  <c r="AM1090" i="3"/>
  <c r="AM1091" i="3"/>
  <c r="AM1092" i="3"/>
  <c r="AM1093" i="3"/>
  <c r="AM1094" i="3"/>
  <c r="AM1095" i="3"/>
  <c r="AM1096" i="3"/>
  <c r="AM1097" i="3"/>
  <c r="AM1098" i="3"/>
  <c r="AM1099" i="3"/>
  <c r="AM1100" i="3"/>
  <c r="AM1101" i="3"/>
  <c r="AM1102" i="3"/>
  <c r="AM1103" i="3"/>
  <c r="AM1104" i="3"/>
  <c r="AM1105" i="3"/>
  <c r="AM1106" i="3"/>
  <c r="AM1107" i="3"/>
  <c r="AM1108" i="3"/>
  <c r="AM1109" i="3"/>
  <c r="AM1110" i="3"/>
  <c r="AM1111" i="3"/>
  <c r="AM1112" i="3"/>
  <c r="AM1113" i="3"/>
  <c r="AM1114" i="3"/>
  <c r="AM1115" i="3"/>
  <c r="AM1116" i="3"/>
  <c r="AM1117" i="3"/>
  <c r="AM1118" i="3"/>
  <c r="AM1119" i="3"/>
  <c r="AM1120" i="3"/>
  <c r="AM1121" i="3"/>
  <c r="AM1122" i="3"/>
  <c r="AM1123" i="3"/>
  <c r="AM1124" i="3"/>
  <c r="AM1125" i="3"/>
  <c r="AM1126" i="3"/>
  <c r="AM1127" i="3"/>
  <c r="AM1128" i="3"/>
  <c r="AM1129" i="3"/>
  <c r="AM1130" i="3"/>
  <c r="AM1131" i="3"/>
  <c r="AM1132" i="3"/>
  <c r="AM1133" i="3"/>
  <c r="AM1134" i="3"/>
  <c r="AM1135" i="3"/>
  <c r="AM1136" i="3"/>
  <c r="AM1137" i="3"/>
  <c r="AM1138" i="3"/>
  <c r="AM1139" i="3"/>
  <c r="AM1140" i="3"/>
  <c r="AM1141" i="3"/>
  <c r="AM1142" i="3"/>
  <c r="AM1143" i="3"/>
  <c r="AM1144" i="3"/>
  <c r="AM1145" i="3"/>
  <c r="AM1146" i="3"/>
  <c r="AM1147" i="3"/>
  <c r="AM1148" i="3"/>
  <c r="AM1149" i="3"/>
  <c r="AM1150" i="3"/>
  <c r="AM1151" i="3"/>
  <c r="AM1152" i="3"/>
  <c r="AM1153" i="3"/>
  <c r="AM1154" i="3"/>
  <c r="AM1155" i="3"/>
  <c r="AM1156" i="3"/>
  <c r="AM1157" i="3"/>
  <c r="AM1158" i="3"/>
  <c r="AM1159" i="3"/>
  <c r="AM1160" i="3"/>
  <c r="AM1161" i="3"/>
  <c r="AM1162" i="3"/>
  <c r="AM1163" i="3"/>
  <c r="AM1164" i="3"/>
  <c r="AM1165" i="3"/>
  <c r="AM1166" i="3"/>
  <c r="AM1167" i="3"/>
  <c r="AM1168" i="3"/>
  <c r="AM1169" i="3"/>
  <c r="AM1170" i="3"/>
  <c r="AM1173" i="3"/>
  <c r="AM1174" i="3"/>
  <c r="AM1175" i="3"/>
  <c r="AM1176" i="3"/>
  <c r="AM1177" i="3"/>
  <c r="AM1178" i="3"/>
  <c r="AM1179" i="3"/>
  <c r="AM1180" i="3"/>
  <c r="AM1181" i="3"/>
  <c r="AM1182" i="3"/>
  <c r="AM1183" i="3"/>
  <c r="AM1184" i="3"/>
  <c r="AM1185" i="3"/>
  <c r="AM1186" i="3"/>
  <c r="AM1187" i="3"/>
  <c r="AM1188" i="3"/>
  <c r="AM1189" i="3"/>
  <c r="AM1190" i="3"/>
  <c r="AM1191" i="3"/>
  <c r="AM1192" i="3"/>
  <c r="AM1193" i="3"/>
  <c r="AM1194" i="3"/>
  <c r="AM1195" i="3"/>
  <c r="AM1196" i="3"/>
  <c r="AM1197" i="3"/>
  <c r="AM1198" i="3"/>
  <c r="AM1199" i="3"/>
  <c r="AM1200" i="3"/>
  <c r="AM1201" i="3"/>
  <c r="AM1202" i="3"/>
  <c r="AM1203" i="3"/>
  <c r="AM1204" i="3"/>
  <c r="AM1205" i="3"/>
  <c r="AM1206" i="3"/>
  <c r="AM1207" i="3"/>
  <c r="AM1208" i="3"/>
  <c r="AM1209" i="3"/>
  <c r="AM1210" i="3"/>
  <c r="AM1211" i="3"/>
  <c r="AM1212" i="3"/>
  <c r="AM1213" i="3"/>
  <c r="AM1214" i="3"/>
  <c r="AM1215" i="3"/>
  <c r="AM1216" i="3"/>
  <c r="AM1217" i="3"/>
  <c r="AM1218" i="3"/>
  <c r="AM1219" i="3"/>
  <c r="AM1220" i="3"/>
  <c r="AM1221" i="3"/>
  <c r="AM1222" i="3"/>
  <c r="AM1223" i="3"/>
  <c r="AM1224" i="3"/>
  <c r="AM1225" i="3"/>
  <c r="AM1226" i="3"/>
  <c r="AM1227" i="3"/>
  <c r="AM1228" i="3"/>
  <c r="AM1229" i="3"/>
  <c r="AM1230" i="3"/>
  <c r="AM1231" i="3"/>
  <c r="AM1232" i="3"/>
  <c r="AM1233" i="3"/>
  <c r="AM1234" i="3"/>
  <c r="AM1235" i="3"/>
  <c r="AM1236" i="3"/>
  <c r="AM1237" i="3"/>
  <c r="AM1238" i="3"/>
  <c r="AM1239" i="3"/>
  <c r="AM1240" i="3"/>
  <c r="AM1241" i="3"/>
  <c r="AM1242" i="3"/>
  <c r="AM1243" i="3"/>
  <c r="AM1244" i="3"/>
  <c r="AM1245" i="3"/>
  <c r="AM1246" i="3"/>
  <c r="AM1247" i="3"/>
  <c r="AM1248" i="3"/>
  <c r="AM1249" i="3"/>
  <c r="AM1250" i="3"/>
  <c r="AM1251" i="3"/>
  <c r="AM1252" i="3"/>
  <c r="AM1253" i="3"/>
  <c r="AM1254" i="3"/>
  <c r="AM1255" i="3"/>
  <c r="AM1256" i="3"/>
  <c r="AM1257" i="3"/>
  <c r="AM1258" i="3"/>
  <c r="AM1259" i="3"/>
  <c r="AM1260" i="3"/>
  <c r="AM1261" i="3"/>
  <c r="AM1262" i="3"/>
  <c r="AM1263" i="3"/>
  <c r="AM1264" i="3"/>
  <c r="AM1265" i="3"/>
  <c r="AM1266" i="3"/>
  <c r="AM1267" i="3"/>
  <c r="AM1268" i="3"/>
  <c r="AM1269" i="3"/>
  <c r="AM1270" i="3"/>
  <c r="AM1271" i="3"/>
  <c r="AM1272" i="3"/>
  <c r="AM1273" i="3"/>
  <c r="AM1274" i="3"/>
  <c r="AM1275" i="3"/>
  <c r="AM1276" i="3"/>
  <c r="AM1277" i="3"/>
  <c r="AM1278" i="3"/>
  <c r="AM1279" i="3"/>
  <c r="AM1280" i="3"/>
  <c r="AM1281" i="3"/>
  <c r="AM1282" i="3"/>
  <c r="AM1283" i="3"/>
  <c r="AM1284" i="3"/>
  <c r="AM1285" i="3"/>
  <c r="AM1286" i="3"/>
  <c r="AM1287" i="3"/>
  <c r="AM1288" i="3"/>
  <c r="AM1289" i="3"/>
  <c r="AM1290" i="3"/>
  <c r="AM1291" i="3"/>
  <c r="AM1292" i="3"/>
  <c r="AM1293" i="3"/>
  <c r="AM1294" i="3"/>
  <c r="AM1295" i="3"/>
  <c r="AM1296" i="3"/>
  <c r="AM1297" i="3"/>
  <c r="AM1298" i="3"/>
  <c r="AM1299" i="3"/>
  <c r="AM1300" i="3"/>
  <c r="AM1301" i="3"/>
  <c r="AM1302" i="3"/>
  <c r="AM1303" i="3"/>
  <c r="AM1304" i="3"/>
  <c r="AM1305" i="3"/>
  <c r="AM1306" i="3"/>
  <c r="AM1307" i="3"/>
  <c r="AM1308" i="3"/>
  <c r="AM1309" i="3"/>
  <c r="AM1310" i="3"/>
  <c r="AM1311" i="3"/>
  <c r="AM1312" i="3"/>
  <c r="AM1313" i="3"/>
  <c r="AM1314" i="3"/>
  <c r="AM1315" i="3"/>
  <c r="AM1316" i="3"/>
  <c r="AM1317" i="3"/>
  <c r="AM1318" i="3"/>
  <c r="AM1319" i="3"/>
  <c r="AM1320" i="3"/>
  <c r="AM1321" i="3"/>
  <c r="AM1322" i="3"/>
  <c r="AM1323" i="3"/>
  <c r="AM1324" i="3"/>
  <c r="AM1325" i="3"/>
  <c r="AM1326" i="3"/>
  <c r="AM1327" i="3"/>
  <c r="AM1328" i="3"/>
  <c r="AM1329" i="3"/>
  <c r="AM1330" i="3"/>
  <c r="AM1331" i="3"/>
  <c r="AM1332" i="3"/>
  <c r="AM1333" i="3"/>
  <c r="AM1334" i="3"/>
  <c r="AM1335" i="3"/>
  <c r="AM1336" i="3"/>
  <c r="AM1337" i="3"/>
  <c r="AM1338" i="3"/>
  <c r="AM1339" i="3"/>
  <c r="AM1340" i="3"/>
  <c r="AM1341" i="3"/>
  <c r="AM1342" i="3"/>
  <c r="AM1343" i="3"/>
  <c r="AM1344" i="3"/>
  <c r="AM1345" i="3"/>
  <c r="AM1346" i="3"/>
  <c r="AM1347" i="3"/>
  <c r="AM1348" i="3"/>
  <c r="AM1349" i="3"/>
  <c r="AM1350" i="3"/>
  <c r="AM1351" i="3"/>
  <c r="AM1352" i="3"/>
  <c r="AM1353" i="3"/>
  <c r="AM1354" i="3"/>
  <c r="AM1355" i="3"/>
  <c r="AM1356" i="3"/>
  <c r="AM1357" i="3"/>
  <c r="AM1358" i="3"/>
  <c r="AM1359" i="3"/>
  <c r="AM1360" i="3"/>
  <c r="AM1361" i="3"/>
  <c r="AM1362" i="3"/>
  <c r="AM1363" i="3"/>
  <c r="AM1364" i="3"/>
  <c r="AM1365" i="3"/>
  <c r="AM1366" i="3"/>
  <c r="AM1367" i="3"/>
  <c r="AM1368" i="3"/>
  <c r="AM1369" i="3"/>
  <c r="AM1370" i="3"/>
  <c r="AM1371" i="3"/>
  <c r="AM1372" i="3"/>
  <c r="AM1373" i="3"/>
  <c r="AM1374" i="3"/>
  <c r="AM1375" i="3"/>
  <c r="AM1376" i="3"/>
  <c r="AM1377" i="3"/>
  <c r="AM1378" i="3"/>
  <c r="AM1379" i="3"/>
  <c r="AM1380" i="3"/>
  <c r="AM1381" i="3"/>
  <c r="AM1382" i="3"/>
  <c r="AM1383" i="3"/>
  <c r="AM1384" i="3"/>
  <c r="AM1385" i="3"/>
  <c r="AM1386" i="3"/>
  <c r="AM1387" i="3"/>
  <c r="AM1388" i="3"/>
  <c r="AM1389" i="3"/>
  <c r="AM1390" i="3"/>
  <c r="AM1391" i="3"/>
  <c r="AM1392" i="3"/>
  <c r="AM1393" i="3"/>
  <c r="AM1394" i="3"/>
  <c r="AM1395" i="3"/>
  <c r="AM1396" i="3"/>
  <c r="AM1397" i="3"/>
  <c r="AM1398" i="3"/>
  <c r="AM1399" i="3"/>
  <c r="AM1400" i="3"/>
  <c r="AM1401" i="3"/>
  <c r="AM1402" i="3"/>
  <c r="AM1403" i="3"/>
  <c r="AM1404" i="3"/>
  <c r="AM1405" i="3"/>
  <c r="AM1406" i="3"/>
  <c r="AM1407" i="3"/>
  <c r="AM1408" i="3"/>
  <c r="AM1409" i="3"/>
  <c r="AM1410" i="3"/>
  <c r="AM1411" i="3"/>
  <c r="AM1412" i="3"/>
  <c r="AM1413" i="3"/>
  <c r="AM1414" i="3"/>
  <c r="AM1415" i="3"/>
  <c r="AM1416" i="3"/>
  <c r="AM1417" i="3"/>
  <c r="AM1418" i="3"/>
  <c r="AM1419" i="3"/>
  <c r="AM1420" i="3"/>
  <c r="AM1421" i="3"/>
  <c r="AM1422" i="3"/>
  <c r="AM1423" i="3"/>
  <c r="AM1424" i="3"/>
  <c r="AM1425" i="3"/>
  <c r="AM1426" i="3"/>
  <c r="AM1427" i="3"/>
  <c r="AM1428" i="3"/>
  <c r="AM1429" i="3"/>
  <c r="AM1430" i="3"/>
  <c r="AM1431" i="3"/>
  <c r="AM1432" i="3"/>
  <c r="AM1433" i="3"/>
  <c r="AM1434" i="3"/>
  <c r="AM1435" i="3"/>
  <c r="AM1436" i="3"/>
  <c r="AM1437" i="3"/>
  <c r="AM1438" i="3"/>
  <c r="AM1439" i="3"/>
  <c r="AM1440" i="3"/>
  <c r="AM1441" i="3"/>
  <c r="AM1442" i="3"/>
  <c r="AM1443" i="3"/>
  <c r="AM1444" i="3"/>
  <c r="AM1445" i="3"/>
  <c r="AM1446" i="3"/>
  <c r="AM1447" i="3"/>
  <c r="AM1448" i="3"/>
  <c r="AM1449" i="3"/>
  <c r="AM1450" i="3"/>
  <c r="AM1451" i="3"/>
  <c r="AM1452" i="3"/>
  <c r="AM1453" i="3"/>
  <c r="AM1454" i="3"/>
  <c r="AM1455" i="3"/>
  <c r="AM1456" i="3"/>
  <c r="AM1457" i="3"/>
  <c r="AM1458" i="3"/>
  <c r="AM1459" i="3"/>
  <c r="AM1460" i="3"/>
  <c r="AM1461" i="3"/>
  <c r="AM1462" i="3"/>
  <c r="AM1463" i="3"/>
  <c r="AM1464" i="3"/>
  <c r="AM1465" i="3"/>
  <c r="AM1466" i="3"/>
  <c r="AM1467" i="3"/>
  <c r="AM1468" i="3"/>
  <c r="AM1469" i="3"/>
  <c r="Y23" i="5"/>
  <c r="X23" i="5"/>
  <c r="W23" i="5"/>
  <c r="V23" i="5"/>
  <c r="U23" i="5"/>
  <c r="T23" i="5"/>
  <c r="S23" i="5"/>
  <c r="L1169" i="3"/>
  <c r="L1170" i="3"/>
  <c r="L1167" i="3" l="1"/>
  <c r="L1166" i="3"/>
  <c r="L1133" i="3" l="1"/>
  <c r="L1132" i="3"/>
  <c r="L1131" i="3"/>
  <c r="M7" i="3" l="1"/>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7" i="3"/>
  <c r="D32" i="5"/>
  <c r="M527" i="3" s="1"/>
  <c r="D31" i="5"/>
  <c r="M519" i="3" s="1"/>
  <c r="D30" i="5"/>
  <c r="M479" i="3" s="1"/>
  <c r="D29" i="5"/>
  <c r="D28" i="5"/>
  <c r="D27" i="5"/>
  <c r="C33" i="5"/>
  <c r="K570" i="3" s="1"/>
  <c r="C32" i="5"/>
  <c r="K537" i="3" s="1"/>
  <c r="C31" i="5"/>
  <c r="K497" i="3" s="1"/>
  <c r="C30" i="5"/>
  <c r="K474" i="3" s="1"/>
  <c r="C29" i="5"/>
  <c r="K454" i="3" s="1"/>
  <c r="C28" i="5"/>
  <c r="K418" i="3" s="1"/>
  <c r="C27" i="5"/>
  <c r="K378" i="3" l="1"/>
  <c r="K379" i="3"/>
  <c r="K387" i="3"/>
  <c r="K395" i="3"/>
  <c r="K403" i="3"/>
  <c r="K380" i="3"/>
  <c r="K388" i="3"/>
  <c r="K396" i="3"/>
  <c r="K404" i="3"/>
  <c r="K381" i="3"/>
  <c r="K389" i="3"/>
  <c r="K397" i="3"/>
  <c r="K405" i="3"/>
  <c r="K383" i="3"/>
  <c r="K391" i="3"/>
  <c r="K399" i="3"/>
  <c r="K384" i="3"/>
  <c r="K392" i="3"/>
  <c r="K400" i="3"/>
  <c r="M408" i="3"/>
  <c r="M416" i="3"/>
  <c r="M424" i="3"/>
  <c r="M432" i="3"/>
  <c r="M409" i="3"/>
  <c r="M417" i="3"/>
  <c r="M425" i="3"/>
  <c r="M433" i="3"/>
  <c r="M410" i="3"/>
  <c r="M418" i="3"/>
  <c r="M426" i="3"/>
  <c r="M411" i="3"/>
  <c r="M419" i="3"/>
  <c r="M427" i="3"/>
  <c r="M412" i="3"/>
  <c r="M420" i="3"/>
  <c r="M428" i="3"/>
  <c r="M413" i="3"/>
  <c r="M421" i="3"/>
  <c r="M429" i="3"/>
  <c r="M406" i="3"/>
  <c r="M414" i="3"/>
  <c r="M422" i="3"/>
  <c r="M430" i="3"/>
  <c r="K581" i="3"/>
  <c r="K565" i="3"/>
  <c r="K546" i="3"/>
  <c r="K526" i="3"/>
  <c r="K505" i="3"/>
  <c r="K482" i="3"/>
  <c r="K462" i="3"/>
  <c r="K441" i="3"/>
  <c r="K398" i="3"/>
  <c r="M551" i="3"/>
  <c r="M487" i="3"/>
  <c r="M423" i="3"/>
  <c r="M383" i="3"/>
  <c r="M384" i="3"/>
  <c r="M392" i="3"/>
  <c r="M400" i="3"/>
  <c r="M385" i="3"/>
  <c r="M393" i="3"/>
  <c r="M401" i="3"/>
  <c r="M378" i="3"/>
  <c r="M386" i="3"/>
  <c r="M394" i="3"/>
  <c r="M402" i="3"/>
  <c r="M379" i="3"/>
  <c r="M387" i="3"/>
  <c r="M395" i="3"/>
  <c r="M403" i="3"/>
  <c r="M380" i="3"/>
  <c r="M388" i="3"/>
  <c r="M396" i="3"/>
  <c r="M404" i="3"/>
  <c r="M381" i="3"/>
  <c r="M389" i="3"/>
  <c r="M397" i="3"/>
  <c r="M405" i="3"/>
  <c r="M382" i="3"/>
  <c r="M390" i="3"/>
  <c r="M398" i="3"/>
  <c r="K411" i="3"/>
  <c r="K419" i="3"/>
  <c r="K427" i="3"/>
  <c r="K412" i="3"/>
  <c r="K420" i="3"/>
  <c r="K428" i="3"/>
  <c r="K413" i="3"/>
  <c r="K421" i="3"/>
  <c r="K429" i="3"/>
  <c r="K407" i="3"/>
  <c r="K415" i="3"/>
  <c r="K423" i="3"/>
  <c r="K431" i="3"/>
  <c r="K408" i="3"/>
  <c r="K416" i="3"/>
  <c r="K424" i="3"/>
  <c r="K432" i="3"/>
  <c r="M440" i="3"/>
  <c r="M448" i="3"/>
  <c r="M456" i="3"/>
  <c r="M464" i="3"/>
  <c r="M441" i="3"/>
  <c r="M449" i="3"/>
  <c r="M457" i="3"/>
  <c r="M465" i="3"/>
  <c r="M434" i="3"/>
  <c r="M442" i="3"/>
  <c r="M450" i="3"/>
  <c r="M458" i="3"/>
  <c r="M466" i="3"/>
  <c r="M435" i="3"/>
  <c r="M443" i="3"/>
  <c r="M451" i="3"/>
  <c r="M459" i="3"/>
  <c r="M467" i="3"/>
  <c r="M436" i="3"/>
  <c r="M444" i="3"/>
  <c r="M452" i="3"/>
  <c r="M460" i="3"/>
  <c r="M468" i="3"/>
  <c r="M437" i="3"/>
  <c r="M445" i="3"/>
  <c r="M453" i="3"/>
  <c r="M461" i="3"/>
  <c r="M438" i="3"/>
  <c r="M446" i="3"/>
  <c r="M454" i="3"/>
  <c r="M462" i="3"/>
  <c r="K578" i="3"/>
  <c r="K562" i="3"/>
  <c r="K545" i="3"/>
  <c r="K522" i="3"/>
  <c r="K502" i="3"/>
  <c r="K481" i="3"/>
  <c r="K458" i="3"/>
  <c r="K438" i="3"/>
  <c r="K417" i="3"/>
  <c r="K394" i="3"/>
  <c r="M543" i="3"/>
  <c r="M415" i="3"/>
  <c r="M472" i="3"/>
  <c r="M480" i="3"/>
  <c r="M488" i="3"/>
  <c r="M496" i="3"/>
  <c r="M473" i="3"/>
  <c r="M481" i="3"/>
  <c r="M489" i="3"/>
  <c r="M474" i="3"/>
  <c r="M482" i="3"/>
  <c r="M490" i="3"/>
  <c r="M475" i="3"/>
  <c r="M483" i="3"/>
  <c r="M491" i="3"/>
  <c r="M476" i="3"/>
  <c r="M484" i="3"/>
  <c r="M492" i="3"/>
  <c r="M469" i="3"/>
  <c r="M477" i="3"/>
  <c r="M485" i="3"/>
  <c r="M493" i="3"/>
  <c r="M470" i="3"/>
  <c r="M478" i="3"/>
  <c r="M486" i="3"/>
  <c r="M494" i="3"/>
  <c r="K577" i="3"/>
  <c r="K561" i="3"/>
  <c r="K542" i="3"/>
  <c r="K521" i="3"/>
  <c r="K498" i="3"/>
  <c r="K478" i="3"/>
  <c r="K457" i="3"/>
  <c r="K434" i="3"/>
  <c r="K414" i="3"/>
  <c r="K393" i="3"/>
  <c r="M535" i="3"/>
  <c r="M471" i="3"/>
  <c r="M407" i="3"/>
  <c r="K574" i="3"/>
  <c r="K558" i="3"/>
  <c r="K538" i="3"/>
  <c r="K518" i="3"/>
  <c r="K433" i="3"/>
  <c r="K410" i="3"/>
  <c r="K390" i="3"/>
  <c r="M463" i="3"/>
  <c r="M399" i="3"/>
  <c r="K435" i="3"/>
  <c r="K443" i="3"/>
  <c r="K451" i="3"/>
  <c r="K459" i="3"/>
  <c r="K467" i="3"/>
  <c r="K436" i="3"/>
  <c r="K444" i="3"/>
  <c r="K452" i="3"/>
  <c r="K460" i="3"/>
  <c r="K468" i="3"/>
  <c r="K437" i="3"/>
  <c r="K445" i="3"/>
  <c r="K453" i="3"/>
  <c r="K461" i="3"/>
  <c r="K439" i="3"/>
  <c r="K447" i="3"/>
  <c r="K455" i="3"/>
  <c r="K463" i="3"/>
  <c r="K440" i="3"/>
  <c r="K448" i="3"/>
  <c r="K456" i="3"/>
  <c r="K464" i="3"/>
  <c r="K475" i="3"/>
  <c r="K483" i="3"/>
  <c r="K491" i="3"/>
  <c r="K476" i="3"/>
  <c r="K484" i="3"/>
  <c r="K492" i="3"/>
  <c r="K469" i="3"/>
  <c r="K477" i="3"/>
  <c r="K485" i="3"/>
  <c r="K493" i="3"/>
  <c r="K471" i="3"/>
  <c r="K479" i="3"/>
  <c r="K487" i="3"/>
  <c r="K495" i="3"/>
  <c r="K472" i="3"/>
  <c r="K480" i="3"/>
  <c r="K488" i="3"/>
  <c r="K496" i="3"/>
  <c r="K499" i="3"/>
  <c r="K507" i="3"/>
  <c r="K515" i="3"/>
  <c r="K523" i="3"/>
  <c r="K500" i="3"/>
  <c r="K508" i="3"/>
  <c r="K516" i="3"/>
  <c r="K524" i="3"/>
  <c r="K501" i="3"/>
  <c r="K509" i="3"/>
  <c r="K517" i="3"/>
  <c r="K503" i="3"/>
  <c r="K511" i="3"/>
  <c r="K519" i="3"/>
  <c r="K504" i="3"/>
  <c r="K512" i="3"/>
  <c r="K520" i="3"/>
  <c r="K573" i="3"/>
  <c r="K557" i="3"/>
  <c r="K514" i="3"/>
  <c r="K494" i="3"/>
  <c r="K473" i="3"/>
  <c r="K450" i="3"/>
  <c r="K430" i="3"/>
  <c r="K409" i="3"/>
  <c r="K386" i="3"/>
  <c r="M455" i="3"/>
  <c r="M391" i="3"/>
  <c r="M504" i="3"/>
  <c r="M512" i="3"/>
  <c r="M520" i="3"/>
  <c r="M497" i="3"/>
  <c r="M505" i="3"/>
  <c r="M513" i="3"/>
  <c r="M521" i="3"/>
  <c r="M498" i="3"/>
  <c r="M506" i="3"/>
  <c r="M514" i="3"/>
  <c r="M522" i="3"/>
  <c r="M499" i="3"/>
  <c r="M507" i="3"/>
  <c r="M515" i="3"/>
  <c r="M523" i="3"/>
  <c r="M500" i="3"/>
  <c r="M508" i="3"/>
  <c r="M516" i="3"/>
  <c r="M524" i="3"/>
  <c r="M501" i="3"/>
  <c r="M509" i="3"/>
  <c r="M517" i="3"/>
  <c r="M502" i="3"/>
  <c r="M510" i="3"/>
  <c r="M518" i="3"/>
  <c r="M528" i="3"/>
  <c r="M536" i="3"/>
  <c r="M544" i="3"/>
  <c r="M552" i="3"/>
  <c r="M529" i="3"/>
  <c r="M537" i="3"/>
  <c r="M545" i="3"/>
  <c r="M553" i="3"/>
  <c r="M530" i="3"/>
  <c r="M538" i="3"/>
  <c r="M546" i="3"/>
  <c r="M554" i="3"/>
  <c r="M531" i="3"/>
  <c r="M539" i="3"/>
  <c r="M547" i="3"/>
  <c r="M555" i="3"/>
  <c r="M532" i="3"/>
  <c r="M540" i="3"/>
  <c r="M548" i="3"/>
  <c r="M556" i="3"/>
  <c r="M525" i="3"/>
  <c r="M533" i="3"/>
  <c r="M541" i="3"/>
  <c r="M549" i="3"/>
  <c r="M557" i="3"/>
  <c r="M526" i="3"/>
  <c r="M534" i="3"/>
  <c r="M542" i="3"/>
  <c r="M550" i="3"/>
  <c r="M558" i="3"/>
  <c r="K531" i="3"/>
  <c r="K539" i="3"/>
  <c r="K547" i="3"/>
  <c r="K555" i="3"/>
  <c r="K532" i="3"/>
  <c r="K540" i="3"/>
  <c r="K548" i="3"/>
  <c r="K556" i="3"/>
  <c r="K525" i="3"/>
  <c r="K533" i="3"/>
  <c r="K541" i="3"/>
  <c r="K549" i="3"/>
  <c r="K527" i="3"/>
  <c r="K535" i="3"/>
  <c r="K543" i="3"/>
  <c r="K551" i="3"/>
  <c r="K559" i="3"/>
  <c r="K528" i="3"/>
  <c r="K536" i="3"/>
  <c r="K544" i="3"/>
  <c r="K552" i="3"/>
  <c r="K586" i="3"/>
  <c r="K554" i="3"/>
  <c r="K534" i="3"/>
  <c r="K513" i="3"/>
  <c r="K490" i="3"/>
  <c r="K470" i="3"/>
  <c r="K449" i="3"/>
  <c r="K426" i="3"/>
  <c r="K406" i="3"/>
  <c r="K385" i="3"/>
  <c r="M511" i="3"/>
  <c r="M447" i="3"/>
  <c r="K563" i="3"/>
  <c r="K571" i="3"/>
  <c r="K579" i="3"/>
  <c r="K587" i="3"/>
  <c r="K564" i="3"/>
  <c r="K572" i="3"/>
  <c r="K580" i="3"/>
  <c r="K567" i="3"/>
  <c r="K575" i="3"/>
  <c r="K583" i="3"/>
  <c r="K560" i="3"/>
  <c r="K568" i="3"/>
  <c r="K576" i="3"/>
  <c r="K584" i="3"/>
  <c r="K585" i="3"/>
  <c r="K569" i="3"/>
  <c r="K553" i="3"/>
  <c r="K530" i="3"/>
  <c r="K510" i="3"/>
  <c r="K489" i="3"/>
  <c r="K466" i="3"/>
  <c r="K446" i="3"/>
  <c r="K425" i="3"/>
  <c r="K402" i="3"/>
  <c r="K382" i="3"/>
  <c r="M503" i="3"/>
  <c r="M439" i="3"/>
  <c r="K582" i="3"/>
  <c r="K566" i="3"/>
  <c r="K550" i="3"/>
  <c r="K529" i="3"/>
  <c r="K506" i="3"/>
  <c r="K486" i="3"/>
  <c r="K465" i="3"/>
  <c r="K442" i="3"/>
  <c r="K422" i="3"/>
  <c r="K401" i="3"/>
  <c r="M559" i="3"/>
  <c r="M495" i="3"/>
  <c r="M431"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C1468" i="3"/>
  <c r="C1469" i="3"/>
  <c r="H1468" i="3"/>
  <c r="H1469" i="3"/>
  <c r="X1468" i="3"/>
  <c r="AU1468" i="3" s="1"/>
  <c r="X1469" i="3"/>
  <c r="AO1468" i="3" l="1"/>
  <c r="AO1469" i="3"/>
  <c r="AU1469" i="3"/>
  <c r="W1469" i="3"/>
  <c r="Y1468" i="3"/>
  <c r="E2" i="3"/>
  <c r="AD1469" i="3"/>
  <c r="AC1468" i="3"/>
  <c r="AC1469" i="3"/>
  <c r="AA1469" i="3"/>
  <c r="AA1468" i="3"/>
  <c r="W1468" i="3"/>
  <c r="AB1468" i="3"/>
  <c r="Y1469" i="3"/>
  <c r="AD1468" i="3"/>
  <c r="AB1469" i="3"/>
  <c r="D33" i="5"/>
  <c r="D34" i="5"/>
  <c r="D35" i="5"/>
  <c r="D36" i="5"/>
  <c r="D37" i="5"/>
  <c r="D38" i="5"/>
  <c r="C34" i="5"/>
  <c r="C35" i="5"/>
  <c r="C36" i="5"/>
  <c r="C37" i="5"/>
  <c r="C38" i="5"/>
  <c r="M712" i="3" l="1"/>
  <c r="M720" i="3"/>
  <c r="M728" i="3"/>
  <c r="M736" i="3"/>
  <c r="M713" i="3"/>
  <c r="M721" i="3"/>
  <c r="M729" i="3"/>
  <c r="M737" i="3"/>
  <c r="M714" i="3"/>
  <c r="M722" i="3"/>
  <c r="M730" i="3"/>
  <c r="M738" i="3"/>
  <c r="M707" i="3"/>
  <c r="M715" i="3"/>
  <c r="M723" i="3"/>
  <c r="M731" i="3"/>
  <c r="M739" i="3"/>
  <c r="M708" i="3"/>
  <c r="M716" i="3"/>
  <c r="M724" i="3"/>
  <c r="M732" i="3"/>
  <c r="M740" i="3"/>
  <c r="M709" i="3"/>
  <c r="M717" i="3"/>
  <c r="M725" i="3"/>
  <c r="M733" i="3"/>
  <c r="M741" i="3"/>
  <c r="M710" i="3"/>
  <c r="M718" i="3"/>
  <c r="M726" i="3"/>
  <c r="M734" i="3"/>
  <c r="M711" i="3"/>
  <c r="M719" i="3"/>
  <c r="M727" i="3"/>
  <c r="M735" i="3"/>
  <c r="M680" i="3"/>
  <c r="M688" i="3"/>
  <c r="M696" i="3"/>
  <c r="M704" i="3"/>
  <c r="M681" i="3"/>
  <c r="M689" i="3"/>
  <c r="M697" i="3"/>
  <c r="M705" i="3"/>
  <c r="M682" i="3"/>
  <c r="M690" i="3"/>
  <c r="M698" i="3"/>
  <c r="M706" i="3"/>
  <c r="M683" i="3"/>
  <c r="M691" i="3"/>
  <c r="M699" i="3"/>
  <c r="M684" i="3"/>
  <c r="M692" i="3"/>
  <c r="M700" i="3"/>
  <c r="M685" i="3"/>
  <c r="M693" i="3"/>
  <c r="M701" i="3"/>
  <c r="M686" i="3"/>
  <c r="M694" i="3"/>
  <c r="M702" i="3"/>
  <c r="M687" i="3"/>
  <c r="M695" i="3"/>
  <c r="M703" i="3"/>
  <c r="M679" i="3"/>
  <c r="M656" i="3"/>
  <c r="M664" i="3"/>
  <c r="M672" i="3"/>
  <c r="M657" i="3"/>
  <c r="M665" i="3"/>
  <c r="M673" i="3"/>
  <c r="M658" i="3"/>
  <c r="M666" i="3"/>
  <c r="M674" i="3"/>
  <c r="M651" i="3"/>
  <c r="M659" i="3"/>
  <c r="M667" i="3"/>
  <c r="M675" i="3"/>
  <c r="M652" i="3"/>
  <c r="M660" i="3"/>
  <c r="M668" i="3"/>
  <c r="M676" i="3"/>
  <c r="M653" i="3"/>
  <c r="M661" i="3"/>
  <c r="M669" i="3"/>
  <c r="M677" i="3"/>
  <c r="M654" i="3"/>
  <c r="M662" i="3"/>
  <c r="M670" i="3"/>
  <c r="M678" i="3"/>
  <c r="M655" i="3"/>
  <c r="M663" i="3"/>
  <c r="M671" i="3"/>
  <c r="K683" i="3"/>
  <c r="K691" i="3"/>
  <c r="K679" i="3"/>
  <c r="K680" i="3"/>
  <c r="K688" i="3"/>
  <c r="K696" i="3"/>
  <c r="K690" i="3"/>
  <c r="K700" i="3"/>
  <c r="K681" i="3"/>
  <c r="K692" i="3"/>
  <c r="K701" i="3"/>
  <c r="K682" i="3"/>
  <c r="K693" i="3"/>
  <c r="K702" i="3"/>
  <c r="K684" i="3"/>
  <c r="K694" i="3"/>
  <c r="K703" i="3"/>
  <c r="K685" i="3"/>
  <c r="K695" i="3"/>
  <c r="K704" i="3"/>
  <c r="K686" i="3"/>
  <c r="K697" i="3"/>
  <c r="K705" i="3"/>
  <c r="K687" i="3"/>
  <c r="K698" i="3"/>
  <c r="K706" i="3"/>
  <c r="K689" i="3"/>
  <c r="K699" i="3"/>
  <c r="M592" i="3"/>
  <c r="M600" i="3"/>
  <c r="M608" i="3"/>
  <c r="M593" i="3"/>
  <c r="M601" i="3"/>
  <c r="M609" i="3"/>
  <c r="M594" i="3"/>
  <c r="M602" i="3"/>
  <c r="M610" i="3"/>
  <c r="M595" i="3"/>
  <c r="M603" i="3"/>
  <c r="M611" i="3"/>
  <c r="M588" i="3"/>
  <c r="M596" i="3"/>
  <c r="M604" i="3"/>
  <c r="M612" i="3"/>
  <c r="M589" i="3"/>
  <c r="M597" i="3"/>
  <c r="M605" i="3"/>
  <c r="M613" i="3"/>
  <c r="M590" i="3"/>
  <c r="M598" i="3"/>
  <c r="M606" i="3"/>
  <c r="M614" i="3"/>
  <c r="M591" i="3"/>
  <c r="M599" i="3"/>
  <c r="M607" i="3"/>
  <c r="M615" i="3"/>
  <c r="K708" i="3"/>
  <c r="K716" i="3"/>
  <c r="K724" i="3"/>
  <c r="K732" i="3"/>
  <c r="K740" i="3"/>
  <c r="K709" i="3"/>
  <c r="K717" i="3"/>
  <c r="K725" i="3"/>
  <c r="K733" i="3"/>
  <c r="K741" i="3"/>
  <c r="K710" i="3"/>
  <c r="K718" i="3"/>
  <c r="K726" i="3"/>
  <c r="K734" i="3"/>
  <c r="K711" i="3"/>
  <c r="K719" i="3"/>
  <c r="K727" i="3"/>
  <c r="K735" i="3"/>
  <c r="K712" i="3"/>
  <c r="K720" i="3"/>
  <c r="K728" i="3"/>
  <c r="K736" i="3"/>
  <c r="K713" i="3"/>
  <c r="K721" i="3"/>
  <c r="K729" i="3"/>
  <c r="K737" i="3"/>
  <c r="K714" i="3"/>
  <c r="K722" i="3"/>
  <c r="K730" i="3"/>
  <c r="K738" i="3"/>
  <c r="K707" i="3"/>
  <c r="K715" i="3"/>
  <c r="K723" i="3"/>
  <c r="K731" i="3"/>
  <c r="K739" i="3"/>
  <c r="M560" i="3"/>
  <c r="M568" i="3"/>
  <c r="M576" i="3"/>
  <c r="M584" i="3"/>
  <c r="M561" i="3"/>
  <c r="M569" i="3"/>
  <c r="M577" i="3"/>
  <c r="M585" i="3"/>
  <c r="M562" i="3"/>
  <c r="M570" i="3"/>
  <c r="M578" i="3"/>
  <c r="M586" i="3"/>
  <c r="M563" i="3"/>
  <c r="M571" i="3"/>
  <c r="M579" i="3"/>
  <c r="M587" i="3"/>
  <c r="M564" i="3"/>
  <c r="M572" i="3"/>
  <c r="M580" i="3"/>
  <c r="M565" i="3"/>
  <c r="M573" i="3"/>
  <c r="M581" i="3"/>
  <c r="M566" i="3"/>
  <c r="M574" i="3"/>
  <c r="M582" i="3"/>
  <c r="M567" i="3"/>
  <c r="M575" i="3"/>
  <c r="M583" i="3"/>
  <c r="K651" i="3"/>
  <c r="K659" i="3"/>
  <c r="K667" i="3"/>
  <c r="K675" i="3"/>
  <c r="K652" i="3"/>
  <c r="K660" i="3"/>
  <c r="K668" i="3"/>
  <c r="K676" i="3"/>
  <c r="K655" i="3"/>
  <c r="K663" i="3"/>
  <c r="K671" i="3"/>
  <c r="K656" i="3"/>
  <c r="K664" i="3"/>
  <c r="K672" i="3"/>
  <c r="K662" i="3"/>
  <c r="K678" i="3"/>
  <c r="K665" i="3"/>
  <c r="K666" i="3"/>
  <c r="K653" i="3"/>
  <c r="K669" i="3"/>
  <c r="K654" i="3"/>
  <c r="K670" i="3"/>
  <c r="K657" i="3"/>
  <c r="K673" i="3"/>
  <c r="K658" i="3"/>
  <c r="K674" i="3"/>
  <c r="K661" i="3"/>
  <c r="K677" i="3"/>
  <c r="K619" i="3"/>
  <c r="K627" i="3"/>
  <c r="K635" i="3"/>
  <c r="K643" i="3"/>
  <c r="K620" i="3"/>
  <c r="K628" i="3"/>
  <c r="K636" i="3"/>
  <c r="K644" i="3"/>
  <c r="K623" i="3"/>
  <c r="K631" i="3"/>
  <c r="K639" i="3"/>
  <c r="K647" i="3"/>
  <c r="K616" i="3"/>
  <c r="K624" i="3"/>
  <c r="K632" i="3"/>
  <c r="K640" i="3"/>
  <c r="K648" i="3"/>
  <c r="K630" i="3"/>
  <c r="K646" i="3"/>
  <c r="K617" i="3"/>
  <c r="K633" i="3"/>
  <c r="K649" i="3"/>
  <c r="K618" i="3"/>
  <c r="K634" i="3"/>
  <c r="K650" i="3"/>
  <c r="K621" i="3"/>
  <c r="K637" i="3"/>
  <c r="K622" i="3"/>
  <c r="K638" i="3"/>
  <c r="K625" i="3"/>
  <c r="K641" i="3"/>
  <c r="K626" i="3"/>
  <c r="K642" i="3"/>
  <c r="K629" i="3"/>
  <c r="K645" i="3"/>
  <c r="M616" i="3"/>
  <c r="M624" i="3"/>
  <c r="M632" i="3"/>
  <c r="M640" i="3"/>
  <c r="M648" i="3"/>
  <c r="M617" i="3"/>
  <c r="M625" i="3"/>
  <c r="M633" i="3"/>
  <c r="M641" i="3"/>
  <c r="M649" i="3"/>
  <c r="M618" i="3"/>
  <c r="M626" i="3"/>
  <c r="M634" i="3"/>
  <c r="M642" i="3"/>
  <c r="M650" i="3"/>
  <c r="M619" i="3"/>
  <c r="M627" i="3"/>
  <c r="M635" i="3"/>
  <c r="M643" i="3"/>
  <c r="M620" i="3"/>
  <c r="M628" i="3"/>
  <c r="M636" i="3"/>
  <c r="M644" i="3"/>
  <c r="M621" i="3"/>
  <c r="M629" i="3"/>
  <c r="M637" i="3"/>
  <c r="M645" i="3"/>
  <c r="M622" i="3"/>
  <c r="M630" i="3"/>
  <c r="M638" i="3"/>
  <c r="M646" i="3"/>
  <c r="M623" i="3"/>
  <c r="M631" i="3"/>
  <c r="M639" i="3"/>
  <c r="M647" i="3"/>
  <c r="K595" i="3"/>
  <c r="K603" i="3"/>
  <c r="K611" i="3"/>
  <c r="K588" i="3"/>
  <c r="K596" i="3"/>
  <c r="K604" i="3"/>
  <c r="K612" i="3"/>
  <c r="K591" i="3"/>
  <c r="K599" i="3"/>
  <c r="K607" i="3"/>
  <c r="K615" i="3"/>
  <c r="K592" i="3"/>
  <c r="K600" i="3"/>
  <c r="K608" i="3"/>
  <c r="K598" i="3"/>
  <c r="K614" i="3"/>
  <c r="K601" i="3"/>
  <c r="K602" i="3"/>
  <c r="K589" i="3"/>
  <c r="K605" i="3"/>
  <c r="K590" i="3"/>
  <c r="K606" i="3"/>
  <c r="K593" i="3"/>
  <c r="K609" i="3"/>
  <c r="K594" i="3"/>
  <c r="K610" i="3"/>
  <c r="K597" i="3"/>
  <c r="K613" i="3"/>
  <c r="X7" i="3"/>
  <c r="C7" i="3"/>
  <c r="AU7" i="3" l="1"/>
  <c r="AO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H7" i="3"/>
  <c r="H8" i="3" l="1"/>
  <c r="X8" i="3" l="1"/>
  <c r="H9" i="3"/>
  <c r="AU8" i="3" l="1"/>
  <c r="AO8" i="3"/>
  <c r="X9" i="3"/>
  <c r="H10" i="3"/>
  <c r="AU9" i="3" l="1"/>
  <c r="AO9" i="3"/>
  <c r="X10" i="3"/>
  <c r="H11" i="3"/>
  <c r="AU10" i="3" l="1"/>
  <c r="AO10" i="3"/>
  <c r="X11" i="3"/>
  <c r="H12" i="3"/>
  <c r="AU11" i="3" l="1"/>
  <c r="AO11" i="3"/>
  <c r="X12" i="3"/>
  <c r="H13" i="3"/>
  <c r="AU12" i="3" l="1"/>
  <c r="AO12" i="3"/>
  <c r="X13" i="3"/>
  <c r="H14" i="3"/>
  <c r="AU13" i="3" l="1"/>
  <c r="AO13" i="3"/>
  <c r="X14" i="3"/>
  <c r="H15" i="3"/>
  <c r="AU14" i="3" l="1"/>
  <c r="AO14" i="3"/>
  <c r="X15" i="3"/>
  <c r="H16" i="3"/>
  <c r="AU15" i="3" l="1"/>
  <c r="AO15" i="3"/>
  <c r="X16" i="3"/>
  <c r="H17" i="3"/>
  <c r="AU16" i="3" l="1"/>
  <c r="AO16" i="3"/>
  <c r="X17" i="3"/>
  <c r="H18" i="3"/>
  <c r="AU17" i="3" l="1"/>
  <c r="AO17" i="3"/>
  <c r="X18" i="3"/>
  <c r="H19" i="3"/>
  <c r="AU18" i="3" l="1"/>
  <c r="AO18" i="3"/>
  <c r="X19" i="3"/>
  <c r="H20" i="3"/>
  <c r="AU19" i="3" l="1"/>
  <c r="AO19" i="3"/>
  <c r="X20" i="3"/>
  <c r="H21" i="3"/>
  <c r="AU20" i="3" l="1"/>
  <c r="AO20" i="3"/>
  <c r="X21" i="3"/>
  <c r="H22" i="3"/>
  <c r="AU21" i="3" l="1"/>
  <c r="AO21" i="3"/>
  <c r="X22" i="3"/>
  <c r="H23" i="3"/>
  <c r="AU22" i="3" l="1"/>
  <c r="AO22" i="3"/>
  <c r="X23" i="3"/>
  <c r="H24" i="3"/>
  <c r="AU23" i="3" l="1"/>
  <c r="AO23" i="3"/>
  <c r="X24" i="3"/>
  <c r="H25" i="3"/>
  <c r="AU24" i="3" l="1"/>
  <c r="AO24" i="3"/>
  <c r="X25" i="3"/>
  <c r="H26" i="3"/>
  <c r="AU25" i="3" l="1"/>
  <c r="AO25" i="3"/>
  <c r="X26" i="3"/>
  <c r="H27" i="3"/>
  <c r="AU26" i="3" l="1"/>
  <c r="AO26" i="3"/>
  <c r="X27" i="3"/>
  <c r="H28" i="3"/>
  <c r="AU27" i="3" l="1"/>
  <c r="AO27" i="3"/>
  <c r="X28" i="3"/>
  <c r="H29" i="3"/>
  <c r="AU28" i="3" l="1"/>
  <c r="AO28" i="3"/>
  <c r="X29" i="3"/>
  <c r="H30" i="3"/>
  <c r="AU29" i="3" l="1"/>
  <c r="AO29" i="3"/>
  <c r="X30" i="3"/>
  <c r="H31" i="3"/>
  <c r="AU30" i="3" l="1"/>
  <c r="AO30" i="3"/>
  <c r="X31" i="3"/>
  <c r="H32" i="3"/>
  <c r="AU31" i="3" l="1"/>
  <c r="AO31" i="3"/>
  <c r="X32" i="3"/>
  <c r="H33" i="3"/>
  <c r="AU32" i="3" l="1"/>
  <c r="AO32" i="3"/>
  <c r="X33" i="3"/>
  <c r="H34" i="3"/>
  <c r="AU33" i="3" l="1"/>
  <c r="AO33" i="3"/>
  <c r="X34" i="3"/>
  <c r="H35" i="3"/>
  <c r="AU34" i="3" l="1"/>
  <c r="AO34" i="3"/>
  <c r="X35" i="3"/>
  <c r="H36" i="3"/>
  <c r="AU35" i="3" l="1"/>
  <c r="AO35" i="3"/>
  <c r="X36" i="3"/>
  <c r="H37" i="3"/>
  <c r="AU36" i="3" l="1"/>
  <c r="AO36" i="3"/>
  <c r="X37" i="3"/>
  <c r="H38" i="3"/>
  <c r="AU37" i="3" l="1"/>
  <c r="AO37" i="3"/>
  <c r="X38" i="3"/>
  <c r="H39" i="3"/>
  <c r="AU38" i="3" l="1"/>
  <c r="AO38" i="3"/>
  <c r="X39" i="3"/>
  <c r="H40" i="3"/>
  <c r="AU39" i="3" l="1"/>
  <c r="AO39" i="3"/>
  <c r="X40" i="3"/>
  <c r="H41" i="3"/>
  <c r="AU40" i="3" l="1"/>
  <c r="AO40" i="3"/>
  <c r="X41" i="3"/>
  <c r="H42" i="3"/>
  <c r="AU41" i="3" l="1"/>
  <c r="AO41" i="3"/>
  <c r="X42" i="3"/>
  <c r="H43" i="3"/>
  <c r="AU42" i="3" l="1"/>
  <c r="AO42" i="3"/>
  <c r="X43" i="3"/>
  <c r="H44" i="3"/>
  <c r="AU43" i="3" l="1"/>
  <c r="AO43" i="3"/>
  <c r="X44" i="3"/>
  <c r="H45" i="3"/>
  <c r="AU44" i="3" l="1"/>
  <c r="AO44" i="3"/>
  <c r="X45" i="3"/>
  <c r="H46" i="3"/>
  <c r="AU45" i="3" l="1"/>
  <c r="AO45" i="3"/>
  <c r="X46" i="3"/>
  <c r="H47" i="3"/>
  <c r="AU46" i="3" l="1"/>
  <c r="AO46" i="3"/>
  <c r="X47" i="3"/>
  <c r="H48" i="3"/>
  <c r="AU47" i="3" l="1"/>
  <c r="AO47" i="3"/>
  <c r="X48" i="3"/>
  <c r="H49" i="3"/>
  <c r="AU48" i="3" l="1"/>
  <c r="AO48" i="3"/>
  <c r="X49" i="3"/>
  <c r="H50" i="3"/>
  <c r="AU49" i="3" l="1"/>
  <c r="AO49" i="3"/>
  <c r="X50" i="3"/>
  <c r="H51" i="3"/>
  <c r="AU50" i="3" l="1"/>
  <c r="AO50" i="3"/>
  <c r="X51" i="3"/>
  <c r="H52" i="3"/>
  <c r="AU51" i="3" l="1"/>
  <c r="AO51" i="3"/>
  <c r="X52" i="3"/>
  <c r="H53" i="3"/>
  <c r="AU52" i="3" l="1"/>
  <c r="AO52" i="3"/>
  <c r="H54" i="3"/>
  <c r="X53" i="3"/>
  <c r="AU53" i="3" l="1"/>
  <c r="AO53" i="3"/>
  <c r="H55" i="3"/>
  <c r="X54" i="3"/>
  <c r="AU54" i="3" l="1"/>
  <c r="AO54" i="3"/>
  <c r="H56" i="3"/>
  <c r="X55" i="3"/>
  <c r="AU55" i="3" l="1"/>
  <c r="AO55" i="3"/>
  <c r="H57" i="3"/>
  <c r="X56" i="3"/>
  <c r="AU56" i="3" l="1"/>
  <c r="AO56" i="3"/>
  <c r="X57" i="3"/>
  <c r="H58" i="3"/>
  <c r="AU57" i="3" l="1"/>
  <c r="AO57" i="3"/>
  <c r="H59" i="3"/>
  <c r="X58" i="3"/>
  <c r="AU58" i="3" l="1"/>
  <c r="AO58" i="3"/>
  <c r="H60" i="3"/>
  <c r="X59" i="3"/>
  <c r="AU59" i="3" l="1"/>
  <c r="AO59" i="3"/>
  <c r="H61" i="3"/>
  <c r="X60" i="3"/>
  <c r="AU60" i="3" l="1"/>
  <c r="AO60" i="3"/>
  <c r="H62" i="3"/>
  <c r="X61" i="3"/>
  <c r="AU61" i="3" l="1"/>
  <c r="AO61" i="3"/>
  <c r="H63" i="3"/>
  <c r="X62" i="3"/>
  <c r="AU62" i="3" l="1"/>
  <c r="AO62" i="3"/>
  <c r="X63" i="3"/>
  <c r="H64" i="3"/>
  <c r="AU63" i="3" l="1"/>
  <c r="AO63" i="3"/>
  <c r="H65" i="3"/>
  <c r="X64" i="3"/>
  <c r="AU64" i="3" l="1"/>
  <c r="AO64" i="3"/>
  <c r="H66" i="3"/>
  <c r="X65" i="3"/>
  <c r="AU65" i="3" l="1"/>
  <c r="AO65" i="3"/>
  <c r="X66" i="3"/>
  <c r="H67" i="3"/>
  <c r="AU66" i="3" l="1"/>
  <c r="AO66" i="3"/>
  <c r="H68" i="3"/>
  <c r="X67" i="3"/>
  <c r="H69" i="3"/>
  <c r="AU67" i="3" l="1"/>
  <c r="AO67" i="3"/>
  <c r="X68" i="3"/>
  <c r="X69" i="3"/>
  <c r="H70" i="3"/>
  <c r="AU69" i="3" l="1"/>
  <c r="AU68" i="3"/>
  <c r="AO69" i="3"/>
  <c r="AO68" i="3"/>
  <c r="X70" i="3"/>
  <c r="H71" i="3"/>
  <c r="AU70" i="3" l="1"/>
  <c r="AO70" i="3"/>
  <c r="X71" i="3"/>
  <c r="H72" i="3"/>
  <c r="AU71" i="3" l="1"/>
  <c r="AO71" i="3"/>
  <c r="X72" i="3"/>
  <c r="H73" i="3"/>
  <c r="AU72" i="3" l="1"/>
  <c r="AO72" i="3"/>
  <c r="X73" i="3"/>
  <c r="H74" i="3"/>
  <c r="AU73" i="3" l="1"/>
  <c r="AO73" i="3"/>
  <c r="X74" i="3"/>
  <c r="H75" i="3"/>
  <c r="AU74" i="3" l="1"/>
  <c r="AO74" i="3"/>
  <c r="X75" i="3"/>
  <c r="H76" i="3"/>
  <c r="AU75" i="3" l="1"/>
  <c r="AO75" i="3"/>
  <c r="X76" i="3"/>
  <c r="H77" i="3"/>
  <c r="AU76" i="3" l="1"/>
  <c r="AO76" i="3"/>
  <c r="X77" i="3"/>
  <c r="H78" i="3"/>
  <c r="AU77" i="3" l="1"/>
  <c r="AO77" i="3"/>
  <c r="X78" i="3"/>
  <c r="H79" i="3"/>
  <c r="AU78" i="3" l="1"/>
  <c r="AO78" i="3"/>
  <c r="X79" i="3"/>
  <c r="H80" i="3"/>
  <c r="AU79" i="3" l="1"/>
  <c r="AO79" i="3"/>
  <c r="X80" i="3"/>
  <c r="H81" i="3"/>
  <c r="AU80" i="3" l="1"/>
  <c r="AO80" i="3"/>
  <c r="X81" i="3"/>
  <c r="H82" i="3"/>
  <c r="AU81" i="3" l="1"/>
  <c r="AO81" i="3"/>
  <c r="X82" i="3"/>
  <c r="H83" i="3"/>
  <c r="AU82" i="3" l="1"/>
  <c r="AO82" i="3"/>
  <c r="X83" i="3"/>
  <c r="H84" i="3"/>
  <c r="AU83" i="3" l="1"/>
  <c r="AO83" i="3"/>
  <c r="X84" i="3"/>
  <c r="H85" i="3"/>
  <c r="AU84" i="3" l="1"/>
  <c r="AO84" i="3"/>
  <c r="X85" i="3"/>
  <c r="H86" i="3"/>
  <c r="AU85" i="3" l="1"/>
  <c r="AO85" i="3"/>
  <c r="X86" i="3"/>
  <c r="H87" i="3"/>
  <c r="AU86" i="3" l="1"/>
  <c r="AO86" i="3"/>
  <c r="X87" i="3"/>
  <c r="H88" i="3"/>
  <c r="AU87" i="3" l="1"/>
  <c r="AO87" i="3"/>
  <c r="X88" i="3"/>
  <c r="H89" i="3"/>
  <c r="AU88" i="3" l="1"/>
  <c r="AO88" i="3"/>
  <c r="X89" i="3"/>
  <c r="H90" i="3"/>
  <c r="AU89" i="3" l="1"/>
  <c r="AO89" i="3"/>
  <c r="X90" i="3"/>
  <c r="H91" i="3"/>
  <c r="AU90" i="3" l="1"/>
  <c r="AO90" i="3"/>
  <c r="X91" i="3"/>
  <c r="H92" i="3"/>
  <c r="AU91" i="3" l="1"/>
  <c r="AO91" i="3"/>
  <c r="X92" i="3"/>
  <c r="H93" i="3"/>
  <c r="AU92" i="3" l="1"/>
  <c r="AO92" i="3"/>
  <c r="X93" i="3"/>
  <c r="H94" i="3"/>
  <c r="AU93" i="3" l="1"/>
  <c r="AO93" i="3"/>
  <c r="X94" i="3"/>
  <c r="H95" i="3"/>
  <c r="AU94" i="3" l="1"/>
  <c r="AO94" i="3"/>
  <c r="X95" i="3"/>
  <c r="H96" i="3"/>
  <c r="AU95" i="3" l="1"/>
  <c r="AO95" i="3"/>
  <c r="X96" i="3"/>
  <c r="H97" i="3"/>
  <c r="AU96" i="3" l="1"/>
  <c r="AO96" i="3"/>
  <c r="X97" i="3"/>
  <c r="H98" i="3"/>
  <c r="AU97" i="3" l="1"/>
  <c r="AO97" i="3"/>
  <c r="X98" i="3"/>
  <c r="H99" i="3"/>
  <c r="AU98" i="3" l="1"/>
  <c r="AO98" i="3"/>
  <c r="X99" i="3"/>
  <c r="H100" i="3"/>
  <c r="AU99" i="3" l="1"/>
  <c r="AO99" i="3"/>
  <c r="X100" i="3"/>
  <c r="H101" i="3"/>
  <c r="AU100" i="3" l="1"/>
  <c r="AO100" i="3"/>
  <c r="X101" i="3"/>
  <c r="H102" i="3"/>
  <c r="AU101" i="3" l="1"/>
  <c r="AO101" i="3"/>
  <c r="X102" i="3"/>
  <c r="H103" i="3"/>
  <c r="AU102" i="3" l="1"/>
  <c r="AO102" i="3"/>
  <c r="X103" i="3"/>
  <c r="H104" i="3"/>
  <c r="AU103" i="3" l="1"/>
  <c r="AO103" i="3"/>
  <c r="X104" i="3"/>
  <c r="H105" i="3"/>
  <c r="AU104" i="3" l="1"/>
  <c r="AO104" i="3"/>
  <c r="X105" i="3"/>
  <c r="H106" i="3"/>
  <c r="AU105" i="3" l="1"/>
  <c r="AO105" i="3"/>
  <c r="X106" i="3"/>
  <c r="H107" i="3"/>
  <c r="AU106" i="3" l="1"/>
  <c r="AO106" i="3"/>
  <c r="X107" i="3"/>
  <c r="H108" i="3"/>
  <c r="AU107" i="3" l="1"/>
  <c r="AO107" i="3"/>
  <c r="X108" i="3"/>
  <c r="H109" i="3"/>
  <c r="AU108" i="3" l="1"/>
  <c r="AO108" i="3"/>
  <c r="X109" i="3"/>
  <c r="H110" i="3"/>
  <c r="AU109" i="3" l="1"/>
  <c r="AO109" i="3"/>
  <c r="X110" i="3"/>
  <c r="H111" i="3"/>
  <c r="AU110" i="3" l="1"/>
  <c r="AO110" i="3"/>
  <c r="X111" i="3"/>
  <c r="H112" i="3"/>
  <c r="AU111" i="3" l="1"/>
  <c r="AO111" i="3"/>
  <c r="X112" i="3"/>
  <c r="H113" i="3"/>
  <c r="AU112" i="3" l="1"/>
  <c r="AO112" i="3"/>
  <c r="X113" i="3"/>
  <c r="H114" i="3"/>
  <c r="AU113" i="3" l="1"/>
  <c r="AO113" i="3"/>
  <c r="X114" i="3"/>
  <c r="H115" i="3"/>
  <c r="AU114" i="3" l="1"/>
  <c r="AO114" i="3"/>
  <c r="X115" i="3"/>
  <c r="H116" i="3"/>
  <c r="AU115" i="3" l="1"/>
  <c r="AO115" i="3"/>
  <c r="X116" i="3"/>
  <c r="H117" i="3"/>
  <c r="AU116" i="3" l="1"/>
  <c r="AO116" i="3"/>
  <c r="X117" i="3"/>
  <c r="H118" i="3"/>
  <c r="AU117" i="3" l="1"/>
  <c r="AO117" i="3"/>
  <c r="X118" i="3"/>
  <c r="H119" i="3"/>
  <c r="AU118" i="3" l="1"/>
  <c r="AO118" i="3"/>
  <c r="X119" i="3"/>
  <c r="H120" i="3"/>
  <c r="AU119" i="3" l="1"/>
  <c r="AO119" i="3"/>
  <c r="X120" i="3"/>
  <c r="H121" i="3"/>
  <c r="AU120" i="3" l="1"/>
  <c r="AO120" i="3"/>
  <c r="X121" i="3"/>
  <c r="H122" i="3"/>
  <c r="AU121" i="3" l="1"/>
  <c r="AO121" i="3"/>
  <c r="X122" i="3"/>
  <c r="H123" i="3"/>
  <c r="AU122" i="3" l="1"/>
  <c r="AO122" i="3"/>
  <c r="X123" i="3"/>
  <c r="H124" i="3"/>
  <c r="AU123" i="3" l="1"/>
  <c r="AO123" i="3"/>
  <c r="X124" i="3"/>
  <c r="H125" i="3"/>
  <c r="AU124" i="3" l="1"/>
  <c r="AO124" i="3"/>
  <c r="X125" i="3"/>
  <c r="H126" i="3"/>
  <c r="AU125" i="3" l="1"/>
  <c r="AO125" i="3"/>
  <c r="X126" i="3"/>
  <c r="H127" i="3"/>
  <c r="AU126" i="3" l="1"/>
  <c r="AO126" i="3"/>
  <c r="X127" i="3"/>
  <c r="H128" i="3"/>
  <c r="AU127" i="3" l="1"/>
  <c r="AO127" i="3"/>
  <c r="X128" i="3"/>
  <c r="H129" i="3"/>
  <c r="AU128" i="3" l="1"/>
  <c r="AO128" i="3"/>
  <c r="X129" i="3"/>
  <c r="H130" i="3"/>
  <c r="AU129" i="3" l="1"/>
  <c r="AO129" i="3"/>
  <c r="X130" i="3"/>
  <c r="H131" i="3"/>
  <c r="AU130" i="3" l="1"/>
  <c r="AO130" i="3"/>
  <c r="X131" i="3"/>
  <c r="H132" i="3"/>
  <c r="AU131" i="3" l="1"/>
  <c r="AO131" i="3"/>
  <c r="X132" i="3"/>
  <c r="H133" i="3"/>
  <c r="AU132" i="3" l="1"/>
  <c r="AO132" i="3"/>
  <c r="X133" i="3"/>
  <c r="H134" i="3"/>
  <c r="AU133" i="3" l="1"/>
  <c r="AO133" i="3"/>
  <c r="X134" i="3"/>
  <c r="H135" i="3"/>
  <c r="AU134" i="3" l="1"/>
  <c r="AO134" i="3"/>
  <c r="X135" i="3"/>
  <c r="H136" i="3"/>
  <c r="AU135" i="3" l="1"/>
  <c r="AO135" i="3"/>
  <c r="X136" i="3"/>
  <c r="H137" i="3"/>
  <c r="AU136" i="3" l="1"/>
  <c r="AO136" i="3"/>
  <c r="X137" i="3"/>
  <c r="H138" i="3"/>
  <c r="AU137" i="3" l="1"/>
  <c r="AO137" i="3"/>
  <c r="X138" i="3"/>
  <c r="H139" i="3"/>
  <c r="AU138" i="3" l="1"/>
  <c r="AO138" i="3"/>
  <c r="X139" i="3"/>
  <c r="H140" i="3"/>
  <c r="AU139" i="3" l="1"/>
  <c r="AO139" i="3"/>
  <c r="X140" i="3"/>
  <c r="H141" i="3"/>
  <c r="AU140" i="3" l="1"/>
  <c r="AO140" i="3"/>
  <c r="X141" i="3"/>
  <c r="H142" i="3"/>
  <c r="AU141" i="3" l="1"/>
  <c r="AO141" i="3"/>
  <c r="X142" i="3"/>
  <c r="H143" i="3"/>
  <c r="AU142" i="3" l="1"/>
  <c r="AO142" i="3"/>
  <c r="X143" i="3"/>
  <c r="H144" i="3"/>
  <c r="AU143" i="3" l="1"/>
  <c r="AO143" i="3"/>
  <c r="X144" i="3"/>
  <c r="H145" i="3"/>
  <c r="AU144" i="3" l="1"/>
  <c r="AO144" i="3"/>
  <c r="X145" i="3"/>
  <c r="H146" i="3"/>
  <c r="AU145" i="3" l="1"/>
  <c r="AO145" i="3"/>
  <c r="X146" i="3"/>
  <c r="H147" i="3"/>
  <c r="AU146" i="3" l="1"/>
  <c r="AO146" i="3"/>
  <c r="X147" i="3"/>
  <c r="H148" i="3"/>
  <c r="AU147" i="3" l="1"/>
  <c r="AO147" i="3"/>
  <c r="X148" i="3"/>
  <c r="H149" i="3"/>
  <c r="AU148" i="3" l="1"/>
  <c r="AO148" i="3"/>
  <c r="X149" i="3"/>
  <c r="H150" i="3"/>
  <c r="AU149" i="3" l="1"/>
  <c r="AO149" i="3"/>
  <c r="X150" i="3"/>
  <c r="H151" i="3"/>
  <c r="AU150" i="3" l="1"/>
  <c r="AO150" i="3"/>
  <c r="X151" i="3"/>
  <c r="H152" i="3"/>
  <c r="AU151" i="3" l="1"/>
  <c r="AO151" i="3"/>
  <c r="X152" i="3"/>
  <c r="H153" i="3"/>
  <c r="AU152" i="3" l="1"/>
  <c r="AO152" i="3"/>
  <c r="X153" i="3"/>
  <c r="H154" i="3"/>
  <c r="AU153" i="3" l="1"/>
  <c r="AO153" i="3"/>
  <c r="X154" i="3"/>
  <c r="H155" i="3"/>
  <c r="AU154" i="3" l="1"/>
  <c r="AO154" i="3"/>
  <c r="X155" i="3"/>
  <c r="H156" i="3"/>
  <c r="AU155" i="3" l="1"/>
  <c r="AO155" i="3"/>
  <c r="X156" i="3"/>
  <c r="H157" i="3"/>
  <c r="AU156" i="3" l="1"/>
  <c r="AO156" i="3"/>
  <c r="X157" i="3"/>
  <c r="H158" i="3"/>
  <c r="AU157" i="3" l="1"/>
  <c r="AO157" i="3"/>
  <c r="X158" i="3"/>
  <c r="H159" i="3"/>
  <c r="AU158" i="3" l="1"/>
  <c r="AO158" i="3"/>
  <c r="X159" i="3"/>
  <c r="H160" i="3"/>
  <c r="AU159" i="3" l="1"/>
  <c r="AO159" i="3"/>
  <c r="X160" i="3"/>
  <c r="H161" i="3"/>
  <c r="AU160" i="3" l="1"/>
  <c r="AO160" i="3"/>
  <c r="X161" i="3"/>
  <c r="H162" i="3"/>
  <c r="AU161" i="3" l="1"/>
  <c r="AO161" i="3"/>
  <c r="X162" i="3"/>
  <c r="H163" i="3"/>
  <c r="AU162" i="3" l="1"/>
  <c r="AO162" i="3"/>
  <c r="X163" i="3"/>
  <c r="H164" i="3"/>
  <c r="AU163" i="3" l="1"/>
  <c r="AO163" i="3"/>
  <c r="X164" i="3"/>
  <c r="H165" i="3"/>
  <c r="AU164" i="3" l="1"/>
  <c r="AO164" i="3"/>
  <c r="X165" i="3"/>
  <c r="H166" i="3"/>
  <c r="AU165" i="3" l="1"/>
  <c r="AO165" i="3"/>
  <c r="X166" i="3"/>
  <c r="H167" i="3"/>
  <c r="AU166" i="3" l="1"/>
  <c r="AO166" i="3"/>
  <c r="X167" i="3"/>
  <c r="H168" i="3"/>
  <c r="AU167" i="3" l="1"/>
  <c r="AO167" i="3"/>
  <c r="X168" i="3"/>
  <c r="H169" i="3"/>
  <c r="AU168" i="3" l="1"/>
  <c r="AO168" i="3"/>
  <c r="X169" i="3"/>
  <c r="H170" i="3"/>
  <c r="AU169" i="3" l="1"/>
  <c r="AO169" i="3"/>
  <c r="X170" i="3"/>
  <c r="H171" i="3"/>
  <c r="AU170" i="3" l="1"/>
  <c r="AO170" i="3"/>
  <c r="X171" i="3"/>
  <c r="H172" i="3"/>
  <c r="AU171" i="3" l="1"/>
  <c r="AO171" i="3"/>
  <c r="X172" i="3"/>
  <c r="H173" i="3"/>
  <c r="AU172" i="3" l="1"/>
  <c r="AO172" i="3"/>
  <c r="X173" i="3"/>
  <c r="H174" i="3"/>
  <c r="AU173" i="3" l="1"/>
  <c r="AO173" i="3"/>
  <c r="X174" i="3"/>
  <c r="H175" i="3"/>
  <c r="AU174" i="3" l="1"/>
  <c r="AO174" i="3"/>
  <c r="X175" i="3"/>
  <c r="H176" i="3"/>
  <c r="AU175" i="3" l="1"/>
  <c r="AO175" i="3"/>
  <c r="X176" i="3"/>
  <c r="H177" i="3"/>
  <c r="AU176" i="3" l="1"/>
  <c r="AO176" i="3"/>
  <c r="X177" i="3"/>
  <c r="H178" i="3"/>
  <c r="AU177" i="3" l="1"/>
  <c r="AO177" i="3"/>
  <c r="X178" i="3"/>
  <c r="H179" i="3"/>
  <c r="AU178" i="3" l="1"/>
  <c r="AO178" i="3"/>
  <c r="X179" i="3"/>
  <c r="H180" i="3"/>
  <c r="AU179" i="3" l="1"/>
  <c r="AO179" i="3"/>
  <c r="X180" i="3"/>
  <c r="H181" i="3"/>
  <c r="AU180" i="3" l="1"/>
  <c r="AO180" i="3"/>
  <c r="X181" i="3"/>
  <c r="H182" i="3"/>
  <c r="AU181" i="3" l="1"/>
  <c r="AO181" i="3"/>
  <c r="X182" i="3"/>
  <c r="H183" i="3"/>
  <c r="AU182" i="3" l="1"/>
  <c r="AO182" i="3"/>
  <c r="X183" i="3"/>
  <c r="H184" i="3"/>
  <c r="AU183" i="3" l="1"/>
  <c r="AO183" i="3"/>
  <c r="X184" i="3"/>
  <c r="H185" i="3"/>
  <c r="AU184" i="3" l="1"/>
  <c r="AO184" i="3"/>
  <c r="X185" i="3"/>
  <c r="H186" i="3"/>
  <c r="AU185" i="3" l="1"/>
  <c r="AO185" i="3"/>
  <c r="X186" i="3"/>
  <c r="H187" i="3"/>
  <c r="AU186" i="3" l="1"/>
  <c r="AO186" i="3"/>
  <c r="X187" i="3"/>
  <c r="H188" i="3"/>
  <c r="AU187" i="3" l="1"/>
  <c r="AO187" i="3"/>
  <c r="X188" i="3"/>
  <c r="H189" i="3"/>
  <c r="AU188" i="3" l="1"/>
  <c r="AO188" i="3"/>
  <c r="X189" i="3"/>
  <c r="H190" i="3"/>
  <c r="AU189" i="3" l="1"/>
  <c r="AO189" i="3"/>
  <c r="X190" i="3"/>
  <c r="H191" i="3"/>
  <c r="AU190" i="3" l="1"/>
  <c r="AO190" i="3"/>
  <c r="X191" i="3"/>
  <c r="H192" i="3"/>
  <c r="AU191" i="3" l="1"/>
  <c r="AO191" i="3"/>
  <c r="X192" i="3"/>
  <c r="H193" i="3"/>
  <c r="AU192" i="3" l="1"/>
  <c r="AO192" i="3"/>
  <c r="X193" i="3"/>
  <c r="H194" i="3"/>
  <c r="AU193" i="3" l="1"/>
  <c r="AO193" i="3"/>
  <c r="X194" i="3"/>
  <c r="H195" i="3"/>
  <c r="AU194" i="3" l="1"/>
  <c r="AO194" i="3"/>
  <c r="X195" i="3"/>
  <c r="H196" i="3"/>
  <c r="AU195" i="3" l="1"/>
  <c r="AO195" i="3"/>
  <c r="X196" i="3"/>
  <c r="H197" i="3"/>
  <c r="AU196" i="3" l="1"/>
  <c r="AO196" i="3"/>
  <c r="X197" i="3"/>
  <c r="H198" i="3"/>
  <c r="AU197" i="3" l="1"/>
  <c r="AO197" i="3"/>
  <c r="X198" i="3"/>
  <c r="H199" i="3"/>
  <c r="AU198" i="3" l="1"/>
  <c r="AO198" i="3"/>
  <c r="X199" i="3"/>
  <c r="H200" i="3"/>
  <c r="AU199" i="3" l="1"/>
  <c r="AO199" i="3"/>
  <c r="X200" i="3"/>
  <c r="H201" i="3"/>
  <c r="AU200" i="3" l="1"/>
  <c r="AO200" i="3"/>
  <c r="X201" i="3"/>
  <c r="H202" i="3"/>
  <c r="AU201" i="3" l="1"/>
  <c r="AO201" i="3"/>
  <c r="X202" i="3"/>
  <c r="H203" i="3"/>
  <c r="AU202" i="3" l="1"/>
  <c r="AO202" i="3"/>
  <c r="X203" i="3"/>
  <c r="H204" i="3"/>
  <c r="AU203" i="3" l="1"/>
  <c r="AO203" i="3"/>
  <c r="X204" i="3"/>
  <c r="H205" i="3"/>
  <c r="AU204" i="3" l="1"/>
  <c r="AO204" i="3"/>
  <c r="X205" i="3"/>
  <c r="H206" i="3"/>
  <c r="AU205" i="3" l="1"/>
  <c r="AO205" i="3"/>
  <c r="X206" i="3"/>
  <c r="H207" i="3"/>
  <c r="AU206" i="3" l="1"/>
  <c r="AO206" i="3"/>
  <c r="X207" i="3"/>
  <c r="H208" i="3"/>
  <c r="AU207" i="3" l="1"/>
  <c r="AO207" i="3"/>
  <c r="X208" i="3"/>
  <c r="H209" i="3"/>
  <c r="AU208" i="3" l="1"/>
  <c r="AO208" i="3"/>
  <c r="X209" i="3"/>
  <c r="H210" i="3"/>
  <c r="AU209" i="3" l="1"/>
  <c r="AO209" i="3"/>
  <c r="X210" i="3"/>
  <c r="H211" i="3"/>
  <c r="AU210" i="3" l="1"/>
  <c r="AO210" i="3"/>
  <c r="X211" i="3"/>
  <c r="H212" i="3"/>
  <c r="AU211" i="3" l="1"/>
  <c r="AO211" i="3"/>
  <c r="X212" i="3"/>
  <c r="H213" i="3"/>
  <c r="AU212" i="3" l="1"/>
  <c r="AO212" i="3"/>
  <c r="X213" i="3"/>
  <c r="H214" i="3"/>
  <c r="AU213" i="3" l="1"/>
  <c r="AO213" i="3"/>
  <c r="X214" i="3"/>
  <c r="H215" i="3"/>
  <c r="AU214" i="3" l="1"/>
  <c r="AO214" i="3"/>
  <c r="X215" i="3"/>
  <c r="H216" i="3"/>
  <c r="AU215" i="3" l="1"/>
  <c r="AO215" i="3"/>
  <c r="X216" i="3"/>
  <c r="H217" i="3"/>
  <c r="AU216" i="3" l="1"/>
  <c r="AO216" i="3"/>
  <c r="X217" i="3"/>
  <c r="H218" i="3"/>
  <c r="AU217" i="3" l="1"/>
  <c r="AO217" i="3"/>
  <c r="X218" i="3"/>
  <c r="H219" i="3"/>
  <c r="AU218" i="3" l="1"/>
  <c r="AO218" i="3"/>
  <c r="X219" i="3"/>
  <c r="H220" i="3"/>
  <c r="AU219" i="3" l="1"/>
  <c r="AO219" i="3"/>
  <c r="X220" i="3"/>
  <c r="H221" i="3"/>
  <c r="AU220" i="3" l="1"/>
  <c r="AO220" i="3"/>
  <c r="X221" i="3"/>
  <c r="H222" i="3"/>
  <c r="AU221" i="3" l="1"/>
  <c r="AO221" i="3"/>
  <c r="X222" i="3"/>
  <c r="H223" i="3"/>
  <c r="AU222" i="3" l="1"/>
  <c r="AO222" i="3"/>
  <c r="X223" i="3"/>
  <c r="H224" i="3"/>
  <c r="AU223" i="3" l="1"/>
  <c r="AO223" i="3"/>
  <c r="X224" i="3"/>
  <c r="H225" i="3"/>
  <c r="AU224" i="3" l="1"/>
  <c r="AO224" i="3"/>
  <c r="X225" i="3"/>
  <c r="H226" i="3"/>
  <c r="AU225" i="3" l="1"/>
  <c r="AO225" i="3"/>
  <c r="X226" i="3"/>
  <c r="H227" i="3"/>
  <c r="AU226" i="3" l="1"/>
  <c r="AO226" i="3"/>
  <c r="X227" i="3"/>
  <c r="H228" i="3"/>
  <c r="AU227" i="3" l="1"/>
  <c r="AO227" i="3"/>
  <c r="X228" i="3"/>
  <c r="H229" i="3"/>
  <c r="AU228" i="3" l="1"/>
  <c r="AO228" i="3"/>
  <c r="X229" i="3"/>
  <c r="H230" i="3"/>
  <c r="AU229" i="3" l="1"/>
  <c r="AO229" i="3"/>
  <c r="X230" i="3"/>
  <c r="H231" i="3"/>
  <c r="AU230" i="3" l="1"/>
  <c r="AO230" i="3"/>
  <c r="X231" i="3"/>
  <c r="H232" i="3"/>
  <c r="AU231" i="3" l="1"/>
  <c r="AO231" i="3"/>
  <c r="X232" i="3"/>
  <c r="H233" i="3"/>
  <c r="AU232" i="3" l="1"/>
  <c r="AO232" i="3"/>
  <c r="X233" i="3"/>
  <c r="H234" i="3"/>
  <c r="AU233" i="3" l="1"/>
  <c r="AO233" i="3"/>
  <c r="X234" i="3"/>
  <c r="H235" i="3"/>
  <c r="AU234" i="3" l="1"/>
  <c r="AO234" i="3"/>
  <c r="X235" i="3"/>
  <c r="H236" i="3"/>
  <c r="AU235" i="3" l="1"/>
  <c r="AO235" i="3"/>
  <c r="X236" i="3"/>
  <c r="H237" i="3"/>
  <c r="AU236" i="3" l="1"/>
  <c r="AO236" i="3"/>
  <c r="X237" i="3"/>
  <c r="H238" i="3"/>
  <c r="AU237" i="3" l="1"/>
  <c r="AO237" i="3"/>
  <c r="X238" i="3"/>
  <c r="H239" i="3"/>
  <c r="AU238" i="3" l="1"/>
  <c r="AO238" i="3"/>
  <c r="X239" i="3"/>
  <c r="H240" i="3"/>
  <c r="AU239" i="3" l="1"/>
  <c r="AO239" i="3"/>
  <c r="X240" i="3"/>
  <c r="H241" i="3"/>
  <c r="AU240" i="3" l="1"/>
  <c r="AO240" i="3"/>
  <c r="X241" i="3"/>
  <c r="H242" i="3"/>
  <c r="AU241" i="3" l="1"/>
  <c r="AO241" i="3"/>
  <c r="X242" i="3"/>
  <c r="H243" i="3"/>
  <c r="AU242" i="3" l="1"/>
  <c r="AO242" i="3"/>
  <c r="X243" i="3"/>
  <c r="H244" i="3"/>
  <c r="AU243" i="3" l="1"/>
  <c r="AO243" i="3"/>
  <c r="X244" i="3"/>
  <c r="H245" i="3"/>
  <c r="AU244" i="3" l="1"/>
  <c r="AO244" i="3"/>
  <c r="X245" i="3"/>
  <c r="H246" i="3"/>
  <c r="AU245" i="3" l="1"/>
  <c r="AO245" i="3"/>
  <c r="X246" i="3"/>
  <c r="H247" i="3"/>
  <c r="AU246" i="3" l="1"/>
  <c r="AO246" i="3"/>
  <c r="X247" i="3"/>
  <c r="H248" i="3"/>
  <c r="AU247" i="3" l="1"/>
  <c r="AO247" i="3"/>
  <c r="X248" i="3"/>
  <c r="H249" i="3"/>
  <c r="AU248" i="3" l="1"/>
  <c r="AO248" i="3"/>
  <c r="X249" i="3"/>
  <c r="H250" i="3"/>
  <c r="AU249" i="3" l="1"/>
  <c r="AO249" i="3"/>
  <c r="X250" i="3"/>
  <c r="H251" i="3"/>
  <c r="AU250" i="3" l="1"/>
  <c r="AO250" i="3"/>
  <c r="X251" i="3"/>
  <c r="H252" i="3"/>
  <c r="AU251" i="3" l="1"/>
  <c r="AO251" i="3"/>
  <c r="X252" i="3"/>
  <c r="H253" i="3"/>
  <c r="AU252" i="3" l="1"/>
  <c r="AO252" i="3"/>
  <c r="X253" i="3"/>
  <c r="H254" i="3"/>
  <c r="AU253" i="3" l="1"/>
  <c r="AO253" i="3"/>
  <c r="X254" i="3"/>
  <c r="H255" i="3"/>
  <c r="AU254" i="3" l="1"/>
  <c r="AO254" i="3"/>
  <c r="X255" i="3"/>
  <c r="H256" i="3"/>
  <c r="AU255" i="3" l="1"/>
  <c r="AO255" i="3"/>
  <c r="X256" i="3"/>
  <c r="H257" i="3"/>
  <c r="AU256" i="3" l="1"/>
  <c r="AO256" i="3"/>
  <c r="X257" i="3"/>
  <c r="H258" i="3"/>
  <c r="AU257" i="3" l="1"/>
  <c r="AO257" i="3"/>
  <c r="X258" i="3"/>
  <c r="H259" i="3"/>
  <c r="AU258" i="3" l="1"/>
  <c r="AO258" i="3"/>
  <c r="X259" i="3"/>
  <c r="H260" i="3"/>
  <c r="AU259" i="3" l="1"/>
  <c r="AO259" i="3"/>
  <c r="X260" i="3"/>
  <c r="H261" i="3"/>
  <c r="AU260" i="3" l="1"/>
  <c r="AO260" i="3"/>
  <c r="X261" i="3"/>
  <c r="H262" i="3"/>
  <c r="AU261" i="3" l="1"/>
  <c r="AO261" i="3"/>
  <c r="X262" i="3"/>
  <c r="H263" i="3"/>
  <c r="AU262" i="3" l="1"/>
  <c r="AO262" i="3"/>
  <c r="X263" i="3"/>
  <c r="H264" i="3"/>
  <c r="AU263" i="3" l="1"/>
  <c r="AO263" i="3"/>
  <c r="X264" i="3"/>
  <c r="H265" i="3"/>
  <c r="AU264" i="3" l="1"/>
  <c r="AO264" i="3"/>
  <c r="X265" i="3"/>
  <c r="H266" i="3"/>
  <c r="AU265" i="3" l="1"/>
  <c r="AO265" i="3"/>
  <c r="X266" i="3"/>
  <c r="H267" i="3"/>
  <c r="AU266" i="3" l="1"/>
  <c r="AO266" i="3"/>
  <c r="X267" i="3"/>
  <c r="H268" i="3"/>
  <c r="AU267" i="3" l="1"/>
  <c r="AO267" i="3"/>
  <c r="X268" i="3"/>
  <c r="H269" i="3"/>
  <c r="AU268" i="3" l="1"/>
  <c r="AO268" i="3"/>
  <c r="X269" i="3"/>
  <c r="H270" i="3"/>
  <c r="AU269" i="3" l="1"/>
  <c r="AO269" i="3"/>
  <c r="X270" i="3"/>
  <c r="H271" i="3"/>
  <c r="AU270" i="3" l="1"/>
  <c r="AO270" i="3"/>
  <c r="X271" i="3"/>
  <c r="H272" i="3"/>
  <c r="AU271" i="3" l="1"/>
  <c r="AO271" i="3"/>
  <c r="X272" i="3"/>
  <c r="H273" i="3"/>
  <c r="AU272" i="3" l="1"/>
  <c r="AO272" i="3"/>
  <c r="X273" i="3"/>
  <c r="H274" i="3"/>
  <c r="AU273" i="3" l="1"/>
  <c r="AO273" i="3"/>
  <c r="X274" i="3"/>
  <c r="H275" i="3"/>
  <c r="AU274" i="3" l="1"/>
  <c r="AO274" i="3"/>
  <c r="X275" i="3"/>
  <c r="H276" i="3"/>
  <c r="AU275" i="3" l="1"/>
  <c r="AO275" i="3"/>
  <c r="X276" i="3"/>
  <c r="H277" i="3"/>
  <c r="AU276" i="3" l="1"/>
  <c r="AO276" i="3"/>
  <c r="X277" i="3"/>
  <c r="H278" i="3"/>
  <c r="AU277" i="3" l="1"/>
  <c r="AO277" i="3"/>
  <c r="X278" i="3"/>
  <c r="H279" i="3"/>
  <c r="AU278" i="3" l="1"/>
  <c r="AO278" i="3"/>
  <c r="X279" i="3"/>
  <c r="H280" i="3"/>
  <c r="AU279" i="3" l="1"/>
  <c r="AO279" i="3"/>
  <c r="X280" i="3"/>
  <c r="H281" i="3"/>
  <c r="AU280" i="3" l="1"/>
  <c r="AO280" i="3"/>
  <c r="X281" i="3"/>
  <c r="H282" i="3"/>
  <c r="AU281" i="3" l="1"/>
  <c r="AO281" i="3"/>
  <c r="X282" i="3"/>
  <c r="H283" i="3"/>
  <c r="AU282" i="3" l="1"/>
  <c r="AO282" i="3"/>
  <c r="X283" i="3"/>
  <c r="H284" i="3"/>
  <c r="AU283" i="3" l="1"/>
  <c r="AO283" i="3"/>
  <c r="X284" i="3"/>
  <c r="H285" i="3"/>
  <c r="AU284" i="3" l="1"/>
  <c r="AO284" i="3"/>
  <c r="X285" i="3"/>
  <c r="H286" i="3"/>
  <c r="AU285" i="3" l="1"/>
  <c r="AO285" i="3"/>
  <c r="X286" i="3"/>
  <c r="H287" i="3"/>
  <c r="AU286" i="3" l="1"/>
  <c r="AO286" i="3"/>
  <c r="X287" i="3"/>
  <c r="H288" i="3"/>
  <c r="AU287" i="3" l="1"/>
  <c r="AO287" i="3"/>
  <c r="X288" i="3"/>
  <c r="H289" i="3"/>
  <c r="AU288" i="3" l="1"/>
  <c r="AO288" i="3"/>
  <c r="X289" i="3"/>
  <c r="H290" i="3"/>
  <c r="AU289" i="3" l="1"/>
  <c r="AO289" i="3"/>
  <c r="X290" i="3"/>
  <c r="H291" i="3"/>
  <c r="AU290" i="3" l="1"/>
  <c r="AO290" i="3"/>
  <c r="X291" i="3"/>
  <c r="H292" i="3"/>
  <c r="AU291" i="3" l="1"/>
  <c r="AO291" i="3"/>
  <c r="X292" i="3"/>
  <c r="H293" i="3"/>
  <c r="AU292" i="3" l="1"/>
  <c r="AO292" i="3"/>
  <c r="X293" i="3"/>
  <c r="H294" i="3"/>
  <c r="AU293" i="3" l="1"/>
  <c r="AO293" i="3"/>
  <c r="X294" i="3"/>
  <c r="H295" i="3"/>
  <c r="AU294" i="3" l="1"/>
  <c r="AO294" i="3"/>
  <c r="X295" i="3"/>
  <c r="H296" i="3"/>
  <c r="AU295" i="3" l="1"/>
  <c r="AO295" i="3"/>
  <c r="X296" i="3"/>
  <c r="H297" i="3"/>
  <c r="AU296" i="3" l="1"/>
  <c r="AO296" i="3"/>
  <c r="X297" i="3"/>
  <c r="H298" i="3"/>
  <c r="AU297" i="3" l="1"/>
  <c r="AO297" i="3"/>
  <c r="X298" i="3"/>
  <c r="H299" i="3"/>
  <c r="AU298" i="3" l="1"/>
  <c r="AO298" i="3"/>
  <c r="X299" i="3"/>
  <c r="H300" i="3"/>
  <c r="AU299" i="3" l="1"/>
  <c r="AO299" i="3"/>
  <c r="X300" i="3"/>
  <c r="H301" i="3"/>
  <c r="AU300" i="3" l="1"/>
  <c r="AO300" i="3"/>
  <c r="X301" i="3"/>
  <c r="H302" i="3"/>
  <c r="AU301" i="3" l="1"/>
  <c r="AO301" i="3"/>
  <c r="X302" i="3"/>
  <c r="H303" i="3"/>
  <c r="AU302" i="3" l="1"/>
  <c r="AO302" i="3"/>
  <c r="X303" i="3"/>
  <c r="H304" i="3"/>
  <c r="AU303" i="3" l="1"/>
  <c r="AO303" i="3"/>
  <c r="X304" i="3"/>
  <c r="H305" i="3"/>
  <c r="AU304" i="3" l="1"/>
  <c r="AO304" i="3"/>
  <c r="X305" i="3"/>
  <c r="H306" i="3"/>
  <c r="AU305" i="3" l="1"/>
  <c r="AO305" i="3"/>
  <c r="X306" i="3"/>
  <c r="H307" i="3"/>
  <c r="AU306" i="3" l="1"/>
  <c r="AO306" i="3"/>
  <c r="X307" i="3"/>
  <c r="H308" i="3"/>
  <c r="AU307" i="3" l="1"/>
  <c r="AO307" i="3"/>
  <c r="X308" i="3"/>
  <c r="H309" i="3"/>
  <c r="AU308" i="3" l="1"/>
  <c r="AO308" i="3"/>
  <c r="X309" i="3"/>
  <c r="H310" i="3"/>
  <c r="AU309" i="3" l="1"/>
  <c r="AO309" i="3"/>
  <c r="X310" i="3"/>
  <c r="H311" i="3"/>
  <c r="AU310" i="3" l="1"/>
  <c r="AO310" i="3"/>
  <c r="X311" i="3"/>
  <c r="H312" i="3"/>
  <c r="AU311" i="3" l="1"/>
  <c r="AO311" i="3"/>
  <c r="X312" i="3"/>
  <c r="H313" i="3"/>
  <c r="AU312" i="3" l="1"/>
  <c r="AO312" i="3"/>
  <c r="X313" i="3"/>
  <c r="H314" i="3"/>
  <c r="AU313" i="3" l="1"/>
  <c r="AO313" i="3"/>
  <c r="X314" i="3"/>
  <c r="H315" i="3"/>
  <c r="AU314" i="3" l="1"/>
  <c r="AO314" i="3"/>
  <c r="X315" i="3"/>
  <c r="H316" i="3"/>
  <c r="AU315" i="3" l="1"/>
  <c r="AO315" i="3"/>
  <c r="X316" i="3"/>
  <c r="H317" i="3"/>
  <c r="AU316" i="3" l="1"/>
  <c r="AO316" i="3"/>
  <c r="X317" i="3"/>
  <c r="H318" i="3"/>
  <c r="AU317" i="3" l="1"/>
  <c r="AO317" i="3"/>
  <c r="X318" i="3"/>
  <c r="H319" i="3"/>
  <c r="AU318" i="3" l="1"/>
  <c r="AO318" i="3"/>
  <c r="X319" i="3"/>
  <c r="H320" i="3"/>
  <c r="AU319" i="3" l="1"/>
  <c r="AO319" i="3"/>
  <c r="X320" i="3"/>
  <c r="H321" i="3"/>
  <c r="AU320" i="3" l="1"/>
  <c r="AO320" i="3"/>
  <c r="X321" i="3"/>
  <c r="H322" i="3"/>
  <c r="AU321" i="3" l="1"/>
  <c r="AO321" i="3"/>
  <c r="X322" i="3"/>
  <c r="H323" i="3"/>
  <c r="AU322" i="3" l="1"/>
  <c r="AO322" i="3"/>
  <c r="X323" i="3"/>
  <c r="H324" i="3"/>
  <c r="AU323" i="3" l="1"/>
  <c r="AO323" i="3"/>
  <c r="X324" i="3"/>
  <c r="H325" i="3"/>
  <c r="AU324" i="3" l="1"/>
  <c r="AO324" i="3"/>
  <c r="X325" i="3"/>
  <c r="H326" i="3"/>
  <c r="AU325" i="3" l="1"/>
  <c r="AO325" i="3"/>
  <c r="X326" i="3"/>
  <c r="H327" i="3"/>
  <c r="AU326" i="3" l="1"/>
  <c r="AO326" i="3"/>
  <c r="X327" i="3"/>
  <c r="H328" i="3"/>
  <c r="AU327" i="3" l="1"/>
  <c r="AO327" i="3"/>
  <c r="X328" i="3"/>
  <c r="H329" i="3"/>
  <c r="AU328" i="3" l="1"/>
  <c r="AO328" i="3"/>
  <c r="X329" i="3"/>
  <c r="H330" i="3"/>
  <c r="AU329" i="3" l="1"/>
  <c r="AO329" i="3"/>
  <c r="X330" i="3"/>
  <c r="H331" i="3"/>
  <c r="AU330" i="3" l="1"/>
  <c r="AO330" i="3"/>
  <c r="X331" i="3"/>
  <c r="H332" i="3"/>
  <c r="AU331" i="3" l="1"/>
  <c r="AO331" i="3"/>
  <c r="X332" i="3"/>
  <c r="H333" i="3"/>
  <c r="AU332" i="3" l="1"/>
  <c r="AO332" i="3"/>
  <c r="X333" i="3"/>
  <c r="H334" i="3"/>
  <c r="AU333" i="3" l="1"/>
  <c r="AO333" i="3"/>
  <c r="X334" i="3"/>
  <c r="H335" i="3"/>
  <c r="AU334" i="3" l="1"/>
  <c r="AO334" i="3"/>
  <c r="X335" i="3"/>
  <c r="H336" i="3"/>
  <c r="AU335" i="3" l="1"/>
  <c r="AO335" i="3"/>
  <c r="X336" i="3"/>
  <c r="H337" i="3"/>
  <c r="AU336" i="3" l="1"/>
  <c r="AO336" i="3"/>
  <c r="X337" i="3"/>
  <c r="H338" i="3"/>
  <c r="AU337" i="3" l="1"/>
  <c r="AO337" i="3"/>
  <c r="X338" i="3"/>
  <c r="H339" i="3"/>
  <c r="AU338" i="3" l="1"/>
  <c r="AO338" i="3"/>
  <c r="X339" i="3"/>
  <c r="H340" i="3"/>
  <c r="AU339" i="3" l="1"/>
  <c r="AO339" i="3"/>
  <c r="X340" i="3"/>
  <c r="H341" i="3"/>
  <c r="AU340" i="3" l="1"/>
  <c r="AO340" i="3"/>
  <c r="X341" i="3"/>
  <c r="H342" i="3"/>
  <c r="AU341" i="3" l="1"/>
  <c r="AO341" i="3"/>
  <c r="X342" i="3"/>
  <c r="H343" i="3"/>
  <c r="AU342" i="3" l="1"/>
  <c r="AO342" i="3"/>
  <c r="X343" i="3"/>
  <c r="H344" i="3"/>
  <c r="AU343" i="3" l="1"/>
  <c r="AO343" i="3"/>
  <c r="X344" i="3"/>
  <c r="H345" i="3"/>
  <c r="AU344" i="3" l="1"/>
  <c r="AO344" i="3"/>
  <c r="X345" i="3"/>
  <c r="H346" i="3"/>
  <c r="AU345" i="3" l="1"/>
  <c r="AO345" i="3"/>
  <c r="X346" i="3"/>
  <c r="H347" i="3"/>
  <c r="AU346" i="3" l="1"/>
  <c r="AO346" i="3"/>
  <c r="X347" i="3"/>
  <c r="H348" i="3"/>
  <c r="AU347" i="3" l="1"/>
  <c r="AO347" i="3"/>
  <c r="X348" i="3"/>
  <c r="H349" i="3"/>
  <c r="AU348" i="3" l="1"/>
  <c r="AO348" i="3"/>
  <c r="X349" i="3"/>
  <c r="H350" i="3"/>
  <c r="AU349" i="3" l="1"/>
  <c r="AO349" i="3"/>
  <c r="X350" i="3"/>
  <c r="H351" i="3"/>
  <c r="AU350" i="3" l="1"/>
  <c r="AO350" i="3"/>
  <c r="X351" i="3"/>
  <c r="H352" i="3"/>
  <c r="AU351" i="3" l="1"/>
  <c r="AO351" i="3"/>
  <c r="X352" i="3"/>
  <c r="H353" i="3"/>
  <c r="AU352" i="3" l="1"/>
  <c r="AO352" i="3"/>
  <c r="X353" i="3"/>
  <c r="H354" i="3"/>
  <c r="AU353" i="3" l="1"/>
  <c r="AO353" i="3"/>
  <c r="X354" i="3"/>
  <c r="H355" i="3"/>
  <c r="AU354" i="3" l="1"/>
  <c r="AO354" i="3"/>
  <c r="X355" i="3"/>
  <c r="H356" i="3"/>
  <c r="AU355" i="3" l="1"/>
  <c r="AO355" i="3"/>
  <c r="X356" i="3"/>
  <c r="H357" i="3"/>
  <c r="AU356" i="3" l="1"/>
  <c r="AO356" i="3"/>
  <c r="X357" i="3"/>
  <c r="H358" i="3"/>
  <c r="AU357" i="3" l="1"/>
  <c r="AO357" i="3"/>
  <c r="X358" i="3"/>
  <c r="H359" i="3"/>
  <c r="AU358" i="3" l="1"/>
  <c r="AO358" i="3"/>
  <c r="X359" i="3"/>
  <c r="H360" i="3"/>
  <c r="AU359" i="3" l="1"/>
  <c r="AO359" i="3"/>
  <c r="X360" i="3"/>
  <c r="H361" i="3"/>
  <c r="AU360" i="3" l="1"/>
  <c r="AO360" i="3"/>
  <c r="X361" i="3"/>
  <c r="H362" i="3"/>
  <c r="AU361" i="3" l="1"/>
  <c r="AO361" i="3"/>
  <c r="X362" i="3"/>
  <c r="H363" i="3"/>
  <c r="AU362" i="3" l="1"/>
  <c r="AO362" i="3"/>
  <c r="X363" i="3"/>
  <c r="H364" i="3"/>
  <c r="AU363" i="3" l="1"/>
  <c r="AO363" i="3"/>
  <c r="X364" i="3"/>
  <c r="H365" i="3"/>
  <c r="AU364" i="3" l="1"/>
  <c r="AO364" i="3"/>
  <c r="X365" i="3"/>
  <c r="H366" i="3"/>
  <c r="AU365" i="3" l="1"/>
  <c r="AO365" i="3"/>
  <c r="X366" i="3"/>
  <c r="H367" i="3"/>
  <c r="AU366" i="3" l="1"/>
  <c r="AO366" i="3"/>
  <c r="X367" i="3"/>
  <c r="H368" i="3"/>
  <c r="AU367" i="3" l="1"/>
  <c r="AO367" i="3"/>
  <c r="X368" i="3"/>
  <c r="H369" i="3"/>
  <c r="AU368" i="3" l="1"/>
  <c r="AO368" i="3"/>
  <c r="X369" i="3"/>
  <c r="H370" i="3"/>
  <c r="AU369" i="3" l="1"/>
  <c r="AO369" i="3"/>
  <c r="X370" i="3"/>
  <c r="H371" i="3"/>
  <c r="AU370" i="3" l="1"/>
  <c r="AO370" i="3"/>
  <c r="X371" i="3"/>
  <c r="H372" i="3"/>
  <c r="AU371" i="3" l="1"/>
  <c r="AO371" i="3"/>
  <c r="X372" i="3"/>
  <c r="H373" i="3"/>
  <c r="AU372" i="3" l="1"/>
  <c r="AO372" i="3"/>
  <c r="X373" i="3"/>
  <c r="H374" i="3"/>
  <c r="AU373" i="3" l="1"/>
  <c r="AO373" i="3"/>
  <c r="X374" i="3"/>
  <c r="H375" i="3"/>
  <c r="AU374" i="3" l="1"/>
  <c r="AO374" i="3"/>
  <c r="X375" i="3"/>
  <c r="H376" i="3"/>
  <c r="AU375" i="3" l="1"/>
  <c r="AO375" i="3"/>
  <c r="X376" i="3"/>
  <c r="H377" i="3"/>
  <c r="AU376" i="3" l="1"/>
  <c r="AO376" i="3"/>
  <c r="X377" i="3"/>
  <c r="H378" i="3"/>
  <c r="AU377" i="3" l="1"/>
  <c r="AO377" i="3"/>
  <c r="X378" i="3"/>
  <c r="H379" i="3"/>
  <c r="AU378" i="3" l="1"/>
  <c r="AO378" i="3"/>
  <c r="X379" i="3"/>
  <c r="H380" i="3"/>
  <c r="AU379" i="3" l="1"/>
  <c r="AO379" i="3"/>
  <c r="X380" i="3"/>
  <c r="H381" i="3"/>
  <c r="AU380" i="3" l="1"/>
  <c r="AO380" i="3"/>
  <c r="X381" i="3"/>
  <c r="H382" i="3"/>
  <c r="AU381" i="3" l="1"/>
  <c r="AO381" i="3"/>
  <c r="X382" i="3"/>
  <c r="H383" i="3"/>
  <c r="AU382" i="3" l="1"/>
  <c r="AO382" i="3"/>
  <c r="X383" i="3"/>
  <c r="H384" i="3"/>
  <c r="AU383" i="3" l="1"/>
  <c r="AO383" i="3"/>
  <c r="X384" i="3"/>
  <c r="H385" i="3"/>
  <c r="AU384" i="3" l="1"/>
  <c r="AO384" i="3"/>
  <c r="X385" i="3"/>
  <c r="H386" i="3"/>
  <c r="AU385" i="3" l="1"/>
  <c r="AO385" i="3"/>
  <c r="X386" i="3"/>
  <c r="H387" i="3"/>
  <c r="AU386" i="3" l="1"/>
  <c r="AO386" i="3"/>
  <c r="X387" i="3"/>
  <c r="H388" i="3"/>
  <c r="AU387" i="3" l="1"/>
  <c r="AO387" i="3"/>
  <c r="X388" i="3"/>
  <c r="H389" i="3"/>
  <c r="AU388" i="3" l="1"/>
  <c r="AO388" i="3"/>
  <c r="X389" i="3"/>
  <c r="H390" i="3"/>
  <c r="AU389" i="3" l="1"/>
  <c r="AO389" i="3"/>
  <c r="X390" i="3"/>
  <c r="H391" i="3"/>
  <c r="AU390" i="3" l="1"/>
  <c r="AO390" i="3"/>
  <c r="X391" i="3"/>
  <c r="H392" i="3"/>
  <c r="AU391" i="3" l="1"/>
  <c r="AO391" i="3"/>
  <c r="X392" i="3"/>
  <c r="H393" i="3"/>
  <c r="AU392" i="3" l="1"/>
  <c r="AO392" i="3"/>
  <c r="X393" i="3"/>
  <c r="H394" i="3"/>
  <c r="AU393" i="3" l="1"/>
  <c r="AO393" i="3"/>
  <c r="X394" i="3"/>
  <c r="H395" i="3"/>
  <c r="AU394" i="3" l="1"/>
  <c r="AO394" i="3"/>
  <c r="X395" i="3"/>
  <c r="H396" i="3"/>
  <c r="AU395" i="3" l="1"/>
  <c r="AO395" i="3"/>
  <c r="X396" i="3"/>
  <c r="H397" i="3"/>
  <c r="AU396" i="3" l="1"/>
  <c r="AO396" i="3"/>
  <c r="X397" i="3"/>
  <c r="H398" i="3"/>
  <c r="AU397" i="3" l="1"/>
  <c r="AO397" i="3"/>
  <c r="X398" i="3"/>
  <c r="H399" i="3"/>
  <c r="AU398" i="3" l="1"/>
  <c r="AO398" i="3"/>
  <c r="X399" i="3"/>
  <c r="H400" i="3"/>
  <c r="AU399" i="3" l="1"/>
  <c r="AO399" i="3"/>
  <c r="X400" i="3"/>
  <c r="H401" i="3"/>
  <c r="AU400" i="3" l="1"/>
  <c r="AO400" i="3"/>
  <c r="X401" i="3"/>
  <c r="H402" i="3"/>
  <c r="AU401" i="3" l="1"/>
  <c r="AO401" i="3"/>
  <c r="X402" i="3"/>
  <c r="H403" i="3"/>
  <c r="AU402" i="3" l="1"/>
  <c r="AO402" i="3"/>
  <c r="X403" i="3"/>
  <c r="H404" i="3"/>
  <c r="AU403" i="3" l="1"/>
  <c r="AO403" i="3"/>
  <c r="X404" i="3"/>
  <c r="H405" i="3"/>
  <c r="AU404" i="3" l="1"/>
  <c r="AO404" i="3"/>
  <c r="X405" i="3"/>
  <c r="H406" i="3"/>
  <c r="AU405" i="3" l="1"/>
  <c r="AO405" i="3"/>
  <c r="X406" i="3"/>
  <c r="H407" i="3"/>
  <c r="AU406" i="3" l="1"/>
  <c r="AO406" i="3"/>
  <c r="X407" i="3"/>
  <c r="H408" i="3"/>
  <c r="AU407" i="3" l="1"/>
  <c r="AO407" i="3"/>
  <c r="X408" i="3"/>
  <c r="H409" i="3"/>
  <c r="AU408" i="3" l="1"/>
  <c r="AO408" i="3"/>
  <c r="X409" i="3"/>
  <c r="H410" i="3"/>
  <c r="AU409" i="3" l="1"/>
  <c r="AO409" i="3"/>
  <c r="X410" i="3"/>
  <c r="H411" i="3"/>
  <c r="AU410" i="3" l="1"/>
  <c r="AO410" i="3"/>
  <c r="X411" i="3"/>
  <c r="H412" i="3"/>
  <c r="AU411" i="3" l="1"/>
  <c r="AO411" i="3"/>
  <c r="X412" i="3"/>
  <c r="H413" i="3"/>
  <c r="AU412" i="3" l="1"/>
  <c r="AO412" i="3"/>
  <c r="X413" i="3"/>
  <c r="H414" i="3"/>
  <c r="AU413" i="3" l="1"/>
  <c r="AO413" i="3"/>
  <c r="X414" i="3"/>
  <c r="H415" i="3"/>
  <c r="AU414" i="3" l="1"/>
  <c r="AO414" i="3"/>
  <c r="X415" i="3"/>
  <c r="H416" i="3"/>
  <c r="AU415" i="3" l="1"/>
  <c r="AO415" i="3"/>
  <c r="X416" i="3"/>
  <c r="H417" i="3"/>
  <c r="AU416" i="3" l="1"/>
  <c r="AO416" i="3"/>
  <c r="X417" i="3"/>
  <c r="H418" i="3"/>
  <c r="AU417" i="3" l="1"/>
  <c r="AO417" i="3"/>
  <c r="X418" i="3"/>
  <c r="H419" i="3"/>
  <c r="AU418" i="3" l="1"/>
  <c r="AO418" i="3"/>
  <c r="X419" i="3"/>
  <c r="H420" i="3"/>
  <c r="AU419" i="3" l="1"/>
  <c r="AO419" i="3"/>
  <c r="X420" i="3"/>
  <c r="H421" i="3"/>
  <c r="AU420" i="3" l="1"/>
  <c r="AO420" i="3"/>
  <c r="X421" i="3"/>
  <c r="H422" i="3"/>
  <c r="AU421" i="3" l="1"/>
  <c r="AO421" i="3"/>
  <c r="X422" i="3"/>
  <c r="H423" i="3"/>
  <c r="AU422" i="3" l="1"/>
  <c r="AO422" i="3"/>
  <c r="X423" i="3"/>
  <c r="H424" i="3"/>
  <c r="AU423" i="3" l="1"/>
  <c r="AO423" i="3"/>
  <c r="X424" i="3"/>
  <c r="H425" i="3"/>
  <c r="AU424" i="3" l="1"/>
  <c r="AO424" i="3"/>
  <c r="X425" i="3"/>
  <c r="H426" i="3"/>
  <c r="AU425" i="3" l="1"/>
  <c r="AO425" i="3"/>
  <c r="X426" i="3"/>
  <c r="H427" i="3"/>
  <c r="AU426" i="3" l="1"/>
  <c r="AO426" i="3"/>
  <c r="X427" i="3"/>
  <c r="H428" i="3"/>
  <c r="AU427" i="3" l="1"/>
  <c r="AO427" i="3"/>
  <c r="X428" i="3"/>
  <c r="H429" i="3"/>
  <c r="AU428" i="3" l="1"/>
  <c r="AO428" i="3"/>
  <c r="X429" i="3"/>
  <c r="H430" i="3"/>
  <c r="AU429" i="3" l="1"/>
  <c r="AO429" i="3"/>
  <c r="X430" i="3"/>
  <c r="H431" i="3"/>
  <c r="AU430" i="3" l="1"/>
  <c r="AO430" i="3"/>
  <c r="X431" i="3"/>
  <c r="H432" i="3"/>
  <c r="AU431" i="3" l="1"/>
  <c r="AO431" i="3"/>
  <c r="X432" i="3"/>
  <c r="H433" i="3"/>
  <c r="AU432" i="3" l="1"/>
  <c r="AO432" i="3"/>
  <c r="X433" i="3"/>
  <c r="H434" i="3"/>
  <c r="AU433" i="3" l="1"/>
  <c r="AO433" i="3"/>
  <c r="X434" i="3"/>
  <c r="H435" i="3"/>
  <c r="AU434" i="3" l="1"/>
  <c r="AO434" i="3"/>
  <c r="X435" i="3"/>
  <c r="H436" i="3"/>
  <c r="AU435" i="3" l="1"/>
  <c r="AO435" i="3"/>
  <c r="X436" i="3"/>
  <c r="H437" i="3"/>
  <c r="AU436" i="3" l="1"/>
  <c r="AO436" i="3"/>
  <c r="X437" i="3"/>
  <c r="H438" i="3"/>
  <c r="AU437" i="3" l="1"/>
  <c r="AO437" i="3"/>
  <c r="X438" i="3"/>
  <c r="H439" i="3"/>
  <c r="AU438" i="3" l="1"/>
  <c r="AO438" i="3"/>
  <c r="X439" i="3"/>
  <c r="H440" i="3"/>
  <c r="AU439" i="3" l="1"/>
  <c r="AO439" i="3"/>
  <c r="X440" i="3"/>
  <c r="H441" i="3"/>
  <c r="AU440" i="3" l="1"/>
  <c r="AO440" i="3"/>
  <c r="X441" i="3"/>
  <c r="H442" i="3"/>
  <c r="AU441" i="3" l="1"/>
  <c r="AO441" i="3"/>
  <c r="X442" i="3"/>
  <c r="H443" i="3"/>
  <c r="AU442" i="3" l="1"/>
  <c r="AO442" i="3"/>
  <c r="X443" i="3"/>
  <c r="H444" i="3"/>
  <c r="AU443" i="3" l="1"/>
  <c r="AO443" i="3"/>
  <c r="X444" i="3"/>
  <c r="H445" i="3"/>
  <c r="AU444" i="3" l="1"/>
  <c r="AO444" i="3"/>
  <c r="X445" i="3"/>
  <c r="H446" i="3"/>
  <c r="AU445" i="3" l="1"/>
  <c r="AO445" i="3"/>
  <c r="X446" i="3"/>
  <c r="H447" i="3"/>
  <c r="AU446" i="3" l="1"/>
  <c r="AO446" i="3"/>
  <c r="X447" i="3"/>
  <c r="H448" i="3"/>
  <c r="AU447" i="3" l="1"/>
  <c r="AO447" i="3"/>
  <c r="X448" i="3"/>
  <c r="H449" i="3"/>
  <c r="AU448" i="3" l="1"/>
  <c r="AO448" i="3"/>
  <c r="X449" i="3"/>
  <c r="H450" i="3"/>
  <c r="AU449" i="3" l="1"/>
  <c r="AO449" i="3"/>
  <c r="X450" i="3"/>
  <c r="H451" i="3"/>
  <c r="AU450" i="3" l="1"/>
  <c r="AO450" i="3"/>
  <c r="X451" i="3"/>
  <c r="H452" i="3"/>
  <c r="AU451" i="3" l="1"/>
  <c r="AO451" i="3"/>
  <c r="X452" i="3"/>
  <c r="H453" i="3"/>
  <c r="AU452" i="3" l="1"/>
  <c r="AO452" i="3"/>
  <c r="X453" i="3"/>
  <c r="H454" i="3"/>
  <c r="AU453" i="3" l="1"/>
  <c r="AO453" i="3"/>
  <c r="X454" i="3"/>
  <c r="H455" i="3"/>
  <c r="AU454" i="3" l="1"/>
  <c r="AO454" i="3"/>
  <c r="X455" i="3"/>
  <c r="H456" i="3"/>
  <c r="AU455" i="3" l="1"/>
  <c r="AO455" i="3"/>
  <c r="X456" i="3"/>
  <c r="H457" i="3"/>
  <c r="AU456" i="3" l="1"/>
  <c r="AO456" i="3"/>
  <c r="X457" i="3"/>
  <c r="H458" i="3"/>
  <c r="AU457" i="3" l="1"/>
  <c r="AO457" i="3"/>
  <c r="X458" i="3"/>
  <c r="H459" i="3"/>
  <c r="AU458" i="3" l="1"/>
  <c r="AO458" i="3"/>
  <c r="X459" i="3"/>
  <c r="H460" i="3"/>
  <c r="AU459" i="3" l="1"/>
  <c r="AO459" i="3"/>
  <c r="X460" i="3"/>
  <c r="H461" i="3"/>
  <c r="AU460" i="3" l="1"/>
  <c r="AO460" i="3"/>
  <c r="X461" i="3"/>
  <c r="H462" i="3"/>
  <c r="AU461" i="3" l="1"/>
  <c r="AO461" i="3"/>
  <c r="X462" i="3"/>
  <c r="H463" i="3"/>
  <c r="AU462" i="3" l="1"/>
  <c r="AO462" i="3"/>
  <c r="X463" i="3"/>
  <c r="H464" i="3"/>
  <c r="AU463" i="3" l="1"/>
  <c r="AO463" i="3"/>
  <c r="X464" i="3"/>
  <c r="H465" i="3"/>
  <c r="AU464" i="3" l="1"/>
  <c r="AO464" i="3"/>
  <c r="X465" i="3"/>
  <c r="H466" i="3"/>
  <c r="AU465" i="3" l="1"/>
  <c r="AO465" i="3"/>
  <c r="X466" i="3"/>
  <c r="H467" i="3"/>
  <c r="AU466" i="3" l="1"/>
  <c r="AO466" i="3"/>
  <c r="X467" i="3"/>
  <c r="H468" i="3"/>
  <c r="AU467" i="3" l="1"/>
  <c r="AO467" i="3"/>
  <c r="X468" i="3"/>
  <c r="H469" i="3"/>
  <c r="AU468" i="3" l="1"/>
  <c r="AO468" i="3"/>
  <c r="X469" i="3"/>
  <c r="H470" i="3"/>
  <c r="AU469" i="3" l="1"/>
  <c r="AO469" i="3"/>
  <c r="X470" i="3"/>
  <c r="H471" i="3"/>
  <c r="AU470" i="3" l="1"/>
  <c r="AO470" i="3"/>
  <c r="X471" i="3"/>
  <c r="H472" i="3"/>
  <c r="AU471" i="3" l="1"/>
  <c r="AO471" i="3"/>
  <c r="X472" i="3"/>
  <c r="H473" i="3"/>
  <c r="AU472" i="3" l="1"/>
  <c r="AO472" i="3"/>
  <c r="X473" i="3"/>
  <c r="H474" i="3"/>
  <c r="AU473" i="3" l="1"/>
  <c r="AO473" i="3"/>
  <c r="X474" i="3"/>
  <c r="H475" i="3"/>
  <c r="AU474" i="3" l="1"/>
  <c r="AO474" i="3"/>
  <c r="X475" i="3"/>
  <c r="H476" i="3"/>
  <c r="AU475" i="3" l="1"/>
  <c r="AO475" i="3"/>
  <c r="X476" i="3"/>
  <c r="H477" i="3"/>
  <c r="AU476" i="3" l="1"/>
  <c r="AO476" i="3"/>
  <c r="X477" i="3"/>
  <c r="H478" i="3"/>
  <c r="AU477" i="3" l="1"/>
  <c r="AO477" i="3"/>
  <c r="X478" i="3"/>
  <c r="H479" i="3"/>
  <c r="AU478" i="3" l="1"/>
  <c r="AO478" i="3"/>
  <c r="X479" i="3"/>
  <c r="H480" i="3"/>
  <c r="AU479" i="3" l="1"/>
  <c r="AO479" i="3"/>
  <c r="X480" i="3"/>
  <c r="H481" i="3"/>
  <c r="AU480" i="3" l="1"/>
  <c r="AO480" i="3"/>
  <c r="X481" i="3"/>
  <c r="H482" i="3"/>
  <c r="AU481" i="3" l="1"/>
  <c r="AO481" i="3"/>
  <c r="X482" i="3"/>
  <c r="H483" i="3"/>
  <c r="AU482" i="3" l="1"/>
  <c r="AO482" i="3"/>
  <c r="X483" i="3"/>
  <c r="H484" i="3"/>
  <c r="AU483" i="3" l="1"/>
  <c r="AO483" i="3"/>
  <c r="X484" i="3"/>
  <c r="H485" i="3"/>
  <c r="AU484" i="3" l="1"/>
  <c r="AO484" i="3"/>
  <c r="X485" i="3"/>
  <c r="H486" i="3"/>
  <c r="AU485" i="3" l="1"/>
  <c r="AO485" i="3"/>
  <c r="X486" i="3"/>
  <c r="H487" i="3"/>
  <c r="AU486" i="3" l="1"/>
  <c r="AO486" i="3"/>
  <c r="X487" i="3"/>
  <c r="H488" i="3"/>
  <c r="AU487" i="3" l="1"/>
  <c r="AO487" i="3"/>
  <c r="X488" i="3"/>
  <c r="H489" i="3"/>
  <c r="AU488" i="3" l="1"/>
  <c r="AO488" i="3"/>
  <c r="X489" i="3"/>
  <c r="H490" i="3"/>
  <c r="AU489" i="3" l="1"/>
  <c r="AO489" i="3"/>
  <c r="X490" i="3"/>
  <c r="H491" i="3"/>
  <c r="AU490" i="3" l="1"/>
  <c r="AO490" i="3"/>
  <c r="X491" i="3"/>
  <c r="H492" i="3"/>
  <c r="AU491" i="3" l="1"/>
  <c r="AO491" i="3"/>
  <c r="X492" i="3"/>
  <c r="H493" i="3"/>
  <c r="AU492" i="3" l="1"/>
  <c r="AO492" i="3"/>
  <c r="X493" i="3"/>
  <c r="H494" i="3"/>
  <c r="AU493" i="3" l="1"/>
  <c r="AO493" i="3"/>
  <c r="X494" i="3"/>
  <c r="H495" i="3"/>
  <c r="AU494" i="3" l="1"/>
  <c r="AO494" i="3"/>
  <c r="X495" i="3"/>
  <c r="H496" i="3"/>
  <c r="AU495" i="3" l="1"/>
  <c r="AO495" i="3"/>
  <c r="X496" i="3"/>
  <c r="H497" i="3"/>
  <c r="AU496" i="3" l="1"/>
  <c r="AO496" i="3"/>
  <c r="X497" i="3"/>
  <c r="H498" i="3"/>
  <c r="AU497" i="3" l="1"/>
  <c r="AO497" i="3"/>
  <c r="X498" i="3"/>
  <c r="H499" i="3"/>
  <c r="AU498" i="3" l="1"/>
  <c r="AO498" i="3"/>
  <c r="X499" i="3"/>
  <c r="H500" i="3"/>
  <c r="AU499" i="3" l="1"/>
  <c r="AO499" i="3"/>
  <c r="X500" i="3"/>
  <c r="H501" i="3"/>
  <c r="AU500" i="3" l="1"/>
  <c r="AO500" i="3"/>
  <c r="X501" i="3"/>
  <c r="H502" i="3"/>
  <c r="AU501" i="3" l="1"/>
  <c r="AO501" i="3"/>
  <c r="X502" i="3"/>
  <c r="H503" i="3"/>
  <c r="AU502" i="3" l="1"/>
  <c r="AO502" i="3"/>
  <c r="X503" i="3"/>
  <c r="H504" i="3"/>
  <c r="AU503" i="3" l="1"/>
  <c r="AO503" i="3"/>
  <c r="X504" i="3"/>
  <c r="H505" i="3"/>
  <c r="AU504" i="3" l="1"/>
  <c r="AO504" i="3"/>
  <c r="X505" i="3"/>
  <c r="H506" i="3"/>
  <c r="AU505" i="3" l="1"/>
  <c r="AO505" i="3"/>
  <c r="X506" i="3"/>
  <c r="H507" i="3"/>
  <c r="AU506" i="3" l="1"/>
  <c r="AO506" i="3"/>
  <c r="X507" i="3"/>
  <c r="H508" i="3"/>
  <c r="AU507" i="3" l="1"/>
  <c r="AO507" i="3"/>
  <c r="X508" i="3"/>
  <c r="H509" i="3"/>
  <c r="AU508" i="3" l="1"/>
  <c r="AO508" i="3"/>
  <c r="X509" i="3"/>
  <c r="H510" i="3"/>
  <c r="AU509" i="3" l="1"/>
  <c r="AO509" i="3"/>
  <c r="X510" i="3"/>
  <c r="H511" i="3"/>
  <c r="AU510" i="3" l="1"/>
  <c r="AO510" i="3"/>
  <c r="X511" i="3"/>
  <c r="H512" i="3"/>
  <c r="AU511" i="3" l="1"/>
  <c r="AO511" i="3"/>
  <c r="X512" i="3"/>
  <c r="H513" i="3"/>
  <c r="AU512" i="3" l="1"/>
  <c r="AO512" i="3"/>
  <c r="X513" i="3"/>
  <c r="H514" i="3"/>
  <c r="AU513" i="3" l="1"/>
  <c r="AO513" i="3"/>
  <c r="X514" i="3"/>
  <c r="H515" i="3"/>
  <c r="AU514" i="3" l="1"/>
  <c r="AO514" i="3"/>
  <c r="X515" i="3"/>
  <c r="H516" i="3"/>
  <c r="AU515" i="3" l="1"/>
  <c r="AO515" i="3"/>
  <c r="X516" i="3"/>
  <c r="H517" i="3"/>
  <c r="AU516" i="3" l="1"/>
  <c r="AO516" i="3"/>
  <c r="X517" i="3"/>
  <c r="H518" i="3"/>
  <c r="AU517" i="3" l="1"/>
  <c r="AO517" i="3"/>
  <c r="X518" i="3"/>
  <c r="H519" i="3"/>
  <c r="AU518" i="3" l="1"/>
  <c r="AO518" i="3"/>
  <c r="X519" i="3"/>
  <c r="H520" i="3"/>
  <c r="AU519" i="3" l="1"/>
  <c r="AO519" i="3"/>
  <c r="X520" i="3"/>
  <c r="H521" i="3"/>
  <c r="AU520" i="3" l="1"/>
  <c r="AO520" i="3"/>
  <c r="X521" i="3"/>
  <c r="H522" i="3"/>
  <c r="AU521" i="3" l="1"/>
  <c r="AO521" i="3"/>
  <c r="X522" i="3"/>
  <c r="H523" i="3"/>
  <c r="AU522" i="3" l="1"/>
  <c r="AO522" i="3"/>
  <c r="X523" i="3"/>
  <c r="H524" i="3"/>
  <c r="AU523" i="3" l="1"/>
  <c r="AO523" i="3"/>
  <c r="X524" i="3"/>
  <c r="H525" i="3"/>
  <c r="AU524" i="3" l="1"/>
  <c r="AO524" i="3"/>
  <c r="X525" i="3"/>
  <c r="H526" i="3"/>
  <c r="AU525" i="3" l="1"/>
  <c r="AO525" i="3"/>
  <c r="X526" i="3"/>
  <c r="H527" i="3"/>
  <c r="AU526" i="3" l="1"/>
  <c r="AO526" i="3"/>
  <c r="X527" i="3"/>
  <c r="H528" i="3"/>
  <c r="AU527" i="3" l="1"/>
  <c r="AO527" i="3"/>
  <c r="X528" i="3"/>
  <c r="H529" i="3"/>
  <c r="AU528" i="3" l="1"/>
  <c r="AO528" i="3"/>
  <c r="X529" i="3"/>
  <c r="H530" i="3"/>
  <c r="AU529" i="3" l="1"/>
  <c r="AO529" i="3"/>
  <c r="X530" i="3"/>
  <c r="H531" i="3"/>
  <c r="AU530" i="3" l="1"/>
  <c r="AO530" i="3"/>
  <c r="X531" i="3"/>
  <c r="H532" i="3"/>
  <c r="AU531" i="3" l="1"/>
  <c r="AO531" i="3"/>
  <c r="X532" i="3"/>
  <c r="H533" i="3"/>
  <c r="AU532" i="3" l="1"/>
  <c r="AO532" i="3"/>
  <c r="X533" i="3"/>
  <c r="H534" i="3"/>
  <c r="AU533" i="3" l="1"/>
  <c r="AO533" i="3"/>
  <c r="X534" i="3"/>
  <c r="H535" i="3"/>
  <c r="AU534" i="3" l="1"/>
  <c r="AO534" i="3"/>
  <c r="X535" i="3"/>
  <c r="H536" i="3"/>
  <c r="AU535" i="3" l="1"/>
  <c r="AO535" i="3"/>
  <c r="X536" i="3"/>
  <c r="H537" i="3"/>
  <c r="AU536" i="3" l="1"/>
  <c r="AO536" i="3"/>
  <c r="X537" i="3"/>
  <c r="H538" i="3"/>
  <c r="AU537" i="3" l="1"/>
  <c r="AO537" i="3"/>
  <c r="X538" i="3"/>
  <c r="H539" i="3"/>
  <c r="AU538" i="3" l="1"/>
  <c r="AO538" i="3"/>
  <c r="X539" i="3"/>
  <c r="H540" i="3"/>
  <c r="AU539" i="3" l="1"/>
  <c r="AO539" i="3"/>
  <c r="X540" i="3"/>
  <c r="H541" i="3"/>
  <c r="AU540" i="3" l="1"/>
  <c r="AO540" i="3"/>
  <c r="X541" i="3"/>
  <c r="H542" i="3"/>
  <c r="AU541" i="3" l="1"/>
  <c r="AO541" i="3"/>
  <c r="X542" i="3"/>
  <c r="H543" i="3"/>
  <c r="AU542" i="3" l="1"/>
  <c r="AO542" i="3"/>
  <c r="X543" i="3"/>
  <c r="H544" i="3"/>
  <c r="AU543" i="3" l="1"/>
  <c r="AO543" i="3"/>
  <c r="X544" i="3"/>
  <c r="H545" i="3"/>
  <c r="AU544" i="3" l="1"/>
  <c r="AO544" i="3"/>
  <c r="X545" i="3"/>
  <c r="H546" i="3"/>
  <c r="AU545" i="3" l="1"/>
  <c r="AO545" i="3"/>
  <c r="X546" i="3"/>
  <c r="H547" i="3"/>
  <c r="AU546" i="3" l="1"/>
  <c r="AO546" i="3"/>
  <c r="X547" i="3"/>
  <c r="H548" i="3"/>
  <c r="AU547" i="3" l="1"/>
  <c r="AO547" i="3"/>
  <c r="X548" i="3"/>
  <c r="H549" i="3"/>
  <c r="AU548" i="3" l="1"/>
  <c r="AO548" i="3"/>
  <c r="X549" i="3"/>
  <c r="H550" i="3"/>
  <c r="AU549" i="3" l="1"/>
  <c r="AO549" i="3"/>
  <c r="X550" i="3"/>
  <c r="H551" i="3"/>
  <c r="AU550" i="3" l="1"/>
  <c r="AO550" i="3"/>
  <c r="X551" i="3"/>
  <c r="H552" i="3"/>
  <c r="AU551" i="3" l="1"/>
  <c r="AO551" i="3"/>
  <c r="X552" i="3"/>
  <c r="H553" i="3"/>
  <c r="AU552" i="3" l="1"/>
  <c r="AO552" i="3"/>
  <c r="X553" i="3"/>
  <c r="H554" i="3"/>
  <c r="AU553" i="3" l="1"/>
  <c r="AO553" i="3"/>
  <c r="X554" i="3"/>
  <c r="H555" i="3"/>
  <c r="AU554" i="3" l="1"/>
  <c r="AO554" i="3"/>
  <c r="X555" i="3"/>
  <c r="H556" i="3"/>
  <c r="AU555" i="3" l="1"/>
  <c r="AO555" i="3"/>
  <c r="X556" i="3"/>
  <c r="H557" i="3"/>
  <c r="AU556" i="3" l="1"/>
  <c r="AO556" i="3"/>
  <c r="X557" i="3"/>
  <c r="H558" i="3"/>
  <c r="AU557" i="3" l="1"/>
  <c r="AO557" i="3"/>
  <c r="X558" i="3"/>
  <c r="H559" i="3"/>
  <c r="AU558" i="3" l="1"/>
  <c r="AO558" i="3"/>
  <c r="X559" i="3"/>
  <c r="H560" i="3"/>
  <c r="AU559" i="3" l="1"/>
  <c r="AO559" i="3"/>
  <c r="X560" i="3"/>
  <c r="H561" i="3"/>
  <c r="AU560" i="3" l="1"/>
  <c r="AO560" i="3"/>
  <c r="X561" i="3"/>
  <c r="H562" i="3"/>
  <c r="AU561" i="3" l="1"/>
  <c r="AO561" i="3"/>
  <c r="X562" i="3"/>
  <c r="H563" i="3"/>
  <c r="AU562" i="3" l="1"/>
  <c r="AO562" i="3"/>
  <c r="X563" i="3"/>
  <c r="H564" i="3"/>
  <c r="AU563" i="3" l="1"/>
  <c r="AO563" i="3"/>
  <c r="X564" i="3"/>
  <c r="H565" i="3"/>
  <c r="AU564" i="3" l="1"/>
  <c r="AO564" i="3"/>
  <c r="X565" i="3"/>
  <c r="H566" i="3"/>
  <c r="AU565" i="3" l="1"/>
  <c r="AO565" i="3"/>
  <c r="X566" i="3"/>
  <c r="H567" i="3"/>
  <c r="AU566" i="3" l="1"/>
  <c r="AO566" i="3"/>
  <c r="X567" i="3"/>
  <c r="H568" i="3"/>
  <c r="AU567" i="3" l="1"/>
  <c r="AO567" i="3"/>
  <c r="X568" i="3"/>
  <c r="H569" i="3"/>
  <c r="AU568" i="3" l="1"/>
  <c r="AO568" i="3"/>
  <c r="X569" i="3"/>
  <c r="H570" i="3"/>
  <c r="AU569" i="3" l="1"/>
  <c r="AO569" i="3"/>
  <c r="X570" i="3"/>
  <c r="H571" i="3"/>
  <c r="AU570" i="3" l="1"/>
  <c r="AO570" i="3"/>
  <c r="X571" i="3"/>
  <c r="H572" i="3"/>
  <c r="AU571" i="3" l="1"/>
  <c r="AO571" i="3"/>
  <c r="X572" i="3"/>
  <c r="H573" i="3"/>
  <c r="AU572" i="3" l="1"/>
  <c r="AO572" i="3"/>
  <c r="X573" i="3"/>
  <c r="H574" i="3"/>
  <c r="AU573" i="3" l="1"/>
  <c r="AO573" i="3"/>
  <c r="X574" i="3"/>
  <c r="H575" i="3"/>
  <c r="AU574" i="3" l="1"/>
  <c r="AO574" i="3"/>
  <c r="X575" i="3"/>
  <c r="H576" i="3"/>
  <c r="AU575" i="3" l="1"/>
  <c r="AO575" i="3"/>
  <c r="X576" i="3"/>
  <c r="H577" i="3"/>
  <c r="AU576" i="3" l="1"/>
  <c r="AO576" i="3"/>
  <c r="X577" i="3"/>
  <c r="H578" i="3"/>
  <c r="AU577" i="3" l="1"/>
  <c r="AO577" i="3"/>
  <c r="X578" i="3"/>
  <c r="H579" i="3"/>
  <c r="AU578" i="3" l="1"/>
  <c r="AO578" i="3"/>
  <c r="X579" i="3"/>
  <c r="H580" i="3"/>
  <c r="AU579" i="3" l="1"/>
  <c r="AO579" i="3"/>
  <c r="X580" i="3"/>
  <c r="H581" i="3"/>
  <c r="AU580" i="3" l="1"/>
  <c r="AO580" i="3"/>
  <c r="X581" i="3"/>
  <c r="H582" i="3"/>
  <c r="AU581" i="3" l="1"/>
  <c r="AO581" i="3"/>
  <c r="X582" i="3"/>
  <c r="H583" i="3"/>
  <c r="AU582" i="3" l="1"/>
  <c r="AO582" i="3"/>
  <c r="X583" i="3"/>
  <c r="H584" i="3"/>
  <c r="AU583" i="3" l="1"/>
  <c r="AO583" i="3"/>
  <c r="X584" i="3"/>
  <c r="H585" i="3"/>
  <c r="AU584" i="3" l="1"/>
  <c r="AO584" i="3"/>
  <c r="X585" i="3"/>
  <c r="H586" i="3"/>
  <c r="AU585" i="3" l="1"/>
  <c r="AO585" i="3"/>
  <c r="X586" i="3"/>
  <c r="H587" i="3"/>
  <c r="AU586" i="3" l="1"/>
  <c r="AO586" i="3"/>
  <c r="X587" i="3"/>
  <c r="H588" i="3"/>
  <c r="AU587" i="3" l="1"/>
  <c r="AO587" i="3"/>
  <c r="X588" i="3"/>
  <c r="H589" i="3"/>
  <c r="AU588" i="3" l="1"/>
  <c r="AO588" i="3"/>
  <c r="X589" i="3"/>
  <c r="H590" i="3"/>
  <c r="AU589" i="3" l="1"/>
  <c r="AO589" i="3"/>
  <c r="X590" i="3"/>
  <c r="H591" i="3"/>
  <c r="AU590" i="3" l="1"/>
  <c r="AO590" i="3"/>
  <c r="X591" i="3"/>
  <c r="H592" i="3"/>
  <c r="AU591" i="3" l="1"/>
  <c r="AO591" i="3"/>
  <c r="X592" i="3"/>
  <c r="H593" i="3"/>
  <c r="AU592" i="3" l="1"/>
  <c r="AO592" i="3"/>
  <c r="X593" i="3"/>
  <c r="H594" i="3"/>
  <c r="AU593" i="3" l="1"/>
  <c r="AO593" i="3"/>
  <c r="X594" i="3"/>
  <c r="H595" i="3"/>
  <c r="AU594" i="3" l="1"/>
  <c r="AO594" i="3"/>
  <c r="X595" i="3"/>
  <c r="H596" i="3"/>
  <c r="AU595" i="3" l="1"/>
  <c r="AO595" i="3"/>
  <c r="X596" i="3"/>
  <c r="H597" i="3"/>
  <c r="AU596" i="3" l="1"/>
  <c r="AO596" i="3"/>
  <c r="X597" i="3"/>
  <c r="H598" i="3"/>
  <c r="AU597" i="3" l="1"/>
  <c r="AO597" i="3"/>
  <c r="X598" i="3"/>
  <c r="H599" i="3"/>
  <c r="AU598" i="3" l="1"/>
  <c r="AO598" i="3"/>
  <c r="X599" i="3"/>
  <c r="H600" i="3"/>
  <c r="AU599" i="3" l="1"/>
  <c r="AO599" i="3"/>
  <c r="X600" i="3"/>
  <c r="H601" i="3"/>
  <c r="AU600" i="3" l="1"/>
  <c r="AO600" i="3"/>
  <c r="X601" i="3"/>
  <c r="H602" i="3"/>
  <c r="AU601" i="3" l="1"/>
  <c r="AO601" i="3"/>
  <c r="X602" i="3"/>
  <c r="H603" i="3"/>
  <c r="AU602" i="3" l="1"/>
  <c r="AO602" i="3"/>
  <c r="X603" i="3"/>
  <c r="H604" i="3"/>
  <c r="AU603" i="3" l="1"/>
  <c r="AO603" i="3"/>
  <c r="X604" i="3"/>
  <c r="H605" i="3"/>
  <c r="AU604" i="3" l="1"/>
  <c r="AO604" i="3"/>
  <c r="X605" i="3"/>
  <c r="H606" i="3"/>
  <c r="AU605" i="3" l="1"/>
  <c r="AO605" i="3"/>
  <c r="X606" i="3"/>
  <c r="H607" i="3"/>
  <c r="AU606" i="3" l="1"/>
  <c r="AO606" i="3"/>
  <c r="X607" i="3"/>
  <c r="H608" i="3"/>
  <c r="AU607" i="3" l="1"/>
  <c r="AO607" i="3"/>
  <c r="X608" i="3"/>
  <c r="H609" i="3"/>
  <c r="AU608" i="3" l="1"/>
  <c r="AO608" i="3"/>
  <c r="X609" i="3"/>
  <c r="H610" i="3"/>
  <c r="AU609" i="3" l="1"/>
  <c r="AO609" i="3"/>
  <c r="X610" i="3"/>
  <c r="H611" i="3"/>
  <c r="AU610" i="3" l="1"/>
  <c r="AO610" i="3"/>
  <c r="X611" i="3"/>
  <c r="H612" i="3"/>
  <c r="AU611" i="3" l="1"/>
  <c r="AO611" i="3"/>
  <c r="X612" i="3"/>
  <c r="H613" i="3"/>
  <c r="AU612" i="3" l="1"/>
  <c r="AO612" i="3"/>
  <c r="X613" i="3"/>
  <c r="H614" i="3"/>
  <c r="AU613" i="3" l="1"/>
  <c r="AO613" i="3"/>
  <c r="X614" i="3"/>
  <c r="H615" i="3"/>
  <c r="AU614" i="3" l="1"/>
  <c r="AO614" i="3"/>
  <c r="X615" i="3"/>
  <c r="H616" i="3"/>
  <c r="AU615" i="3" l="1"/>
  <c r="AO615" i="3"/>
  <c r="X616" i="3"/>
  <c r="H617" i="3"/>
  <c r="AU616" i="3" l="1"/>
  <c r="AO616" i="3"/>
  <c r="X617" i="3"/>
  <c r="H618" i="3"/>
  <c r="AU617" i="3" l="1"/>
  <c r="AO617" i="3"/>
  <c r="X618" i="3"/>
  <c r="H619" i="3"/>
  <c r="AU618" i="3" l="1"/>
  <c r="AO618" i="3"/>
  <c r="X619" i="3"/>
  <c r="H620" i="3"/>
  <c r="AU619" i="3" l="1"/>
  <c r="AO619" i="3"/>
  <c r="X620" i="3"/>
  <c r="H621" i="3"/>
  <c r="AU620" i="3" l="1"/>
  <c r="AO620" i="3"/>
  <c r="X621" i="3"/>
  <c r="H622" i="3"/>
  <c r="AU621" i="3" l="1"/>
  <c r="AO621" i="3"/>
  <c r="X622" i="3"/>
  <c r="H623" i="3"/>
  <c r="AU622" i="3" l="1"/>
  <c r="AO622" i="3"/>
  <c r="X623" i="3"/>
  <c r="H624" i="3"/>
  <c r="AU623" i="3" l="1"/>
  <c r="AO623" i="3"/>
  <c r="X624" i="3"/>
  <c r="H625" i="3"/>
  <c r="AU624" i="3" l="1"/>
  <c r="AO624" i="3"/>
  <c r="X625" i="3"/>
  <c r="H626" i="3"/>
  <c r="AU625" i="3" l="1"/>
  <c r="AO625" i="3"/>
  <c r="X626" i="3"/>
  <c r="H627" i="3"/>
  <c r="AU626" i="3" l="1"/>
  <c r="AO626" i="3"/>
  <c r="X627" i="3"/>
  <c r="H628" i="3"/>
  <c r="AU627" i="3" l="1"/>
  <c r="AO627" i="3"/>
  <c r="X628" i="3"/>
  <c r="H629" i="3"/>
  <c r="AU628" i="3" l="1"/>
  <c r="AO628" i="3"/>
  <c r="X629" i="3"/>
  <c r="H630" i="3"/>
  <c r="AU629" i="3" l="1"/>
  <c r="AO629" i="3"/>
  <c r="X630" i="3"/>
  <c r="H631" i="3"/>
  <c r="AU630" i="3" l="1"/>
  <c r="AO630" i="3"/>
  <c r="X631" i="3"/>
  <c r="H632" i="3"/>
  <c r="AU631" i="3" l="1"/>
  <c r="AO631" i="3"/>
  <c r="X632" i="3"/>
  <c r="H633" i="3"/>
  <c r="AU632" i="3" l="1"/>
  <c r="AO632" i="3"/>
  <c r="X633" i="3"/>
  <c r="H634" i="3"/>
  <c r="AU633" i="3" l="1"/>
  <c r="AO633" i="3"/>
  <c r="X634" i="3"/>
  <c r="H635" i="3"/>
  <c r="AU634" i="3" l="1"/>
  <c r="AO634" i="3"/>
  <c r="X635" i="3"/>
  <c r="H636" i="3"/>
  <c r="AU635" i="3" l="1"/>
  <c r="AO635" i="3"/>
  <c r="X636" i="3"/>
  <c r="H637" i="3"/>
  <c r="AU636" i="3" l="1"/>
  <c r="AO636" i="3"/>
  <c r="X637" i="3"/>
  <c r="H638" i="3"/>
  <c r="AU637" i="3" l="1"/>
  <c r="AO637" i="3"/>
  <c r="X638" i="3"/>
  <c r="H639" i="3"/>
  <c r="AU638" i="3" l="1"/>
  <c r="AO638" i="3"/>
  <c r="X639" i="3"/>
  <c r="H640" i="3"/>
  <c r="AU639" i="3" l="1"/>
  <c r="AO639" i="3"/>
  <c r="X640" i="3"/>
  <c r="H641" i="3"/>
  <c r="AU640" i="3" l="1"/>
  <c r="AO640" i="3"/>
  <c r="X641" i="3"/>
  <c r="H642" i="3"/>
  <c r="AU641" i="3" l="1"/>
  <c r="AO641" i="3"/>
  <c r="X642" i="3"/>
  <c r="H643" i="3"/>
  <c r="AU642" i="3" l="1"/>
  <c r="AO642" i="3"/>
  <c r="X643" i="3"/>
  <c r="H644" i="3"/>
  <c r="AU643" i="3" l="1"/>
  <c r="AO643" i="3"/>
  <c r="X644" i="3"/>
  <c r="H645" i="3"/>
  <c r="AU644" i="3" l="1"/>
  <c r="AO644" i="3"/>
  <c r="X645" i="3"/>
  <c r="H646" i="3"/>
  <c r="AU645" i="3" l="1"/>
  <c r="AO645" i="3"/>
  <c r="X646" i="3"/>
  <c r="H647" i="3"/>
  <c r="AU646" i="3" l="1"/>
  <c r="AO646" i="3"/>
  <c r="X647" i="3"/>
  <c r="H648" i="3"/>
  <c r="AU647" i="3" l="1"/>
  <c r="AO647" i="3"/>
  <c r="X648" i="3"/>
  <c r="H649" i="3"/>
  <c r="AU648" i="3" l="1"/>
  <c r="AO648" i="3"/>
  <c r="X649" i="3"/>
  <c r="H650" i="3"/>
  <c r="AU649" i="3" l="1"/>
  <c r="AO649" i="3"/>
  <c r="X650" i="3"/>
  <c r="H651" i="3"/>
  <c r="AU650" i="3" l="1"/>
  <c r="AO650" i="3"/>
  <c r="X651" i="3"/>
  <c r="H652" i="3"/>
  <c r="AU651" i="3" l="1"/>
  <c r="AO651" i="3"/>
  <c r="X652" i="3"/>
  <c r="H653" i="3"/>
  <c r="AU652" i="3" l="1"/>
  <c r="AO652" i="3"/>
  <c r="X653" i="3"/>
  <c r="H654" i="3"/>
  <c r="AU653" i="3" l="1"/>
  <c r="AO653" i="3"/>
  <c r="X654" i="3"/>
  <c r="H655" i="3"/>
  <c r="AU654" i="3" l="1"/>
  <c r="AO654" i="3"/>
  <c r="X655" i="3"/>
  <c r="H656" i="3"/>
  <c r="AU655" i="3" l="1"/>
  <c r="AO655" i="3"/>
  <c r="X656" i="3"/>
  <c r="H657" i="3"/>
  <c r="AU656" i="3" l="1"/>
  <c r="AO656" i="3"/>
  <c r="X657" i="3"/>
  <c r="H658" i="3"/>
  <c r="AU657" i="3" l="1"/>
  <c r="AO657" i="3"/>
  <c r="X658" i="3"/>
  <c r="H659" i="3"/>
  <c r="AU658" i="3" l="1"/>
  <c r="AO658" i="3"/>
  <c r="X659" i="3"/>
  <c r="H660" i="3"/>
  <c r="AU659" i="3" l="1"/>
  <c r="AO659" i="3"/>
  <c r="X660" i="3"/>
  <c r="H661" i="3"/>
  <c r="AU660" i="3" l="1"/>
  <c r="AO660" i="3"/>
  <c r="X661" i="3"/>
  <c r="H662" i="3"/>
  <c r="AU661" i="3" l="1"/>
  <c r="AO661" i="3"/>
  <c r="X662" i="3"/>
  <c r="H663" i="3"/>
  <c r="AU662" i="3" l="1"/>
  <c r="AO662" i="3"/>
  <c r="X663" i="3"/>
  <c r="H664" i="3"/>
  <c r="AU663" i="3" l="1"/>
  <c r="AO663" i="3"/>
  <c r="X664" i="3"/>
  <c r="H665" i="3"/>
  <c r="AU664" i="3" l="1"/>
  <c r="AO664" i="3"/>
  <c r="X665" i="3"/>
  <c r="H666" i="3"/>
  <c r="AU665" i="3" l="1"/>
  <c r="AO665" i="3"/>
  <c r="X666" i="3"/>
  <c r="H667" i="3"/>
  <c r="AU666" i="3" l="1"/>
  <c r="AO666" i="3"/>
  <c r="X667" i="3"/>
  <c r="H668" i="3"/>
  <c r="AU667" i="3" l="1"/>
  <c r="AO667" i="3"/>
  <c r="X668" i="3"/>
  <c r="H669" i="3"/>
  <c r="AU668" i="3" l="1"/>
  <c r="AO668" i="3"/>
  <c r="X669" i="3"/>
  <c r="H670" i="3"/>
  <c r="AU669" i="3" l="1"/>
  <c r="AO669" i="3"/>
  <c r="X670" i="3"/>
  <c r="H671" i="3"/>
  <c r="AU670" i="3" l="1"/>
  <c r="AO670" i="3"/>
  <c r="X671" i="3"/>
  <c r="H672" i="3"/>
  <c r="AU671" i="3" l="1"/>
  <c r="AO671" i="3"/>
  <c r="X672" i="3"/>
  <c r="H673" i="3"/>
  <c r="AU672" i="3" l="1"/>
  <c r="AO672" i="3"/>
  <c r="X673" i="3"/>
  <c r="H674" i="3"/>
  <c r="AU673" i="3" l="1"/>
  <c r="AO673" i="3"/>
  <c r="X674" i="3"/>
  <c r="H675" i="3"/>
  <c r="AU674" i="3" l="1"/>
  <c r="AO674" i="3"/>
  <c r="X675" i="3"/>
  <c r="H676" i="3"/>
  <c r="AU675" i="3" l="1"/>
  <c r="AO675" i="3"/>
  <c r="X676" i="3"/>
  <c r="H677" i="3"/>
  <c r="AU676" i="3" l="1"/>
  <c r="AO676" i="3"/>
  <c r="X677" i="3"/>
  <c r="H678" i="3"/>
  <c r="AU677" i="3" l="1"/>
  <c r="AO677" i="3"/>
  <c r="X678" i="3"/>
  <c r="H679" i="3"/>
  <c r="AU678" i="3" l="1"/>
  <c r="AO678" i="3"/>
  <c r="X679" i="3"/>
  <c r="H680" i="3"/>
  <c r="AU679" i="3" l="1"/>
  <c r="AO679" i="3"/>
  <c r="X680" i="3"/>
  <c r="H681" i="3"/>
  <c r="AU680" i="3" l="1"/>
  <c r="AO680" i="3"/>
  <c r="X681" i="3"/>
  <c r="H682" i="3"/>
  <c r="AU681" i="3" l="1"/>
  <c r="AO681" i="3"/>
  <c r="X682" i="3"/>
  <c r="H683" i="3"/>
  <c r="AU682" i="3" l="1"/>
  <c r="AO682" i="3"/>
  <c r="X683" i="3"/>
  <c r="H684" i="3"/>
  <c r="AU683" i="3" l="1"/>
  <c r="AO683" i="3"/>
  <c r="X684" i="3"/>
  <c r="H685" i="3"/>
  <c r="AU684" i="3" l="1"/>
  <c r="AO684" i="3"/>
  <c r="X685" i="3"/>
  <c r="H686" i="3"/>
  <c r="AU685" i="3" l="1"/>
  <c r="AO685" i="3"/>
  <c r="X686" i="3"/>
  <c r="H687" i="3"/>
  <c r="AU686" i="3" l="1"/>
  <c r="AO686" i="3"/>
  <c r="X687" i="3"/>
  <c r="H688" i="3"/>
  <c r="AU687" i="3" l="1"/>
  <c r="AO687" i="3"/>
  <c r="X688" i="3"/>
  <c r="H689" i="3"/>
  <c r="AU688" i="3" l="1"/>
  <c r="AO688" i="3"/>
  <c r="X689" i="3"/>
  <c r="H690" i="3"/>
  <c r="AU689" i="3" l="1"/>
  <c r="AO689" i="3"/>
  <c r="X690" i="3"/>
  <c r="H691" i="3"/>
  <c r="AU690" i="3" l="1"/>
  <c r="AO690" i="3"/>
  <c r="X691" i="3"/>
  <c r="H692" i="3"/>
  <c r="AU691" i="3" l="1"/>
  <c r="AO691" i="3"/>
  <c r="X692" i="3"/>
  <c r="H693" i="3"/>
  <c r="AU692" i="3" l="1"/>
  <c r="AO692" i="3"/>
  <c r="X693" i="3"/>
  <c r="H694" i="3"/>
  <c r="AU693" i="3" l="1"/>
  <c r="AO693" i="3"/>
  <c r="X694" i="3"/>
  <c r="H695" i="3"/>
  <c r="AU694" i="3" l="1"/>
  <c r="AO694" i="3"/>
  <c r="X695" i="3"/>
  <c r="H696" i="3"/>
  <c r="AU695" i="3" l="1"/>
  <c r="AO695" i="3"/>
  <c r="X696" i="3"/>
  <c r="H697" i="3"/>
  <c r="AU696" i="3" l="1"/>
  <c r="AO696" i="3"/>
  <c r="X697" i="3"/>
  <c r="H698" i="3"/>
  <c r="AU697" i="3" l="1"/>
  <c r="AO697" i="3"/>
  <c r="X698" i="3"/>
  <c r="H699" i="3"/>
  <c r="AU698" i="3" l="1"/>
  <c r="AO698" i="3"/>
  <c r="X699" i="3"/>
  <c r="H700" i="3"/>
  <c r="AU699" i="3" l="1"/>
  <c r="AO699" i="3"/>
  <c r="X700" i="3"/>
  <c r="H701" i="3"/>
  <c r="AU700" i="3" l="1"/>
  <c r="AO700" i="3"/>
  <c r="X701" i="3"/>
  <c r="H702" i="3"/>
  <c r="AU701" i="3" l="1"/>
  <c r="AO701" i="3"/>
  <c r="X702" i="3"/>
  <c r="H703" i="3"/>
  <c r="AU702" i="3" l="1"/>
  <c r="AO702" i="3"/>
  <c r="X703" i="3"/>
  <c r="H704" i="3"/>
  <c r="AU703" i="3" l="1"/>
  <c r="AO703" i="3"/>
  <c r="X704" i="3"/>
  <c r="H705" i="3"/>
  <c r="AU704" i="3" l="1"/>
  <c r="AO704" i="3"/>
  <c r="X705" i="3"/>
  <c r="H706" i="3"/>
  <c r="AU705" i="3" l="1"/>
  <c r="AO705" i="3"/>
  <c r="X706" i="3"/>
  <c r="H707" i="3"/>
  <c r="AU706" i="3" l="1"/>
  <c r="AO706" i="3"/>
  <c r="X707" i="3"/>
  <c r="H708" i="3"/>
  <c r="AU707" i="3" l="1"/>
  <c r="AO707" i="3"/>
  <c r="X708" i="3"/>
  <c r="H709" i="3"/>
  <c r="AU708" i="3" l="1"/>
  <c r="AO708" i="3"/>
  <c r="X709" i="3"/>
  <c r="H710" i="3"/>
  <c r="AU709" i="3" l="1"/>
  <c r="AO709" i="3"/>
  <c r="X710" i="3"/>
  <c r="H711" i="3"/>
  <c r="AU710" i="3" l="1"/>
  <c r="AO710" i="3"/>
  <c r="X711" i="3"/>
  <c r="H712" i="3"/>
  <c r="AU711" i="3" l="1"/>
  <c r="AO711" i="3"/>
  <c r="X712" i="3"/>
  <c r="H713" i="3"/>
  <c r="AU712" i="3" l="1"/>
  <c r="AO712" i="3"/>
  <c r="X713" i="3"/>
  <c r="H714" i="3"/>
  <c r="AU713" i="3" l="1"/>
  <c r="AO713" i="3"/>
  <c r="X714" i="3"/>
  <c r="H715" i="3"/>
  <c r="AU714" i="3" l="1"/>
  <c r="AO714" i="3"/>
  <c r="X715" i="3"/>
  <c r="H716" i="3"/>
  <c r="AU715" i="3" l="1"/>
  <c r="AO715" i="3"/>
  <c r="X716" i="3"/>
  <c r="H717" i="3"/>
  <c r="AU716" i="3" l="1"/>
  <c r="AO716" i="3"/>
  <c r="X717" i="3"/>
  <c r="H718" i="3"/>
  <c r="AU717" i="3" l="1"/>
  <c r="AO717" i="3"/>
  <c r="X718" i="3"/>
  <c r="H719" i="3"/>
  <c r="AU718" i="3" l="1"/>
  <c r="AO718" i="3"/>
  <c r="X719" i="3"/>
  <c r="H720" i="3"/>
  <c r="AU719" i="3" l="1"/>
  <c r="AO719" i="3"/>
  <c r="X720" i="3"/>
  <c r="H721" i="3"/>
  <c r="AU720" i="3" l="1"/>
  <c r="AO720" i="3"/>
  <c r="X721" i="3"/>
  <c r="H722" i="3"/>
  <c r="AU721" i="3" l="1"/>
  <c r="AO721" i="3"/>
  <c r="X722" i="3"/>
  <c r="H723" i="3"/>
  <c r="AU722" i="3" l="1"/>
  <c r="AO722" i="3"/>
  <c r="X723" i="3"/>
  <c r="H724" i="3"/>
  <c r="AU723" i="3" l="1"/>
  <c r="AO723" i="3"/>
  <c r="X724" i="3"/>
  <c r="H725" i="3"/>
  <c r="AU724" i="3" l="1"/>
  <c r="AO724" i="3"/>
  <c r="X725" i="3"/>
  <c r="H726" i="3"/>
  <c r="AU725" i="3" l="1"/>
  <c r="AO725" i="3"/>
  <c r="X726" i="3"/>
  <c r="H727" i="3"/>
  <c r="AU726" i="3" l="1"/>
  <c r="AO726" i="3"/>
  <c r="X727" i="3"/>
  <c r="H728" i="3"/>
  <c r="AU727" i="3" l="1"/>
  <c r="AO727" i="3"/>
  <c r="X728" i="3"/>
  <c r="H729" i="3"/>
  <c r="AU728" i="3" l="1"/>
  <c r="AO728" i="3"/>
  <c r="X729" i="3"/>
  <c r="H730" i="3"/>
  <c r="AU729" i="3" l="1"/>
  <c r="AO729" i="3"/>
  <c r="X730" i="3"/>
  <c r="H731" i="3"/>
  <c r="AU730" i="3" l="1"/>
  <c r="AO730" i="3"/>
  <c r="X731" i="3"/>
  <c r="H732" i="3"/>
  <c r="AU731" i="3" l="1"/>
  <c r="AO731" i="3"/>
  <c r="X732" i="3"/>
  <c r="H733" i="3"/>
  <c r="AU732" i="3" l="1"/>
  <c r="AO732" i="3"/>
  <c r="X733" i="3"/>
  <c r="H734" i="3"/>
  <c r="AU733" i="3" l="1"/>
  <c r="AO733" i="3"/>
  <c r="X734" i="3"/>
  <c r="H735" i="3"/>
  <c r="AU734" i="3" l="1"/>
  <c r="AO734" i="3"/>
  <c r="X735" i="3"/>
  <c r="H736" i="3"/>
  <c r="AU735" i="3" l="1"/>
  <c r="AO735" i="3"/>
  <c r="X736" i="3"/>
  <c r="H737" i="3"/>
  <c r="AU736" i="3" l="1"/>
  <c r="AO736" i="3"/>
  <c r="X737" i="3"/>
  <c r="H738" i="3"/>
  <c r="AU737" i="3" l="1"/>
  <c r="AO737" i="3"/>
  <c r="X738" i="3"/>
  <c r="H739" i="3"/>
  <c r="AU738" i="3" l="1"/>
  <c r="AO738" i="3"/>
  <c r="X739" i="3"/>
  <c r="H740" i="3"/>
  <c r="AU739" i="3" l="1"/>
  <c r="AO739" i="3"/>
  <c r="X740" i="3"/>
  <c r="H741" i="3"/>
  <c r="AU740" i="3" l="1"/>
  <c r="AO740" i="3"/>
  <c r="X741" i="3"/>
  <c r="H742" i="3"/>
  <c r="AU741" i="3" l="1"/>
  <c r="AO741" i="3"/>
  <c r="X742" i="3"/>
  <c r="H743" i="3"/>
  <c r="AU742" i="3" l="1"/>
  <c r="AO742" i="3"/>
  <c r="X743" i="3"/>
  <c r="H744" i="3"/>
  <c r="AU743" i="3" l="1"/>
  <c r="AO743" i="3"/>
  <c r="X744" i="3"/>
  <c r="H745" i="3"/>
  <c r="AU744" i="3" l="1"/>
  <c r="AO744" i="3"/>
  <c r="X745" i="3"/>
  <c r="H746" i="3"/>
  <c r="AU745" i="3" l="1"/>
  <c r="AO745" i="3"/>
  <c r="X746" i="3"/>
  <c r="H747" i="3"/>
  <c r="AU746" i="3" l="1"/>
  <c r="AO746" i="3"/>
  <c r="X747" i="3"/>
  <c r="H748" i="3"/>
  <c r="AU747" i="3" l="1"/>
  <c r="AO747" i="3"/>
  <c r="X748" i="3"/>
  <c r="H749" i="3"/>
  <c r="AU748" i="3" l="1"/>
  <c r="AO748" i="3"/>
  <c r="X749" i="3"/>
  <c r="H750" i="3"/>
  <c r="AU749" i="3" l="1"/>
  <c r="AO749" i="3"/>
  <c r="X750" i="3"/>
  <c r="H751" i="3"/>
  <c r="AU750" i="3" l="1"/>
  <c r="AO750" i="3"/>
  <c r="X751" i="3"/>
  <c r="H752" i="3"/>
  <c r="AU751" i="3" l="1"/>
  <c r="AO751" i="3"/>
  <c r="X752" i="3"/>
  <c r="H753" i="3"/>
  <c r="AU752" i="3" l="1"/>
  <c r="AO752" i="3"/>
  <c r="X753" i="3"/>
  <c r="H754" i="3"/>
  <c r="AU753" i="3" l="1"/>
  <c r="AO753" i="3"/>
  <c r="X754" i="3"/>
  <c r="H755" i="3"/>
  <c r="AU754" i="3" l="1"/>
  <c r="AO754" i="3"/>
  <c r="X755" i="3"/>
  <c r="H756" i="3"/>
  <c r="AU755" i="3" l="1"/>
  <c r="AO755" i="3"/>
  <c r="X756" i="3"/>
  <c r="H757" i="3"/>
  <c r="AU756" i="3" l="1"/>
  <c r="AO756" i="3"/>
  <c r="X757" i="3"/>
  <c r="H758" i="3"/>
  <c r="AU757" i="3" l="1"/>
  <c r="AO757" i="3"/>
  <c r="X758" i="3"/>
  <c r="H759" i="3"/>
  <c r="AU758" i="3" l="1"/>
  <c r="AO758" i="3"/>
  <c r="X759" i="3"/>
  <c r="H760" i="3"/>
  <c r="AU759" i="3" l="1"/>
  <c r="AO759" i="3"/>
  <c r="X760" i="3"/>
  <c r="H761" i="3"/>
  <c r="AU760" i="3" l="1"/>
  <c r="AO760" i="3"/>
  <c r="X761" i="3"/>
  <c r="H762" i="3"/>
  <c r="AU761" i="3" l="1"/>
  <c r="AO761" i="3"/>
  <c r="X762" i="3"/>
  <c r="H763" i="3"/>
  <c r="AU762" i="3" l="1"/>
  <c r="AO762" i="3"/>
  <c r="X763" i="3"/>
  <c r="H764" i="3"/>
  <c r="AU763" i="3" l="1"/>
  <c r="AO763" i="3"/>
  <c r="X764" i="3"/>
  <c r="H765" i="3"/>
  <c r="AU764" i="3" l="1"/>
  <c r="AO764" i="3"/>
  <c r="X765" i="3"/>
  <c r="H766" i="3"/>
  <c r="AU765" i="3" l="1"/>
  <c r="AO765" i="3"/>
  <c r="X766" i="3"/>
  <c r="H767" i="3"/>
  <c r="AU766" i="3" l="1"/>
  <c r="AO766" i="3"/>
  <c r="X767" i="3"/>
  <c r="H768" i="3"/>
  <c r="AU767" i="3" l="1"/>
  <c r="AO767" i="3"/>
  <c r="X768" i="3"/>
  <c r="H769" i="3"/>
  <c r="AU768" i="3" l="1"/>
  <c r="AO768" i="3"/>
  <c r="X769" i="3"/>
  <c r="H770" i="3"/>
  <c r="AU769" i="3" l="1"/>
  <c r="AO769" i="3"/>
  <c r="X770" i="3"/>
  <c r="H771" i="3"/>
  <c r="AU770" i="3" l="1"/>
  <c r="AO770" i="3"/>
  <c r="X771" i="3"/>
  <c r="H772" i="3"/>
  <c r="AU771" i="3" l="1"/>
  <c r="AO771" i="3"/>
  <c r="X772" i="3"/>
  <c r="H773" i="3"/>
  <c r="AU772" i="3" l="1"/>
  <c r="AO772" i="3"/>
  <c r="X773" i="3"/>
  <c r="H774" i="3"/>
  <c r="AU773" i="3" l="1"/>
  <c r="AO773" i="3"/>
  <c r="X774" i="3"/>
  <c r="H775" i="3"/>
  <c r="AU774" i="3" l="1"/>
  <c r="AO774" i="3"/>
  <c r="X775" i="3"/>
  <c r="H776" i="3"/>
  <c r="AU775" i="3" l="1"/>
  <c r="AO775" i="3"/>
  <c r="X776" i="3"/>
  <c r="H777" i="3"/>
  <c r="AU776" i="3" l="1"/>
  <c r="AO776" i="3"/>
  <c r="X777" i="3"/>
  <c r="H778" i="3"/>
  <c r="AU777" i="3" l="1"/>
  <c r="AO777" i="3"/>
  <c r="X778" i="3"/>
  <c r="H779" i="3"/>
  <c r="AU778" i="3" l="1"/>
  <c r="AO778" i="3"/>
  <c r="X779" i="3"/>
  <c r="H780" i="3"/>
  <c r="AU779" i="3" l="1"/>
  <c r="AO779" i="3"/>
  <c r="X780" i="3"/>
  <c r="H781" i="3"/>
  <c r="AU780" i="3" l="1"/>
  <c r="AO780" i="3"/>
  <c r="X781" i="3"/>
  <c r="H782" i="3"/>
  <c r="AU781" i="3" l="1"/>
  <c r="AO781" i="3"/>
  <c r="X782" i="3"/>
  <c r="H783" i="3"/>
  <c r="AU782" i="3" l="1"/>
  <c r="AO782" i="3"/>
  <c r="X783" i="3"/>
  <c r="H784" i="3"/>
  <c r="AU783" i="3" l="1"/>
  <c r="AO783" i="3"/>
  <c r="X784" i="3"/>
  <c r="H785" i="3"/>
  <c r="AU784" i="3" l="1"/>
  <c r="AO784" i="3"/>
  <c r="X785" i="3"/>
  <c r="H786" i="3"/>
  <c r="AU785" i="3" l="1"/>
  <c r="AO785" i="3"/>
  <c r="X786" i="3"/>
  <c r="H787" i="3"/>
  <c r="AU786" i="3" l="1"/>
  <c r="AO786" i="3"/>
  <c r="X787" i="3"/>
  <c r="H788" i="3"/>
  <c r="AU787" i="3" l="1"/>
  <c r="AO787" i="3"/>
  <c r="X788" i="3"/>
  <c r="H789" i="3"/>
  <c r="AU788" i="3" l="1"/>
  <c r="AO788" i="3"/>
  <c r="X789" i="3"/>
  <c r="H790" i="3"/>
  <c r="AU789" i="3" l="1"/>
  <c r="AO789" i="3"/>
  <c r="X790" i="3"/>
  <c r="H791" i="3"/>
  <c r="AU790" i="3" l="1"/>
  <c r="AO790" i="3"/>
  <c r="X791" i="3"/>
  <c r="H792" i="3"/>
  <c r="AU791" i="3" l="1"/>
  <c r="AO791" i="3"/>
  <c r="X792" i="3"/>
  <c r="H793" i="3"/>
  <c r="AU792" i="3" l="1"/>
  <c r="AO792" i="3"/>
  <c r="X793" i="3"/>
  <c r="H794" i="3"/>
  <c r="AU793" i="3" l="1"/>
  <c r="AO793" i="3"/>
  <c r="X794" i="3"/>
  <c r="H795" i="3"/>
  <c r="AU794" i="3" l="1"/>
  <c r="AO794" i="3"/>
  <c r="X795" i="3"/>
  <c r="H796" i="3"/>
  <c r="AU795" i="3" l="1"/>
  <c r="AO795" i="3"/>
  <c r="X796" i="3"/>
  <c r="H797" i="3"/>
  <c r="AU796" i="3" l="1"/>
  <c r="AO796" i="3"/>
  <c r="X797" i="3"/>
  <c r="H798" i="3"/>
  <c r="AU797" i="3" l="1"/>
  <c r="AO797" i="3"/>
  <c r="X798" i="3"/>
  <c r="H799" i="3"/>
  <c r="AU798" i="3" l="1"/>
  <c r="AO798" i="3"/>
  <c r="X799" i="3"/>
  <c r="H800" i="3"/>
  <c r="AU799" i="3" l="1"/>
  <c r="AO799" i="3"/>
  <c r="X800" i="3"/>
  <c r="H801" i="3"/>
  <c r="AU800" i="3" l="1"/>
  <c r="AO800" i="3"/>
  <c r="X801" i="3"/>
  <c r="H802" i="3"/>
  <c r="AU801" i="3" l="1"/>
  <c r="AO801" i="3"/>
  <c r="X802" i="3"/>
  <c r="H803" i="3"/>
  <c r="AU802" i="3" l="1"/>
  <c r="AO802" i="3"/>
  <c r="X803" i="3"/>
  <c r="H804" i="3"/>
  <c r="AU803" i="3" l="1"/>
  <c r="AO803" i="3"/>
  <c r="X804" i="3"/>
  <c r="H805" i="3"/>
  <c r="AU804" i="3" l="1"/>
  <c r="AO804" i="3"/>
  <c r="X805" i="3"/>
  <c r="H806" i="3"/>
  <c r="AU805" i="3" l="1"/>
  <c r="AO805" i="3"/>
  <c r="X806" i="3"/>
  <c r="H807" i="3"/>
  <c r="AU806" i="3" l="1"/>
  <c r="AO806" i="3"/>
  <c r="X807" i="3"/>
  <c r="H808" i="3"/>
  <c r="AU807" i="3" l="1"/>
  <c r="AO807" i="3"/>
  <c r="X808" i="3"/>
  <c r="H809" i="3"/>
  <c r="AU808" i="3" l="1"/>
  <c r="AO808" i="3"/>
  <c r="X809" i="3"/>
  <c r="H810" i="3"/>
  <c r="AU809" i="3" l="1"/>
  <c r="AO809" i="3"/>
  <c r="X810" i="3"/>
  <c r="H811" i="3"/>
  <c r="AU810" i="3" l="1"/>
  <c r="AO810" i="3"/>
  <c r="X811" i="3"/>
  <c r="H812" i="3"/>
  <c r="AU811" i="3" l="1"/>
  <c r="AO811" i="3"/>
  <c r="X812" i="3"/>
  <c r="H813" i="3"/>
  <c r="AU812" i="3" l="1"/>
  <c r="AO812" i="3"/>
  <c r="X813" i="3"/>
  <c r="H814" i="3"/>
  <c r="AU813" i="3" l="1"/>
  <c r="AO813" i="3"/>
  <c r="X814" i="3"/>
  <c r="H815" i="3"/>
  <c r="AU814" i="3" l="1"/>
  <c r="AO814" i="3"/>
  <c r="X815" i="3"/>
  <c r="H816" i="3"/>
  <c r="AU815" i="3" l="1"/>
  <c r="AO815" i="3"/>
  <c r="X816" i="3"/>
  <c r="H817" i="3"/>
  <c r="AU816" i="3" l="1"/>
  <c r="AO816" i="3"/>
  <c r="X817" i="3"/>
  <c r="H818" i="3"/>
  <c r="AU817" i="3" l="1"/>
  <c r="AO817" i="3"/>
  <c r="X818" i="3"/>
  <c r="H819" i="3"/>
  <c r="AU818" i="3" l="1"/>
  <c r="AO818" i="3"/>
  <c r="X819" i="3"/>
  <c r="H820" i="3"/>
  <c r="AU819" i="3" l="1"/>
  <c r="AO819" i="3"/>
  <c r="X820" i="3"/>
  <c r="H821" i="3"/>
  <c r="AU820" i="3" l="1"/>
  <c r="AO820" i="3"/>
  <c r="X821" i="3"/>
  <c r="H822" i="3"/>
  <c r="AU821" i="3" l="1"/>
  <c r="AO821" i="3"/>
  <c r="X822" i="3"/>
  <c r="H823" i="3"/>
  <c r="AU822" i="3" l="1"/>
  <c r="AO822" i="3"/>
  <c r="X823" i="3"/>
  <c r="H824" i="3"/>
  <c r="AU823" i="3" l="1"/>
  <c r="AO823" i="3"/>
  <c r="X824" i="3"/>
  <c r="H825" i="3"/>
  <c r="AU824" i="3" l="1"/>
  <c r="AO824" i="3"/>
  <c r="X825" i="3"/>
  <c r="H826" i="3"/>
  <c r="AU825" i="3" l="1"/>
  <c r="AO825" i="3"/>
  <c r="X826" i="3"/>
  <c r="H827" i="3"/>
  <c r="AU826" i="3" l="1"/>
  <c r="AO826" i="3"/>
  <c r="X827" i="3"/>
  <c r="H828" i="3"/>
  <c r="AU827" i="3" l="1"/>
  <c r="AO827" i="3"/>
  <c r="X828" i="3"/>
  <c r="H829" i="3"/>
  <c r="AU828" i="3" l="1"/>
  <c r="AO828" i="3"/>
  <c r="X829" i="3"/>
  <c r="H830" i="3"/>
  <c r="AU829" i="3" l="1"/>
  <c r="AO829" i="3"/>
  <c r="X830" i="3"/>
  <c r="H831" i="3"/>
  <c r="AU830" i="3" l="1"/>
  <c r="AO830" i="3"/>
  <c r="X831" i="3"/>
  <c r="H832" i="3"/>
  <c r="AU831" i="3" l="1"/>
  <c r="AO831" i="3"/>
  <c r="X832" i="3"/>
  <c r="H833" i="3"/>
  <c r="AU832" i="3" l="1"/>
  <c r="AO832" i="3"/>
  <c r="X833" i="3"/>
  <c r="H834" i="3"/>
  <c r="AU833" i="3" l="1"/>
  <c r="AO833" i="3"/>
  <c r="X834" i="3"/>
  <c r="H835" i="3"/>
  <c r="AU834" i="3" l="1"/>
  <c r="AO834" i="3"/>
  <c r="X835" i="3"/>
  <c r="H836" i="3"/>
  <c r="AU835" i="3" l="1"/>
  <c r="AO835" i="3"/>
  <c r="X836" i="3"/>
  <c r="H837" i="3"/>
  <c r="AU836" i="3" l="1"/>
  <c r="AO836" i="3"/>
  <c r="X837" i="3"/>
  <c r="H838" i="3"/>
  <c r="AU837" i="3" l="1"/>
  <c r="AO837" i="3"/>
  <c r="X838" i="3"/>
  <c r="H839" i="3"/>
  <c r="AU838" i="3" l="1"/>
  <c r="AO838" i="3"/>
  <c r="X839" i="3"/>
  <c r="H840" i="3"/>
  <c r="AU839" i="3" l="1"/>
  <c r="AO839" i="3"/>
  <c r="X840" i="3"/>
  <c r="H841" i="3"/>
  <c r="AU840" i="3" l="1"/>
  <c r="AO840" i="3"/>
  <c r="X841" i="3"/>
  <c r="H842" i="3"/>
  <c r="AU841" i="3" l="1"/>
  <c r="AO841" i="3"/>
  <c r="X842" i="3"/>
  <c r="H843" i="3"/>
  <c r="AU842" i="3" l="1"/>
  <c r="AO842" i="3"/>
  <c r="X843" i="3"/>
  <c r="H844" i="3"/>
  <c r="AU843" i="3" l="1"/>
  <c r="AO843" i="3"/>
  <c r="X844" i="3"/>
  <c r="H845" i="3"/>
  <c r="AU844" i="3" l="1"/>
  <c r="AO844" i="3"/>
  <c r="X845" i="3"/>
  <c r="H846" i="3"/>
  <c r="AU845" i="3" l="1"/>
  <c r="AO845" i="3"/>
  <c r="X846" i="3"/>
  <c r="H847" i="3"/>
  <c r="AU846" i="3" l="1"/>
  <c r="AO846" i="3"/>
  <c r="X847" i="3"/>
  <c r="H848" i="3"/>
  <c r="AU847" i="3" l="1"/>
  <c r="AO847" i="3"/>
  <c r="X848" i="3"/>
  <c r="H849" i="3"/>
  <c r="AU848" i="3" l="1"/>
  <c r="AO848" i="3"/>
  <c r="X849" i="3"/>
  <c r="H850" i="3"/>
  <c r="AU849" i="3" l="1"/>
  <c r="AO849" i="3"/>
  <c r="X850" i="3"/>
  <c r="H851" i="3"/>
  <c r="AU850" i="3" l="1"/>
  <c r="AO850" i="3"/>
  <c r="X851" i="3"/>
  <c r="H852" i="3"/>
  <c r="AU851" i="3" l="1"/>
  <c r="AO851" i="3"/>
  <c r="X852" i="3"/>
  <c r="H853" i="3"/>
  <c r="AU852" i="3" l="1"/>
  <c r="AO852" i="3"/>
  <c r="X853" i="3"/>
  <c r="H854" i="3"/>
  <c r="AU853" i="3" l="1"/>
  <c r="AO853" i="3"/>
  <c r="X854" i="3"/>
  <c r="H855" i="3"/>
  <c r="AU854" i="3" l="1"/>
  <c r="AO854" i="3"/>
  <c r="X855" i="3"/>
  <c r="H856" i="3"/>
  <c r="AU855" i="3" l="1"/>
  <c r="AO855" i="3"/>
  <c r="X856" i="3"/>
  <c r="H857" i="3"/>
  <c r="AU856" i="3" l="1"/>
  <c r="AO856" i="3"/>
  <c r="X857" i="3"/>
  <c r="H858" i="3"/>
  <c r="AU857" i="3" l="1"/>
  <c r="AO857" i="3"/>
  <c r="X858" i="3"/>
  <c r="H859" i="3"/>
  <c r="AU858" i="3" l="1"/>
  <c r="AO858" i="3"/>
  <c r="X859" i="3"/>
  <c r="H860" i="3"/>
  <c r="AU859" i="3" l="1"/>
  <c r="AO859" i="3"/>
  <c r="X860" i="3"/>
  <c r="H861" i="3"/>
  <c r="AU860" i="3" l="1"/>
  <c r="AO860" i="3"/>
  <c r="X861" i="3"/>
  <c r="H862" i="3"/>
  <c r="AU861" i="3" l="1"/>
  <c r="AO861" i="3"/>
  <c r="X862" i="3"/>
  <c r="H863" i="3"/>
  <c r="AU862" i="3" l="1"/>
  <c r="AO862" i="3"/>
  <c r="X863" i="3"/>
  <c r="H864" i="3"/>
  <c r="AU863" i="3" l="1"/>
  <c r="AO863" i="3"/>
  <c r="X864" i="3"/>
  <c r="H865" i="3"/>
  <c r="AU864" i="3" l="1"/>
  <c r="AO864" i="3"/>
  <c r="X865" i="3"/>
  <c r="H866" i="3"/>
  <c r="AU865" i="3" l="1"/>
  <c r="AO865" i="3"/>
  <c r="X866" i="3"/>
  <c r="H867" i="3"/>
  <c r="AU866" i="3" l="1"/>
  <c r="AO866" i="3"/>
  <c r="X867" i="3"/>
  <c r="H868" i="3"/>
  <c r="AU867" i="3" l="1"/>
  <c r="AO867" i="3"/>
  <c r="X868" i="3"/>
  <c r="H869" i="3"/>
  <c r="AU868" i="3" l="1"/>
  <c r="AO868" i="3"/>
  <c r="X869" i="3"/>
  <c r="H870" i="3"/>
  <c r="AU869" i="3" l="1"/>
  <c r="AO869" i="3"/>
  <c r="X870" i="3"/>
  <c r="H871" i="3"/>
  <c r="AU870" i="3" l="1"/>
  <c r="AO870" i="3"/>
  <c r="X871" i="3"/>
  <c r="H872" i="3"/>
  <c r="AU871" i="3" l="1"/>
  <c r="AO871" i="3"/>
  <c r="X872" i="3"/>
  <c r="H873" i="3"/>
  <c r="AU872" i="3" l="1"/>
  <c r="AO872" i="3"/>
  <c r="X873" i="3"/>
  <c r="H874" i="3"/>
  <c r="AU873" i="3" l="1"/>
  <c r="AO873" i="3"/>
  <c r="X874" i="3"/>
  <c r="H875" i="3"/>
  <c r="AU874" i="3" l="1"/>
  <c r="AO874" i="3"/>
  <c r="X875" i="3"/>
  <c r="H876" i="3"/>
  <c r="AU875" i="3" l="1"/>
  <c r="AO875" i="3"/>
  <c r="X876" i="3"/>
  <c r="H877" i="3"/>
  <c r="AU876" i="3" l="1"/>
  <c r="AO876" i="3"/>
  <c r="X877" i="3"/>
  <c r="H878" i="3"/>
  <c r="AU877" i="3" l="1"/>
  <c r="AO877" i="3"/>
  <c r="X878" i="3"/>
  <c r="H879" i="3"/>
  <c r="AU878" i="3" l="1"/>
  <c r="AO878" i="3"/>
  <c r="X879" i="3"/>
  <c r="H880" i="3"/>
  <c r="AU879" i="3" l="1"/>
  <c r="AO879" i="3"/>
  <c r="X880" i="3"/>
  <c r="H881" i="3"/>
  <c r="AU880" i="3" l="1"/>
  <c r="AO880" i="3"/>
  <c r="X881" i="3"/>
  <c r="H882" i="3"/>
  <c r="AU881" i="3" l="1"/>
  <c r="AO881" i="3"/>
  <c r="X882" i="3"/>
  <c r="H883" i="3"/>
  <c r="AU882" i="3" l="1"/>
  <c r="AO882" i="3"/>
  <c r="X883" i="3"/>
  <c r="H884" i="3"/>
  <c r="AU883" i="3" l="1"/>
  <c r="AO883" i="3"/>
  <c r="X884" i="3"/>
  <c r="H885" i="3"/>
  <c r="AU884" i="3" l="1"/>
  <c r="AO884" i="3"/>
  <c r="X885" i="3"/>
  <c r="H886" i="3"/>
  <c r="AU885" i="3" l="1"/>
  <c r="AO885" i="3"/>
  <c r="X886" i="3"/>
  <c r="H887" i="3"/>
  <c r="AU886" i="3" l="1"/>
  <c r="AO886" i="3"/>
  <c r="X887" i="3"/>
  <c r="H888" i="3"/>
  <c r="AU887" i="3" l="1"/>
  <c r="AO887" i="3"/>
  <c r="X888" i="3"/>
  <c r="H889" i="3"/>
  <c r="AU888" i="3" l="1"/>
  <c r="AO888" i="3"/>
  <c r="X889" i="3"/>
  <c r="H890" i="3"/>
  <c r="AU889" i="3" l="1"/>
  <c r="AO889" i="3"/>
  <c r="X890" i="3"/>
  <c r="H891" i="3"/>
  <c r="AU890" i="3" l="1"/>
  <c r="AO890" i="3"/>
  <c r="X891" i="3"/>
  <c r="H892" i="3"/>
  <c r="AU891" i="3" l="1"/>
  <c r="AO891" i="3"/>
  <c r="X892" i="3"/>
  <c r="H893" i="3"/>
  <c r="AU892" i="3" l="1"/>
  <c r="AO892" i="3"/>
  <c r="X893" i="3"/>
  <c r="H894" i="3"/>
  <c r="AU893" i="3" l="1"/>
  <c r="AO893" i="3"/>
  <c r="X894" i="3"/>
  <c r="H895" i="3"/>
  <c r="AU894" i="3" l="1"/>
  <c r="AO894" i="3"/>
  <c r="X895" i="3"/>
  <c r="H896" i="3"/>
  <c r="AU895" i="3" l="1"/>
  <c r="AO895" i="3"/>
  <c r="X896" i="3"/>
  <c r="H897" i="3"/>
  <c r="AU896" i="3" l="1"/>
  <c r="AO896" i="3"/>
  <c r="X897" i="3"/>
  <c r="H898" i="3"/>
  <c r="AU897" i="3" l="1"/>
  <c r="AO897" i="3"/>
  <c r="X898" i="3"/>
  <c r="H899" i="3"/>
  <c r="AU898" i="3" l="1"/>
  <c r="AO898" i="3"/>
  <c r="X899" i="3"/>
  <c r="H900" i="3"/>
  <c r="AU899" i="3" l="1"/>
  <c r="AO899" i="3"/>
  <c r="X900" i="3"/>
  <c r="H901" i="3"/>
  <c r="AU900" i="3" l="1"/>
  <c r="AO900" i="3"/>
  <c r="X901" i="3"/>
  <c r="H902" i="3"/>
  <c r="AU901" i="3" l="1"/>
  <c r="AO901" i="3"/>
  <c r="X902" i="3"/>
  <c r="H903" i="3"/>
  <c r="AU902" i="3" l="1"/>
  <c r="AO902" i="3"/>
  <c r="X903" i="3"/>
  <c r="H904" i="3"/>
  <c r="AU903" i="3" l="1"/>
  <c r="AO903" i="3"/>
  <c r="X904" i="3"/>
  <c r="H905" i="3"/>
  <c r="AU904" i="3" l="1"/>
  <c r="AO904" i="3"/>
  <c r="X905" i="3"/>
  <c r="H906" i="3"/>
  <c r="AU905" i="3" l="1"/>
  <c r="AO905" i="3"/>
  <c r="X906" i="3"/>
  <c r="H907" i="3"/>
  <c r="AU906" i="3" l="1"/>
  <c r="AO906" i="3"/>
  <c r="X907" i="3"/>
  <c r="H908" i="3"/>
  <c r="AU907" i="3" l="1"/>
  <c r="AO907" i="3"/>
  <c r="X908" i="3"/>
  <c r="H909" i="3"/>
  <c r="AU908" i="3" l="1"/>
  <c r="AO908" i="3"/>
  <c r="X909" i="3"/>
  <c r="H910" i="3"/>
  <c r="AU909" i="3" l="1"/>
  <c r="AO909" i="3"/>
  <c r="X910" i="3"/>
  <c r="H911" i="3"/>
  <c r="AU910" i="3" l="1"/>
  <c r="AO910" i="3"/>
  <c r="X911" i="3"/>
  <c r="H912" i="3"/>
  <c r="AU911" i="3" l="1"/>
  <c r="AO911" i="3"/>
  <c r="X912" i="3"/>
  <c r="H913" i="3"/>
  <c r="AU912" i="3" l="1"/>
  <c r="AO912" i="3"/>
  <c r="X913" i="3"/>
  <c r="H914" i="3"/>
  <c r="AU913" i="3" l="1"/>
  <c r="AO913" i="3"/>
  <c r="X914" i="3"/>
  <c r="H915" i="3"/>
  <c r="AU914" i="3" l="1"/>
  <c r="AO914" i="3"/>
  <c r="X915" i="3"/>
  <c r="H916" i="3"/>
  <c r="AU915" i="3" l="1"/>
  <c r="AO915" i="3"/>
  <c r="X916" i="3"/>
  <c r="H917" i="3"/>
  <c r="AU916" i="3" l="1"/>
  <c r="AO916" i="3"/>
  <c r="X917" i="3"/>
  <c r="H918" i="3"/>
  <c r="AU917" i="3" l="1"/>
  <c r="AO917" i="3"/>
  <c r="X918" i="3"/>
  <c r="H919" i="3"/>
  <c r="AU918" i="3" l="1"/>
  <c r="AO918" i="3"/>
  <c r="X919" i="3"/>
  <c r="H920" i="3"/>
  <c r="AU919" i="3" l="1"/>
  <c r="AO919" i="3"/>
  <c r="X920" i="3"/>
  <c r="H921" i="3"/>
  <c r="AU920" i="3" l="1"/>
  <c r="AO920" i="3"/>
  <c r="X921" i="3"/>
  <c r="H922" i="3"/>
  <c r="AU921" i="3" l="1"/>
  <c r="AO921" i="3"/>
  <c r="X922" i="3"/>
  <c r="H923" i="3"/>
  <c r="AU922" i="3" l="1"/>
  <c r="AO922" i="3"/>
  <c r="X923" i="3"/>
  <c r="H924" i="3"/>
  <c r="AU923" i="3" l="1"/>
  <c r="AO923" i="3"/>
  <c r="X924" i="3"/>
  <c r="H925" i="3"/>
  <c r="AU924" i="3" l="1"/>
  <c r="AO924" i="3"/>
  <c r="X925" i="3"/>
  <c r="H926" i="3"/>
  <c r="AU925" i="3" l="1"/>
  <c r="AO925" i="3"/>
  <c r="X926" i="3"/>
  <c r="H927" i="3"/>
  <c r="AU926" i="3" l="1"/>
  <c r="AO926" i="3"/>
  <c r="X927" i="3"/>
  <c r="H928" i="3"/>
  <c r="AU927" i="3" l="1"/>
  <c r="AO927" i="3"/>
  <c r="X928" i="3"/>
  <c r="H929" i="3"/>
  <c r="AU928" i="3" l="1"/>
  <c r="AO928" i="3"/>
  <c r="X929" i="3"/>
  <c r="H930" i="3"/>
  <c r="AU929" i="3" l="1"/>
  <c r="AO929" i="3"/>
  <c r="X930" i="3"/>
  <c r="H931" i="3"/>
  <c r="AU930" i="3" l="1"/>
  <c r="AO930" i="3"/>
  <c r="X931" i="3"/>
  <c r="H932" i="3"/>
  <c r="AU931" i="3" l="1"/>
  <c r="AO931" i="3"/>
  <c r="X932" i="3"/>
  <c r="H933" i="3"/>
  <c r="AU932" i="3" l="1"/>
  <c r="AO932" i="3"/>
  <c r="X933" i="3"/>
  <c r="H934" i="3"/>
  <c r="AU933" i="3" l="1"/>
  <c r="AO933" i="3"/>
  <c r="X934" i="3"/>
  <c r="H935" i="3"/>
  <c r="AU934" i="3" l="1"/>
  <c r="AO934" i="3"/>
  <c r="X935" i="3"/>
  <c r="H936" i="3"/>
  <c r="AU935" i="3" l="1"/>
  <c r="AO935" i="3"/>
  <c r="X936" i="3"/>
  <c r="H937" i="3"/>
  <c r="AU936" i="3" l="1"/>
  <c r="AO936" i="3"/>
  <c r="X937" i="3"/>
  <c r="H938" i="3"/>
  <c r="AU937" i="3" l="1"/>
  <c r="AO937" i="3"/>
  <c r="X938" i="3"/>
  <c r="H939" i="3"/>
  <c r="AU938" i="3" l="1"/>
  <c r="AO938" i="3"/>
  <c r="X939" i="3"/>
  <c r="H940" i="3"/>
  <c r="AU939" i="3" l="1"/>
  <c r="AO939" i="3"/>
  <c r="X940" i="3"/>
  <c r="H941" i="3"/>
  <c r="AU940" i="3" l="1"/>
  <c r="AO940" i="3"/>
  <c r="X941" i="3"/>
  <c r="H942" i="3"/>
  <c r="AU941" i="3" l="1"/>
  <c r="AO941" i="3"/>
  <c r="X942" i="3"/>
  <c r="H943" i="3"/>
  <c r="AU942" i="3" l="1"/>
  <c r="AO942" i="3"/>
  <c r="X943" i="3"/>
  <c r="H944" i="3"/>
  <c r="AU943" i="3" l="1"/>
  <c r="AO943" i="3"/>
  <c r="X944" i="3"/>
  <c r="H945" i="3"/>
  <c r="AU944" i="3" l="1"/>
  <c r="AO944" i="3"/>
  <c r="X945" i="3"/>
  <c r="H946" i="3"/>
  <c r="AU945" i="3" l="1"/>
  <c r="AO945" i="3"/>
  <c r="X946" i="3"/>
  <c r="H947" i="3"/>
  <c r="AU946" i="3" l="1"/>
  <c r="AO946" i="3"/>
  <c r="X947" i="3"/>
  <c r="H948" i="3"/>
  <c r="AU947" i="3" l="1"/>
  <c r="AO947" i="3"/>
  <c r="X948" i="3"/>
  <c r="H949" i="3"/>
  <c r="AU948" i="3" l="1"/>
  <c r="AO948" i="3"/>
  <c r="X949" i="3"/>
  <c r="H950" i="3"/>
  <c r="AU949" i="3" l="1"/>
  <c r="AO949" i="3"/>
  <c r="X950" i="3"/>
  <c r="H951" i="3"/>
  <c r="AU950" i="3" l="1"/>
  <c r="AO950" i="3"/>
  <c r="X951" i="3"/>
  <c r="H952" i="3"/>
  <c r="AU951" i="3" l="1"/>
  <c r="AO951" i="3"/>
  <c r="X952" i="3"/>
  <c r="H953" i="3"/>
  <c r="AU952" i="3" l="1"/>
  <c r="AO952" i="3"/>
  <c r="X953" i="3"/>
  <c r="H954" i="3"/>
  <c r="AU953" i="3" l="1"/>
  <c r="AO953" i="3"/>
  <c r="X954" i="3"/>
  <c r="H955" i="3"/>
  <c r="AU954" i="3" l="1"/>
  <c r="AO954" i="3"/>
  <c r="X955" i="3"/>
  <c r="H956" i="3"/>
  <c r="AU955" i="3" l="1"/>
  <c r="AO955" i="3"/>
  <c r="X956" i="3"/>
  <c r="H957" i="3"/>
  <c r="AU956" i="3" l="1"/>
  <c r="AO956" i="3"/>
  <c r="X957" i="3"/>
  <c r="H958" i="3"/>
  <c r="AU957" i="3" l="1"/>
  <c r="AO957" i="3"/>
  <c r="X958" i="3"/>
  <c r="H959" i="3"/>
  <c r="AU958" i="3" l="1"/>
  <c r="AO958" i="3"/>
  <c r="X959" i="3"/>
  <c r="H960" i="3"/>
  <c r="AU959" i="3" l="1"/>
  <c r="AO959" i="3"/>
  <c r="X960" i="3"/>
  <c r="H961" i="3"/>
  <c r="AU960" i="3" l="1"/>
  <c r="AO960" i="3"/>
  <c r="X961" i="3"/>
  <c r="H962" i="3"/>
  <c r="AU961" i="3" l="1"/>
  <c r="AO961" i="3"/>
  <c r="X962" i="3"/>
  <c r="H963" i="3"/>
  <c r="AU962" i="3" l="1"/>
  <c r="AO962" i="3"/>
  <c r="X963" i="3"/>
  <c r="H964" i="3"/>
  <c r="AU963" i="3" l="1"/>
  <c r="AO963" i="3"/>
  <c r="X964" i="3"/>
  <c r="H965" i="3"/>
  <c r="AU964" i="3" l="1"/>
  <c r="AO964" i="3"/>
  <c r="X965" i="3"/>
  <c r="H966" i="3"/>
  <c r="AU965" i="3" l="1"/>
  <c r="AO965" i="3"/>
  <c r="X966" i="3"/>
  <c r="H967" i="3"/>
  <c r="AU966" i="3" l="1"/>
  <c r="AO966" i="3"/>
  <c r="X967" i="3"/>
  <c r="H968" i="3"/>
  <c r="AU967" i="3" l="1"/>
  <c r="AO967" i="3"/>
  <c r="X968" i="3"/>
  <c r="H969" i="3"/>
  <c r="AU968" i="3" l="1"/>
  <c r="AO968" i="3"/>
  <c r="X969" i="3"/>
  <c r="H970" i="3"/>
  <c r="AU969" i="3" l="1"/>
  <c r="AO969" i="3"/>
  <c r="X970" i="3"/>
  <c r="H971" i="3"/>
  <c r="AU970" i="3" l="1"/>
  <c r="AO970" i="3"/>
  <c r="X971" i="3"/>
  <c r="H972" i="3"/>
  <c r="AU971" i="3" l="1"/>
  <c r="AO971" i="3"/>
  <c r="X972" i="3"/>
  <c r="H973" i="3"/>
  <c r="AU972" i="3" l="1"/>
  <c r="AO972" i="3"/>
  <c r="X973" i="3"/>
  <c r="H974" i="3"/>
  <c r="AU973" i="3" l="1"/>
  <c r="AO973" i="3"/>
  <c r="X974" i="3"/>
  <c r="H975" i="3"/>
  <c r="AU974" i="3" l="1"/>
  <c r="AO974" i="3"/>
  <c r="X975" i="3"/>
  <c r="H976" i="3"/>
  <c r="AU975" i="3" l="1"/>
  <c r="AO975" i="3"/>
  <c r="X976" i="3"/>
  <c r="H977" i="3"/>
  <c r="AU976" i="3" l="1"/>
  <c r="AO976" i="3"/>
  <c r="X977" i="3"/>
  <c r="H978" i="3"/>
  <c r="AU977" i="3" l="1"/>
  <c r="AO977" i="3"/>
  <c r="X978" i="3"/>
  <c r="H979" i="3"/>
  <c r="AU978" i="3" l="1"/>
  <c r="AO978" i="3"/>
  <c r="X979" i="3"/>
  <c r="H980" i="3"/>
  <c r="AU979" i="3" l="1"/>
  <c r="AO979" i="3"/>
  <c r="X980" i="3"/>
  <c r="H981" i="3"/>
  <c r="AU980" i="3" l="1"/>
  <c r="AO980" i="3"/>
  <c r="X981" i="3"/>
  <c r="H982" i="3"/>
  <c r="AU981" i="3" l="1"/>
  <c r="AO981" i="3"/>
  <c r="X982" i="3"/>
  <c r="H983" i="3"/>
  <c r="AU982" i="3" l="1"/>
  <c r="AO982" i="3"/>
  <c r="X983" i="3"/>
  <c r="H984" i="3"/>
  <c r="AU983" i="3" l="1"/>
  <c r="AO983" i="3"/>
  <c r="X984" i="3"/>
  <c r="H985" i="3"/>
  <c r="AU984" i="3" l="1"/>
  <c r="AO984" i="3"/>
  <c r="X985" i="3"/>
  <c r="H986" i="3"/>
  <c r="AU985" i="3" l="1"/>
  <c r="AO985" i="3"/>
  <c r="X986" i="3"/>
  <c r="H987" i="3"/>
  <c r="AU986" i="3" l="1"/>
  <c r="AO986" i="3"/>
  <c r="X987" i="3"/>
  <c r="H988" i="3"/>
  <c r="AU987" i="3" l="1"/>
  <c r="AO987" i="3"/>
  <c r="X988" i="3"/>
  <c r="H989" i="3"/>
  <c r="AU988" i="3" l="1"/>
  <c r="AO988" i="3"/>
  <c r="X989" i="3"/>
  <c r="H990" i="3"/>
  <c r="AU989" i="3" l="1"/>
  <c r="AO989" i="3"/>
  <c r="X990" i="3"/>
  <c r="H991" i="3"/>
  <c r="AU990" i="3" l="1"/>
  <c r="AO990" i="3"/>
  <c r="X991" i="3"/>
  <c r="H992" i="3"/>
  <c r="AU991" i="3" l="1"/>
  <c r="AO991" i="3"/>
  <c r="X992" i="3"/>
  <c r="H993" i="3"/>
  <c r="AU992" i="3" l="1"/>
  <c r="AO992" i="3"/>
  <c r="X993" i="3"/>
  <c r="H994" i="3"/>
  <c r="AU993" i="3" l="1"/>
  <c r="AO993" i="3"/>
  <c r="X994" i="3"/>
  <c r="H995" i="3"/>
  <c r="AU994" i="3" l="1"/>
  <c r="AO994" i="3"/>
  <c r="X995" i="3"/>
  <c r="H996" i="3"/>
  <c r="AU995" i="3" l="1"/>
  <c r="AO995" i="3"/>
  <c r="X996" i="3"/>
  <c r="H997" i="3"/>
  <c r="AU996" i="3" l="1"/>
  <c r="AO996" i="3"/>
  <c r="X997" i="3"/>
  <c r="H998" i="3"/>
  <c r="AU997" i="3" l="1"/>
  <c r="AO997" i="3"/>
  <c r="X998" i="3"/>
  <c r="H999" i="3"/>
  <c r="AU998" i="3" l="1"/>
  <c r="AO998" i="3"/>
  <c r="X999" i="3"/>
  <c r="H1000" i="3"/>
  <c r="AU999" i="3" l="1"/>
  <c r="AO999" i="3"/>
  <c r="X1000" i="3"/>
  <c r="H1001" i="3"/>
  <c r="AU1000" i="3" l="1"/>
  <c r="AO1000" i="3"/>
  <c r="X1001" i="3"/>
  <c r="H1002" i="3"/>
  <c r="AU1001" i="3" l="1"/>
  <c r="AO1001" i="3"/>
  <c r="X1002" i="3"/>
  <c r="H1003" i="3"/>
  <c r="AU1002" i="3" l="1"/>
  <c r="AO1002" i="3"/>
  <c r="X1003" i="3"/>
  <c r="H1004" i="3"/>
  <c r="AU1003" i="3" l="1"/>
  <c r="AO1003" i="3"/>
  <c r="X1004" i="3"/>
  <c r="H1005" i="3"/>
  <c r="AU1004" i="3" l="1"/>
  <c r="AO1004" i="3"/>
  <c r="X1005" i="3"/>
  <c r="H1006" i="3"/>
  <c r="AU1005" i="3" l="1"/>
  <c r="AO1005" i="3"/>
  <c r="X1006" i="3"/>
  <c r="H1007" i="3"/>
  <c r="AU1006" i="3" l="1"/>
  <c r="AO1006" i="3"/>
  <c r="X1007" i="3"/>
  <c r="H1008" i="3"/>
  <c r="AU1007" i="3" l="1"/>
  <c r="AO1007" i="3"/>
  <c r="X1008" i="3"/>
  <c r="H1009" i="3"/>
  <c r="AU1008" i="3" l="1"/>
  <c r="AO1008" i="3"/>
  <c r="X1009" i="3"/>
  <c r="H1010" i="3"/>
  <c r="AU1009" i="3" l="1"/>
  <c r="AO1009" i="3"/>
  <c r="X1010" i="3"/>
  <c r="H1011" i="3"/>
  <c r="AU1010" i="3" l="1"/>
  <c r="AO1010" i="3"/>
  <c r="X1011" i="3"/>
  <c r="H1012" i="3"/>
  <c r="AU1011" i="3" l="1"/>
  <c r="AO1011" i="3"/>
  <c r="X1012" i="3"/>
  <c r="H1013" i="3"/>
  <c r="AU1012" i="3" l="1"/>
  <c r="AO1012" i="3"/>
  <c r="X1013" i="3"/>
  <c r="H1014" i="3"/>
  <c r="AU1013" i="3" l="1"/>
  <c r="AO1013" i="3"/>
  <c r="X1014" i="3"/>
  <c r="H1015" i="3"/>
  <c r="AU1014" i="3" l="1"/>
  <c r="AO1014" i="3"/>
  <c r="X1015" i="3"/>
  <c r="H1016" i="3"/>
  <c r="AU1015" i="3" l="1"/>
  <c r="AO1015" i="3"/>
  <c r="X1016" i="3"/>
  <c r="H1017" i="3"/>
  <c r="AU1016" i="3" l="1"/>
  <c r="AO1016" i="3"/>
  <c r="X1017" i="3"/>
  <c r="H1018" i="3"/>
  <c r="AU1017" i="3" l="1"/>
  <c r="AO1017" i="3"/>
  <c r="X1018" i="3"/>
  <c r="H1019" i="3"/>
  <c r="AU1018" i="3" l="1"/>
  <c r="AO1018" i="3"/>
  <c r="X1019" i="3"/>
  <c r="H1020" i="3"/>
  <c r="AU1019" i="3" l="1"/>
  <c r="AO1019" i="3"/>
  <c r="X1020" i="3"/>
  <c r="H1021" i="3"/>
  <c r="AU1020" i="3" l="1"/>
  <c r="AO1020" i="3"/>
  <c r="X1021" i="3"/>
  <c r="H1022" i="3"/>
  <c r="AU1021" i="3" l="1"/>
  <c r="AO1021" i="3"/>
  <c r="X1022" i="3"/>
  <c r="H1023" i="3"/>
  <c r="AU1022" i="3" l="1"/>
  <c r="AO1022" i="3"/>
  <c r="X1023" i="3"/>
  <c r="H1024" i="3"/>
  <c r="AU1023" i="3" l="1"/>
  <c r="AO1023" i="3"/>
  <c r="X1024" i="3"/>
  <c r="H1025" i="3"/>
  <c r="AU1024" i="3" l="1"/>
  <c r="AO1024" i="3"/>
  <c r="X1025" i="3"/>
  <c r="H1026" i="3"/>
  <c r="AU1025" i="3" l="1"/>
  <c r="AO1025" i="3"/>
  <c r="X1026" i="3"/>
  <c r="H1027" i="3"/>
  <c r="AU1026" i="3" l="1"/>
  <c r="AO1026" i="3"/>
  <c r="X1027" i="3"/>
  <c r="H1028" i="3"/>
  <c r="AU1027" i="3" l="1"/>
  <c r="AO1027" i="3"/>
  <c r="X1028" i="3"/>
  <c r="H1029" i="3"/>
  <c r="AU1028" i="3" l="1"/>
  <c r="AO1028" i="3"/>
  <c r="X1029" i="3"/>
  <c r="H1030" i="3"/>
  <c r="AU1029" i="3" l="1"/>
  <c r="AO1029" i="3"/>
  <c r="X1030" i="3"/>
  <c r="H1031" i="3"/>
  <c r="AU1030" i="3" l="1"/>
  <c r="AO1030" i="3"/>
  <c r="X1031" i="3"/>
  <c r="H1032" i="3"/>
  <c r="AU1031" i="3" l="1"/>
  <c r="AO1031" i="3"/>
  <c r="X1032" i="3"/>
  <c r="H1033" i="3"/>
  <c r="AU1032" i="3" l="1"/>
  <c r="AO1032" i="3"/>
  <c r="X1033" i="3"/>
  <c r="H1034" i="3"/>
  <c r="AU1033" i="3" l="1"/>
  <c r="AO1033" i="3"/>
  <c r="X1034" i="3"/>
  <c r="H1035" i="3"/>
  <c r="AU1034" i="3" l="1"/>
  <c r="AO1034" i="3"/>
  <c r="X1035" i="3"/>
  <c r="H1036" i="3"/>
  <c r="AU1035" i="3" l="1"/>
  <c r="AO1035" i="3"/>
  <c r="X1036" i="3"/>
  <c r="H1037" i="3"/>
  <c r="AU1036" i="3" l="1"/>
  <c r="AO1036" i="3"/>
  <c r="X1037" i="3"/>
  <c r="H1038" i="3"/>
  <c r="AU1037" i="3" l="1"/>
  <c r="AO1037" i="3"/>
  <c r="X1038" i="3"/>
  <c r="H1039" i="3"/>
  <c r="AU1038" i="3" l="1"/>
  <c r="AO1038" i="3"/>
  <c r="X1039" i="3"/>
  <c r="H1040" i="3"/>
  <c r="AU1039" i="3" l="1"/>
  <c r="AO1039" i="3"/>
  <c r="X1040" i="3"/>
  <c r="H1041" i="3"/>
  <c r="AU1040" i="3" l="1"/>
  <c r="AO1040" i="3"/>
  <c r="X1041" i="3"/>
  <c r="H1042" i="3"/>
  <c r="AU1041" i="3" l="1"/>
  <c r="AO1041" i="3"/>
  <c r="X1042" i="3"/>
  <c r="H1043" i="3"/>
  <c r="AU1042" i="3" l="1"/>
  <c r="AO1042" i="3"/>
  <c r="X1043" i="3"/>
  <c r="H1044" i="3"/>
  <c r="AU1043" i="3" l="1"/>
  <c r="AO1043" i="3"/>
  <c r="X1044" i="3"/>
  <c r="H1045" i="3"/>
  <c r="AU1044" i="3" l="1"/>
  <c r="AO1044" i="3"/>
  <c r="X1045" i="3"/>
  <c r="H1046" i="3"/>
  <c r="AU1045" i="3" l="1"/>
  <c r="AO1045" i="3"/>
  <c r="X1046" i="3"/>
  <c r="H1047" i="3"/>
  <c r="AU1046" i="3" l="1"/>
  <c r="AO1046" i="3"/>
  <c r="X1047" i="3"/>
  <c r="H1048" i="3"/>
  <c r="AU1047" i="3" l="1"/>
  <c r="AO1047" i="3"/>
  <c r="X1048" i="3"/>
  <c r="H1049" i="3"/>
  <c r="AU1048" i="3" l="1"/>
  <c r="AO1048" i="3"/>
  <c r="X1049" i="3"/>
  <c r="H1050" i="3"/>
  <c r="AU1049" i="3" l="1"/>
  <c r="AO1049" i="3"/>
  <c r="X1050" i="3"/>
  <c r="H1051" i="3"/>
  <c r="AU1050" i="3" l="1"/>
  <c r="AO1050" i="3"/>
  <c r="X1051" i="3"/>
  <c r="H1052" i="3"/>
  <c r="AU1051" i="3" l="1"/>
  <c r="AO1051" i="3"/>
  <c r="X1052" i="3"/>
  <c r="H1053" i="3"/>
  <c r="AU1052" i="3" l="1"/>
  <c r="AO1052" i="3"/>
  <c r="X1053" i="3"/>
  <c r="H1054" i="3"/>
  <c r="AU1053" i="3" l="1"/>
  <c r="AO1053" i="3"/>
  <c r="X1054" i="3"/>
  <c r="H1055" i="3"/>
  <c r="AU1054" i="3" l="1"/>
  <c r="AO1054" i="3"/>
  <c r="X1055" i="3"/>
  <c r="H1056" i="3"/>
  <c r="AU1055" i="3" l="1"/>
  <c r="AO1055" i="3"/>
  <c r="X1056" i="3"/>
  <c r="H1057" i="3"/>
  <c r="AU1056" i="3" l="1"/>
  <c r="AO1056" i="3"/>
  <c r="X1057" i="3"/>
  <c r="H1058" i="3"/>
  <c r="AU1057" i="3" l="1"/>
  <c r="AO1057" i="3"/>
  <c r="X1058" i="3"/>
  <c r="H1059" i="3"/>
  <c r="AU1058" i="3" l="1"/>
  <c r="AO1058" i="3"/>
  <c r="X1059" i="3"/>
  <c r="H1060" i="3"/>
  <c r="AU1059" i="3" l="1"/>
  <c r="AO1059" i="3"/>
  <c r="X1060" i="3"/>
  <c r="H1061" i="3"/>
  <c r="AU1060" i="3" l="1"/>
  <c r="AO1060" i="3"/>
  <c r="X1061" i="3"/>
  <c r="H1062" i="3"/>
  <c r="AU1061" i="3" l="1"/>
  <c r="AO1061" i="3"/>
  <c r="X1062" i="3"/>
  <c r="H1063" i="3"/>
  <c r="AU1062" i="3" l="1"/>
  <c r="AO1062" i="3"/>
  <c r="X1063" i="3"/>
  <c r="H1064" i="3"/>
  <c r="AU1063" i="3" l="1"/>
  <c r="AO1063" i="3"/>
  <c r="X1064" i="3"/>
  <c r="H1065" i="3"/>
  <c r="AU1064" i="3" l="1"/>
  <c r="AO1064" i="3"/>
  <c r="X1065" i="3"/>
  <c r="H1066" i="3"/>
  <c r="AU1065" i="3" l="1"/>
  <c r="AO1065" i="3"/>
  <c r="X1066" i="3"/>
  <c r="H1067" i="3"/>
  <c r="AU1066" i="3" l="1"/>
  <c r="AO1066" i="3"/>
  <c r="X1067" i="3"/>
  <c r="H1068" i="3"/>
  <c r="AU1067" i="3" l="1"/>
  <c r="AO1067" i="3"/>
  <c r="X1068" i="3"/>
  <c r="H1069" i="3"/>
  <c r="AU1068" i="3" l="1"/>
  <c r="AO1068" i="3"/>
  <c r="X1069" i="3"/>
  <c r="H1070" i="3"/>
  <c r="AU1069" i="3" l="1"/>
  <c r="AO1069" i="3"/>
  <c r="X1070" i="3"/>
  <c r="H1071" i="3"/>
  <c r="AU1070" i="3" l="1"/>
  <c r="AO1070" i="3"/>
  <c r="X1071" i="3"/>
  <c r="H1072" i="3"/>
  <c r="AU1071" i="3" l="1"/>
  <c r="AO1071" i="3"/>
  <c r="X1072" i="3"/>
  <c r="H1073" i="3"/>
  <c r="AU1072" i="3" l="1"/>
  <c r="AO1072" i="3"/>
  <c r="X1073" i="3"/>
  <c r="H1074" i="3"/>
  <c r="AU1073" i="3" l="1"/>
  <c r="AO1073" i="3"/>
  <c r="X1074" i="3"/>
  <c r="H1075" i="3"/>
  <c r="AU1074" i="3" l="1"/>
  <c r="AO1074" i="3"/>
  <c r="X1075" i="3"/>
  <c r="H1076" i="3"/>
  <c r="AU1075" i="3" l="1"/>
  <c r="AO1075" i="3"/>
  <c r="X1076" i="3"/>
  <c r="H1077" i="3"/>
  <c r="AU1076" i="3" l="1"/>
  <c r="AO1076" i="3"/>
  <c r="X1077" i="3"/>
  <c r="H1078" i="3"/>
  <c r="AU1077" i="3" l="1"/>
  <c r="AO1077" i="3"/>
  <c r="X1078" i="3"/>
  <c r="H1079" i="3"/>
  <c r="AU1078" i="3" l="1"/>
  <c r="AO1078" i="3"/>
  <c r="X1079" i="3"/>
  <c r="H1080" i="3"/>
  <c r="AU1079" i="3" l="1"/>
  <c r="AO1079" i="3"/>
  <c r="X1080" i="3"/>
  <c r="H1081" i="3"/>
  <c r="AU1080" i="3" l="1"/>
  <c r="AO1080" i="3"/>
  <c r="X1081" i="3"/>
  <c r="H1082" i="3"/>
  <c r="AU1081" i="3" l="1"/>
  <c r="AO1081" i="3"/>
  <c r="X1082" i="3"/>
  <c r="H1083" i="3"/>
  <c r="AU1082" i="3" l="1"/>
  <c r="AO1082" i="3"/>
  <c r="X1083" i="3"/>
  <c r="H1084" i="3"/>
  <c r="AU1083" i="3" l="1"/>
  <c r="AO1083" i="3"/>
  <c r="X1084" i="3"/>
  <c r="H1085" i="3"/>
  <c r="AU1084" i="3" l="1"/>
  <c r="AO1084" i="3"/>
  <c r="X1085" i="3"/>
  <c r="H1086" i="3"/>
  <c r="AU1085" i="3" l="1"/>
  <c r="AO1085" i="3"/>
  <c r="X1086" i="3"/>
  <c r="H1087" i="3"/>
  <c r="AU1086" i="3" l="1"/>
  <c r="AO1086" i="3"/>
  <c r="X1087" i="3"/>
  <c r="H1088" i="3"/>
  <c r="AU1087" i="3" l="1"/>
  <c r="AO1087" i="3"/>
  <c r="X1088" i="3"/>
  <c r="H1089" i="3"/>
  <c r="AU1088" i="3" l="1"/>
  <c r="AO1088" i="3"/>
  <c r="X1089" i="3"/>
  <c r="H1090" i="3"/>
  <c r="AU1089" i="3" l="1"/>
  <c r="AO1089" i="3"/>
  <c r="X1090" i="3"/>
  <c r="H1091" i="3"/>
  <c r="AU1090" i="3" l="1"/>
  <c r="AO1090" i="3"/>
  <c r="X1091" i="3"/>
  <c r="H1092" i="3"/>
  <c r="AU1091" i="3" l="1"/>
  <c r="AO1091" i="3"/>
  <c r="X1092" i="3"/>
  <c r="H1093" i="3"/>
  <c r="AU1092" i="3" l="1"/>
  <c r="AO1092" i="3"/>
  <c r="X1093" i="3"/>
  <c r="H1094" i="3"/>
  <c r="AU1093" i="3" l="1"/>
  <c r="AO1093" i="3"/>
  <c r="X1094" i="3"/>
  <c r="H1095" i="3"/>
  <c r="AU1094" i="3" l="1"/>
  <c r="AO1094" i="3"/>
  <c r="X1095" i="3"/>
  <c r="H1096" i="3"/>
  <c r="AU1095" i="3" l="1"/>
  <c r="AO1095" i="3"/>
  <c r="X1096" i="3"/>
  <c r="H1097" i="3"/>
  <c r="AU1096" i="3" l="1"/>
  <c r="AO1096" i="3"/>
  <c r="X1097" i="3"/>
  <c r="H1098" i="3"/>
  <c r="AU1097" i="3" l="1"/>
  <c r="AO1097" i="3"/>
  <c r="X1098" i="3"/>
  <c r="H1099" i="3"/>
  <c r="AU1098" i="3" l="1"/>
  <c r="AO1098" i="3"/>
  <c r="X1099" i="3"/>
  <c r="H1100" i="3"/>
  <c r="AU1099" i="3" l="1"/>
  <c r="AO1099" i="3"/>
  <c r="X1100" i="3"/>
  <c r="H1101" i="3"/>
  <c r="AU1100" i="3" l="1"/>
  <c r="AO1100" i="3"/>
  <c r="X1101" i="3"/>
  <c r="H1102" i="3"/>
  <c r="AU1101" i="3" l="1"/>
  <c r="AO1101" i="3"/>
  <c r="X1102" i="3"/>
  <c r="H1103" i="3"/>
  <c r="AU1102" i="3" l="1"/>
  <c r="AO1102" i="3"/>
  <c r="X1103" i="3"/>
  <c r="H1104" i="3"/>
  <c r="AU1103" i="3" l="1"/>
  <c r="AO1103" i="3"/>
  <c r="X1104" i="3"/>
  <c r="H1105" i="3"/>
  <c r="AU1104" i="3" l="1"/>
  <c r="AO1104" i="3"/>
  <c r="X1105" i="3"/>
  <c r="H1106" i="3"/>
  <c r="AU1105" i="3" l="1"/>
  <c r="AO1105" i="3"/>
  <c r="X1106" i="3"/>
  <c r="H1107" i="3"/>
  <c r="AU1106" i="3" l="1"/>
  <c r="AO1106" i="3"/>
  <c r="X1107" i="3"/>
  <c r="H1108" i="3"/>
  <c r="AU1107" i="3" l="1"/>
  <c r="AO1107" i="3"/>
  <c r="X1108" i="3"/>
  <c r="H1109" i="3"/>
  <c r="AU1108" i="3" l="1"/>
  <c r="AO1108" i="3"/>
  <c r="X1109" i="3"/>
  <c r="H1110" i="3"/>
  <c r="AU1109" i="3" l="1"/>
  <c r="AO1109" i="3"/>
  <c r="X1110" i="3"/>
  <c r="H1111" i="3"/>
  <c r="AU1110" i="3" l="1"/>
  <c r="AO1110" i="3"/>
  <c r="X1111" i="3"/>
  <c r="H1112" i="3"/>
  <c r="AU1111" i="3" l="1"/>
  <c r="AO1111" i="3"/>
  <c r="X1112" i="3"/>
  <c r="H1113" i="3"/>
  <c r="AU1112" i="3" l="1"/>
  <c r="AO1112" i="3"/>
  <c r="X1113" i="3"/>
  <c r="H1114" i="3"/>
  <c r="AU1113" i="3" l="1"/>
  <c r="AO1113" i="3"/>
  <c r="X1114" i="3"/>
  <c r="H1115" i="3"/>
  <c r="AU1114" i="3" l="1"/>
  <c r="AO1114" i="3"/>
  <c r="X1115" i="3"/>
  <c r="H1116" i="3"/>
  <c r="AU1115" i="3" l="1"/>
  <c r="AO1115" i="3"/>
  <c r="X1116" i="3"/>
  <c r="H1117" i="3"/>
  <c r="AU1116" i="3" l="1"/>
  <c r="AO1116" i="3"/>
  <c r="X1117" i="3"/>
  <c r="H1118" i="3"/>
  <c r="AU1117" i="3" l="1"/>
  <c r="AO1117" i="3"/>
  <c r="X1118" i="3"/>
  <c r="H1119" i="3"/>
  <c r="AU1118" i="3" l="1"/>
  <c r="AO1118" i="3"/>
  <c r="X1119" i="3"/>
  <c r="H1120" i="3"/>
  <c r="AU1119" i="3" l="1"/>
  <c r="AO1119" i="3"/>
  <c r="X1120" i="3"/>
  <c r="H1121" i="3"/>
  <c r="AU1120" i="3" l="1"/>
  <c r="AO1120" i="3"/>
  <c r="X1121" i="3"/>
  <c r="H1122" i="3"/>
  <c r="AU1121" i="3" l="1"/>
  <c r="AO1121" i="3"/>
  <c r="X1122" i="3"/>
  <c r="H1123" i="3"/>
  <c r="AU1122" i="3" l="1"/>
  <c r="AO1122" i="3"/>
  <c r="X1123" i="3"/>
  <c r="H1124" i="3"/>
  <c r="AU1123" i="3" l="1"/>
  <c r="AO1123" i="3"/>
  <c r="X1124" i="3"/>
  <c r="H1125" i="3"/>
  <c r="AU1124" i="3" l="1"/>
  <c r="AO1124" i="3"/>
  <c r="X1125" i="3"/>
  <c r="H1126" i="3"/>
  <c r="AU1125" i="3" l="1"/>
  <c r="AO1125" i="3"/>
  <c r="X1126" i="3"/>
  <c r="H1127" i="3"/>
  <c r="AU1126" i="3" l="1"/>
  <c r="AO1126" i="3"/>
  <c r="X1127" i="3"/>
  <c r="H1128" i="3"/>
  <c r="AU1127" i="3" l="1"/>
  <c r="AO1127" i="3"/>
  <c r="X1128" i="3"/>
  <c r="H1129" i="3"/>
  <c r="AU1128" i="3" l="1"/>
  <c r="AO1128" i="3"/>
  <c r="X1129" i="3"/>
  <c r="H1130" i="3"/>
  <c r="AU1129" i="3" l="1"/>
  <c r="AO1129" i="3"/>
  <c r="X1130" i="3"/>
  <c r="H1131" i="3"/>
  <c r="AU1130" i="3" l="1"/>
  <c r="AO1130" i="3"/>
  <c r="X1131" i="3"/>
  <c r="H1132" i="3"/>
  <c r="AU1131" i="3" l="1"/>
  <c r="AO1131" i="3"/>
  <c r="X1132" i="3"/>
  <c r="H1133" i="3"/>
  <c r="AU1132" i="3" l="1"/>
  <c r="AO1132" i="3"/>
  <c r="X1133" i="3"/>
  <c r="H1134" i="3"/>
  <c r="AU1133" i="3" l="1"/>
  <c r="AO1133" i="3"/>
  <c r="X1134" i="3"/>
  <c r="H1135" i="3"/>
  <c r="AU1134" i="3" l="1"/>
  <c r="AO1134" i="3"/>
  <c r="X1135" i="3"/>
  <c r="H1136" i="3"/>
  <c r="AU1135" i="3" l="1"/>
  <c r="AO1135" i="3"/>
  <c r="X1136" i="3"/>
  <c r="H1137" i="3"/>
  <c r="AU1136" i="3" l="1"/>
  <c r="AO1136" i="3"/>
  <c r="X1137" i="3"/>
  <c r="H1138" i="3"/>
  <c r="AU1137" i="3" l="1"/>
  <c r="AO1137" i="3"/>
  <c r="X1138" i="3"/>
  <c r="H1139" i="3"/>
  <c r="AU1138" i="3" l="1"/>
  <c r="AO1138" i="3"/>
  <c r="X1139" i="3"/>
  <c r="H1140" i="3"/>
  <c r="AU1139" i="3" l="1"/>
  <c r="AO1139" i="3"/>
  <c r="X1140" i="3"/>
  <c r="H1141" i="3"/>
  <c r="AU1140" i="3" l="1"/>
  <c r="AO1140" i="3"/>
  <c r="X1141" i="3"/>
  <c r="H1142" i="3"/>
  <c r="AU1141" i="3" l="1"/>
  <c r="AO1141" i="3"/>
  <c r="X1142" i="3"/>
  <c r="H1143" i="3"/>
  <c r="AU1142" i="3" l="1"/>
  <c r="AO1142" i="3"/>
  <c r="X1143" i="3"/>
  <c r="H1144" i="3"/>
  <c r="AU1143" i="3" l="1"/>
  <c r="AO1143" i="3"/>
  <c r="X1144" i="3"/>
  <c r="H1145" i="3"/>
  <c r="AU1144" i="3" l="1"/>
  <c r="AO1144" i="3"/>
  <c r="X1145" i="3"/>
  <c r="H1146" i="3"/>
  <c r="AU1145" i="3" l="1"/>
  <c r="AO1145" i="3"/>
  <c r="X1146" i="3"/>
  <c r="H1147" i="3"/>
  <c r="AU1146" i="3" l="1"/>
  <c r="AO1146" i="3"/>
  <c r="X1147" i="3"/>
  <c r="H1148" i="3"/>
  <c r="AU1147" i="3" l="1"/>
  <c r="AO1147" i="3"/>
  <c r="X1148" i="3"/>
  <c r="H1149" i="3"/>
  <c r="AU1148" i="3" l="1"/>
  <c r="AO1148" i="3"/>
  <c r="X1149" i="3"/>
  <c r="H1150" i="3"/>
  <c r="AU1149" i="3" l="1"/>
  <c r="AO1149" i="3"/>
  <c r="X1150" i="3"/>
  <c r="H1151" i="3"/>
  <c r="AU1150" i="3" l="1"/>
  <c r="AO1150" i="3"/>
  <c r="X1151" i="3"/>
  <c r="H1152" i="3"/>
  <c r="AU1151" i="3" l="1"/>
  <c r="AO1151" i="3"/>
  <c r="X1152" i="3"/>
  <c r="H1153" i="3"/>
  <c r="AU1152" i="3" l="1"/>
  <c r="AO1152" i="3"/>
  <c r="X1153" i="3"/>
  <c r="H1154" i="3"/>
  <c r="AU1153" i="3" l="1"/>
  <c r="AO1153" i="3"/>
  <c r="X1154" i="3"/>
  <c r="H1155" i="3"/>
  <c r="AU1154" i="3" l="1"/>
  <c r="AO1154" i="3"/>
  <c r="X1155" i="3"/>
  <c r="H1156" i="3"/>
  <c r="AU1155" i="3" l="1"/>
  <c r="AO1155" i="3"/>
  <c r="X1156" i="3"/>
  <c r="H1157" i="3"/>
  <c r="AU1156" i="3" l="1"/>
  <c r="AO1156" i="3"/>
  <c r="X1157" i="3"/>
  <c r="H1158" i="3"/>
  <c r="AU1157" i="3" l="1"/>
  <c r="AO1157" i="3"/>
  <c r="X1158" i="3"/>
  <c r="H1159" i="3"/>
  <c r="AU1158" i="3" l="1"/>
  <c r="AO1158" i="3"/>
  <c r="X1159" i="3"/>
  <c r="H1160" i="3"/>
  <c r="AU1159" i="3" l="1"/>
  <c r="AO1159" i="3"/>
  <c r="X1160" i="3"/>
  <c r="H1161" i="3"/>
  <c r="AU1160" i="3" l="1"/>
  <c r="AO1160" i="3"/>
  <c r="X1161" i="3"/>
  <c r="H1162" i="3"/>
  <c r="AU1161" i="3" l="1"/>
  <c r="AO1161" i="3"/>
  <c r="X1162" i="3"/>
  <c r="H1163" i="3"/>
  <c r="AU1162" i="3" l="1"/>
  <c r="AO1162" i="3"/>
  <c r="X1163" i="3"/>
  <c r="H1164" i="3"/>
  <c r="AU1163" i="3" l="1"/>
  <c r="AO1163" i="3"/>
  <c r="X1164" i="3"/>
  <c r="H1165" i="3"/>
  <c r="AU1164" i="3" l="1"/>
  <c r="AO1164" i="3"/>
  <c r="X1165" i="3"/>
  <c r="H1166" i="3"/>
  <c r="AU1165" i="3" l="1"/>
  <c r="AO1165" i="3"/>
  <c r="X1166" i="3"/>
  <c r="H1167" i="3"/>
  <c r="AU1166" i="3" l="1"/>
  <c r="AO1166" i="3"/>
  <c r="X1167" i="3"/>
  <c r="H1168" i="3"/>
  <c r="AU1167" i="3" l="1"/>
  <c r="AO1167" i="3"/>
  <c r="X1168" i="3"/>
  <c r="H1169" i="3"/>
  <c r="AU1168" i="3" l="1"/>
  <c r="AO1168" i="3"/>
  <c r="X1169" i="3"/>
  <c r="H1170" i="3"/>
  <c r="AU1169" i="3" l="1"/>
  <c r="AO1169" i="3"/>
  <c r="X1170" i="3"/>
  <c r="H1171" i="3"/>
  <c r="AU1170" i="3" l="1"/>
  <c r="AO1170" i="3"/>
  <c r="X1171" i="3"/>
  <c r="AU1171" i="3" s="1"/>
  <c r="H1172" i="3"/>
  <c r="AO1171" i="3" l="1"/>
  <c r="X1172" i="3"/>
  <c r="AU1172" i="3" s="1"/>
  <c r="H1173" i="3"/>
  <c r="AO1172" i="3" l="1"/>
  <c r="X1173" i="3"/>
  <c r="AU1173" i="3" s="1"/>
  <c r="H1174" i="3"/>
  <c r="AO1173" i="3" l="1"/>
  <c r="X1174" i="3"/>
  <c r="AU1174" i="3" s="1"/>
  <c r="H1175" i="3"/>
  <c r="AO1174" i="3" l="1"/>
  <c r="X1175" i="3"/>
  <c r="AU1175" i="3" s="1"/>
  <c r="H1176" i="3"/>
  <c r="AO1175" i="3" l="1"/>
  <c r="X1176" i="3"/>
  <c r="AU1176" i="3" s="1"/>
  <c r="H1177" i="3"/>
  <c r="AO1176" i="3" l="1"/>
  <c r="X1177" i="3"/>
  <c r="AU1177" i="3" s="1"/>
  <c r="H1178" i="3"/>
  <c r="AO1177" i="3" l="1"/>
  <c r="X1178" i="3"/>
  <c r="AU1178" i="3" s="1"/>
  <c r="H1179" i="3"/>
  <c r="AO1178" i="3" l="1"/>
  <c r="X1179" i="3"/>
  <c r="AU1179" i="3" s="1"/>
  <c r="H1180" i="3"/>
  <c r="AO1179" i="3" l="1"/>
  <c r="X1180" i="3"/>
  <c r="AU1180" i="3" s="1"/>
  <c r="H1181" i="3"/>
  <c r="AO1180" i="3" l="1"/>
  <c r="X1181" i="3"/>
  <c r="AU1181" i="3" s="1"/>
  <c r="H1182" i="3"/>
  <c r="AO1181" i="3" l="1"/>
  <c r="X1182" i="3"/>
  <c r="AU1182" i="3" s="1"/>
  <c r="H1183" i="3"/>
  <c r="AO1182" i="3" l="1"/>
  <c r="X1183" i="3"/>
  <c r="AU1183" i="3" s="1"/>
  <c r="H1184" i="3"/>
  <c r="AO1183" i="3" l="1"/>
  <c r="X1184" i="3"/>
  <c r="AU1184" i="3" s="1"/>
  <c r="H1185" i="3"/>
  <c r="AO1184" i="3" l="1"/>
  <c r="X1185" i="3"/>
  <c r="AU1185" i="3" s="1"/>
  <c r="H1186" i="3"/>
  <c r="AO1185" i="3" l="1"/>
  <c r="X1186" i="3"/>
  <c r="AU1186" i="3" s="1"/>
  <c r="H1187" i="3"/>
  <c r="AO1186" i="3" l="1"/>
  <c r="X1187" i="3"/>
  <c r="AU1187" i="3" s="1"/>
  <c r="H1188" i="3"/>
  <c r="AO1187" i="3" l="1"/>
  <c r="X1188" i="3"/>
  <c r="AU1188" i="3" s="1"/>
  <c r="H1189" i="3"/>
  <c r="AO1188" i="3" l="1"/>
  <c r="X1189" i="3"/>
  <c r="AU1189" i="3" s="1"/>
  <c r="H1190" i="3"/>
  <c r="AO1189" i="3" l="1"/>
  <c r="X1190" i="3"/>
  <c r="AU1190" i="3" s="1"/>
  <c r="H1191" i="3"/>
  <c r="AO1190" i="3" l="1"/>
  <c r="X1191" i="3"/>
  <c r="AU1191" i="3" s="1"/>
  <c r="H1192" i="3"/>
  <c r="AO1191" i="3" l="1"/>
  <c r="X1192" i="3"/>
  <c r="AU1192" i="3" s="1"/>
  <c r="H1193" i="3"/>
  <c r="AO1192" i="3" l="1"/>
  <c r="X1193" i="3"/>
  <c r="AU1193" i="3" s="1"/>
  <c r="H1194" i="3"/>
  <c r="AO1193" i="3" l="1"/>
  <c r="X1194" i="3"/>
  <c r="AU1194" i="3" s="1"/>
  <c r="H1195" i="3"/>
  <c r="AO1194" i="3" l="1"/>
  <c r="X1195" i="3"/>
  <c r="AU1195" i="3" s="1"/>
  <c r="H1196" i="3"/>
  <c r="AO1195" i="3" l="1"/>
  <c r="X1196" i="3"/>
  <c r="AU1196" i="3" s="1"/>
  <c r="H1197" i="3"/>
  <c r="AO1196" i="3" l="1"/>
  <c r="X1197" i="3"/>
  <c r="AU1197" i="3" s="1"/>
  <c r="H1198" i="3"/>
  <c r="AO1197" i="3" l="1"/>
  <c r="X1198" i="3"/>
  <c r="AU1198" i="3" s="1"/>
  <c r="H1199" i="3"/>
  <c r="AO1198" i="3" l="1"/>
  <c r="X1199" i="3"/>
  <c r="AU1199" i="3" s="1"/>
  <c r="H1200" i="3"/>
  <c r="AO1199" i="3" l="1"/>
  <c r="X1200" i="3"/>
  <c r="AU1200" i="3" s="1"/>
  <c r="H1201" i="3"/>
  <c r="AO1200" i="3" l="1"/>
  <c r="X1201" i="3"/>
  <c r="AU1201" i="3" s="1"/>
  <c r="H1202" i="3"/>
  <c r="AO1201" i="3" l="1"/>
  <c r="X1202" i="3"/>
  <c r="AU1202" i="3" s="1"/>
  <c r="H1203" i="3"/>
  <c r="AO1202" i="3" l="1"/>
  <c r="X1203" i="3"/>
  <c r="AU1203" i="3" s="1"/>
  <c r="H1204" i="3"/>
  <c r="AO1203" i="3" l="1"/>
  <c r="X1204" i="3"/>
  <c r="AU1204" i="3" s="1"/>
  <c r="H1205" i="3"/>
  <c r="AO1204" i="3" l="1"/>
  <c r="X1205" i="3"/>
  <c r="AU1205" i="3" s="1"/>
  <c r="H1206" i="3"/>
  <c r="AO1205" i="3" l="1"/>
  <c r="X1206" i="3"/>
  <c r="AU1206" i="3" s="1"/>
  <c r="H1207" i="3"/>
  <c r="AO1206" i="3" l="1"/>
  <c r="X1207" i="3"/>
  <c r="AU1207" i="3" s="1"/>
  <c r="H1208" i="3"/>
  <c r="AO1207" i="3" l="1"/>
  <c r="X1208" i="3"/>
  <c r="AU1208" i="3" s="1"/>
  <c r="H1209" i="3"/>
  <c r="AO1208" i="3" l="1"/>
  <c r="X1209" i="3"/>
  <c r="AU1209" i="3" s="1"/>
  <c r="H1210" i="3"/>
  <c r="AO1209" i="3" l="1"/>
  <c r="X1210" i="3"/>
  <c r="AU1210" i="3" s="1"/>
  <c r="H1211" i="3"/>
  <c r="AO1210" i="3" l="1"/>
  <c r="X1211" i="3"/>
  <c r="AU1211" i="3" s="1"/>
  <c r="H1212" i="3"/>
  <c r="AO1211" i="3" l="1"/>
  <c r="X1212" i="3"/>
  <c r="AU1212" i="3" s="1"/>
  <c r="H1213" i="3"/>
  <c r="AO1212" i="3" l="1"/>
  <c r="X1213" i="3"/>
  <c r="AU1213" i="3" s="1"/>
  <c r="H1214" i="3"/>
  <c r="AO1213" i="3" l="1"/>
  <c r="X1214" i="3"/>
  <c r="AU1214" i="3" s="1"/>
  <c r="H1215" i="3"/>
  <c r="AO1214" i="3" l="1"/>
  <c r="X1215" i="3"/>
  <c r="AU1215" i="3" s="1"/>
  <c r="H1216" i="3"/>
  <c r="AO1215" i="3" l="1"/>
  <c r="X1216" i="3"/>
  <c r="AU1216" i="3" s="1"/>
  <c r="H1217" i="3"/>
  <c r="AO1216" i="3" l="1"/>
  <c r="X1217" i="3"/>
  <c r="AU1217" i="3" s="1"/>
  <c r="H1218" i="3"/>
  <c r="AO1217" i="3" l="1"/>
  <c r="X1218" i="3"/>
  <c r="AU1218" i="3" s="1"/>
  <c r="H1219" i="3"/>
  <c r="AO1218" i="3" l="1"/>
  <c r="X1219" i="3"/>
  <c r="AU1219" i="3" s="1"/>
  <c r="H1220" i="3"/>
  <c r="AO1219" i="3" l="1"/>
  <c r="X1220" i="3"/>
  <c r="AU1220" i="3" s="1"/>
  <c r="H1221" i="3"/>
  <c r="AO1220" i="3" l="1"/>
  <c r="X1221" i="3"/>
  <c r="AU1221" i="3" s="1"/>
  <c r="H1222" i="3"/>
  <c r="AO1221" i="3" l="1"/>
  <c r="X1222" i="3"/>
  <c r="AU1222" i="3" s="1"/>
  <c r="H1223" i="3"/>
  <c r="AO1222" i="3" l="1"/>
  <c r="X1223" i="3"/>
  <c r="AU1223" i="3" s="1"/>
  <c r="H1224" i="3"/>
  <c r="AO1223" i="3" l="1"/>
  <c r="X1224" i="3"/>
  <c r="AU1224" i="3" s="1"/>
  <c r="H1225" i="3"/>
  <c r="AO1224" i="3" l="1"/>
  <c r="X1225" i="3"/>
  <c r="AU1225" i="3" s="1"/>
  <c r="H1226" i="3"/>
  <c r="AO1225" i="3" l="1"/>
  <c r="X1226" i="3"/>
  <c r="AU1226" i="3" s="1"/>
  <c r="H1227" i="3"/>
  <c r="AO1226" i="3" l="1"/>
  <c r="X1227" i="3"/>
  <c r="AU1227" i="3" s="1"/>
  <c r="H1228" i="3"/>
  <c r="AO1227" i="3" l="1"/>
  <c r="X1228" i="3"/>
  <c r="AU1228" i="3" s="1"/>
  <c r="H1229" i="3"/>
  <c r="AO1228" i="3" l="1"/>
  <c r="X1229" i="3"/>
  <c r="AU1229" i="3" s="1"/>
  <c r="H1230" i="3"/>
  <c r="AO1229" i="3" l="1"/>
  <c r="X1230" i="3"/>
  <c r="AU1230" i="3" s="1"/>
  <c r="H1231" i="3"/>
  <c r="AO1230" i="3" l="1"/>
  <c r="X1231" i="3"/>
  <c r="AU1231" i="3" s="1"/>
  <c r="H1232" i="3"/>
  <c r="AO1231" i="3" l="1"/>
  <c r="X1232" i="3"/>
  <c r="AU1232" i="3" s="1"/>
  <c r="H1233" i="3"/>
  <c r="AO1232" i="3" l="1"/>
  <c r="X1233" i="3"/>
  <c r="AU1233" i="3" s="1"/>
  <c r="H1234" i="3"/>
  <c r="AO1233" i="3" l="1"/>
  <c r="X1234" i="3"/>
  <c r="AU1234" i="3" s="1"/>
  <c r="H1235" i="3"/>
  <c r="AO1234" i="3" l="1"/>
  <c r="X1235" i="3"/>
  <c r="AU1235" i="3" s="1"/>
  <c r="H1236" i="3"/>
  <c r="AO1235" i="3" l="1"/>
  <c r="X1236" i="3"/>
  <c r="AU1236" i="3" s="1"/>
  <c r="H1237" i="3"/>
  <c r="AO1236" i="3" l="1"/>
  <c r="X1237" i="3"/>
  <c r="AU1237" i="3" s="1"/>
  <c r="H1238" i="3"/>
  <c r="AO1237" i="3" l="1"/>
  <c r="X1238" i="3"/>
  <c r="AU1238" i="3" s="1"/>
  <c r="H1239" i="3"/>
  <c r="AO1238" i="3" l="1"/>
  <c r="X1239" i="3"/>
  <c r="AU1239" i="3" s="1"/>
  <c r="H1240" i="3"/>
  <c r="AO1239" i="3" l="1"/>
  <c r="X1240" i="3"/>
  <c r="AU1240" i="3" s="1"/>
  <c r="H1241" i="3"/>
  <c r="AO1240" i="3" l="1"/>
  <c r="X1241" i="3"/>
  <c r="AU1241" i="3" s="1"/>
  <c r="H1242" i="3"/>
  <c r="AO1241" i="3" l="1"/>
  <c r="X1242" i="3"/>
  <c r="AU1242" i="3" s="1"/>
  <c r="H1243" i="3"/>
  <c r="AO1242" i="3" l="1"/>
  <c r="X1243" i="3"/>
  <c r="AU1243" i="3" s="1"/>
  <c r="H1244" i="3"/>
  <c r="AO1243" i="3" l="1"/>
  <c r="X1244" i="3"/>
  <c r="AU1244" i="3" s="1"/>
  <c r="H1245" i="3"/>
  <c r="AO1244" i="3" l="1"/>
  <c r="X1245" i="3"/>
  <c r="AU1245" i="3" s="1"/>
  <c r="H1246" i="3"/>
  <c r="AO1245" i="3" l="1"/>
  <c r="X1246" i="3"/>
  <c r="AU1246" i="3" s="1"/>
  <c r="H1247" i="3"/>
  <c r="AO1246" i="3" l="1"/>
  <c r="X1247" i="3"/>
  <c r="AU1247" i="3" s="1"/>
  <c r="H1248" i="3"/>
  <c r="AO1247" i="3" l="1"/>
  <c r="X1248" i="3"/>
  <c r="AU1248" i="3" s="1"/>
  <c r="H1249" i="3"/>
  <c r="AO1248" i="3" l="1"/>
  <c r="X1249" i="3"/>
  <c r="AU1249" i="3" s="1"/>
  <c r="H1250" i="3"/>
  <c r="AO1249" i="3" l="1"/>
  <c r="X1250" i="3"/>
  <c r="AU1250" i="3" s="1"/>
  <c r="H1251" i="3"/>
  <c r="AO1250" i="3" l="1"/>
  <c r="X1251" i="3"/>
  <c r="AU1251" i="3" s="1"/>
  <c r="H1252" i="3"/>
  <c r="AO1251" i="3" l="1"/>
  <c r="X1252" i="3"/>
  <c r="AU1252" i="3" s="1"/>
  <c r="H1253" i="3"/>
  <c r="AO1252" i="3" l="1"/>
  <c r="X1253" i="3"/>
  <c r="AU1253" i="3" s="1"/>
  <c r="H1254" i="3"/>
  <c r="AO1253" i="3" l="1"/>
  <c r="X1254" i="3"/>
  <c r="AU1254" i="3" s="1"/>
  <c r="H1255" i="3"/>
  <c r="AO1254" i="3" l="1"/>
  <c r="X1255" i="3"/>
  <c r="AU1255" i="3" s="1"/>
  <c r="H1256" i="3"/>
  <c r="AO1255" i="3" l="1"/>
  <c r="X1256" i="3"/>
  <c r="AU1256" i="3" s="1"/>
  <c r="H1257" i="3"/>
  <c r="AO1256" i="3" l="1"/>
  <c r="X1257" i="3"/>
  <c r="AU1257" i="3" s="1"/>
  <c r="H1258" i="3"/>
  <c r="AO1257" i="3" l="1"/>
  <c r="X1258" i="3"/>
  <c r="AU1258" i="3" s="1"/>
  <c r="H1259" i="3"/>
  <c r="AO1258" i="3" l="1"/>
  <c r="X1259" i="3"/>
  <c r="AU1259" i="3" s="1"/>
  <c r="H1260" i="3"/>
  <c r="AO1259" i="3" l="1"/>
  <c r="X1260" i="3"/>
  <c r="AU1260" i="3" s="1"/>
  <c r="H1261" i="3"/>
  <c r="AO1260" i="3" l="1"/>
  <c r="X1261" i="3"/>
  <c r="AU1261" i="3" s="1"/>
  <c r="H1262" i="3"/>
  <c r="AO1261" i="3" l="1"/>
  <c r="X1262" i="3"/>
  <c r="AU1262" i="3" s="1"/>
  <c r="H1263" i="3"/>
  <c r="AO1262" i="3" l="1"/>
  <c r="X1263" i="3"/>
  <c r="AU1263" i="3" s="1"/>
  <c r="H1264" i="3"/>
  <c r="AO1263" i="3" l="1"/>
  <c r="X1264" i="3"/>
  <c r="AU1264" i="3" s="1"/>
  <c r="H1265" i="3"/>
  <c r="AO1264" i="3" l="1"/>
  <c r="X1265" i="3"/>
  <c r="AU1265" i="3" s="1"/>
  <c r="H1266" i="3"/>
  <c r="AO1265" i="3" l="1"/>
  <c r="X1266" i="3"/>
  <c r="AU1266" i="3" s="1"/>
  <c r="H1267" i="3"/>
  <c r="AO1266" i="3" l="1"/>
  <c r="X1267" i="3"/>
  <c r="AU1267" i="3" s="1"/>
  <c r="H1268" i="3"/>
  <c r="AO1267" i="3" l="1"/>
  <c r="X1268" i="3"/>
  <c r="AU1268" i="3" s="1"/>
  <c r="H1269" i="3"/>
  <c r="AO1268" i="3" l="1"/>
  <c r="X1269" i="3"/>
  <c r="AU1269" i="3" s="1"/>
  <c r="H1270" i="3"/>
  <c r="AO1269" i="3" l="1"/>
  <c r="X1270" i="3"/>
  <c r="AU1270" i="3" s="1"/>
  <c r="H1271" i="3"/>
  <c r="AO1270" i="3" l="1"/>
  <c r="X1271" i="3"/>
  <c r="AU1271" i="3" s="1"/>
  <c r="H1272" i="3"/>
  <c r="AO1271" i="3" l="1"/>
  <c r="X1272" i="3"/>
  <c r="AU1272" i="3" s="1"/>
  <c r="H1273" i="3"/>
  <c r="AO1272" i="3" l="1"/>
  <c r="X1273" i="3"/>
  <c r="AU1273" i="3" s="1"/>
  <c r="H1274" i="3"/>
  <c r="AO1273" i="3" l="1"/>
  <c r="X1274" i="3"/>
  <c r="AU1274" i="3" s="1"/>
  <c r="H1275" i="3"/>
  <c r="AO1274" i="3" l="1"/>
  <c r="X1275" i="3"/>
  <c r="AU1275" i="3" s="1"/>
  <c r="H1276" i="3"/>
  <c r="AO1275" i="3" l="1"/>
  <c r="X1276" i="3"/>
  <c r="AU1276" i="3" s="1"/>
  <c r="H1277" i="3"/>
  <c r="AO1276" i="3" l="1"/>
  <c r="X1277" i="3"/>
  <c r="AU1277" i="3" s="1"/>
  <c r="H1278" i="3"/>
  <c r="AO1277" i="3" l="1"/>
  <c r="X1278" i="3"/>
  <c r="AU1278" i="3" s="1"/>
  <c r="H1279" i="3"/>
  <c r="AO1278" i="3" l="1"/>
  <c r="X1279" i="3"/>
  <c r="AU1279" i="3" s="1"/>
  <c r="H1280" i="3"/>
  <c r="AO1279" i="3" l="1"/>
  <c r="X1280" i="3"/>
  <c r="AU1280" i="3" s="1"/>
  <c r="H1281" i="3"/>
  <c r="AO1280" i="3" l="1"/>
  <c r="X1281" i="3"/>
  <c r="AU1281" i="3" s="1"/>
  <c r="H1282" i="3"/>
  <c r="AO1281" i="3" l="1"/>
  <c r="X1282" i="3"/>
  <c r="AU1282" i="3" s="1"/>
  <c r="H1283" i="3"/>
  <c r="AO1282" i="3" l="1"/>
  <c r="X1283" i="3"/>
  <c r="AU1283" i="3" s="1"/>
  <c r="H1284" i="3"/>
  <c r="AO1283" i="3" l="1"/>
  <c r="X1284" i="3"/>
  <c r="AU1284" i="3" s="1"/>
  <c r="H1285" i="3"/>
  <c r="AO1284" i="3" l="1"/>
  <c r="X1285" i="3"/>
  <c r="AU1285" i="3" s="1"/>
  <c r="H1286" i="3"/>
  <c r="AO1285" i="3" l="1"/>
  <c r="X1286" i="3"/>
  <c r="AU1286" i="3" s="1"/>
  <c r="H1287" i="3"/>
  <c r="AO1286" i="3" l="1"/>
  <c r="X1287" i="3"/>
  <c r="AU1287" i="3" s="1"/>
  <c r="H1288" i="3"/>
  <c r="AO1287" i="3" l="1"/>
  <c r="X1288" i="3"/>
  <c r="AU1288" i="3" s="1"/>
  <c r="H1289" i="3"/>
  <c r="AO1288" i="3" l="1"/>
  <c r="X1289" i="3"/>
  <c r="AU1289" i="3" s="1"/>
  <c r="H1290" i="3"/>
  <c r="AO1289" i="3" l="1"/>
  <c r="X1290" i="3"/>
  <c r="AU1290" i="3" s="1"/>
  <c r="H1291" i="3"/>
  <c r="AO1290" i="3" l="1"/>
  <c r="X1291" i="3"/>
  <c r="AU1291" i="3" s="1"/>
  <c r="H1292" i="3"/>
  <c r="AO1291" i="3" l="1"/>
  <c r="X1292" i="3"/>
  <c r="AU1292" i="3" s="1"/>
  <c r="H1293" i="3"/>
  <c r="AO1292" i="3" l="1"/>
  <c r="X1293" i="3"/>
  <c r="AU1293" i="3" s="1"/>
  <c r="H1294" i="3"/>
  <c r="AO1293" i="3" l="1"/>
  <c r="X1294" i="3"/>
  <c r="AU1294" i="3" s="1"/>
  <c r="H1295" i="3"/>
  <c r="AO1294" i="3" l="1"/>
  <c r="X1295" i="3"/>
  <c r="AU1295" i="3" s="1"/>
  <c r="H1296" i="3"/>
  <c r="AO1295" i="3" l="1"/>
  <c r="X1296" i="3"/>
  <c r="AU1296" i="3" s="1"/>
  <c r="H1297" i="3"/>
  <c r="AO1296" i="3" l="1"/>
  <c r="X1297" i="3"/>
  <c r="AU1297" i="3" s="1"/>
  <c r="H1298" i="3"/>
  <c r="AO1297" i="3" l="1"/>
  <c r="X1298" i="3"/>
  <c r="AU1298" i="3" s="1"/>
  <c r="H1299" i="3"/>
  <c r="AO1298" i="3" l="1"/>
  <c r="X1299" i="3"/>
  <c r="AU1299" i="3" s="1"/>
  <c r="H1300" i="3"/>
  <c r="AO1299" i="3" l="1"/>
  <c r="X1300" i="3"/>
  <c r="AU1300" i="3" s="1"/>
  <c r="H1301" i="3"/>
  <c r="AO1300" i="3" l="1"/>
  <c r="X1301" i="3"/>
  <c r="AU1301" i="3" s="1"/>
  <c r="H1302" i="3"/>
  <c r="AO1301" i="3" l="1"/>
  <c r="X1302" i="3"/>
  <c r="AU1302" i="3" s="1"/>
  <c r="H1303" i="3"/>
  <c r="AO1302" i="3" l="1"/>
  <c r="X1303" i="3"/>
  <c r="AU1303" i="3" s="1"/>
  <c r="H1304" i="3"/>
  <c r="AO1303" i="3" l="1"/>
  <c r="X1304" i="3"/>
  <c r="AU1304" i="3" s="1"/>
  <c r="H1305" i="3"/>
  <c r="AO1304" i="3" l="1"/>
  <c r="X1305" i="3"/>
  <c r="AU1305" i="3" s="1"/>
  <c r="H1306" i="3"/>
  <c r="AO1305" i="3" l="1"/>
  <c r="X1306" i="3"/>
  <c r="AU1306" i="3" s="1"/>
  <c r="H1307" i="3"/>
  <c r="AO1306" i="3" l="1"/>
  <c r="X1307" i="3"/>
  <c r="AU1307" i="3" s="1"/>
  <c r="H1308" i="3"/>
  <c r="AO1307" i="3" l="1"/>
  <c r="X1308" i="3"/>
  <c r="AU1308" i="3" s="1"/>
  <c r="H1309" i="3"/>
  <c r="AO1308" i="3" l="1"/>
  <c r="X1309" i="3"/>
  <c r="AU1309" i="3" s="1"/>
  <c r="H1310" i="3"/>
  <c r="AO1309" i="3" l="1"/>
  <c r="X1310" i="3"/>
  <c r="AU1310" i="3" s="1"/>
  <c r="H1311" i="3"/>
  <c r="AO1310" i="3" l="1"/>
  <c r="X1311" i="3"/>
  <c r="AU1311" i="3" s="1"/>
  <c r="H1312" i="3"/>
  <c r="AO1311" i="3" l="1"/>
  <c r="X1312" i="3"/>
  <c r="AU1312" i="3" s="1"/>
  <c r="H1313" i="3"/>
  <c r="AO1312" i="3" l="1"/>
  <c r="X1313" i="3"/>
  <c r="AU1313" i="3" s="1"/>
  <c r="H1314" i="3"/>
  <c r="AO1313" i="3" l="1"/>
  <c r="X1314" i="3"/>
  <c r="AU1314" i="3" s="1"/>
  <c r="H1315" i="3"/>
  <c r="AO1314" i="3" l="1"/>
  <c r="X1315" i="3"/>
  <c r="AU1315" i="3" s="1"/>
  <c r="H1316" i="3"/>
  <c r="AO1315" i="3" l="1"/>
  <c r="X1316" i="3"/>
  <c r="AU1316" i="3" s="1"/>
  <c r="H1317" i="3"/>
  <c r="AO1316" i="3" l="1"/>
  <c r="X1317" i="3"/>
  <c r="AU1317" i="3" s="1"/>
  <c r="H1318" i="3"/>
  <c r="AO1317" i="3" l="1"/>
  <c r="X1318" i="3"/>
  <c r="AU1318" i="3" s="1"/>
  <c r="H1319" i="3"/>
  <c r="AO1318" i="3" l="1"/>
  <c r="X1319" i="3"/>
  <c r="AU1319" i="3" s="1"/>
  <c r="H1320" i="3"/>
  <c r="AO1319" i="3" l="1"/>
  <c r="X1320" i="3"/>
  <c r="AU1320" i="3" s="1"/>
  <c r="H1321" i="3"/>
  <c r="AO1320" i="3" l="1"/>
  <c r="X1321" i="3"/>
  <c r="AU1321" i="3" s="1"/>
  <c r="H1322" i="3"/>
  <c r="AO1321" i="3" l="1"/>
  <c r="X1322" i="3"/>
  <c r="AU1322" i="3" s="1"/>
  <c r="H1323" i="3"/>
  <c r="AO1322" i="3" l="1"/>
  <c r="X1323" i="3"/>
  <c r="AU1323" i="3" s="1"/>
  <c r="H1324" i="3"/>
  <c r="AO1323" i="3" l="1"/>
  <c r="X1324" i="3"/>
  <c r="AU1324" i="3" s="1"/>
  <c r="H1325" i="3"/>
  <c r="AO1324" i="3" l="1"/>
  <c r="X1325" i="3"/>
  <c r="AU1325" i="3" s="1"/>
  <c r="H1326" i="3"/>
  <c r="AO1325" i="3" l="1"/>
  <c r="X1326" i="3"/>
  <c r="AU1326" i="3" s="1"/>
  <c r="H1327" i="3"/>
  <c r="AO1326" i="3" l="1"/>
  <c r="X1327" i="3"/>
  <c r="AU1327" i="3" s="1"/>
  <c r="H1328" i="3"/>
  <c r="AO1327" i="3" l="1"/>
  <c r="X1328" i="3"/>
  <c r="AU1328" i="3" s="1"/>
  <c r="H1329" i="3"/>
  <c r="AO1328" i="3" l="1"/>
  <c r="X1329" i="3"/>
  <c r="AU1329" i="3" s="1"/>
  <c r="H1330" i="3"/>
  <c r="AO1329" i="3" l="1"/>
  <c r="X1330" i="3"/>
  <c r="AU1330" i="3" s="1"/>
  <c r="H1331" i="3"/>
  <c r="AO1330" i="3" l="1"/>
  <c r="X1331" i="3"/>
  <c r="AU1331" i="3" s="1"/>
  <c r="H1332" i="3"/>
  <c r="AO1331" i="3" l="1"/>
  <c r="X1332" i="3"/>
  <c r="AU1332" i="3" s="1"/>
  <c r="H1333" i="3"/>
  <c r="AO1332" i="3" l="1"/>
  <c r="X1333" i="3"/>
  <c r="AU1333" i="3" s="1"/>
  <c r="H1334" i="3"/>
  <c r="AO1333" i="3" l="1"/>
  <c r="X1334" i="3"/>
  <c r="AU1334" i="3" s="1"/>
  <c r="H1335" i="3"/>
  <c r="AO1334" i="3" l="1"/>
  <c r="X1335" i="3"/>
  <c r="AU1335" i="3" s="1"/>
  <c r="H1336" i="3"/>
  <c r="AO1335" i="3" l="1"/>
  <c r="X1336" i="3"/>
  <c r="AU1336" i="3" s="1"/>
  <c r="H1337" i="3"/>
  <c r="AO1336" i="3" l="1"/>
  <c r="X1337" i="3"/>
  <c r="AU1337" i="3" s="1"/>
  <c r="H1338" i="3"/>
  <c r="AO1337" i="3" l="1"/>
  <c r="X1338" i="3"/>
  <c r="AU1338" i="3" s="1"/>
  <c r="H1339" i="3"/>
  <c r="AO1338" i="3" l="1"/>
  <c r="X1339" i="3"/>
  <c r="AU1339" i="3" s="1"/>
  <c r="H1340" i="3"/>
  <c r="AO1339" i="3" l="1"/>
  <c r="X1340" i="3"/>
  <c r="AU1340" i="3" s="1"/>
  <c r="H1341" i="3"/>
  <c r="AO1340" i="3" l="1"/>
  <c r="X1341" i="3"/>
  <c r="AU1341" i="3" s="1"/>
  <c r="H1342" i="3"/>
  <c r="AO1341" i="3" l="1"/>
  <c r="X1342" i="3"/>
  <c r="AU1342" i="3" s="1"/>
  <c r="H1343" i="3"/>
  <c r="AO1342" i="3" l="1"/>
  <c r="X1343" i="3"/>
  <c r="AU1343" i="3" s="1"/>
  <c r="H1344" i="3"/>
  <c r="AO1343" i="3" l="1"/>
  <c r="X1344" i="3"/>
  <c r="AU1344" i="3" s="1"/>
  <c r="H1345" i="3"/>
  <c r="AO1344" i="3" l="1"/>
  <c r="X1345" i="3"/>
  <c r="AU1345" i="3" s="1"/>
  <c r="H1346" i="3"/>
  <c r="AO1345" i="3" l="1"/>
  <c r="X1346" i="3"/>
  <c r="AU1346" i="3" s="1"/>
  <c r="H1347" i="3"/>
  <c r="AO1346" i="3" l="1"/>
  <c r="X1347" i="3"/>
  <c r="AU1347" i="3" s="1"/>
  <c r="H1348" i="3"/>
  <c r="AO1347" i="3" l="1"/>
  <c r="X1348" i="3"/>
  <c r="AU1348" i="3" s="1"/>
  <c r="H1349" i="3"/>
  <c r="AO1348" i="3" l="1"/>
  <c r="X1349" i="3"/>
  <c r="AU1349" i="3" s="1"/>
  <c r="H1350" i="3"/>
  <c r="AO1349" i="3" l="1"/>
  <c r="X1350" i="3"/>
  <c r="AU1350" i="3" s="1"/>
  <c r="H1351" i="3"/>
  <c r="AO1350" i="3" l="1"/>
  <c r="X1351" i="3"/>
  <c r="AU1351" i="3" s="1"/>
  <c r="H1352" i="3"/>
  <c r="AO1351" i="3" l="1"/>
  <c r="X1352" i="3"/>
  <c r="AU1352" i="3" s="1"/>
  <c r="H1353" i="3"/>
  <c r="AO1352" i="3" l="1"/>
  <c r="X1353" i="3"/>
  <c r="AU1353" i="3" s="1"/>
  <c r="H1354" i="3"/>
  <c r="AO1353" i="3" l="1"/>
  <c r="X1354" i="3"/>
  <c r="AU1354" i="3" s="1"/>
  <c r="H1355" i="3"/>
  <c r="AO1354" i="3" l="1"/>
  <c r="X1355" i="3"/>
  <c r="AU1355" i="3" s="1"/>
  <c r="H1356" i="3"/>
  <c r="AO1355" i="3" l="1"/>
  <c r="X1356" i="3"/>
  <c r="AU1356" i="3" s="1"/>
  <c r="H1357" i="3"/>
  <c r="AO1356" i="3" l="1"/>
  <c r="X1357" i="3"/>
  <c r="AU1357" i="3" s="1"/>
  <c r="H1358" i="3"/>
  <c r="AO1357" i="3" l="1"/>
  <c r="X1358" i="3"/>
  <c r="AU1358" i="3" s="1"/>
  <c r="H1359" i="3"/>
  <c r="AO1358" i="3" l="1"/>
  <c r="X1359" i="3"/>
  <c r="AU1359" i="3" s="1"/>
  <c r="H1360" i="3"/>
  <c r="AO1359" i="3" l="1"/>
  <c r="X1360" i="3"/>
  <c r="AU1360" i="3" s="1"/>
  <c r="H1361" i="3"/>
  <c r="AO1360" i="3" l="1"/>
  <c r="X1361" i="3"/>
  <c r="AU1361" i="3" s="1"/>
  <c r="H1362" i="3"/>
  <c r="AO1361" i="3" l="1"/>
  <c r="X1362" i="3"/>
  <c r="AU1362" i="3" s="1"/>
  <c r="H1363" i="3"/>
  <c r="AO1362" i="3" l="1"/>
  <c r="X1363" i="3"/>
  <c r="AU1363" i="3" s="1"/>
  <c r="H1364" i="3"/>
  <c r="AO1363" i="3" l="1"/>
  <c r="X1364" i="3"/>
  <c r="AU1364" i="3" s="1"/>
  <c r="H1365" i="3"/>
  <c r="AO1364" i="3" l="1"/>
  <c r="X1365" i="3"/>
  <c r="AU1365" i="3" s="1"/>
  <c r="H1366" i="3"/>
  <c r="AO1365" i="3" l="1"/>
  <c r="X1366" i="3"/>
  <c r="AU1366" i="3" s="1"/>
  <c r="H1367" i="3"/>
  <c r="AO1366" i="3" l="1"/>
  <c r="X1367" i="3"/>
  <c r="AU1367" i="3" s="1"/>
  <c r="H1368" i="3"/>
  <c r="AO1367" i="3" l="1"/>
  <c r="X1368" i="3"/>
  <c r="AU1368" i="3" s="1"/>
  <c r="H1369" i="3"/>
  <c r="AO1368" i="3" l="1"/>
  <c r="X1369" i="3"/>
  <c r="AU1369" i="3" s="1"/>
  <c r="H1370" i="3"/>
  <c r="AO1369" i="3" l="1"/>
  <c r="X1370" i="3"/>
  <c r="AU1370" i="3" s="1"/>
  <c r="H1371" i="3"/>
  <c r="AO1370" i="3" l="1"/>
  <c r="X1371" i="3"/>
  <c r="AU1371" i="3" s="1"/>
  <c r="H1372" i="3"/>
  <c r="AO1371" i="3" l="1"/>
  <c r="X1372" i="3"/>
  <c r="AU1372" i="3" s="1"/>
  <c r="H1373" i="3"/>
  <c r="AO1372" i="3" l="1"/>
  <c r="X1373" i="3"/>
  <c r="AU1373" i="3" s="1"/>
  <c r="H1374" i="3"/>
  <c r="AO1373" i="3" l="1"/>
  <c r="X1374" i="3"/>
  <c r="AU1374" i="3" s="1"/>
  <c r="H1375" i="3"/>
  <c r="AO1374" i="3" l="1"/>
  <c r="X1375" i="3"/>
  <c r="AU1375" i="3" s="1"/>
  <c r="H1376" i="3"/>
  <c r="AO1375" i="3" l="1"/>
  <c r="X1376" i="3"/>
  <c r="AU1376" i="3" s="1"/>
  <c r="H1377" i="3"/>
  <c r="AO1376" i="3" l="1"/>
  <c r="X1377" i="3"/>
  <c r="AU1377" i="3" s="1"/>
  <c r="H1378" i="3"/>
  <c r="AO1377" i="3" l="1"/>
  <c r="X1378" i="3"/>
  <c r="AU1378" i="3" s="1"/>
  <c r="H1379" i="3"/>
  <c r="AO1378" i="3" l="1"/>
  <c r="X1379" i="3"/>
  <c r="AU1379" i="3" s="1"/>
  <c r="H1380" i="3"/>
  <c r="AO1379" i="3" l="1"/>
  <c r="X1380" i="3"/>
  <c r="AU1380" i="3" s="1"/>
  <c r="H1381" i="3"/>
  <c r="AO1380" i="3" l="1"/>
  <c r="X1381" i="3"/>
  <c r="AU1381" i="3" s="1"/>
  <c r="H1382" i="3"/>
  <c r="AO1381" i="3" l="1"/>
  <c r="X1382" i="3"/>
  <c r="AU1382" i="3" s="1"/>
  <c r="H1383" i="3"/>
  <c r="AO1382" i="3" l="1"/>
  <c r="X1383" i="3"/>
  <c r="AU1383" i="3" s="1"/>
  <c r="H1384" i="3"/>
  <c r="AO1383" i="3" l="1"/>
  <c r="X1384" i="3"/>
  <c r="AU1384" i="3" s="1"/>
  <c r="H1385" i="3"/>
  <c r="AO1384" i="3" l="1"/>
  <c r="X1385" i="3"/>
  <c r="AU1385" i="3" s="1"/>
  <c r="H1386" i="3"/>
  <c r="AO1385" i="3" l="1"/>
  <c r="X1386" i="3"/>
  <c r="AU1386" i="3" s="1"/>
  <c r="H1387" i="3"/>
  <c r="AO1386" i="3" l="1"/>
  <c r="X1387" i="3"/>
  <c r="AU1387" i="3" s="1"/>
  <c r="H1388" i="3"/>
  <c r="AO1387" i="3" l="1"/>
  <c r="X1388" i="3"/>
  <c r="AU1388" i="3" s="1"/>
  <c r="H1389" i="3"/>
  <c r="AO1388" i="3" l="1"/>
  <c r="X1389" i="3"/>
  <c r="AU1389" i="3" s="1"/>
  <c r="H1390" i="3"/>
  <c r="AO1389" i="3" l="1"/>
  <c r="X1390" i="3"/>
  <c r="AU1390" i="3" s="1"/>
  <c r="H1391" i="3"/>
  <c r="AO1390" i="3" l="1"/>
  <c r="X1391" i="3"/>
  <c r="AU1391" i="3" s="1"/>
  <c r="H1392" i="3"/>
  <c r="AO1391" i="3" l="1"/>
  <c r="X1392" i="3"/>
  <c r="AU1392" i="3" s="1"/>
  <c r="H1393" i="3"/>
  <c r="AO1392" i="3" l="1"/>
  <c r="X1393" i="3"/>
  <c r="AU1393" i="3" s="1"/>
  <c r="H1394" i="3"/>
  <c r="AO1393" i="3" l="1"/>
  <c r="X1394" i="3"/>
  <c r="AU1394" i="3" s="1"/>
  <c r="H1395" i="3"/>
  <c r="AO1394" i="3" l="1"/>
  <c r="X1395" i="3"/>
  <c r="AU1395" i="3" s="1"/>
  <c r="H1396" i="3"/>
  <c r="AO1395" i="3" l="1"/>
  <c r="X1396" i="3"/>
  <c r="AU1396" i="3" s="1"/>
  <c r="H1397" i="3"/>
  <c r="AO1396" i="3" l="1"/>
  <c r="X1397" i="3"/>
  <c r="AU1397" i="3" s="1"/>
  <c r="H1398" i="3"/>
  <c r="AO1397" i="3" l="1"/>
  <c r="X1398" i="3"/>
  <c r="AU1398" i="3" s="1"/>
  <c r="H1399" i="3"/>
  <c r="AO1398" i="3" l="1"/>
  <c r="X1399" i="3"/>
  <c r="AU1399" i="3" s="1"/>
  <c r="H1400" i="3"/>
  <c r="AO1399" i="3" l="1"/>
  <c r="X1400" i="3"/>
  <c r="AU1400" i="3" s="1"/>
  <c r="H1401" i="3"/>
  <c r="AO1400" i="3" l="1"/>
  <c r="X1401" i="3"/>
  <c r="AU1401" i="3" s="1"/>
  <c r="H1402" i="3"/>
  <c r="AO1401" i="3" l="1"/>
  <c r="X1402" i="3"/>
  <c r="AU1402" i="3" s="1"/>
  <c r="H1403" i="3"/>
  <c r="AO1402" i="3" l="1"/>
  <c r="X1403" i="3"/>
  <c r="AU1403" i="3" s="1"/>
  <c r="H1404" i="3"/>
  <c r="AO1403" i="3" l="1"/>
  <c r="X1404" i="3"/>
  <c r="AU1404" i="3" s="1"/>
  <c r="H1405" i="3"/>
  <c r="AO1404" i="3" l="1"/>
  <c r="X1405" i="3"/>
  <c r="AU1405" i="3" s="1"/>
  <c r="H1406" i="3"/>
  <c r="AO1405" i="3" l="1"/>
  <c r="X1406" i="3"/>
  <c r="AU1406" i="3" s="1"/>
  <c r="H1407" i="3"/>
  <c r="AO1406" i="3" l="1"/>
  <c r="X1407" i="3"/>
  <c r="AU1407" i="3" s="1"/>
  <c r="H1408" i="3"/>
  <c r="AO1407" i="3" l="1"/>
  <c r="X1408" i="3"/>
  <c r="AU1408" i="3" s="1"/>
  <c r="H1409" i="3"/>
  <c r="AO1408" i="3" l="1"/>
  <c r="X1409" i="3"/>
  <c r="AU1409" i="3" s="1"/>
  <c r="H1410" i="3"/>
  <c r="AO1409" i="3" l="1"/>
  <c r="X1410" i="3"/>
  <c r="AU1410" i="3" s="1"/>
  <c r="H1411" i="3"/>
  <c r="AO1410" i="3" l="1"/>
  <c r="X1411" i="3"/>
  <c r="AU1411" i="3" s="1"/>
  <c r="H1412" i="3"/>
  <c r="AO1411" i="3" l="1"/>
  <c r="X1412" i="3"/>
  <c r="AU1412" i="3" s="1"/>
  <c r="H1413" i="3"/>
  <c r="AO1412" i="3" l="1"/>
  <c r="X1413" i="3"/>
  <c r="AU1413" i="3" s="1"/>
  <c r="H1414" i="3"/>
  <c r="AO1413" i="3" l="1"/>
  <c r="X1414" i="3"/>
  <c r="AU1414" i="3" s="1"/>
  <c r="H1415" i="3"/>
  <c r="AO1414" i="3" l="1"/>
  <c r="X1415" i="3"/>
  <c r="AU1415" i="3" s="1"/>
  <c r="H1416" i="3"/>
  <c r="AO1415" i="3" l="1"/>
  <c r="X1416" i="3"/>
  <c r="AU1416" i="3" s="1"/>
  <c r="H1417" i="3"/>
  <c r="AO1416" i="3" l="1"/>
  <c r="X1417" i="3"/>
  <c r="AU1417" i="3" s="1"/>
  <c r="H1418" i="3"/>
  <c r="AO1417" i="3" l="1"/>
  <c r="X1418" i="3"/>
  <c r="AU1418" i="3" s="1"/>
  <c r="H1419" i="3"/>
  <c r="AO1418" i="3" l="1"/>
  <c r="X1419" i="3"/>
  <c r="AU1419" i="3" s="1"/>
  <c r="H1420" i="3"/>
  <c r="AO1419" i="3" l="1"/>
  <c r="X1420" i="3"/>
  <c r="AU1420" i="3" s="1"/>
  <c r="H1421" i="3"/>
  <c r="AO1420" i="3" l="1"/>
  <c r="X1421" i="3"/>
  <c r="AU1421" i="3" s="1"/>
  <c r="H1422" i="3"/>
  <c r="AO1421" i="3" l="1"/>
  <c r="X1422" i="3"/>
  <c r="AU1422" i="3" s="1"/>
  <c r="H1423" i="3"/>
  <c r="AO1422" i="3" l="1"/>
  <c r="X1423" i="3"/>
  <c r="AU1423" i="3" s="1"/>
  <c r="H1424" i="3"/>
  <c r="AO1423" i="3" l="1"/>
  <c r="X1424" i="3"/>
  <c r="AU1424" i="3" s="1"/>
  <c r="H1425" i="3"/>
  <c r="AO1424" i="3" l="1"/>
  <c r="X1425" i="3"/>
  <c r="AU1425" i="3" s="1"/>
  <c r="H1426" i="3"/>
  <c r="AO1425" i="3" l="1"/>
  <c r="X1426" i="3"/>
  <c r="AU1426" i="3" s="1"/>
  <c r="H1427" i="3"/>
  <c r="AO1426" i="3" l="1"/>
  <c r="X1427" i="3"/>
  <c r="AU1427" i="3" s="1"/>
  <c r="H1428" i="3"/>
  <c r="AO1427" i="3" l="1"/>
  <c r="X1428" i="3"/>
  <c r="AU1428" i="3" s="1"/>
  <c r="H1429" i="3"/>
  <c r="AO1428" i="3" l="1"/>
  <c r="X1429" i="3"/>
  <c r="AU1429" i="3" s="1"/>
  <c r="H1430" i="3"/>
  <c r="AO1429" i="3" l="1"/>
  <c r="X1430" i="3"/>
  <c r="AU1430" i="3" s="1"/>
  <c r="H1431" i="3"/>
  <c r="AO1430" i="3" l="1"/>
  <c r="X1431" i="3"/>
  <c r="AU1431" i="3" s="1"/>
  <c r="H1432" i="3"/>
  <c r="AO1431" i="3" l="1"/>
  <c r="X1432" i="3"/>
  <c r="AU1432" i="3" s="1"/>
  <c r="H1433" i="3"/>
  <c r="AO1432" i="3" l="1"/>
  <c r="X1433" i="3"/>
  <c r="AU1433" i="3" s="1"/>
  <c r="H1434" i="3"/>
  <c r="AO1433" i="3" l="1"/>
  <c r="X1434" i="3"/>
  <c r="AU1434" i="3" s="1"/>
  <c r="H1435" i="3"/>
  <c r="AO1434" i="3" l="1"/>
  <c r="X1435" i="3"/>
  <c r="AU1435" i="3" s="1"/>
  <c r="H1436" i="3"/>
  <c r="AO1435" i="3" l="1"/>
  <c r="X1436" i="3"/>
  <c r="AU1436" i="3" s="1"/>
  <c r="H1437" i="3"/>
  <c r="AO1436" i="3" l="1"/>
  <c r="X1437" i="3"/>
  <c r="AU1437" i="3" s="1"/>
  <c r="H1438" i="3"/>
  <c r="AO1437" i="3" l="1"/>
  <c r="X1438" i="3"/>
  <c r="AU1438" i="3" s="1"/>
  <c r="H1439" i="3"/>
  <c r="AO1438" i="3" l="1"/>
  <c r="X1439" i="3"/>
  <c r="AU1439" i="3" s="1"/>
  <c r="H1440" i="3"/>
  <c r="AO1439" i="3" l="1"/>
  <c r="X1440" i="3"/>
  <c r="AU1440" i="3" s="1"/>
  <c r="H1441" i="3"/>
  <c r="AO1440" i="3" l="1"/>
  <c r="X1441" i="3"/>
  <c r="AU1441" i="3" s="1"/>
  <c r="H1442" i="3"/>
  <c r="AO1441" i="3" l="1"/>
  <c r="X1442" i="3"/>
  <c r="AU1442" i="3" s="1"/>
  <c r="H1443" i="3"/>
  <c r="AO1442" i="3" l="1"/>
  <c r="X1443" i="3"/>
  <c r="AU1443" i="3" s="1"/>
  <c r="H1444" i="3"/>
  <c r="AO1443" i="3" l="1"/>
  <c r="X1444" i="3"/>
  <c r="AU1444" i="3" s="1"/>
  <c r="H1445" i="3"/>
  <c r="AO1444" i="3" l="1"/>
  <c r="X1445" i="3"/>
  <c r="AU1445" i="3" s="1"/>
  <c r="H1446" i="3"/>
  <c r="AO1445" i="3" l="1"/>
  <c r="X1446" i="3"/>
  <c r="AU1446" i="3" s="1"/>
  <c r="H1447" i="3"/>
  <c r="AO1446" i="3" l="1"/>
  <c r="X1447" i="3"/>
  <c r="AU1447" i="3" s="1"/>
  <c r="H1448" i="3"/>
  <c r="AO1447" i="3" l="1"/>
  <c r="X1448" i="3"/>
  <c r="AU1448" i="3" s="1"/>
  <c r="H1449" i="3"/>
  <c r="AO1448" i="3" l="1"/>
  <c r="X1449" i="3"/>
  <c r="AU1449" i="3" s="1"/>
  <c r="H1450" i="3"/>
  <c r="AO1449" i="3" l="1"/>
  <c r="X1450" i="3"/>
  <c r="AU1450" i="3" s="1"/>
  <c r="H1451" i="3"/>
  <c r="AO1450" i="3" l="1"/>
  <c r="X1451" i="3"/>
  <c r="AU1451" i="3" s="1"/>
  <c r="H1452" i="3"/>
  <c r="AO1451" i="3" l="1"/>
  <c r="X1452" i="3"/>
  <c r="AU1452" i="3" s="1"/>
  <c r="H1453" i="3"/>
  <c r="AO1452" i="3" l="1"/>
  <c r="X1453" i="3"/>
  <c r="AU1453" i="3" s="1"/>
  <c r="H1454" i="3"/>
  <c r="AO1453" i="3" l="1"/>
  <c r="X1454" i="3"/>
  <c r="AU1454" i="3" s="1"/>
  <c r="H1455" i="3"/>
  <c r="AO1454" i="3" l="1"/>
  <c r="X1455" i="3"/>
  <c r="AU1455" i="3" s="1"/>
  <c r="H1456" i="3"/>
  <c r="AO1455" i="3" l="1"/>
  <c r="X1456" i="3"/>
  <c r="AU1456" i="3" s="1"/>
  <c r="H1457" i="3"/>
  <c r="AO1456" i="3" l="1"/>
  <c r="X1457" i="3"/>
  <c r="AU1457" i="3" s="1"/>
  <c r="H1458" i="3"/>
  <c r="AO1457" i="3" l="1"/>
  <c r="X1458" i="3"/>
  <c r="AU1458" i="3" s="1"/>
  <c r="H1459" i="3"/>
  <c r="AO1458" i="3" l="1"/>
  <c r="X1459" i="3"/>
  <c r="AU1459" i="3" s="1"/>
  <c r="H1460" i="3"/>
  <c r="AO1459" i="3" l="1"/>
  <c r="X1460" i="3"/>
  <c r="AU1460" i="3" s="1"/>
  <c r="H1461" i="3"/>
  <c r="AO1460" i="3" l="1"/>
  <c r="X1461" i="3"/>
  <c r="AU1461" i="3" s="1"/>
  <c r="H1462" i="3"/>
  <c r="AO1461" i="3" l="1"/>
  <c r="X1462" i="3"/>
  <c r="AU1462" i="3" s="1"/>
  <c r="H1463" i="3"/>
  <c r="AO1462" i="3" l="1"/>
  <c r="X1463" i="3"/>
  <c r="AU1463" i="3" s="1"/>
  <c r="H1464" i="3"/>
  <c r="AO1463" i="3" l="1"/>
  <c r="X1464" i="3"/>
  <c r="AU1464" i="3" s="1"/>
  <c r="H1465" i="3"/>
  <c r="AO1464" i="3" l="1"/>
  <c r="X1465" i="3"/>
  <c r="AU1465" i="3" s="1"/>
  <c r="H1466" i="3"/>
  <c r="AO1465" i="3" l="1"/>
  <c r="X1466" i="3"/>
  <c r="AU1466" i="3" s="1"/>
  <c r="H1467" i="3"/>
  <c r="AO1466" i="3" l="1"/>
  <c r="X1467" i="3"/>
  <c r="AU1467" i="3" s="1"/>
  <c r="AO1467" i="3" l="1"/>
  <c r="C5" i="3"/>
  <c r="AF1145" i="3" l="1"/>
  <c r="AF7" i="3"/>
  <c r="AF71" i="3"/>
  <c r="AF135" i="3"/>
  <c r="AF24" i="3"/>
  <c r="AF88" i="3"/>
  <c r="AF152" i="3"/>
  <c r="AF216" i="3"/>
  <c r="AF280" i="3"/>
  <c r="AF344" i="3"/>
  <c r="AF408" i="3"/>
  <c r="AF472" i="3"/>
  <c r="AF536" i="3"/>
  <c r="AF600" i="3"/>
  <c r="AF664" i="3"/>
  <c r="AF49" i="3"/>
  <c r="AF113" i="3"/>
  <c r="AF177" i="3"/>
  <c r="AF241" i="3"/>
  <c r="AF305" i="3"/>
  <c r="AF369" i="3"/>
  <c r="AF433" i="3"/>
  <c r="AF497" i="3"/>
  <c r="AF561" i="3"/>
  <c r="AF625" i="3"/>
  <c r="AF10" i="3"/>
  <c r="AF74" i="3"/>
  <c r="AF138" i="3"/>
  <c r="AF35" i="3"/>
  <c r="AF99" i="3"/>
  <c r="AF163" i="3"/>
  <c r="AF227" i="3"/>
  <c r="AF291" i="3"/>
  <c r="AF355" i="3"/>
  <c r="AF419" i="3"/>
  <c r="AF483" i="3"/>
  <c r="AF547" i="3"/>
  <c r="AF611" i="3"/>
  <c r="AF61" i="3"/>
  <c r="AF125" i="3"/>
  <c r="AF189" i="3"/>
  <c r="AF253" i="3"/>
  <c r="AF317" i="3"/>
  <c r="AF381" i="3"/>
  <c r="AF445" i="3"/>
  <c r="AF509" i="3"/>
  <c r="AF76" i="3"/>
  <c r="AF254" i="3"/>
  <c r="AF382" i="3"/>
  <c r="AF510" i="3"/>
  <c r="AF621" i="3"/>
  <c r="AF701" i="3"/>
  <c r="AF765" i="3"/>
  <c r="AF829" i="3"/>
  <c r="AF893" i="3"/>
  <c r="AF46" i="3"/>
  <c r="AF239" i="3"/>
  <c r="AF367" i="3"/>
  <c r="AF495" i="3"/>
  <c r="AF610" i="3"/>
  <c r="AF694" i="3"/>
  <c r="AF758" i="3"/>
  <c r="AF822" i="3"/>
  <c r="AF886" i="3"/>
  <c r="AF950" i="3"/>
  <c r="AF1014" i="3"/>
  <c r="AF148" i="3"/>
  <c r="AF290" i="3"/>
  <c r="AF418" i="3"/>
  <c r="AF546" i="3"/>
  <c r="AF645" i="3"/>
  <c r="AF719" i="3"/>
  <c r="AF783" i="3"/>
  <c r="AF847" i="3"/>
  <c r="AF911" i="3"/>
  <c r="AF54" i="3"/>
  <c r="AF244" i="3"/>
  <c r="AF372" i="3"/>
  <c r="AF500" i="3"/>
  <c r="AF613" i="3"/>
  <c r="AF696" i="3"/>
  <c r="AF760" i="3"/>
  <c r="AF824" i="3"/>
  <c r="AF888" i="3"/>
  <c r="AF15" i="3"/>
  <c r="AF79" i="3"/>
  <c r="AF143" i="3"/>
  <c r="AF32" i="3"/>
  <c r="AF96" i="3"/>
  <c r="AF160" i="3"/>
  <c r="AF224" i="3"/>
  <c r="AF288" i="3"/>
  <c r="AF352" i="3"/>
  <c r="AF416" i="3"/>
  <c r="AF480" i="3"/>
  <c r="AF544" i="3"/>
  <c r="AF608" i="3"/>
  <c r="AF672" i="3"/>
  <c r="AF57" i="3"/>
  <c r="AF121" i="3"/>
  <c r="AF185" i="3"/>
  <c r="AF249" i="3"/>
  <c r="AF313" i="3"/>
  <c r="AF377" i="3"/>
  <c r="AF441" i="3"/>
  <c r="AF505" i="3"/>
  <c r="AF569" i="3"/>
  <c r="AF633" i="3"/>
  <c r="AF18" i="3"/>
  <c r="AF82" i="3"/>
  <c r="AF146" i="3"/>
  <c r="AF43" i="3"/>
  <c r="AF107" i="3"/>
  <c r="AF171" i="3"/>
  <c r="AF235" i="3"/>
  <c r="AF299" i="3"/>
  <c r="AF363" i="3"/>
  <c r="AF427" i="3"/>
  <c r="AF491" i="3"/>
  <c r="AF555" i="3"/>
  <c r="AF619" i="3"/>
  <c r="AF69" i="3"/>
  <c r="AF133" i="3"/>
  <c r="AF197" i="3"/>
  <c r="AF261" i="3"/>
  <c r="AF325" i="3"/>
  <c r="AF389" i="3"/>
  <c r="AF453" i="3"/>
  <c r="AF517" i="3"/>
  <c r="AF108" i="3"/>
  <c r="AF270" i="3"/>
  <c r="AF398" i="3"/>
  <c r="AF526" i="3"/>
  <c r="AF631" i="3"/>
  <c r="AF709" i="3"/>
  <c r="AF773" i="3"/>
  <c r="AF837" i="3"/>
  <c r="AF901" i="3"/>
  <c r="AF78" i="3"/>
  <c r="AF255" i="3"/>
  <c r="AF383" i="3"/>
  <c r="AF511" i="3"/>
  <c r="AF622" i="3"/>
  <c r="AF702" i="3"/>
  <c r="AF766" i="3"/>
  <c r="AF830" i="3"/>
  <c r="AF894" i="3"/>
  <c r="AF958" i="3"/>
  <c r="AF1022" i="3"/>
  <c r="AF178" i="3"/>
  <c r="AF306" i="3"/>
  <c r="AF434" i="3"/>
  <c r="AF559" i="3"/>
  <c r="AF655" i="3"/>
  <c r="AF727" i="3"/>
  <c r="AF791" i="3"/>
  <c r="AF855" i="3"/>
  <c r="AF919" i="3"/>
  <c r="AF86" i="3"/>
  <c r="AF260" i="3"/>
  <c r="AF388" i="3"/>
  <c r="AF516" i="3"/>
  <c r="AF626" i="3"/>
  <c r="AF704" i="3"/>
  <c r="AF768" i="3"/>
  <c r="AF832" i="3"/>
  <c r="AF896" i="3"/>
  <c r="AF28" i="3"/>
  <c r="AF230" i="3"/>
  <c r="AF358" i="3"/>
  <c r="AF23" i="3"/>
  <c r="AF87" i="3"/>
  <c r="AF151" i="3"/>
  <c r="AF40" i="3"/>
  <c r="AF104" i="3"/>
  <c r="AF168" i="3"/>
  <c r="AF232" i="3"/>
  <c r="AF296" i="3"/>
  <c r="AF360" i="3"/>
  <c r="AF424" i="3"/>
  <c r="AF488" i="3"/>
  <c r="AF552" i="3"/>
  <c r="AF616" i="3"/>
  <c r="AF680" i="3"/>
  <c r="AF65" i="3"/>
  <c r="AF129" i="3"/>
  <c r="AF193" i="3"/>
  <c r="AF257" i="3"/>
  <c r="AF321" i="3"/>
  <c r="AF385" i="3"/>
  <c r="AF449" i="3"/>
  <c r="AF513" i="3"/>
  <c r="AF577" i="3"/>
  <c r="AF641" i="3"/>
  <c r="AF26" i="3"/>
  <c r="AF90" i="3"/>
  <c r="AF154" i="3"/>
  <c r="AF51" i="3"/>
  <c r="AF115" i="3"/>
  <c r="AF179" i="3"/>
  <c r="AF243" i="3"/>
  <c r="AF307" i="3"/>
  <c r="AF371" i="3"/>
  <c r="AF435" i="3"/>
  <c r="AF499" i="3"/>
  <c r="AF563" i="3"/>
  <c r="AF13" i="3"/>
  <c r="AF77" i="3"/>
  <c r="AF141" i="3"/>
  <c r="AF205" i="3"/>
  <c r="AF269" i="3"/>
  <c r="AF333" i="3"/>
  <c r="AF397" i="3"/>
  <c r="AF461" i="3"/>
  <c r="AF525" i="3"/>
  <c r="AF140" i="3"/>
  <c r="AF286" i="3"/>
  <c r="AF414" i="3"/>
  <c r="AF542" i="3"/>
  <c r="AF643" i="3"/>
  <c r="AF717" i="3"/>
  <c r="AF781" i="3"/>
  <c r="AF845" i="3"/>
  <c r="AF909" i="3"/>
  <c r="AF110" i="3"/>
  <c r="AF271" i="3"/>
  <c r="AF399" i="3"/>
  <c r="AF527" i="3"/>
  <c r="AF634" i="3"/>
  <c r="AF710" i="3"/>
  <c r="AF774" i="3"/>
  <c r="AF838" i="3"/>
  <c r="AF902" i="3"/>
  <c r="AF966" i="3"/>
  <c r="AF1030" i="3"/>
  <c r="AF194" i="3"/>
  <c r="AF322" i="3"/>
  <c r="AF450" i="3"/>
  <c r="AF573" i="3"/>
  <c r="AF667" i="3"/>
  <c r="AF735" i="3"/>
  <c r="AF799" i="3"/>
  <c r="AF863" i="3"/>
  <c r="AF927" i="3"/>
  <c r="AF118" i="3"/>
  <c r="AF276" i="3"/>
  <c r="AF404" i="3"/>
  <c r="AF532" i="3"/>
  <c r="AF636" i="3"/>
  <c r="AF712" i="3"/>
  <c r="AF776" i="3"/>
  <c r="AF840" i="3"/>
  <c r="AF904" i="3"/>
  <c r="AF60" i="3"/>
  <c r="AF246" i="3"/>
  <c r="AF31" i="3"/>
  <c r="AF95" i="3"/>
  <c r="AF159" i="3"/>
  <c r="AF48" i="3"/>
  <c r="AF112" i="3"/>
  <c r="AF176" i="3"/>
  <c r="AF240" i="3"/>
  <c r="AF304" i="3"/>
  <c r="AF368" i="3"/>
  <c r="AF432" i="3"/>
  <c r="AF496" i="3"/>
  <c r="AF560" i="3"/>
  <c r="AF624" i="3"/>
  <c r="AF9" i="3"/>
  <c r="AF73" i="3"/>
  <c r="AF137" i="3"/>
  <c r="AF201" i="3"/>
  <c r="AF265" i="3"/>
  <c r="AF329" i="3"/>
  <c r="AF393" i="3"/>
  <c r="AF457" i="3"/>
  <c r="AF521" i="3"/>
  <c r="AF585" i="3"/>
  <c r="AF649" i="3"/>
  <c r="AF34" i="3"/>
  <c r="AF98" i="3"/>
  <c r="AF162" i="3"/>
  <c r="AF59" i="3"/>
  <c r="AF123" i="3"/>
  <c r="AF187" i="3"/>
  <c r="AF251" i="3"/>
  <c r="AF315" i="3"/>
  <c r="AF379" i="3"/>
  <c r="AF443" i="3"/>
  <c r="AF507" i="3"/>
  <c r="AF571" i="3"/>
  <c r="AF21" i="3"/>
  <c r="AF85" i="3"/>
  <c r="AF149" i="3"/>
  <c r="AF213" i="3"/>
  <c r="AF277" i="3"/>
  <c r="AF341" i="3"/>
  <c r="AF405" i="3"/>
  <c r="AF469" i="3"/>
  <c r="AF533" i="3"/>
  <c r="AF172" i="3"/>
  <c r="AF302" i="3"/>
  <c r="AF430" i="3"/>
  <c r="AF557" i="3"/>
  <c r="AF653" i="3"/>
  <c r="AF725" i="3"/>
  <c r="AF789" i="3"/>
  <c r="AF853" i="3"/>
  <c r="AF917" i="3"/>
  <c r="AF142" i="3"/>
  <c r="AF287" i="3"/>
  <c r="AF415" i="3"/>
  <c r="AF543" i="3"/>
  <c r="AF644" i="3"/>
  <c r="AF718" i="3"/>
  <c r="AF782" i="3"/>
  <c r="AF846" i="3"/>
  <c r="AF910" i="3"/>
  <c r="AF974" i="3"/>
  <c r="AF1038" i="3"/>
  <c r="AF210" i="3"/>
  <c r="AF338" i="3"/>
  <c r="AF466" i="3"/>
  <c r="AF586" i="3"/>
  <c r="AF677" i="3"/>
  <c r="AF743" i="3"/>
  <c r="AF807" i="3"/>
  <c r="AF871" i="3"/>
  <c r="AF935" i="3"/>
  <c r="AF150" i="3"/>
  <c r="AF292" i="3"/>
  <c r="AF420" i="3"/>
  <c r="AF548" i="3"/>
  <c r="AF646" i="3"/>
  <c r="AF720" i="3"/>
  <c r="AF784" i="3"/>
  <c r="AF848" i="3"/>
  <c r="AF912" i="3"/>
  <c r="AF92" i="3"/>
  <c r="AF262" i="3"/>
  <c r="AF390" i="3"/>
  <c r="AF39" i="3"/>
  <c r="AF103" i="3"/>
  <c r="AF167" i="3"/>
  <c r="AF56" i="3"/>
  <c r="AF120" i="3"/>
  <c r="AF184" i="3"/>
  <c r="AF248" i="3"/>
  <c r="AF312" i="3"/>
  <c r="AF376" i="3"/>
  <c r="AF440" i="3"/>
  <c r="AF504" i="3"/>
  <c r="AF568" i="3"/>
  <c r="AF632" i="3"/>
  <c r="AF17" i="3"/>
  <c r="AF81" i="3"/>
  <c r="AF145" i="3"/>
  <c r="AF209" i="3"/>
  <c r="AF273" i="3"/>
  <c r="AF337" i="3"/>
  <c r="AF401" i="3"/>
  <c r="AF465" i="3"/>
  <c r="AF529" i="3"/>
  <c r="AF593" i="3"/>
  <c r="AF657" i="3"/>
  <c r="AF42" i="3"/>
  <c r="AF106" i="3"/>
  <c r="AF170" i="3"/>
  <c r="AF67" i="3"/>
  <c r="AF131" i="3"/>
  <c r="AF195" i="3"/>
  <c r="AF259" i="3"/>
  <c r="AF323" i="3"/>
  <c r="AF387" i="3"/>
  <c r="AF451" i="3"/>
  <c r="AF515" i="3"/>
  <c r="AF579" i="3"/>
  <c r="AF29" i="3"/>
  <c r="AF93" i="3"/>
  <c r="AF157" i="3"/>
  <c r="AF221" i="3"/>
  <c r="AF285" i="3"/>
  <c r="AF349" i="3"/>
  <c r="AF413" i="3"/>
  <c r="AF477" i="3"/>
  <c r="AF541" i="3"/>
  <c r="AF190" i="3"/>
  <c r="AF318" i="3"/>
  <c r="AF446" i="3"/>
  <c r="AF570" i="3"/>
  <c r="AF663" i="3"/>
  <c r="AF733" i="3"/>
  <c r="AF797" i="3"/>
  <c r="AF861" i="3"/>
  <c r="AF925" i="3"/>
  <c r="AF174" i="3"/>
  <c r="AF303" i="3"/>
  <c r="AF431" i="3"/>
  <c r="AF558" i="3"/>
  <c r="AF654" i="3"/>
  <c r="AF47" i="3"/>
  <c r="AF111" i="3"/>
  <c r="AF175" i="3"/>
  <c r="AF64" i="3"/>
  <c r="AF128" i="3"/>
  <c r="AF192" i="3"/>
  <c r="AF256" i="3"/>
  <c r="AF320" i="3"/>
  <c r="AF384" i="3"/>
  <c r="AF448" i="3"/>
  <c r="AF512" i="3"/>
  <c r="AF576" i="3"/>
  <c r="AF640" i="3"/>
  <c r="AF25" i="3"/>
  <c r="AF89" i="3"/>
  <c r="AF153" i="3"/>
  <c r="AF217" i="3"/>
  <c r="AF281" i="3"/>
  <c r="AF345" i="3"/>
  <c r="AF409" i="3"/>
  <c r="AF473" i="3"/>
  <c r="AF537" i="3"/>
  <c r="AF601" i="3"/>
  <c r="AF665" i="3"/>
  <c r="AF50" i="3"/>
  <c r="AF114" i="3"/>
  <c r="AF11" i="3"/>
  <c r="AF75" i="3"/>
  <c r="AF139" i="3"/>
  <c r="AF203" i="3"/>
  <c r="AF267" i="3"/>
  <c r="AF331" i="3"/>
  <c r="AF395" i="3"/>
  <c r="AF459" i="3"/>
  <c r="AF523" i="3"/>
  <c r="AF587" i="3"/>
  <c r="AF37" i="3"/>
  <c r="AF101" i="3"/>
  <c r="AF165" i="3"/>
  <c r="AF229" i="3"/>
  <c r="AF293" i="3"/>
  <c r="AF357" i="3"/>
  <c r="AF421" i="3"/>
  <c r="AF485" i="3"/>
  <c r="AF549" i="3"/>
  <c r="AF206" i="3"/>
  <c r="AF334" i="3"/>
  <c r="AF462" i="3"/>
  <c r="AF582" i="3"/>
  <c r="AF675" i="3"/>
  <c r="AF741" i="3"/>
  <c r="AF805" i="3"/>
  <c r="AF869" i="3"/>
  <c r="AF933" i="3"/>
  <c r="AF191" i="3"/>
  <c r="AF319" i="3"/>
  <c r="AF447" i="3"/>
  <c r="AF572" i="3"/>
  <c r="AF666" i="3"/>
  <c r="AF734" i="3"/>
  <c r="AF798" i="3"/>
  <c r="AF862" i="3"/>
  <c r="AF926" i="3"/>
  <c r="AF990" i="3"/>
  <c r="AF52" i="3"/>
  <c r="AF242" i="3"/>
  <c r="AF370" i="3"/>
  <c r="AF498" i="3"/>
  <c r="AF612" i="3"/>
  <c r="AF695" i="3"/>
  <c r="AF759" i="3"/>
  <c r="AF823" i="3"/>
  <c r="AF887" i="3"/>
  <c r="AF951" i="3"/>
  <c r="AF196" i="3"/>
  <c r="AF324" i="3"/>
  <c r="AF452" i="3"/>
  <c r="AF574" i="3"/>
  <c r="AF668" i="3"/>
  <c r="AF736" i="3"/>
  <c r="AF800" i="3"/>
  <c r="AF864" i="3"/>
  <c r="AF928" i="3"/>
  <c r="AF156" i="3"/>
  <c r="AF294" i="3"/>
  <c r="AF55" i="3"/>
  <c r="AF119" i="3"/>
  <c r="AF8" i="3"/>
  <c r="AF72" i="3"/>
  <c r="AF136" i="3"/>
  <c r="AF200" i="3"/>
  <c r="AF264" i="3"/>
  <c r="AF328" i="3"/>
  <c r="AF392" i="3"/>
  <c r="AF456" i="3"/>
  <c r="AF520" i="3"/>
  <c r="AF584" i="3"/>
  <c r="AF648" i="3"/>
  <c r="AF33" i="3"/>
  <c r="AF97" i="3"/>
  <c r="AF161" i="3"/>
  <c r="AF225" i="3"/>
  <c r="AF289" i="3"/>
  <c r="AF353" i="3"/>
  <c r="AF417" i="3"/>
  <c r="AF481" i="3"/>
  <c r="AF545" i="3"/>
  <c r="AF609" i="3"/>
  <c r="AF673" i="3"/>
  <c r="AF58" i="3"/>
  <c r="AF122" i="3"/>
  <c r="AF19" i="3"/>
  <c r="AF83" i="3"/>
  <c r="AF147" i="3"/>
  <c r="AF211" i="3"/>
  <c r="AF275" i="3"/>
  <c r="AF339" i="3"/>
  <c r="AF403" i="3"/>
  <c r="AF467" i="3"/>
  <c r="AF531" i="3"/>
  <c r="AF595" i="3"/>
  <c r="AF45" i="3"/>
  <c r="AF109" i="3"/>
  <c r="AF173" i="3"/>
  <c r="AF237" i="3"/>
  <c r="AF301" i="3"/>
  <c r="AF365" i="3"/>
  <c r="AF429" i="3"/>
  <c r="AF493" i="3"/>
  <c r="AF12" i="3"/>
  <c r="AF222" i="3"/>
  <c r="AF350" i="3"/>
  <c r="AF478" i="3"/>
  <c r="AF596" i="3"/>
  <c r="AF685" i="3"/>
  <c r="AF749" i="3"/>
  <c r="AF813" i="3"/>
  <c r="AF877" i="3"/>
  <c r="AF941" i="3"/>
  <c r="AF207" i="3"/>
  <c r="AF335" i="3"/>
  <c r="AF463" i="3"/>
  <c r="AF583" i="3"/>
  <c r="AF676" i="3"/>
  <c r="AF742" i="3"/>
  <c r="AF806" i="3"/>
  <c r="AF870" i="3"/>
  <c r="AF934" i="3"/>
  <c r="AF998" i="3"/>
  <c r="AF84" i="3"/>
  <c r="AF258" i="3"/>
  <c r="AF386" i="3"/>
  <c r="AF514" i="3"/>
  <c r="AF623" i="3"/>
  <c r="AF703" i="3"/>
  <c r="AF767" i="3"/>
  <c r="AF831" i="3"/>
  <c r="AF895" i="3"/>
  <c r="AF959" i="3"/>
  <c r="AF212" i="3"/>
  <c r="AF340" i="3"/>
  <c r="AF468" i="3"/>
  <c r="AF588" i="3"/>
  <c r="AF678" i="3"/>
  <c r="AF744" i="3"/>
  <c r="AF808" i="3"/>
  <c r="AF872" i="3"/>
  <c r="AF936" i="3"/>
  <c r="AF182" i="3"/>
  <c r="AF310" i="3"/>
  <c r="AF63" i="3"/>
  <c r="AF127" i="3"/>
  <c r="AF16" i="3"/>
  <c r="AF80" i="3"/>
  <c r="AF144" i="3"/>
  <c r="AF208" i="3"/>
  <c r="AF272" i="3"/>
  <c r="AF336" i="3"/>
  <c r="AF400" i="3"/>
  <c r="AF464" i="3"/>
  <c r="AF528" i="3"/>
  <c r="AF592" i="3"/>
  <c r="AF656" i="3"/>
  <c r="AF41" i="3"/>
  <c r="AF105" i="3"/>
  <c r="AF169" i="3"/>
  <c r="AF233" i="3"/>
  <c r="AF297" i="3"/>
  <c r="AF361" i="3"/>
  <c r="AF425" i="3"/>
  <c r="AF489" i="3"/>
  <c r="AF553" i="3"/>
  <c r="AF617" i="3"/>
  <c r="AF681" i="3"/>
  <c r="AF66" i="3"/>
  <c r="AF130" i="3"/>
  <c r="AF27" i="3"/>
  <c r="AF91" i="3"/>
  <c r="AF155" i="3"/>
  <c r="AF219" i="3"/>
  <c r="AF283" i="3"/>
  <c r="AF347" i="3"/>
  <c r="AF411" i="3"/>
  <c r="AF475" i="3"/>
  <c r="AF539" i="3"/>
  <c r="AF603" i="3"/>
  <c r="AF53" i="3"/>
  <c r="AF117" i="3"/>
  <c r="AF181" i="3"/>
  <c r="AF245" i="3"/>
  <c r="AF309" i="3"/>
  <c r="AF373" i="3"/>
  <c r="AF437" i="3"/>
  <c r="AF501" i="3"/>
  <c r="AF44" i="3"/>
  <c r="AF238" i="3"/>
  <c r="AF366" i="3"/>
  <c r="AF494" i="3"/>
  <c r="AF607" i="3"/>
  <c r="AF693" i="3"/>
  <c r="AF757" i="3"/>
  <c r="AF821" i="3"/>
  <c r="AF885" i="3"/>
  <c r="AF14" i="3"/>
  <c r="AF223" i="3"/>
  <c r="AF351" i="3"/>
  <c r="AF479" i="3"/>
  <c r="AF597" i="3"/>
  <c r="AF686" i="3"/>
  <c r="AF750" i="3"/>
  <c r="AF814" i="3"/>
  <c r="AF726" i="3"/>
  <c r="AF20" i="3"/>
  <c r="AF598" i="3"/>
  <c r="AF879" i="3"/>
  <c r="AF436" i="3"/>
  <c r="AF792" i="3"/>
  <c r="AF198" i="3"/>
  <c r="AF438" i="3"/>
  <c r="AF564" i="3"/>
  <c r="AF659" i="3"/>
  <c r="AF729" i="3"/>
  <c r="AF793" i="3"/>
  <c r="AF857" i="3"/>
  <c r="AF921" i="3"/>
  <c r="AF100" i="3"/>
  <c r="AF266" i="3"/>
  <c r="AF394" i="3"/>
  <c r="AF522" i="3"/>
  <c r="AF629" i="3"/>
  <c r="AF707" i="3"/>
  <c r="AF771" i="3"/>
  <c r="AF231" i="3"/>
  <c r="AF690" i="3"/>
  <c r="AF900" i="3"/>
  <c r="AF1007" i="3"/>
  <c r="AF1075" i="3"/>
  <c r="AF1139" i="3"/>
  <c r="AF1203" i="3"/>
  <c r="AF1267" i="3"/>
  <c r="AF1331" i="3"/>
  <c r="AF1395" i="3"/>
  <c r="AF1459" i="3"/>
  <c r="AF492" i="3"/>
  <c r="AF819" i="3"/>
  <c r="AF971" i="3"/>
  <c r="AF1044" i="3"/>
  <c r="AF1108" i="3"/>
  <c r="AF1172" i="3"/>
  <c r="AF1236" i="3"/>
  <c r="AF1300" i="3"/>
  <c r="AF1364" i="3"/>
  <c r="AF1428" i="3"/>
  <c r="AF247" i="3"/>
  <c r="AF698" i="3"/>
  <c r="AF907" i="3"/>
  <c r="AF1009" i="3"/>
  <c r="AF1077" i="3"/>
  <c r="AF1141" i="3"/>
  <c r="AF1205" i="3"/>
  <c r="AF1269" i="3"/>
  <c r="AF1333" i="3"/>
  <c r="AF1397" i="3"/>
  <c r="AF1461" i="3"/>
  <c r="AF508" i="3"/>
  <c r="AF826" i="3"/>
  <c r="AF973" i="3"/>
  <c r="AF1046" i="3"/>
  <c r="AF1110" i="3"/>
  <c r="AF1174" i="3"/>
  <c r="AF1238" i="3"/>
  <c r="AF1302" i="3"/>
  <c r="AF1366" i="3"/>
  <c r="AF1430" i="3"/>
  <c r="AF199" i="3"/>
  <c r="AF670" i="3"/>
  <c r="AF891" i="3"/>
  <c r="AF1002" i="3"/>
  <c r="AF1071" i="3"/>
  <c r="AF1135" i="3"/>
  <c r="AF1199" i="3"/>
  <c r="AF1263" i="3"/>
  <c r="AF1327" i="3"/>
  <c r="AF1391" i="3"/>
  <c r="AF1455" i="3"/>
  <c r="AF535" i="3"/>
  <c r="AF834" i="3"/>
  <c r="AF790" i="3"/>
  <c r="AF116" i="3"/>
  <c r="AF635" i="3"/>
  <c r="AF903" i="3"/>
  <c r="AF484" i="3"/>
  <c r="AF816" i="3"/>
  <c r="AF214" i="3"/>
  <c r="AF454" i="3"/>
  <c r="AF575" i="3"/>
  <c r="AF669" i="3"/>
  <c r="AF737" i="3"/>
  <c r="AF801" i="3"/>
  <c r="AF865" i="3"/>
  <c r="AF929" i="3"/>
  <c r="AF132" i="3"/>
  <c r="AF282" i="3"/>
  <c r="AF410" i="3"/>
  <c r="AF538" i="3"/>
  <c r="AF639" i="3"/>
  <c r="AF715" i="3"/>
  <c r="AF779" i="3"/>
  <c r="AF295" i="3"/>
  <c r="AF722" i="3"/>
  <c r="AF923" i="3"/>
  <c r="AF1016" i="3"/>
  <c r="AF1083" i="3"/>
  <c r="AF1147" i="3"/>
  <c r="AF1211" i="3"/>
  <c r="AF1275" i="3"/>
  <c r="AF1339" i="3"/>
  <c r="AF1403" i="3"/>
  <c r="AF1467" i="3"/>
  <c r="AF556" i="3"/>
  <c r="AF842" i="3"/>
  <c r="AF980" i="3"/>
  <c r="AF1052" i="3"/>
  <c r="AF1116" i="3"/>
  <c r="AF1180" i="3"/>
  <c r="AF1244" i="3"/>
  <c r="AF1308" i="3"/>
  <c r="AF1372" i="3"/>
  <c r="AF1436" i="3"/>
  <c r="AF311" i="3"/>
  <c r="AF730" i="3"/>
  <c r="AF930" i="3"/>
  <c r="AF1018" i="3"/>
  <c r="AF1085" i="3"/>
  <c r="AF1149" i="3"/>
  <c r="AF1213" i="3"/>
  <c r="AF1277" i="3"/>
  <c r="AF1341" i="3"/>
  <c r="AF1405" i="3"/>
  <c r="AF854" i="3"/>
  <c r="AF226" i="3"/>
  <c r="AF687" i="3"/>
  <c r="AF943" i="3"/>
  <c r="AF562" i="3"/>
  <c r="AF856" i="3"/>
  <c r="AF278" i="3"/>
  <c r="AF470" i="3"/>
  <c r="AF589" i="3"/>
  <c r="AF679" i="3"/>
  <c r="AF745" i="3"/>
  <c r="AF809" i="3"/>
  <c r="AF873" i="3"/>
  <c r="AF937" i="3"/>
  <c r="AF164" i="3"/>
  <c r="AF298" i="3"/>
  <c r="AF426" i="3"/>
  <c r="AF554" i="3"/>
  <c r="AF651" i="3"/>
  <c r="AF723" i="3"/>
  <c r="AF787" i="3"/>
  <c r="AF359" i="3"/>
  <c r="AF754" i="3"/>
  <c r="AF946" i="3"/>
  <c r="AF1025" i="3"/>
  <c r="AF1091" i="3"/>
  <c r="AF1155" i="3"/>
  <c r="AF1219" i="3"/>
  <c r="AF1283" i="3"/>
  <c r="AF1347" i="3"/>
  <c r="AF1411" i="3"/>
  <c r="AF38" i="3"/>
  <c r="AF606" i="3"/>
  <c r="AF860" i="3"/>
  <c r="AF989" i="3"/>
  <c r="AF1060" i="3"/>
  <c r="AF1124" i="3"/>
  <c r="AF1188" i="3"/>
  <c r="AF1252" i="3"/>
  <c r="AF1316" i="3"/>
  <c r="AF1380" i="3"/>
  <c r="AF1444" i="3"/>
  <c r="AF375" i="3"/>
  <c r="AF762" i="3"/>
  <c r="AF948" i="3"/>
  <c r="AF1027" i="3"/>
  <c r="AF1093" i="3"/>
  <c r="AF1157" i="3"/>
  <c r="AF1221" i="3"/>
  <c r="AF1285" i="3"/>
  <c r="AF1349" i="3"/>
  <c r="AF1413" i="3"/>
  <c r="AF70" i="3"/>
  <c r="AF620" i="3"/>
  <c r="AF867" i="3"/>
  <c r="AF992" i="3"/>
  <c r="AF1062" i="3"/>
  <c r="AF1126" i="3"/>
  <c r="AF1190" i="3"/>
  <c r="AF1254" i="3"/>
  <c r="AF1318" i="3"/>
  <c r="AF1382" i="3"/>
  <c r="AF1446" i="3"/>
  <c r="AF327" i="3"/>
  <c r="AF738" i="3"/>
  <c r="AF932" i="3"/>
  <c r="AF1020" i="3"/>
  <c r="AF1087" i="3"/>
  <c r="AF1151" i="3"/>
  <c r="AF1215" i="3"/>
  <c r="AF1279" i="3"/>
  <c r="AF1343" i="3"/>
  <c r="AF1407" i="3"/>
  <c r="AF126" i="3"/>
  <c r="AF638" i="3"/>
  <c r="AF875" i="3"/>
  <c r="AF995" i="3"/>
  <c r="AF1065" i="3"/>
  <c r="AF1129" i="3"/>
  <c r="AF1193" i="3"/>
  <c r="AF1257" i="3"/>
  <c r="AF1321" i="3"/>
  <c r="AF1385" i="3"/>
  <c r="AF1449" i="3"/>
  <c r="AF967" i="3"/>
  <c r="AF1232" i="3"/>
  <c r="AF204" i="3"/>
  <c r="AF1074" i="3"/>
  <c r="AF1330" i="3"/>
  <c r="AF1440" i="3"/>
  <c r="AF878" i="3"/>
  <c r="AF274" i="3"/>
  <c r="AF711" i="3"/>
  <c r="AF22" i="3"/>
  <c r="AF599" i="3"/>
  <c r="AF880" i="3"/>
  <c r="AF326" i="3"/>
  <c r="AF486" i="3"/>
  <c r="AF602" i="3"/>
  <c r="AF689" i="3"/>
  <c r="AF753" i="3"/>
  <c r="AF817" i="3"/>
  <c r="AF881" i="3"/>
  <c r="AF945" i="3"/>
  <c r="AF186" i="3"/>
  <c r="AF314" i="3"/>
  <c r="AF442" i="3"/>
  <c r="AF566" i="3"/>
  <c r="AF661" i="3"/>
  <c r="AF731" i="3"/>
  <c r="AF795" i="3"/>
  <c r="AF423" i="3"/>
  <c r="AF786" i="3"/>
  <c r="AF960" i="3"/>
  <c r="AF1034" i="3"/>
  <c r="AF1099" i="3"/>
  <c r="AF1163" i="3"/>
  <c r="AF1227" i="3"/>
  <c r="AF1291" i="3"/>
  <c r="AF1355" i="3"/>
  <c r="AF1419" i="3"/>
  <c r="AF166" i="3"/>
  <c r="AF652" i="3"/>
  <c r="AF883" i="3"/>
  <c r="AF999" i="3"/>
  <c r="AF1068" i="3"/>
  <c r="AF1132" i="3"/>
  <c r="AF1196" i="3"/>
  <c r="AF1260" i="3"/>
  <c r="AF1324" i="3"/>
  <c r="AF1388" i="3"/>
  <c r="AF1452" i="3"/>
  <c r="AF439" i="3"/>
  <c r="AF794" i="3"/>
  <c r="AF963" i="3"/>
  <c r="AF1036" i="3"/>
  <c r="AF1101" i="3"/>
  <c r="AF1165" i="3"/>
  <c r="AF1229" i="3"/>
  <c r="AF1293" i="3"/>
  <c r="AF1357" i="3"/>
  <c r="AF1421" i="3"/>
  <c r="AF188" i="3"/>
  <c r="AF662" i="3"/>
  <c r="AF890" i="3"/>
  <c r="AF1001" i="3"/>
  <c r="AF1070" i="3"/>
  <c r="AF1134" i="3"/>
  <c r="AF1198" i="3"/>
  <c r="AF1262" i="3"/>
  <c r="AF1326" i="3"/>
  <c r="AF1390" i="3"/>
  <c r="AF1454" i="3"/>
  <c r="AF391" i="3"/>
  <c r="AF770" i="3"/>
  <c r="AF954" i="3"/>
  <c r="AF1029" i="3"/>
  <c r="AF1095" i="3"/>
  <c r="AF1159" i="3"/>
  <c r="AF1223" i="3"/>
  <c r="AF1287" i="3"/>
  <c r="AF1351" i="3"/>
  <c r="AF1415" i="3"/>
  <c r="AF215" i="3"/>
  <c r="AF682" i="3"/>
  <c r="AF898" i="3"/>
  <c r="AF1004" i="3"/>
  <c r="AF1073" i="3"/>
  <c r="AF1137" i="3"/>
  <c r="AF1201" i="3"/>
  <c r="AF1265" i="3"/>
  <c r="AF1329" i="3"/>
  <c r="AF1393" i="3"/>
  <c r="AF1457" i="3"/>
  <c r="AF1003" i="3"/>
  <c r="AF1264" i="3"/>
  <c r="AF476" i="3"/>
  <c r="AF1106" i="3"/>
  <c r="AF1362" i="3"/>
  <c r="AF332" i="3"/>
  <c r="AF918" i="3"/>
  <c r="AF354" i="3"/>
  <c r="AF751" i="3"/>
  <c r="AF180" i="3"/>
  <c r="AF658" i="3"/>
  <c r="AF920" i="3"/>
  <c r="AF342" i="3"/>
  <c r="AF502" i="3"/>
  <c r="AF614" i="3"/>
  <c r="AF697" i="3"/>
  <c r="AF761" i="3"/>
  <c r="AF825" i="3"/>
  <c r="AF889" i="3"/>
  <c r="AF953" i="3"/>
  <c r="AF202" i="3"/>
  <c r="AF330" i="3"/>
  <c r="AF458" i="3"/>
  <c r="AF580" i="3"/>
  <c r="AF671" i="3"/>
  <c r="AF739" i="3"/>
  <c r="AF803" i="3"/>
  <c r="AF487" i="3"/>
  <c r="AF818" i="3"/>
  <c r="AF970" i="3"/>
  <c r="AF1043" i="3"/>
  <c r="AF1107" i="3"/>
  <c r="AF1171" i="3"/>
  <c r="AF1235" i="3"/>
  <c r="AF1299" i="3"/>
  <c r="AF1363" i="3"/>
  <c r="AF1427" i="3"/>
  <c r="AF236" i="3"/>
  <c r="AF692" i="3"/>
  <c r="AF906" i="3"/>
  <c r="AF1008" i="3"/>
  <c r="AF1076" i="3"/>
  <c r="AF1140" i="3"/>
  <c r="AF1204" i="3"/>
  <c r="AF1268" i="3"/>
  <c r="AF1332" i="3"/>
  <c r="AF1396" i="3"/>
  <c r="AF1460" i="3"/>
  <c r="AF503" i="3"/>
  <c r="AF820" i="3"/>
  <c r="AF972" i="3"/>
  <c r="AF1045" i="3"/>
  <c r="AF1109" i="3"/>
  <c r="AF1173" i="3"/>
  <c r="AF1237" i="3"/>
  <c r="AF1301" i="3"/>
  <c r="AF1365" i="3"/>
  <c r="AF1429" i="3"/>
  <c r="AF252" i="3"/>
  <c r="AF700" i="3"/>
  <c r="AF908" i="3"/>
  <c r="AF1010" i="3"/>
  <c r="AF1078" i="3"/>
  <c r="AF1142" i="3"/>
  <c r="AF1206" i="3"/>
  <c r="AF1270" i="3"/>
  <c r="AF1334" i="3"/>
  <c r="AF1398" i="3"/>
  <c r="AF1462" i="3"/>
  <c r="AF455" i="3"/>
  <c r="AF802" i="3"/>
  <c r="AF965" i="3"/>
  <c r="AF1039" i="3"/>
  <c r="AF1103" i="3"/>
  <c r="AF1167" i="3"/>
  <c r="AF1231" i="3"/>
  <c r="AF1295" i="3"/>
  <c r="AF1359" i="3"/>
  <c r="AF1423" i="3"/>
  <c r="AF279" i="3"/>
  <c r="AF714" i="3"/>
  <c r="AF916" i="3"/>
  <c r="AF1013" i="3"/>
  <c r="AF1081" i="3"/>
  <c r="AF1209" i="3"/>
  <c r="AF1273" i="3"/>
  <c r="AF1337" i="3"/>
  <c r="AF1401" i="3"/>
  <c r="AF1465" i="3"/>
  <c r="AF1040" i="3"/>
  <c r="AF942" i="3"/>
  <c r="AF982" i="3"/>
  <c r="AF228" i="3"/>
  <c r="AF124" i="3"/>
  <c r="AF637" i="3"/>
  <c r="AF833" i="3"/>
  <c r="AF68" i="3"/>
  <c r="AF490" i="3"/>
  <c r="AF747" i="3"/>
  <c r="AF650" i="3"/>
  <c r="AF1059" i="3"/>
  <c r="AF1243" i="3"/>
  <c r="AF1387" i="3"/>
  <c r="AF756" i="3"/>
  <c r="AF1084" i="3"/>
  <c r="AF1228" i="3"/>
  <c r="AF1412" i="3"/>
  <c r="AF843" i="3"/>
  <c r="AF1069" i="3"/>
  <c r="AF1253" i="3"/>
  <c r="AF1437" i="3"/>
  <c r="AF732" i="3"/>
  <c r="AF1019" i="3"/>
  <c r="AF1150" i="3"/>
  <c r="AF1278" i="3"/>
  <c r="AF1406" i="3"/>
  <c r="AF519" i="3"/>
  <c r="AF975" i="3"/>
  <c r="AF1111" i="3"/>
  <c r="AF1239" i="3"/>
  <c r="AF1367" i="3"/>
  <c r="AF343" i="3"/>
  <c r="AF939" i="3"/>
  <c r="AF1049" i="3"/>
  <c r="AF1161" i="3"/>
  <c r="AF1249" i="3"/>
  <c r="AF1361" i="3"/>
  <c r="AF134" i="3"/>
  <c r="AF1168" i="3"/>
  <c r="AF684" i="3"/>
  <c r="AF1202" i="3"/>
  <c r="AF1216" i="3"/>
  <c r="AF828" i="3"/>
  <c r="AF1176" i="3"/>
  <c r="AF1432" i="3"/>
  <c r="AF284" i="3"/>
  <c r="AF594" i="3"/>
  <c r="AF268" i="3"/>
  <c r="AF1114" i="3"/>
  <c r="AF938" i="3"/>
  <c r="AF940" i="3"/>
  <c r="AF630" i="3"/>
  <c r="AF996" i="3"/>
  <c r="AF1006" i="3"/>
  <c r="AF308" i="3"/>
  <c r="AF374" i="3"/>
  <c r="AF647" i="3"/>
  <c r="AF841" i="3"/>
  <c r="AF218" i="3"/>
  <c r="AF506" i="3"/>
  <c r="AF755" i="3"/>
  <c r="AF836" i="3"/>
  <c r="AF1067" i="3"/>
  <c r="AF1251" i="3"/>
  <c r="AF1435" i="3"/>
  <c r="AF788" i="3"/>
  <c r="AF1092" i="3"/>
  <c r="AF1276" i="3"/>
  <c r="AF1420" i="3"/>
  <c r="AF866" i="3"/>
  <c r="AF1117" i="3"/>
  <c r="AF1261" i="3"/>
  <c r="AF1445" i="3"/>
  <c r="AF764" i="3"/>
  <c r="AF1028" i="3"/>
  <c r="AF1158" i="3"/>
  <c r="AF1286" i="3"/>
  <c r="AF1414" i="3"/>
  <c r="AF578" i="3"/>
  <c r="AF984" i="3"/>
  <c r="AF1119" i="3"/>
  <c r="AF1247" i="3"/>
  <c r="AF1375" i="3"/>
  <c r="AF407" i="3"/>
  <c r="AF956" i="3"/>
  <c r="AF1057" i="3"/>
  <c r="AF1169" i="3"/>
  <c r="AF1281" i="3"/>
  <c r="AF1369" i="3"/>
  <c r="AF460" i="3"/>
  <c r="AF1200" i="3"/>
  <c r="AF812" i="3"/>
  <c r="AF1234" i="3"/>
  <c r="AF1376" i="3"/>
  <c r="AF915" i="3"/>
  <c r="AF1208" i="3"/>
  <c r="AF1464" i="3"/>
  <c r="AF851" i="3"/>
  <c r="AF858" i="3"/>
  <c r="AF716" i="3"/>
  <c r="AF1146" i="3"/>
  <c r="AF985" i="3"/>
  <c r="AF987" i="3"/>
  <c r="AF772" i="3"/>
  <c r="AF1160" i="3"/>
  <c r="AF1416" i="3"/>
  <c r="AF1033" i="3"/>
  <c r="AF1290" i="3"/>
  <c r="AF1192" i="3"/>
  <c r="AF402" i="3"/>
  <c r="AF356" i="3"/>
  <c r="AF406" i="3"/>
  <c r="AF705" i="3"/>
  <c r="AF849" i="3"/>
  <c r="AF234" i="3"/>
  <c r="AF591" i="3"/>
  <c r="AF763" i="3"/>
  <c r="AF859" i="3"/>
  <c r="AF1115" i="3"/>
  <c r="AF1259" i="3"/>
  <c r="AF1443" i="3"/>
  <c r="AF924" i="3"/>
  <c r="AF1100" i="3"/>
  <c r="AF1284" i="3"/>
  <c r="AF1468" i="3"/>
  <c r="AF884" i="3"/>
  <c r="AF1125" i="3"/>
  <c r="AF1309" i="3"/>
  <c r="AF1453" i="3"/>
  <c r="AF796" i="3"/>
  <c r="AF1037" i="3"/>
  <c r="AF1166" i="3"/>
  <c r="AF1294" i="3"/>
  <c r="AF1422" i="3"/>
  <c r="AF628" i="3"/>
  <c r="AF993" i="3"/>
  <c r="AF1127" i="3"/>
  <c r="AF1255" i="3"/>
  <c r="AF1383" i="3"/>
  <c r="AF471" i="3"/>
  <c r="AF968" i="3"/>
  <c r="AF1089" i="3"/>
  <c r="AF1177" i="3"/>
  <c r="AF1289" i="3"/>
  <c r="AF1377" i="3"/>
  <c r="AF674" i="3"/>
  <c r="AF1296" i="3"/>
  <c r="AF899" i="3"/>
  <c r="AF1266" i="3"/>
  <c r="AF1154" i="3"/>
  <c r="AF976" i="3"/>
  <c r="AF1240" i="3"/>
  <c r="AF540" i="3"/>
  <c r="AF1021" i="3"/>
  <c r="AF1024" i="3"/>
  <c r="AF835" i="3"/>
  <c r="AF1178" i="3"/>
  <c r="AF1056" i="3"/>
  <c r="AF1058" i="3"/>
  <c r="AF874" i="3"/>
  <c r="AF1448" i="3"/>
  <c r="AF482" i="3"/>
  <c r="AF688" i="3"/>
  <c r="AF422" i="3"/>
  <c r="AF713" i="3"/>
  <c r="AF897" i="3"/>
  <c r="AF250" i="3"/>
  <c r="AF605" i="3"/>
  <c r="AF811" i="3"/>
  <c r="AF882" i="3"/>
  <c r="AF1123" i="3"/>
  <c r="AF1307" i="3"/>
  <c r="AF1451" i="3"/>
  <c r="AF947" i="3"/>
  <c r="AF1148" i="3"/>
  <c r="AF1292" i="3"/>
  <c r="AF62" i="3"/>
  <c r="AF981" i="3"/>
  <c r="AF1133" i="3"/>
  <c r="AF1317" i="3"/>
  <c r="AF1469" i="3"/>
  <c r="AF844" i="3"/>
  <c r="AF1054" i="3"/>
  <c r="AF1182" i="3"/>
  <c r="AF1310" i="3"/>
  <c r="AF1438" i="3"/>
  <c r="AF706" i="3"/>
  <c r="AF1011" i="3"/>
  <c r="AF1143" i="3"/>
  <c r="AF1271" i="3"/>
  <c r="AF1399" i="3"/>
  <c r="AF590" i="3"/>
  <c r="AF977" i="3"/>
  <c r="AF1097" i="3"/>
  <c r="AF1185" i="3"/>
  <c r="AF1297" i="3"/>
  <c r="AF1409" i="3"/>
  <c r="AF804" i="3"/>
  <c r="AF1328" i="3"/>
  <c r="AF969" i="3"/>
  <c r="AF1298" i="3"/>
  <c r="AF1314" i="3"/>
  <c r="AF1012" i="3"/>
  <c r="AF1272" i="3"/>
  <c r="AF1274" i="3"/>
  <c r="AF1088" i="3"/>
  <c r="AF1122" i="3"/>
  <c r="AF922" i="3"/>
  <c r="AF1210" i="3"/>
  <c r="AF1120" i="3"/>
  <c r="AF1090" i="3"/>
  <c r="AF955" i="3"/>
  <c r="AF1224" i="3"/>
  <c r="AF412" i="3"/>
  <c r="AF1098" i="3"/>
  <c r="AF1354" i="3"/>
  <c r="AF978" i="3"/>
  <c r="AF1184" i="3"/>
  <c r="AF994" i="3"/>
  <c r="AF642" i="3"/>
  <c r="AF1386" i="3"/>
  <c r="AF1023" i="3"/>
  <c r="AF1313" i="3"/>
  <c r="AF1392" i="3"/>
  <c r="AF220" i="3"/>
  <c r="AF1370" i="3"/>
  <c r="AF1015" i="3"/>
  <c r="AF1250" i="3"/>
  <c r="AF780" i="3"/>
  <c r="AF604" i="3"/>
  <c r="AF1404" i="3"/>
  <c r="AF567" i="3"/>
  <c r="AF1374" i="3"/>
  <c r="AF1207" i="3"/>
  <c r="AF852" i="3"/>
  <c r="AF1241" i="3"/>
  <c r="AF1136" i="3"/>
  <c r="AF708" i="3"/>
  <c r="AF1410" i="3"/>
  <c r="AF348" i="3"/>
  <c r="AF1226" i="3"/>
  <c r="AF1384" i="3"/>
  <c r="AF1322" i="3"/>
  <c r="AF530" i="3"/>
  <c r="AF728" i="3"/>
  <c r="AF518" i="3"/>
  <c r="AF721" i="3"/>
  <c r="AF905" i="3"/>
  <c r="AF346" i="3"/>
  <c r="AF618" i="3"/>
  <c r="AF30" i="3"/>
  <c r="AF979" i="3"/>
  <c r="AF1131" i="3"/>
  <c r="AF1315" i="3"/>
  <c r="AF300" i="3"/>
  <c r="AF962" i="3"/>
  <c r="AF1156" i="3"/>
  <c r="AF1340" i="3"/>
  <c r="AF183" i="3"/>
  <c r="AF991" i="3"/>
  <c r="AF1181" i="3"/>
  <c r="AF1325" i="3"/>
  <c r="AF316" i="3"/>
  <c r="AF931" i="3"/>
  <c r="AF1086" i="3"/>
  <c r="AF1214" i="3"/>
  <c r="AF1342" i="3"/>
  <c r="AF102" i="3"/>
  <c r="AF827" i="3"/>
  <c r="AF1047" i="3"/>
  <c r="AF1175" i="3"/>
  <c r="AF1303" i="3"/>
  <c r="AF1431" i="3"/>
  <c r="AF746" i="3"/>
  <c r="AF986" i="3"/>
  <c r="AF1105" i="3"/>
  <c r="AF1217" i="3"/>
  <c r="AF1305" i="3"/>
  <c r="AF1417" i="3"/>
  <c r="AF892" i="3"/>
  <c r="AF1360" i="3"/>
  <c r="AF1005" i="3"/>
  <c r="AF1394" i="3"/>
  <c r="AF1442" i="3"/>
  <c r="AF1048" i="3"/>
  <c r="AF1304" i="3"/>
  <c r="AF1306" i="3"/>
  <c r="AF1152" i="3"/>
  <c r="AF1218" i="3"/>
  <c r="AF1242" i="3"/>
  <c r="AF1186" i="3"/>
  <c r="AF1256" i="3"/>
  <c r="AF1130" i="3"/>
  <c r="AF1113" i="3"/>
  <c r="AF1072" i="3"/>
  <c r="AF1426" i="3"/>
  <c r="AF1336" i="3"/>
  <c r="AF1282" i="3"/>
  <c r="AF1280" i="3"/>
  <c r="AF1031" i="3"/>
  <c r="AF1162" i="3"/>
  <c r="AF1195" i="3"/>
  <c r="AF1245" i="3"/>
  <c r="AF1118" i="3"/>
  <c r="AF914" i="3"/>
  <c r="AF1463" i="3"/>
  <c r="AF1153" i="3"/>
  <c r="AF1170" i="3"/>
  <c r="AF1400" i="3"/>
  <c r="AF1082" i="3"/>
  <c r="AF1096" i="3"/>
  <c r="AF1258" i="3"/>
  <c r="AF775" i="3"/>
  <c r="AF752" i="3"/>
  <c r="AF534" i="3"/>
  <c r="AF769" i="3"/>
  <c r="AF913" i="3"/>
  <c r="AF362" i="3"/>
  <c r="AF683" i="3"/>
  <c r="AF158" i="3"/>
  <c r="AF988" i="3"/>
  <c r="AF1179" i="3"/>
  <c r="AF1323" i="3"/>
  <c r="AF364" i="3"/>
  <c r="AF1017" i="3"/>
  <c r="AF1164" i="3"/>
  <c r="AF1348" i="3"/>
  <c r="AF565" i="3"/>
  <c r="AF1000" i="3"/>
  <c r="AF1189" i="3"/>
  <c r="AF1373" i="3"/>
  <c r="AF380" i="3"/>
  <c r="AF949" i="3"/>
  <c r="AF1094" i="3"/>
  <c r="AF1222" i="3"/>
  <c r="AF1350" i="3"/>
  <c r="AF396" i="3"/>
  <c r="AF850" i="3"/>
  <c r="AF1055" i="3"/>
  <c r="AF1183" i="3"/>
  <c r="AF1311" i="3"/>
  <c r="AF1439" i="3"/>
  <c r="AF778" i="3"/>
  <c r="AF1225" i="3"/>
  <c r="AF1425" i="3"/>
  <c r="AF1042" i="3"/>
  <c r="AF1080" i="3"/>
  <c r="AF1248" i="3"/>
  <c r="AF1338" i="3"/>
  <c r="AF1288" i="3"/>
  <c r="AF1418" i="3"/>
  <c r="AF1051" i="3"/>
  <c r="AF1061" i="3"/>
  <c r="AF983" i="3"/>
  <c r="AF263" i="3"/>
  <c r="AF1335" i="3"/>
  <c r="AF1441" i="3"/>
  <c r="AF740" i="3"/>
  <c r="AF1466" i="3"/>
  <c r="AF581" i="3"/>
  <c r="AF1352" i="3"/>
  <c r="AF1128" i="3"/>
  <c r="AF1066" i="3"/>
  <c r="AF815" i="3"/>
  <c r="AF944" i="3"/>
  <c r="AF550" i="3"/>
  <c r="AF777" i="3"/>
  <c r="AF961" i="3"/>
  <c r="AF378" i="3"/>
  <c r="AF691" i="3"/>
  <c r="AF551" i="3"/>
  <c r="AF997" i="3"/>
  <c r="AF1187" i="3"/>
  <c r="AF1371" i="3"/>
  <c r="AF428" i="3"/>
  <c r="AF1026" i="3"/>
  <c r="AF1212" i="3"/>
  <c r="AF1356" i="3"/>
  <c r="AF615" i="3"/>
  <c r="AF1053" i="3"/>
  <c r="AF1197" i="3"/>
  <c r="AF1381" i="3"/>
  <c r="AF444" i="3"/>
  <c r="AF964" i="3"/>
  <c r="AF1102" i="3"/>
  <c r="AF1230" i="3"/>
  <c r="AF1358" i="3"/>
  <c r="AF94" i="3"/>
  <c r="AF868" i="3"/>
  <c r="AF1063" i="3"/>
  <c r="AF1191" i="3"/>
  <c r="AF1319" i="3"/>
  <c r="AF1447" i="3"/>
  <c r="AF810" i="3"/>
  <c r="AF1032" i="3"/>
  <c r="AF1121" i="3"/>
  <c r="AF1233" i="3"/>
  <c r="AF1345" i="3"/>
  <c r="AF1433" i="3"/>
  <c r="AF1104" i="3"/>
  <c r="AF1424" i="3"/>
  <c r="AF1138" i="3"/>
  <c r="AF1458" i="3"/>
  <c r="AF524" i="3"/>
  <c r="AF1112" i="3"/>
  <c r="AF1368" i="3"/>
  <c r="AF1402" i="3"/>
  <c r="AF1344" i="3"/>
  <c r="AF1346" i="3"/>
  <c r="AF1050" i="3"/>
  <c r="AF1434" i="3"/>
  <c r="AF1312" i="3"/>
  <c r="AF1378" i="3"/>
  <c r="AF1064" i="3"/>
  <c r="AF1320" i="3"/>
  <c r="AF876" i="3"/>
  <c r="AF1194" i="3"/>
  <c r="AF1450" i="3"/>
  <c r="AF839" i="3"/>
  <c r="AF952" i="3"/>
  <c r="AF627" i="3"/>
  <c r="AF785" i="3"/>
  <c r="AF36" i="3"/>
  <c r="AF474" i="3"/>
  <c r="AF699" i="3"/>
  <c r="AF1379" i="3"/>
  <c r="AF724" i="3"/>
  <c r="AF1035" i="3"/>
  <c r="AF1220" i="3"/>
  <c r="AF660" i="3"/>
  <c r="AF1389" i="3"/>
  <c r="AF1246" i="3"/>
  <c r="AF1079" i="3"/>
  <c r="AF1041" i="3"/>
  <c r="AF1353" i="3"/>
  <c r="AF1456" i="3"/>
  <c r="AF1144" i="3"/>
  <c r="AF1408" i="3"/>
  <c r="AF748" i="3"/>
  <c r="AF957" i="3"/>
  <c r="D3" i="3"/>
  <c r="D1" i="3"/>
  <c r="C4" i="3"/>
  <c r="C2" i="3"/>
  <c r="C3" i="3"/>
  <c r="AT7" i="3" l="1"/>
  <c r="AT128" i="3"/>
  <c r="AT74" i="3"/>
  <c r="AT1438" i="3"/>
  <c r="AT1300" i="3"/>
  <c r="AT1405" i="3"/>
  <c r="AT1204" i="3"/>
  <c r="AT1278" i="3"/>
  <c r="AT1323" i="3"/>
  <c r="AT1010" i="3"/>
  <c r="AT1339" i="3"/>
  <c r="AT19" i="3"/>
  <c r="AT37" i="3"/>
  <c r="AT210" i="3"/>
  <c r="AT1465" i="3"/>
  <c r="AT1391" i="3"/>
  <c r="AT1269" i="3"/>
  <c r="AT1068" i="3"/>
  <c r="AT1114" i="3"/>
  <c r="AT1160" i="3"/>
  <c r="AT874" i="3"/>
  <c r="AT968" i="3"/>
  <c r="AT10" i="3"/>
  <c r="AT173" i="3"/>
  <c r="AT103" i="3"/>
  <c r="AT1329" i="3"/>
  <c r="AT1255" i="3"/>
  <c r="AT1344" i="3"/>
  <c r="AT1215" i="3"/>
  <c r="AT1229" i="3"/>
  <c r="AT1163" i="3"/>
  <c r="AT1064" i="3"/>
  <c r="AT832" i="3"/>
  <c r="AT24" i="3"/>
  <c r="AT399" i="3"/>
  <c r="AT255" i="3"/>
  <c r="AT1404" i="3"/>
  <c r="AT1346" i="3"/>
  <c r="AT1435" i="3"/>
  <c r="AT1079" i="3"/>
  <c r="AT1093" i="3"/>
  <c r="AT1027" i="3"/>
  <c r="AT909" i="3"/>
  <c r="AT131" i="3"/>
  <c r="AT224" i="3"/>
  <c r="AT170" i="3"/>
  <c r="AT1342" i="3"/>
  <c r="AT1431" i="3"/>
  <c r="AT1309" i="3"/>
  <c r="AT1108" i="3"/>
  <c r="AT1154" i="3"/>
  <c r="AT1200" i="3"/>
  <c r="AT914" i="3"/>
  <c r="AT1006" i="3"/>
  <c r="AT262" i="3"/>
  <c r="AT133" i="3"/>
  <c r="AT63" i="3"/>
  <c r="AT1369" i="3"/>
  <c r="AT1295" i="3"/>
  <c r="AT1384" i="3"/>
  <c r="AT1286" i="3"/>
  <c r="AT1347" i="3"/>
  <c r="AT1203" i="3"/>
  <c r="AT1174" i="3"/>
  <c r="AT872" i="3"/>
  <c r="AT48" i="3"/>
  <c r="AT495" i="3"/>
  <c r="AT265" i="3"/>
  <c r="AT1380" i="3"/>
  <c r="AT1322" i="3"/>
  <c r="AT1355" i="3"/>
  <c r="AT1055" i="3"/>
  <c r="AT1069" i="3"/>
  <c r="AT1003" i="3"/>
  <c r="AT885" i="3"/>
  <c r="AT184" i="3"/>
  <c r="AT954" i="3"/>
  <c r="AT1158" i="3"/>
  <c r="AT646" i="3"/>
  <c r="AT764" i="3"/>
  <c r="AT559" i="3"/>
  <c r="AT820" i="3"/>
  <c r="AT812" i="3"/>
  <c r="AT501" i="3"/>
  <c r="AT320" i="3"/>
  <c r="AT547" i="3"/>
  <c r="AT1318" i="3"/>
  <c r="AT995" i="3"/>
  <c r="AT900" i="3"/>
  <c r="AT945" i="3"/>
  <c r="AT628" i="3"/>
  <c r="AT770" i="3"/>
  <c r="AT677" i="3"/>
  <c r="AT107" i="3"/>
  <c r="AT192" i="3"/>
  <c r="AT138" i="3"/>
  <c r="AT1374" i="3"/>
  <c r="AT1463" i="3"/>
  <c r="AT1341" i="3"/>
  <c r="AT1140" i="3"/>
  <c r="AT1186" i="3"/>
  <c r="AT1232" i="3"/>
  <c r="AT946" i="3"/>
  <c r="AT1062" i="3"/>
  <c r="AT17" i="3"/>
  <c r="AT101" i="3"/>
  <c r="AT31" i="3"/>
  <c r="AT1401" i="3"/>
  <c r="AT1327" i="3"/>
  <c r="AT1416" i="3"/>
  <c r="AT1004" i="3"/>
  <c r="AT1050" i="3"/>
  <c r="AT1235" i="3"/>
  <c r="AT810" i="3"/>
  <c r="AT904" i="3"/>
  <c r="AT179" i="3"/>
  <c r="AT233" i="3"/>
  <c r="AT167" i="3"/>
  <c r="AT1265" i="3"/>
  <c r="AT1418" i="3"/>
  <c r="AT1280" i="3"/>
  <c r="AT1151" i="3"/>
  <c r="AT1165" i="3"/>
  <c r="AT1099" i="3"/>
  <c r="AT981" i="3"/>
  <c r="AT1121" i="3"/>
  <c r="AT88" i="3"/>
  <c r="AT34" i="3"/>
  <c r="AT439" i="3"/>
  <c r="AT1340" i="3"/>
  <c r="AT1445" i="3"/>
  <c r="AT1246" i="3"/>
  <c r="AT1015" i="3"/>
  <c r="AT1029" i="3"/>
  <c r="AT1118" i="3"/>
  <c r="AT845" i="3"/>
  <c r="AT46" i="3"/>
  <c r="AT61" i="3"/>
  <c r="AT246" i="3"/>
  <c r="AT1441" i="3"/>
  <c r="AT1367" i="3"/>
  <c r="AT1456" i="3"/>
  <c r="AT1044" i="3"/>
  <c r="AT1090" i="3"/>
  <c r="AT1363" i="3"/>
  <c r="AT850" i="3"/>
  <c r="AT944" i="3"/>
  <c r="AT187" i="3"/>
  <c r="AT197" i="3"/>
  <c r="AT127" i="3"/>
  <c r="AT1305" i="3"/>
  <c r="AT1458" i="3"/>
  <c r="AT1320" i="3"/>
  <c r="AT1191" i="3"/>
  <c r="AT1205" i="3"/>
  <c r="AT1139" i="3"/>
  <c r="AT1024" i="3"/>
  <c r="AT1214" i="3"/>
  <c r="AT112" i="3"/>
  <c r="AT58" i="3"/>
  <c r="AT1454" i="3"/>
  <c r="AT1316" i="3"/>
  <c r="AT1421" i="3"/>
  <c r="AT1220" i="3"/>
  <c r="AT1307" i="3"/>
  <c r="AT1005" i="3"/>
  <c r="AT1026" i="3"/>
  <c r="AT821" i="3"/>
  <c r="AT130" i="3"/>
  <c r="AT1094" i="3"/>
  <c r="AT972" i="3"/>
  <c r="AT1097" i="3"/>
  <c r="AT700" i="3"/>
  <c r="AT846" i="3"/>
  <c r="AT749" i="3"/>
  <c r="AT643" i="3"/>
  <c r="AT437" i="3"/>
  <c r="AT256" i="3"/>
  <c r="AT478" i="3"/>
  <c r="AT75" i="3"/>
  <c r="AT29" i="3"/>
  <c r="AT202" i="3"/>
  <c r="AT1310" i="3"/>
  <c r="AT1399" i="3"/>
  <c r="AT1277" i="3"/>
  <c r="AT1076" i="3"/>
  <c r="AT1122" i="3"/>
  <c r="AT1168" i="3"/>
  <c r="AT882" i="3"/>
  <c r="AT976" i="3"/>
  <c r="AT203" i="3"/>
  <c r="AT165" i="3"/>
  <c r="AT95" i="3"/>
  <c r="AT1337" i="3"/>
  <c r="AT1263" i="3"/>
  <c r="AT1352" i="3"/>
  <c r="AT1223" i="3"/>
  <c r="AT1237" i="3"/>
  <c r="AT1171" i="3"/>
  <c r="AT1081" i="3"/>
  <c r="AT840" i="3"/>
  <c r="AT16" i="3"/>
  <c r="AT367" i="3"/>
  <c r="AT239" i="3"/>
  <c r="AT1412" i="3"/>
  <c r="AT1354" i="3"/>
  <c r="AT1443" i="3"/>
  <c r="AT1087" i="3"/>
  <c r="AT1101" i="3"/>
  <c r="AT1035" i="3"/>
  <c r="AT917" i="3"/>
  <c r="AT27" i="3"/>
  <c r="AT152" i="3"/>
  <c r="AT98" i="3"/>
  <c r="AT1414" i="3"/>
  <c r="AT1276" i="3"/>
  <c r="AT1381" i="3"/>
  <c r="AT1180" i="3"/>
  <c r="AT1226" i="3"/>
  <c r="AT1262" i="3"/>
  <c r="AT986" i="3"/>
  <c r="AT1185" i="3"/>
  <c r="AT327" i="3"/>
  <c r="AT125" i="3"/>
  <c r="AT55" i="3"/>
  <c r="AT1377" i="3"/>
  <c r="AT1303" i="3"/>
  <c r="AT1392" i="3"/>
  <c r="AT1299" i="3"/>
  <c r="AT1411" i="3"/>
  <c r="AT1211" i="3"/>
  <c r="AT1206" i="3"/>
  <c r="AT880" i="3"/>
  <c r="AT195" i="3"/>
  <c r="AT249" i="3"/>
  <c r="AT191" i="3"/>
  <c r="AT1452" i="3"/>
  <c r="AT1394" i="3"/>
  <c r="AT1256" i="3"/>
  <c r="AT1127" i="3"/>
  <c r="AT1141" i="3"/>
  <c r="AT1075" i="3"/>
  <c r="AT957" i="3"/>
  <c r="AT99" i="3"/>
  <c r="AT176" i="3"/>
  <c r="AT122" i="3"/>
  <c r="AT1390" i="3"/>
  <c r="AT1252" i="3"/>
  <c r="AT1357" i="3"/>
  <c r="AT1156" i="3"/>
  <c r="AT1202" i="3"/>
  <c r="AT1245" i="3"/>
  <c r="AT962" i="3"/>
  <c r="AT1126" i="3"/>
  <c r="AT1382" i="3"/>
  <c r="AT1040" i="3"/>
  <c r="AT908" i="3"/>
  <c r="AT959" i="3"/>
  <c r="AT636" i="3"/>
  <c r="AT778" i="3"/>
  <c r="AT685" i="3"/>
  <c r="AT563" i="3"/>
  <c r="AT373" i="3"/>
  <c r="AT499" i="3"/>
  <c r="AT414" i="3"/>
  <c r="AT14" i="3"/>
  <c r="AT93" i="3"/>
  <c r="AT294" i="3"/>
  <c r="AT1409" i="3"/>
  <c r="AT1335" i="3"/>
  <c r="AT1424" i="3"/>
  <c r="AT1012" i="3"/>
  <c r="AT1058" i="3"/>
  <c r="AT1243" i="3"/>
  <c r="AT818" i="3"/>
  <c r="AT912" i="3"/>
  <c r="AT231" i="3"/>
  <c r="AT226" i="3"/>
  <c r="AT159" i="3"/>
  <c r="AT1273" i="3"/>
  <c r="AT1426" i="3"/>
  <c r="AT1288" i="3"/>
  <c r="AT1159" i="3"/>
  <c r="AT1173" i="3"/>
  <c r="AT1107" i="3"/>
  <c r="AT989" i="3"/>
  <c r="AT1136" i="3"/>
  <c r="AT80" i="3"/>
  <c r="AT26" i="3"/>
  <c r="AT407" i="3"/>
  <c r="AT1348" i="3"/>
  <c r="AT1453" i="3"/>
  <c r="AT1250" i="3"/>
  <c r="AT1023" i="3"/>
  <c r="AT1037" i="3"/>
  <c r="AT1177" i="3"/>
  <c r="AT853" i="3"/>
  <c r="AT59" i="3"/>
  <c r="AT216" i="3"/>
  <c r="AT162" i="3"/>
  <c r="AT1350" i="3"/>
  <c r="AT1439" i="3"/>
  <c r="AT1317" i="3"/>
  <c r="AT1116" i="3"/>
  <c r="AT1162" i="3"/>
  <c r="AT1208" i="3"/>
  <c r="AT922" i="3"/>
  <c r="AT1014" i="3"/>
  <c r="AT211" i="3"/>
  <c r="AT189" i="3"/>
  <c r="AT119" i="3"/>
  <c r="AT1313" i="3"/>
  <c r="AT1466" i="3"/>
  <c r="AT1328" i="3"/>
  <c r="AT1199" i="3"/>
  <c r="AT1213" i="3"/>
  <c r="AT1147" i="3"/>
  <c r="AT1032" i="3"/>
  <c r="AT1315" i="3"/>
  <c r="AT40" i="3"/>
  <c r="AT463" i="3"/>
  <c r="AT263" i="3"/>
  <c r="AT1388" i="3"/>
  <c r="AT1330" i="3"/>
  <c r="AT1419" i="3"/>
  <c r="AT1063" i="3"/>
  <c r="AT1077" i="3"/>
  <c r="AT1011" i="3"/>
  <c r="AT893" i="3"/>
  <c r="AT139" i="3"/>
  <c r="AT565" i="3"/>
  <c r="AT186" i="3"/>
  <c r="AT1326" i="3"/>
  <c r="AT1415" i="3"/>
  <c r="AT1293" i="3"/>
  <c r="AT1092" i="3"/>
  <c r="AT1138" i="3"/>
  <c r="AT1184" i="3"/>
  <c r="AT898" i="3"/>
  <c r="AT992" i="3"/>
  <c r="AT1244" i="3"/>
  <c r="AT939" i="3"/>
  <c r="AT1153" i="3"/>
  <c r="AT881" i="3"/>
  <c r="AT572" i="3"/>
  <c r="AT714" i="3"/>
  <c r="AT814" i="3"/>
  <c r="AT482" i="3"/>
  <c r="AT309" i="3"/>
  <c r="AT435" i="3"/>
  <c r="AT350" i="3"/>
  <c r="AT1084" i="3"/>
  <c r="AT1403" i="3"/>
  <c r="AT825" i="3"/>
  <c r="AT689" i="3"/>
  <c r="AT743" i="3"/>
  <c r="AT1065" i="3"/>
  <c r="AT247" i="3"/>
  <c r="AT157" i="3"/>
  <c r="AT87" i="3"/>
  <c r="AT1345" i="3"/>
  <c r="AT1271" i="3"/>
  <c r="AT1360" i="3"/>
  <c r="AT1231" i="3"/>
  <c r="AT1253" i="3"/>
  <c r="AT1179" i="3"/>
  <c r="AT1096" i="3"/>
  <c r="AT848" i="3"/>
  <c r="AT8" i="3"/>
  <c r="AT335" i="3"/>
  <c r="AT223" i="3"/>
  <c r="AT1420" i="3"/>
  <c r="AT1362" i="3"/>
  <c r="AT1451" i="3"/>
  <c r="AT1095" i="3"/>
  <c r="AT1109" i="3"/>
  <c r="AT1043" i="3"/>
  <c r="AT925" i="3"/>
  <c r="AT503" i="3"/>
  <c r="AT144" i="3"/>
  <c r="AT90" i="3"/>
  <c r="AT1422" i="3"/>
  <c r="AT1284" i="3"/>
  <c r="AT1389" i="3"/>
  <c r="AT1188" i="3"/>
  <c r="AT1234" i="3"/>
  <c r="AT1275" i="3"/>
  <c r="AT994" i="3"/>
  <c r="AT1217" i="3"/>
  <c r="AT123" i="3"/>
  <c r="AT53" i="3"/>
  <c r="AT230" i="3"/>
  <c r="AT1449" i="3"/>
  <c r="AT1375" i="3"/>
  <c r="AT1464" i="3"/>
  <c r="AT1052" i="3"/>
  <c r="AT1098" i="3"/>
  <c r="AT1144" i="3"/>
  <c r="AT858" i="3"/>
  <c r="AT952" i="3"/>
  <c r="AT219" i="3"/>
  <c r="AT242" i="3"/>
  <c r="AT183" i="3"/>
  <c r="AT1460" i="3"/>
  <c r="AT1402" i="3"/>
  <c r="AT1264" i="3"/>
  <c r="AT1135" i="3"/>
  <c r="AT1149" i="3"/>
  <c r="AT1083" i="3"/>
  <c r="AT965" i="3"/>
  <c r="AT1089" i="3"/>
  <c r="AT104" i="3"/>
  <c r="AT50" i="3"/>
  <c r="AT1462" i="3"/>
  <c r="AT1324" i="3"/>
  <c r="AT1429" i="3"/>
  <c r="AT1228" i="3"/>
  <c r="AT1371" i="3"/>
  <c r="AT1013" i="3"/>
  <c r="AT1054" i="3"/>
  <c r="AT829" i="3"/>
  <c r="AT30" i="3"/>
  <c r="AT77" i="3"/>
  <c r="AT278" i="3"/>
  <c r="AT1425" i="3"/>
  <c r="AT1351" i="3"/>
  <c r="AT1440" i="3"/>
  <c r="AT1028" i="3"/>
  <c r="AT1074" i="3"/>
  <c r="AT1267" i="3"/>
  <c r="AT834" i="3"/>
  <c r="AT928" i="3"/>
  <c r="AT1349" i="3"/>
  <c r="AT875" i="3"/>
  <c r="AT863" i="3"/>
  <c r="AT761" i="3"/>
  <c r="AT887" i="3"/>
  <c r="AT650" i="3"/>
  <c r="AT752" i="3"/>
  <c r="AT418" i="3"/>
  <c r="AT723" i="3"/>
  <c r="AT371" i="3"/>
  <c r="AT587" i="3"/>
  <c r="AT455" i="3"/>
  <c r="AT221" i="3"/>
  <c r="AT151" i="3"/>
  <c r="AT1281" i="3"/>
  <c r="AT1434" i="3"/>
  <c r="AT1296" i="3"/>
  <c r="AT1167" i="3"/>
  <c r="AT1181" i="3"/>
  <c r="AT1115" i="3"/>
  <c r="AT997" i="3"/>
  <c r="AT1145" i="3"/>
  <c r="AT72" i="3"/>
  <c r="AT18" i="3"/>
  <c r="AT375" i="3"/>
  <c r="AT1356" i="3"/>
  <c r="AT1461" i="3"/>
  <c r="AT1254" i="3"/>
  <c r="AT1031" i="3"/>
  <c r="AT1045" i="3"/>
  <c r="AT1209" i="3"/>
  <c r="AT861" i="3"/>
  <c r="AT115" i="3"/>
  <c r="AT208" i="3"/>
  <c r="AT154" i="3"/>
  <c r="AT1358" i="3"/>
  <c r="AT1447" i="3"/>
  <c r="AT1325" i="3"/>
  <c r="AT1124" i="3"/>
  <c r="AT1170" i="3"/>
  <c r="AT1216" i="3"/>
  <c r="AT930" i="3"/>
  <c r="AT1022" i="3"/>
  <c r="AT519" i="3"/>
  <c r="AT117" i="3"/>
  <c r="AT47" i="3"/>
  <c r="AT1385" i="3"/>
  <c r="AT1311" i="3"/>
  <c r="AT1400" i="3"/>
  <c r="AT1331" i="3"/>
  <c r="AT1034" i="3"/>
  <c r="AT1219" i="3"/>
  <c r="AT1238" i="3"/>
  <c r="AT888" i="3"/>
  <c r="AT32" i="3"/>
  <c r="AT431" i="3"/>
  <c r="AT257" i="3"/>
  <c r="AT1396" i="3"/>
  <c r="AT1338" i="3"/>
  <c r="AT1427" i="3"/>
  <c r="AT1071" i="3"/>
  <c r="AT1085" i="3"/>
  <c r="AT1019" i="3"/>
  <c r="AT901" i="3"/>
  <c r="AT35" i="3"/>
  <c r="AT168" i="3"/>
  <c r="AT114" i="3"/>
  <c r="AT1398" i="3"/>
  <c r="AT1260" i="3"/>
  <c r="AT1365" i="3"/>
  <c r="AT1164" i="3"/>
  <c r="AT1210" i="3"/>
  <c r="AT1249" i="3"/>
  <c r="AT970" i="3"/>
  <c r="AT1150" i="3"/>
  <c r="AT487" i="3"/>
  <c r="AT141" i="3"/>
  <c r="AT71" i="3"/>
  <c r="AT1361" i="3"/>
  <c r="AT1287" i="3"/>
  <c r="AT1376" i="3"/>
  <c r="AT1258" i="3"/>
  <c r="AT1283" i="3"/>
  <c r="AT1195" i="3"/>
  <c r="AT1128" i="3"/>
  <c r="AT864" i="3"/>
  <c r="AT1148" i="3"/>
  <c r="AT811" i="3"/>
  <c r="AT831" i="3"/>
  <c r="AT697" i="3"/>
  <c r="AT751" i="3"/>
  <c r="AT147" i="3"/>
  <c r="AT303" i="3"/>
  <c r="AT215" i="3"/>
  <c r="AT1428" i="3"/>
  <c r="AT1370" i="3"/>
  <c r="AT1459" i="3"/>
  <c r="AT1103" i="3"/>
  <c r="AT1117" i="3"/>
  <c r="AT1051" i="3"/>
  <c r="AT933" i="3"/>
  <c r="AT155" i="3"/>
  <c r="AT136" i="3"/>
  <c r="AT82" i="3"/>
  <c r="AT1430" i="3"/>
  <c r="AT1292" i="3"/>
  <c r="AT1397" i="3"/>
  <c r="AT1196" i="3"/>
  <c r="AT1242" i="3"/>
  <c r="AT1298" i="3"/>
  <c r="AT1002" i="3"/>
  <c r="AT1259" i="3"/>
  <c r="AT83" i="3"/>
  <c r="AT45" i="3"/>
  <c r="AT218" i="3"/>
  <c r="AT1457" i="3"/>
  <c r="AT1383" i="3"/>
  <c r="AT1261" i="3"/>
  <c r="AT1060" i="3"/>
  <c r="AT1106" i="3"/>
  <c r="AT1152" i="3"/>
  <c r="AT866" i="3"/>
  <c r="AT960" i="3"/>
  <c r="AT423" i="3"/>
  <c r="AT181" i="3"/>
  <c r="AT111" i="3"/>
  <c r="AT1321" i="3"/>
  <c r="AT1247" i="3"/>
  <c r="AT1336" i="3"/>
  <c r="AT1207" i="3"/>
  <c r="AT1221" i="3"/>
  <c r="AT1155" i="3"/>
  <c r="AT1049" i="3"/>
  <c r="AT824" i="3"/>
  <c r="AT96" i="3"/>
  <c r="AT42" i="3"/>
  <c r="AT471" i="3"/>
  <c r="AT1332" i="3"/>
  <c r="AT1437" i="3"/>
  <c r="AT1236" i="3"/>
  <c r="AT1007" i="3"/>
  <c r="AT1021" i="3"/>
  <c r="AT1086" i="3"/>
  <c r="AT837" i="3"/>
  <c r="AT67" i="3"/>
  <c r="AT240" i="3"/>
  <c r="AT178" i="3"/>
  <c r="AT1334" i="3"/>
  <c r="AT1423" i="3"/>
  <c r="AT1301" i="3"/>
  <c r="AT1100" i="3"/>
  <c r="AT1146" i="3"/>
  <c r="AT1192" i="3"/>
  <c r="AT906" i="3"/>
  <c r="AT1000" i="3"/>
  <c r="AT13" i="3"/>
  <c r="AT205" i="3"/>
  <c r="AT135" i="3"/>
  <c r="AT1297" i="3"/>
  <c r="AT1450" i="3"/>
  <c r="AT1312" i="3"/>
  <c r="AT1183" i="3"/>
  <c r="AT1197" i="3"/>
  <c r="AT1131" i="3"/>
  <c r="AT1016" i="3"/>
  <c r="AT1182" i="3"/>
  <c r="AT1194" i="3"/>
  <c r="AT1025" i="3"/>
  <c r="AT774" i="3"/>
  <c r="AT633" i="3"/>
  <c r="AT687" i="3"/>
  <c r="AT64" i="3"/>
  <c r="AT550" i="3"/>
  <c r="AT343" i="3"/>
  <c r="AT1364" i="3"/>
  <c r="AT1306" i="3"/>
  <c r="AT1266" i="3"/>
  <c r="AT1039" i="3"/>
  <c r="AT1053" i="3"/>
  <c r="AT1241" i="3"/>
  <c r="AT869" i="3"/>
  <c r="AT51" i="3"/>
  <c r="AT200" i="3"/>
  <c r="AT146" i="3"/>
  <c r="AT1366" i="3"/>
  <c r="AT1455" i="3"/>
  <c r="AT1333" i="3"/>
  <c r="AT1132" i="3"/>
  <c r="AT1178" i="3"/>
  <c r="AT1224" i="3"/>
  <c r="AT938" i="3"/>
  <c r="AT1030" i="3"/>
  <c r="AT9" i="3"/>
  <c r="AT109" i="3"/>
  <c r="AT39" i="3"/>
  <c r="AT1393" i="3"/>
  <c r="AT1319" i="3"/>
  <c r="AT1408" i="3"/>
  <c r="AT1395" i="3"/>
  <c r="AT1042" i="3"/>
  <c r="AT1227" i="3"/>
  <c r="AT1274" i="3"/>
  <c r="AT896" i="3"/>
  <c r="AT391" i="3"/>
  <c r="AT237" i="3"/>
  <c r="AT175" i="3"/>
  <c r="AT1468" i="3"/>
  <c r="AT1410" i="3"/>
  <c r="AT1272" i="3"/>
  <c r="AT1143" i="3"/>
  <c r="AT1157" i="3"/>
  <c r="AT1091" i="3"/>
  <c r="AT973" i="3"/>
  <c r="AT91" i="3"/>
  <c r="AT160" i="3"/>
  <c r="AT106" i="3"/>
  <c r="AT1406" i="3"/>
  <c r="AT1268" i="3"/>
  <c r="AT1373" i="3"/>
  <c r="AT1172" i="3"/>
  <c r="AT1218" i="3"/>
  <c r="AT1251" i="3"/>
  <c r="AT978" i="3"/>
  <c r="AT1166" i="3"/>
  <c r="AT38" i="3"/>
  <c r="AT69" i="3"/>
  <c r="AT261" i="3"/>
  <c r="AT1433" i="3"/>
  <c r="AT1359" i="3"/>
  <c r="AT1448" i="3"/>
  <c r="AT1036" i="3"/>
  <c r="AT1082" i="3"/>
  <c r="AT1290" i="3"/>
  <c r="AT842" i="3"/>
  <c r="AT936" i="3"/>
  <c r="AT163" i="3"/>
  <c r="AT253" i="3"/>
  <c r="AT199" i="3"/>
  <c r="AT1444" i="3"/>
  <c r="AT1386" i="3"/>
  <c r="AT1248" i="3"/>
  <c r="AT1119" i="3"/>
  <c r="AT1133" i="3"/>
  <c r="AT1067" i="3"/>
  <c r="AT949" i="3"/>
  <c r="AT43" i="3"/>
  <c r="AT1240" i="3"/>
  <c r="AT958" i="3"/>
  <c r="AT710" i="3"/>
  <c r="AT1112" i="3"/>
  <c r="AT623" i="3"/>
  <c r="AT895" i="3"/>
  <c r="AT560" i="3"/>
  <c r="AT561" i="3"/>
  <c r="AT384" i="3"/>
  <c r="AT637" i="3"/>
  <c r="AT1088" i="3"/>
  <c r="AT307" i="3"/>
  <c r="AT1176" i="3"/>
  <c r="AT964" i="3"/>
  <c r="AT753" i="3"/>
  <c r="AT615" i="3"/>
  <c r="AT741" i="3"/>
  <c r="AT546" i="3"/>
  <c r="AT365" i="3"/>
  <c r="AT491" i="3"/>
  <c r="AT406" i="3"/>
  <c r="AT1432" i="3"/>
  <c r="AT859" i="3"/>
  <c r="AT855" i="3"/>
  <c r="AT745" i="3"/>
  <c r="AT799" i="3"/>
  <c r="AT634" i="3"/>
  <c r="AT736" i="3"/>
  <c r="AT402" i="3"/>
  <c r="AT659" i="3"/>
  <c r="AT355" i="3"/>
  <c r="AT573" i="3"/>
  <c r="AT1270" i="3"/>
  <c r="AT998" i="3"/>
  <c r="AT750" i="3"/>
  <c r="AT609" i="3"/>
  <c r="AT663" i="3"/>
  <c r="AT935" i="3"/>
  <c r="AT600" i="3"/>
  <c r="AT266" i="3"/>
  <c r="AT424" i="3"/>
  <c r="AT779" i="3"/>
  <c r="AT143" i="3"/>
  <c r="AT1161" i="3"/>
  <c r="AT940" i="3"/>
  <c r="AT991" i="3"/>
  <c r="AT668" i="3"/>
  <c r="AT816" i="3"/>
  <c r="AT717" i="3"/>
  <c r="AT611" i="3"/>
  <c r="AT405" i="3"/>
  <c r="AT531" i="3"/>
  <c r="AT446" i="3"/>
  <c r="AT1467" i="3"/>
  <c r="AT835" i="3"/>
  <c r="AT841" i="3"/>
  <c r="AT721" i="3"/>
  <c r="AT775" i="3"/>
  <c r="AT610" i="3"/>
  <c r="AT712" i="3"/>
  <c r="AT378" i="3"/>
  <c r="AT540" i="3"/>
  <c r="AT331" i="3"/>
  <c r="AT56" i="3"/>
  <c r="AT1302" i="3"/>
  <c r="AT1233" i="3"/>
  <c r="AT662" i="3"/>
  <c r="AT780" i="3"/>
  <c r="AT575" i="3"/>
  <c r="AT836" i="3"/>
  <c r="AT903" i="3"/>
  <c r="AT517" i="3"/>
  <c r="AT336" i="3"/>
  <c r="AT581" i="3"/>
  <c r="AT654" i="3"/>
  <c r="AT534" i="3"/>
  <c r="AT340" i="3"/>
  <c r="AT169" i="3"/>
  <c r="AT66" i="3"/>
  <c r="AT445" i="3"/>
  <c r="AT524" i="3"/>
  <c r="AT204" i="3"/>
  <c r="AT206" i="3"/>
  <c r="AT693" i="3"/>
  <c r="AT329" i="3"/>
  <c r="AT84" i="3"/>
  <c r="AT86" i="3"/>
  <c r="AT126" i="3"/>
  <c r="AT490" i="3"/>
  <c r="AT739" i="3"/>
  <c r="AT156" i="3"/>
  <c r="AT158" i="3"/>
  <c r="AT1413" i="3"/>
  <c r="AT755" i="3"/>
  <c r="AT500" i="3"/>
  <c r="AT232" i="3"/>
  <c r="AT238" i="3"/>
  <c r="AT833" i="3"/>
  <c r="AT558" i="3"/>
  <c r="AT364" i="3"/>
  <c r="AT145" i="3"/>
  <c r="AT897" i="3"/>
  <c r="AT1038" i="3"/>
  <c r="AT251" i="3"/>
  <c r="AT420" i="3"/>
  <c r="AT89" i="3"/>
  <c r="AT966" i="3"/>
  <c r="AT953" i="3"/>
  <c r="AT243" i="3"/>
  <c r="AT890" i="3"/>
  <c r="AT1137" i="3"/>
  <c r="AT625" i="3"/>
  <c r="AT551" i="3"/>
  <c r="AT808" i="3"/>
  <c r="AT474" i="3"/>
  <c r="AT301" i="3"/>
  <c r="AT427" i="3"/>
  <c r="AT342" i="3"/>
  <c r="AT1020" i="3"/>
  <c r="AT1225" i="3"/>
  <c r="AT823" i="3"/>
  <c r="AT681" i="3"/>
  <c r="AT735" i="3"/>
  <c r="AT1001" i="3"/>
  <c r="AT672" i="3"/>
  <c r="AT338" i="3"/>
  <c r="AT496" i="3"/>
  <c r="AT291" i="3"/>
  <c r="AT359" i="3"/>
  <c r="AT1187" i="3"/>
  <c r="AT934" i="3"/>
  <c r="AT686" i="3"/>
  <c r="AT804" i="3"/>
  <c r="AT599" i="3"/>
  <c r="AT860" i="3"/>
  <c r="AT536" i="3"/>
  <c r="AT537" i="3"/>
  <c r="AT360" i="3"/>
  <c r="AT619" i="3"/>
  <c r="AT1289" i="3"/>
  <c r="AT971" i="3"/>
  <c r="AT876" i="3"/>
  <c r="AT927" i="3"/>
  <c r="AT604" i="3"/>
  <c r="AT746" i="3"/>
  <c r="AT653" i="3"/>
  <c r="AT514" i="3"/>
  <c r="AT341" i="3"/>
  <c r="AT467" i="3"/>
  <c r="AT382" i="3"/>
  <c r="AT1111" i="3"/>
  <c r="AT1102" i="3"/>
  <c r="AT798" i="3"/>
  <c r="AT657" i="3"/>
  <c r="AT711" i="3"/>
  <c r="AT983" i="3"/>
  <c r="AT648" i="3"/>
  <c r="AT314" i="3"/>
  <c r="AT472" i="3"/>
  <c r="AT267" i="3"/>
  <c r="AT527" i="3"/>
  <c r="AT877" i="3"/>
  <c r="AT988" i="3"/>
  <c r="AT598" i="3"/>
  <c r="AT716" i="3"/>
  <c r="AT862" i="3"/>
  <c r="AT765" i="3"/>
  <c r="AT667" i="3"/>
  <c r="AT453" i="3"/>
  <c r="AT272" i="3"/>
  <c r="AT494" i="3"/>
  <c r="AT772" i="3"/>
  <c r="AT473" i="3"/>
  <c r="AT276" i="3"/>
  <c r="AT229" i="3"/>
  <c r="AT813" i="3"/>
  <c r="AT264" i="3"/>
  <c r="AT460" i="3"/>
  <c r="AT49" i="3"/>
  <c r="AT574" i="3"/>
  <c r="AT582" i="3"/>
  <c r="AT771" i="3"/>
  <c r="AT148" i="3"/>
  <c r="AT150" i="3"/>
  <c r="AT1308" i="3"/>
  <c r="AT317" i="3"/>
  <c r="AT508" i="3"/>
  <c r="AT220" i="3"/>
  <c r="AT222" i="3"/>
  <c r="AT883" i="3"/>
  <c r="AT379" i="3"/>
  <c r="AT436" i="3"/>
  <c r="AT73" i="3"/>
  <c r="AT1387" i="3"/>
  <c r="AT705" i="3"/>
  <c r="AT497" i="3"/>
  <c r="AT300" i="3"/>
  <c r="AT209" i="3"/>
  <c r="AT392" i="3"/>
  <c r="AT782" i="3"/>
  <c r="AT545" i="3"/>
  <c r="AT356" i="3"/>
  <c r="AT153" i="3"/>
  <c r="AT353" i="3"/>
  <c r="AT688" i="3"/>
  <c r="AT11" i="3"/>
  <c r="AT984" i="3"/>
  <c r="AT857" i="3"/>
  <c r="AT1048" i="3"/>
  <c r="AT838" i="3"/>
  <c r="AT744" i="3"/>
  <c r="AT410" i="3"/>
  <c r="AT691" i="3"/>
  <c r="AT363" i="3"/>
  <c r="AT579" i="3"/>
  <c r="AT1066" i="3"/>
  <c r="AT1009" i="3"/>
  <c r="AT758" i="3"/>
  <c r="AT617" i="3"/>
  <c r="AT671" i="3"/>
  <c r="AT937" i="3"/>
  <c r="AT608" i="3"/>
  <c r="AT274" i="3"/>
  <c r="AT432" i="3"/>
  <c r="AT227" i="3"/>
  <c r="AT149" i="3"/>
  <c r="AT1113" i="3"/>
  <c r="AT1078" i="3"/>
  <c r="AT622" i="3"/>
  <c r="AT740" i="3"/>
  <c r="AT535" i="3"/>
  <c r="AT789" i="3"/>
  <c r="AT763" i="3"/>
  <c r="AT477" i="3"/>
  <c r="AT296" i="3"/>
  <c r="AT518" i="3"/>
  <c r="AT1442" i="3"/>
  <c r="AT907" i="3"/>
  <c r="AT1041" i="3"/>
  <c r="AT793" i="3"/>
  <c r="AT1379" i="3"/>
  <c r="AT682" i="3"/>
  <c r="AT784" i="3"/>
  <c r="AT450" i="3"/>
  <c r="AT277" i="3"/>
  <c r="AT403" i="3"/>
  <c r="AT318" i="3"/>
  <c r="AT1125" i="3"/>
  <c r="AT982" i="3"/>
  <c r="AT734" i="3"/>
  <c r="AT593" i="3"/>
  <c r="AT647" i="3"/>
  <c r="AT919" i="3"/>
  <c r="AT584" i="3"/>
  <c r="AT586" i="3"/>
  <c r="AT408" i="3"/>
  <c r="AT715" i="3"/>
  <c r="AT311" i="3"/>
  <c r="AT1072" i="3"/>
  <c r="AT924" i="3"/>
  <c r="AT975" i="3"/>
  <c r="AT652" i="3"/>
  <c r="AT794" i="3"/>
  <c r="AT701" i="3"/>
  <c r="AT595" i="3"/>
  <c r="AT389" i="3"/>
  <c r="AT515" i="3"/>
  <c r="AT430" i="3"/>
  <c r="AT567" i="3"/>
  <c r="AT409" i="3"/>
  <c r="AT23" i="3"/>
  <c r="AT383" i="3"/>
  <c r="AT980" i="3"/>
  <c r="AT486" i="3"/>
  <c r="AT396" i="3"/>
  <c r="AT113" i="3"/>
  <c r="AT1446" i="3"/>
  <c r="AT381" i="3"/>
  <c r="AT516" i="3"/>
  <c r="AT212" i="3"/>
  <c r="AT214" i="3"/>
  <c r="AT947" i="3"/>
  <c r="AT443" i="3"/>
  <c r="AT444" i="3"/>
  <c r="AT65" i="3"/>
  <c r="AT577" i="3"/>
  <c r="AT865" i="3"/>
  <c r="AT589" i="3"/>
  <c r="AT372" i="3"/>
  <c r="AT137" i="3"/>
  <c r="AT417" i="3"/>
  <c r="AT759" i="3"/>
  <c r="AT433" i="3"/>
  <c r="AT236" i="3"/>
  <c r="AT270" i="3"/>
  <c r="AT651" i="3"/>
  <c r="AT624" i="3"/>
  <c r="AT21" i="3"/>
  <c r="AT931" i="3"/>
  <c r="AT766" i="3"/>
  <c r="AT756" i="3"/>
  <c r="AT706" i="3"/>
  <c r="AT680" i="3"/>
  <c r="AT346" i="3"/>
  <c r="AT504" i="3"/>
  <c r="AT299" i="3"/>
  <c r="AT22" i="3"/>
  <c r="AT1257" i="3"/>
  <c r="AT942" i="3"/>
  <c r="AT694" i="3"/>
  <c r="AT809" i="3"/>
  <c r="AT607" i="3"/>
  <c r="AT868" i="3"/>
  <c r="AT544" i="3"/>
  <c r="AT542" i="3"/>
  <c r="AT368" i="3"/>
  <c r="AT621" i="3"/>
  <c r="AT79" i="3"/>
  <c r="AT856" i="3"/>
  <c r="AT948" i="3"/>
  <c r="AT993" i="3"/>
  <c r="AT676" i="3"/>
  <c r="AT822" i="3"/>
  <c r="AT725" i="3"/>
  <c r="AT613" i="3"/>
  <c r="AT413" i="3"/>
  <c r="AT549" i="3"/>
  <c r="AT454" i="3"/>
  <c r="AT1304" i="3"/>
  <c r="AT843" i="3"/>
  <c r="AT847" i="3"/>
  <c r="AT729" i="3"/>
  <c r="AT783" i="3"/>
  <c r="AT618" i="3"/>
  <c r="AT720" i="3"/>
  <c r="AT386" i="3"/>
  <c r="AT555" i="3"/>
  <c r="AT339" i="3"/>
  <c r="AT171" i="3"/>
  <c r="AT1059" i="3"/>
  <c r="AT918" i="3"/>
  <c r="AT670" i="3"/>
  <c r="AT788" i="3"/>
  <c r="AT583" i="3"/>
  <c r="AT844" i="3"/>
  <c r="AT905" i="3"/>
  <c r="AT525" i="3"/>
  <c r="AT344" i="3"/>
  <c r="AT603" i="3"/>
  <c r="AT1372" i="3"/>
  <c r="AT955" i="3"/>
  <c r="AT1198" i="3"/>
  <c r="AT911" i="3"/>
  <c r="AT588" i="3"/>
  <c r="AT730" i="3"/>
  <c r="AT1129" i="3"/>
  <c r="AT498" i="3"/>
  <c r="AT325" i="3"/>
  <c r="AT451" i="3"/>
  <c r="AT366" i="3"/>
  <c r="AT828" i="3"/>
  <c r="AT345" i="3"/>
  <c r="AT68" i="3"/>
  <c r="AT70" i="3"/>
  <c r="AT590" i="3"/>
  <c r="AT529" i="3"/>
  <c r="AT332" i="3"/>
  <c r="AT177" i="3"/>
  <c r="AT1057" i="3"/>
  <c r="AT507" i="3"/>
  <c r="AT452" i="3"/>
  <c r="AT57" i="3"/>
  <c r="AT718" i="3"/>
  <c r="AT1169" i="3"/>
  <c r="AT358" i="3"/>
  <c r="AT380" i="3"/>
  <c r="AT129" i="3"/>
  <c r="AT289" i="3"/>
  <c r="AT769" i="3"/>
  <c r="AT505" i="3"/>
  <c r="AT308" i="3"/>
  <c r="AT201" i="3"/>
  <c r="AT412" i="3"/>
  <c r="AT594" i="3"/>
  <c r="AT369" i="3"/>
  <c r="AT44" i="3"/>
  <c r="AT569" i="3"/>
  <c r="AT481" i="3"/>
  <c r="AT695" i="3"/>
  <c r="AT425" i="3"/>
  <c r="AT228" i="3"/>
  <c r="AT319" i="3"/>
  <c r="AT33" i="3"/>
  <c r="AT354" i="3"/>
  <c r="AT194" i="3"/>
  <c r="AT867" i="3"/>
  <c r="AT702" i="3"/>
  <c r="AT692" i="3"/>
  <c r="AT642" i="3"/>
  <c r="AT616" i="3"/>
  <c r="AT282" i="3"/>
  <c r="AT440" i="3"/>
  <c r="AT235" i="3"/>
  <c r="AT85" i="3"/>
  <c r="AT826" i="3"/>
  <c r="AT1110" i="3"/>
  <c r="AT630" i="3"/>
  <c r="AT748" i="3"/>
  <c r="AT543" i="3"/>
  <c r="AT797" i="3"/>
  <c r="AT795" i="3"/>
  <c r="AT485" i="3"/>
  <c r="AT304" i="3"/>
  <c r="AT526" i="3"/>
  <c r="AT1353" i="3"/>
  <c r="AT979" i="3"/>
  <c r="AT884" i="3"/>
  <c r="AT929" i="3"/>
  <c r="AT612" i="3"/>
  <c r="AT754" i="3"/>
  <c r="AT661" i="3"/>
  <c r="AT522" i="3"/>
  <c r="AT349" i="3"/>
  <c r="AT475" i="3"/>
  <c r="AT390" i="3"/>
  <c r="AT1175" i="3"/>
  <c r="AT1134" i="3"/>
  <c r="AT806" i="3"/>
  <c r="AT665" i="3"/>
  <c r="AT719" i="3"/>
  <c r="AT985" i="3"/>
  <c r="AT656" i="3"/>
  <c r="AT322" i="3"/>
  <c r="AT480" i="3"/>
  <c r="AT275" i="3"/>
  <c r="AT271" i="3"/>
  <c r="AT941" i="3"/>
  <c r="AT996" i="3"/>
  <c r="AT606" i="3"/>
  <c r="AT724" i="3"/>
  <c r="AT870" i="3"/>
  <c r="AT773" i="3"/>
  <c r="AT699" i="3"/>
  <c r="AT461" i="3"/>
  <c r="AT280" i="3"/>
  <c r="AT502" i="3"/>
  <c r="AT1314" i="3"/>
  <c r="AT891" i="3"/>
  <c r="AT871" i="3"/>
  <c r="AT777" i="3"/>
  <c r="AT902" i="3"/>
  <c r="AT666" i="3"/>
  <c r="AT768" i="3"/>
  <c r="AT434" i="3"/>
  <c r="AT787" i="3"/>
  <c r="AT387" i="3"/>
  <c r="AT302" i="3"/>
  <c r="AT886" i="3"/>
  <c r="AT281" i="3"/>
  <c r="AT132" i="3"/>
  <c r="AT134" i="3"/>
  <c r="AT708" i="3"/>
  <c r="AT465" i="3"/>
  <c r="AT268" i="3"/>
  <c r="AT234" i="3"/>
  <c r="AT916" i="3"/>
  <c r="AT422" i="3"/>
  <c r="AT388" i="3"/>
  <c r="AT121" i="3"/>
  <c r="AT541" i="3"/>
  <c r="AT894" i="3"/>
  <c r="AT513" i="3"/>
  <c r="AT316" i="3"/>
  <c r="AT193" i="3"/>
  <c r="AT284" i="3"/>
  <c r="AT889" i="3"/>
  <c r="AT441" i="3"/>
  <c r="AT244" i="3"/>
  <c r="AT250" i="3"/>
  <c r="AT124" i="3"/>
  <c r="AT696" i="3"/>
  <c r="AT305" i="3"/>
  <c r="AT108" i="3"/>
  <c r="AT110" i="3"/>
  <c r="AT476" i="3"/>
  <c r="AT967" i="3"/>
  <c r="AT361" i="3"/>
  <c r="AT52" i="3"/>
  <c r="AT54" i="3"/>
  <c r="AT62" i="3"/>
  <c r="AT290" i="3"/>
  <c r="AT1407" i="3"/>
  <c r="AT1017" i="3"/>
  <c r="AT638" i="3"/>
  <c r="AT564" i="3"/>
  <c r="AT951" i="3"/>
  <c r="AT552" i="3"/>
  <c r="AT557" i="3"/>
  <c r="AT376" i="3"/>
  <c r="AT635" i="3"/>
  <c r="AT287" i="3"/>
  <c r="AT920" i="3"/>
  <c r="AT956" i="3"/>
  <c r="AT1033" i="3"/>
  <c r="AT684" i="3"/>
  <c r="AT830" i="3"/>
  <c r="AT733" i="3"/>
  <c r="AT627" i="3"/>
  <c r="AT421" i="3"/>
  <c r="AT553" i="3"/>
  <c r="AT462" i="3"/>
  <c r="AT1279" i="3"/>
  <c r="AT915" i="3"/>
  <c r="AT1105" i="3"/>
  <c r="AT801" i="3"/>
  <c r="AT548" i="3"/>
  <c r="AT690" i="3"/>
  <c r="AT792" i="3"/>
  <c r="AT458" i="3"/>
  <c r="AT285" i="3"/>
  <c r="AT411" i="3"/>
  <c r="AT326" i="3"/>
  <c r="AT1189" i="3"/>
  <c r="AT990" i="3"/>
  <c r="AT742" i="3"/>
  <c r="AT601" i="3"/>
  <c r="AT655" i="3"/>
  <c r="AT921" i="3"/>
  <c r="AT592" i="3"/>
  <c r="AT258" i="3"/>
  <c r="AT416" i="3"/>
  <c r="AT747" i="3"/>
  <c r="AT207" i="3"/>
  <c r="AT1104" i="3"/>
  <c r="AT932" i="3"/>
  <c r="AT977" i="3"/>
  <c r="AT660" i="3"/>
  <c r="AT802" i="3"/>
  <c r="AT709" i="3"/>
  <c r="AT597" i="3"/>
  <c r="AT397" i="3"/>
  <c r="AT523" i="3"/>
  <c r="AT438" i="3"/>
  <c r="AT1294" i="3"/>
  <c r="AT827" i="3"/>
  <c r="AT839" i="3"/>
  <c r="AT713" i="3"/>
  <c r="AT512" i="3"/>
  <c r="AT1285" i="3"/>
  <c r="AT950" i="3"/>
  <c r="AT1056" i="3"/>
  <c r="AT807" i="3"/>
  <c r="AT878" i="3"/>
  <c r="AT803" i="3"/>
  <c r="AT493" i="3"/>
  <c r="AT312" i="3"/>
  <c r="AT538" i="3"/>
  <c r="AT1417" i="3"/>
  <c r="AT987" i="3"/>
  <c r="AT892" i="3"/>
  <c r="AT943" i="3"/>
  <c r="AT620" i="3"/>
  <c r="AT762" i="3"/>
  <c r="AT669" i="3"/>
  <c r="AT530" i="3"/>
  <c r="AT357" i="3"/>
  <c r="AT483" i="3"/>
  <c r="AT398" i="3"/>
  <c r="AT1368" i="3"/>
  <c r="AT851" i="3"/>
  <c r="AT849" i="3"/>
  <c r="AT737" i="3"/>
  <c r="AT791" i="3"/>
  <c r="AT626" i="3"/>
  <c r="AT728" i="3"/>
  <c r="AT394" i="3"/>
  <c r="AT570" i="3"/>
  <c r="AT347" i="3"/>
  <c r="AT539" i="3"/>
  <c r="AT1123" i="3"/>
  <c r="AT926" i="3"/>
  <c r="AT678" i="3"/>
  <c r="AT796" i="3"/>
  <c r="AT591" i="3"/>
  <c r="AT852" i="3"/>
  <c r="AT1282" i="3"/>
  <c r="AT533" i="3"/>
  <c r="AT352" i="3"/>
  <c r="AT605" i="3"/>
  <c r="AT1436" i="3"/>
  <c r="AT963" i="3"/>
  <c r="AT1230" i="3"/>
  <c r="AT913" i="3"/>
  <c r="AT596" i="3"/>
  <c r="AT738" i="3"/>
  <c r="AT1190" i="3"/>
  <c r="AT506" i="3"/>
  <c r="AT333" i="3"/>
  <c r="AT459" i="3"/>
  <c r="AT374" i="3"/>
  <c r="AT1047" i="3"/>
  <c r="AT1070" i="3"/>
  <c r="AT790" i="3"/>
  <c r="AT649" i="3"/>
  <c r="AT703" i="3"/>
  <c r="AT969" i="3"/>
  <c r="AT640" i="3"/>
  <c r="AT306" i="3"/>
  <c r="AT464" i="3"/>
  <c r="AT259" i="3"/>
  <c r="AT1018" i="3"/>
  <c r="AT328" i="3"/>
  <c r="AT468" i="3"/>
  <c r="AT41" i="3"/>
  <c r="AT295" i="3"/>
  <c r="AT757" i="3"/>
  <c r="AT337" i="3"/>
  <c r="AT76" i="3"/>
  <c r="AT78" i="3"/>
  <c r="AT644" i="3"/>
  <c r="AT457" i="3"/>
  <c r="AT260" i="3"/>
  <c r="AT241" i="3"/>
  <c r="AT15" i="3"/>
  <c r="AT722" i="3"/>
  <c r="AT385" i="3"/>
  <c r="AT28" i="3"/>
  <c r="AT479" i="3"/>
  <c r="AT225" i="3"/>
  <c r="AT760" i="3"/>
  <c r="AT313" i="3"/>
  <c r="AT100" i="3"/>
  <c r="AT448" i="3"/>
  <c r="AT1130" i="3"/>
  <c r="AT1142" i="3"/>
  <c r="AT879" i="3"/>
  <c r="AT679" i="3"/>
  <c r="AT805" i="3"/>
  <c r="AT629" i="3"/>
  <c r="AT429" i="3"/>
  <c r="AT566" i="3"/>
  <c r="AT470" i="3"/>
  <c r="AT1343" i="3"/>
  <c r="AT923" i="3"/>
  <c r="AT1120" i="3"/>
  <c r="AT815" i="3"/>
  <c r="AT556" i="3"/>
  <c r="AT698" i="3"/>
  <c r="AT800" i="3"/>
  <c r="AT466" i="3"/>
  <c r="AT293" i="3"/>
  <c r="AT419" i="3"/>
  <c r="AT334" i="3"/>
  <c r="AT1239" i="3"/>
  <c r="AT1193" i="3"/>
  <c r="AT817" i="3"/>
  <c r="AT673" i="3"/>
  <c r="AT727" i="3"/>
  <c r="AT999" i="3"/>
  <c r="AT664" i="3"/>
  <c r="AT330" i="3"/>
  <c r="AT488" i="3"/>
  <c r="AT283" i="3"/>
  <c r="AT213" i="3"/>
  <c r="AT1008" i="3"/>
  <c r="AT1046" i="3"/>
  <c r="AT614" i="3"/>
  <c r="AT732" i="3"/>
  <c r="AT1073" i="3"/>
  <c r="AT781" i="3"/>
  <c r="AT731" i="3"/>
  <c r="AT469" i="3"/>
  <c r="AT288" i="3"/>
  <c r="AT510" i="3"/>
  <c r="AT1378" i="3"/>
  <c r="AT899" i="3"/>
  <c r="AT873" i="3"/>
  <c r="AT785" i="3"/>
  <c r="AT1222" i="3"/>
  <c r="AT674" i="3"/>
  <c r="AT776" i="3"/>
  <c r="AT442" i="3"/>
  <c r="AT269" i="3"/>
  <c r="AT395" i="3"/>
  <c r="AT310" i="3"/>
  <c r="AT1061" i="3"/>
  <c r="AT974" i="3"/>
  <c r="AT726" i="3"/>
  <c r="AT585" i="3"/>
  <c r="AT639" i="3"/>
  <c r="AT910" i="3"/>
  <c r="AT576" i="3"/>
  <c r="AT578" i="3"/>
  <c r="AT400" i="3"/>
  <c r="AT683" i="3"/>
  <c r="AT1201" i="3"/>
  <c r="AT562" i="3"/>
  <c r="AT404" i="3"/>
  <c r="AT105" i="3"/>
  <c r="AT568" i="3"/>
  <c r="AT645" i="3"/>
  <c r="AT273" i="3"/>
  <c r="AT140" i="3"/>
  <c r="AT142" i="3"/>
  <c r="AT786" i="3"/>
  <c r="AT393" i="3"/>
  <c r="AT25" i="3"/>
  <c r="AT456" i="3"/>
  <c r="AT254" i="3"/>
  <c r="AT315" i="3"/>
  <c r="AT511" i="3"/>
  <c r="AT188" i="3"/>
  <c r="AT580" i="3"/>
  <c r="AT961" i="3"/>
  <c r="AT509" i="3"/>
  <c r="AT180" i="3"/>
  <c r="AT298" i="3"/>
  <c r="AT174" i="3"/>
  <c r="AT520" i="3"/>
  <c r="AT164" i="3"/>
  <c r="AT94" i="3"/>
  <c r="AT97" i="3"/>
  <c r="AT415" i="3"/>
  <c r="AT120" i="3"/>
  <c r="AT286" i="3"/>
  <c r="AT116" i="3"/>
  <c r="AT632" i="3"/>
  <c r="AT81" i="3"/>
  <c r="AT362" i="3"/>
  <c r="AT36" i="3"/>
  <c r="AT245" i="3"/>
  <c r="AT554" i="3"/>
  <c r="AT12" i="3"/>
  <c r="AT323" i="3"/>
  <c r="AT348" i="3"/>
  <c r="AT292" i="3"/>
  <c r="AT641" i="3"/>
  <c r="AT248" i="3"/>
  <c r="AT819" i="3"/>
  <c r="AT707" i="3"/>
  <c r="AT92" i="3"/>
  <c r="AT447" i="3"/>
  <c r="AT401" i="3"/>
  <c r="AT528" i="3"/>
  <c r="AT279" i="3"/>
  <c r="AT484" i="3"/>
  <c r="AT1291" i="3"/>
  <c r="AT172" i="3"/>
  <c r="AT1212" i="3"/>
  <c r="AT377" i="3"/>
  <c r="AT252" i="3"/>
  <c r="AT185" i="3"/>
  <c r="AT854" i="3"/>
  <c r="AT370" i="3"/>
  <c r="AT182" i="3"/>
  <c r="AT571" i="3"/>
  <c r="AT161" i="3"/>
  <c r="AT428" i="3"/>
  <c r="AT351" i="3"/>
  <c r="AT426" i="3"/>
  <c r="AT321" i="3"/>
  <c r="AT20" i="3"/>
  <c r="AT198" i="3"/>
  <c r="AT704" i="3"/>
  <c r="AT118" i="3"/>
  <c r="AT297" i="3"/>
  <c r="AT60" i="3"/>
  <c r="AT492" i="3"/>
  <c r="AT166" i="3"/>
  <c r="AT658" i="3"/>
  <c r="AT449" i="3"/>
  <c r="AT324" i="3"/>
  <c r="AT196" i="3"/>
  <c r="AT602" i="3"/>
  <c r="AT217" i="3"/>
  <c r="AT489" i="3"/>
  <c r="AT631" i="3"/>
  <c r="AT675" i="3"/>
  <c r="AT102" i="3"/>
  <c r="AT190" i="3"/>
  <c r="AT1080" i="3"/>
  <c r="AT521" i="3"/>
  <c r="AT532" i="3"/>
  <c r="AT767" i="3"/>
  <c r="AT1469" i="3"/>
  <c r="AN1170" i="3"/>
  <c r="R2" i="5" a="1"/>
  <c r="R2" i="5" s="1"/>
  <c r="H2" i="3" s="1"/>
  <c r="A1" i="1"/>
  <c r="AE1079" i="3"/>
  <c r="G1079" i="3"/>
  <c r="AE699" i="3"/>
  <c r="G699" i="3"/>
  <c r="AE1194" i="3"/>
  <c r="G1194" i="3"/>
  <c r="AE1346" i="3"/>
  <c r="G1346" i="3"/>
  <c r="AE1424" i="3"/>
  <c r="G1424" i="3"/>
  <c r="AE1447" i="3"/>
  <c r="G1447" i="3"/>
  <c r="AE1102" i="3"/>
  <c r="G1102" i="3"/>
  <c r="AE1212" i="3"/>
  <c r="G1212" i="3"/>
  <c r="AE378" i="3"/>
  <c r="G378" i="3"/>
  <c r="AE1352" i="3"/>
  <c r="G1352" i="3"/>
  <c r="AE1061" i="3"/>
  <c r="G1061" i="3"/>
  <c r="AE1425" i="3"/>
  <c r="G1425" i="3"/>
  <c r="AE396" i="3"/>
  <c r="G396" i="3"/>
  <c r="AE1000" i="3"/>
  <c r="G1000" i="3"/>
  <c r="AE988" i="3"/>
  <c r="G988" i="3"/>
  <c r="AE775" i="3"/>
  <c r="G775" i="3"/>
  <c r="AE914" i="3"/>
  <c r="G914" i="3"/>
  <c r="AE1336" i="3"/>
  <c r="G1336" i="3"/>
  <c r="AE1218" i="3"/>
  <c r="G1218" i="3"/>
  <c r="AE1360" i="3"/>
  <c r="G1360" i="3"/>
  <c r="AE1431" i="3"/>
  <c r="G1431" i="3"/>
  <c r="AE1086" i="3"/>
  <c r="G1086" i="3"/>
  <c r="AE1156" i="3"/>
  <c r="G1156" i="3"/>
  <c r="AE346" i="3"/>
  <c r="G346" i="3"/>
  <c r="AE1226" i="3"/>
  <c r="G1226" i="3"/>
  <c r="AE1374" i="3"/>
  <c r="G1374" i="3"/>
  <c r="AE220" i="3"/>
  <c r="G220" i="3"/>
  <c r="AE978" i="3"/>
  <c r="G978" i="3"/>
  <c r="AE1210" i="3"/>
  <c r="G1210" i="3"/>
  <c r="AE1298" i="3"/>
  <c r="G1298" i="3"/>
  <c r="AE977" i="3"/>
  <c r="G977" i="3"/>
  <c r="AE1310" i="3"/>
  <c r="G1310" i="3"/>
  <c r="AE62" i="3"/>
  <c r="G62" i="3"/>
  <c r="AE811" i="3"/>
  <c r="G811" i="3"/>
  <c r="AE1448" i="3"/>
  <c r="G1448" i="3"/>
  <c r="AE540" i="3"/>
  <c r="G540" i="3"/>
  <c r="AE1377" i="3"/>
  <c r="G1377" i="3"/>
  <c r="AE1127" i="3"/>
  <c r="G1127" i="3"/>
  <c r="AE1453" i="3"/>
  <c r="G1453" i="3"/>
  <c r="AE1443" i="3"/>
  <c r="G1443" i="3"/>
  <c r="AE705" i="3"/>
  <c r="G705" i="3"/>
  <c r="AE1160" i="3"/>
  <c r="G1160" i="3"/>
  <c r="AE1464" i="3"/>
  <c r="G1464" i="3"/>
  <c r="AE1369" i="3"/>
  <c r="G1369" i="3"/>
  <c r="AE1119" i="3"/>
  <c r="G1119" i="3"/>
  <c r="AE1445" i="3"/>
  <c r="G1445" i="3"/>
  <c r="AE1435" i="3"/>
  <c r="G1435" i="3"/>
  <c r="AE647" i="3"/>
  <c r="G647" i="3"/>
  <c r="AE1114" i="3"/>
  <c r="G1114" i="3"/>
  <c r="AE1202" i="3"/>
  <c r="G1202" i="3"/>
  <c r="AE939" i="3"/>
  <c r="G939" i="3"/>
  <c r="AE1278" i="3"/>
  <c r="G1278" i="3"/>
  <c r="AE1412" i="3"/>
  <c r="G1412" i="3"/>
  <c r="AE747" i="3"/>
  <c r="G747" i="3"/>
  <c r="AE942" i="3"/>
  <c r="G942" i="3"/>
  <c r="AE1081" i="3"/>
  <c r="G1081" i="3"/>
  <c r="AE1231" i="3"/>
  <c r="G1231" i="3"/>
  <c r="AE1398" i="3"/>
  <c r="G1398" i="3"/>
  <c r="AE700" i="3"/>
  <c r="G700" i="3"/>
  <c r="AE1045" i="3"/>
  <c r="G1045" i="3"/>
  <c r="AE1204" i="3"/>
  <c r="G1204" i="3"/>
  <c r="AE1363" i="3"/>
  <c r="G1363" i="3"/>
  <c r="AE487" i="3"/>
  <c r="G487" i="3"/>
  <c r="AE953" i="3"/>
  <c r="G953" i="3"/>
  <c r="AE920" i="3"/>
  <c r="G920" i="3"/>
  <c r="AE1106" i="3"/>
  <c r="G1106" i="3"/>
  <c r="AE1201" i="3"/>
  <c r="G1201" i="3"/>
  <c r="AE1351" i="3"/>
  <c r="G1351" i="3"/>
  <c r="AE391" i="3"/>
  <c r="G391" i="3"/>
  <c r="AE1001" i="3"/>
  <c r="G1001" i="3"/>
  <c r="AE1165" i="3"/>
  <c r="G1165" i="3"/>
  <c r="AE1324" i="3"/>
  <c r="G1324" i="3"/>
  <c r="AE166" i="3"/>
  <c r="G166" i="3"/>
  <c r="AE960" i="3"/>
  <c r="G960" i="3"/>
  <c r="AE314" i="3"/>
  <c r="G314" i="3"/>
  <c r="AE486" i="3"/>
  <c r="G486" i="3"/>
  <c r="AE1440" i="3"/>
  <c r="G1440" i="3"/>
  <c r="AE1321" i="3"/>
  <c r="G1321" i="3"/>
  <c r="AE126" i="3"/>
  <c r="G126" i="3"/>
  <c r="AE932" i="3"/>
  <c r="G932" i="3"/>
  <c r="AE1126" i="3"/>
  <c r="G1126" i="3"/>
  <c r="AE1285" i="3"/>
  <c r="G1285" i="3"/>
  <c r="AE1444" i="3"/>
  <c r="G1444" i="3"/>
  <c r="AE860" i="3"/>
  <c r="G860" i="3"/>
  <c r="AE1091" i="3"/>
  <c r="G1091" i="3"/>
  <c r="AE554" i="3"/>
  <c r="G554" i="3"/>
  <c r="AE679" i="3"/>
  <c r="G679" i="3"/>
  <c r="AE226" i="3"/>
  <c r="G226" i="3"/>
  <c r="AE1018" i="3"/>
  <c r="G1018" i="3"/>
  <c r="AE1180" i="3"/>
  <c r="G1180" i="3"/>
  <c r="AE1339" i="3"/>
  <c r="G1339" i="3"/>
  <c r="AE295" i="3"/>
  <c r="G295" i="3"/>
  <c r="AE929" i="3"/>
  <c r="G929" i="3"/>
  <c r="AE816" i="3"/>
  <c r="G816" i="3"/>
  <c r="AE1455" i="3"/>
  <c r="G1455" i="3"/>
  <c r="AE891" i="3"/>
  <c r="G891" i="3"/>
  <c r="AE1110" i="3"/>
  <c r="G1110" i="3"/>
  <c r="AE1269" i="3"/>
  <c r="G1269" i="3"/>
  <c r="AE1428" i="3"/>
  <c r="G1428" i="3"/>
  <c r="AE819" i="3"/>
  <c r="G819" i="3"/>
  <c r="AE1075" i="3"/>
  <c r="G1075" i="3"/>
  <c r="AE522" i="3"/>
  <c r="G522" i="3"/>
  <c r="AE659" i="3"/>
  <c r="G659" i="3"/>
  <c r="AE20" i="3"/>
  <c r="G20" i="3"/>
  <c r="AE223" i="3"/>
  <c r="G223" i="3"/>
  <c r="AE366" i="3"/>
  <c r="G366" i="3"/>
  <c r="AE181" i="3"/>
  <c r="G181" i="3"/>
  <c r="AE283" i="3"/>
  <c r="G283" i="3"/>
  <c r="AE617" i="3"/>
  <c r="G617" i="3"/>
  <c r="AE105" i="3"/>
  <c r="G105" i="3"/>
  <c r="AE272" i="3"/>
  <c r="G272" i="3"/>
  <c r="AE182" i="3"/>
  <c r="G182" i="3"/>
  <c r="AE340" i="3"/>
  <c r="G340" i="3"/>
  <c r="AE514" i="3"/>
  <c r="G514" i="3"/>
  <c r="AE742" i="3"/>
  <c r="G742" i="3"/>
  <c r="AE813" i="3"/>
  <c r="G813" i="3"/>
  <c r="AE493" i="3"/>
  <c r="G493" i="3"/>
  <c r="AE595" i="3"/>
  <c r="G595" i="3"/>
  <c r="AE83" i="3"/>
  <c r="G83" i="3"/>
  <c r="AE417" i="3"/>
  <c r="G417" i="3"/>
  <c r="AE584" i="3"/>
  <c r="G584" i="3"/>
  <c r="AE72" i="3"/>
  <c r="G72" i="3"/>
  <c r="AE800" i="3"/>
  <c r="G800" i="3"/>
  <c r="AE887" i="3"/>
  <c r="G887" i="3"/>
  <c r="AE52" i="3"/>
  <c r="G52" i="3"/>
  <c r="AE447" i="3"/>
  <c r="G447" i="3"/>
  <c r="AE582" i="3"/>
  <c r="G582" i="3"/>
  <c r="AE293" i="3"/>
  <c r="G293" i="3"/>
  <c r="AE395" i="3"/>
  <c r="G395" i="3"/>
  <c r="AE50" i="3"/>
  <c r="G50" i="3"/>
  <c r="AE217" i="3"/>
  <c r="G217" i="3"/>
  <c r="AE384" i="3"/>
  <c r="G384" i="3"/>
  <c r="AE47" i="3"/>
  <c r="G47" i="3"/>
  <c r="AE797" i="3"/>
  <c r="G797" i="3"/>
  <c r="AE477" i="3"/>
  <c r="G477" i="3"/>
  <c r="AE579" i="3"/>
  <c r="G579" i="3"/>
  <c r="AE67" i="3"/>
  <c r="G67" i="3"/>
  <c r="AE401" i="3"/>
  <c r="G401" i="3"/>
  <c r="AE568" i="3"/>
  <c r="G568" i="3"/>
  <c r="AE56" i="3"/>
  <c r="G56" i="3"/>
  <c r="AE848" i="3"/>
  <c r="G848" i="3"/>
  <c r="AE935" i="3"/>
  <c r="G935" i="3"/>
  <c r="AE210" i="3"/>
  <c r="G210" i="3"/>
  <c r="AE543" i="3"/>
  <c r="G543" i="3"/>
  <c r="AE653" i="3"/>
  <c r="G653" i="3"/>
  <c r="AE341" i="3"/>
  <c r="G341" i="3"/>
  <c r="AE443" i="3"/>
  <c r="G443" i="3"/>
  <c r="AE98" i="3"/>
  <c r="G98" i="3"/>
  <c r="AE265" i="3"/>
  <c r="G265" i="3"/>
  <c r="AE432" i="3"/>
  <c r="G432" i="3"/>
  <c r="AE95" i="3"/>
  <c r="G95" i="3"/>
  <c r="AE636" i="3"/>
  <c r="G636" i="3"/>
  <c r="AE735" i="3"/>
  <c r="G735" i="3"/>
  <c r="AE902" i="3"/>
  <c r="G902" i="3"/>
  <c r="AE110" i="3"/>
  <c r="G110" i="3"/>
  <c r="AE286" i="3"/>
  <c r="G286" i="3"/>
  <c r="AE141" i="3"/>
  <c r="G141" i="3"/>
  <c r="AE243" i="3"/>
  <c r="G243" i="3"/>
  <c r="AE577" i="3"/>
  <c r="G577" i="3"/>
  <c r="AE65" i="3"/>
  <c r="G65" i="3"/>
  <c r="AE232" i="3"/>
  <c r="G232" i="3"/>
  <c r="AE230" i="3"/>
  <c r="G230" i="3"/>
  <c r="AE388" i="3"/>
  <c r="G388" i="3"/>
  <c r="AE559" i="3"/>
  <c r="G559" i="3"/>
  <c r="AE766" i="3"/>
  <c r="G766" i="3"/>
  <c r="AE837" i="3"/>
  <c r="G837" i="3"/>
  <c r="AE517" i="3"/>
  <c r="G517" i="3"/>
  <c r="AE619" i="3"/>
  <c r="G619" i="3"/>
  <c r="AE107" i="3"/>
  <c r="G107" i="3"/>
  <c r="AE441" i="3"/>
  <c r="G441" i="3"/>
  <c r="AE608" i="3"/>
  <c r="G608" i="3"/>
  <c r="AE96" i="3"/>
  <c r="G96" i="3"/>
  <c r="AE696" i="3"/>
  <c r="G696" i="3"/>
  <c r="AE783" i="3"/>
  <c r="G783" i="3"/>
  <c r="AE950" i="3"/>
  <c r="G950" i="3"/>
  <c r="AE239" i="3"/>
  <c r="G239" i="3"/>
  <c r="AE382" i="3"/>
  <c r="G382" i="3"/>
  <c r="AE189" i="3"/>
  <c r="G189" i="3"/>
  <c r="AE291" i="3"/>
  <c r="G291" i="3"/>
  <c r="AE625" i="3"/>
  <c r="G625" i="3"/>
  <c r="AE113" i="3"/>
  <c r="G113" i="3"/>
  <c r="AE280" i="3"/>
  <c r="G280" i="3"/>
  <c r="AE957" i="3"/>
  <c r="G957" i="3"/>
  <c r="AE1246" i="3"/>
  <c r="G1246" i="3"/>
  <c r="AE474" i="3"/>
  <c r="G474" i="3"/>
  <c r="AE876" i="3"/>
  <c r="G876" i="3"/>
  <c r="AE1344" i="3"/>
  <c r="G1344" i="3"/>
  <c r="AE1104" i="3"/>
  <c r="G1104" i="3"/>
  <c r="AE1319" i="3"/>
  <c r="G1319" i="3"/>
  <c r="AE964" i="3"/>
  <c r="G964" i="3"/>
  <c r="AE1026" i="3"/>
  <c r="G1026" i="3"/>
  <c r="AE961" i="3"/>
  <c r="G961" i="3"/>
  <c r="AE581" i="3"/>
  <c r="G581" i="3"/>
  <c r="AE1051" i="3"/>
  <c r="G1051" i="3"/>
  <c r="AE1225" i="3"/>
  <c r="G1225" i="3"/>
  <c r="AE1350" i="3"/>
  <c r="G1350" i="3"/>
  <c r="AE565" i="3"/>
  <c r="G565" i="3"/>
  <c r="AE158" i="3"/>
  <c r="G158" i="3"/>
  <c r="AE1258" i="3"/>
  <c r="G1258" i="3"/>
  <c r="AE1118" i="3"/>
  <c r="G1118" i="3"/>
  <c r="AE1426" i="3"/>
  <c r="G1426" i="3"/>
  <c r="AE1152" i="3"/>
  <c r="G1152" i="3"/>
  <c r="AE892" i="3"/>
  <c r="G892" i="3"/>
  <c r="AE1303" i="3"/>
  <c r="G1303" i="3"/>
  <c r="AE931" i="3"/>
  <c r="G931" i="3"/>
  <c r="AE962" i="3"/>
  <c r="G962" i="3"/>
  <c r="AE905" i="3"/>
  <c r="G905" i="3"/>
  <c r="AE348" i="3"/>
  <c r="G348" i="3"/>
  <c r="AE567" i="3"/>
  <c r="G567" i="3"/>
  <c r="AE1392" i="3"/>
  <c r="G1392" i="3"/>
  <c r="AE1354" i="3"/>
  <c r="G1354" i="3"/>
  <c r="AE922" i="3"/>
  <c r="G922" i="3"/>
  <c r="AE969" i="3"/>
  <c r="G969" i="3"/>
  <c r="AE590" i="3"/>
  <c r="G590" i="3"/>
  <c r="AE1182" i="3"/>
  <c r="G1182" i="3"/>
  <c r="AE1292" i="3"/>
  <c r="G1292" i="3"/>
  <c r="AE605" i="3"/>
  <c r="G605" i="3"/>
  <c r="AE874" i="3"/>
  <c r="G874" i="3"/>
  <c r="AE1240" i="3"/>
  <c r="G1240" i="3"/>
  <c r="AE1289" i="3"/>
  <c r="G1289" i="3"/>
  <c r="AE993" i="3"/>
  <c r="G993" i="3"/>
  <c r="AE1309" i="3"/>
  <c r="G1309" i="3"/>
  <c r="AE1259" i="3"/>
  <c r="G1259" i="3"/>
  <c r="D5" i="3"/>
  <c r="AE406" i="3"/>
  <c r="G406" i="3"/>
  <c r="AE772" i="3"/>
  <c r="G772" i="3"/>
  <c r="AE1208" i="3"/>
  <c r="G1208" i="3"/>
  <c r="AE1281" i="3"/>
  <c r="G1281" i="3"/>
  <c r="AE984" i="3"/>
  <c r="G984" i="3"/>
  <c r="AE1261" i="3"/>
  <c r="G1261" i="3"/>
  <c r="AE1251" i="3"/>
  <c r="G1251" i="3"/>
  <c r="AE374" i="3"/>
  <c r="G374" i="3"/>
  <c r="AE268" i="3"/>
  <c r="G268" i="3"/>
  <c r="AE684" i="3"/>
  <c r="G684" i="3"/>
  <c r="AE343" i="3"/>
  <c r="G343" i="3"/>
  <c r="AE1150" i="3"/>
  <c r="G1150" i="3"/>
  <c r="AE1228" i="3"/>
  <c r="G1228" i="3"/>
  <c r="AE490" i="3"/>
  <c r="G490" i="3"/>
  <c r="AE1040" i="3"/>
  <c r="G1040" i="3"/>
  <c r="AE1013" i="3"/>
  <c r="G1013" i="3"/>
  <c r="AE1167" i="3"/>
  <c r="G1167" i="3"/>
  <c r="AE1334" i="3"/>
  <c r="G1334" i="3"/>
  <c r="AE252" i="3"/>
  <c r="G252" i="3"/>
  <c r="AE972" i="3"/>
  <c r="G972" i="3"/>
  <c r="AE1140" i="3"/>
  <c r="G1140" i="3"/>
  <c r="AE1299" i="3"/>
  <c r="G1299" i="3"/>
  <c r="AE803" i="3"/>
  <c r="G803" i="3"/>
  <c r="AE889" i="3"/>
  <c r="G889" i="3"/>
  <c r="AE658" i="3"/>
  <c r="G658" i="3"/>
  <c r="AE476" i="3"/>
  <c r="G476" i="3"/>
  <c r="AE1137" i="3"/>
  <c r="G1137" i="3"/>
  <c r="AE1287" i="3"/>
  <c r="G1287" i="3"/>
  <c r="AE1454" i="3"/>
  <c r="G1454" i="3"/>
  <c r="AE890" i="3"/>
  <c r="G890" i="3"/>
  <c r="AE1101" i="3"/>
  <c r="G1101" i="3"/>
  <c r="AE1260" i="3"/>
  <c r="G1260" i="3"/>
  <c r="AE1419" i="3"/>
  <c r="G1419" i="3"/>
  <c r="AE786" i="3"/>
  <c r="G786" i="3"/>
  <c r="AE186" i="3"/>
  <c r="G186" i="3"/>
  <c r="AE326" i="3"/>
  <c r="G326" i="3"/>
  <c r="AE1330" i="3"/>
  <c r="G1330" i="3"/>
  <c r="AE1257" i="3"/>
  <c r="G1257" i="3"/>
  <c r="AE1407" i="3"/>
  <c r="G1407" i="3"/>
  <c r="AE738" i="3"/>
  <c r="G738" i="3"/>
  <c r="AE1062" i="3"/>
  <c r="G1062" i="3"/>
  <c r="AE1221" i="3"/>
  <c r="G1221" i="3"/>
  <c r="AE1380" i="3"/>
  <c r="G1380" i="3"/>
  <c r="AE606" i="3"/>
  <c r="G606" i="3"/>
  <c r="AE1025" i="3"/>
  <c r="G1025" i="3"/>
  <c r="AE426" i="3"/>
  <c r="G426" i="3"/>
  <c r="AE589" i="3"/>
  <c r="G589" i="3"/>
  <c r="AE854" i="3"/>
  <c r="G854" i="3"/>
  <c r="AE930" i="3"/>
  <c r="G930" i="3"/>
  <c r="AE1116" i="3"/>
  <c r="G1116" i="3"/>
  <c r="AE1275" i="3"/>
  <c r="G1275" i="3"/>
  <c r="AE779" i="3"/>
  <c r="G779" i="3"/>
  <c r="AE865" i="3"/>
  <c r="G865" i="3"/>
  <c r="AE484" i="3"/>
  <c r="G484" i="3"/>
  <c r="AE1391" i="3"/>
  <c r="G1391" i="3"/>
  <c r="AE670" i="3"/>
  <c r="G670" i="3"/>
  <c r="AE1046" i="3"/>
  <c r="G1046" i="3"/>
  <c r="AE1205" i="3"/>
  <c r="G1205" i="3"/>
  <c r="AE1364" i="3"/>
  <c r="G1364" i="3"/>
  <c r="AE492" i="3"/>
  <c r="G492" i="3"/>
  <c r="AE1007" i="3"/>
  <c r="G1007" i="3"/>
  <c r="AE394" i="3"/>
  <c r="G394" i="3"/>
  <c r="AE564" i="3"/>
  <c r="G564" i="3"/>
  <c r="AE726" i="3"/>
  <c r="G726" i="3"/>
  <c r="AE14" i="3"/>
  <c r="G14" i="3"/>
  <c r="AE238" i="3"/>
  <c r="G238" i="3"/>
  <c r="AE117" i="3"/>
  <c r="G117" i="3"/>
  <c r="AE219" i="3"/>
  <c r="G219" i="3"/>
  <c r="AE553" i="3"/>
  <c r="G553" i="3"/>
  <c r="AE41" i="3"/>
  <c r="G41" i="3"/>
  <c r="AE208" i="3"/>
  <c r="G208" i="3"/>
  <c r="AE936" i="3"/>
  <c r="G936" i="3"/>
  <c r="AE212" i="3"/>
  <c r="G212" i="3"/>
  <c r="AE386" i="3"/>
  <c r="G386" i="3"/>
  <c r="AE676" i="3"/>
  <c r="G676" i="3"/>
  <c r="AE749" i="3"/>
  <c r="G749" i="3"/>
  <c r="AE429" i="3"/>
  <c r="G429" i="3"/>
  <c r="AE531" i="3"/>
  <c r="G531" i="3"/>
  <c r="AE19" i="3"/>
  <c r="G19" i="3"/>
  <c r="AE353" i="3"/>
  <c r="G353" i="3"/>
  <c r="AE520" i="3"/>
  <c r="G520" i="3"/>
  <c r="AE8" i="3"/>
  <c r="G8" i="3"/>
  <c r="AE736" i="3"/>
  <c r="G736" i="3"/>
  <c r="AE823" i="3"/>
  <c r="G823" i="3"/>
  <c r="AE990" i="3"/>
  <c r="G990" i="3"/>
  <c r="AE319" i="3"/>
  <c r="G319" i="3"/>
  <c r="AE462" i="3"/>
  <c r="G462" i="3"/>
  <c r="AE229" i="3"/>
  <c r="G229" i="3"/>
  <c r="AE331" i="3"/>
  <c r="G331" i="3"/>
  <c r="AE665" i="3"/>
  <c r="G665" i="3"/>
  <c r="AE153" i="3"/>
  <c r="G153" i="3"/>
  <c r="AE320" i="3"/>
  <c r="G320" i="3"/>
  <c r="AE654" i="3"/>
  <c r="G654" i="3"/>
  <c r="AE733" i="3"/>
  <c r="G733" i="3"/>
  <c r="AE413" i="3"/>
  <c r="G413" i="3"/>
  <c r="AE515" i="3"/>
  <c r="G515" i="3"/>
  <c r="AE170" i="3"/>
  <c r="G170" i="3"/>
  <c r="AE337" i="3"/>
  <c r="G337" i="3"/>
  <c r="AE504" i="3"/>
  <c r="G504" i="3"/>
  <c r="AE167" i="3"/>
  <c r="G167" i="3"/>
  <c r="AE784" i="3"/>
  <c r="G784" i="3"/>
  <c r="AE871" i="3"/>
  <c r="G871" i="3"/>
  <c r="AE1038" i="3"/>
  <c r="G1038" i="3"/>
  <c r="AE415" i="3"/>
  <c r="G415" i="3"/>
  <c r="AE557" i="3"/>
  <c r="G557" i="3"/>
  <c r="AE277" i="3"/>
  <c r="G277" i="3"/>
  <c r="AE379" i="3"/>
  <c r="G379" i="3"/>
  <c r="AE34" i="3"/>
  <c r="G34" i="3"/>
  <c r="AE201" i="3"/>
  <c r="G201" i="3"/>
  <c r="AE368" i="3"/>
  <c r="G368" i="3"/>
  <c r="AE31" i="3"/>
  <c r="G31" i="3"/>
  <c r="AE532" i="3"/>
  <c r="G532" i="3"/>
  <c r="AE667" i="3"/>
  <c r="G667" i="3"/>
  <c r="AE838" i="3"/>
  <c r="G838" i="3"/>
  <c r="AE909" i="3"/>
  <c r="G909" i="3"/>
  <c r="AE140" i="3"/>
  <c r="G140" i="3"/>
  <c r="AE77" i="3"/>
  <c r="G77" i="3"/>
  <c r="AE179" i="3"/>
  <c r="G179" i="3"/>
  <c r="AE513" i="3"/>
  <c r="G513" i="3"/>
  <c r="AE680" i="3"/>
  <c r="G680" i="3"/>
  <c r="AE168" i="3"/>
  <c r="G168" i="3"/>
  <c r="AE28" i="3"/>
  <c r="G28" i="3"/>
  <c r="AE260" i="3"/>
  <c r="G260" i="3"/>
  <c r="AE434" i="3"/>
  <c r="G434" i="3"/>
  <c r="AE702" i="3"/>
  <c r="G702" i="3"/>
  <c r="AE773" i="3"/>
  <c r="G773" i="3"/>
  <c r="AE453" i="3"/>
  <c r="G453" i="3"/>
  <c r="AE555" i="3"/>
  <c r="G555" i="3"/>
  <c r="AE43" i="3"/>
  <c r="G43" i="3"/>
  <c r="AE377" i="3"/>
  <c r="G377" i="3"/>
  <c r="AE544" i="3"/>
  <c r="G544" i="3"/>
  <c r="AE32" i="3"/>
  <c r="G32" i="3"/>
  <c r="AE613" i="3"/>
  <c r="G613" i="3"/>
  <c r="AE719" i="3"/>
  <c r="G719" i="3"/>
  <c r="AE886" i="3"/>
  <c r="G886" i="3"/>
  <c r="AE46" i="3"/>
  <c r="G46" i="3"/>
  <c r="AE254" i="3"/>
  <c r="G254" i="3"/>
  <c r="AE125" i="3"/>
  <c r="G125" i="3"/>
  <c r="AE227" i="3"/>
  <c r="G227" i="3"/>
  <c r="AE561" i="3"/>
  <c r="G561" i="3"/>
  <c r="AE49" i="3"/>
  <c r="G49" i="3"/>
  <c r="AE216" i="3"/>
  <c r="G216" i="3"/>
  <c r="AE748" i="3"/>
  <c r="G748" i="3"/>
  <c r="AE1389" i="3"/>
  <c r="G1389" i="3"/>
  <c r="AE36" i="3"/>
  <c r="G36" i="3"/>
  <c r="AE1320" i="3"/>
  <c r="G1320" i="3"/>
  <c r="AE1402" i="3"/>
  <c r="G1402" i="3"/>
  <c r="AE1433" i="3"/>
  <c r="G1433" i="3"/>
  <c r="AE1191" i="3"/>
  <c r="G1191" i="3"/>
  <c r="AE444" i="3"/>
  <c r="G444" i="3"/>
  <c r="AE428" i="3"/>
  <c r="G428" i="3"/>
  <c r="AE777" i="3"/>
  <c r="G777" i="3"/>
  <c r="AE1466" i="3"/>
  <c r="G1466" i="3"/>
  <c r="AE1418" i="3"/>
  <c r="G1418" i="3"/>
  <c r="AE778" i="3"/>
  <c r="G778" i="3"/>
  <c r="AE1222" i="3"/>
  <c r="G1222" i="3"/>
  <c r="AE1348" i="3"/>
  <c r="G1348" i="3"/>
  <c r="AE683" i="3"/>
  <c r="G683" i="3"/>
  <c r="AE1096" i="3"/>
  <c r="G1096" i="3"/>
  <c r="AE1245" i="3"/>
  <c r="G1245" i="3"/>
  <c r="AE1072" i="3"/>
  <c r="G1072" i="3"/>
  <c r="AE1306" i="3"/>
  <c r="G1306" i="3"/>
  <c r="AE1417" i="3"/>
  <c r="G1417" i="3"/>
  <c r="AE1175" i="3"/>
  <c r="G1175" i="3"/>
  <c r="AE316" i="3"/>
  <c r="G316" i="3"/>
  <c r="AE300" i="3"/>
  <c r="G300" i="3"/>
  <c r="AE721" i="3"/>
  <c r="G721" i="3"/>
  <c r="AE1410" i="3"/>
  <c r="G1410" i="3"/>
  <c r="AE1404" i="3"/>
  <c r="G1404" i="3"/>
  <c r="AE1313" i="3"/>
  <c r="G1313" i="3"/>
  <c r="AE1098" i="3"/>
  <c r="G1098" i="3"/>
  <c r="AE1122" i="3"/>
  <c r="G1122" i="3"/>
  <c r="AE1328" i="3"/>
  <c r="G1328" i="3"/>
  <c r="AE1399" i="3"/>
  <c r="G1399" i="3"/>
  <c r="AE1054" i="3"/>
  <c r="G1054" i="3"/>
  <c r="AE1148" i="3"/>
  <c r="G1148" i="3"/>
  <c r="AE250" i="3"/>
  <c r="G250" i="3"/>
  <c r="AE1058" i="3"/>
  <c r="G1058" i="3"/>
  <c r="AE976" i="3"/>
  <c r="G976" i="3"/>
  <c r="AE1177" i="3"/>
  <c r="G1177" i="3"/>
  <c r="AE628" i="3"/>
  <c r="G628" i="3"/>
  <c r="AE1125" i="3"/>
  <c r="G1125" i="3"/>
  <c r="AE1115" i="3"/>
  <c r="G1115" i="3"/>
  <c r="AE356" i="3"/>
  <c r="G356" i="3"/>
  <c r="AE987" i="3"/>
  <c r="G987" i="3"/>
  <c r="AE915" i="3"/>
  <c r="G915" i="3"/>
  <c r="AE1169" i="3"/>
  <c r="G1169" i="3"/>
  <c r="AE578" i="3"/>
  <c r="G578" i="3"/>
  <c r="AE1117" i="3"/>
  <c r="G1117" i="3"/>
  <c r="AE1067" i="3"/>
  <c r="G1067" i="3"/>
  <c r="AE308" i="3"/>
  <c r="G308" i="3"/>
  <c r="AE594" i="3"/>
  <c r="G594" i="3"/>
  <c r="AE1168" i="3"/>
  <c r="G1168" i="3"/>
  <c r="AE1367" i="3"/>
  <c r="G1367" i="3"/>
  <c r="AE1019" i="3"/>
  <c r="G1019" i="3"/>
  <c r="AE1084" i="3"/>
  <c r="G1084" i="3"/>
  <c r="AE68" i="3"/>
  <c r="G68" i="3"/>
  <c r="AE1465" i="3"/>
  <c r="G1465" i="3"/>
  <c r="AE916" i="3"/>
  <c r="G916" i="3"/>
  <c r="AE1103" i="3"/>
  <c r="G1103" i="3"/>
  <c r="AE1270" i="3"/>
  <c r="G1270" i="3"/>
  <c r="AE1429" i="3"/>
  <c r="G1429" i="3"/>
  <c r="AE820" i="3"/>
  <c r="G820" i="3"/>
  <c r="AE1076" i="3"/>
  <c r="G1076" i="3"/>
  <c r="AE1235" i="3"/>
  <c r="G1235" i="3"/>
  <c r="AE739" i="3"/>
  <c r="G739" i="3"/>
  <c r="AE825" i="3"/>
  <c r="G825" i="3"/>
  <c r="AE180" i="3"/>
  <c r="G180" i="3"/>
  <c r="AE1264" i="3"/>
  <c r="G1264" i="3"/>
  <c r="AE1073" i="3"/>
  <c r="G1073" i="3"/>
  <c r="AE1223" i="3"/>
  <c r="G1223" i="3"/>
  <c r="AE1390" i="3"/>
  <c r="G1390" i="3"/>
  <c r="AE662" i="3"/>
  <c r="G662" i="3"/>
  <c r="AE1036" i="3"/>
  <c r="G1036" i="3"/>
  <c r="AE1196" i="3"/>
  <c r="G1196" i="3"/>
  <c r="AE1355" i="3"/>
  <c r="G1355" i="3"/>
  <c r="AE423" i="3"/>
  <c r="G423" i="3"/>
  <c r="AE945" i="3"/>
  <c r="G945" i="3"/>
  <c r="AE880" i="3"/>
  <c r="G880" i="3"/>
  <c r="AE1074" i="3"/>
  <c r="G1074" i="3"/>
  <c r="AE1193" i="3"/>
  <c r="G1193" i="3"/>
  <c r="AE1343" i="3"/>
  <c r="G1343" i="3"/>
  <c r="AE327" i="3"/>
  <c r="G327" i="3"/>
  <c r="AE992" i="3"/>
  <c r="G992" i="3"/>
  <c r="AE1157" i="3"/>
  <c r="G1157" i="3"/>
  <c r="AE1316" i="3"/>
  <c r="G1316" i="3"/>
  <c r="AE38" i="3"/>
  <c r="G38" i="3"/>
  <c r="AE946" i="3"/>
  <c r="G946" i="3"/>
  <c r="AE298" i="3"/>
  <c r="G298" i="3"/>
  <c r="AE470" i="3"/>
  <c r="G470" i="3"/>
  <c r="AE1405" i="3"/>
  <c r="G1405" i="3"/>
  <c r="AE730" i="3"/>
  <c r="G730" i="3"/>
  <c r="AE1052" i="3"/>
  <c r="G1052" i="3"/>
  <c r="AE1211" i="3"/>
  <c r="G1211" i="3"/>
  <c r="AE715" i="3"/>
  <c r="G715" i="3"/>
  <c r="AE801" i="3"/>
  <c r="G801" i="3"/>
  <c r="AE903" i="3"/>
  <c r="G903" i="3"/>
  <c r="AE1327" i="3"/>
  <c r="G1327" i="3"/>
  <c r="AE199" i="3"/>
  <c r="G199" i="3"/>
  <c r="AE973" i="3"/>
  <c r="G973" i="3"/>
  <c r="AE1141" i="3"/>
  <c r="G1141" i="3"/>
  <c r="AE1300" i="3"/>
  <c r="G1300" i="3"/>
  <c r="AE1459" i="3"/>
  <c r="G1459" i="3"/>
  <c r="AE900" i="3"/>
  <c r="G900" i="3"/>
  <c r="AE266" i="3"/>
  <c r="G266" i="3"/>
  <c r="AE438" i="3"/>
  <c r="G438" i="3"/>
  <c r="AE814" i="3"/>
  <c r="G814" i="3"/>
  <c r="AE885" i="3"/>
  <c r="G885" i="3"/>
  <c r="AE44" i="3"/>
  <c r="G44" i="3"/>
  <c r="AE53" i="3"/>
  <c r="G53" i="3"/>
  <c r="AE155" i="3"/>
  <c r="G155" i="3"/>
  <c r="AE489" i="3"/>
  <c r="G489" i="3"/>
  <c r="AE656" i="3"/>
  <c r="G656" i="3"/>
  <c r="AE144" i="3"/>
  <c r="G144" i="3"/>
  <c r="AE872" i="3"/>
  <c r="G872" i="3"/>
  <c r="AE959" i="3"/>
  <c r="G959" i="3"/>
  <c r="AE258" i="3"/>
  <c r="G258" i="3"/>
  <c r="AE583" i="3"/>
  <c r="G583" i="3"/>
  <c r="AE685" i="3"/>
  <c r="G685" i="3"/>
  <c r="AE365" i="3"/>
  <c r="G365" i="3"/>
  <c r="AE467" i="3"/>
  <c r="G467" i="3"/>
  <c r="AE122" i="3"/>
  <c r="G122" i="3"/>
  <c r="AE289" i="3"/>
  <c r="G289" i="3"/>
  <c r="AE456" i="3"/>
  <c r="G456" i="3"/>
  <c r="AE119" i="3"/>
  <c r="G119" i="3"/>
  <c r="AE668" i="3"/>
  <c r="G668" i="3"/>
  <c r="AE759" i="3"/>
  <c r="G759" i="3"/>
  <c r="AE926" i="3"/>
  <c r="G926" i="3"/>
  <c r="AE191" i="3"/>
  <c r="G191" i="3"/>
  <c r="AE334" i="3"/>
  <c r="G334" i="3"/>
  <c r="AE165" i="3"/>
  <c r="G165" i="3"/>
  <c r="AE267" i="3"/>
  <c r="G267" i="3"/>
  <c r="AE601" i="3"/>
  <c r="G601" i="3"/>
  <c r="AE89" i="3"/>
  <c r="G89" i="3"/>
  <c r="AE256" i="3"/>
  <c r="G256" i="3"/>
  <c r="AE558" i="3"/>
  <c r="G558" i="3"/>
  <c r="AE663" i="3"/>
  <c r="G663" i="3"/>
  <c r="AE349" i="3"/>
  <c r="G349" i="3"/>
  <c r="AE451" i="3"/>
  <c r="G451" i="3"/>
  <c r="AE106" i="3"/>
  <c r="G106" i="3"/>
  <c r="AE273" i="3"/>
  <c r="G273" i="3"/>
  <c r="AE440" i="3"/>
  <c r="G440" i="3"/>
  <c r="AE103" i="3"/>
  <c r="G103" i="3"/>
  <c r="AE720" i="3"/>
  <c r="G720" i="3"/>
  <c r="AE807" i="3"/>
  <c r="G807" i="3"/>
  <c r="AE974" i="3"/>
  <c r="G974" i="3"/>
  <c r="AE287" i="3"/>
  <c r="G287" i="3"/>
  <c r="AE430" i="3"/>
  <c r="G430" i="3"/>
  <c r="AE213" i="3"/>
  <c r="G213" i="3"/>
  <c r="AE315" i="3"/>
  <c r="G315" i="3"/>
  <c r="AE649" i="3"/>
  <c r="G649" i="3"/>
  <c r="AE137" i="3"/>
  <c r="G137" i="3"/>
  <c r="AE304" i="3"/>
  <c r="G304" i="3"/>
  <c r="AE246" i="3"/>
  <c r="G246" i="3"/>
  <c r="AE404" i="3"/>
  <c r="G404" i="3"/>
  <c r="AE573" i="3"/>
  <c r="G573" i="3"/>
  <c r="AE774" i="3"/>
  <c r="G774" i="3"/>
  <c r="AE845" i="3"/>
  <c r="G845" i="3"/>
  <c r="AE525" i="3"/>
  <c r="G525" i="3"/>
  <c r="AE13" i="3"/>
  <c r="G13" i="3"/>
  <c r="AE115" i="3"/>
  <c r="G115" i="3"/>
  <c r="AE449" i="3"/>
  <c r="G449" i="3"/>
  <c r="AE616" i="3"/>
  <c r="G616" i="3"/>
  <c r="AE104" i="3"/>
  <c r="G104" i="3"/>
  <c r="AE896" i="3"/>
  <c r="G896" i="3"/>
  <c r="AE86" i="3"/>
  <c r="G86" i="3"/>
  <c r="AE306" i="3"/>
  <c r="G306" i="3"/>
  <c r="AE622" i="3"/>
  <c r="G622" i="3"/>
  <c r="AE709" i="3"/>
  <c r="G709" i="3"/>
  <c r="AE389" i="3"/>
  <c r="G389" i="3"/>
  <c r="AE491" i="3"/>
  <c r="G491" i="3"/>
  <c r="AE146" i="3"/>
  <c r="G146" i="3"/>
  <c r="AE313" i="3"/>
  <c r="G313" i="3"/>
  <c r="AE480" i="3"/>
  <c r="G480" i="3"/>
  <c r="AE143" i="3"/>
  <c r="G143" i="3"/>
  <c r="AE500" i="3"/>
  <c r="G500" i="3"/>
  <c r="AE645" i="3"/>
  <c r="G645" i="3"/>
  <c r="AE822" i="3"/>
  <c r="G822" i="3"/>
  <c r="AE893" i="3"/>
  <c r="G893" i="3"/>
  <c r="AE76" i="3"/>
  <c r="G76" i="3"/>
  <c r="AE61" i="3"/>
  <c r="G61" i="3"/>
  <c r="AE163" i="3"/>
  <c r="G163" i="3"/>
  <c r="AE497" i="3"/>
  <c r="G497" i="3"/>
  <c r="AE664" i="3"/>
  <c r="G664" i="3"/>
  <c r="AE152" i="3"/>
  <c r="G152" i="3"/>
  <c r="AE1408" i="3"/>
  <c r="G1408" i="3"/>
  <c r="AE660" i="3"/>
  <c r="G660" i="3"/>
  <c r="AE785" i="3"/>
  <c r="G785" i="3"/>
  <c r="AE1064" i="3"/>
  <c r="G1064" i="3"/>
  <c r="AE1368" i="3"/>
  <c r="G1368" i="3"/>
  <c r="AE1345" i="3"/>
  <c r="G1345" i="3"/>
  <c r="AE1063" i="3"/>
  <c r="G1063" i="3"/>
  <c r="AE1381" i="3"/>
  <c r="G1381" i="3"/>
  <c r="AE1371" i="3"/>
  <c r="G1371" i="3"/>
  <c r="AE550" i="3"/>
  <c r="G550" i="3"/>
  <c r="AE740" i="3"/>
  <c r="G740" i="3"/>
  <c r="AE1288" i="3"/>
  <c r="G1288" i="3"/>
  <c r="AE1439" i="3"/>
  <c r="G1439" i="3"/>
  <c r="AE1094" i="3"/>
  <c r="G1094" i="3"/>
  <c r="AE1164" i="3"/>
  <c r="G1164" i="3"/>
  <c r="AE362" i="3"/>
  <c r="G362" i="3"/>
  <c r="AE1082" i="3"/>
  <c r="G1082" i="3"/>
  <c r="AE1195" i="3"/>
  <c r="G1195" i="3"/>
  <c r="AE1113" i="3"/>
  <c r="G1113" i="3"/>
  <c r="AE1304" i="3"/>
  <c r="G1304" i="3"/>
  <c r="AE1305" i="3"/>
  <c r="G1305" i="3"/>
  <c r="AE1047" i="3"/>
  <c r="G1047" i="3"/>
  <c r="AE1325" i="3"/>
  <c r="G1325" i="3"/>
  <c r="AE1315" i="3"/>
  <c r="G1315" i="3"/>
  <c r="AE518" i="3"/>
  <c r="G518" i="3"/>
  <c r="AE708" i="3"/>
  <c r="G708" i="3"/>
  <c r="AE604" i="3"/>
  <c r="G604" i="3"/>
  <c r="AE1023" i="3"/>
  <c r="G1023" i="3"/>
  <c r="AE412" i="3"/>
  <c r="G412" i="3"/>
  <c r="AE1088" i="3"/>
  <c r="G1088" i="3"/>
  <c r="AE804" i="3"/>
  <c r="G804" i="3"/>
  <c r="AE1271" i="3"/>
  <c r="G1271" i="3"/>
  <c r="AE844" i="3"/>
  <c r="G844" i="3"/>
  <c r="AE947" i="3"/>
  <c r="G947" i="3"/>
  <c r="AE897" i="3"/>
  <c r="G897" i="3"/>
  <c r="AE1056" i="3"/>
  <c r="G1056" i="3"/>
  <c r="AE1154" i="3"/>
  <c r="G1154" i="3"/>
  <c r="AE1089" i="3"/>
  <c r="G1089" i="3"/>
  <c r="AE1422" i="3"/>
  <c r="G1422" i="3"/>
  <c r="AE884" i="3"/>
  <c r="G884" i="3"/>
  <c r="AE859" i="3"/>
  <c r="G859" i="3"/>
  <c r="AE402" i="3"/>
  <c r="G402" i="3"/>
  <c r="AE985" i="3"/>
  <c r="G985" i="3"/>
  <c r="AE1376" i="3"/>
  <c r="G1376" i="3"/>
  <c r="AE1057" i="3"/>
  <c r="G1057" i="3"/>
  <c r="AE1414" i="3"/>
  <c r="G1414" i="3"/>
  <c r="AE866" i="3"/>
  <c r="G866" i="3"/>
  <c r="AE836" i="3"/>
  <c r="G836" i="3"/>
  <c r="AE1006" i="3"/>
  <c r="G1006" i="3"/>
  <c r="AE284" i="3"/>
  <c r="G284" i="3"/>
  <c r="AE134" i="3"/>
  <c r="G134" i="3"/>
  <c r="AE1239" i="3"/>
  <c r="G1239" i="3"/>
  <c r="AE732" i="3"/>
  <c r="G732" i="3"/>
  <c r="AE756" i="3"/>
  <c r="G756" i="3"/>
  <c r="AE833" i="3"/>
  <c r="G833" i="3"/>
  <c r="AE1401" i="3"/>
  <c r="G1401" i="3"/>
  <c r="AE714" i="3"/>
  <c r="G714" i="3"/>
  <c r="AE1039" i="3"/>
  <c r="G1039" i="3"/>
  <c r="AE1206" i="3"/>
  <c r="G1206" i="3"/>
  <c r="AE1365" i="3"/>
  <c r="G1365" i="3"/>
  <c r="AE503" i="3"/>
  <c r="G503" i="3"/>
  <c r="AE1008" i="3"/>
  <c r="G1008" i="3"/>
  <c r="AE1171" i="3"/>
  <c r="G1171" i="3"/>
  <c r="AE671" i="3"/>
  <c r="G671" i="3"/>
  <c r="AE761" i="3"/>
  <c r="G761" i="3"/>
  <c r="AE751" i="3"/>
  <c r="G751" i="3"/>
  <c r="AE1003" i="3"/>
  <c r="G1003" i="3"/>
  <c r="AE1004" i="3"/>
  <c r="G1004" i="3"/>
  <c r="AE1159" i="3"/>
  <c r="G1159" i="3"/>
  <c r="AE1326" i="3"/>
  <c r="G1326" i="3"/>
  <c r="AE188" i="3"/>
  <c r="G188" i="3"/>
  <c r="AE963" i="3"/>
  <c r="G963" i="3"/>
  <c r="AE1132" i="3"/>
  <c r="G1132" i="3"/>
  <c r="AE1291" i="3"/>
  <c r="G1291" i="3"/>
  <c r="AE795" i="3"/>
  <c r="G795" i="3"/>
  <c r="AE881" i="3"/>
  <c r="G881" i="3"/>
  <c r="AE599" i="3"/>
  <c r="G599" i="3"/>
  <c r="AE204" i="3"/>
  <c r="G204" i="3"/>
  <c r="AE1129" i="3"/>
  <c r="G1129" i="3"/>
  <c r="AE1279" i="3"/>
  <c r="G1279" i="3"/>
  <c r="AE1446" i="3"/>
  <c r="G1446" i="3"/>
  <c r="AE867" i="3"/>
  <c r="G867" i="3"/>
  <c r="AE1093" i="3"/>
  <c r="G1093" i="3"/>
  <c r="AE1252" i="3"/>
  <c r="G1252" i="3"/>
  <c r="AE1411" i="3"/>
  <c r="G1411" i="3"/>
  <c r="AE754" i="3"/>
  <c r="G754" i="3"/>
  <c r="AE164" i="3"/>
  <c r="G164" i="3"/>
  <c r="AE278" i="3"/>
  <c r="G278" i="3"/>
  <c r="AE1341" i="3"/>
  <c r="G1341" i="3"/>
  <c r="AE311" i="3"/>
  <c r="G311" i="3"/>
  <c r="AE980" i="3"/>
  <c r="G980" i="3"/>
  <c r="AE1147" i="3"/>
  <c r="G1147" i="3"/>
  <c r="AE639" i="3"/>
  <c r="G639" i="3"/>
  <c r="AE737" i="3"/>
  <c r="G737" i="3"/>
  <c r="AE635" i="3"/>
  <c r="G635" i="3"/>
  <c r="AE1263" i="3"/>
  <c r="G1263" i="3"/>
  <c r="AE1430" i="3"/>
  <c r="G1430" i="3"/>
  <c r="AE826" i="3"/>
  <c r="G826" i="3"/>
  <c r="AE1077" i="3"/>
  <c r="G1077" i="3"/>
  <c r="AE1236" i="3"/>
  <c r="G1236" i="3"/>
  <c r="AE1395" i="3"/>
  <c r="G1395" i="3"/>
  <c r="AE690" i="3"/>
  <c r="G690" i="3"/>
  <c r="AE100" i="3"/>
  <c r="G100" i="3"/>
  <c r="AE198" i="3"/>
  <c r="G198" i="3"/>
  <c r="AE750" i="3"/>
  <c r="G750" i="3"/>
  <c r="AE821" i="3"/>
  <c r="G821" i="3"/>
  <c r="AE501" i="3"/>
  <c r="G501" i="3"/>
  <c r="AE603" i="3"/>
  <c r="G603" i="3"/>
  <c r="AE91" i="3"/>
  <c r="G91" i="3"/>
  <c r="AE425" i="3"/>
  <c r="G425" i="3"/>
  <c r="AE592" i="3"/>
  <c r="G592" i="3"/>
  <c r="AE80" i="3"/>
  <c r="G80" i="3"/>
  <c r="AE808" i="3"/>
  <c r="G808" i="3"/>
  <c r="AE895" i="3"/>
  <c r="G895" i="3"/>
  <c r="AE84" i="3"/>
  <c r="G84" i="3"/>
  <c r="AE463" i="3"/>
  <c r="G463" i="3"/>
  <c r="AE596" i="3"/>
  <c r="G596" i="3"/>
  <c r="AE301" i="3"/>
  <c r="G301" i="3"/>
  <c r="AE403" i="3"/>
  <c r="G403" i="3"/>
  <c r="AE58" i="3"/>
  <c r="G58" i="3"/>
  <c r="AE225" i="3"/>
  <c r="G225" i="3"/>
  <c r="AE392" i="3"/>
  <c r="G392" i="3"/>
  <c r="AE55" i="3"/>
  <c r="G55" i="3"/>
  <c r="AE574" i="3"/>
  <c r="G574" i="3"/>
  <c r="AE695" i="3"/>
  <c r="G695" i="3"/>
  <c r="AE862" i="3"/>
  <c r="G862" i="3"/>
  <c r="AE933" i="3"/>
  <c r="G933" i="3"/>
  <c r="AE206" i="3"/>
  <c r="G206" i="3"/>
  <c r="AE101" i="3"/>
  <c r="G101" i="3"/>
  <c r="AE203" i="3"/>
  <c r="G203" i="3"/>
  <c r="AE537" i="3"/>
  <c r="G537" i="3"/>
  <c r="AE25" i="3"/>
  <c r="G25" i="3"/>
  <c r="AE192" i="3"/>
  <c r="G192" i="3"/>
  <c r="AE431" i="3"/>
  <c r="G431" i="3"/>
  <c r="AE570" i="3"/>
  <c r="G570" i="3"/>
  <c r="AE285" i="3"/>
  <c r="G285" i="3"/>
  <c r="AE387" i="3"/>
  <c r="G387" i="3"/>
  <c r="AE42" i="3"/>
  <c r="G42" i="3"/>
  <c r="AE209" i="3"/>
  <c r="G209" i="3"/>
  <c r="AE376" i="3"/>
  <c r="G376" i="3"/>
  <c r="AE39" i="3"/>
  <c r="G39" i="3"/>
  <c r="AE646" i="3"/>
  <c r="G646" i="3"/>
  <c r="AE743" i="3"/>
  <c r="G743" i="3"/>
  <c r="AE910" i="3"/>
  <c r="G910" i="3"/>
  <c r="AE142" i="3"/>
  <c r="G142" i="3"/>
  <c r="AE302" i="3"/>
  <c r="G302" i="3"/>
  <c r="AE149" i="3"/>
  <c r="G149" i="3"/>
  <c r="AE251" i="3"/>
  <c r="G251" i="3"/>
  <c r="AE585" i="3"/>
  <c r="G585" i="3"/>
  <c r="AE73" i="3"/>
  <c r="G73" i="3"/>
  <c r="AE240" i="3"/>
  <c r="G240" i="3"/>
  <c r="AE60" i="3"/>
  <c r="G60" i="3"/>
  <c r="AE276" i="3"/>
  <c r="G276" i="3"/>
  <c r="AE450" i="3"/>
  <c r="G450" i="3"/>
  <c r="AE710" i="3"/>
  <c r="G710" i="3"/>
  <c r="AE781" i="3"/>
  <c r="G781" i="3"/>
  <c r="AE461" i="3"/>
  <c r="G461" i="3"/>
  <c r="AE563" i="3"/>
  <c r="G563" i="3"/>
  <c r="AE51" i="3"/>
  <c r="G51" i="3"/>
  <c r="AE385" i="3"/>
  <c r="G385" i="3"/>
  <c r="AE552" i="3"/>
  <c r="G552" i="3"/>
  <c r="AE40" i="3"/>
  <c r="G40" i="3"/>
  <c r="AE832" i="3"/>
  <c r="G832" i="3"/>
  <c r="AE919" i="3"/>
  <c r="G919" i="3"/>
  <c r="AE178" i="3"/>
  <c r="G178" i="3"/>
  <c r="AE511" i="3"/>
  <c r="G511" i="3"/>
  <c r="AE631" i="3"/>
  <c r="G631" i="3"/>
  <c r="AE325" i="3"/>
  <c r="G325" i="3"/>
  <c r="AE427" i="3"/>
  <c r="G427" i="3"/>
  <c r="AE82" i="3"/>
  <c r="G82" i="3"/>
  <c r="AE249" i="3"/>
  <c r="G249" i="3"/>
  <c r="AE416" i="3"/>
  <c r="G416" i="3"/>
  <c r="AE79" i="3"/>
  <c r="G79" i="3"/>
  <c r="AE372" i="3"/>
  <c r="G372" i="3"/>
  <c r="AE546" i="3"/>
  <c r="G546" i="3"/>
  <c r="AE758" i="3"/>
  <c r="G758" i="3"/>
  <c r="AE829" i="3"/>
  <c r="G829" i="3"/>
  <c r="AE509" i="3"/>
  <c r="G509" i="3"/>
  <c r="AE611" i="3"/>
  <c r="G611" i="3"/>
  <c r="AE99" i="3"/>
  <c r="G99" i="3"/>
  <c r="AE433" i="3"/>
  <c r="G433" i="3"/>
  <c r="AE600" i="3"/>
  <c r="G600" i="3"/>
  <c r="AE88" i="3"/>
  <c r="G88" i="3"/>
  <c r="AE1144" i="3"/>
  <c r="G1144" i="3"/>
  <c r="AE1220" i="3"/>
  <c r="G1220" i="3"/>
  <c r="AE627" i="3"/>
  <c r="G627" i="3"/>
  <c r="AE1378" i="3"/>
  <c r="G1378" i="3"/>
  <c r="AE1112" i="3"/>
  <c r="G1112" i="3"/>
  <c r="AE1233" i="3"/>
  <c r="G1233" i="3"/>
  <c r="AE868" i="3"/>
  <c r="G868" i="3"/>
  <c r="AE1197" i="3"/>
  <c r="G1197" i="3"/>
  <c r="AE1187" i="3"/>
  <c r="G1187" i="3"/>
  <c r="AE944" i="3"/>
  <c r="G944" i="3"/>
  <c r="AE1441" i="3"/>
  <c r="G1441" i="3"/>
  <c r="AE1338" i="3"/>
  <c r="G1338" i="3"/>
  <c r="AE1311" i="3"/>
  <c r="G1311" i="3"/>
  <c r="AE949" i="3"/>
  <c r="G949" i="3"/>
  <c r="AE1017" i="3"/>
  <c r="G1017" i="3"/>
  <c r="AE913" i="3"/>
  <c r="G913" i="3"/>
  <c r="AE1400" i="3"/>
  <c r="G1400" i="3"/>
  <c r="AE1162" i="3"/>
  <c r="G1162" i="3"/>
  <c r="AE1130" i="3"/>
  <c r="G1130" i="3"/>
  <c r="AE1048" i="3"/>
  <c r="G1048" i="3"/>
  <c r="AE1217" i="3"/>
  <c r="G1217" i="3"/>
  <c r="AE827" i="3"/>
  <c r="G827" i="3"/>
  <c r="AE1181" i="3"/>
  <c r="G1181" i="3"/>
  <c r="AE1131" i="3"/>
  <c r="G1131" i="3"/>
  <c r="AE728" i="3"/>
  <c r="G728" i="3"/>
  <c r="AE1136" i="3"/>
  <c r="G1136" i="3"/>
  <c r="AE780" i="3"/>
  <c r="G780" i="3"/>
  <c r="AE1386" i="3"/>
  <c r="G1386" i="3"/>
  <c r="AE1224" i="3"/>
  <c r="G1224" i="3"/>
  <c r="AE1274" i="3"/>
  <c r="G1274" i="3"/>
  <c r="AE1409" i="3"/>
  <c r="G1409" i="3"/>
  <c r="AE1143" i="3"/>
  <c r="G1143" i="3"/>
  <c r="G1469" i="3"/>
  <c r="AE1469" i="3"/>
  <c r="AE1451" i="3"/>
  <c r="G1451" i="3"/>
  <c r="AE713" i="3"/>
  <c r="G713" i="3"/>
  <c r="AE1178" i="3"/>
  <c r="G1178" i="3"/>
  <c r="AE1266" i="3"/>
  <c r="G1266" i="3"/>
  <c r="AE968" i="3"/>
  <c r="G968" i="3"/>
  <c r="AE1294" i="3"/>
  <c r="G1294" i="3"/>
  <c r="G1468" i="3"/>
  <c r="AE1468" i="3"/>
  <c r="AE763" i="3"/>
  <c r="G763" i="3"/>
  <c r="AE1192" i="3"/>
  <c r="G1192" i="3"/>
  <c r="AE1146" i="3"/>
  <c r="G1146" i="3"/>
  <c r="AE1234" i="3"/>
  <c r="G1234" i="3"/>
  <c r="AE956" i="3"/>
  <c r="G956" i="3"/>
  <c r="AE1286" i="3"/>
  <c r="G1286" i="3"/>
  <c r="AE1420" i="3"/>
  <c r="G1420" i="3"/>
  <c r="AE755" i="3"/>
  <c r="G755" i="3"/>
  <c r="AE996" i="3"/>
  <c r="G996" i="3"/>
  <c r="AE1432" i="3"/>
  <c r="G1432" i="3"/>
  <c r="AE1361" i="3"/>
  <c r="G1361" i="3"/>
  <c r="AE1111" i="3"/>
  <c r="G1111" i="3"/>
  <c r="AE1437" i="3"/>
  <c r="G1437" i="3"/>
  <c r="AE1387" i="3"/>
  <c r="G1387" i="3"/>
  <c r="AE637" i="3"/>
  <c r="G637" i="3"/>
  <c r="AE1337" i="3"/>
  <c r="G1337" i="3"/>
  <c r="AE279" i="3"/>
  <c r="G279" i="3"/>
  <c r="AE965" i="3"/>
  <c r="G965" i="3"/>
  <c r="AE1142" i="3"/>
  <c r="G1142" i="3"/>
  <c r="AE1301" i="3"/>
  <c r="G1301" i="3"/>
  <c r="AE1460" i="3"/>
  <c r="G1460" i="3"/>
  <c r="AE906" i="3"/>
  <c r="G906" i="3"/>
  <c r="AE1107" i="3"/>
  <c r="G1107" i="3"/>
  <c r="AE580" i="3"/>
  <c r="G580" i="3"/>
  <c r="AE697" i="3"/>
  <c r="G697" i="3"/>
  <c r="AE354" i="3"/>
  <c r="G354" i="3"/>
  <c r="AE1457" i="3"/>
  <c r="G1457" i="3"/>
  <c r="AE898" i="3"/>
  <c r="G898" i="3"/>
  <c r="AE1095" i="3"/>
  <c r="G1095" i="3"/>
  <c r="AE1262" i="3"/>
  <c r="G1262" i="3"/>
  <c r="AE1421" i="3"/>
  <c r="G1421" i="3"/>
  <c r="AE794" i="3"/>
  <c r="G794" i="3"/>
  <c r="AE1068" i="3"/>
  <c r="G1068" i="3"/>
  <c r="AE1227" i="3"/>
  <c r="G1227" i="3"/>
  <c r="AE731" i="3"/>
  <c r="G731" i="3"/>
  <c r="AE817" i="3"/>
  <c r="G817" i="3"/>
  <c r="AE22" i="3"/>
  <c r="G22" i="3"/>
  <c r="AE1232" i="3"/>
  <c r="G1232" i="3"/>
  <c r="AE1065" i="3"/>
  <c r="G1065" i="3"/>
  <c r="AE1215" i="3"/>
  <c r="G1215" i="3"/>
  <c r="AE1382" i="3"/>
  <c r="G1382" i="3"/>
  <c r="AE620" i="3"/>
  <c r="G620" i="3"/>
  <c r="AE1027" i="3"/>
  <c r="G1027" i="3"/>
  <c r="AE1188" i="3"/>
  <c r="G1188" i="3"/>
  <c r="AE1347" i="3"/>
  <c r="G1347" i="3"/>
  <c r="AE359" i="3"/>
  <c r="G359" i="3"/>
  <c r="AE937" i="3"/>
  <c r="G937" i="3"/>
  <c r="AE856" i="3"/>
  <c r="G856" i="3"/>
  <c r="AE1277" i="3"/>
  <c r="G1277" i="3"/>
  <c r="AE1436" i="3"/>
  <c r="G1436" i="3"/>
  <c r="AE842" i="3"/>
  <c r="G842" i="3"/>
  <c r="AE1083" i="3"/>
  <c r="G1083" i="3"/>
  <c r="AE538" i="3"/>
  <c r="G538" i="3"/>
  <c r="AE669" i="3"/>
  <c r="G669" i="3"/>
  <c r="AE116" i="3"/>
  <c r="G116" i="3"/>
  <c r="AE1199" i="3"/>
  <c r="G1199" i="3"/>
  <c r="AE1366" i="3"/>
  <c r="G1366" i="3"/>
  <c r="AE508" i="3"/>
  <c r="G508" i="3"/>
  <c r="AE1009" i="3"/>
  <c r="G1009" i="3"/>
  <c r="AE1172" i="3"/>
  <c r="G1172" i="3"/>
  <c r="AE1331" i="3"/>
  <c r="G1331" i="3"/>
  <c r="AE231" i="3"/>
  <c r="G231" i="3"/>
  <c r="AE921" i="3"/>
  <c r="G921" i="3"/>
  <c r="AE792" i="3"/>
  <c r="G792" i="3"/>
  <c r="AE686" i="3"/>
  <c r="G686" i="3"/>
  <c r="AE757" i="3"/>
  <c r="G757" i="3"/>
  <c r="AE437" i="3"/>
  <c r="G437" i="3"/>
  <c r="AE539" i="3"/>
  <c r="G539" i="3"/>
  <c r="AE27" i="3"/>
  <c r="G27" i="3"/>
  <c r="AE361" i="3"/>
  <c r="G361" i="3"/>
  <c r="AE528" i="3"/>
  <c r="G528" i="3"/>
  <c r="AE16" i="3"/>
  <c r="G16" i="3"/>
  <c r="AE744" i="3"/>
  <c r="G744" i="3"/>
  <c r="AE831" i="3"/>
  <c r="G831" i="3"/>
  <c r="AE998" i="3"/>
  <c r="G998" i="3"/>
  <c r="AE335" i="3"/>
  <c r="G335" i="3"/>
  <c r="AE478" i="3"/>
  <c r="G478" i="3"/>
  <c r="AE237" i="3"/>
  <c r="G237" i="3"/>
  <c r="AE339" i="3"/>
  <c r="G339" i="3"/>
  <c r="AE673" i="3"/>
  <c r="G673" i="3"/>
  <c r="AE161" i="3"/>
  <c r="G161" i="3"/>
  <c r="AE328" i="3"/>
  <c r="G328" i="3"/>
  <c r="AE294" i="3"/>
  <c r="G294" i="3"/>
  <c r="AE452" i="3"/>
  <c r="G452" i="3"/>
  <c r="AE612" i="3"/>
  <c r="G612" i="3"/>
  <c r="AE798" i="3"/>
  <c r="G798" i="3"/>
  <c r="AE869" i="3"/>
  <c r="G869" i="3"/>
  <c r="AE549" i="3"/>
  <c r="G549" i="3"/>
  <c r="AE37" i="3"/>
  <c r="G37" i="3"/>
  <c r="AE139" i="3"/>
  <c r="G139" i="3"/>
  <c r="AE473" i="3"/>
  <c r="G473" i="3"/>
  <c r="AE640" i="3"/>
  <c r="G640" i="3"/>
  <c r="AE128" i="3"/>
  <c r="G128" i="3"/>
  <c r="AE303" i="3"/>
  <c r="G303" i="3"/>
  <c r="AE446" i="3"/>
  <c r="G446" i="3"/>
  <c r="AE221" i="3"/>
  <c r="G221" i="3"/>
  <c r="AE323" i="3"/>
  <c r="G323" i="3"/>
  <c r="AE657" i="3"/>
  <c r="G657" i="3"/>
  <c r="AE145" i="3"/>
  <c r="G145" i="3"/>
  <c r="AE312" i="3"/>
  <c r="G312" i="3"/>
  <c r="AE390" i="3"/>
  <c r="G390" i="3"/>
  <c r="AE548" i="3"/>
  <c r="G548" i="3"/>
  <c r="AE677" i="3"/>
  <c r="G677" i="3"/>
  <c r="AE846" i="3"/>
  <c r="G846" i="3"/>
  <c r="AE917" i="3"/>
  <c r="G917" i="3"/>
  <c r="AE172" i="3"/>
  <c r="G172" i="3"/>
  <c r="AE85" i="3"/>
  <c r="G85" i="3"/>
  <c r="AE187" i="3"/>
  <c r="G187" i="3"/>
  <c r="AE521" i="3"/>
  <c r="G521" i="3"/>
  <c r="AE9" i="3"/>
  <c r="G9" i="3"/>
  <c r="AE176" i="3"/>
  <c r="G176" i="3"/>
  <c r="AE904" i="3"/>
  <c r="G904" i="3"/>
  <c r="AE118" i="3"/>
  <c r="G118" i="3"/>
  <c r="AE322" i="3"/>
  <c r="G322" i="3"/>
  <c r="AE634" i="3"/>
  <c r="G634" i="3"/>
  <c r="AE717" i="3"/>
  <c r="G717" i="3"/>
  <c r="AE397" i="3"/>
  <c r="G397" i="3"/>
  <c r="AE499" i="3"/>
  <c r="G499" i="3"/>
  <c r="AE154" i="3"/>
  <c r="G154" i="3"/>
  <c r="AE321" i="3"/>
  <c r="G321" i="3"/>
  <c r="AE488" i="3"/>
  <c r="G488" i="3"/>
  <c r="AE151" i="3"/>
  <c r="G151" i="3"/>
  <c r="AE768" i="3"/>
  <c r="G768" i="3"/>
  <c r="AE855" i="3"/>
  <c r="G855" i="3"/>
  <c r="AE1022" i="3"/>
  <c r="G1022" i="3"/>
  <c r="AE383" i="3"/>
  <c r="G383" i="3"/>
  <c r="AE526" i="3"/>
  <c r="G526" i="3"/>
  <c r="AE261" i="3"/>
  <c r="G261" i="3"/>
  <c r="AE363" i="3"/>
  <c r="G363" i="3"/>
  <c r="AE18" i="3"/>
  <c r="G18" i="3"/>
  <c r="AE185" i="3"/>
  <c r="G185" i="3"/>
  <c r="AE352" i="3"/>
  <c r="G352" i="3"/>
  <c r="AE15" i="3"/>
  <c r="G15" i="3"/>
  <c r="AE244" i="3"/>
  <c r="G244" i="3"/>
  <c r="AE418" i="3"/>
  <c r="G418" i="3"/>
  <c r="AE694" i="3"/>
  <c r="G694" i="3"/>
  <c r="AE765" i="3"/>
  <c r="G765" i="3"/>
  <c r="AE445" i="3"/>
  <c r="G445" i="3"/>
  <c r="AE547" i="3"/>
  <c r="G547" i="3"/>
  <c r="AE35" i="3"/>
  <c r="G35" i="3"/>
  <c r="AE369" i="3"/>
  <c r="G369" i="3"/>
  <c r="AE536" i="3"/>
  <c r="G536" i="3"/>
  <c r="AE24" i="3"/>
  <c r="G24" i="3"/>
  <c r="AE1456" i="3"/>
  <c r="G1456" i="3"/>
  <c r="AE1035" i="3"/>
  <c r="G1035" i="3"/>
  <c r="AE952" i="3"/>
  <c r="G952" i="3"/>
  <c r="AE1312" i="3"/>
  <c r="G1312" i="3"/>
  <c r="AE524" i="3"/>
  <c r="G524" i="3"/>
  <c r="AE1121" i="3"/>
  <c r="G1121" i="3"/>
  <c r="AE94" i="3"/>
  <c r="G94" i="3"/>
  <c r="AE1053" i="3"/>
  <c r="G1053" i="3"/>
  <c r="AE997" i="3"/>
  <c r="G997" i="3"/>
  <c r="AE815" i="3"/>
  <c r="G815" i="3"/>
  <c r="AE1335" i="3"/>
  <c r="G1335" i="3"/>
  <c r="AE1248" i="3"/>
  <c r="G1248" i="3"/>
  <c r="AE1183" i="3"/>
  <c r="G1183" i="3"/>
  <c r="AE380" i="3"/>
  <c r="G380" i="3"/>
  <c r="AE364" i="3"/>
  <c r="G364" i="3"/>
  <c r="AE769" i="3"/>
  <c r="G769" i="3"/>
  <c r="AE1170" i="3"/>
  <c r="G1170" i="3"/>
  <c r="AE1031" i="3"/>
  <c r="G1031" i="3"/>
  <c r="AE1256" i="3"/>
  <c r="G1256" i="3"/>
  <c r="AE1442" i="3"/>
  <c r="G1442" i="3"/>
  <c r="AE1105" i="3"/>
  <c r="G1105" i="3"/>
  <c r="AE102" i="3"/>
  <c r="G102" i="3"/>
  <c r="AE991" i="3"/>
  <c r="G991" i="3"/>
  <c r="AE979" i="3"/>
  <c r="G979" i="3"/>
  <c r="AE530" i="3"/>
  <c r="G530" i="3"/>
  <c r="AE1241" i="3"/>
  <c r="G1241" i="3"/>
  <c r="AE1250" i="3"/>
  <c r="G1250" i="3"/>
  <c r="AE642" i="3"/>
  <c r="G642" i="3"/>
  <c r="AE955" i="3"/>
  <c r="G955" i="3"/>
  <c r="AE1272" i="3"/>
  <c r="G1272" i="3"/>
  <c r="AE1297" i="3"/>
  <c r="G1297" i="3"/>
  <c r="AE1011" i="3"/>
  <c r="G1011" i="3"/>
  <c r="AE1317" i="3"/>
  <c r="G1317" i="3"/>
  <c r="AE1307" i="3"/>
  <c r="G1307" i="3"/>
  <c r="AE422" i="3"/>
  <c r="G422" i="3"/>
  <c r="AE835" i="3"/>
  <c r="G835" i="3"/>
  <c r="AE899" i="3"/>
  <c r="G899" i="3"/>
  <c r="AE471" i="3"/>
  <c r="G471" i="3"/>
  <c r="AE1166" i="3"/>
  <c r="G1166" i="3"/>
  <c r="AE1284" i="3"/>
  <c r="G1284" i="3"/>
  <c r="AE591" i="3"/>
  <c r="G591" i="3"/>
  <c r="AE1290" i="3"/>
  <c r="G1290" i="3"/>
  <c r="AE716" i="3"/>
  <c r="G716" i="3"/>
  <c r="AE812" i="3"/>
  <c r="G812" i="3"/>
  <c r="AE407" i="3"/>
  <c r="G407" i="3"/>
  <c r="AE1158" i="3"/>
  <c r="G1158" i="3"/>
  <c r="AE1276" i="3"/>
  <c r="G1276" i="3"/>
  <c r="AE506" i="3"/>
  <c r="G506" i="3"/>
  <c r="AE630" i="3"/>
  <c r="G630" i="3"/>
  <c r="AE1176" i="3"/>
  <c r="G1176" i="3"/>
  <c r="AE1249" i="3"/>
  <c r="G1249" i="3"/>
  <c r="AE975" i="3"/>
  <c r="G975" i="3"/>
  <c r="AE1253" i="3"/>
  <c r="G1253" i="3"/>
  <c r="AE1243" i="3"/>
  <c r="G1243" i="3"/>
  <c r="AE124" i="3"/>
  <c r="G124" i="3"/>
  <c r="AE1273" i="3"/>
  <c r="G1273" i="3"/>
  <c r="AE1423" i="3"/>
  <c r="G1423" i="3"/>
  <c r="AE802" i="3"/>
  <c r="G802" i="3"/>
  <c r="AE1078" i="3"/>
  <c r="G1078" i="3"/>
  <c r="AE1237" i="3"/>
  <c r="G1237" i="3"/>
  <c r="AE1396" i="3"/>
  <c r="G1396" i="3"/>
  <c r="AE692" i="3"/>
  <c r="G692" i="3"/>
  <c r="AE1043" i="3"/>
  <c r="G1043" i="3"/>
  <c r="AE458" i="3"/>
  <c r="G458" i="3"/>
  <c r="AE614" i="3"/>
  <c r="G614" i="3"/>
  <c r="AE918" i="3"/>
  <c r="G918" i="3"/>
  <c r="AE1393" i="3"/>
  <c r="G1393" i="3"/>
  <c r="AE682" i="3"/>
  <c r="G682" i="3"/>
  <c r="AE1029" i="3"/>
  <c r="G1029" i="3"/>
  <c r="AE1198" i="3"/>
  <c r="G1198" i="3"/>
  <c r="AE1357" i="3"/>
  <c r="G1357" i="3"/>
  <c r="AE439" i="3"/>
  <c r="G439" i="3"/>
  <c r="AE999" i="3"/>
  <c r="G999" i="3"/>
  <c r="AE1163" i="3"/>
  <c r="G1163" i="3"/>
  <c r="AE661" i="3"/>
  <c r="G661" i="3"/>
  <c r="AE753" i="3"/>
  <c r="G753" i="3"/>
  <c r="AE711" i="3"/>
  <c r="G711" i="3"/>
  <c r="AE967" i="3"/>
  <c r="G967" i="3"/>
  <c r="AE995" i="3"/>
  <c r="G995" i="3"/>
  <c r="AE1151" i="3"/>
  <c r="G1151" i="3"/>
  <c r="AE1318" i="3"/>
  <c r="G1318" i="3"/>
  <c r="AE70" i="3"/>
  <c r="G70" i="3"/>
  <c r="AE948" i="3"/>
  <c r="G948" i="3"/>
  <c r="AE1124" i="3"/>
  <c r="G1124" i="3"/>
  <c r="AE1283" i="3"/>
  <c r="G1283" i="3"/>
  <c r="AE787" i="3"/>
  <c r="G787" i="3"/>
  <c r="AE873" i="3"/>
  <c r="G873" i="3"/>
  <c r="AE562" i="3"/>
  <c r="G562" i="3"/>
  <c r="AE1213" i="3"/>
  <c r="G1213" i="3"/>
  <c r="AE1372" i="3"/>
  <c r="G1372" i="3"/>
  <c r="AE556" i="3"/>
  <c r="G556" i="3"/>
  <c r="AE1016" i="3"/>
  <c r="G1016" i="3"/>
  <c r="AE410" i="3"/>
  <c r="G410" i="3"/>
  <c r="AE575" i="3"/>
  <c r="G575" i="3"/>
  <c r="AE790" i="3"/>
  <c r="G790" i="3"/>
  <c r="AE1135" i="3"/>
  <c r="G1135" i="3"/>
  <c r="AE1302" i="3"/>
  <c r="G1302" i="3"/>
  <c r="AE1461" i="3"/>
  <c r="G1461" i="3"/>
  <c r="AE907" i="3"/>
  <c r="G907" i="3"/>
  <c r="AE1108" i="3"/>
  <c r="G1108" i="3"/>
  <c r="AE1267" i="3"/>
  <c r="G1267" i="3"/>
  <c r="AE771" i="3"/>
  <c r="G771" i="3"/>
  <c r="AE857" i="3"/>
  <c r="G857" i="3"/>
  <c r="AE436" i="3"/>
  <c r="G436" i="3"/>
  <c r="AE597" i="3"/>
  <c r="G597" i="3"/>
  <c r="AE693" i="3"/>
  <c r="G693" i="3"/>
  <c r="AE373" i="3"/>
  <c r="G373" i="3"/>
  <c r="AE475" i="3"/>
  <c r="G475" i="3"/>
  <c r="AE130" i="3"/>
  <c r="G130" i="3"/>
  <c r="AE297" i="3"/>
  <c r="G297" i="3"/>
  <c r="AE464" i="3"/>
  <c r="G464" i="3"/>
  <c r="AE127" i="3"/>
  <c r="G127" i="3"/>
  <c r="AE678" i="3"/>
  <c r="G678" i="3"/>
  <c r="AE767" i="3"/>
  <c r="G767" i="3"/>
  <c r="AE934" i="3"/>
  <c r="G934" i="3"/>
  <c r="AE207" i="3"/>
  <c r="G207" i="3"/>
  <c r="AE350" i="3"/>
  <c r="G350" i="3"/>
  <c r="AE173" i="3"/>
  <c r="G173" i="3"/>
  <c r="AE275" i="3"/>
  <c r="G275" i="3"/>
  <c r="AE609" i="3"/>
  <c r="G609" i="3"/>
  <c r="AE97" i="3"/>
  <c r="G97" i="3"/>
  <c r="AE264" i="3"/>
  <c r="G264" i="3"/>
  <c r="AE156" i="3"/>
  <c r="G156" i="3"/>
  <c r="AE324" i="3"/>
  <c r="G324" i="3"/>
  <c r="AE498" i="3"/>
  <c r="G498" i="3"/>
  <c r="AE734" i="3"/>
  <c r="G734" i="3"/>
  <c r="AE805" i="3"/>
  <c r="G805" i="3"/>
  <c r="AE485" i="3"/>
  <c r="G485" i="3"/>
  <c r="AE587" i="3"/>
  <c r="G587" i="3"/>
  <c r="AE75" i="3"/>
  <c r="G75" i="3"/>
  <c r="AE409" i="3"/>
  <c r="G409" i="3"/>
  <c r="AE576" i="3"/>
  <c r="G576" i="3"/>
  <c r="AE64" i="3"/>
  <c r="G64" i="3"/>
  <c r="AE174" i="3"/>
  <c r="G174" i="3"/>
  <c r="AE318" i="3"/>
  <c r="G318" i="3"/>
  <c r="AE157" i="3"/>
  <c r="G157" i="3"/>
  <c r="AE259" i="3"/>
  <c r="G259" i="3"/>
  <c r="AE593" i="3"/>
  <c r="G593" i="3"/>
  <c r="AE81" i="3"/>
  <c r="G81" i="3"/>
  <c r="AE248" i="3"/>
  <c r="G248" i="3"/>
  <c r="AE262" i="3"/>
  <c r="G262" i="3"/>
  <c r="AE420" i="3"/>
  <c r="G420" i="3"/>
  <c r="AE586" i="3"/>
  <c r="G586" i="3"/>
  <c r="AE782" i="3"/>
  <c r="G782" i="3"/>
  <c r="AE853" i="3"/>
  <c r="G853" i="3"/>
  <c r="AE533" i="3"/>
  <c r="G533" i="3"/>
  <c r="AE21" i="3"/>
  <c r="G21" i="3"/>
  <c r="AE123" i="3"/>
  <c r="G123" i="3"/>
  <c r="AE457" i="3"/>
  <c r="G457" i="3"/>
  <c r="AE624" i="3"/>
  <c r="G624" i="3"/>
  <c r="AE112" i="3"/>
  <c r="G112" i="3"/>
  <c r="AE840" i="3"/>
  <c r="G840" i="3"/>
  <c r="AE927" i="3"/>
  <c r="G927" i="3"/>
  <c r="AE194" i="3"/>
  <c r="G194" i="3"/>
  <c r="AE527" i="3"/>
  <c r="G527" i="3"/>
  <c r="AE643" i="3"/>
  <c r="G643" i="3"/>
  <c r="AE333" i="3"/>
  <c r="G333" i="3"/>
  <c r="AE435" i="3"/>
  <c r="G435" i="3"/>
  <c r="AE90" i="3"/>
  <c r="G90" i="3"/>
  <c r="AE257" i="3"/>
  <c r="G257" i="3"/>
  <c r="AE424" i="3"/>
  <c r="G424" i="3"/>
  <c r="AE87" i="3"/>
  <c r="G87" i="3"/>
  <c r="AE704" i="3"/>
  <c r="G704" i="3"/>
  <c r="AE791" i="3"/>
  <c r="G791" i="3"/>
  <c r="AE958" i="3"/>
  <c r="G958" i="3"/>
  <c r="AE255" i="3"/>
  <c r="G255" i="3"/>
  <c r="AE398" i="3"/>
  <c r="G398" i="3"/>
  <c r="AE197" i="3"/>
  <c r="G197" i="3"/>
  <c r="AE299" i="3"/>
  <c r="G299" i="3"/>
  <c r="AE633" i="3"/>
  <c r="G633" i="3"/>
  <c r="AE121" i="3"/>
  <c r="G121" i="3"/>
  <c r="AE288" i="3"/>
  <c r="G288" i="3"/>
  <c r="AE888" i="3"/>
  <c r="G888" i="3"/>
  <c r="AE54" i="3"/>
  <c r="G54" i="3"/>
  <c r="AE290" i="3"/>
  <c r="G290" i="3"/>
  <c r="AE610" i="3"/>
  <c r="G610" i="3"/>
  <c r="AE701" i="3"/>
  <c r="G701" i="3"/>
  <c r="AE381" i="3"/>
  <c r="G381" i="3"/>
  <c r="AE483" i="3"/>
  <c r="G483" i="3"/>
  <c r="AE138" i="3"/>
  <c r="G138" i="3"/>
  <c r="AE305" i="3"/>
  <c r="G305" i="3"/>
  <c r="AE472" i="3"/>
  <c r="G472" i="3"/>
  <c r="AE135" i="3"/>
  <c r="G135" i="3"/>
  <c r="AE1353" i="3"/>
  <c r="G1353" i="3"/>
  <c r="AE724" i="3"/>
  <c r="G724" i="3"/>
  <c r="AE839" i="3"/>
  <c r="G839" i="3"/>
  <c r="AE1434" i="3"/>
  <c r="G1434" i="3"/>
  <c r="AE1458" i="3"/>
  <c r="G1458" i="3"/>
  <c r="AE1032" i="3"/>
  <c r="G1032" i="3"/>
  <c r="AE1358" i="3"/>
  <c r="G1358" i="3"/>
  <c r="AE615" i="3"/>
  <c r="G615" i="3"/>
  <c r="AE551" i="3"/>
  <c r="G551" i="3"/>
  <c r="AE1066" i="3"/>
  <c r="G1066" i="3"/>
  <c r="AE263" i="3"/>
  <c r="G263" i="3"/>
  <c r="AE1080" i="3"/>
  <c r="G1080" i="3"/>
  <c r="AE1055" i="3"/>
  <c r="G1055" i="3"/>
  <c r="AE1373" i="3"/>
  <c r="G1373" i="3"/>
  <c r="AE1323" i="3"/>
  <c r="G1323" i="3"/>
  <c r="AE534" i="3"/>
  <c r="G534" i="3"/>
  <c r="AE1153" i="3"/>
  <c r="G1153" i="3"/>
  <c r="AE1280" i="3"/>
  <c r="G1280" i="3"/>
  <c r="AE1186" i="3"/>
  <c r="G1186" i="3"/>
  <c r="AE1394" i="3"/>
  <c r="G1394" i="3"/>
  <c r="AE986" i="3"/>
  <c r="G986" i="3"/>
  <c r="AE1342" i="3"/>
  <c r="G1342" i="3"/>
  <c r="AE183" i="3"/>
  <c r="G183" i="3"/>
  <c r="AE30" i="3"/>
  <c r="G30" i="3"/>
  <c r="AE1322" i="3"/>
  <c r="G1322" i="3"/>
  <c r="AE852" i="3"/>
  <c r="G852" i="3"/>
  <c r="AE1015" i="3"/>
  <c r="G1015" i="3"/>
  <c r="AE994" i="3"/>
  <c r="G994" i="3"/>
  <c r="AE1090" i="3"/>
  <c r="G1090" i="3"/>
  <c r="AE1012" i="3"/>
  <c r="G1012" i="3"/>
  <c r="AE1185" i="3"/>
  <c r="G1185" i="3"/>
  <c r="AE706" i="3"/>
  <c r="G706" i="3"/>
  <c r="AE1133" i="3"/>
  <c r="G1133" i="3"/>
  <c r="AE1123" i="3"/>
  <c r="G1123" i="3"/>
  <c r="AE688" i="3"/>
  <c r="G688" i="3"/>
  <c r="AE1024" i="3"/>
  <c r="G1024" i="3"/>
  <c r="AE1296" i="3"/>
  <c r="G1296" i="3"/>
  <c r="AE1383" i="3"/>
  <c r="G1383" i="3"/>
  <c r="AE1037" i="3"/>
  <c r="G1037" i="3"/>
  <c r="AE1100" i="3"/>
  <c r="G1100" i="3"/>
  <c r="AE234" i="3"/>
  <c r="G234" i="3"/>
  <c r="AE1033" i="3"/>
  <c r="G1033" i="3"/>
  <c r="AE858" i="3"/>
  <c r="G858" i="3"/>
  <c r="AE1200" i="3"/>
  <c r="G1200" i="3"/>
  <c r="AE1375" i="3"/>
  <c r="G1375" i="3"/>
  <c r="AE1028" i="3"/>
  <c r="G1028" i="3"/>
  <c r="AE1092" i="3"/>
  <c r="G1092" i="3"/>
  <c r="AE218" i="3"/>
  <c r="G218" i="3"/>
  <c r="AE940" i="3"/>
  <c r="G940" i="3"/>
  <c r="AE828" i="3"/>
  <c r="G828" i="3"/>
  <c r="AE1161" i="3"/>
  <c r="G1161" i="3"/>
  <c r="AE519" i="3"/>
  <c r="G519" i="3"/>
  <c r="AE1069" i="3"/>
  <c r="G1069" i="3"/>
  <c r="AE1059" i="3"/>
  <c r="G1059" i="3"/>
  <c r="AE228" i="3"/>
  <c r="G228" i="3"/>
  <c r="AE1209" i="3"/>
  <c r="G1209" i="3"/>
  <c r="AE1359" i="3"/>
  <c r="G1359" i="3"/>
  <c r="AE455" i="3"/>
  <c r="G455" i="3"/>
  <c r="AE1010" i="3"/>
  <c r="G1010" i="3"/>
  <c r="AE1173" i="3"/>
  <c r="G1173" i="3"/>
  <c r="AE1332" i="3"/>
  <c r="G1332" i="3"/>
  <c r="AE236" i="3"/>
  <c r="G236" i="3"/>
  <c r="AE970" i="3"/>
  <c r="G970" i="3"/>
  <c r="AE330" i="3"/>
  <c r="G330" i="3"/>
  <c r="AE502" i="3"/>
  <c r="G502" i="3"/>
  <c r="AE332" i="3"/>
  <c r="G332" i="3"/>
  <c r="AE1329" i="3"/>
  <c r="G1329" i="3"/>
  <c r="AE215" i="3"/>
  <c r="G215" i="3"/>
  <c r="AE954" i="3"/>
  <c r="G954" i="3"/>
  <c r="AE1134" i="3"/>
  <c r="G1134" i="3"/>
  <c r="AE1293" i="3"/>
  <c r="G1293" i="3"/>
  <c r="AE1452" i="3"/>
  <c r="G1452" i="3"/>
  <c r="AE883" i="3"/>
  <c r="G883" i="3"/>
  <c r="AE1099" i="3"/>
  <c r="G1099" i="3"/>
  <c r="AE566" i="3"/>
  <c r="G566" i="3"/>
  <c r="AE689" i="3"/>
  <c r="G689" i="3"/>
  <c r="AE274" i="3"/>
  <c r="G274" i="3"/>
  <c r="AE1449" i="3"/>
  <c r="G1449" i="3"/>
  <c r="AE875" i="3"/>
  <c r="G875" i="3"/>
  <c r="AE1087" i="3"/>
  <c r="G1087" i="3"/>
  <c r="AE1254" i="3"/>
  <c r="G1254" i="3"/>
  <c r="AE1413" i="3"/>
  <c r="G1413" i="3"/>
  <c r="AE762" i="3"/>
  <c r="G762" i="3"/>
  <c r="AE1060" i="3"/>
  <c r="G1060" i="3"/>
  <c r="AE1219" i="3"/>
  <c r="G1219" i="3"/>
  <c r="AE723" i="3"/>
  <c r="G723" i="3"/>
  <c r="AE809" i="3"/>
  <c r="G809" i="3"/>
  <c r="AE943" i="3"/>
  <c r="G943" i="3"/>
  <c r="AE1149" i="3"/>
  <c r="G1149" i="3"/>
  <c r="AE1308" i="3"/>
  <c r="G1308" i="3"/>
  <c r="AE1467" i="3"/>
  <c r="G1467" i="3"/>
  <c r="AE923" i="3"/>
  <c r="G923" i="3"/>
  <c r="AE282" i="3"/>
  <c r="G282" i="3"/>
  <c r="AE454" i="3"/>
  <c r="G454" i="3"/>
  <c r="AE834" i="3"/>
  <c r="G834" i="3"/>
  <c r="AE1071" i="3"/>
  <c r="G1071" i="3"/>
  <c r="AE1238" i="3"/>
  <c r="G1238" i="3"/>
  <c r="AE1397" i="3"/>
  <c r="G1397" i="3"/>
  <c r="AE698" i="3"/>
  <c r="G698" i="3"/>
  <c r="AE1044" i="3"/>
  <c r="G1044" i="3"/>
  <c r="AE1203" i="3"/>
  <c r="G1203" i="3"/>
  <c r="AE707" i="3"/>
  <c r="G707" i="3"/>
  <c r="AE793" i="3"/>
  <c r="G793" i="3"/>
  <c r="AE879" i="3"/>
  <c r="G879" i="3"/>
  <c r="AE479" i="3"/>
  <c r="G479" i="3"/>
  <c r="AE607" i="3"/>
  <c r="G607" i="3"/>
  <c r="AE309" i="3"/>
  <c r="G309" i="3"/>
  <c r="AE411" i="3"/>
  <c r="G411" i="3"/>
  <c r="AE66" i="3"/>
  <c r="G66" i="3"/>
  <c r="AE233" i="3"/>
  <c r="G233" i="3"/>
  <c r="AE400" i="3"/>
  <c r="G400" i="3"/>
  <c r="AE63" i="3"/>
  <c r="G63" i="3"/>
  <c r="AE588" i="3"/>
  <c r="G588" i="3"/>
  <c r="AE703" i="3"/>
  <c r="G703" i="3"/>
  <c r="AE870" i="3"/>
  <c r="G870" i="3"/>
  <c r="AE941" i="3"/>
  <c r="G941" i="3"/>
  <c r="AE222" i="3"/>
  <c r="G222" i="3"/>
  <c r="AE109" i="3"/>
  <c r="G109" i="3"/>
  <c r="AE211" i="3"/>
  <c r="G211" i="3"/>
  <c r="AE545" i="3"/>
  <c r="G545" i="3"/>
  <c r="AE33" i="3"/>
  <c r="G33" i="3"/>
  <c r="AE200" i="3"/>
  <c r="G200" i="3"/>
  <c r="AE928" i="3"/>
  <c r="G928" i="3"/>
  <c r="AE196" i="3"/>
  <c r="G196" i="3"/>
  <c r="AE370" i="3"/>
  <c r="G370" i="3"/>
  <c r="AE666" i="3"/>
  <c r="G666" i="3"/>
  <c r="AE741" i="3"/>
  <c r="G741" i="3"/>
  <c r="AE421" i="3"/>
  <c r="G421" i="3"/>
  <c r="AE523" i="3"/>
  <c r="G523" i="3"/>
  <c r="AE11" i="3"/>
  <c r="G11" i="3"/>
  <c r="AE345" i="3"/>
  <c r="G345" i="3"/>
  <c r="AE512" i="3"/>
  <c r="G512" i="3"/>
  <c r="AE175" i="3"/>
  <c r="G175" i="3"/>
  <c r="AE925" i="3"/>
  <c r="G925" i="3"/>
  <c r="AE190" i="3"/>
  <c r="G190" i="3"/>
  <c r="AE93" i="3"/>
  <c r="G93" i="3"/>
  <c r="AE195" i="3"/>
  <c r="G195" i="3"/>
  <c r="AE529" i="3"/>
  <c r="G529" i="3"/>
  <c r="AE17" i="3"/>
  <c r="G17" i="3"/>
  <c r="AE184" i="3"/>
  <c r="G184" i="3"/>
  <c r="AE92" i="3"/>
  <c r="G92" i="3"/>
  <c r="AE292" i="3"/>
  <c r="G292" i="3"/>
  <c r="AE466" i="3"/>
  <c r="G466" i="3"/>
  <c r="AE718" i="3"/>
  <c r="G718" i="3"/>
  <c r="AE789" i="3"/>
  <c r="G789" i="3"/>
  <c r="AE469" i="3"/>
  <c r="G469" i="3"/>
  <c r="AE571" i="3"/>
  <c r="G571" i="3"/>
  <c r="AE59" i="3"/>
  <c r="G59" i="3"/>
  <c r="AE393" i="3"/>
  <c r="G393" i="3"/>
  <c r="AE560" i="3"/>
  <c r="G560" i="3"/>
  <c r="AE48" i="3"/>
  <c r="G48" i="3"/>
  <c r="AE776" i="3"/>
  <c r="G776" i="3"/>
  <c r="AE863" i="3"/>
  <c r="G863" i="3"/>
  <c r="AE1030" i="3"/>
  <c r="G1030" i="3"/>
  <c r="AE399" i="3"/>
  <c r="G399" i="3"/>
  <c r="AE542" i="3"/>
  <c r="G542" i="3"/>
  <c r="AE269" i="3"/>
  <c r="G269" i="3"/>
  <c r="AE371" i="3"/>
  <c r="G371" i="3"/>
  <c r="AE26" i="3"/>
  <c r="G26" i="3"/>
  <c r="AE193" i="3"/>
  <c r="G193" i="3"/>
  <c r="AE360" i="3"/>
  <c r="G360" i="3"/>
  <c r="AE23" i="3"/>
  <c r="G23" i="3"/>
  <c r="AE626" i="3"/>
  <c r="G626" i="3"/>
  <c r="AE727" i="3"/>
  <c r="G727" i="3"/>
  <c r="AE894" i="3"/>
  <c r="G894" i="3"/>
  <c r="AE78" i="3"/>
  <c r="G78" i="3"/>
  <c r="AE270" i="3"/>
  <c r="G270" i="3"/>
  <c r="AE133" i="3"/>
  <c r="G133" i="3"/>
  <c r="AE235" i="3"/>
  <c r="G235" i="3"/>
  <c r="AE569" i="3"/>
  <c r="G569" i="3"/>
  <c r="AE57" i="3"/>
  <c r="G57" i="3"/>
  <c r="AE224" i="3"/>
  <c r="G224" i="3"/>
  <c r="AE824" i="3"/>
  <c r="G824" i="3"/>
  <c r="AE911" i="3"/>
  <c r="G911" i="3"/>
  <c r="AE148" i="3"/>
  <c r="G148" i="3"/>
  <c r="AE495" i="3"/>
  <c r="G495" i="3"/>
  <c r="AE621" i="3"/>
  <c r="G621" i="3"/>
  <c r="AE317" i="3"/>
  <c r="G317" i="3"/>
  <c r="AE419" i="3"/>
  <c r="G419" i="3"/>
  <c r="AE74" i="3"/>
  <c r="G74" i="3"/>
  <c r="AE241" i="3"/>
  <c r="G241" i="3"/>
  <c r="AE408" i="3"/>
  <c r="G408" i="3"/>
  <c r="AE71" i="3"/>
  <c r="G71" i="3"/>
  <c r="AE1041" i="3"/>
  <c r="G1041" i="3"/>
  <c r="AE1379" i="3"/>
  <c r="G1379" i="3"/>
  <c r="AE1450" i="3"/>
  <c r="G1450" i="3"/>
  <c r="AE1050" i="3"/>
  <c r="G1050" i="3"/>
  <c r="AE1138" i="3"/>
  <c r="G1138" i="3"/>
  <c r="AE810" i="3"/>
  <c r="G810" i="3"/>
  <c r="AE1230" i="3"/>
  <c r="G1230" i="3"/>
  <c r="AE1356" i="3"/>
  <c r="G1356" i="3"/>
  <c r="AE691" i="3"/>
  <c r="G691" i="3"/>
  <c r="AE1128" i="3"/>
  <c r="G1128" i="3"/>
  <c r="AE983" i="3"/>
  <c r="G983" i="3"/>
  <c r="AE1042" i="3"/>
  <c r="G1042" i="3"/>
  <c r="AE850" i="3"/>
  <c r="G850" i="3"/>
  <c r="AE1189" i="3"/>
  <c r="G1189" i="3"/>
  <c r="AE1179" i="3"/>
  <c r="G1179" i="3"/>
  <c r="AE752" i="3"/>
  <c r="G752" i="3"/>
  <c r="AE1463" i="3"/>
  <c r="G1463" i="3"/>
  <c r="AE1282" i="3"/>
  <c r="G1282" i="3"/>
  <c r="AE1242" i="3"/>
  <c r="G1242" i="3"/>
  <c r="AE1005" i="3"/>
  <c r="G1005" i="3"/>
  <c r="AE746" i="3"/>
  <c r="G746" i="3"/>
  <c r="AE1214" i="3"/>
  <c r="G1214" i="3"/>
  <c r="AE1340" i="3"/>
  <c r="G1340" i="3"/>
  <c r="AE618" i="3"/>
  <c r="G618" i="3"/>
  <c r="AE1384" i="3"/>
  <c r="G1384" i="3"/>
  <c r="AE1207" i="3"/>
  <c r="G1207" i="3"/>
  <c r="AE1370" i="3"/>
  <c r="G1370" i="3"/>
  <c r="AE1184" i="3"/>
  <c r="G1184" i="3"/>
  <c r="AE1120" i="3"/>
  <c r="G1120" i="3"/>
  <c r="AE1314" i="3"/>
  <c r="G1314" i="3"/>
  <c r="AE1097" i="3"/>
  <c r="G1097" i="3"/>
  <c r="AE1438" i="3"/>
  <c r="G1438" i="3"/>
  <c r="AE981" i="3"/>
  <c r="G981" i="3"/>
  <c r="AE882" i="3"/>
  <c r="G882" i="3"/>
  <c r="AE482" i="3"/>
  <c r="G482" i="3"/>
  <c r="AE1021" i="3"/>
  <c r="G1021" i="3"/>
  <c r="AE674" i="3"/>
  <c r="G674" i="3"/>
  <c r="AE1255" i="3"/>
  <c r="G1255" i="3"/>
  <c r="AE796" i="3"/>
  <c r="G796" i="3"/>
  <c r="AE924" i="3"/>
  <c r="G924" i="3"/>
  <c r="AE849" i="3"/>
  <c r="G849" i="3"/>
  <c r="AE1416" i="3"/>
  <c r="G1416" i="3"/>
  <c r="AE851" i="3"/>
  <c r="G851" i="3"/>
  <c r="AE460" i="3"/>
  <c r="G460" i="3"/>
  <c r="AE1247" i="3"/>
  <c r="G1247" i="3"/>
  <c r="AE764" i="3"/>
  <c r="G764" i="3"/>
  <c r="AE788" i="3"/>
  <c r="G788" i="3"/>
  <c r="AE841" i="3"/>
  <c r="G841" i="3"/>
  <c r="AE938" i="3"/>
  <c r="G938" i="3"/>
  <c r="AE1216" i="3"/>
  <c r="G1216" i="3"/>
  <c r="AE1049" i="3"/>
  <c r="G1049" i="3"/>
  <c r="AE1406" i="3"/>
  <c r="G1406" i="3"/>
  <c r="AE843" i="3"/>
  <c r="G843" i="3"/>
  <c r="AE650" i="3"/>
  <c r="G650" i="3"/>
  <c r="AE982" i="3"/>
  <c r="G982" i="3"/>
  <c r="AE1145" i="3"/>
  <c r="G1145" i="3"/>
  <c r="AE1295" i="3"/>
  <c r="G1295" i="3"/>
  <c r="AE1462" i="3"/>
  <c r="G1462" i="3"/>
  <c r="AE908" i="3"/>
  <c r="G908" i="3"/>
  <c r="AE1109" i="3"/>
  <c r="G1109" i="3"/>
  <c r="AE1268" i="3"/>
  <c r="G1268" i="3"/>
  <c r="AE1427" i="3"/>
  <c r="G1427" i="3"/>
  <c r="AE818" i="3"/>
  <c r="G818" i="3"/>
  <c r="AE202" i="3"/>
  <c r="G202" i="3"/>
  <c r="AE342" i="3"/>
  <c r="G342" i="3"/>
  <c r="AE1362" i="3"/>
  <c r="G1362" i="3"/>
  <c r="AE1265" i="3"/>
  <c r="G1265" i="3"/>
  <c r="AE1415" i="3"/>
  <c r="G1415" i="3"/>
  <c r="AE770" i="3"/>
  <c r="G770" i="3"/>
  <c r="AE1070" i="3"/>
  <c r="G1070" i="3"/>
  <c r="AE1229" i="3"/>
  <c r="G1229" i="3"/>
  <c r="AE1388" i="3"/>
  <c r="G1388" i="3"/>
  <c r="AE652" i="3"/>
  <c r="G652" i="3"/>
  <c r="AE1034" i="3"/>
  <c r="G1034" i="3"/>
  <c r="AE442" i="3"/>
  <c r="G442" i="3"/>
  <c r="AE602" i="3"/>
  <c r="G602" i="3"/>
  <c r="AE878" i="3"/>
  <c r="G878" i="3"/>
  <c r="AE1385" i="3"/>
  <c r="G1385" i="3"/>
  <c r="AE638" i="3"/>
  <c r="G638" i="3"/>
  <c r="AE1020" i="3"/>
  <c r="G1020" i="3"/>
  <c r="AE1190" i="3"/>
  <c r="G1190" i="3"/>
  <c r="AE1349" i="3"/>
  <c r="G1349" i="3"/>
  <c r="AE375" i="3"/>
  <c r="G375" i="3"/>
  <c r="AE989" i="3"/>
  <c r="G989" i="3"/>
  <c r="AE1155" i="3"/>
  <c r="G1155" i="3"/>
  <c r="AE651" i="3"/>
  <c r="G651" i="3"/>
  <c r="AE745" i="3"/>
  <c r="G745" i="3"/>
  <c r="AE687" i="3"/>
  <c r="G687" i="3"/>
  <c r="AE1085" i="3"/>
  <c r="G1085" i="3"/>
  <c r="AE1244" i="3"/>
  <c r="G1244" i="3"/>
  <c r="AE1403" i="3"/>
  <c r="G1403" i="3"/>
  <c r="AE722" i="3"/>
  <c r="G722" i="3"/>
  <c r="AE132" i="3"/>
  <c r="G132" i="3"/>
  <c r="AE214" i="3"/>
  <c r="G214" i="3"/>
  <c r="AE535" i="3"/>
  <c r="G535" i="3"/>
  <c r="AE1002" i="3"/>
  <c r="G1002" i="3"/>
  <c r="AE1174" i="3"/>
  <c r="G1174" i="3"/>
  <c r="AE1333" i="3"/>
  <c r="G1333" i="3"/>
  <c r="AE247" i="3"/>
  <c r="G247" i="3"/>
  <c r="AE971" i="3"/>
  <c r="G971" i="3"/>
  <c r="AE1139" i="3"/>
  <c r="G1139" i="3"/>
  <c r="AE629" i="3"/>
  <c r="G629" i="3"/>
  <c r="AE729" i="3"/>
  <c r="G729" i="3"/>
  <c r="AE598" i="3"/>
  <c r="G598" i="3"/>
  <c r="AE351" i="3"/>
  <c r="G351" i="3"/>
  <c r="AE494" i="3"/>
  <c r="G494" i="3"/>
  <c r="AE245" i="3"/>
  <c r="G245" i="3"/>
  <c r="AE347" i="3"/>
  <c r="G347" i="3"/>
  <c r="AE681" i="3"/>
  <c r="G681" i="3"/>
  <c r="AE169" i="3"/>
  <c r="G169" i="3"/>
  <c r="AE336" i="3"/>
  <c r="G336" i="3"/>
  <c r="AE310" i="3"/>
  <c r="G310" i="3"/>
  <c r="AE468" i="3"/>
  <c r="G468" i="3"/>
  <c r="AE623" i="3"/>
  <c r="G623" i="3"/>
  <c r="AE806" i="3"/>
  <c r="G806" i="3"/>
  <c r="AE877" i="3"/>
  <c r="G877" i="3"/>
  <c r="AE12" i="3"/>
  <c r="G12" i="3"/>
  <c r="AE45" i="3"/>
  <c r="G45" i="3"/>
  <c r="AE147" i="3"/>
  <c r="G147" i="3"/>
  <c r="AE481" i="3"/>
  <c r="G481" i="3"/>
  <c r="AE648" i="3"/>
  <c r="G648" i="3"/>
  <c r="AE136" i="3"/>
  <c r="G136" i="3"/>
  <c r="AE864" i="3"/>
  <c r="G864" i="3"/>
  <c r="AE951" i="3"/>
  <c r="G951" i="3"/>
  <c r="AE242" i="3"/>
  <c r="G242" i="3"/>
  <c r="AE572" i="3"/>
  <c r="G572" i="3"/>
  <c r="AE675" i="3"/>
  <c r="G675" i="3"/>
  <c r="AE357" i="3"/>
  <c r="G357" i="3"/>
  <c r="AE459" i="3"/>
  <c r="G459" i="3"/>
  <c r="AE114" i="3"/>
  <c r="G114" i="3"/>
  <c r="AE281" i="3"/>
  <c r="G281" i="3"/>
  <c r="AE448" i="3"/>
  <c r="G448" i="3"/>
  <c r="AE111" i="3"/>
  <c r="G111" i="3"/>
  <c r="AE861" i="3"/>
  <c r="G861" i="3"/>
  <c r="AE541" i="3"/>
  <c r="G541" i="3"/>
  <c r="AE29" i="3"/>
  <c r="G29" i="3"/>
  <c r="AE131" i="3"/>
  <c r="G131" i="3"/>
  <c r="AE465" i="3"/>
  <c r="G465" i="3"/>
  <c r="AE632" i="3"/>
  <c r="G632" i="3"/>
  <c r="AE120" i="3"/>
  <c r="G120" i="3"/>
  <c r="AE912" i="3"/>
  <c r="G912" i="3"/>
  <c r="AE150" i="3"/>
  <c r="G150" i="3"/>
  <c r="AE338" i="3"/>
  <c r="G338" i="3"/>
  <c r="AE644" i="3"/>
  <c r="G644" i="3"/>
  <c r="AE725" i="3"/>
  <c r="G725" i="3"/>
  <c r="AE405" i="3"/>
  <c r="G405" i="3"/>
  <c r="AE507" i="3"/>
  <c r="G507" i="3"/>
  <c r="AE162" i="3"/>
  <c r="G162" i="3"/>
  <c r="AE329" i="3"/>
  <c r="G329" i="3"/>
  <c r="AE496" i="3"/>
  <c r="G496" i="3"/>
  <c r="AE159" i="3"/>
  <c r="G159" i="3"/>
  <c r="AE712" i="3"/>
  <c r="G712" i="3"/>
  <c r="AE799" i="3"/>
  <c r="G799" i="3"/>
  <c r="AE966" i="3"/>
  <c r="G966" i="3"/>
  <c r="AE271" i="3"/>
  <c r="G271" i="3"/>
  <c r="AE414" i="3"/>
  <c r="G414" i="3"/>
  <c r="AE205" i="3"/>
  <c r="G205" i="3"/>
  <c r="AE307" i="3"/>
  <c r="G307" i="3"/>
  <c r="AE641" i="3"/>
  <c r="G641" i="3"/>
  <c r="AE129" i="3"/>
  <c r="G129" i="3"/>
  <c r="AE296" i="3"/>
  <c r="G296" i="3"/>
  <c r="AE358" i="3"/>
  <c r="G358" i="3"/>
  <c r="AE516" i="3"/>
  <c r="G516" i="3"/>
  <c r="AE655" i="3"/>
  <c r="G655" i="3"/>
  <c r="AE830" i="3"/>
  <c r="G830" i="3"/>
  <c r="AE901" i="3"/>
  <c r="G901" i="3"/>
  <c r="AE108" i="3"/>
  <c r="G108" i="3"/>
  <c r="AE69" i="3"/>
  <c r="G69" i="3"/>
  <c r="AE171" i="3"/>
  <c r="G171" i="3"/>
  <c r="AE505" i="3"/>
  <c r="G505" i="3"/>
  <c r="AE672" i="3"/>
  <c r="G672" i="3"/>
  <c r="AE160" i="3"/>
  <c r="G160" i="3"/>
  <c r="AE760" i="3"/>
  <c r="G760" i="3"/>
  <c r="AE847" i="3"/>
  <c r="G847" i="3"/>
  <c r="AE1014" i="3"/>
  <c r="G1014" i="3"/>
  <c r="AE367" i="3"/>
  <c r="G367" i="3"/>
  <c r="AE510" i="3"/>
  <c r="G510" i="3"/>
  <c r="AE253" i="3"/>
  <c r="G253" i="3"/>
  <c r="AE355" i="3"/>
  <c r="G355" i="3"/>
  <c r="AE10" i="3"/>
  <c r="G10" i="3"/>
  <c r="AE177" i="3"/>
  <c r="G177" i="3"/>
  <c r="AE344" i="3"/>
  <c r="G344" i="3"/>
  <c r="AE7" i="3"/>
  <c r="G7" i="3"/>
  <c r="R1469" i="3"/>
  <c r="Q1469" i="3"/>
  <c r="P1468" i="3"/>
  <c r="Q1468" i="3"/>
  <c r="AN1469" i="3"/>
  <c r="AN1468" i="3"/>
  <c r="R1468" i="3"/>
  <c r="O1469" i="3"/>
  <c r="P1469" i="3"/>
  <c r="O1468" i="3"/>
  <c r="O739" i="3"/>
  <c r="R1035" i="3"/>
  <c r="AQ1035" i="3" s="1"/>
  <c r="R700" i="3"/>
  <c r="AQ700" i="3" s="1"/>
  <c r="P1465" i="3"/>
  <c r="R1450" i="3"/>
  <c r="O1434" i="3"/>
  <c r="O1417" i="3"/>
  <c r="Q1392" i="3"/>
  <c r="P1347" i="3"/>
  <c r="R1307" i="3"/>
  <c r="O1269" i="3"/>
  <c r="O1227" i="3"/>
  <c r="R1187" i="3"/>
  <c r="P1137" i="3"/>
  <c r="Q1075" i="3"/>
  <c r="O1015" i="3"/>
  <c r="Q945" i="3"/>
  <c r="Q874" i="3"/>
  <c r="Q1463" i="3"/>
  <c r="R1332" i="3"/>
  <c r="Q1045" i="3"/>
  <c r="O1463" i="3"/>
  <c r="Q1365" i="3"/>
  <c r="O1307" i="3"/>
  <c r="Q1268" i="3"/>
  <c r="O1231" i="3"/>
  <c r="P1187" i="3"/>
  <c r="R1135" i="3"/>
  <c r="AQ1135" i="3" s="1"/>
  <c r="O1074" i="3"/>
  <c r="Q1013" i="3"/>
  <c r="O944" i="3"/>
  <c r="Q882" i="3"/>
  <c r="Q1465" i="3"/>
  <c r="R1269" i="3"/>
  <c r="O1023" i="3"/>
  <c r="Q1336" i="3"/>
  <c r="R1429" i="3"/>
  <c r="R1412" i="3"/>
  <c r="P1380" i="3"/>
  <c r="O1341" i="3"/>
  <c r="P1287" i="3"/>
  <c r="O1244" i="3"/>
  <c r="P1201" i="3"/>
  <c r="Q1158" i="3"/>
  <c r="R1096" i="3"/>
  <c r="AQ1096" i="3" s="1"/>
  <c r="Q1035" i="3"/>
  <c r="R974" i="3"/>
  <c r="AQ974" i="3" s="1"/>
  <c r="Q904" i="3"/>
  <c r="O774" i="3"/>
  <c r="O1438" i="3"/>
  <c r="R1298" i="3"/>
  <c r="P1153" i="3"/>
  <c r="Q930" i="3"/>
  <c r="P1426" i="3"/>
  <c r="Q1433" i="3"/>
  <c r="O1448" i="3"/>
  <c r="P1420" i="3"/>
  <c r="P1391" i="3"/>
  <c r="P1355" i="3"/>
  <c r="P1315" i="3"/>
  <c r="O1272" i="3"/>
  <c r="Q1234" i="3"/>
  <c r="Q1195" i="3"/>
  <c r="Q1141" i="3"/>
  <c r="O1072" i="3"/>
  <c r="Q1011" i="3"/>
  <c r="O950" i="3"/>
  <c r="P888" i="3"/>
  <c r="Q249" i="3"/>
  <c r="P861" i="3"/>
  <c r="O1392" i="3"/>
  <c r="P1435" i="3"/>
  <c r="O1446" i="3"/>
  <c r="R1405" i="3"/>
  <c r="O1281" i="3"/>
  <c r="R1063" i="3"/>
  <c r="AQ1063" i="3" s="1"/>
  <c r="P1460" i="3"/>
  <c r="Q1437" i="3"/>
  <c r="P1425" i="3"/>
  <c r="Q1285" i="3"/>
  <c r="R1108" i="3"/>
  <c r="AQ1108" i="3" s="1"/>
  <c r="O834" i="3"/>
  <c r="P1438" i="3"/>
  <c r="P1328" i="3"/>
  <c r="Q1154" i="3"/>
  <c r="Q900" i="3"/>
  <c r="Q832" i="3"/>
  <c r="R1406" i="3"/>
  <c r="O1345" i="3"/>
  <c r="O1279" i="3"/>
  <c r="P1213" i="3"/>
  <c r="O1149" i="3"/>
  <c r="Q1085" i="3"/>
  <c r="R1003" i="3"/>
  <c r="AQ1003" i="3" s="1"/>
  <c r="Q579" i="3"/>
  <c r="P1463" i="3"/>
  <c r="R1448" i="3"/>
  <c r="O1432" i="3"/>
  <c r="P1415" i="3"/>
  <c r="R1388" i="3"/>
  <c r="O1342" i="3"/>
  <c r="Q1302" i="3"/>
  <c r="Q1264" i="3"/>
  <c r="P1222" i="3"/>
  <c r="Q1182" i="3"/>
  <c r="Q1129" i="3"/>
  <c r="R1067" i="3"/>
  <c r="AQ1067" i="3" s="1"/>
  <c r="Q1007" i="3"/>
  <c r="R937" i="3"/>
  <c r="AQ937" i="3" s="1"/>
  <c r="Q859" i="3"/>
  <c r="P1456" i="3"/>
  <c r="O1308" i="3"/>
  <c r="Q1015" i="3"/>
  <c r="Q1450" i="3"/>
  <c r="P1361" i="3"/>
  <c r="O1302" i="3"/>
  <c r="R1263" i="3"/>
  <c r="Q1226" i="3"/>
  <c r="R1181" i="3"/>
  <c r="O1128" i="3"/>
  <c r="P1066" i="3"/>
  <c r="O1006" i="3"/>
  <c r="P936" i="3"/>
  <c r="R872" i="3"/>
  <c r="AQ872" i="3" s="1"/>
  <c r="O1451" i="3"/>
  <c r="Q1241" i="3"/>
  <c r="Q992" i="3"/>
  <c r="O1428" i="3"/>
  <c r="P1410" i="3"/>
  <c r="P1376" i="3"/>
  <c r="R1335" i="3"/>
  <c r="Q1282" i="3"/>
  <c r="R1239" i="3"/>
  <c r="O1196" i="3"/>
  <c r="R1150" i="3"/>
  <c r="AQ1150" i="3" s="1"/>
  <c r="O1089" i="3"/>
  <c r="O1028" i="3"/>
  <c r="O967" i="3"/>
  <c r="R896" i="3"/>
  <c r="AQ896" i="3" s="1"/>
  <c r="R652" i="3"/>
  <c r="AQ652" i="3" s="1"/>
  <c r="Q1430" i="3"/>
  <c r="P1279" i="3"/>
  <c r="O1122" i="3"/>
  <c r="O846" i="3"/>
  <c r="R1420" i="3"/>
  <c r="R1464" i="3"/>
  <c r="R1444" i="3"/>
  <c r="P1418" i="3"/>
  <c r="Q1387" i="3"/>
  <c r="O1350" i="3"/>
  <c r="P1310" i="3"/>
  <c r="Q1267" i="3"/>
  <c r="Q1229" i="3"/>
  <c r="R1185" i="3"/>
  <c r="R1133" i="3"/>
  <c r="AQ1133" i="3" s="1"/>
  <c r="P1064" i="3"/>
  <c r="O1004" i="3"/>
  <c r="P942" i="3"/>
  <c r="R880" i="3"/>
  <c r="AQ880" i="3" s="1"/>
  <c r="R1426" i="3"/>
  <c r="P1351" i="3"/>
  <c r="Q1464" i="3"/>
  <c r="P1431" i="3"/>
  <c r="P1466" i="3"/>
  <c r="Q1440" i="3"/>
  <c r="R1390" i="3"/>
  <c r="P1276" i="3"/>
  <c r="P1056" i="3"/>
  <c r="Q1454" i="3"/>
  <c r="O1430" i="3"/>
  <c r="P1423" i="3"/>
  <c r="R1280" i="3"/>
  <c r="P1101" i="3"/>
  <c r="R810" i="3"/>
  <c r="AQ810" i="3" s="1"/>
  <c r="Q1436" i="3"/>
  <c r="Q1323" i="3"/>
  <c r="R1146" i="3"/>
  <c r="AQ1146" i="3" s="1"/>
  <c r="O893" i="3"/>
  <c r="Q830" i="3"/>
  <c r="R1404" i="3"/>
  <c r="O1343" i="3"/>
  <c r="P1277" i="3"/>
  <c r="Q1211" i="3"/>
  <c r="O1147" i="3"/>
  <c r="Q1083" i="3"/>
  <c r="Q988" i="3"/>
  <c r="R1461" i="3"/>
  <c r="P1445" i="3"/>
  <c r="P1430" i="3"/>
  <c r="Q1413" i="3"/>
  <c r="O1381" i="3"/>
  <c r="P1337" i="3"/>
  <c r="O1298" i="3"/>
  <c r="R1259" i="3"/>
  <c r="P1217" i="3"/>
  <c r="R1177" i="3"/>
  <c r="Q1121" i="3"/>
  <c r="O1060" i="3"/>
  <c r="O992" i="3"/>
  <c r="O930" i="3"/>
  <c r="O844" i="3"/>
  <c r="R1443" i="3"/>
  <c r="Q1274" i="3"/>
  <c r="P969" i="3"/>
  <c r="P1439" i="3"/>
  <c r="P1356" i="3"/>
  <c r="P1297" i="3"/>
  <c r="P1259" i="3"/>
  <c r="Q1221" i="3"/>
  <c r="O1177" i="3"/>
  <c r="O1120" i="3"/>
  <c r="Q1058" i="3"/>
  <c r="Q998" i="3"/>
  <c r="Q928" i="3"/>
  <c r="Q857" i="3"/>
  <c r="R1439" i="3"/>
  <c r="O1213" i="3"/>
  <c r="Q961" i="3"/>
  <c r="R1466" i="3"/>
  <c r="O1426" i="3"/>
  <c r="O1403" i="3"/>
  <c r="R1372" i="3"/>
  <c r="O1331" i="3"/>
  <c r="Q1277" i="3"/>
  <c r="P1230" i="3"/>
  <c r="P1191" i="3"/>
  <c r="O1143" i="3"/>
  <c r="P1081" i="3"/>
  <c r="Q1020" i="3"/>
  <c r="P959" i="3"/>
  <c r="R889" i="3"/>
  <c r="AQ889" i="3" s="1"/>
  <c r="P371" i="3"/>
  <c r="P1419" i="3"/>
  <c r="Q1255" i="3"/>
  <c r="Q1091" i="3"/>
  <c r="P1413" i="3"/>
  <c r="P1461" i="3"/>
  <c r="R1440" i="3"/>
  <c r="Q1416" i="3"/>
  <c r="R1383" i="3"/>
  <c r="P1345" i="3"/>
  <c r="R1305" i="3"/>
  <c r="Q1262" i="3"/>
  <c r="P1225" i="3"/>
  <c r="R1180" i="3"/>
  <c r="O1126" i="3"/>
  <c r="R1056" i="3"/>
  <c r="AQ1056" i="3" s="1"/>
  <c r="Q996" i="3"/>
  <c r="Q934" i="3"/>
  <c r="R868" i="3"/>
  <c r="AQ868" i="3" s="1"/>
  <c r="P1411" i="3"/>
  <c r="Q1461" i="3"/>
  <c r="O1461" i="3"/>
  <c r="R1427" i="3"/>
  <c r="P1464" i="3"/>
  <c r="R1438" i="3"/>
  <c r="R1386" i="3"/>
  <c r="P1238" i="3"/>
  <c r="Q1003" i="3"/>
  <c r="Q1366" i="3"/>
  <c r="P1405" i="3"/>
  <c r="O1247" i="3"/>
  <c r="Q1047" i="3"/>
  <c r="R1424" i="3"/>
  <c r="P1421" i="3"/>
  <c r="R1289" i="3"/>
  <c r="O1093" i="3"/>
  <c r="R716" i="3"/>
  <c r="AQ716" i="3" s="1"/>
  <c r="R806" i="3"/>
  <c r="AQ806" i="3" s="1"/>
  <c r="R1389" i="3"/>
  <c r="O1328" i="3"/>
  <c r="R1262" i="3"/>
  <c r="P1196" i="3"/>
  <c r="Q1133" i="3"/>
  <c r="O1070" i="3"/>
  <c r="O1460" i="3"/>
  <c r="Q1443" i="3"/>
  <c r="Q1428" i="3"/>
  <c r="R1410" i="3"/>
  <c r="O1377" i="3"/>
  <c r="O1332" i="3"/>
  <c r="P1293" i="3"/>
  <c r="R1254" i="3"/>
  <c r="P1212" i="3"/>
  <c r="Q1172" i="3"/>
  <c r="R1113" i="3"/>
  <c r="AQ1113" i="3" s="1"/>
  <c r="Q1052" i="3"/>
  <c r="P984" i="3"/>
  <c r="P922" i="3"/>
  <c r="O828" i="3"/>
  <c r="P1432" i="3"/>
  <c r="R1245" i="3"/>
  <c r="P938" i="3"/>
  <c r="P1428" i="3"/>
  <c r="R1346" i="3"/>
  <c r="R1292" i="3"/>
  <c r="O1254" i="3"/>
  <c r="R1216" i="3"/>
  <c r="O1172" i="3"/>
  <c r="P1112" i="3"/>
  <c r="O1051" i="3"/>
  <c r="R990" i="3"/>
  <c r="AQ990" i="3" s="1"/>
  <c r="R920" i="3"/>
  <c r="AQ920" i="3" s="1"/>
  <c r="O842" i="3"/>
  <c r="O1421" i="3"/>
  <c r="O1178" i="3"/>
  <c r="P876" i="3"/>
  <c r="Q1455" i="3"/>
  <c r="O1424" i="3"/>
  <c r="P1399" i="3"/>
  <c r="O1369" i="3"/>
  <c r="R1320" i="3"/>
  <c r="R1272" i="3"/>
  <c r="O1226" i="3"/>
  <c r="Q1186" i="3"/>
  <c r="P1135" i="3"/>
  <c r="Q1073" i="3"/>
  <c r="O1013" i="3"/>
  <c r="Q951" i="3"/>
  <c r="O882" i="3"/>
  <c r="P1408" i="3"/>
  <c r="Q1236" i="3"/>
  <c r="Q1060" i="3"/>
  <c r="O1465" i="3"/>
  <c r="Q1399" i="3"/>
  <c r="Q1457" i="3"/>
  <c r="Q1466" i="3"/>
  <c r="O1437" i="3"/>
  <c r="Q1412" i="3"/>
  <c r="R1379" i="3"/>
  <c r="P1340" i="3"/>
  <c r="P1296" i="3"/>
  <c r="R1257" i="3"/>
  <c r="P1220" i="3"/>
  <c r="R1175" i="3"/>
  <c r="O1118" i="3"/>
  <c r="O1049" i="3"/>
  <c r="R988" i="3"/>
  <c r="AQ988" i="3" s="1"/>
  <c r="R926" i="3"/>
  <c r="AQ926" i="3" s="1"/>
  <c r="R853" i="3"/>
  <c r="AQ853" i="3" s="1"/>
  <c r="R1381" i="3"/>
  <c r="Q1452" i="3"/>
  <c r="Q1459" i="3"/>
  <c r="P1457" i="3"/>
  <c r="O1422" i="3"/>
  <c r="Q1462" i="3"/>
  <c r="O1431" i="3"/>
  <c r="O1375" i="3"/>
  <c r="O1229" i="3"/>
  <c r="O996" i="3"/>
  <c r="R1337" i="3"/>
  <c r="P1401" i="3"/>
  <c r="Q1242" i="3"/>
  <c r="P1032" i="3"/>
  <c r="R1413" i="3"/>
  <c r="Q1419" i="3"/>
  <c r="R1284" i="3"/>
  <c r="P1085" i="3"/>
  <c r="O595" i="3"/>
  <c r="P799" i="3"/>
  <c r="R1387" i="3"/>
  <c r="O1326" i="3"/>
  <c r="O1261" i="3"/>
  <c r="R1194" i="3"/>
  <c r="Q1131" i="3"/>
  <c r="O1068" i="3"/>
  <c r="O1458" i="3"/>
  <c r="Q1441" i="3"/>
  <c r="Q1426" i="3"/>
  <c r="Q1407" i="3"/>
  <c r="P1373" i="3"/>
  <c r="O1327" i="3"/>
  <c r="Q1288" i="3"/>
  <c r="P1250" i="3"/>
  <c r="Q1207" i="3"/>
  <c r="Q1167" i="3"/>
  <c r="P1106" i="3"/>
  <c r="O1045" i="3"/>
  <c r="Q976" i="3"/>
  <c r="Q914" i="3"/>
  <c r="R789" i="3"/>
  <c r="AQ789" i="3" s="1"/>
  <c r="Q1415" i="3"/>
  <c r="R1227" i="3"/>
  <c r="O915" i="3"/>
  <c r="R1418" i="3"/>
  <c r="R1331" i="3"/>
  <c r="O1288" i="3"/>
  <c r="Q1249" i="3"/>
  <c r="R1211" i="3"/>
  <c r="R1166" i="3"/>
  <c r="AQ1166" i="3" s="1"/>
  <c r="R1104" i="3"/>
  <c r="AQ1104" i="3" s="1"/>
  <c r="Q1043" i="3"/>
  <c r="O983" i="3"/>
  <c r="O913" i="3"/>
  <c r="O826" i="3"/>
  <c r="O1397" i="3"/>
  <c r="R1137" i="3"/>
  <c r="AQ1137" i="3" s="1"/>
  <c r="R1457" i="3"/>
  <c r="P1448" i="3"/>
  <c r="P1422" i="3"/>
  <c r="Q1395" i="3"/>
  <c r="P1365" i="3"/>
  <c r="O1311" i="3"/>
  <c r="O1268" i="3"/>
  <c r="R1220" i="3"/>
  <c r="P1181" i="3"/>
  <c r="Q1127" i="3"/>
  <c r="R1065" i="3"/>
  <c r="AQ1065" i="3" s="1"/>
  <c r="Q1005" i="3"/>
  <c r="R943" i="3"/>
  <c r="AQ943" i="3" s="1"/>
  <c r="R870" i="3"/>
  <c r="AQ870" i="3" s="1"/>
  <c r="Q1467" i="3"/>
  <c r="Q1389" i="3"/>
  <c r="R1222" i="3"/>
  <c r="Q1030" i="3"/>
  <c r="R1455" i="3"/>
  <c r="Q1384" i="3"/>
  <c r="P1452" i="3"/>
  <c r="R1462" i="3"/>
  <c r="P1433" i="3"/>
  <c r="O1410" i="3"/>
  <c r="R1375" i="3"/>
  <c r="P1335" i="3"/>
  <c r="R1291" i="3"/>
  <c r="O1253" i="3"/>
  <c r="P1215" i="3"/>
  <c r="Q1170" i="3"/>
  <c r="Q1110" i="3"/>
  <c r="Q1041" i="3"/>
  <c r="O981" i="3"/>
  <c r="O919" i="3"/>
  <c r="O838" i="3"/>
  <c r="Q1357" i="3"/>
  <c r="P1441" i="3"/>
  <c r="P1450" i="3"/>
  <c r="R1453" i="3"/>
  <c r="R1414" i="3"/>
  <c r="O1459" i="3"/>
  <c r="P1429" i="3"/>
  <c r="P1359" i="3"/>
  <c r="P1185" i="3"/>
  <c r="R941" i="3"/>
  <c r="AQ941" i="3" s="1"/>
  <c r="P1183" i="3"/>
  <c r="R1460" i="3"/>
  <c r="Q1374" i="3"/>
  <c r="Q1209" i="3"/>
  <c r="O979" i="3"/>
  <c r="R1467" i="3"/>
  <c r="O1401" i="3"/>
  <c r="Q1246" i="3"/>
  <c r="P1024" i="3"/>
  <c r="Q865" i="3"/>
  <c r="R720" i="3"/>
  <c r="AQ720" i="3" s="1"/>
  <c r="O1374" i="3"/>
  <c r="O1313" i="3"/>
  <c r="R1246" i="3"/>
  <c r="Q1181" i="3"/>
  <c r="O1116" i="3"/>
  <c r="R1054" i="3"/>
  <c r="AQ1054" i="3" s="1"/>
  <c r="O1456" i="3"/>
  <c r="Q1439" i="3"/>
  <c r="Q1424" i="3"/>
  <c r="R1403" i="3"/>
  <c r="R1369" i="3"/>
  <c r="P1322" i="3"/>
  <c r="R1283" i="3"/>
  <c r="O1245" i="3"/>
  <c r="Q1202" i="3"/>
  <c r="Q1160" i="3"/>
  <c r="R1098" i="3"/>
  <c r="AQ1098" i="3" s="1"/>
  <c r="Q1037" i="3"/>
  <c r="R968" i="3"/>
  <c r="AQ968" i="3" s="1"/>
  <c r="Q906" i="3"/>
  <c r="R684" i="3"/>
  <c r="AQ684" i="3" s="1"/>
  <c r="R1400" i="3"/>
  <c r="O1193" i="3"/>
  <c r="O907" i="3"/>
  <c r="P1403" i="3"/>
  <c r="Q1321" i="3"/>
  <c r="O1283" i="3"/>
  <c r="R1244" i="3"/>
  <c r="R1206" i="3"/>
  <c r="O1159" i="3"/>
  <c r="P1097" i="3"/>
  <c r="O1036" i="3"/>
  <c r="P975" i="3"/>
  <c r="O905" i="3"/>
  <c r="O782" i="3"/>
  <c r="Q1362" i="3"/>
  <c r="R1106" i="3"/>
  <c r="AQ1106" i="3" s="1"/>
  <c r="O1445" i="3"/>
  <c r="O1441" i="3"/>
  <c r="Q1420" i="3"/>
  <c r="R1391" i="3"/>
  <c r="Q1360" i="3"/>
  <c r="P1306" i="3"/>
  <c r="O1263" i="3"/>
  <c r="O1216" i="3"/>
  <c r="P1176" i="3"/>
  <c r="Q1119" i="3"/>
  <c r="O1058" i="3"/>
  <c r="O998" i="3"/>
  <c r="O928" i="3"/>
  <c r="Q855" i="3"/>
  <c r="P1458" i="3"/>
  <c r="Q1370" i="3"/>
  <c r="O1203" i="3"/>
  <c r="P1000" i="3"/>
  <c r="Q1448" i="3"/>
  <c r="Q1341" i="3"/>
  <c r="Q1446" i="3"/>
  <c r="P1459" i="3"/>
  <c r="Q1429" i="3"/>
  <c r="Q1406" i="3"/>
  <c r="P1372" i="3"/>
  <c r="P1330" i="3"/>
  <c r="Q1286" i="3"/>
  <c r="Q1248" i="3"/>
  <c r="R1210" i="3"/>
  <c r="R1164" i="3"/>
  <c r="AQ1164" i="3" s="1"/>
  <c r="P1095" i="3"/>
  <c r="O1034" i="3"/>
  <c r="P973" i="3"/>
  <c r="O911" i="3"/>
  <c r="P819" i="3"/>
  <c r="R1327" i="3"/>
  <c r="R1431" i="3"/>
  <c r="Q1435" i="3"/>
  <c r="O1450" i="3"/>
  <c r="O1455" i="3"/>
  <c r="Q1423" i="3"/>
  <c r="Q1354" i="3"/>
  <c r="O1180" i="3"/>
  <c r="O934" i="3"/>
  <c r="P1168" i="3"/>
  <c r="R1458" i="3"/>
  <c r="P1371" i="3"/>
  <c r="O1204" i="3"/>
  <c r="P971" i="3"/>
  <c r="R1465" i="3"/>
  <c r="Q1397" i="3"/>
  <c r="O1237" i="3"/>
  <c r="R1016" i="3"/>
  <c r="AQ1016" i="3" s="1"/>
  <c r="Q863" i="3"/>
  <c r="R704" i="3"/>
  <c r="AQ704" i="3" s="1"/>
  <c r="Q1372" i="3"/>
  <c r="P1311" i="3"/>
  <c r="P1243" i="3"/>
  <c r="R1179" i="3"/>
  <c r="O1114" i="3"/>
  <c r="R1052" i="3"/>
  <c r="AQ1052" i="3" s="1"/>
  <c r="O830" i="3"/>
  <c r="P1454" i="3"/>
  <c r="R1437" i="3"/>
  <c r="R1422" i="3"/>
  <c r="O1400" i="3"/>
  <c r="R1361" i="3"/>
  <c r="O1317" i="3"/>
  <c r="R1278" i="3"/>
  <c r="O1236" i="3"/>
  <c r="P1197" i="3"/>
  <c r="R1152" i="3"/>
  <c r="AQ1152" i="3" s="1"/>
  <c r="O1091" i="3"/>
  <c r="O1030" i="3"/>
  <c r="O961" i="3"/>
  <c r="Q898" i="3"/>
  <c r="P553" i="3"/>
  <c r="R1377" i="3"/>
  <c r="O1161" i="3"/>
  <c r="O899" i="3"/>
  <c r="Q1380" i="3"/>
  <c r="Q1316" i="3"/>
  <c r="O1278" i="3"/>
  <c r="P1240" i="3"/>
  <c r="O1202" i="3"/>
  <c r="P1151" i="3"/>
  <c r="Q1089" i="3"/>
  <c r="Q1028" i="3"/>
  <c r="Q967" i="3"/>
  <c r="P897" i="3"/>
  <c r="R668" i="3"/>
  <c r="AQ668" i="3" s="1"/>
  <c r="R1322" i="3"/>
  <c r="O1076" i="3"/>
  <c r="R1433" i="3"/>
  <c r="AA1433" i="3" s="1"/>
  <c r="P1437" i="3"/>
  <c r="Q1418" i="3"/>
  <c r="O1388" i="3"/>
  <c r="Q1350" i="3"/>
  <c r="Q1301" i="3"/>
  <c r="Q1258" i="3"/>
  <c r="P1211" i="3"/>
  <c r="P1171" i="3"/>
  <c r="R1111" i="3"/>
  <c r="AQ1111" i="3" s="1"/>
  <c r="Q1050" i="3"/>
  <c r="P990" i="3"/>
  <c r="P920" i="3"/>
  <c r="O840" i="3"/>
  <c r="O1449" i="3"/>
  <c r="R1342" i="3"/>
  <c r="Q1188" i="3"/>
  <c r="R984" i="3"/>
  <c r="AQ984" i="3" s="1"/>
  <c r="P1443" i="3"/>
  <c r="O1443" i="3"/>
  <c r="P1455" i="3"/>
  <c r="R1425" i="3"/>
  <c r="Q1402" i="3"/>
  <c r="Q1368" i="3"/>
  <c r="P1325" i="3"/>
  <c r="R1281" i="3"/>
  <c r="Q1243" i="3"/>
  <c r="Q1205" i="3"/>
  <c r="O1157" i="3"/>
  <c r="Q1087" i="3"/>
  <c r="Q1026" i="3"/>
  <c r="Q965" i="3"/>
  <c r="O903" i="3"/>
  <c r="Q764" i="3"/>
  <c r="R1293" i="3"/>
  <c r="Q1422" i="3"/>
  <c r="P1446" i="3"/>
  <c r="AC1446" i="3" s="1"/>
  <c r="Q1453" i="3"/>
  <c r="P1416" i="3"/>
  <c r="Q1319" i="3"/>
  <c r="P1133" i="3"/>
  <c r="P880" i="3"/>
  <c r="O946" i="3"/>
  <c r="P1442" i="3"/>
  <c r="O1329" i="3"/>
  <c r="Q1169" i="3"/>
  <c r="O917" i="3"/>
  <c r="O1453" i="3"/>
  <c r="O1371" i="3"/>
  <c r="Q1198" i="3"/>
  <c r="O963" i="3"/>
  <c r="Q848" i="3"/>
  <c r="P583" i="3"/>
  <c r="Q1359" i="3"/>
  <c r="O1297" i="3"/>
  <c r="P1231" i="3"/>
  <c r="Q1164" i="3"/>
  <c r="O1101" i="3"/>
  <c r="Q12" i="3"/>
  <c r="Q29" i="3"/>
  <c r="Q46" i="3"/>
  <c r="Q63" i="3"/>
  <c r="Q78" i="3"/>
  <c r="P93" i="3"/>
  <c r="Q109" i="3"/>
  <c r="O124" i="3"/>
  <c r="R142" i="3"/>
  <c r="AQ142" i="3" s="1"/>
  <c r="P159" i="3"/>
  <c r="R175" i="3"/>
  <c r="AQ175" i="3" s="1"/>
  <c r="P190" i="3"/>
  <c r="Q206" i="3"/>
  <c r="R221" i="3"/>
  <c r="AQ221" i="3" s="1"/>
  <c r="O237" i="3"/>
  <c r="Q252" i="3"/>
  <c r="O268" i="3"/>
  <c r="O285" i="3"/>
  <c r="P300" i="3"/>
  <c r="P315" i="3"/>
  <c r="R330" i="3"/>
  <c r="AQ330" i="3" s="1"/>
  <c r="O346" i="3"/>
  <c r="R364" i="3"/>
  <c r="AQ364" i="3" s="1"/>
  <c r="Q379" i="3"/>
  <c r="Q395" i="3"/>
  <c r="Q411" i="3"/>
  <c r="P427" i="3"/>
  <c r="P443" i="3"/>
  <c r="P459" i="3"/>
  <c r="R477" i="3"/>
  <c r="AQ477" i="3" s="1"/>
  <c r="O493" i="3"/>
  <c r="P508" i="3"/>
  <c r="P523" i="3"/>
  <c r="P539" i="3"/>
  <c r="P16" i="3"/>
  <c r="Q33" i="3"/>
  <c r="R48" i="3"/>
  <c r="AQ48" i="3" s="1"/>
  <c r="R65" i="3"/>
  <c r="AQ65" i="3" s="1"/>
  <c r="R80" i="3"/>
  <c r="AQ80" i="3" s="1"/>
  <c r="O97" i="3"/>
  <c r="P113" i="3"/>
  <c r="O128" i="3"/>
  <c r="O143" i="3"/>
  <c r="Q157" i="3"/>
  <c r="O174" i="3"/>
  <c r="P192" i="3"/>
  <c r="R206" i="3"/>
  <c r="AQ206" i="3" s="1"/>
  <c r="R223" i="3"/>
  <c r="AQ223" i="3" s="1"/>
  <c r="O239" i="3"/>
  <c r="Q254" i="3"/>
  <c r="O270" i="3"/>
  <c r="P285" i="3"/>
  <c r="P302" i="3"/>
  <c r="Q319" i="3"/>
  <c r="O335" i="3"/>
  <c r="O350" i="3"/>
  <c r="O365" i="3"/>
  <c r="R379" i="3"/>
  <c r="AQ379" i="3" s="1"/>
  <c r="R395" i="3"/>
  <c r="AQ395" i="3" s="1"/>
  <c r="R411" i="3"/>
  <c r="AQ411" i="3" s="1"/>
  <c r="Q429" i="3"/>
  <c r="Q445" i="3"/>
  <c r="Q461" i="3"/>
  <c r="O476" i="3"/>
  <c r="P493" i="3"/>
  <c r="Q18" i="3"/>
  <c r="R33" i="3"/>
  <c r="AQ33" i="3" s="1"/>
  <c r="O49" i="3"/>
  <c r="O64" i="3"/>
  <c r="O81" i="3"/>
  <c r="P95" i="3"/>
  <c r="R111" i="3"/>
  <c r="AQ111" i="3" s="1"/>
  <c r="P128" i="3"/>
  <c r="R146" i="3"/>
  <c r="AQ146" i="3" s="1"/>
  <c r="P161" i="3"/>
  <c r="O176" i="3"/>
  <c r="Q192" i="3"/>
  <c r="O209" i="3"/>
  <c r="O226" i="3"/>
  <c r="P241" i="3"/>
  <c r="R256" i="3"/>
  <c r="AQ256" i="3" s="1"/>
  <c r="P272" i="3"/>
  <c r="P289" i="3"/>
  <c r="Q306" i="3"/>
  <c r="R321" i="3"/>
  <c r="AQ321" i="3" s="1"/>
  <c r="P337" i="3"/>
  <c r="P352" i="3"/>
  <c r="R370" i="3"/>
  <c r="AQ370" i="3" s="1"/>
  <c r="O387" i="3"/>
  <c r="O403" i="3"/>
  <c r="O419" i="3"/>
  <c r="R434" i="3"/>
  <c r="AQ434" i="3" s="1"/>
  <c r="R450" i="3"/>
  <c r="AQ450" i="3" s="1"/>
  <c r="R466" i="3"/>
  <c r="AQ466" i="3" s="1"/>
  <c r="O482" i="3"/>
  <c r="O499" i="3"/>
  <c r="P514" i="3"/>
  <c r="R531" i="3"/>
  <c r="AQ531" i="3" s="1"/>
  <c r="R547" i="3"/>
  <c r="AQ547" i="3" s="1"/>
  <c r="P563" i="3"/>
  <c r="P13" i="3"/>
  <c r="P28" i="3"/>
  <c r="P45" i="3"/>
  <c r="P60" i="3"/>
  <c r="P77" i="3"/>
  <c r="P92" i="3"/>
  <c r="O110" i="3"/>
  <c r="R124" i="3"/>
  <c r="AQ124" i="3" s="1"/>
  <c r="Q139" i="3"/>
  <c r="O156" i="3"/>
  <c r="Q174" i="3"/>
  <c r="O189" i="3"/>
  <c r="Q203" i="3"/>
  <c r="R218" i="3"/>
  <c r="AQ218" i="3" s="1"/>
  <c r="R235" i="3"/>
  <c r="AQ235" i="3" s="1"/>
  <c r="P251" i="3"/>
  <c r="R266" i="3"/>
  <c r="AQ266" i="3" s="1"/>
  <c r="O282" i="3"/>
  <c r="P297" i="3"/>
  <c r="P312" i="3"/>
  <c r="Q327" i="3"/>
  <c r="O343" i="3"/>
  <c r="Q361" i="3"/>
  <c r="Q376" i="3"/>
  <c r="Q392" i="3"/>
  <c r="Q408" i="3"/>
  <c r="P424" i="3"/>
  <c r="P440" i="3"/>
  <c r="P456" i="3"/>
  <c r="Q472" i="3"/>
  <c r="O488" i="3"/>
  <c r="O503" i="3"/>
  <c r="P518" i="3"/>
  <c r="O534" i="3"/>
  <c r="O550" i="3"/>
  <c r="Q565" i="3"/>
  <c r="R13" i="3"/>
  <c r="AQ13" i="3" s="1"/>
  <c r="R28" i="3"/>
  <c r="AQ28" i="3" s="1"/>
  <c r="R45" i="3"/>
  <c r="AQ45" i="3" s="1"/>
  <c r="R60" i="3"/>
  <c r="AQ60" i="3" s="1"/>
  <c r="R77" i="3"/>
  <c r="AQ77" i="3" s="1"/>
  <c r="R92" i="3"/>
  <c r="AQ92" i="3" s="1"/>
  <c r="O107" i="3"/>
  <c r="P125" i="3"/>
  <c r="O142" i="3"/>
  <c r="P160" i="3"/>
  <c r="O175" i="3"/>
  <c r="Q189" i="3"/>
  <c r="R207" i="3"/>
  <c r="AQ207" i="3" s="1"/>
  <c r="R222" i="3"/>
  <c r="AQ222" i="3" s="1"/>
  <c r="O238" i="3"/>
  <c r="Q255" i="3"/>
  <c r="O271" i="3"/>
  <c r="O288" i="3"/>
  <c r="P303" i="3"/>
  <c r="Q318" i="3"/>
  <c r="O334" i="3"/>
  <c r="O351" i="3"/>
  <c r="Q369" i="3"/>
  <c r="R385" i="3"/>
  <c r="AQ385" i="3" s="1"/>
  <c r="R401" i="3"/>
  <c r="AQ401" i="3" s="1"/>
  <c r="R417" i="3"/>
  <c r="AQ417" i="3" s="1"/>
  <c r="Q433" i="3"/>
  <c r="Q449" i="3"/>
  <c r="Q465" i="3"/>
  <c r="R480" i="3"/>
  <c r="AQ480" i="3" s="1"/>
  <c r="O496" i="3"/>
  <c r="Q511" i="3"/>
  <c r="Q526" i="3"/>
  <c r="Q542" i="3"/>
  <c r="P558" i="3"/>
  <c r="R573" i="3"/>
  <c r="AQ573" i="3" s="1"/>
  <c r="P21" i="3"/>
  <c r="Q38" i="3"/>
  <c r="Q55" i="3"/>
  <c r="Q70" i="3"/>
  <c r="Q87" i="3"/>
  <c r="Q105" i="3"/>
  <c r="O120" i="3"/>
  <c r="R134" i="3"/>
  <c r="AQ134" i="3" s="1"/>
  <c r="Q149" i="3"/>
  <c r="O166" i="3"/>
  <c r="P184" i="3"/>
  <c r="O199" i="3"/>
  <c r="R213" i="3"/>
  <c r="AQ213" i="3" s="1"/>
  <c r="Q230" i="3"/>
  <c r="O246" i="3"/>
  <c r="Q263" i="3"/>
  <c r="R278" i="3"/>
  <c r="AQ278" i="3" s="1"/>
  <c r="O294" i="3"/>
  <c r="P309" i="3"/>
  <c r="P326" i="3"/>
  <c r="R343" i="3"/>
  <c r="AQ343" i="3" s="1"/>
  <c r="Q358" i="3"/>
  <c r="R373" i="3"/>
  <c r="AQ373" i="3" s="1"/>
  <c r="R389" i="3"/>
  <c r="AQ389" i="3" s="1"/>
  <c r="R405" i="3"/>
  <c r="AQ405" i="3" s="1"/>
  <c r="R421" i="3"/>
  <c r="AQ421" i="3" s="1"/>
  <c r="R437" i="3"/>
  <c r="AQ437" i="3" s="1"/>
  <c r="R453" i="3"/>
  <c r="AQ453" i="3" s="1"/>
  <c r="R469" i="3"/>
  <c r="AQ469" i="3" s="1"/>
  <c r="O485" i="3"/>
  <c r="O500" i="3"/>
  <c r="P517" i="3"/>
  <c r="R532" i="3"/>
  <c r="AQ532" i="3" s="1"/>
  <c r="R548" i="3"/>
  <c r="AQ548" i="3" s="1"/>
  <c r="R19" i="3"/>
  <c r="AQ19" i="3" s="1"/>
  <c r="O35" i="3"/>
  <c r="O50" i="3"/>
  <c r="O67" i="3"/>
  <c r="O82" i="3"/>
  <c r="Q98" i="3"/>
  <c r="Q114" i="3"/>
  <c r="Q131" i="3"/>
  <c r="R147" i="3"/>
  <c r="AQ147" i="3" s="1"/>
  <c r="Q162" i="3"/>
  <c r="O177" i="3"/>
  <c r="P195" i="3"/>
  <c r="P212" i="3"/>
  <c r="O229" i="3"/>
  <c r="Q244" i="3"/>
  <c r="O260" i="3"/>
  <c r="P277" i="3"/>
  <c r="P294" i="3"/>
  <c r="P311" i="3"/>
  <c r="Q328" i="3"/>
  <c r="O344" i="3"/>
  <c r="R358" i="3"/>
  <c r="AQ358" i="3" s="1"/>
  <c r="Q375" i="3"/>
  <c r="Q391" i="3"/>
  <c r="Q407" i="3"/>
  <c r="Q423" i="3"/>
  <c r="Q439" i="3"/>
  <c r="Q455" i="3"/>
  <c r="R471" i="3"/>
  <c r="AQ471" i="3" s="1"/>
  <c r="O487" i="3"/>
  <c r="O504" i="3"/>
  <c r="O521" i="3"/>
  <c r="O537" i="3"/>
  <c r="R554" i="3"/>
  <c r="AQ554" i="3" s="1"/>
  <c r="P570" i="3"/>
  <c r="R117" i="3"/>
  <c r="AQ117" i="3" s="1"/>
  <c r="Q251" i="3"/>
  <c r="P373" i="3"/>
  <c r="P488" i="3"/>
  <c r="O558" i="3"/>
  <c r="R581" i="3"/>
  <c r="AQ581" i="3" s="1"/>
  <c r="P597" i="3"/>
  <c r="Q614" i="3"/>
  <c r="Q629" i="3"/>
  <c r="O645" i="3"/>
  <c r="O661" i="3"/>
  <c r="O677" i="3"/>
  <c r="O693" i="3"/>
  <c r="O709" i="3"/>
  <c r="O725" i="3"/>
  <c r="O741" i="3"/>
  <c r="O757" i="3"/>
  <c r="Q772" i="3"/>
  <c r="P788" i="3"/>
  <c r="R803" i="3"/>
  <c r="AQ803" i="3" s="1"/>
  <c r="R819" i="3"/>
  <c r="AQ819" i="3" s="1"/>
  <c r="Q90" i="3"/>
  <c r="Q222" i="3"/>
  <c r="O360" i="3"/>
  <c r="O490" i="3"/>
  <c r="Q554" i="3"/>
  <c r="O580" i="3"/>
  <c r="Q595" i="3"/>
  <c r="O611" i="3"/>
  <c r="R629" i="3"/>
  <c r="AQ629" i="3" s="1"/>
  <c r="P643" i="3"/>
  <c r="P659" i="3"/>
  <c r="P675" i="3"/>
  <c r="P691" i="3"/>
  <c r="P707" i="3"/>
  <c r="P723" i="3"/>
  <c r="P739" i="3"/>
  <c r="AC739" i="3" s="1"/>
  <c r="P755" i="3"/>
  <c r="R770" i="3"/>
  <c r="AQ770" i="3" s="1"/>
  <c r="Q786" i="3"/>
  <c r="O802" i="3"/>
  <c r="O818" i="3"/>
  <c r="Q77" i="3"/>
  <c r="R194" i="3"/>
  <c r="AQ194" i="3" s="1"/>
  <c r="R331" i="3"/>
  <c r="AQ331" i="3" s="1"/>
  <c r="O462" i="3"/>
  <c r="Q543" i="3"/>
  <c r="P578" i="3"/>
  <c r="R593" i="3"/>
  <c r="AQ593" i="3" s="1"/>
  <c r="Q609" i="3"/>
  <c r="Q623" i="3"/>
  <c r="P640" i="3"/>
  <c r="Q657" i="3"/>
  <c r="Q673" i="3"/>
  <c r="Q689" i="3"/>
  <c r="Q705" i="3"/>
  <c r="Q721" i="3"/>
  <c r="Q737" i="3"/>
  <c r="Q753" i="3"/>
  <c r="P769" i="3"/>
  <c r="O785" i="3"/>
  <c r="P800" i="3"/>
  <c r="P34" i="3"/>
  <c r="Q167" i="3"/>
  <c r="R287" i="3"/>
  <c r="AQ287" i="3" s="1"/>
  <c r="P421" i="3"/>
  <c r="P536" i="3"/>
  <c r="Q576" i="3"/>
  <c r="O592" i="3"/>
  <c r="R607" i="3"/>
  <c r="AQ607" i="3" s="1"/>
  <c r="P625" i="3"/>
  <c r="R638" i="3"/>
  <c r="AQ638" i="3" s="1"/>
  <c r="R655" i="3"/>
  <c r="AQ655" i="3" s="1"/>
  <c r="R671" i="3"/>
  <c r="AQ671" i="3" s="1"/>
  <c r="R687" i="3"/>
  <c r="AQ687" i="3" s="1"/>
  <c r="R703" i="3"/>
  <c r="AQ703" i="3" s="1"/>
  <c r="R719" i="3"/>
  <c r="AQ719" i="3" s="1"/>
  <c r="R735" i="3"/>
  <c r="AQ735" i="3" s="1"/>
  <c r="R751" i="3"/>
  <c r="AQ751" i="3" s="1"/>
  <c r="Q767" i="3"/>
  <c r="P783" i="3"/>
  <c r="R798" i="3"/>
  <c r="AQ798" i="3" s="1"/>
  <c r="Q814" i="3"/>
  <c r="P51" i="3"/>
  <c r="O169" i="3"/>
  <c r="O305" i="3"/>
  <c r="P437" i="3"/>
  <c r="Q529" i="3"/>
  <c r="Q571" i="3"/>
  <c r="Q590" i="3"/>
  <c r="O606" i="3"/>
  <c r="O620" i="3"/>
  <c r="O639" i="3"/>
  <c r="O654" i="3"/>
  <c r="O670" i="3"/>
  <c r="O686" i="3"/>
  <c r="O702" i="3"/>
  <c r="O718" i="3"/>
  <c r="O734" i="3"/>
  <c r="O750" i="3"/>
  <c r="Q14" i="3"/>
  <c r="P31" i="3"/>
  <c r="Q48" i="3"/>
  <c r="Q65" i="3"/>
  <c r="Q80" i="3"/>
  <c r="R94" i="3"/>
  <c r="AQ94" i="3" s="1"/>
  <c r="P111" i="3"/>
  <c r="R127" i="3"/>
  <c r="AQ127" i="3" s="1"/>
  <c r="Q144" i="3"/>
  <c r="R162" i="3"/>
  <c r="AQ162" i="3" s="1"/>
  <c r="P177" i="3"/>
  <c r="O192" i="3"/>
  <c r="Q208" i="3"/>
  <c r="Q223" i="3"/>
  <c r="R238" i="3"/>
  <c r="AQ238" i="3" s="1"/>
  <c r="P254" i="3"/>
  <c r="R271" i="3"/>
  <c r="AQ271" i="3" s="1"/>
  <c r="R286" i="3"/>
  <c r="AQ286" i="3" s="1"/>
  <c r="O302" i="3"/>
  <c r="P317" i="3"/>
  <c r="R332" i="3"/>
  <c r="AQ332" i="3" s="1"/>
  <c r="O348" i="3"/>
  <c r="Q366" i="3"/>
  <c r="P381" i="3"/>
  <c r="P397" i="3"/>
  <c r="P413" i="3"/>
  <c r="P429" i="3"/>
  <c r="P445" i="3"/>
  <c r="P461" i="3"/>
  <c r="Q479" i="3"/>
  <c r="R494" i="3"/>
  <c r="AQ494" i="3" s="1"/>
  <c r="P510" i="3"/>
  <c r="P525" i="3"/>
  <c r="P541" i="3"/>
  <c r="P18" i="3"/>
  <c r="Q35" i="3"/>
  <c r="Q50" i="3"/>
  <c r="Q67" i="3"/>
  <c r="Q82" i="3"/>
  <c r="O99" i="3"/>
  <c r="O115" i="3"/>
  <c r="O130" i="3"/>
  <c r="R144" i="3"/>
  <c r="AQ144" i="3" s="1"/>
  <c r="Q159" i="3"/>
  <c r="Q177" i="3"/>
  <c r="O194" i="3"/>
  <c r="R208" i="3"/>
  <c r="AQ208" i="3" s="1"/>
  <c r="R225" i="3"/>
  <c r="AQ225" i="3" s="1"/>
  <c r="O241" i="3"/>
  <c r="Q256" i="3"/>
  <c r="O272" i="3"/>
  <c r="O287" i="3"/>
  <c r="P304" i="3"/>
  <c r="Q321" i="3"/>
  <c r="O337" i="3"/>
  <c r="O352" i="3"/>
  <c r="R366" i="3"/>
  <c r="AQ366" i="3" s="1"/>
  <c r="Q381" i="3"/>
  <c r="Q397" i="3"/>
  <c r="Q413" i="3"/>
  <c r="O431" i="3"/>
  <c r="O447" i="3"/>
  <c r="O463" i="3"/>
  <c r="R479" i="3"/>
  <c r="AQ479" i="3" s="1"/>
  <c r="O495" i="3"/>
  <c r="P20" i="3"/>
  <c r="R35" i="3"/>
  <c r="AQ35" i="3" s="1"/>
  <c r="R50" i="3"/>
  <c r="AQ50" i="3" s="1"/>
  <c r="R67" i="3"/>
  <c r="AQ67" i="3" s="1"/>
  <c r="R82" i="3"/>
  <c r="AQ82" i="3" s="1"/>
  <c r="P97" i="3"/>
  <c r="Q113" i="3"/>
  <c r="P130" i="3"/>
  <c r="Q148" i="3"/>
  <c r="O163" i="3"/>
  <c r="R177" i="3"/>
  <c r="AQ177" i="3" s="1"/>
  <c r="P194" i="3"/>
  <c r="O211" i="3"/>
  <c r="O228" i="3"/>
  <c r="P243" i="3"/>
  <c r="R258" i="3"/>
  <c r="AQ258" i="3" s="1"/>
  <c r="P274" i="3"/>
  <c r="O291" i="3"/>
  <c r="P308" i="3"/>
  <c r="Q323" i="3"/>
  <c r="O339" i="3"/>
  <c r="O354" i="3"/>
  <c r="R372" i="3"/>
  <c r="AQ372" i="3" s="1"/>
  <c r="R388" i="3"/>
  <c r="AQ388" i="3" s="1"/>
  <c r="R404" i="3"/>
  <c r="AQ404" i="3" s="1"/>
  <c r="R420" i="3"/>
  <c r="AQ420" i="3" s="1"/>
  <c r="R436" i="3"/>
  <c r="AQ436" i="3" s="1"/>
  <c r="R452" i="3"/>
  <c r="AQ452" i="3" s="1"/>
  <c r="R468" i="3"/>
  <c r="AQ468" i="3" s="1"/>
  <c r="O484" i="3"/>
  <c r="O501" i="3"/>
  <c r="P516" i="3"/>
  <c r="R533" i="3"/>
  <c r="AQ533" i="3" s="1"/>
  <c r="R549" i="3"/>
  <c r="AQ549" i="3" s="1"/>
  <c r="P565" i="3"/>
  <c r="O15" i="3"/>
  <c r="P30" i="3"/>
  <c r="P47" i="3"/>
  <c r="P62" i="3"/>
  <c r="P79" i="3"/>
  <c r="Q95" i="3"/>
  <c r="O112" i="3"/>
  <c r="Q126" i="3"/>
  <c r="Q141" i="3"/>
  <c r="O158" i="3"/>
  <c r="P176" i="3"/>
  <c r="AC176" i="3" s="1"/>
  <c r="O191" i="3"/>
  <c r="Q205" i="3"/>
  <c r="R220" i="3"/>
  <c r="AQ220" i="3" s="1"/>
  <c r="R237" i="3"/>
  <c r="AQ237" i="3" s="1"/>
  <c r="P253" i="3"/>
  <c r="R268" i="3"/>
  <c r="AQ268" i="3" s="1"/>
  <c r="R283" i="3"/>
  <c r="AQ283" i="3" s="1"/>
  <c r="O299" i="3"/>
  <c r="P314" i="3"/>
  <c r="Q329" i="3"/>
  <c r="R346" i="3"/>
  <c r="AQ346" i="3" s="1"/>
  <c r="Q363" i="3"/>
  <c r="P378" i="3"/>
  <c r="P394" i="3"/>
  <c r="P410" i="3"/>
  <c r="O426" i="3"/>
  <c r="O442" i="3"/>
  <c r="O458" i="3"/>
  <c r="Q474" i="3"/>
  <c r="R489" i="3"/>
  <c r="AQ489" i="3" s="1"/>
  <c r="O505" i="3"/>
  <c r="O520" i="3"/>
  <c r="O536" i="3"/>
  <c r="R551" i="3"/>
  <c r="AQ551" i="3" s="1"/>
  <c r="P567" i="3"/>
  <c r="Q15" i="3"/>
  <c r="R30" i="3"/>
  <c r="AQ30" i="3" s="1"/>
  <c r="R47" i="3"/>
  <c r="AQ47" i="3" s="1"/>
  <c r="R62" i="3"/>
  <c r="AQ62" i="3" s="1"/>
  <c r="R79" i="3"/>
  <c r="AQ79" i="3" s="1"/>
  <c r="O94" i="3"/>
  <c r="Q110" i="3"/>
  <c r="O127" i="3"/>
  <c r="Q145" i="3"/>
  <c r="O162" i="3"/>
  <c r="R176" i="3"/>
  <c r="AQ176" i="3" s="1"/>
  <c r="Q191" i="3"/>
  <c r="R209" i="3"/>
  <c r="AQ209" i="3" s="1"/>
  <c r="R224" i="3"/>
  <c r="AQ224" i="3" s="1"/>
  <c r="O240" i="3"/>
  <c r="Q257" i="3"/>
  <c r="O273" i="3"/>
  <c r="O290" i="3"/>
  <c r="P305" i="3"/>
  <c r="Q320" i="3"/>
  <c r="O336" i="3"/>
  <c r="R354" i="3"/>
  <c r="AQ354" i="3" s="1"/>
  <c r="Q371" i="3"/>
  <c r="R387" i="3"/>
  <c r="AQ387" i="3" s="1"/>
  <c r="R403" i="3"/>
  <c r="AQ403" i="3" s="1"/>
  <c r="R419" i="3"/>
  <c r="AQ419" i="3" s="1"/>
  <c r="Q435" i="3"/>
  <c r="Q451" i="3"/>
  <c r="Q467" i="3"/>
  <c r="R482" i="3"/>
  <c r="AQ482" i="3" s="1"/>
  <c r="R497" i="3"/>
  <c r="AQ497" i="3" s="1"/>
  <c r="O513" i="3"/>
  <c r="Q528" i="3"/>
  <c r="Q544" i="3"/>
  <c r="O560" i="3"/>
  <c r="P8" i="3"/>
  <c r="P23" i="3"/>
  <c r="P40" i="3"/>
  <c r="Q57" i="3"/>
  <c r="Q72" i="3"/>
  <c r="P89" i="3"/>
  <c r="P107" i="3"/>
  <c r="R121" i="3"/>
  <c r="AQ121" i="3" s="1"/>
  <c r="Q136" i="3"/>
  <c r="Q151" i="3"/>
  <c r="Q169" i="3"/>
  <c r="O186" i="3"/>
  <c r="R200" i="3"/>
  <c r="AQ200" i="3" s="1"/>
  <c r="Q215" i="3"/>
  <c r="Q232" i="3"/>
  <c r="O248" i="3"/>
  <c r="Q265" i="3"/>
  <c r="R280" i="3"/>
  <c r="AQ280" i="3" s="1"/>
  <c r="O296" i="3"/>
  <c r="O311" i="3"/>
  <c r="P328" i="3"/>
  <c r="Q345" i="3"/>
  <c r="Q360" i="3"/>
  <c r="P375" i="3"/>
  <c r="P391" i="3"/>
  <c r="P407" i="3"/>
  <c r="P423" i="3"/>
  <c r="P439" i="3"/>
  <c r="P455" i="3"/>
  <c r="Q471" i="3"/>
  <c r="R486" i="3"/>
  <c r="AQ486" i="3" s="1"/>
  <c r="R503" i="3"/>
  <c r="AQ503" i="3" s="1"/>
  <c r="O519" i="3"/>
  <c r="R534" i="3"/>
  <c r="AQ534" i="3" s="1"/>
  <c r="R550" i="3"/>
  <c r="AQ550" i="3" s="1"/>
  <c r="Q21" i="3"/>
  <c r="R36" i="3"/>
  <c r="AQ36" i="3" s="1"/>
  <c r="R53" i="3"/>
  <c r="AQ53" i="3" s="1"/>
  <c r="R68" i="3"/>
  <c r="AQ68" i="3" s="1"/>
  <c r="R85" i="3"/>
  <c r="AQ85" i="3" s="1"/>
  <c r="Q100" i="3"/>
  <c r="Q116" i="3"/>
  <c r="P133" i="3"/>
  <c r="R149" i="3"/>
  <c r="AQ149" i="3" s="1"/>
  <c r="P164" i="3"/>
  <c r="R180" i="3"/>
  <c r="AQ180" i="3" s="1"/>
  <c r="P197" i="3"/>
  <c r="R215" i="3"/>
  <c r="AQ215" i="3" s="1"/>
  <c r="R230" i="3"/>
  <c r="AQ230" i="3" s="1"/>
  <c r="P246" i="3"/>
  <c r="R263" i="3"/>
  <c r="AQ263" i="3" s="1"/>
  <c r="O279" i="3"/>
  <c r="P296" i="3"/>
  <c r="P313" i="3"/>
  <c r="Q330" i="3"/>
  <c r="R345" i="3"/>
  <c r="AQ345" i="3" s="1"/>
  <c r="R360" i="3"/>
  <c r="AQ360" i="3" s="1"/>
  <c r="P377" i="3"/>
  <c r="P393" i="3"/>
  <c r="P409" i="3"/>
  <c r="O425" i="3"/>
  <c r="O441" i="3"/>
  <c r="O457" i="3"/>
  <c r="Q473" i="3"/>
  <c r="R490" i="3"/>
  <c r="AQ490" i="3" s="1"/>
  <c r="O506" i="3"/>
  <c r="O523" i="3"/>
  <c r="O539" i="3"/>
  <c r="R556" i="3"/>
  <c r="AQ556" i="3" s="1"/>
  <c r="P572" i="3"/>
  <c r="R132" i="3"/>
  <c r="AQ132" i="3" s="1"/>
  <c r="O267" i="3"/>
  <c r="Q387" i="3"/>
  <c r="Q502" i="3"/>
  <c r="R561" i="3"/>
  <c r="AQ561" i="3" s="1"/>
  <c r="Q583" i="3"/>
  <c r="O599" i="3"/>
  <c r="P616" i="3"/>
  <c r="Q631" i="3"/>
  <c r="O647" i="3"/>
  <c r="O663" i="3"/>
  <c r="O679" i="3"/>
  <c r="O695" i="3"/>
  <c r="O711" i="3"/>
  <c r="O727" i="3"/>
  <c r="O743" i="3"/>
  <c r="O759" i="3"/>
  <c r="Q774" i="3"/>
  <c r="P790" i="3"/>
  <c r="R805" i="3"/>
  <c r="AQ805" i="3" s="1"/>
  <c r="R821" i="3"/>
  <c r="AQ821" i="3" s="1"/>
  <c r="O105" i="3"/>
  <c r="Q253" i="3"/>
  <c r="P389" i="3"/>
  <c r="P503" i="3"/>
  <c r="Q558" i="3"/>
  <c r="O582" i="3"/>
  <c r="Q597" i="3"/>
  <c r="R612" i="3"/>
  <c r="AQ612" i="3" s="1"/>
  <c r="R631" i="3"/>
  <c r="AQ631" i="3" s="1"/>
  <c r="P645" i="3"/>
  <c r="P661" i="3"/>
  <c r="P677" i="3"/>
  <c r="P693" i="3"/>
  <c r="P709" i="3"/>
  <c r="P725" i="3"/>
  <c r="P741" i="3"/>
  <c r="P757" i="3"/>
  <c r="R772" i="3"/>
  <c r="AQ772" i="3" s="1"/>
  <c r="Q788" i="3"/>
  <c r="O804" i="3"/>
  <c r="O820" i="3"/>
  <c r="Q92" i="3"/>
  <c r="Q209" i="3"/>
  <c r="O347" i="3"/>
  <c r="R476" i="3"/>
  <c r="AQ476" i="3" s="1"/>
  <c r="P550" i="3"/>
  <c r="P580" i="3"/>
  <c r="R595" i="3"/>
  <c r="AQ595" i="3" s="1"/>
  <c r="P611" i="3"/>
  <c r="O625" i="3"/>
  <c r="Q643" i="3"/>
  <c r="Q659" i="3"/>
  <c r="Q675" i="3"/>
  <c r="Q691" i="3"/>
  <c r="Q707" i="3"/>
  <c r="Q723" i="3"/>
  <c r="Q739" i="3"/>
  <c r="Q755" i="3"/>
  <c r="O771" i="3"/>
  <c r="R786" i="3"/>
  <c r="AQ786" i="3" s="1"/>
  <c r="P802" i="3"/>
  <c r="Q49" i="3"/>
  <c r="O182" i="3"/>
  <c r="O303" i="3"/>
  <c r="P435" i="3"/>
  <c r="P544" i="3"/>
  <c r="Q578" i="3"/>
  <c r="O594" i="3"/>
  <c r="R609" i="3"/>
  <c r="AQ609" i="3" s="1"/>
  <c r="R626" i="3"/>
  <c r="AQ626" i="3" s="1"/>
  <c r="Q640" i="3"/>
  <c r="R657" i="3"/>
  <c r="AQ657" i="3" s="1"/>
  <c r="R673" i="3"/>
  <c r="AQ673" i="3" s="1"/>
  <c r="R689" i="3"/>
  <c r="AQ689" i="3" s="1"/>
  <c r="R705" i="3"/>
  <c r="AQ705" i="3" s="1"/>
  <c r="R721" i="3"/>
  <c r="AQ721" i="3" s="1"/>
  <c r="R737" i="3"/>
  <c r="AQ737" i="3" s="1"/>
  <c r="R753" i="3"/>
  <c r="AQ753" i="3" s="1"/>
  <c r="Q769" i="3"/>
  <c r="P785" i="3"/>
  <c r="Q800" i="3"/>
  <c r="Q816" i="3"/>
  <c r="P66" i="3"/>
  <c r="Q198" i="3"/>
  <c r="P320" i="3"/>
  <c r="P451" i="3"/>
  <c r="Q537" i="3"/>
  <c r="R576" i="3"/>
  <c r="AQ576" i="3" s="1"/>
  <c r="P592" i="3"/>
  <c r="O608" i="3"/>
  <c r="O622" i="3"/>
  <c r="R640" i="3"/>
  <c r="AQ640" i="3" s="1"/>
  <c r="O656" i="3"/>
  <c r="O672" i="3"/>
  <c r="O688" i="3"/>
  <c r="O704" i="3"/>
  <c r="O720" i="3"/>
  <c r="O736" i="3"/>
  <c r="O752" i="3"/>
  <c r="O16" i="3"/>
  <c r="U16" i="3" s="1"/>
  <c r="P33" i="3"/>
  <c r="P50" i="3"/>
  <c r="P67" i="3"/>
  <c r="P82" i="3"/>
  <c r="R96" i="3"/>
  <c r="AQ96" i="3" s="1"/>
  <c r="O113" i="3"/>
  <c r="R129" i="3"/>
  <c r="AQ129" i="3" s="1"/>
  <c r="P146" i="3"/>
  <c r="Q164" i="3"/>
  <c r="O179" i="3"/>
  <c r="R193" i="3"/>
  <c r="AQ193" i="3" s="1"/>
  <c r="Q210" i="3"/>
  <c r="Q225" i="3"/>
  <c r="R240" i="3"/>
  <c r="AQ240" i="3" s="1"/>
  <c r="P256" i="3"/>
  <c r="R273" i="3"/>
  <c r="AQ273" i="3" s="1"/>
  <c r="R288" i="3"/>
  <c r="AQ288" i="3" s="1"/>
  <c r="O304" i="3"/>
  <c r="P319" i="3"/>
  <c r="R334" i="3"/>
  <c r="AQ334" i="3" s="1"/>
  <c r="R351" i="3"/>
  <c r="AQ351" i="3" s="1"/>
  <c r="Q368" i="3"/>
  <c r="R384" i="3"/>
  <c r="AQ384" i="3" s="1"/>
  <c r="R400" i="3"/>
  <c r="AQ400" i="3" s="1"/>
  <c r="R416" i="3"/>
  <c r="AQ416" i="3" s="1"/>
  <c r="Q432" i="3"/>
  <c r="Q448" i="3"/>
  <c r="Q464" i="3"/>
  <c r="Q481" i="3"/>
  <c r="R496" i="3"/>
  <c r="AQ496" i="3" s="1"/>
  <c r="O512" i="3"/>
  <c r="P527" i="3"/>
  <c r="P543" i="3"/>
  <c r="O20" i="3"/>
  <c r="P37" i="3"/>
  <c r="P52" i="3"/>
  <c r="P69" i="3"/>
  <c r="P84" i="3"/>
  <c r="Q102" i="3"/>
  <c r="O117" i="3"/>
  <c r="O132" i="3"/>
  <c r="Q146" i="3"/>
  <c r="O161" i="3"/>
  <c r="P179" i="3"/>
  <c r="R195" i="3"/>
  <c r="AQ195" i="3" s="1"/>
  <c r="R210" i="3"/>
  <c r="AQ210" i="3" s="1"/>
  <c r="R227" i="3"/>
  <c r="AQ227" i="3" s="1"/>
  <c r="O243" i="3"/>
  <c r="Q258" i="3"/>
  <c r="O274" i="3"/>
  <c r="O289" i="3"/>
  <c r="P306" i="3"/>
  <c r="P323" i="3"/>
  <c r="R338" i="3"/>
  <c r="AQ338" i="3" s="1"/>
  <c r="R353" i="3"/>
  <c r="AQ353" i="3" s="1"/>
  <c r="R368" i="3"/>
  <c r="AQ368" i="3" s="1"/>
  <c r="O383" i="3"/>
  <c r="O399" i="3"/>
  <c r="O415" i="3"/>
  <c r="R432" i="3"/>
  <c r="AQ432" i="3" s="1"/>
  <c r="R448" i="3"/>
  <c r="AQ448" i="3" s="1"/>
  <c r="R464" i="3"/>
  <c r="AQ464" i="3" s="1"/>
  <c r="R481" i="3"/>
  <c r="AQ481" i="3" s="1"/>
  <c r="R498" i="3"/>
  <c r="AQ498" i="3" s="1"/>
  <c r="P22" i="3"/>
  <c r="Q37" i="3"/>
  <c r="Q52" i="3"/>
  <c r="Q69" i="3"/>
  <c r="Q84" i="3"/>
  <c r="P99" i="3"/>
  <c r="P115" i="3"/>
  <c r="P132" i="3"/>
  <c r="Q150" i="3"/>
  <c r="O165" i="3"/>
  <c r="Q179" i="3"/>
  <c r="O196" i="3"/>
  <c r="Q214" i="3"/>
  <c r="R229" i="3"/>
  <c r="AQ229" i="3" s="1"/>
  <c r="P245" i="3"/>
  <c r="R260" i="3"/>
  <c r="AQ260" i="3" s="1"/>
  <c r="O276" i="3"/>
  <c r="O293" i="3"/>
  <c r="O310" i="3"/>
  <c r="Q325" i="3"/>
  <c r="O341" i="3"/>
  <c r="R357" i="3"/>
  <c r="AQ357" i="3" s="1"/>
  <c r="Q374" i="3"/>
  <c r="Q390" i="3"/>
  <c r="Q406" i="3"/>
  <c r="Q422" i="3"/>
  <c r="Q438" i="3"/>
  <c r="Q454" i="3"/>
  <c r="Q470" i="3"/>
  <c r="R487" i="3"/>
  <c r="AQ487" i="3" s="1"/>
  <c r="R502" i="3"/>
  <c r="AQ502" i="3" s="1"/>
  <c r="O518" i="3"/>
  <c r="R535" i="3"/>
  <c r="AQ535" i="3" s="1"/>
  <c r="Q551" i="3"/>
  <c r="O567" i="3"/>
  <c r="R16" i="3"/>
  <c r="AQ16" i="3" s="1"/>
  <c r="O32" i="3"/>
  <c r="P49" i="3"/>
  <c r="P64" i="3"/>
  <c r="P81" i="3"/>
  <c r="Q97" i="3"/>
  <c r="R113" i="3"/>
  <c r="AQ113" i="3" s="1"/>
  <c r="Q128" i="3"/>
  <c r="Q143" i="3"/>
  <c r="Q161" i="3"/>
  <c r="O178" i="3"/>
  <c r="R192" i="3"/>
  <c r="AQ192" i="3" s="1"/>
  <c r="P207" i="3"/>
  <c r="P222" i="3"/>
  <c r="Q239" i="3"/>
  <c r="O255" i="3"/>
  <c r="Q270" i="3"/>
  <c r="R285" i="3"/>
  <c r="AQ285" i="3" s="1"/>
  <c r="O301" i="3"/>
  <c r="O316" i="3"/>
  <c r="Q331" i="3"/>
  <c r="R348" i="3"/>
  <c r="AQ348" i="3" s="1"/>
  <c r="Q365" i="3"/>
  <c r="O380" i="3"/>
  <c r="O396" i="3"/>
  <c r="O412" i="3"/>
  <c r="O428" i="3"/>
  <c r="O444" i="3"/>
  <c r="O460" i="3"/>
  <c r="Q476" i="3"/>
  <c r="R491" i="3"/>
  <c r="AQ491" i="3" s="1"/>
  <c r="O507" i="3"/>
  <c r="O522" i="3"/>
  <c r="O538" i="3"/>
  <c r="R553" i="3"/>
  <c r="AQ553" i="3" s="1"/>
  <c r="P569" i="3"/>
  <c r="P17" i="3"/>
  <c r="Q32" i="3"/>
  <c r="R49" i="3"/>
  <c r="AQ49" i="3" s="1"/>
  <c r="R64" i="3"/>
  <c r="AQ64" i="3" s="1"/>
  <c r="R81" i="3"/>
  <c r="AQ81" i="3" s="1"/>
  <c r="O96" i="3"/>
  <c r="Q112" i="3"/>
  <c r="O129" i="3"/>
  <c r="P147" i="3"/>
  <c r="R163" i="3"/>
  <c r="AQ163" i="3" s="1"/>
  <c r="Q178" i="3"/>
  <c r="O193" i="3"/>
  <c r="R211" i="3"/>
  <c r="AQ211" i="3" s="1"/>
  <c r="R226" i="3"/>
  <c r="AQ226" i="3" s="1"/>
  <c r="O242" i="3"/>
  <c r="Q259" i="3"/>
  <c r="R276" i="3"/>
  <c r="AQ276" i="3" s="1"/>
  <c r="R291" i="3"/>
  <c r="AQ291" i="3" s="1"/>
  <c r="O307" i="3"/>
  <c r="Q322" i="3"/>
  <c r="R339" i="3"/>
  <c r="AQ339" i="3" s="1"/>
  <c r="Q356" i="3"/>
  <c r="Q373" i="3"/>
  <c r="Q389" i="3"/>
  <c r="Q405" i="3"/>
  <c r="Q421" i="3"/>
  <c r="Q437" i="3"/>
  <c r="Q453" i="3"/>
  <c r="Q469" i="3"/>
  <c r="R484" i="3"/>
  <c r="AQ484" i="3" s="1"/>
  <c r="R499" i="3"/>
  <c r="AQ499" i="3" s="1"/>
  <c r="O515" i="3"/>
  <c r="Q530" i="3"/>
  <c r="Q546" i="3"/>
  <c r="O562" i="3"/>
  <c r="O10" i="3"/>
  <c r="P25" i="3"/>
  <c r="P42" i="3"/>
  <c r="P59" i="3"/>
  <c r="P74" i="3"/>
  <c r="O91" i="3"/>
  <c r="O109" i="3"/>
  <c r="Q123" i="3"/>
  <c r="Q138" i="3"/>
  <c r="O153" i="3"/>
  <c r="P171" i="3"/>
  <c r="R187" i="3"/>
  <c r="AQ187" i="3" s="1"/>
  <c r="Q202" i="3"/>
  <c r="Q217" i="3"/>
  <c r="Q234" i="3"/>
  <c r="O250" i="3"/>
  <c r="Q267" i="3"/>
  <c r="R282" i="3"/>
  <c r="AQ282" i="3" s="1"/>
  <c r="O298" i="3"/>
  <c r="O313" i="3"/>
  <c r="P330" i="3"/>
  <c r="Q347" i="3"/>
  <c r="P362" i="3"/>
  <c r="O377" i="3"/>
  <c r="O393" i="3"/>
  <c r="O409" i="3"/>
  <c r="R426" i="3"/>
  <c r="AQ426" i="3" s="1"/>
  <c r="R442" i="3"/>
  <c r="AQ442" i="3" s="1"/>
  <c r="R458" i="3"/>
  <c r="AQ458" i="3" s="1"/>
  <c r="P473" i="3"/>
  <c r="R488" i="3"/>
  <c r="AQ488" i="3" s="1"/>
  <c r="R505" i="3"/>
  <c r="AQ505" i="3" s="1"/>
  <c r="R520" i="3"/>
  <c r="AQ520" i="3" s="1"/>
  <c r="R536" i="3"/>
  <c r="AQ536" i="3" s="1"/>
  <c r="Q552" i="3"/>
  <c r="Q23" i="3"/>
  <c r="R38" i="3"/>
  <c r="AQ38" i="3" s="1"/>
  <c r="R55" i="3"/>
  <c r="AQ55" i="3" s="1"/>
  <c r="R70" i="3"/>
  <c r="AQ70" i="3" s="1"/>
  <c r="R87" i="3"/>
  <c r="AQ87" i="3" s="1"/>
  <c r="O102" i="3"/>
  <c r="P118" i="3"/>
  <c r="R136" i="3"/>
  <c r="AQ136" i="3" s="1"/>
  <c r="R151" i="3"/>
  <c r="AQ151" i="3" s="1"/>
  <c r="P166" i="3"/>
  <c r="R182" i="3"/>
  <c r="AQ182" i="3" s="1"/>
  <c r="P199" i="3"/>
  <c r="R217" i="3"/>
  <c r="AQ217" i="3" s="1"/>
  <c r="R232" i="3"/>
  <c r="AQ232" i="3" s="1"/>
  <c r="P248" i="3"/>
  <c r="R265" i="3"/>
  <c r="AQ265" i="3" s="1"/>
  <c r="O281" i="3"/>
  <c r="P298" i="3"/>
  <c r="O315" i="3"/>
  <c r="Q332" i="3"/>
  <c r="R347" i="3"/>
  <c r="AQ347" i="3" s="1"/>
  <c r="Q362" i="3"/>
  <c r="P379" i="3"/>
  <c r="P395" i="3"/>
  <c r="P411" i="3"/>
  <c r="O427" i="3"/>
  <c r="O443" i="3"/>
  <c r="O459" i="3"/>
  <c r="Q475" i="3"/>
  <c r="R492" i="3"/>
  <c r="AQ492" i="3" s="1"/>
  <c r="O508" i="3"/>
  <c r="O525" i="3"/>
  <c r="O541" i="3"/>
  <c r="R558" i="3"/>
  <c r="AQ558" i="3" s="1"/>
  <c r="P574" i="3"/>
  <c r="O147" i="3"/>
  <c r="P282" i="3"/>
  <c r="Q401" i="3"/>
  <c r="Q510" i="3"/>
  <c r="R565" i="3"/>
  <c r="AQ565" i="3" s="1"/>
  <c r="Q585" i="3"/>
  <c r="O601" i="3"/>
  <c r="P619" i="3"/>
  <c r="O633" i="3"/>
  <c r="O649" i="3"/>
  <c r="O665" i="3"/>
  <c r="O681" i="3"/>
  <c r="O697" i="3"/>
  <c r="O713" i="3"/>
  <c r="O18" i="3"/>
  <c r="P35" i="3"/>
  <c r="O52" i="3"/>
  <c r="O69" i="3"/>
  <c r="O84" i="3"/>
  <c r="R98" i="3"/>
  <c r="AQ98" i="3" s="1"/>
  <c r="R114" i="3"/>
  <c r="AQ114" i="3" s="1"/>
  <c r="R131" i="3"/>
  <c r="AQ131" i="3" s="1"/>
  <c r="O148" i="3"/>
  <c r="Q166" i="3"/>
  <c r="O181" i="3"/>
  <c r="Q195" i="3"/>
  <c r="Q212" i="3"/>
  <c r="Q227" i="3"/>
  <c r="R242" i="3"/>
  <c r="AQ242" i="3" s="1"/>
  <c r="P258" i="3"/>
  <c r="Q275" i="3"/>
  <c r="R290" i="3"/>
  <c r="AQ290" i="3" s="1"/>
  <c r="O306" i="3"/>
  <c r="P321" i="3"/>
  <c r="R336" i="3"/>
  <c r="AQ336" i="3" s="1"/>
  <c r="Q353" i="3"/>
  <c r="P370" i="3"/>
  <c r="Q386" i="3"/>
  <c r="Q402" i="3"/>
  <c r="Q418" i="3"/>
  <c r="P434" i="3"/>
  <c r="P450" i="3"/>
  <c r="P466" i="3"/>
  <c r="Q483" i="3"/>
  <c r="Q498" i="3"/>
  <c r="R513" i="3"/>
  <c r="AQ513" i="3" s="1"/>
  <c r="P529" i="3"/>
  <c r="P545" i="3"/>
  <c r="O22" i="3"/>
  <c r="O39" i="3"/>
  <c r="P54" i="3"/>
  <c r="P71" i="3"/>
  <c r="P86" i="3"/>
  <c r="Q104" i="3"/>
  <c r="R118" i="3"/>
  <c r="AQ118" i="3" s="1"/>
  <c r="R133" i="3"/>
  <c r="AQ133" i="3" s="1"/>
  <c r="P148" i="3"/>
  <c r="R164" i="3"/>
  <c r="AQ164" i="3" s="1"/>
  <c r="P181" i="3"/>
  <c r="R197" i="3"/>
  <c r="AQ197" i="3" s="1"/>
  <c r="R212" i="3"/>
  <c r="AQ212" i="3" s="1"/>
  <c r="Q229" i="3"/>
  <c r="O245" i="3"/>
  <c r="Q260" i="3"/>
  <c r="R275" i="3"/>
  <c r="AQ275" i="3" s="1"/>
  <c r="R292" i="3"/>
  <c r="AQ292" i="3" s="1"/>
  <c r="O308" i="3"/>
  <c r="P325" i="3"/>
  <c r="R340" i="3"/>
  <c r="AQ340" i="3" s="1"/>
  <c r="R355" i="3"/>
  <c r="AQ355" i="3" s="1"/>
  <c r="Q370" i="3"/>
  <c r="R386" i="3"/>
  <c r="AQ386" i="3" s="1"/>
  <c r="R402" i="3"/>
  <c r="AQ402" i="3" s="1"/>
  <c r="R418" i="3"/>
  <c r="AQ418" i="3" s="1"/>
  <c r="Q434" i="3"/>
  <c r="Q450" i="3"/>
  <c r="Q466" i="3"/>
  <c r="R483" i="3"/>
  <c r="AQ483" i="3" s="1"/>
  <c r="R500" i="3"/>
  <c r="AQ500" i="3" s="1"/>
  <c r="P24" i="3"/>
  <c r="P39" i="3"/>
  <c r="Q54" i="3"/>
  <c r="Q71" i="3"/>
  <c r="Q86" i="3"/>
  <c r="O101" i="3"/>
  <c r="P117" i="3"/>
  <c r="Q135" i="3"/>
  <c r="P152" i="3"/>
  <c r="O167" i="3"/>
  <c r="Q181" i="3"/>
  <c r="O198" i="3"/>
  <c r="Q216" i="3"/>
  <c r="Q231" i="3"/>
  <c r="O247" i="3"/>
  <c r="Q262" i="3"/>
  <c r="R279" i="3"/>
  <c r="AQ279" i="3" s="1"/>
  <c r="O295" i="3"/>
  <c r="O312" i="3"/>
  <c r="P327" i="3"/>
  <c r="R342" i="3"/>
  <c r="AQ342" i="3" s="1"/>
  <c r="Q359" i="3"/>
  <c r="P376" i="3"/>
  <c r="P392" i="3"/>
  <c r="P408" i="3"/>
  <c r="O424" i="3"/>
  <c r="O440" i="3"/>
  <c r="O456" i="3"/>
  <c r="P472" i="3"/>
  <c r="Q489" i="3"/>
  <c r="R504" i="3"/>
  <c r="AQ504" i="3" s="1"/>
  <c r="R521" i="3"/>
  <c r="AQ521" i="3" s="1"/>
  <c r="R537" i="3"/>
  <c r="AQ537" i="3" s="1"/>
  <c r="Q553" i="3"/>
  <c r="O569" i="3"/>
  <c r="R18" i="3"/>
  <c r="AQ18" i="3" s="1"/>
  <c r="O34" i="3"/>
  <c r="O51" i="3"/>
  <c r="O66" i="3"/>
  <c r="O83" i="3"/>
  <c r="Q99" i="3"/>
  <c r="Q115" i="3"/>
  <c r="Q130" i="3"/>
  <c r="O145" i="3"/>
  <c r="P163" i="3"/>
  <c r="R179" i="3"/>
  <c r="AQ179" i="3" s="1"/>
  <c r="Q194" i="3"/>
  <c r="P209" i="3"/>
  <c r="P224" i="3"/>
  <c r="Q241" i="3"/>
  <c r="O257" i="3"/>
  <c r="Q272" i="3"/>
  <c r="Q287" i="3"/>
  <c r="R302" i="3"/>
  <c r="AQ302" i="3" s="1"/>
  <c r="O318" i="3"/>
  <c r="Q333" i="3"/>
  <c r="Q350" i="3"/>
  <c r="P367" i="3"/>
  <c r="Q383" i="3"/>
  <c r="Q399" i="3"/>
  <c r="Q415" i="3"/>
  <c r="Q431" i="3"/>
  <c r="Q447" i="3"/>
  <c r="Q463" i="3"/>
  <c r="P478" i="3"/>
  <c r="R493" i="3"/>
  <c r="AQ493" i="3" s="1"/>
  <c r="O509" i="3"/>
  <c r="O524" i="3"/>
  <c r="O540" i="3"/>
  <c r="R555" i="3"/>
  <c r="AQ555" i="3" s="1"/>
  <c r="P571" i="3"/>
  <c r="P19" i="3"/>
  <c r="Q34" i="3"/>
  <c r="Q51" i="3"/>
  <c r="Q66" i="3"/>
  <c r="Q83" i="3"/>
  <c r="O98" i="3"/>
  <c r="O114" i="3"/>
  <c r="O131" i="3"/>
  <c r="P149" i="3"/>
  <c r="R165" i="3"/>
  <c r="AQ165" i="3" s="1"/>
  <c r="P180" i="3"/>
  <c r="R196" i="3"/>
  <c r="AQ196" i="3" s="1"/>
  <c r="Q213" i="3"/>
  <c r="R228" i="3"/>
  <c r="AQ228" i="3" s="1"/>
  <c r="O244" i="3"/>
  <c r="Q261" i="3"/>
  <c r="Q278" i="3"/>
  <c r="R293" i="3"/>
  <c r="AQ293" i="3" s="1"/>
  <c r="O309" i="3"/>
  <c r="P324" i="3"/>
  <c r="R341" i="3"/>
  <c r="AQ341" i="3" s="1"/>
  <c r="P358" i="3"/>
  <c r="O375" i="3"/>
  <c r="O391" i="3"/>
  <c r="U391" i="3" s="1"/>
  <c r="O407" i="3"/>
  <c r="U407" i="3" s="1"/>
  <c r="O423" i="3"/>
  <c r="O439" i="3"/>
  <c r="U439" i="3" s="1"/>
  <c r="O455" i="3"/>
  <c r="U455" i="3" s="1"/>
  <c r="P471" i="3"/>
  <c r="Q486" i="3"/>
  <c r="R501" i="3"/>
  <c r="AQ501" i="3" s="1"/>
  <c r="O517" i="3"/>
  <c r="Q532" i="3"/>
  <c r="Q548" i="3"/>
  <c r="O564" i="3"/>
  <c r="O12" i="3"/>
  <c r="P27" i="3"/>
  <c r="O44" i="3"/>
  <c r="O61" i="3"/>
  <c r="O76" i="3"/>
  <c r="P94" i="3"/>
  <c r="R110" i="3"/>
  <c r="AQ110" i="3" s="1"/>
  <c r="Q125" i="3"/>
  <c r="P140" i="3"/>
  <c r="R156" i="3"/>
  <c r="AQ156" i="3" s="1"/>
  <c r="P173" i="3"/>
  <c r="R189" i="3"/>
  <c r="AQ189" i="3" s="1"/>
  <c r="P204" i="3"/>
  <c r="Q219" i="3"/>
  <c r="Q236" i="3"/>
  <c r="O252" i="3"/>
  <c r="Q269" i="3"/>
  <c r="Q284" i="3"/>
  <c r="R299" i="3"/>
  <c r="AQ299" i="3" s="1"/>
  <c r="R316" i="3"/>
  <c r="AQ316" i="3" s="1"/>
  <c r="P332" i="3"/>
  <c r="Q349" i="3"/>
  <c r="P364" i="3"/>
  <c r="O379" i="3"/>
  <c r="O395" i="3"/>
  <c r="O411" i="3"/>
  <c r="R428" i="3"/>
  <c r="AQ428" i="3" s="1"/>
  <c r="R444" i="3"/>
  <c r="AQ444" i="3" s="1"/>
  <c r="R460" i="3"/>
  <c r="AQ460" i="3" s="1"/>
  <c r="P475" i="3"/>
  <c r="Q490" i="3"/>
  <c r="R507" i="3"/>
  <c r="AQ507" i="3" s="1"/>
  <c r="R522" i="3"/>
  <c r="AQ522" i="3" s="1"/>
  <c r="R538" i="3"/>
  <c r="AQ538" i="3" s="1"/>
  <c r="Q8" i="3"/>
  <c r="Q25" i="3"/>
  <c r="Q40" i="3"/>
  <c r="R57" i="3"/>
  <c r="AQ57" i="3" s="1"/>
  <c r="R72" i="3"/>
  <c r="AQ72" i="3" s="1"/>
  <c r="Q89" i="3"/>
  <c r="O104" i="3"/>
  <c r="P120" i="3"/>
  <c r="R138" i="3"/>
  <c r="AQ138" i="3" s="1"/>
  <c r="P153" i="3"/>
  <c r="O168" i="3"/>
  <c r="Q184" i="3"/>
  <c r="R202" i="3"/>
  <c r="AQ202" i="3" s="1"/>
  <c r="R219" i="3"/>
  <c r="AQ219" i="3" s="1"/>
  <c r="R234" i="3"/>
  <c r="AQ234" i="3" s="1"/>
  <c r="P250" i="3"/>
  <c r="R267" i="3"/>
  <c r="AQ267" i="3" s="1"/>
  <c r="R284" i="3"/>
  <c r="AQ284" i="3" s="1"/>
  <c r="O300" i="3"/>
  <c r="O317" i="3"/>
  <c r="Q334" i="3"/>
  <c r="R349" i="3"/>
  <c r="AQ349" i="3" s="1"/>
  <c r="Q364" i="3"/>
  <c r="O381" i="3"/>
  <c r="O397" i="3"/>
  <c r="O413" i="3"/>
  <c r="O429" i="3"/>
  <c r="O445" i="3"/>
  <c r="U445" i="3" s="1"/>
  <c r="O461" i="3"/>
  <c r="U461" i="3" s="1"/>
  <c r="Q477" i="3"/>
  <c r="Q494" i="3"/>
  <c r="O510" i="3"/>
  <c r="O527" i="3"/>
  <c r="O543" i="3"/>
  <c r="Q560" i="3"/>
  <c r="Q13" i="3"/>
  <c r="R161" i="3"/>
  <c r="AQ161" i="3" s="1"/>
  <c r="Q297" i="3"/>
  <c r="R415" i="3"/>
  <c r="AQ415" i="3" s="1"/>
  <c r="Q525" i="3"/>
  <c r="Q569" i="3"/>
  <c r="Q587" i="3"/>
  <c r="O603" i="3"/>
  <c r="O621" i="3"/>
  <c r="Q634" i="3"/>
  <c r="O651" i="3"/>
  <c r="O667" i="3"/>
  <c r="O683" i="3"/>
  <c r="O699" i="3"/>
  <c r="O715" i="3"/>
  <c r="O731" i="3"/>
  <c r="O747" i="3"/>
  <c r="R762" i="3"/>
  <c r="AQ762" i="3" s="1"/>
  <c r="Q778" i="3"/>
  <c r="O794" i="3"/>
  <c r="R809" i="3"/>
  <c r="AQ809" i="3" s="1"/>
  <c r="R21" i="3"/>
  <c r="AQ21" i="3" s="1"/>
  <c r="O37" i="3"/>
  <c r="O54" i="3"/>
  <c r="O71" i="3"/>
  <c r="O86" i="3"/>
  <c r="R100" i="3"/>
  <c r="AQ100" i="3" s="1"/>
  <c r="R116" i="3"/>
  <c r="AQ116" i="3" s="1"/>
  <c r="Q133" i="3"/>
  <c r="O150" i="3"/>
  <c r="P168" i="3"/>
  <c r="O183" i="3"/>
  <c r="Q197" i="3"/>
  <c r="O214" i="3"/>
  <c r="P229" i="3"/>
  <c r="AC229" i="3" s="1"/>
  <c r="R244" i="3"/>
  <c r="AQ244" i="3" s="1"/>
  <c r="P260" i="3"/>
  <c r="AC260" i="3" s="1"/>
  <c r="Q277" i="3"/>
  <c r="Q292" i="3"/>
  <c r="R307" i="3"/>
  <c r="AQ307" i="3" s="1"/>
  <c r="O323" i="3"/>
  <c r="Q338" i="3"/>
  <c r="Q355" i="3"/>
  <c r="P372" i="3"/>
  <c r="P388" i="3"/>
  <c r="P404" i="3"/>
  <c r="P420" i="3"/>
  <c r="P436" i="3"/>
  <c r="P452" i="3"/>
  <c r="P468" i="3"/>
  <c r="Q485" i="3"/>
  <c r="Q500" i="3"/>
  <c r="R515" i="3"/>
  <c r="AQ515" i="3" s="1"/>
  <c r="P531" i="3"/>
  <c r="P547" i="3"/>
  <c r="O24" i="3"/>
  <c r="O41" i="3"/>
  <c r="P56" i="3"/>
  <c r="P73" i="3"/>
  <c r="P88" i="3"/>
  <c r="O106" i="3"/>
  <c r="R120" i="3"/>
  <c r="AQ120" i="3" s="1"/>
  <c r="P135" i="3"/>
  <c r="P150" i="3"/>
  <c r="R166" i="3"/>
  <c r="AQ166" i="3" s="1"/>
  <c r="P183" i="3"/>
  <c r="R199" i="3"/>
  <c r="AQ199" i="3" s="1"/>
  <c r="P214" i="3"/>
  <c r="P231" i="3"/>
  <c r="R246" i="3"/>
  <c r="AQ246" i="3" s="1"/>
  <c r="P262" i="3"/>
  <c r="R277" i="3"/>
  <c r="AQ277" i="3" s="1"/>
  <c r="R294" i="3"/>
  <c r="AQ294" i="3" s="1"/>
  <c r="R311" i="3"/>
  <c r="AQ311" i="3" s="1"/>
  <c r="O327" i="3"/>
  <c r="Q342" i="3"/>
  <c r="Q357" i="3"/>
  <c r="Q372" i="3"/>
  <c r="Q388" i="3"/>
  <c r="Q404" i="3"/>
  <c r="Q420" i="3"/>
  <c r="Q436" i="3"/>
  <c r="Q452" i="3"/>
  <c r="Q468" i="3"/>
  <c r="R485" i="3"/>
  <c r="AQ485" i="3" s="1"/>
  <c r="O9" i="3"/>
  <c r="P26" i="3"/>
  <c r="P41" i="3"/>
  <c r="Q56" i="3"/>
  <c r="Q73" i="3"/>
  <c r="Q88" i="3"/>
  <c r="R102" i="3"/>
  <c r="AQ102" i="3" s="1"/>
  <c r="O119" i="3"/>
  <c r="Q137" i="3"/>
  <c r="O154" i="3"/>
  <c r="R168" i="3"/>
  <c r="AQ168" i="3" s="1"/>
  <c r="Q183" i="3"/>
  <c r="Q201" i="3"/>
  <c r="Q218" i="3"/>
  <c r="Q233" i="3"/>
  <c r="O249" i="3"/>
  <c r="Q264" i="3"/>
  <c r="R281" i="3"/>
  <c r="AQ281" i="3" s="1"/>
  <c r="O297" i="3"/>
  <c r="O314" i="3"/>
  <c r="P329" i="3"/>
  <c r="R344" i="3"/>
  <c r="AQ344" i="3" s="1"/>
  <c r="P361" i="3"/>
  <c r="O378" i="3"/>
  <c r="O394" i="3"/>
  <c r="O410" i="3"/>
  <c r="R425" i="3"/>
  <c r="AQ425" i="3" s="1"/>
  <c r="R441" i="3"/>
  <c r="AQ441" i="3" s="1"/>
  <c r="R457" i="3"/>
  <c r="AQ457" i="3" s="1"/>
  <c r="P474" i="3"/>
  <c r="Q491" i="3"/>
  <c r="R506" i="3"/>
  <c r="AQ506" i="3" s="1"/>
  <c r="R523" i="3"/>
  <c r="AQ523" i="3" s="1"/>
  <c r="R539" i="3"/>
  <c r="AQ539" i="3" s="1"/>
  <c r="Q555" i="3"/>
  <c r="O571" i="3"/>
  <c r="Q20" i="3"/>
  <c r="R37" i="3"/>
  <c r="AQ37" i="3" s="1"/>
  <c r="R52" i="3"/>
  <c r="AQ52" i="3" s="1"/>
  <c r="R69" i="3"/>
  <c r="AQ69" i="3" s="1"/>
  <c r="R84" i="3"/>
  <c r="AQ84" i="3" s="1"/>
  <c r="P101" i="3"/>
  <c r="Q117" i="3"/>
  <c r="Q132" i="3"/>
  <c r="R148" i="3"/>
  <c r="AQ148" i="3" s="1"/>
  <c r="P165" i="3"/>
  <c r="R181" i="3"/>
  <c r="AQ181" i="3" s="1"/>
  <c r="P196" i="3"/>
  <c r="P211" i="3"/>
  <c r="P226" i="3"/>
  <c r="AC226" i="3" s="1"/>
  <c r="Q243" i="3"/>
  <c r="O259" i="3"/>
  <c r="Q274" i="3"/>
  <c r="Q289" i="3"/>
  <c r="R304" i="3"/>
  <c r="AQ304" i="3" s="1"/>
  <c r="O320" i="3"/>
  <c r="Q335" i="3"/>
  <c r="Q352" i="3"/>
  <c r="O369" i="3"/>
  <c r="P385" i="3"/>
  <c r="P401" i="3"/>
  <c r="P417" i="3"/>
  <c r="O433" i="3"/>
  <c r="O449" i="3"/>
  <c r="O465" i="3"/>
  <c r="P480" i="3"/>
  <c r="Q495" i="3"/>
  <c r="O511" i="3"/>
  <c r="O526" i="3"/>
  <c r="O542" i="3"/>
  <c r="R557" i="3"/>
  <c r="AQ557" i="3" s="1"/>
  <c r="P573" i="3"/>
  <c r="O21" i="3"/>
  <c r="U21" i="3" s="1"/>
  <c r="P36" i="3"/>
  <c r="P53" i="3"/>
  <c r="P68" i="3"/>
  <c r="P85" i="3"/>
  <c r="O100" i="3"/>
  <c r="O116" i="3"/>
  <c r="Q134" i="3"/>
  <c r="P151" i="3"/>
  <c r="R167" i="3"/>
  <c r="AQ167" i="3" s="1"/>
  <c r="P182" i="3"/>
  <c r="R198" i="3"/>
  <c r="AQ198" i="3" s="1"/>
  <c r="P215" i="3"/>
  <c r="P230" i="3"/>
  <c r="R247" i="3"/>
  <c r="AQ247" i="3" s="1"/>
  <c r="P263" i="3"/>
  <c r="Q280" i="3"/>
  <c r="R295" i="3"/>
  <c r="AQ295" i="3" s="1"/>
  <c r="R310" i="3"/>
  <c r="AQ310" i="3" s="1"/>
  <c r="O326" i="3"/>
  <c r="Q343" i="3"/>
  <c r="P360" i="3"/>
  <c r="AC360" i="3" s="1"/>
  <c r="R378" i="3"/>
  <c r="AQ378" i="3" s="1"/>
  <c r="R394" i="3"/>
  <c r="AQ394" i="3" s="1"/>
  <c r="R410" i="3"/>
  <c r="AQ410" i="3" s="1"/>
  <c r="R424" i="3"/>
  <c r="AQ424" i="3" s="1"/>
  <c r="R440" i="3"/>
  <c r="AQ440" i="3" s="1"/>
  <c r="R456" i="3"/>
  <c r="AQ456" i="3" s="1"/>
  <c r="O473" i="3"/>
  <c r="U473" i="3" s="1"/>
  <c r="Q488" i="3"/>
  <c r="Q503" i="3"/>
  <c r="R518" i="3"/>
  <c r="AQ518" i="3" s="1"/>
  <c r="Q534" i="3"/>
  <c r="Q550" i="3"/>
  <c r="O566" i="3"/>
  <c r="O14" i="3"/>
  <c r="O29" i="3"/>
  <c r="O46" i="3"/>
  <c r="O63" i="3"/>
  <c r="O78" i="3"/>
  <c r="P96" i="3"/>
  <c r="R112" i="3"/>
  <c r="AQ112" i="3" s="1"/>
  <c r="P127" i="3"/>
  <c r="P142" i="3"/>
  <c r="AC142" i="3" s="1"/>
  <c r="R158" i="3"/>
  <c r="AQ158" i="3" s="1"/>
  <c r="P175" i="3"/>
  <c r="R191" i="3"/>
  <c r="AQ191" i="3" s="1"/>
  <c r="O206" i="3"/>
  <c r="P221" i="3"/>
  <c r="P238" i="3"/>
  <c r="AC238" i="3" s="1"/>
  <c r="R255" i="3"/>
  <c r="AQ255" i="3" s="1"/>
  <c r="P271" i="3"/>
  <c r="AC271" i="3" s="1"/>
  <c r="P286" i="3"/>
  <c r="R301" i="3"/>
  <c r="AQ301" i="3" s="1"/>
  <c r="R318" i="3"/>
  <c r="AQ318" i="3" s="1"/>
  <c r="P334" i="3"/>
  <c r="AC334" i="3" s="1"/>
  <c r="P351" i="3"/>
  <c r="AC351" i="3" s="1"/>
  <c r="O366" i="3"/>
  <c r="R380" i="3"/>
  <c r="AQ380" i="3" s="1"/>
  <c r="R396" i="3"/>
  <c r="AQ396" i="3" s="1"/>
  <c r="R412" i="3"/>
  <c r="AQ412" i="3" s="1"/>
  <c r="Q430" i="3"/>
  <c r="Q446" i="3"/>
  <c r="Q462" i="3"/>
  <c r="P477" i="3"/>
  <c r="Q492" i="3"/>
  <c r="R509" i="3"/>
  <c r="AQ509" i="3" s="1"/>
  <c r="R524" i="3"/>
  <c r="AQ524" i="3" s="1"/>
  <c r="R540" i="3"/>
  <c r="AQ540" i="3" s="1"/>
  <c r="P10" i="3"/>
  <c r="Q27" i="3"/>
  <c r="Q42" i="3"/>
  <c r="Q59" i="3"/>
  <c r="Q74" i="3"/>
  <c r="P91" i="3"/>
  <c r="R105" i="3"/>
  <c r="AQ105" i="3" s="1"/>
  <c r="R123" i="3"/>
  <c r="AQ123" i="3" s="1"/>
  <c r="Q140" i="3"/>
  <c r="O155" i="3"/>
  <c r="R169" i="3"/>
  <c r="AQ169" i="3" s="1"/>
  <c r="P186" i="3"/>
  <c r="Q204" i="3"/>
  <c r="Q221" i="3"/>
  <c r="R236" i="3"/>
  <c r="AQ236" i="3" s="1"/>
  <c r="P252" i="3"/>
  <c r="R269" i="3"/>
  <c r="AQ269" i="3" s="1"/>
  <c r="Q286" i="3"/>
  <c r="R303" i="3"/>
  <c r="AQ303" i="3" s="1"/>
  <c r="O319" i="3"/>
  <c r="Q336" i="3"/>
  <c r="Q351" i="3"/>
  <c r="P366" i="3"/>
  <c r="R382" i="3"/>
  <c r="AQ382" i="3" s="1"/>
  <c r="R398" i="3"/>
  <c r="AQ398" i="3" s="1"/>
  <c r="R414" i="3"/>
  <c r="AQ414" i="3" s="1"/>
  <c r="R430" i="3"/>
  <c r="AQ430" i="3" s="1"/>
  <c r="R446" i="3"/>
  <c r="AQ446" i="3" s="1"/>
  <c r="R462" i="3"/>
  <c r="AQ462" i="3" s="1"/>
  <c r="P479" i="3"/>
  <c r="Q496" i="3"/>
  <c r="Q513" i="3"/>
  <c r="O529" i="3"/>
  <c r="O545" i="3"/>
  <c r="Q562" i="3"/>
  <c r="Q28" i="3"/>
  <c r="Q176" i="3"/>
  <c r="Q312" i="3"/>
  <c r="O430" i="3"/>
  <c r="Q533" i="3"/>
  <c r="Q573" i="3"/>
  <c r="Q589" i="3"/>
  <c r="O605" i="3"/>
  <c r="O623" i="3"/>
  <c r="O636" i="3"/>
  <c r="O653" i="3"/>
  <c r="O669" i="3"/>
  <c r="O685" i="3"/>
  <c r="O701" i="3"/>
  <c r="O717" i="3"/>
  <c r="O733" i="3"/>
  <c r="O749" i="3"/>
  <c r="R764" i="3"/>
  <c r="AQ764" i="3" s="1"/>
  <c r="Q780" i="3"/>
  <c r="O796" i="3"/>
  <c r="R811" i="3"/>
  <c r="AQ811" i="3" s="1"/>
  <c r="Q30" i="3"/>
  <c r="O149" i="3"/>
  <c r="P299" i="3"/>
  <c r="R431" i="3"/>
  <c r="AQ431" i="3" s="1"/>
  <c r="P526" i="3"/>
  <c r="O570" i="3"/>
  <c r="U570" i="3" s="1"/>
  <c r="R587" i="3"/>
  <c r="AQ587" i="3" s="1"/>
  <c r="P603" i="3"/>
  <c r="Q619" i="3"/>
  <c r="P636" i="3"/>
  <c r="P651" i="3"/>
  <c r="P667" i="3"/>
  <c r="P683" i="3"/>
  <c r="P699" i="3"/>
  <c r="P715" i="3"/>
  <c r="P731" i="3"/>
  <c r="P747" i="3"/>
  <c r="O763" i="3"/>
  <c r="R778" i="3"/>
  <c r="AQ778" i="3" s="1"/>
  <c r="P794" i="3"/>
  <c r="O810" i="3"/>
  <c r="O17" i="3"/>
  <c r="O136" i="3"/>
  <c r="P255" i="3"/>
  <c r="P405" i="3"/>
  <c r="P512" i="3"/>
  <c r="R566" i="3"/>
  <c r="AQ566" i="3" s="1"/>
  <c r="O586" i="3"/>
  <c r="Q601" i="3"/>
  <c r="R616" i="3"/>
  <c r="AQ616" i="3" s="1"/>
  <c r="O630" i="3"/>
  <c r="Q649" i="3"/>
  <c r="Q665" i="3"/>
  <c r="Q681" i="3"/>
  <c r="Q697" i="3"/>
  <c r="Q713" i="3"/>
  <c r="Q729" i="3"/>
  <c r="Q745" i="3"/>
  <c r="Q761" i="3"/>
  <c r="O777" i="3"/>
  <c r="R792" i="3"/>
  <c r="AQ792" i="3" s="1"/>
  <c r="P808" i="3"/>
  <c r="R108" i="3"/>
  <c r="AQ108" i="3" s="1"/>
  <c r="Q226" i="3"/>
  <c r="O349" i="3"/>
  <c r="Q478" i="3"/>
  <c r="O559" i="3"/>
  <c r="P584" i="3"/>
  <c r="R599" i="3"/>
  <c r="AQ599" i="3" s="1"/>
  <c r="P615" i="3"/>
  <c r="O632" i="3"/>
  <c r="R647" i="3"/>
  <c r="AQ647" i="3" s="1"/>
  <c r="R663" i="3"/>
  <c r="AQ663" i="3" s="1"/>
  <c r="R679" i="3"/>
  <c r="AQ679" i="3" s="1"/>
  <c r="R695" i="3"/>
  <c r="AQ695" i="3" s="1"/>
  <c r="R711" i="3"/>
  <c r="AQ711" i="3" s="1"/>
  <c r="R727" i="3"/>
  <c r="AQ727" i="3" s="1"/>
  <c r="R743" i="3"/>
  <c r="AQ743" i="3" s="1"/>
  <c r="R759" i="3"/>
  <c r="AQ759" i="3" s="1"/>
  <c r="P775" i="3"/>
  <c r="O791" i="3"/>
  <c r="Q806" i="3"/>
  <c r="Q822" i="3"/>
  <c r="P110" i="3"/>
  <c r="AC110" i="3" s="1"/>
  <c r="R243" i="3"/>
  <c r="AQ243" i="3" s="1"/>
  <c r="R365" i="3"/>
  <c r="AQ365" i="3" s="1"/>
  <c r="R495" i="3"/>
  <c r="AQ495" i="3" s="1"/>
  <c r="O556" i="3"/>
  <c r="R582" i="3"/>
  <c r="AQ582" i="3" s="1"/>
  <c r="P598" i="3"/>
  <c r="Q613" i="3"/>
  <c r="Q630" i="3"/>
  <c r="O646" i="3"/>
  <c r="O662" i="3"/>
  <c r="O678" i="3"/>
  <c r="O694" i="3"/>
  <c r="O710" i="3"/>
  <c r="O726" i="3"/>
  <c r="O742" i="3"/>
  <c r="O758" i="3"/>
  <c r="R23" i="3"/>
  <c r="AQ23" i="3" s="1"/>
  <c r="R40" i="3"/>
  <c r="AQ40" i="3" s="1"/>
  <c r="O56" i="3"/>
  <c r="O73" i="3"/>
  <c r="O88" i="3"/>
  <c r="P102" i="3"/>
  <c r="Q118" i="3"/>
  <c r="O135" i="3"/>
  <c r="Q153" i="3"/>
  <c r="O170" i="3"/>
  <c r="R184" i="3"/>
  <c r="AQ184" i="3" s="1"/>
  <c r="Q199" i="3"/>
  <c r="O216" i="3"/>
  <c r="O231" i="3"/>
  <c r="Q246" i="3"/>
  <c r="O262" i="3"/>
  <c r="P279" i="3"/>
  <c r="AC279" i="3" s="1"/>
  <c r="Q294" i="3"/>
  <c r="R309" i="3"/>
  <c r="AQ309" i="3" s="1"/>
  <c r="O325" i="3"/>
  <c r="Q340" i="3"/>
  <c r="P357" i="3"/>
  <c r="O374" i="3"/>
  <c r="O390" i="3"/>
  <c r="O406" i="3"/>
  <c r="O422" i="3"/>
  <c r="O438" i="3"/>
  <c r="O454" i="3"/>
  <c r="O470" i="3"/>
  <c r="P487" i="3"/>
  <c r="P502" i="3"/>
  <c r="R517" i="3"/>
  <c r="AQ517" i="3" s="1"/>
  <c r="P533" i="3"/>
  <c r="R10" i="3"/>
  <c r="AQ10" i="3" s="1"/>
  <c r="O26" i="3"/>
  <c r="O43" i="3"/>
  <c r="O58" i="3"/>
  <c r="O75" i="3"/>
  <c r="R91" i="3"/>
  <c r="AQ91" i="3" s="1"/>
  <c r="O108" i="3"/>
  <c r="P122" i="3"/>
  <c r="P137" i="3"/>
  <c r="O152" i="3"/>
  <c r="Q168" i="3"/>
  <c r="R186" i="3"/>
  <c r="AQ186" i="3" s="1"/>
  <c r="P201" i="3"/>
  <c r="P216" i="3"/>
  <c r="P233" i="3"/>
  <c r="R248" i="3"/>
  <c r="AQ248" i="3" s="1"/>
  <c r="P264" i="3"/>
  <c r="Q279" i="3"/>
  <c r="R296" i="3"/>
  <c r="AQ296" i="3" s="1"/>
  <c r="R313" i="3"/>
  <c r="AQ313" i="3" s="1"/>
  <c r="O329" i="3"/>
  <c r="Q344" i="3"/>
  <c r="P359" i="3"/>
  <c r="P374" i="3"/>
  <c r="P390" i="3"/>
  <c r="P406" i="3"/>
  <c r="P422" i="3"/>
  <c r="P438" i="3"/>
  <c r="P454" i="3"/>
  <c r="P470" i="3"/>
  <c r="Q487" i="3"/>
  <c r="O11" i="3"/>
  <c r="O28" i="3"/>
  <c r="U28" i="3" s="1"/>
  <c r="P43" i="3"/>
  <c r="P58" i="3"/>
  <c r="P75" i="3"/>
  <c r="O90" i="3"/>
  <c r="R104" i="3"/>
  <c r="AQ104" i="3" s="1"/>
  <c r="Q122" i="3"/>
  <c r="P139" i="3"/>
  <c r="R155" i="3"/>
  <c r="AQ155" i="3" s="1"/>
  <c r="Q170" i="3"/>
  <c r="O185" i="3"/>
  <c r="P203" i="3"/>
  <c r="Q220" i="3"/>
  <c r="Q235" i="3"/>
  <c r="O251" i="3"/>
  <c r="Q266" i="3"/>
  <c r="Q283" i="3"/>
  <c r="R300" i="3"/>
  <c r="AQ300" i="3" s="1"/>
  <c r="R315" i="3"/>
  <c r="AQ315" i="3" s="1"/>
  <c r="P331" i="3"/>
  <c r="Q346" i="3"/>
  <c r="P363" i="3"/>
  <c r="R381" i="3"/>
  <c r="AQ381" i="3" s="1"/>
  <c r="R397" i="3"/>
  <c r="AQ397" i="3" s="1"/>
  <c r="R413" i="3"/>
  <c r="AQ413" i="3" s="1"/>
  <c r="R427" i="3"/>
  <c r="AQ427" i="3" s="1"/>
  <c r="R443" i="3"/>
  <c r="AQ443" i="3" s="1"/>
  <c r="R459" i="3"/>
  <c r="AQ459" i="3" s="1"/>
  <c r="P476" i="3"/>
  <c r="AC476" i="3" s="1"/>
  <c r="Q493" i="3"/>
  <c r="R508" i="3"/>
  <c r="AQ508" i="3" s="1"/>
  <c r="R525" i="3"/>
  <c r="AQ525" i="3" s="1"/>
  <c r="R541" i="3"/>
  <c r="AQ541" i="3" s="1"/>
  <c r="Q557" i="3"/>
  <c r="O573" i="3"/>
  <c r="Q22" i="3"/>
  <c r="Q39" i="3"/>
  <c r="R54" i="3"/>
  <c r="AQ54" i="3" s="1"/>
  <c r="R71" i="3"/>
  <c r="AQ71" i="3" s="1"/>
  <c r="R86" i="3"/>
  <c r="AQ86" i="3" s="1"/>
  <c r="O103" i="3"/>
  <c r="P119" i="3"/>
  <c r="O134" i="3"/>
  <c r="R150" i="3"/>
  <c r="AQ150" i="3" s="1"/>
  <c r="P167" i="3"/>
  <c r="R183" i="3"/>
  <c r="AQ183" i="3" s="1"/>
  <c r="P198" i="3"/>
  <c r="O213" i="3"/>
  <c r="P228" i="3"/>
  <c r="Q245" i="3"/>
  <c r="O261" i="3"/>
  <c r="P276" i="3"/>
  <c r="P291" i="3"/>
  <c r="R306" i="3"/>
  <c r="AQ306" i="3" s="1"/>
  <c r="O322" i="3"/>
  <c r="Q337" i="3"/>
  <c r="P354" i="3"/>
  <c r="O371" i="3"/>
  <c r="U371" i="3" s="1"/>
  <c r="P387" i="3"/>
  <c r="AC387" i="3" s="1"/>
  <c r="P403" i="3"/>
  <c r="AC403" i="3" s="1"/>
  <c r="P419" i="3"/>
  <c r="O435" i="3"/>
  <c r="O451" i="3"/>
  <c r="O467" i="3"/>
  <c r="P482" i="3"/>
  <c r="AC482" i="3" s="1"/>
  <c r="P497" i="3"/>
  <c r="R512" i="3"/>
  <c r="AQ512" i="3" s="1"/>
  <c r="O528" i="3"/>
  <c r="O544" i="3"/>
  <c r="U544" i="3" s="1"/>
  <c r="Q559" i="3"/>
  <c r="O8" i="3"/>
  <c r="O23" i="3"/>
  <c r="P38" i="3"/>
  <c r="P55" i="3"/>
  <c r="P70" i="3"/>
  <c r="P87" i="3"/>
  <c r="R101" i="3"/>
  <c r="AQ101" i="3" s="1"/>
  <c r="R119" i="3"/>
  <c r="AQ119" i="3" s="1"/>
  <c r="P136" i="3"/>
  <c r="R154" i="3"/>
  <c r="AQ154" i="3" s="1"/>
  <c r="P169" i="3"/>
  <c r="AC169" i="3" s="1"/>
  <c r="O184" i="3"/>
  <c r="Q200" i="3"/>
  <c r="P217" i="3"/>
  <c r="P232" i="3"/>
  <c r="R249" i="3"/>
  <c r="AQ249" i="3" s="1"/>
  <c r="P265" i="3"/>
  <c r="Q282" i="3"/>
  <c r="R297" i="3"/>
  <c r="AQ297" i="3" s="1"/>
  <c r="R312" i="3"/>
  <c r="AQ312" i="3" s="1"/>
  <c r="O328" i="3"/>
  <c r="P345" i="3"/>
  <c r="O362" i="3"/>
  <c r="Q380" i="3"/>
  <c r="Q396" i="3"/>
  <c r="Q412" i="3"/>
  <c r="Q426" i="3"/>
  <c r="Q442" i="3"/>
  <c r="Q458" i="3"/>
  <c r="O475" i="3"/>
  <c r="P490" i="3"/>
  <c r="AC490" i="3" s="1"/>
  <c r="Q505" i="3"/>
  <c r="Q520" i="3"/>
  <c r="Q536" i="3"/>
  <c r="P552" i="3"/>
  <c r="R567" i="3"/>
  <c r="AQ567" i="3" s="1"/>
  <c r="R15" i="3"/>
  <c r="AQ15" i="3" s="1"/>
  <c r="R32" i="3"/>
  <c r="AQ32" i="3" s="1"/>
  <c r="O48" i="3"/>
  <c r="O65" i="3"/>
  <c r="O80" i="3"/>
  <c r="P98" i="3"/>
  <c r="P114" i="3"/>
  <c r="P129" i="3"/>
  <c r="O144" i="3"/>
  <c r="Q160" i="3"/>
  <c r="R178" i="3"/>
  <c r="AQ178" i="3" s="1"/>
  <c r="P193" i="3"/>
  <c r="O208" i="3"/>
  <c r="O223" i="3"/>
  <c r="P240" i="3"/>
  <c r="R257" i="3"/>
  <c r="AQ257" i="3" s="1"/>
  <c r="P273" i="3"/>
  <c r="AC273" i="3" s="1"/>
  <c r="P288" i="3"/>
  <c r="AC288" i="3" s="1"/>
  <c r="Q303" i="3"/>
  <c r="R320" i="3"/>
  <c r="AQ320" i="3" s="1"/>
  <c r="P336" i="3"/>
  <c r="AC336" i="3" s="1"/>
  <c r="O353" i="3"/>
  <c r="O368" i="3"/>
  <c r="Q382" i="3"/>
  <c r="Q398" i="3"/>
  <c r="Q414" i="3"/>
  <c r="O432" i="3"/>
  <c r="O448" i="3"/>
  <c r="O464" i="3"/>
  <c r="O479" i="3"/>
  <c r="P494" i="3"/>
  <c r="R511" i="3"/>
  <c r="AQ511" i="3" s="1"/>
  <c r="R526" i="3"/>
  <c r="AQ526" i="3" s="1"/>
  <c r="R542" i="3"/>
  <c r="AQ542" i="3" s="1"/>
  <c r="P12" i="3"/>
  <c r="P29" i="3"/>
  <c r="P44" i="3"/>
  <c r="P61" i="3"/>
  <c r="P76" i="3"/>
  <c r="O93" i="3"/>
  <c r="U93" i="3" s="1"/>
  <c r="Q107" i="3"/>
  <c r="R125" i="3"/>
  <c r="AQ125" i="3" s="1"/>
  <c r="Q142" i="3"/>
  <c r="O157" i="3"/>
  <c r="Q171" i="3"/>
  <c r="O188" i="3"/>
  <c r="P206" i="3"/>
  <c r="P223" i="3"/>
  <c r="Q238" i="3"/>
  <c r="O254" i="3"/>
  <c r="U254" i="3" s="1"/>
  <c r="Q271" i="3"/>
  <c r="Q288" i="3"/>
  <c r="R305" i="3"/>
  <c r="AQ305" i="3" s="1"/>
  <c r="O321" i="3"/>
  <c r="P338" i="3"/>
  <c r="P353" i="3"/>
  <c r="P368" i="3"/>
  <c r="Q384" i="3"/>
  <c r="Q400" i="3"/>
  <c r="Q416" i="3"/>
  <c r="P432" i="3"/>
  <c r="P448" i="3"/>
  <c r="P464" i="3"/>
  <c r="P481" i="3"/>
  <c r="P498" i="3"/>
  <c r="Q515" i="3"/>
  <c r="O531" i="3"/>
  <c r="O547" i="3"/>
  <c r="Q564" i="3"/>
  <c r="R43" i="3"/>
  <c r="AQ43" i="3" s="1"/>
  <c r="P191" i="3"/>
  <c r="AC191" i="3" s="1"/>
  <c r="R327" i="3"/>
  <c r="AQ327" i="3" s="1"/>
  <c r="P444" i="3"/>
  <c r="Q541" i="3"/>
  <c r="R575" i="3"/>
  <c r="AQ575" i="3" s="1"/>
  <c r="P591" i="3"/>
  <c r="O607" i="3"/>
  <c r="R624" i="3"/>
  <c r="AQ624" i="3" s="1"/>
  <c r="O638" i="3"/>
  <c r="O655" i="3"/>
  <c r="O671" i="3"/>
  <c r="O687" i="3"/>
  <c r="O703" i="3"/>
  <c r="O719" i="3"/>
  <c r="O735" i="3"/>
  <c r="O751" i="3"/>
  <c r="R766" i="3"/>
  <c r="AQ766" i="3" s="1"/>
  <c r="Q782" i="3"/>
  <c r="O798" i="3"/>
  <c r="R813" i="3"/>
  <c r="AQ813" i="3" s="1"/>
  <c r="Q45" i="3"/>
  <c r="Q163" i="3"/>
  <c r="Q314" i="3"/>
  <c r="O446" i="3"/>
  <c r="P534" i="3"/>
  <c r="AC534" i="3" s="1"/>
  <c r="O574" i="3"/>
  <c r="R589" i="3"/>
  <c r="AQ589" i="3" s="1"/>
  <c r="P605" i="3"/>
  <c r="P621" i="3"/>
  <c r="P638" i="3"/>
  <c r="P653" i="3"/>
  <c r="P669" i="3"/>
  <c r="P685" i="3"/>
  <c r="P701" i="3"/>
  <c r="P717" i="3"/>
  <c r="P733" i="3"/>
  <c r="P749" i="3"/>
  <c r="O765" i="3"/>
  <c r="R780" i="3"/>
  <c r="AQ780" i="3" s="1"/>
  <c r="P796" i="3"/>
  <c r="O812" i="3"/>
  <c r="P32" i="3"/>
  <c r="O151" i="3"/>
  <c r="U151" i="3" s="1"/>
  <c r="R270" i="3"/>
  <c r="AQ270" i="3" s="1"/>
  <c r="Q419" i="3"/>
  <c r="R519" i="3"/>
  <c r="AQ519" i="3" s="1"/>
  <c r="Q570" i="3"/>
  <c r="O588" i="3"/>
  <c r="Q603" i="3"/>
  <c r="O618" i="3"/>
  <c r="Q633" i="3"/>
  <c r="Q651" i="3"/>
  <c r="Q667" i="3"/>
  <c r="Q683" i="3"/>
  <c r="Q699" i="3"/>
  <c r="Q715" i="3"/>
  <c r="Q731" i="3"/>
  <c r="Q747" i="3"/>
  <c r="P763" i="3"/>
  <c r="O779" i="3"/>
  <c r="Q794" i="3"/>
  <c r="P810" i="3"/>
  <c r="O123" i="3"/>
  <c r="R241" i="3"/>
  <c r="AQ241" i="3" s="1"/>
  <c r="R363" i="3"/>
  <c r="AQ363" i="3" s="1"/>
  <c r="P505" i="3"/>
  <c r="AC505" i="3" s="1"/>
  <c r="O563" i="3"/>
  <c r="P586" i="3"/>
  <c r="R601" i="3"/>
  <c r="AQ601" i="3" s="1"/>
  <c r="P618" i="3"/>
  <c r="R633" i="3"/>
  <c r="AQ633" i="3" s="1"/>
  <c r="R649" i="3"/>
  <c r="AQ649" i="3" s="1"/>
  <c r="R665" i="3"/>
  <c r="AQ665" i="3" s="1"/>
  <c r="R681" i="3"/>
  <c r="AQ681" i="3" s="1"/>
  <c r="R697" i="3"/>
  <c r="AQ697" i="3" s="1"/>
  <c r="R713" i="3"/>
  <c r="AQ713" i="3" s="1"/>
  <c r="R729" i="3"/>
  <c r="AQ729" i="3" s="1"/>
  <c r="R745" i="3"/>
  <c r="AQ745" i="3" s="1"/>
  <c r="R761" i="3"/>
  <c r="AQ761" i="3" s="1"/>
  <c r="P777" i="3"/>
  <c r="O793" i="3"/>
  <c r="Q808" i="3"/>
  <c r="Q824" i="3"/>
  <c r="O125" i="3"/>
  <c r="U125" i="3" s="1"/>
  <c r="P259" i="3"/>
  <c r="P380" i="3"/>
  <c r="AC380" i="3" s="1"/>
  <c r="Q506" i="3"/>
  <c r="R559" i="3"/>
  <c r="AQ559" i="3" s="1"/>
  <c r="Q584" i="3"/>
  <c r="O600" i="3"/>
  <c r="Q615" i="3"/>
  <c r="P632" i="3"/>
  <c r="O648" i="3"/>
  <c r="O664" i="3"/>
  <c r="O680" i="3"/>
  <c r="O696" i="3"/>
  <c r="O712" i="3"/>
  <c r="O728" i="3"/>
  <c r="O744" i="3"/>
  <c r="O760" i="3"/>
  <c r="R8" i="3"/>
  <c r="AQ8" i="3" s="1"/>
  <c r="R25" i="3"/>
  <c r="AQ25" i="3" s="1"/>
  <c r="R42" i="3"/>
  <c r="AQ42" i="3" s="1"/>
  <c r="R59" i="3"/>
  <c r="AQ59" i="3" s="1"/>
  <c r="R74" i="3"/>
  <c r="AQ74" i="3" s="1"/>
  <c r="R89" i="3"/>
  <c r="AQ89" i="3" s="1"/>
  <c r="P104" i="3"/>
  <c r="Q120" i="3"/>
  <c r="O137" i="3"/>
  <c r="P155" i="3"/>
  <c r="R171" i="3"/>
  <c r="AQ171" i="3" s="1"/>
  <c r="Q186" i="3"/>
  <c r="O201" i="3"/>
  <c r="O218" i="3"/>
  <c r="O233" i="3"/>
  <c r="Q248" i="3"/>
  <c r="O264" i="3"/>
  <c r="P281" i="3"/>
  <c r="AC281" i="3" s="1"/>
  <c r="Q296" i="3"/>
  <c r="Q311" i="3"/>
  <c r="R326" i="3"/>
  <c r="AQ326" i="3" s="1"/>
  <c r="P342" i="3"/>
  <c r="O359" i="3"/>
  <c r="R375" i="3"/>
  <c r="AQ375" i="3" s="1"/>
  <c r="R391" i="3"/>
  <c r="AQ391" i="3" s="1"/>
  <c r="R407" i="3"/>
  <c r="AQ407" i="3" s="1"/>
  <c r="R423" i="3"/>
  <c r="AQ423" i="3" s="1"/>
  <c r="R439" i="3"/>
  <c r="AQ439" i="3" s="1"/>
  <c r="R455" i="3"/>
  <c r="AQ455" i="3" s="1"/>
  <c r="R473" i="3"/>
  <c r="AQ473" i="3" s="1"/>
  <c r="O489" i="3"/>
  <c r="P504" i="3"/>
  <c r="AC504" i="3" s="1"/>
  <c r="Q519" i="3"/>
  <c r="P535" i="3"/>
  <c r="R12" i="3"/>
  <c r="AQ12" i="3" s="1"/>
  <c r="R29" i="3"/>
  <c r="AQ29" i="3" s="1"/>
  <c r="R44" i="3"/>
  <c r="AQ44" i="3" s="1"/>
  <c r="R61" i="3"/>
  <c r="AQ61" i="3" s="1"/>
  <c r="R76" i="3"/>
  <c r="AQ76" i="3" s="1"/>
  <c r="Q93" i="3"/>
  <c r="R109" i="3"/>
  <c r="AQ109" i="3" s="1"/>
  <c r="P124" i="3"/>
  <c r="AC124" i="3" s="1"/>
  <c r="O139" i="3"/>
  <c r="R153" i="3"/>
  <c r="AQ153" i="3" s="1"/>
  <c r="P170" i="3"/>
  <c r="Q188" i="3"/>
  <c r="O203" i="3"/>
  <c r="P218" i="3"/>
  <c r="P235" i="3"/>
  <c r="R250" i="3"/>
  <c r="AQ250" i="3" s="1"/>
  <c r="P266" i="3"/>
  <c r="Q281" i="3"/>
  <c r="R298" i="3"/>
  <c r="AQ298" i="3" s="1"/>
  <c r="Q315" i="3"/>
  <c r="O331" i="3"/>
  <c r="P346" i="3"/>
  <c r="AC346" i="3" s="1"/>
  <c r="O361" i="3"/>
  <c r="O376" i="3"/>
  <c r="U376" i="3" s="1"/>
  <c r="O392" i="3"/>
  <c r="O408" i="3"/>
  <c r="Q425" i="3"/>
  <c r="Q441" i="3"/>
  <c r="Q457" i="3"/>
  <c r="O472" i="3"/>
  <c r="P489" i="3"/>
  <c r="O13" i="3"/>
  <c r="U13" i="3" s="1"/>
  <c r="O30" i="3"/>
  <c r="U30" i="3" s="1"/>
  <c r="O45" i="3"/>
  <c r="O60" i="3"/>
  <c r="O77" i="3"/>
  <c r="U77" i="3" s="1"/>
  <c r="O92" i="3"/>
  <c r="U92" i="3" s="1"/>
  <c r="P106" i="3"/>
  <c r="Q124" i="3"/>
  <c r="P141" i="3"/>
  <c r="R157" i="3"/>
  <c r="AQ157" i="3" s="1"/>
  <c r="P172" i="3"/>
  <c r="R188" i="3"/>
  <c r="AQ188" i="3" s="1"/>
  <c r="P205" i="3"/>
  <c r="O222" i="3"/>
  <c r="Q237" i="3"/>
  <c r="O253" i="3"/>
  <c r="U253" i="3" s="1"/>
  <c r="Q268" i="3"/>
  <c r="Q285" i="3"/>
  <c r="Q302" i="3"/>
  <c r="R317" i="3"/>
  <c r="AQ317" i="3" s="1"/>
  <c r="P333" i="3"/>
  <c r="Q348" i="3"/>
  <c r="P365" i="3"/>
  <c r="AC365" i="3" s="1"/>
  <c r="P383" i="3"/>
  <c r="P399" i="3"/>
  <c r="AC399" i="3" s="1"/>
  <c r="P415" i="3"/>
  <c r="AC415" i="3" s="1"/>
  <c r="R429" i="3"/>
  <c r="AQ429" i="3" s="1"/>
  <c r="R445" i="3"/>
  <c r="AQ445" i="3" s="1"/>
  <c r="R461" i="3"/>
  <c r="AQ461" i="3" s="1"/>
  <c r="O478" i="3"/>
  <c r="P495" i="3"/>
  <c r="AC495" i="3" s="1"/>
  <c r="R510" i="3"/>
  <c r="AQ510" i="3" s="1"/>
  <c r="R527" i="3"/>
  <c r="AQ527" i="3" s="1"/>
  <c r="R543" i="3"/>
  <c r="AQ543" i="3" s="1"/>
  <c r="P559" i="3"/>
  <c r="P9" i="3"/>
  <c r="Q24" i="3"/>
  <c r="Q41" i="3"/>
  <c r="R56" i="3"/>
  <c r="AQ56" i="3" s="1"/>
  <c r="R73" i="3"/>
  <c r="AQ73" i="3" s="1"/>
  <c r="R88" i="3"/>
  <c r="AQ88" i="3" s="1"/>
  <c r="Q106" i="3"/>
  <c r="O121" i="3"/>
  <c r="R135" i="3"/>
  <c r="AQ135" i="3" s="1"/>
  <c r="Q152" i="3"/>
  <c r="R170" i="3"/>
  <c r="AQ170" i="3" s="1"/>
  <c r="P185" i="3"/>
  <c r="O200" i="3"/>
  <c r="R214" i="3"/>
  <c r="AQ214" i="3" s="1"/>
  <c r="R231" i="3"/>
  <c r="AQ231" i="3" s="1"/>
  <c r="P247" i="3"/>
  <c r="AC247" i="3" s="1"/>
  <c r="R262" i="3"/>
  <c r="AQ262" i="3" s="1"/>
  <c r="O278" i="3"/>
  <c r="P293" i="3"/>
  <c r="AC293" i="3" s="1"/>
  <c r="Q308" i="3"/>
  <c r="R323" i="3"/>
  <c r="AQ323" i="3" s="1"/>
  <c r="P339" i="3"/>
  <c r="O356" i="3"/>
  <c r="O373" i="3"/>
  <c r="U373" i="3" s="1"/>
  <c r="O389" i="3"/>
  <c r="U389" i="3" s="1"/>
  <c r="O405" i="3"/>
  <c r="O421" i="3"/>
  <c r="U421" i="3" s="1"/>
  <c r="O437" i="3"/>
  <c r="U437" i="3" s="1"/>
  <c r="O453" i="3"/>
  <c r="O469" i="3"/>
  <c r="P484" i="3"/>
  <c r="P499" i="3"/>
  <c r="AC499" i="3" s="1"/>
  <c r="Q514" i="3"/>
  <c r="O530" i="3"/>
  <c r="O546" i="3"/>
  <c r="Q561" i="3"/>
  <c r="R9" i="3"/>
  <c r="AQ9" i="3" s="1"/>
  <c r="O25" i="3"/>
  <c r="O40" i="3"/>
  <c r="U40" i="3" s="1"/>
  <c r="P57" i="3"/>
  <c r="P72" i="3"/>
  <c r="O89" i="3"/>
  <c r="U89" i="3" s="1"/>
  <c r="Q103" i="3"/>
  <c r="Q121" i="3"/>
  <c r="P138" i="3"/>
  <c r="Q156" i="3"/>
  <c r="O171" i="3"/>
  <c r="R185" i="3"/>
  <c r="AQ185" i="3" s="1"/>
  <c r="P202" i="3"/>
  <c r="P219" i="3"/>
  <c r="P234" i="3"/>
  <c r="R251" i="3"/>
  <c r="AQ251" i="3" s="1"/>
  <c r="P267" i="3"/>
  <c r="AC267" i="3" s="1"/>
  <c r="P284" i="3"/>
  <c r="Q299" i="3"/>
  <c r="R314" i="3"/>
  <c r="AQ314" i="3" s="1"/>
  <c r="O330" i="3"/>
  <c r="P347" i="3"/>
  <c r="O364" i="3"/>
  <c r="P382" i="3"/>
  <c r="P398" i="3"/>
  <c r="P414" i="3"/>
  <c r="Q428" i="3"/>
  <c r="Q444" i="3"/>
  <c r="Q460" i="3"/>
  <c r="O477" i="3"/>
  <c r="P492" i="3"/>
  <c r="Q507" i="3"/>
  <c r="Q522" i="3"/>
  <c r="Q538" i="3"/>
  <c r="P554" i="3"/>
  <c r="R569" i="3"/>
  <c r="AQ569" i="3" s="1"/>
  <c r="Q17" i="3"/>
  <c r="R34" i="3"/>
  <c r="AQ34" i="3" s="1"/>
  <c r="R51" i="3"/>
  <c r="AQ51" i="3" s="1"/>
  <c r="R66" i="3"/>
  <c r="AQ66" i="3" s="1"/>
  <c r="R83" i="3"/>
  <c r="AQ83" i="3" s="1"/>
  <c r="P100" i="3"/>
  <c r="P116" i="3"/>
  <c r="P131" i="3"/>
  <c r="AC131" i="3" s="1"/>
  <c r="R145" i="3"/>
  <c r="AQ145" i="3" s="1"/>
  <c r="P162" i="3"/>
  <c r="AC162" i="3" s="1"/>
  <c r="Q180" i="3"/>
  <c r="O195" i="3"/>
  <c r="U195" i="3" s="1"/>
  <c r="O210" i="3"/>
  <c r="O225" i="3"/>
  <c r="P242" i="3"/>
  <c r="R259" i="3"/>
  <c r="AQ259" i="3" s="1"/>
  <c r="O275" i="3"/>
  <c r="P290" i="3"/>
  <c r="AC290" i="3" s="1"/>
  <c r="Q305" i="3"/>
  <c r="R322" i="3"/>
  <c r="AQ322" i="3" s="1"/>
  <c r="O338" i="3"/>
  <c r="O355" i="3"/>
  <c r="R369" i="3"/>
  <c r="AQ369" i="3" s="1"/>
  <c r="P384" i="3"/>
  <c r="P400" i="3"/>
  <c r="P416" i="3"/>
  <c r="R433" i="3"/>
  <c r="AQ433" i="3" s="1"/>
  <c r="R449" i="3"/>
  <c r="AQ449" i="3" s="1"/>
  <c r="R465" i="3"/>
  <c r="AQ465" i="3" s="1"/>
  <c r="O481" i="3"/>
  <c r="P496" i="3"/>
  <c r="AC496" i="3" s="1"/>
  <c r="P513" i="3"/>
  <c r="AC513" i="3" s="1"/>
  <c r="R528" i="3"/>
  <c r="AQ528" i="3" s="1"/>
  <c r="R544" i="3"/>
  <c r="AQ544" i="3" s="1"/>
  <c r="P14" i="3"/>
  <c r="O31" i="3"/>
  <c r="P46" i="3"/>
  <c r="P63" i="3"/>
  <c r="P78" i="3"/>
  <c r="Q94" i="3"/>
  <c r="P109" i="3"/>
  <c r="Q127" i="3"/>
  <c r="P144" i="3"/>
  <c r="O159" i="3"/>
  <c r="U159" i="3" s="1"/>
  <c r="Q173" i="3"/>
  <c r="O190" i="3"/>
  <c r="P208" i="3"/>
  <c r="P225" i="3"/>
  <c r="Q240" i="3"/>
  <c r="O256" i="3"/>
  <c r="Q273" i="3"/>
  <c r="Q290" i="3"/>
  <c r="Q307" i="3"/>
  <c r="R324" i="3"/>
  <c r="AQ324" i="3" s="1"/>
  <c r="P340" i="3"/>
  <c r="P355" i="3"/>
  <c r="O370" i="3"/>
  <c r="P386" i="3"/>
  <c r="P402" i="3"/>
  <c r="P418" i="3"/>
  <c r="O434" i="3"/>
  <c r="O450" i="3"/>
  <c r="U450" i="3" s="1"/>
  <c r="O466" i="3"/>
  <c r="U466" i="3" s="1"/>
  <c r="P483" i="3"/>
  <c r="P500" i="3"/>
  <c r="AC500" i="3" s="1"/>
  <c r="Q517" i="3"/>
  <c r="O533" i="3"/>
  <c r="O549" i="3"/>
  <c r="Q566" i="3"/>
  <c r="R58" i="3"/>
  <c r="AQ58" i="3" s="1"/>
  <c r="R205" i="3"/>
  <c r="AQ205" i="3" s="1"/>
  <c r="P343" i="3"/>
  <c r="AC343" i="3" s="1"/>
  <c r="P458" i="3"/>
  <c r="AC458" i="3" s="1"/>
  <c r="P549" i="3"/>
  <c r="R577" i="3"/>
  <c r="AQ577" i="3" s="1"/>
  <c r="P593" i="3"/>
  <c r="O609" i="3"/>
  <c r="O626" i="3"/>
  <c r="Q641" i="3"/>
  <c r="O657" i="3"/>
  <c r="O673" i="3"/>
  <c r="O689" i="3"/>
  <c r="O705" i="3"/>
  <c r="O721" i="3"/>
  <c r="O737" i="3"/>
  <c r="O753" i="3"/>
  <c r="R768" i="3"/>
  <c r="AQ768" i="3" s="1"/>
  <c r="Q784" i="3"/>
  <c r="R799" i="3"/>
  <c r="AQ799" i="3" s="1"/>
  <c r="R815" i="3"/>
  <c r="AQ815" i="3" s="1"/>
  <c r="Q60" i="3"/>
  <c r="P178" i="3"/>
  <c r="R329" i="3"/>
  <c r="AQ329" i="3" s="1"/>
  <c r="P460" i="3"/>
  <c r="P542" i="3"/>
  <c r="O576" i="3"/>
  <c r="Q591" i="3"/>
  <c r="P607" i="3"/>
  <c r="P623" i="3"/>
  <c r="AC623" i="3" s="1"/>
  <c r="O640" i="3"/>
  <c r="U640" i="3" s="1"/>
  <c r="P655" i="3"/>
  <c r="P671" i="3"/>
  <c r="P687" i="3"/>
  <c r="P703" i="3"/>
  <c r="P719" i="3"/>
  <c r="P735" i="3"/>
  <c r="P751" i="3"/>
  <c r="O767" i="3"/>
  <c r="R782" i="3"/>
  <c r="AQ782" i="3" s="1"/>
  <c r="P798" i="3"/>
  <c r="O814" i="3"/>
  <c r="Q47" i="3"/>
  <c r="Q165" i="3"/>
  <c r="P301" i="3"/>
  <c r="AC301" i="3" s="1"/>
  <c r="P433" i="3"/>
  <c r="Q527" i="3"/>
  <c r="Q574" i="3"/>
  <c r="O590" i="3"/>
  <c r="Q605" i="3"/>
  <c r="R619" i="3"/>
  <c r="AQ619" i="3" s="1"/>
  <c r="Q636" i="3"/>
  <c r="Q653" i="3"/>
  <c r="Q669" i="3"/>
  <c r="Q685" i="3"/>
  <c r="Q701" i="3"/>
  <c r="Q717" i="3"/>
  <c r="Q733" i="3"/>
  <c r="Q749" i="3"/>
  <c r="P765" i="3"/>
  <c r="O781" i="3"/>
  <c r="Q796" i="3"/>
  <c r="P812" i="3"/>
  <c r="O138" i="3"/>
  <c r="P257" i="3"/>
  <c r="AC257" i="3" s="1"/>
  <c r="Q378" i="3"/>
  <c r="P520" i="3"/>
  <c r="AC520" i="3" s="1"/>
  <c r="R570" i="3"/>
  <c r="AQ570" i="3" s="1"/>
  <c r="P588" i="3"/>
  <c r="R603" i="3"/>
  <c r="AQ603" i="3" s="1"/>
  <c r="R621" i="3"/>
  <c r="AQ621" i="3" s="1"/>
  <c r="O635" i="3"/>
  <c r="R651" i="3"/>
  <c r="AQ651" i="3" s="1"/>
  <c r="R667" i="3"/>
  <c r="AQ667" i="3" s="1"/>
  <c r="R683" i="3"/>
  <c r="AQ683" i="3" s="1"/>
  <c r="R699" i="3"/>
  <c r="AQ699" i="3" s="1"/>
  <c r="R715" i="3"/>
  <c r="AQ715" i="3" s="1"/>
  <c r="R731" i="3"/>
  <c r="AQ731" i="3" s="1"/>
  <c r="R747" i="3"/>
  <c r="AQ747" i="3" s="1"/>
  <c r="Q763" i="3"/>
  <c r="P779" i="3"/>
  <c r="R794" i="3"/>
  <c r="AQ794" i="3" s="1"/>
  <c r="Q810" i="3"/>
  <c r="R20" i="3"/>
  <c r="AQ20" i="3" s="1"/>
  <c r="R139" i="3"/>
  <c r="AQ139" i="3" s="1"/>
  <c r="R274" i="3"/>
  <c r="AQ274" i="3" s="1"/>
  <c r="Q394" i="3"/>
  <c r="O514" i="3"/>
  <c r="U514" i="3" s="1"/>
  <c r="R563" i="3"/>
  <c r="AQ563" i="3" s="1"/>
  <c r="Q586" i="3"/>
  <c r="O602" i="3"/>
  <c r="O617" i="3"/>
  <c r="P635" i="3"/>
  <c r="O650" i="3"/>
  <c r="O666" i="3"/>
  <c r="O682" i="3"/>
  <c r="O698" i="3"/>
  <c r="O714" i="3"/>
  <c r="O730" i="3"/>
  <c r="O746" i="3"/>
  <c r="Q10" i="3"/>
  <c r="R27" i="3"/>
  <c r="AQ27" i="3" s="1"/>
  <c r="Q44" i="3"/>
  <c r="Q61" i="3"/>
  <c r="Q76" i="3"/>
  <c r="Q91" i="3"/>
  <c r="R107" i="3"/>
  <c r="AQ107" i="3" s="1"/>
  <c r="O122" i="3"/>
  <c r="R140" i="3"/>
  <c r="AQ140" i="3" s="1"/>
  <c r="P157" i="3"/>
  <c r="R173" i="3"/>
  <c r="AQ173" i="3" s="1"/>
  <c r="P188" i="3"/>
  <c r="R204" i="3"/>
  <c r="AQ204" i="3" s="1"/>
  <c r="O220" i="3"/>
  <c r="O235" i="3"/>
  <c r="Q250" i="3"/>
  <c r="O266" i="3"/>
  <c r="O283" i="3"/>
  <c r="Q298" i="3"/>
  <c r="Q313" i="3"/>
  <c r="R328" i="3"/>
  <c r="AQ328" i="3" s="1"/>
  <c r="P344" i="3"/>
  <c r="AC344" i="3" s="1"/>
  <c r="R362" i="3"/>
  <c r="AQ362" i="3" s="1"/>
  <c r="Q377" i="3"/>
  <c r="Q393" i="3"/>
  <c r="Q409" i="3"/>
  <c r="P425" i="3"/>
  <c r="AC425" i="3" s="1"/>
  <c r="P441" i="3"/>
  <c r="AC441" i="3" s="1"/>
  <c r="P457" i="3"/>
  <c r="AC457" i="3" s="1"/>
  <c r="R475" i="3"/>
  <c r="AQ475" i="3" s="1"/>
  <c r="O491" i="3"/>
  <c r="P506" i="3"/>
  <c r="AC506" i="3" s="1"/>
  <c r="P521" i="3"/>
  <c r="AC521" i="3" s="1"/>
  <c r="P537" i="3"/>
  <c r="AC537" i="3" s="1"/>
  <c r="R14" i="3"/>
  <c r="AQ14" i="3" s="1"/>
  <c r="Q31" i="3"/>
  <c r="R46" i="3"/>
  <c r="AQ46" i="3" s="1"/>
  <c r="R63" i="3"/>
  <c r="AQ63" i="3" s="1"/>
  <c r="R78" i="3"/>
  <c r="AQ78" i="3" s="1"/>
  <c r="O95" i="3"/>
  <c r="U95" i="3" s="1"/>
  <c r="Q111" i="3"/>
  <c r="O126" i="3"/>
  <c r="O141" i="3"/>
  <c r="Q155" i="3"/>
  <c r="O172" i="3"/>
  <c r="Q190" i="3"/>
  <c r="O205" i="3"/>
  <c r="P220" i="3"/>
  <c r="P237" i="3"/>
  <c r="AC237" i="3" s="1"/>
  <c r="R252" i="3"/>
  <c r="AQ252" i="3" s="1"/>
  <c r="P268" i="3"/>
  <c r="AC268" i="3" s="1"/>
  <c r="P283" i="3"/>
  <c r="Q300" i="3"/>
  <c r="Q317" i="3"/>
  <c r="O333" i="3"/>
  <c r="P348" i="3"/>
  <c r="AC348" i="3" s="1"/>
  <c r="O363" i="3"/>
  <c r="R377" i="3"/>
  <c r="AQ377" i="3" s="1"/>
  <c r="R393" i="3"/>
  <c r="AQ393" i="3" s="1"/>
  <c r="R409" i="3"/>
  <c r="AQ409" i="3" s="1"/>
  <c r="Q427" i="3"/>
  <c r="Q443" i="3"/>
  <c r="Q459" i="3"/>
  <c r="O474" i="3"/>
  <c r="P491" i="3"/>
  <c r="Q16" i="3"/>
  <c r="R31" i="3"/>
  <c r="AQ31" i="3" s="1"/>
  <c r="O47" i="3"/>
  <c r="O62" i="3"/>
  <c r="U62" i="3" s="1"/>
  <c r="O79" i="3"/>
  <c r="U79" i="3" s="1"/>
  <c r="R93" i="3"/>
  <c r="AQ93" i="3" s="1"/>
  <c r="P108" i="3"/>
  <c r="P126" i="3"/>
  <c r="P143" i="3"/>
  <c r="AC143" i="3" s="1"/>
  <c r="R159" i="3"/>
  <c r="AQ159" i="3" s="1"/>
  <c r="P174" i="3"/>
  <c r="AC174" i="3" s="1"/>
  <c r="R190" i="3"/>
  <c r="AQ190" i="3" s="1"/>
  <c r="O207" i="3"/>
  <c r="U207" i="3" s="1"/>
  <c r="O224" i="3"/>
  <c r="P239" i="3"/>
  <c r="AC239" i="3" s="1"/>
  <c r="R254" i="3"/>
  <c r="AQ254" i="3" s="1"/>
  <c r="P270" i="3"/>
  <c r="AC270" i="3" s="1"/>
  <c r="P287" i="3"/>
  <c r="AC287" i="3" s="1"/>
  <c r="Q304" i="3"/>
  <c r="R319" i="3"/>
  <c r="AQ319" i="3" s="1"/>
  <c r="P335" i="3"/>
  <c r="AC335" i="3" s="1"/>
  <c r="P350" i="3"/>
  <c r="AC350" i="3" s="1"/>
  <c r="O367" i="3"/>
  <c r="O385" i="3"/>
  <c r="O401" i="3"/>
  <c r="O417" i="3"/>
  <c r="P431" i="3"/>
  <c r="AC431" i="3" s="1"/>
  <c r="P447" i="3"/>
  <c r="P463" i="3"/>
  <c r="O480" i="3"/>
  <c r="O497" i="3"/>
  <c r="Q512" i="3"/>
  <c r="R529" i="3"/>
  <c r="AQ529" i="3" s="1"/>
  <c r="R545" i="3"/>
  <c r="AQ545" i="3" s="1"/>
  <c r="P561" i="3"/>
  <c r="P11" i="3"/>
  <c r="Q26" i="3"/>
  <c r="Q43" i="3"/>
  <c r="Q58" i="3"/>
  <c r="Q75" i="3"/>
  <c r="P90" i="3"/>
  <c r="Q108" i="3"/>
  <c r="R122" i="3"/>
  <c r="AQ122" i="3" s="1"/>
  <c r="R137" i="3"/>
  <c r="AQ137" i="3" s="1"/>
  <c r="P154" i="3"/>
  <c r="Q172" i="3"/>
  <c r="O187" i="3"/>
  <c r="R201" i="3"/>
  <c r="AQ201" i="3" s="1"/>
  <c r="R216" i="3"/>
  <c r="AQ216" i="3" s="1"/>
  <c r="R233" i="3"/>
  <c r="AQ233" i="3" s="1"/>
  <c r="P249" i="3"/>
  <c r="R264" i="3"/>
  <c r="AQ264" i="3" s="1"/>
  <c r="O280" i="3"/>
  <c r="P295" i="3"/>
  <c r="AC295" i="3" s="1"/>
  <c r="P310" i="3"/>
  <c r="AC310" i="3" s="1"/>
  <c r="R325" i="3"/>
  <c r="AQ325" i="3" s="1"/>
  <c r="P341" i="3"/>
  <c r="AC341" i="3" s="1"/>
  <c r="R359" i="3"/>
  <c r="AQ359" i="3" s="1"/>
  <c r="R374" i="3"/>
  <c r="AQ374" i="3" s="1"/>
  <c r="R390" i="3"/>
  <c r="AQ390" i="3" s="1"/>
  <c r="R406" i="3"/>
  <c r="AQ406" i="3" s="1"/>
  <c r="R422" i="3"/>
  <c r="AQ422" i="3" s="1"/>
  <c r="R438" i="3"/>
  <c r="AQ438" i="3" s="1"/>
  <c r="R454" i="3"/>
  <c r="AQ454" i="3" s="1"/>
  <c r="R470" i="3"/>
  <c r="AQ470" i="3" s="1"/>
  <c r="O486" i="3"/>
  <c r="P501" i="3"/>
  <c r="AC501" i="3" s="1"/>
  <c r="Q516" i="3"/>
  <c r="O532" i="3"/>
  <c r="O548" i="3"/>
  <c r="Q563" i="3"/>
  <c r="R11" i="3"/>
  <c r="AQ11" i="3" s="1"/>
  <c r="O27" i="3"/>
  <c r="U27" i="3" s="1"/>
  <c r="O42" i="3"/>
  <c r="U42" i="3" s="1"/>
  <c r="O59" i="3"/>
  <c r="U59" i="3" s="1"/>
  <c r="O74" i="3"/>
  <c r="U74" i="3" s="1"/>
  <c r="R90" i="3"/>
  <c r="AQ90" i="3" s="1"/>
  <c r="P105" i="3"/>
  <c r="AC105" i="3" s="1"/>
  <c r="P123" i="3"/>
  <c r="O140" i="3"/>
  <c r="U140" i="3" s="1"/>
  <c r="Q158" i="3"/>
  <c r="O173" i="3"/>
  <c r="Q187" i="3"/>
  <c r="O204" i="3"/>
  <c r="U204" i="3" s="1"/>
  <c r="O221" i="3"/>
  <c r="P236" i="3"/>
  <c r="R253" i="3"/>
  <c r="AQ253" i="3" s="1"/>
  <c r="P269" i="3"/>
  <c r="O286" i="3"/>
  <c r="Q301" i="3"/>
  <c r="Q316" i="3"/>
  <c r="O332" i="3"/>
  <c r="U332" i="3" s="1"/>
  <c r="P349" i="3"/>
  <c r="R367" i="3"/>
  <c r="AQ367" i="3" s="1"/>
  <c r="O384" i="3"/>
  <c r="O400" i="3"/>
  <c r="O416" i="3"/>
  <c r="P430" i="3"/>
  <c r="P446" i="3"/>
  <c r="P462" i="3"/>
  <c r="AC462" i="3" s="1"/>
  <c r="R478" i="3"/>
  <c r="AQ478" i="3" s="1"/>
  <c r="O494" i="3"/>
  <c r="Q509" i="3"/>
  <c r="Q524" i="3"/>
  <c r="Q540" i="3"/>
  <c r="P556" i="3"/>
  <c r="AC556" i="3" s="1"/>
  <c r="R571" i="3"/>
  <c r="AQ571" i="3" s="1"/>
  <c r="Q19" i="3"/>
  <c r="Q36" i="3"/>
  <c r="Q53" i="3"/>
  <c r="Q68" i="3"/>
  <c r="Q85" i="3"/>
  <c r="R103" i="3"/>
  <c r="AQ103" i="3" s="1"/>
  <c r="O118" i="3"/>
  <c r="O133" i="3"/>
  <c r="Q147" i="3"/>
  <c r="O164" i="3"/>
  <c r="U164" i="3" s="1"/>
  <c r="Q182" i="3"/>
  <c r="O197" i="3"/>
  <c r="O212" i="3"/>
  <c r="U212" i="3" s="1"/>
  <c r="O227" i="3"/>
  <c r="P244" i="3"/>
  <c r="AC244" i="3" s="1"/>
  <c r="R261" i="3"/>
  <c r="AQ261" i="3" s="1"/>
  <c r="O277" i="3"/>
  <c r="U277" i="3" s="1"/>
  <c r="O292" i="3"/>
  <c r="P307" i="3"/>
  <c r="AC307" i="3" s="1"/>
  <c r="Q324" i="3"/>
  <c r="O340" i="3"/>
  <c r="R356" i="3"/>
  <c r="AQ356" i="3" s="1"/>
  <c r="R371" i="3"/>
  <c r="AQ371" i="3" s="1"/>
  <c r="O386" i="3"/>
  <c r="O402" i="3"/>
  <c r="O418" i="3"/>
  <c r="R435" i="3"/>
  <c r="AQ435" i="3" s="1"/>
  <c r="R451" i="3"/>
  <c r="AQ451" i="3" s="1"/>
  <c r="R467" i="3"/>
  <c r="AQ467" i="3" s="1"/>
  <c r="O483" i="3"/>
  <c r="O498" i="3"/>
  <c r="P515" i="3"/>
  <c r="AC515" i="3" s="1"/>
  <c r="R530" i="3"/>
  <c r="AQ530" i="3" s="1"/>
  <c r="R546" i="3"/>
  <c r="AQ546" i="3" s="1"/>
  <c r="R17" i="3"/>
  <c r="AQ17" i="3" s="1"/>
  <c r="O33" i="3"/>
  <c r="P48" i="3"/>
  <c r="P65" i="3"/>
  <c r="P80" i="3"/>
  <c r="Q96" i="3"/>
  <c r="O111" i="3"/>
  <c r="Q129" i="3"/>
  <c r="O146" i="3"/>
  <c r="U146" i="3" s="1"/>
  <c r="R160" i="3"/>
  <c r="AQ160" i="3" s="1"/>
  <c r="Q175" i="3"/>
  <c r="Q193" i="3"/>
  <c r="P210" i="3"/>
  <c r="P227" i="3"/>
  <c r="Q242" i="3"/>
  <c r="O258" i="3"/>
  <c r="U258" i="3" s="1"/>
  <c r="P275" i="3"/>
  <c r="P292" i="3"/>
  <c r="Q309" i="3"/>
  <c r="Q326" i="3"/>
  <c r="O342" i="3"/>
  <c r="O357" i="3"/>
  <c r="U357" i="3" s="1"/>
  <c r="O372" i="3"/>
  <c r="U372" i="3" s="1"/>
  <c r="O388" i="3"/>
  <c r="U388" i="3" s="1"/>
  <c r="O404" i="3"/>
  <c r="O420" i="3"/>
  <c r="O436" i="3"/>
  <c r="U436" i="3" s="1"/>
  <c r="O452" i="3"/>
  <c r="O468" i="3"/>
  <c r="P485" i="3"/>
  <c r="AC485" i="3" s="1"/>
  <c r="O502" i="3"/>
  <c r="U502" i="3" s="1"/>
  <c r="P519" i="3"/>
  <c r="AC519" i="3" s="1"/>
  <c r="O535" i="3"/>
  <c r="R552" i="3"/>
  <c r="AQ552" i="3" s="1"/>
  <c r="P568" i="3"/>
  <c r="P103" i="3"/>
  <c r="O236" i="3"/>
  <c r="O358" i="3"/>
  <c r="R472" i="3"/>
  <c r="AQ472" i="3" s="1"/>
  <c r="O554" i="3"/>
  <c r="R579" i="3"/>
  <c r="AQ579" i="3" s="1"/>
  <c r="P595" i="3"/>
  <c r="AC595" i="3" s="1"/>
  <c r="Q612" i="3"/>
  <c r="R627" i="3"/>
  <c r="AQ627" i="3" s="1"/>
  <c r="O643" i="3"/>
  <c r="U643" i="3" s="1"/>
  <c r="O659" i="3"/>
  <c r="U659" i="3" s="1"/>
  <c r="O675" i="3"/>
  <c r="U675" i="3" s="1"/>
  <c r="O691" i="3"/>
  <c r="U691" i="3" s="1"/>
  <c r="O707" i="3"/>
  <c r="U707" i="3" s="1"/>
  <c r="O723" i="3"/>
  <c r="U723" i="3" s="1"/>
  <c r="U739" i="3"/>
  <c r="O755" i="3"/>
  <c r="U755" i="3" s="1"/>
  <c r="Q770" i="3"/>
  <c r="P786" i="3"/>
  <c r="R801" i="3"/>
  <c r="AQ801" i="3" s="1"/>
  <c r="R817" i="3"/>
  <c r="AQ817" i="3" s="1"/>
  <c r="R75" i="3"/>
  <c r="AQ75" i="3" s="1"/>
  <c r="Q207" i="3"/>
  <c r="O345" i="3"/>
  <c r="R474" i="3"/>
  <c r="AQ474" i="3" s="1"/>
  <c r="Q549" i="3"/>
  <c r="O578" i="3"/>
  <c r="U578" i="3" s="1"/>
  <c r="Q593" i="3"/>
  <c r="P609" i="3"/>
  <c r="P626" i="3"/>
  <c r="R641" i="3"/>
  <c r="AQ641" i="3" s="1"/>
  <c r="P657" i="3"/>
  <c r="P673" i="3"/>
  <c r="P689" i="3"/>
  <c r="P705" i="3"/>
  <c r="P721" i="3"/>
  <c r="P737" i="3"/>
  <c r="P753" i="3"/>
  <c r="O769" i="3"/>
  <c r="U769" i="3" s="1"/>
  <c r="R784" i="3"/>
  <c r="AQ784" i="3" s="1"/>
  <c r="O800" i="3"/>
  <c r="U800" i="3" s="1"/>
  <c r="O816" i="3"/>
  <c r="Q62" i="3"/>
  <c r="O180" i="3"/>
  <c r="P316" i="3"/>
  <c r="AC316" i="3" s="1"/>
  <c r="R447" i="3"/>
  <c r="AQ447" i="3" s="1"/>
  <c r="Q535" i="3"/>
  <c r="P576" i="3"/>
  <c r="R591" i="3"/>
  <c r="AQ591" i="3" s="1"/>
  <c r="Q607" i="3"/>
  <c r="Q621" i="3"/>
  <c r="Q638" i="3"/>
  <c r="Q655" i="3"/>
  <c r="Q671" i="3"/>
  <c r="Q687" i="3"/>
  <c r="Q703" i="3"/>
  <c r="Q719" i="3"/>
  <c r="Q735" i="3"/>
  <c r="Q751" i="3"/>
  <c r="P767" i="3"/>
  <c r="O783" i="3"/>
  <c r="U783" i="3" s="1"/>
  <c r="Q798" i="3"/>
  <c r="O19" i="3"/>
  <c r="U19" i="3" s="1"/>
  <c r="R152" i="3"/>
  <c r="AQ152" i="3" s="1"/>
  <c r="R272" i="3"/>
  <c r="AQ272" i="3" s="1"/>
  <c r="R392" i="3"/>
  <c r="AQ392" i="3" s="1"/>
  <c r="P528" i="3"/>
  <c r="R574" i="3"/>
  <c r="AQ574" i="3" s="1"/>
  <c r="P590" i="3"/>
  <c r="R605" i="3"/>
  <c r="AQ605" i="3" s="1"/>
  <c r="R623" i="3"/>
  <c r="AQ623" i="3" s="1"/>
  <c r="R636" i="3"/>
  <c r="AQ636" i="3" s="1"/>
  <c r="R653" i="3"/>
  <c r="AQ653" i="3" s="1"/>
  <c r="R669" i="3"/>
  <c r="AQ669" i="3" s="1"/>
  <c r="R685" i="3"/>
  <c r="AQ685" i="3" s="1"/>
  <c r="R701" i="3"/>
  <c r="AQ701" i="3" s="1"/>
  <c r="R717" i="3"/>
  <c r="AQ717" i="3" s="1"/>
  <c r="R733" i="3"/>
  <c r="AQ733" i="3" s="1"/>
  <c r="R749" i="3"/>
  <c r="AQ749" i="3" s="1"/>
  <c r="Q765" i="3"/>
  <c r="P781" i="3"/>
  <c r="R796" i="3"/>
  <c r="AQ796" i="3" s="1"/>
  <c r="Q812" i="3"/>
  <c r="O36" i="3"/>
  <c r="Q154" i="3"/>
  <c r="R289" i="3"/>
  <c r="AQ289" i="3" s="1"/>
  <c r="R408" i="3"/>
  <c r="AQ408" i="3" s="1"/>
  <c r="Q521" i="3"/>
  <c r="Q567" i="3"/>
  <c r="Q588" i="3"/>
  <c r="O604" i="3"/>
  <c r="Q618" i="3"/>
  <c r="O637" i="3"/>
  <c r="O652" i="3"/>
  <c r="O668" i="3"/>
  <c r="O684" i="3"/>
  <c r="O700" i="3"/>
  <c r="O716" i="3"/>
  <c r="O732" i="3"/>
  <c r="O748" i="3"/>
  <c r="O761" i="3"/>
  <c r="O269" i="3"/>
  <c r="R583" i="3"/>
  <c r="AQ583" i="3" s="1"/>
  <c r="P647" i="3"/>
  <c r="AC647" i="3" s="1"/>
  <c r="P711" i="3"/>
  <c r="R774" i="3"/>
  <c r="AQ774" i="3" s="1"/>
  <c r="R106" i="3"/>
  <c r="AQ106" i="3" s="1"/>
  <c r="O555" i="3"/>
  <c r="Q626" i="3"/>
  <c r="Q693" i="3"/>
  <c r="Q757" i="3"/>
  <c r="Q64" i="3"/>
  <c r="O551" i="3"/>
  <c r="P628" i="3"/>
  <c r="R691" i="3"/>
  <c r="AQ691" i="3" s="1"/>
  <c r="R755" i="3"/>
  <c r="AQ755" i="3" s="1"/>
  <c r="Q818" i="3"/>
  <c r="P465" i="3"/>
  <c r="AC465" i="3" s="1"/>
  <c r="O610" i="3"/>
  <c r="O674" i="3"/>
  <c r="O738" i="3"/>
  <c r="Q771" i="3"/>
  <c r="P787" i="3"/>
  <c r="R804" i="3"/>
  <c r="AQ804" i="3" s="1"/>
  <c r="R126" i="3"/>
  <c r="AQ126" i="3" s="1"/>
  <c r="P261" i="3"/>
  <c r="AC261" i="3" s="1"/>
  <c r="P396" i="3"/>
  <c r="AC396" i="3" s="1"/>
  <c r="R514" i="3"/>
  <c r="AQ514" i="3" s="1"/>
  <c r="P564" i="3"/>
  <c r="R586" i="3"/>
  <c r="AQ586" i="3" s="1"/>
  <c r="P602" i="3"/>
  <c r="R618" i="3"/>
  <c r="AQ618" i="3" s="1"/>
  <c r="Q632" i="3"/>
  <c r="P650" i="3"/>
  <c r="P666" i="3"/>
  <c r="P682" i="3"/>
  <c r="P698" i="3"/>
  <c r="P714" i="3"/>
  <c r="P730" i="3"/>
  <c r="P746" i="3"/>
  <c r="O762" i="3"/>
  <c r="R779" i="3"/>
  <c r="AQ779" i="3" s="1"/>
  <c r="P795" i="3"/>
  <c r="O811" i="3"/>
  <c r="R24" i="3"/>
  <c r="AQ24" i="3" s="1"/>
  <c r="P158" i="3"/>
  <c r="AC158" i="3" s="1"/>
  <c r="P278" i="3"/>
  <c r="O398" i="3"/>
  <c r="O516" i="3"/>
  <c r="U516" i="3" s="1"/>
  <c r="R564" i="3"/>
  <c r="AQ564" i="3" s="1"/>
  <c r="O585" i="3"/>
  <c r="Q602" i="3"/>
  <c r="Q620" i="3"/>
  <c r="R635" i="3"/>
  <c r="AQ635" i="3" s="1"/>
  <c r="Q650" i="3"/>
  <c r="Q666" i="3"/>
  <c r="Q682" i="3"/>
  <c r="Q698" i="3"/>
  <c r="Q714" i="3"/>
  <c r="Q730" i="3"/>
  <c r="Q746" i="3"/>
  <c r="P762" i="3"/>
  <c r="O565" i="3"/>
  <c r="U565" i="3" s="1"/>
  <c r="R690" i="3"/>
  <c r="AQ690" i="3" s="1"/>
  <c r="O792" i="3"/>
  <c r="R828" i="3"/>
  <c r="AQ828" i="3" s="1"/>
  <c r="R844" i="3"/>
  <c r="AQ844" i="3" s="1"/>
  <c r="O860" i="3"/>
  <c r="O877" i="3"/>
  <c r="O892" i="3"/>
  <c r="P907" i="3"/>
  <c r="AC907" i="3" s="1"/>
  <c r="O923" i="3"/>
  <c r="Q938" i="3"/>
  <c r="O954" i="3"/>
  <c r="Q971" i="3"/>
  <c r="O987" i="3"/>
  <c r="P1002" i="3"/>
  <c r="P1017" i="3"/>
  <c r="P1034" i="3"/>
  <c r="AC1034" i="3" s="1"/>
  <c r="P1049" i="3"/>
  <c r="AC1049" i="3" s="1"/>
  <c r="Q1066" i="3"/>
  <c r="O1082" i="3"/>
  <c r="Q1097" i="3"/>
  <c r="Q1112" i="3"/>
  <c r="P1128" i="3"/>
  <c r="AC1128" i="3" s="1"/>
  <c r="R1145" i="3"/>
  <c r="AQ1145" i="3" s="1"/>
  <c r="P1161" i="3"/>
  <c r="Q1176" i="3"/>
  <c r="P1193" i="3"/>
  <c r="P1208" i="3"/>
  <c r="R1226" i="3"/>
  <c r="AA1226" i="3" s="1"/>
  <c r="Q1240" i="3"/>
  <c r="P1254" i="3"/>
  <c r="AC1254" i="3" s="1"/>
  <c r="P1270" i="3"/>
  <c r="R1286" i="3"/>
  <c r="AA1286" i="3" s="1"/>
  <c r="R1302" i="3"/>
  <c r="AA1302" i="3" s="1"/>
  <c r="O1319" i="3"/>
  <c r="O1334" i="3"/>
  <c r="R1350" i="3"/>
  <c r="AA1350" i="3" s="1"/>
  <c r="P189" i="3"/>
  <c r="AC189" i="3" s="1"/>
  <c r="P631" i="3"/>
  <c r="R756" i="3"/>
  <c r="AQ756" i="3" s="1"/>
  <c r="P821" i="3"/>
  <c r="O839" i="3"/>
  <c r="Q854" i="3"/>
  <c r="R871" i="3"/>
  <c r="AQ871" i="3" s="1"/>
  <c r="R886" i="3"/>
  <c r="AQ886" i="3" s="1"/>
  <c r="Q903" i="3"/>
  <c r="Q919" i="3"/>
  <c r="O935" i="3"/>
  <c r="Q950" i="3"/>
  <c r="O966" i="3"/>
  <c r="Q983" i="3"/>
  <c r="O999" i="3"/>
  <c r="O1014" i="3"/>
  <c r="O1031" i="3"/>
  <c r="O1046" i="3"/>
  <c r="R1064" i="3"/>
  <c r="AQ1064" i="3" s="1"/>
  <c r="P1080" i="3"/>
  <c r="R1095" i="3"/>
  <c r="AQ1095" i="3" s="1"/>
  <c r="R1112" i="3"/>
  <c r="AQ1112" i="3" s="1"/>
  <c r="Q1128" i="3"/>
  <c r="O1144" i="3"/>
  <c r="Q1161" i="3"/>
  <c r="Q1178" i="3"/>
  <c r="Q1193" i="3"/>
  <c r="Q1210" i="3"/>
  <c r="O1225" i="3"/>
  <c r="P1242" i="3"/>
  <c r="O1260" i="3"/>
  <c r="O1276" i="3"/>
  <c r="O1294" i="3"/>
  <c r="O1310" i="3"/>
  <c r="U1310" i="3" s="1"/>
  <c r="O1325" i="3"/>
  <c r="O1340" i="3"/>
  <c r="R1356" i="3"/>
  <c r="Q1371" i="3"/>
  <c r="Q1386" i="3"/>
  <c r="Q1401" i="3"/>
  <c r="R203" i="3"/>
  <c r="AQ203" i="3" s="1"/>
  <c r="R662" i="3"/>
  <c r="AQ662" i="3" s="1"/>
  <c r="P778" i="3"/>
  <c r="P827" i="3"/>
  <c r="P843" i="3"/>
  <c r="R858" i="3"/>
  <c r="AQ858" i="3" s="1"/>
  <c r="R875" i="3"/>
  <c r="AQ875" i="3" s="1"/>
  <c r="R890" i="3"/>
  <c r="AQ890" i="3" s="1"/>
  <c r="R907" i="3"/>
  <c r="AQ907" i="3" s="1"/>
  <c r="Q923" i="3"/>
  <c r="O939" i="3"/>
  <c r="Q954" i="3"/>
  <c r="O970" i="3"/>
  <c r="Q987" i="3"/>
  <c r="R1004" i="3"/>
  <c r="AQ1004" i="3" s="1"/>
  <c r="R1019" i="3"/>
  <c r="AQ1019" i="3" s="1"/>
  <c r="R1036" i="3"/>
  <c r="AQ1036" i="3" s="1"/>
  <c r="R1051" i="3"/>
  <c r="AQ1051" i="3" s="1"/>
  <c r="O1067" i="3"/>
  <c r="Q1084" i="3"/>
  <c r="O1100" i="3"/>
  <c r="O1117" i="3"/>
  <c r="Q1132" i="3"/>
  <c r="O1148" i="3"/>
  <c r="Q1165" i="3"/>
  <c r="R606" i="3"/>
  <c r="AQ606" i="3" s="1"/>
  <c r="R728" i="3"/>
  <c r="AQ728" i="3" s="1"/>
  <c r="P809" i="3"/>
  <c r="Q833" i="3"/>
  <c r="Q849" i="3"/>
  <c r="Q864" i="3"/>
  <c r="R881" i="3"/>
  <c r="AQ881" i="3" s="1"/>
  <c r="P896" i="3"/>
  <c r="O912" i="3"/>
  <c r="Q929" i="3"/>
  <c r="O945" i="3"/>
  <c r="Q960" i="3"/>
  <c r="O976" i="3"/>
  <c r="Q993" i="3"/>
  <c r="R1008" i="3"/>
  <c r="AQ1008" i="3" s="1"/>
  <c r="Q1025" i="3"/>
  <c r="R1040" i="3"/>
  <c r="AQ1040" i="3" s="1"/>
  <c r="Q1057" i="3"/>
  <c r="O1073" i="3"/>
  <c r="Q1090" i="3"/>
  <c r="R1105" i="3"/>
  <c r="AQ1105" i="3" s="1"/>
  <c r="O1121" i="3"/>
  <c r="R1136" i="3"/>
  <c r="AQ1136" i="3" s="1"/>
  <c r="P1152" i="3"/>
  <c r="R1169" i="3"/>
  <c r="AQ1169" i="3" s="1"/>
  <c r="R1186" i="3"/>
  <c r="AA1186" i="3" s="1"/>
  <c r="Q1201" i="3"/>
  <c r="P1218" i="3"/>
  <c r="R1235" i="3"/>
  <c r="R1249" i="3"/>
  <c r="AA1249" i="3" s="1"/>
  <c r="R1265" i="3"/>
  <c r="O1282" i="3"/>
  <c r="O1300" i="3"/>
  <c r="O1316" i="3"/>
  <c r="O1333" i="3"/>
  <c r="O1348" i="3"/>
  <c r="R1362" i="3"/>
  <c r="AA1362" i="3" s="1"/>
  <c r="P1379" i="3"/>
  <c r="Q1396" i="3"/>
  <c r="R115" i="3"/>
  <c r="AQ115" i="3" s="1"/>
  <c r="R622" i="3"/>
  <c r="AQ622" i="3" s="1"/>
  <c r="Q762" i="3"/>
  <c r="R818" i="3"/>
  <c r="AQ818" i="3" s="1"/>
  <c r="R837" i="3"/>
  <c r="AQ837" i="3" s="1"/>
  <c r="Q853" i="3"/>
  <c r="Q868" i="3"/>
  <c r="Q885" i="3"/>
  <c r="P902" i="3"/>
  <c r="P918" i="3"/>
  <c r="R935" i="3"/>
  <c r="AQ935" i="3" s="1"/>
  <c r="P951" i="3"/>
  <c r="R966" i="3"/>
  <c r="AQ966" i="3" s="1"/>
  <c r="P982" i="3"/>
  <c r="R999" i="3"/>
  <c r="AQ999" i="3" s="1"/>
  <c r="Q1016" i="3"/>
  <c r="R1031" i="3"/>
  <c r="AQ1031" i="3" s="1"/>
  <c r="Q1048" i="3"/>
  <c r="Q1063" i="3"/>
  <c r="O1079" i="3"/>
  <c r="Q1096" i="3"/>
  <c r="Q1113" i="3"/>
  <c r="P1129" i="3"/>
  <c r="R1144" i="3"/>
  <c r="AQ1144" i="3" s="1"/>
  <c r="P1160" i="3"/>
  <c r="Q1177" i="3"/>
  <c r="P1192" i="3"/>
  <c r="P1209" i="3"/>
  <c r="R1223" i="3"/>
  <c r="P1241" i="3"/>
  <c r="O1259" i="3"/>
  <c r="U1259" i="3" s="1"/>
  <c r="O1275" i="3"/>
  <c r="Q1291" i="3"/>
  <c r="Q1307" i="3"/>
  <c r="O1322" i="3"/>
  <c r="O1339" i="3"/>
  <c r="R1355" i="3"/>
  <c r="P1370" i="3"/>
  <c r="P1385" i="3"/>
  <c r="P1402" i="3"/>
  <c r="O265" i="3"/>
  <c r="R654" i="3"/>
  <c r="AQ654" i="3" s="1"/>
  <c r="P774" i="3"/>
  <c r="AC774" i="3" s="1"/>
  <c r="Q823" i="3"/>
  <c r="P840" i="3"/>
  <c r="AC840" i="3" s="1"/>
  <c r="R857" i="3"/>
  <c r="AQ857" i="3" s="1"/>
  <c r="O873" i="3"/>
  <c r="O888" i="3"/>
  <c r="U888" i="3" s="1"/>
  <c r="R904" i="3"/>
  <c r="AQ904" i="3" s="1"/>
  <c r="Q920" i="3"/>
  <c r="O936" i="3"/>
  <c r="U936" i="3" s="1"/>
  <c r="Q953" i="3"/>
  <c r="O969" i="3"/>
  <c r="U969" i="3" s="1"/>
  <c r="Q984" i="3"/>
  <c r="O1000" i="3"/>
  <c r="U1000" i="3" s="1"/>
  <c r="P1015" i="3"/>
  <c r="AC1015" i="3" s="1"/>
  <c r="O1032" i="3"/>
  <c r="U1032" i="3" s="1"/>
  <c r="P1047" i="3"/>
  <c r="O1064" i="3"/>
  <c r="U1064" i="3" s="1"/>
  <c r="Q1079" i="3"/>
  <c r="O1095" i="3"/>
  <c r="U1095" i="3" s="1"/>
  <c r="P1110" i="3"/>
  <c r="R1127" i="3"/>
  <c r="AQ1127" i="3" s="1"/>
  <c r="P1143" i="3"/>
  <c r="R1158" i="3"/>
  <c r="AQ1158" i="3" s="1"/>
  <c r="O1174" i="3"/>
  <c r="O1191" i="3"/>
  <c r="U1191" i="3" s="1"/>
  <c r="R1207" i="3"/>
  <c r="AA1207" i="3" s="1"/>
  <c r="P1224" i="3"/>
  <c r="O1240" i="3"/>
  <c r="Q1257" i="3"/>
  <c r="Q1273" i="3"/>
  <c r="O1290" i="3"/>
  <c r="O1306" i="3"/>
  <c r="Q1322" i="3"/>
  <c r="Q1339" i="3"/>
  <c r="P1354" i="3"/>
  <c r="R1368" i="3"/>
  <c r="O1384" i="3"/>
  <c r="O1399" i="3"/>
  <c r="R399" i="3"/>
  <c r="AQ399" i="3" s="1"/>
  <c r="R672" i="3"/>
  <c r="AQ672" i="3" s="1"/>
  <c r="O784" i="3"/>
  <c r="Q826" i="3"/>
  <c r="Q842" i="3"/>
  <c r="O858" i="3"/>
  <c r="O875" i="3"/>
  <c r="P878" i="3"/>
  <c r="R939" i="3"/>
  <c r="AQ939" i="3" s="1"/>
  <c r="Q1001" i="3"/>
  <c r="R1069" i="3"/>
  <c r="AQ1069" i="3" s="1"/>
  <c r="P1131" i="3"/>
  <c r="R1183" i="3"/>
  <c r="P1223" i="3"/>
  <c r="P1275" i="3"/>
  <c r="P1313" i="3"/>
  <c r="P1353" i="3"/>
  <c r="O1390" i="3"/>
  <c r="R1415" i="3"/>
  <c r="AA1415" i="3" s="1"/>
  <c r="Q1432" i="3"/>
  <c r="P1447" i="3"/>
  <c r="O1462" i="3"/>
  <c r="R1250" i="3"/>
  <c r="R610" i="3"/>
  <c r="AQ610" i="3" s="1"/>
  <c r="Q893" i="3"/>
  <c r="R955" i="3"/>
  <c r="AQ955" i="3" s="1"/>
  <c r="O1017" i="3"/>
  <c r="R1085" i="3"/>
  <c r="AQ1085" i="3" s="1"/>
  <c r="P1147" i="3"/>
  <c r="AC1147" i="3" s="1"/>
  <c r="Q1194" i="3"/>
  <c r="P1233" i="3"/>
  <c r="R1270" i="3"/>
  <c r="O1314" i="3"/>
  <c r="R1363" i="3"/>
  <c r="R1393" i="3"/>
  <c r="R1419" i="3"/>
  <c r="R1436" i="3"/>
  <c r="AA1436" i="3" s="1"/>
  <c r="P1453" i="3"/>
  <c r="O1415" i="3"/>
  <c r="U1415" i="3" s="1"/>
  <c r="P1114" i="3"/>
  <c r="AC1114" i="3" s="1"/>
  <c r="P1284" i="3"/>
  <c r="P1436" i="3"/>
  <c r="P815" i="3"/>
  <c r="Q918" i="3"/>
  <c r="Q980" i="3"/>
  <c r="O1041" i="3"/>
  <c r="O1110" i="3"/>
  <c r="O1170" i="3"/>
  <c r="R1219" i="3"/>
  <c r="R1266" i="3"/>
  <c r="O1305" i="3"/>
  <c r="R1344" i="3"/>
  <c r="O1379" i="3"/>
  <c r="P1409" i="3"/>
  <c r="Q1425" i="3"/>
  <c r="Q1442" i="3"/>
  <c r="O1457" i="3"/>
  <c r="Q776" i="3"/>
  <c r="O284" i="3"/>
  <c r="R585" i="3"/>
  <c r="AQ585" i="3" s="1"/>
  <c r="P649" i="3"/>
  <c r="AC649" i="3" s="1"/>
  <c r="P713" i="3"/>
  <c r="AC713" i="3" s="1"/>
  <c r="R776" i="3"/>
  <c r="AQ776" i="3" s="1"/>
  <c r="P121" i="3"/>
  <c r="R562" i="3"/>
  <c r="AQ562" i="3" s="1"/>
  <c r="O628" i="3"/>
  <c r="Q695" i="3"/>
  <c r="Q759" i="3"/>
  <c r="Q79" i="3"/>
  <c r="P555" i="3"/>
  <c r="P630" i="3"/>
  <c r="R693" i="3"/>
  <c r="AQ693" i="3" s="1"/>
  <c r="R757" i="3"/>
  <c r="AQ757" i="3" s="1"/>
  <c r="Q820" i="3"/>
  <c r="Q480" i="3"/>
  <c r="R611" i="3"/>
  <c r="AQ611" i="3" s="1"/>
  <c r="O676" i="3"/>
  <c r="O740" i="3"/>
  <c r="Q773" i="3"/>
  <c r="P789" i="3"/>
  <c r="R22" i="3"/>
  <c r="AQ22" i="3" s="1"/>
  <c r="R141" i="3"/>
  <c r="AQ141" i="3" s="1"/>
  <c r="Q276" i="3"/>
  <c r="Q410" i="3"/>
  <c r="P522" i="3"/>
  <c r="AC522" i="3" s="1"/>
  <c r="O568" i="3"/>
  <c r="R588" i="3"/>
  <c r="AQ588" i="3" s="1"/>
  <c r="P604" i="3"/>
  <c r="P620" i="3"/>
  <c r="AC620" i="3" s="1"/>
  <c r="Q635" i="3"/>
  <c r="P652" i="3"/>
  <c r="P668" i="3"/>
  <c r="P684" i="3"/>
  <c r="P700" i="3"/>
  <c r="P716" i="3"/>
  <c r="P732" i="3"/>
  <c r="P748" i="3"/>
  <c r="O764" i="3"/>
  <c r="R781" i="3"/>
  <c r="AQ781" i="3" s="1"/>
  <c r="P797" i="3"/>
  <c r="O813" i="3"/>
  <c r="R39" i="3"/>
  <c r="AQ39" i="3" s="1"/>
  <c r="R172" i="3"/>
  <c r="AQ172" i="3" s="1"/>
  <c r="Q293" i="3"/>
  <c r="P412" i="3"/>
  <c r="AC412" i="3" s="1"/>
  <c r="Q523" i="3"/>
  <c r="Q568" i="3"/>
  <c r="O587" i="3"/>
  <c r="Q604" i="3"/>
  <c r="Q622" i="3"/>
  <c r="Q637" i="3"/>
  <c r="Q652" i="3"/>
  <c r="Q668" i="3"/>
  <c r="Q684" i="3"/>
  <c r="Q700" i="3"/>
  <c r="Q716" i="3"/>
  <c r="Q732" i="3"/>
  <c r="Q748" i="3"/>
  <c r="P764" i="3"/>
  <c r="P585" i="3"/>
  <c r="R706" i="3"/>
  <c r="AQ706" i="3" s="1"/>
  <c r="Q799" i="3"/>
  <c r="R830" i="3"/>
  <c r="AQ830" i="3" s="1"/>
  <c r="R846" i="3"/>
  <c r="AQ846" i="3" s="1"/>
  <c r="R863" i="3"/>
  <c r="AQ863" i="3" s="1"/>
  <c r="O879" i="3"/>
  <c r="R893" i="3"/>
  <c r="AQ893" i="3" s="1"/>
  <c r="P909" i="3"/>
  <c r="O925" i="3"/>
  <c r="Q940" i="3"/>
  <c r="O956" i="3"/>
  <c r="Q973" i="3"/>
  <c r="O989" i="3"/>
  <c r="P1004" i="3"/>
  <c r="AC1004" i="3" s="1"/>
  <c r="P1019" i="3"/>
  <c r="P1036" i="3"/>
  <c r="AC1036" i="3" s="1"/>
  <c r="P1051" i="3"/>
  <c r="AC1051" i="3" s="1"/>
  <c r="Q1068" i="3"/>
  <c r="O1084" i="3"/>
  <c r="Q1099" i="3"/>
  <c r="Q1114" i="3"/>
  <c r="O1130" i="3"/>
  <c r="Q1147" i="3"/>
  <c r="O1163" i="3"/>
  <c r="P1178" i="3"/>
  <c r="AC1178" i="3" s="1"/>
  <c r="O1195" i="3"/>
  <c r="P1210" i="3"/>
  <c r="P1228" i="3"/>
  <c r="O1242" i="3"/>
  <c r="P1256" i="3"/>
  <c r="P1272" i="3"/>
  <c r="AC1272" i="3" s="1"/>
  <c r="R1288" i="3"/>
  <c r="AA1288" i="3" s="1"/>
  <c r="R1304" i="3"/>
  <c r="O1321" i="3"/>
  <c r="O1336" i="3"/>
  <c r="R1352" i="3"/>
  <c r="Q310" i="3"/>
  <c r="R644" i="3"/>
  <c r="AQ644" i="3" s="1"/>
  <c r="O770" i="3"/>
  <c r="O825" i="3"/>
  <c r="O841" i="3"/>
  <c r="Q856" i="3"/>
  <c r="R873" i="3"/>
  <c r="AQ873" i="3" s="1"/>
  <c r="R888" i="3"/>
  <c r="AQ888" i="3" s="1"/>
  <c r="Q905" i="3"/>
  <c r="P921" i="3"/>
  <c r="R936" i="3"/>
  <c r="AQ936" i="3" s="1"/>
  <c r="P952" i="3"/>
  <c r="R969" i="3"/>
  <c r="AQ969" i="3" s="1"/>
  <c r="P985" i="3"/>
  <c r="R1000" i="3"/>
  <c r="AQ1000" i="3" s="1"/>
  <c r="Q1017" i="3"/>
  <c r="R1032" i="3"/>
  <c r="AQ1032" i="3" s="1"/>
  <c r="Q1049" i="3"/>
  <c r="R1066" i="3"/>
  <c r="AQ1066" i="3" s="1"/>
  <c r="P1082" i="3"/>
  <c r="R1097" i="3"/>
  <c r="AQ1097" i="3" s="1"/>
  <c r="R1114" i="3"/>
  <c r="AQ1114" i="3" s="1"/>
  <c r="P1130" i="3"/>
  <c r="R1147" i="3"/>
  <c r="AQ1147" i="3" s="1"/>
  <c r="P1163" i="3"/>
  <c r="Q1180" i="3"/>
  <c r="P1195" i="3"/>
  <c r="O1212" i="3"/>
  <c r="U1212" i="3" s="1"/>
  <c r="Q1228" i="3"/>
  <c r="Q1245" i="3"/>
  <c r="R1261" i="3"/>
  <c r="R1279" i="3"/>
  <c r="O1296" i="3"/>
  <c r="U1296" i="3" s="1"/>
  <c r="O1312" i="3"/>
  <c r="R1326" i="3"/>
  <c r="R1343" i="3"/>
  <c r="P1358" i="3"/>
  <c r="O1373" i="3"/>
  <c r="Q1388" i="3"/>
  <c r="Q1403" i="3"/>
  <c r="P442" i="3"/>
  <c r="AC442" i="3" s="1"/>
  <c r="R678" i="3"/>
  <c r="AQ678" i="3" s="1"/>
  <c r="O786" i="3"/>
  <c r="P829" i="3"/>
  <c r="P845" i="3"/>
  <c r="Q860" i="3"/>
  <c r="Q877" i="3"/>
  <c r="Q892" i="3"/>
  <c r="R909" i="3"/>
  <c r="AQ909" i="3" s="1"/>
  <c r="Q925" i="3"/>
  <c r="O941" i="3"/>
  <c r="Q956" i="3"/>
  <c r="O972" i="3"/>
  <c r="Q989" i="3"/>
  <c r="R1006" i="3"/>
  <c r="AQ1006" i="3" s="1"/>
  <c r="R1021" i="3"/>
  <c r="AQ1021" i="3" s="1"/>
  <c r="R1038" i="3"/>
  <c r="AQ1038" i="3" s="1"/>
  <c r="R1053" i="3"/>
  <c r="AQ1053" i="3" s="1"/>
  <c r="O1069" i="3"/>
  <c r="Q1086" i="3"/>
  <c r="Q1103" i="3"/>
  <c r="R1118" i="3"/>
  <c r="AQ1118" i="3" s="1"/>
  <c r="Q1134" i="3"/>
  <c r="O1150" i="3"/>
  <c r="Q101" i="3"/>
  <c r="R620" i="3"/>
  <c r="AQ620" i="3" s="1"/>
  <c r="R744" i="3"/>
  <c r="AQ744" i="3" s="1"/>
  <c r="P814" i="3"/>
  <c r="Q835" i="3"/>
  <c r="Q851" i="3"/>
  <c r="Q866" i="3"/>
  <c r="Q883" i="3"/>
  <c r="O898" i="3"/>
  <c r="O914" i="3"/>
  <c r="Q931" i="3"/>
  <c r="O947" i="3"/>
  <c r="Q962" i="3"/>
  <c r="O978" i="3"/>
  <c r="Q995" i="3"/>
  <c r="Q1010" i="3"/>
  <c r="Q1027" i="3"/>
  <c r="Q1042" i="3"/>
  <c r="Q1059" i="3"/>
  <c r="O1075" i="3"/>
  <c r="Q1092" i="3"/>
  <c r="R1107" i="3"/>
  <c r="AQ1107" i="3" s="1"/>
  <c r="O1123" i="3"/>
  <c r="Q1138" i="3"/>
  <c r="O1154" i="3"/>
  <c r="Q1171" i="3"/>
  <c r="R1188" i="3"/>
  <c r="P1203" i="3"/>
  <c r="R1221" i="3"/>
  <c r="AA1221" i="3" s="1"/>
  <c r="P1237" i="3"/>
  <c r="AC1237" i="3" s="1"/>
  <c r="R1251" i="3"/>
  <c r="R1267" i="3"/>
  <c r="AA1267" i="3" s="1"/>
  <c r="R1285" i="3"/>
  <c r="AA1285" i="3" s="1"/>
  <c r="R1301" i="3"/>
  <c r="AA1301" i="3" s="1"/>
  <c r="R1319" i="3"/>
  <c r="AA1319" i="3" s="1"/>
  <c r="R1334" i="3"/>
  <c r="R1349" i="3"/>
  <c r="Q1364" i="3"/>
  <c r="P1381" i="3"/>
  <c r="AC1381" i="3" s="1"/>
  <c r="Q1398" i="3"/>
  <c r="O234" i="3"/>
  <c r="R650" i="3"/>
  <c r="AQ650" i="3" s="1"/>
  <c r="P772" i="3"/>
  <c r="R822" i="3"/>
  <c r="AQ822" i="3" s="1"/>
  <c r="R839" i="3"/>
  <c r="AQ839" i="3" s="1"/>
  <c r="P855" i="3"/>
  <c r="Q870" i="3"/>
  <c r="Q887" i="3"/>
  <c r="P904" i="3"/>
  <c r="O920" i="3"/>
  <c r="Q937" i="3"/>
  <c r="O953" i="3"/>
  <c r="Q968" i="3"/>
  <c r="O984" i="3"/>
  <c r="U984" i="3" s="1"/>
  <c r="P1001" i="3"/>
  <c r="P1018" i="3"/>
  <c r="P1033" i="3"/>
  <c r="P1050" i="3"/>
  <c r="Q1065" i="3"/>
  <c r="O1081" i="3"/>
  <c r="U1081" i="3" s="1"/>
  <c r="Q1098" i="3"/>
  <c r="Q1115" i="3"/>
  <c r="O1131" i="3"/>
  <c r="Q1146" i="3"/>
  <c r="O1162" i="3"/>
  <c r="P1179" i="3"/>
  <c r="P1194" i="3"/>
  <c r="O1211" i="3"/>
  <c r="R1225" i="3"/>
  <c r="Q1244" i="3"/>
  <c r="R1260" i="3"/>
  <c r="R1276" i="3"/>
  <c r="O1293" i="3"/>
  <c r="U1293" i="3" s="1"/>
  <c r="O1309" i="3"/>
  <c r="R1325" i="3"/>
  <c r="R1340" i="3"/>
  <c r="P1357" i="3"/>
  <c r="O1372" i="3"/>
  <c r="P1387" i="3"/>
  <c r="P1404" i="3"/>
  <c r="Q385" i="3"/>
  <c r="R670" i="3"/>
  <c r="AQ670" i="3" s="1"/>
  <c r="P782" i="3"/>
  <c r="AC782" i="3" s="1"/>
  <c r="P826" i="3"/>
  <c r="AC826" i="3" s="1"/>
  <c r="P842" i="3"/>
  <c r="AC842" i="3" s="1"/>
  <c r="R859" i="3"/>
  <c r="AQ859" i="3" s="1"/>
  <c r="R874" i="3"/>
  <c r="AQ874" i="3" s="1"/>
  <c r="R891" i="3"/>
  <c r="AQ891" i="3" s="1"/>
  <c r="R906" i="3"/>
  <c r="AQ906" i="3" s="1"/>
  <c r="Q922" i="3"/>
  <c r="O938" i="3"/>
  <c r="U938" i="3" s="1"/>
  <c r="Q955" i="3"/>
  <c r="O971" i="3"/>
  <c r="U971" i="3" s="1"/>
  <c r="Q986" i="3"/>
  <c r="R1001" i="3"/>
  <c r="AQ1001" i="3" s="1"/>
  <c r="R1018" i="3"/>
  <c r="AQ1018" i="3" s="1"/>
  <c r="R1033" i="3"/>
  <c r="AQ1033" i="3" s="1"/>
  <c r="R1050" i="3"/>
  <c r="AQ1050" i="3" s="1"/>
  <c r="O1066" i="3"/>
  <c r="U1066" i="3" s="1"/>
  <c r="Q1081" i="3"/>
  <c r="O1097" i="3"/>
  <c r="U1097" i="3" s="1"/>
  <c r="O1112" i="3"/>
  <c r="U1112" i="3" s="1"/>
  <c r="R1129" i="3"/>
  <c r="AQ1129" i="3" s="1"/>
  <c r="P1145" i="3"/>
  <c r="R1160" i="3"/>
  <c r="AQ1160" i="3" s="1"/>
  <c r="O1176" i="3"/>
  <c r="U1176" i="3" s="1"/>
  <c r="R1192" i="3"/>
  <c r="R1209" i="3"/>
  <c r="AA1209" i="3" s="1"/>
  <c r="P1226" i="3"/>
  <c r="AC1226" i="3" s="1"/>
  <c r="R1241" i="3"/>
  <c r="AA1241" i="3" s="1"/>
  <c r="Q1259" i="3"/>
  <c r="Q1275" i="3"/>
  <c r="Q1293" i="3"/>
  <c r="Q1309" i="3"/>
  <c r="P1324" i="3"/>
  <c r="P1341" i="3"/>
  <c r="AC1341" i="3" s="1"/>
  <c r="O1356" i="3"/>
  <c r="U1356" i="3" s="1"/>
  <c r="R1370" i="3"/>
  <c r="AA1370" i="3" s="1"/>
  <c r="R1385" i="3"/>
  <c r="R1402" i="3"/>
  <c r="AA1402" i="3" s="1"/>
  <c r="P509" i="3"/>
  <c r="AC509" i="3" s="1"/>
  <c r="R688" i="3"/>
  <c r="AQ688" i="3" s="1"/>
  <c r="R791" i="3"/>
  <c r="AQ791" i="3" s="1"/>
  <c r="Q828" i="3"/>
  <c r="Q844" i="3"/>
  <c r="R861" i="3"/>
  <c r="AQ861" i="3" s="1"/>
  <c r="R876" i="3"/>
  <c r="AQ876" i="3" s="1"/>
  <c r="R885" i="3"/>
  <c r="AQ885" i="3" s="1"/>
  <c r="Q947" i="3"/>
  <c r="O1009" i="3"/>
  <c r="Q1077" i="3"/>
  <c r="O1139" i="3"/>
  <c r="P1189" i="3"/>
  <c r="O1228" i="3"/>
  <c r="O1280" i="3"/>
  <c r="P1318" i="3"/>
  <c r="P1363" i="3"/>
  <c r="Q1393" i="3"/>
  <c r="Q1417" i="3"/>
  <c r="Q1434" i="3"/>
  <c r="P1449" i="3"/>
  <c r="R1463" i="3"/>
  <c r="AA1463" i="3" s="1"/>
  <c r="O1393" i="3"/>
  <c r="R732" i="3"/>
  <c r="AQ732" i="3" s="1"/>
  <c r="O901" i="3"/>
  <c r="Q963" i="3"/>
  <c r="R1024" i="3"/>
  <c r="AQ1024" i="3" s="1"/>
  <c r="Q1093" i="3"/>
  <c r="O1155" i="3"/>
  <c r="P1199" i="3"/>
  <c r="R1237" i="3"/>
  <c r="R1275" i="3"/>
  <c r="AA1275" i="3" s="1"/>
  <c r="R1318" i="3"/>
  <c r="P1367" i="3"/>
  <c r="R1397" i="3"/>
  <c r="AA1397" i="3" s="1"/>
  <c r="Q1421" i="3"/>
  <c r="Q1438" i="3"/>
  <c r="R1456" i="3"/>
  <c r="P1424" i="3"/>
  <c r="AC1424" i="3" s="1"/>
  <c r="P884" i="3"/>
  <c r="Q1145" i="3"/>
  <c r="P1303" i="3"/>
  <c r="O1447" i="3"/>
  <c r="O836" i="3"/>
  <c r="P926" i="3"/>
  <c r="P988" i="3"/>
  <c r="R1048" i="3"/>
  <c r="AQ1048" i="3" s="1"/>
  <c r="R1117" i="3"/>
  <c r="AQ1117" i="3" s="1"/>
  <c r="O1175" i="3"/>
  <c r="Q1224" i="3"/>
  <c r="Q1271" i="3"/>
  <c r="R1309" i="3"/>
  <c r="Q1349" i="3"/>
  <c r="O1383" i="3"/>
  <c r="P1412" i="3"/>
  <c r="Q1427" i="3"/>
  <c r="Q1444" i="3"/>
  <c r="P792" i="3"/>
  <c r="Q403" i="3"/>
  <c r="P599" i="3"/>
  <c r="AC599" i="3" s="1"/>
  <c r="P663" i="3"/>
  <c r="AC663" i="3" s="1"/>
  <c r="P727" i="3"/>
  <c r="AC727" i="3" s="1"/>
  <c r="Q790" i="3"/>
  <c r="Q224" i="3"/>
  <c r="P582" i="3"/>
  <c r="AC582" i="3" s="1"/>
  <c r="Q645" i="3"/>
  <c r="Q709" i="3"/>
  <c r="O773" i="3"/>
  <c r="Q196" i="3"/>
  <c r="Q580" i="3"/>
  <c r="R643" i="3"/>
  <c r="AQ643" i="3" s="1"/>
  <c r="R707" i="3"/>
  <c r="AQ707" i="3" s="1"/>
  <c r="P771" i="3"/>
  <c r="AC771" i="3" s="1"/>
  <c r="Q81" i="3"/>
  <c r="Q545" i="3"/>
  <c r="Q625" i="3"/>
  <c r="O690" i="3"/>
  <c r="O754" i="3"/>
  <c r="Q775" i="3"/>
  <c r="P791" i="3"/>
  <c r="AC791" i="3" s="1"/>
  <c r="O38" i="3"/>
  <c r="U38" i="3" s="1"/>
  <c r="P156" i="3"/>
  <c r="AC156" i="3" s="1"/>
  <c r="Q291" i="3"/>
  <c r="Q424" i="3"/>
  <c r="P530" i="3"/>
  <c r="AC530" i="3" s="1"/>
  <c r="O572" i="3"/>
  <c r="U572" i="3" s="1"/>
  <c r="R590" i="3"/>
  <c r="AQ590" i="3" s="1"/>
  <c r="P606" i="3"/>
  <c r="AC606" i="3" s="1"/>
  <c r="P622" i="3"/>
  <c r="AC622" i="3" s="1"/>
  <c r="P637" i="3"/>
  <c r="P654" i="3"/>
  <c r="AC654" i="3" s="1"/>
  <c r="P670" i="3"/>
  <c r="AC670" i="3" s="1"/>
  <c r="P686" i="3"/>
  <c r="AC686" i="3" s="1"/>
  <c r="P702" i="3"/>
  <c r="AC702" i="3" s="1"/>
  <c r="P718" i="3"/>
  <c r="AC718" i="3" s="1"/>
  <c r="P734" i="3"/>
  <c r="AC734" i="3" s="1"/>
  <c r="P750" i="3"/>
  <c r="AC750" i="3" s="1"/>
  <c r="O766" i="3"/>
  <c r="R783" i="3"/>
  <c r="AQ783" i="3" s="1"/>
  <c r="O799" i="3"/>
  <c r="U799" i="3" s="1"/>
  <c r="O815" i="3"/>
  <c r="O55" i="3"/>
  <c r="U55" i="3" s="1"/>
  <c r="P187" i="3"/>
  <c r="R308" i="3"/>
  <c r="AQ308" i="3" s="1"/>
  <c r="P426" i="3"/>
  <c r="AC426" i="3" s="1"/>
  <c r="Q531" i="3"/>
  <c r="Q572" i="3"/>
  <c r="O589" i="3"/>
  <c r="Q606" i="3"/>
  <c r="P624" i="3"/>
  <c r="Q639" i="3"/>
  <c r="Q654" i="3"/>
  <c r="Q670" i="3"/>
  <c r="Q686" i="3"/>
  <c r="Q702" i="3"/>
  <c r="Q718" i="3"/>
  <c r="Q734" i="3"/>
  <c r="Q750" i="3"/>
  <c r="P766" i="3"/>
  <c r="R600" i="3"/>
  <c r="AQ600" i="3" s="1"/>
  <c r="R722" i="3"/>
  <c r="AQ722" i="3" s="1"/>
  <c r="P807" i="3"/>
  <c r="R832" i="3"/>
  <c r="AQ832" i="3" s="1"/>
  <c r="R848" i="3"/>
  <c r="AQ848" i="3" s="1"/>
  <c r="R865" i="3"/>
  <c r="AQ865" i="3" s="1"/>
  <c r="O881" i="3"/>
  <c r="Q895" i="3"/>
  <c r="P911" i="3"/>
  <c r="AC911" i="3" s="1"/>
  <c r="O927" i="3"/>
  <c r="Q942" i="3"/>
  <c r="O958" i="3"/>
  <c r="Q975" i="3"/>
  <c r="O991" i="3"/>
  <c r="P1006" i="3"/>
  <c r="AC1006" i="3" s="1"/>
  <c r="P1021" i="3"/>
  <c r="P1038" i="3"/>
  <c r="P1053" i="3"/>
  <c r="Q1070" i="3"/>
  <c r="O1086" i="3"/>
  <c r="Q1101" i="3"/>
  <c r="Q1116" i="3"/>
  <c r="O1132" i="3"/>
  <c r="Q1149" i="3"/>
  <c r="O1165" i="3"/>
  <c r="P1180" i="3"/>
  <c r="R1196" i="3"/>
  <c r="R1213" i="3"/>
  <c r="R1229" i="3"/>
  <c r="AA1229" i="3" s="1"/>
  <c r="R1243" i="3"/>
  <c r="AA1243" i="3" s="1"/>
  <c r="O1258" i="3"/>
  <c r="O1274" i="3"/>
  <c r="Q1290" i="3"/>
  <c r="Q1306" i="3"/>
  <c r="O1323" i="3"/>
  <c r="O1338" i="3"/>
  <c r="R1354" i="3"/>
  <c r="AA1354" i="3" s="1"/>
  <c r="P428" i="3"/>
  <c r="AC428" i="3" s="1"/>
  <c r="R660" i="3"/>
  <c r="AQ660" i="3" s="1"/>
  <c r="O778" i="3"/>
  <c r="O827" i="3"/>
  <c r="O843" i="3"/>
  <c r="Q858" i="3"/>
  <c r="Q875" i="3"/>
  <c r="Q890" i="3"/>
  <c r="Q907" i="3"/>
  <c r="P923" i="3"/>
  <c r="R938" i="3"/>
  <c r="AQ938" i="3" s="1"/>
  <c r="P954" i="3"/>
  <c r="R971" i="3"/>
  <c r="AQ971" i="3" s="1"/>
  <c r="P987" i="3"/>
  <c r="Q1002" i="3"/>
  <c r="Q1019" i="3"/>
  <c r="Q1034" i="3"/>
  <c r="Q1051" i="3"/>
  <c r="R1068" i="3"/>
  <c r="AQ1068" i="3" s="1"/>
  <c r="P1084" i="3"/>
  <c r="R1099" i="3"/>
  <c r="AQ1099" i="3" s="1"/>
  <c r="R1116" i="3"/>
  <c r="AQ1116" i="3" s="1"/>
  <c r="P1132" i="3"/>
  <c r="R1149" i="3"/>
  <c r="AQ1149" i="3" s="1"/>
  <c r="P1165" i="3"/>
  <c r="P1182" i="3"/>
  <c r="O1197" i="3"/>
  <c r="O1214" i="3"/>
  <c r="O1230" i="3"/>
  <c r="U1230" i="3" s="1"/>
  <c r="Q1247" i="3"/>
  <c r="Q1263" i="3"/>
  <c r="Q1281" i="3"/>
  <c r="R1297" i="3"/>
  <c r="R1313" i="3"/>
  <c r="R1328" i="3"/>
  <c r="R1345" i="3"/>
  <c r="P1360" i="3"/>
  <c r="R1374" i="3"/>
  <c r="AA1374" i="3" s="1"/>
  <c r="Q1390" i="3"/>
  <c r="Q1405" i="3"/>
  <c r="P532" i="3"/>
  <c r="R694" i="3"/>
  <c r="AQ694" i="3" s="1"/>
  <c r="Q801" i="3"/>
  <c r="P831" i="3"/>
  <c r="P847" i="3"/>
  <c r="P862" i="3"/>
  <c r="Q879" i="3"/>
  <c r="O894" i="3"/>
  <c r="R911" i="3"/>
  <c r="AQ911" i="3" s="1"/>
  <c r="Q927" i="3"/>
  <c r="O943" i="3"/>
  <c r="Q958" i="3"/>
  <c r="O974" i="3"/>
  <c r="Q991" i="3"/>
  <c r="Q1008" i="3"/>
  <c r="R1023" i="3"/>
  <c r="AQ1023" i="3" s="1"/>
  <c r="Q1040" i="3"/>
  <c r="R1055" i="3"/>
  <c r="AQ1055" i="3" s="1"/>
  <c r="R1072" i="3"/>
  <c r="AQ1072" i="3" s="1"/>
  <c r="P1088" i="3"/>
  <c r="Q1105" i="3"/>
  <c r="R1120" i="3"/>
  <c r="AQ1120" i="3" s="1"/>
  <c r="Q1136" i="3"/>
  <c r="O1152" i="3"/>
  <c r="O219" i="3"/>
  <c r="U219" i="3" s="1"/>
  <c r="P634" i="3"/>
  <c r="R760" i="3"/>
  <c r="AQ760" i="3" s="1"/>
  <c r="P818" i="3"/>
  <c r="AC818" i="3" s="1"/>
  <c r="Q837" i="3"/>
  <c r="P853" i="3"/>
  <c r="P868" i="3"/>
  <c r="P885" i="3"/>
  <c r="O900" i="3"/>
  <c r="O916" i="3"/>
  <c r="Q933" i="3"/>
  <c r="O949" i="3"/>
  <c r="Q964" i="3"/>
  <c r="O980" i="3"/>
  <c r="Q997" i="3"/>
  <c r="Q1012" i="3"/>
  <c r="Q1029" i="3"/>
  <c r="Q1044" i="3"/>
  <c r="Q1061" i="3"/>
  <c r="O1077" i="3"/>
  <c r="Q1094" i="3"/>
  <c r="R1109" i="3"/>
  <c r="AQ1109" i="3" s="1"/>
  <c r="O1125" i="3"/>
  <c r="Q1140" i="3"/>
  <c r="O1156" i="3"/>
  <c r="P1173" i="3"/>
  <c r="Q1190" i="3"/>
  <c r="O1205" i="3"/>
  <c r="Q1223" i="3"/>
  <c r="P1239" i="3"/>
  <c r="P1253" i="3"/>
  <c r="AC1253" i="3" s="1"/>
  <c r="P1269" i="3"/>
  <c r="AC1269" i="3" s="1"/>
  <c r="Q1287" i="3"/>
  <c r="Q1303" i="3"/>
  <c r="R1321" i="3"/>
  <c r="AA1321" i="3" s="1"/>
  <c r="R1336" i="3"/>
  <c r="AA1336" i="3" s="1"/>
  <c r="Q1351" i="3"/>
  <c r="O1366" i="3"/>
  <c r="P1383" i="3"/>
  <c r="P1400" i="3"/>
  <c r="AC1400" i="3" s="1"/>
  <c r="P356" i="3"/>
  <c r="R666" i="3"/>
  <c r="AQ666" i="3" s="1"/>
  <c r="P780" i="3"/>
  <c r="R825" i="3"/>
  <c r="AQ825" i="3" s="1"/>
  <c r="R841" i="3"/>
  <c r="AQ841" i="3" s="1"/>
  <c r="P857" i="3"/>
  <c r="Q872" i="3"/>
  <c r="Q889" i="3"/>
  <c r="P906" i="3"/>
  <c r="O922" i="3"/>
  <c r="U922" i="3" s="1"/>
  <c r="Q939" i="3"/>
  <c r="O955" i="3"/>
  <c r="Q970" i="3"/>
  <c r="O986" i="3"/>
  <c r="P1003" i="3"/>
  <c r="P1020" i="3"/>
  <c r="P1035" i="3"/>
  <c r="P1052" i="3"/>
  <c r="Q1067" i="3"/>
  <c r="O1083" i="3"/>
  <c r="Q1100" i="3"/>
  <c r="Q1117" i="3"/>
  <c r="O1133" i="3"/>
  <c r="U1133" i="3" s="1"/>
  <c r="Q1148" i="3"/>
  <c r="O1164" i="3"/>
  <c r="O1181" i="3"/>
  <c r="R1197" i="3"/>
  <c r="R1212" i="3"/>
  <c r="Q1227" i="3"/>
  <c r="P1246" i="3"/>
  <c r="P1262" i="3"/>
  <c r="Q1278" i="3"/>
  <c r="R1294" i="3"/>
  <c r="R1310" i="3"/>
  <c r="Q1327" i="3"/>
  <c r="Q1342" i="3"/>
  <c r="O1359" i="3"/>
  <c r="U1359" i="3" s="1"/>
  <c r="R1373" i="3"/>
  <c r="P1389" i="3"/>
  <c r="P1406" i="3"/>
  <c r="Q501" i="3"/>
  <c r="R686" i="3"/>
  <c r="AQ686" i="3" s="1"/>
  <c r="O790" i="3"/>
  <c r="U790" i="3" s="1"/>
  <c r="P828" i="3"/>
  <c r="AC828" i="3" s="1"/>
  <c r="P844" i="3"/>
  <c r="AC844" i="3" s="1"/>
  <c r="Q861" i="3"/>
  <c r="Q876" i="3"/>
  <c r="P893" i="3"/>
  <c r="AC893" i="3" s="1"/>
  <c r="R908" i="3"/>
  <c r="AQ908" i="3" s="1"/>
  <c r="Q924" i="3"/>
  <c r="O940" i="3"/>
  <c r="Q957" i="3"/>
  <c r="O973" i="3"/>
  <c r="U973" i="3" s="1"/>
  <c r="R807" i="3"/>
  <c r="AQ807" i="3" s="1"/>
  <c r="Q417" i="3"/>
  <c r="P601" i="3"/>
  <c r="AC601" i="3" s="1"/>
  <c r="P665" i="3"/>
  <c r="AC665" i="3" s="1"/>
  <c r="P729" i="3"/>
  <c r="Q792" i="3"/>
  <c r="R239" i="3"/>
  <c r="AQ239" i="3" s="1"/>
  <c r="O584" i="3"/>
  <c r="Q647" i="3"/>
  <c r="Q711" i="3"/>
  <c r="O775" i="3"/>
  <c r="Q211" i="3"/>
  <c r="Q582" i="3"/>
  <c r="R645" i="3"/>
  <c r="AQ645" i="3" s="1"/>
  <c r="R709" i="3"/>
  <c r="AQ709" i="3" s="1"/>
  <c r="P773" i="3"/>
  <c r="R95" i="3"/>
  <c r="AQ95" i="3" s="1"/>
  <c r="P551" i="3"/>
  <c r="Q628" i="3"/>
  <c r="O692" i="3"/>
  <c r="O756" i="3"/>
  <c r="Q777" i="3"/>
  <c r="P793" i="3"/>
  <c r="AC793" i="3" s="1"/>
  <c r="O53" i="3"/>
  <c r="U53" i="3" s="1"/>
  <c r="Q185" i="3"/>
  <c r="P322" i="3"/>
  <c r="AC322" i="3" s="1"/>
  <c r="P453" i="3"/>
  <c r="AC453" i="3" s="1"/>
  <c r="P538" i="3"/>
  <c r="AC538" i="3" s="1"/>
  <c r="O575" i="3"/>
  <c r="Q592" i="3"/>
  <c r="P608" i="3"/>
  <c r="AC608" i="3" s="1"/>
  <c r="O624" i="3"/>
  <c r="P639" i="3"/>
  <c r="AC639" i="3" s="1"/>
  <c r="P656" i="3"/>
  <c r="AC656" i="3" s="1"/>
  <c r="P672" i="3"/>
  <c r="AC672" i="3" s="1"/>
  <c r="P688" i="3"/>
  <c r="AC688" i="3" s="1"/>
  <c r="P704" i="3"/>
  <c r="AC704" i="3" s="1"/>
  <c r="P720" i="3"/>
  <c r="AC720" i="3" s="1"/>
  <c r="P736" i="3"/>
  <c r="AC736" i="3" s="1"/>
  <c r="P752" i="3"/>
  <c r="AC752" i="3" s="1"/>
  <c r="O768" i="3"/>
  <c r="R785" i="3"/>
  <c r="AQ785" i="3" s="1"/>
  <c r="O801" i="3"/>
  <c r="O817" i="3"/>
  <c r="O70" i="3"/>
  <c r="O202" i="3"/>
  <c r="U202" i="3" s="1"/>
  <c r="O324" i="3"/>
  <c r="U324" i="3" s="1"/>
  <c r="Q440" i="3"/>
  <c r="Q539" i="3"/>
  <c r="P575" i="3"/>
  <c r="R592" i="3"/>
  <c r="AQ592" i="3" s="1"/>
  <c r="Q608" i="3"/>
  <c r="P627" i="3"/>
  <c r="O641" i="3"/>
  <c r="Q656" i="3"/>
  <c r="Q672" i="3"/>
  <c r="Q688" i="3"/>
  <c r="Q704" i="3"/>
  <c r="Q720" i="3"/>
  <c r="Q736" i="3"/>
  <c r="Q752" i="3"/>
  <c r="O57" i="3"/>
  <c r="O616" i="3"/>
  <c r="U616" i="3" s="1"/>
  <c r="R738" i="3"/>
  <c r="AQ738" i="3" s="1"/>
  <c r="R812" i="3"/>
  <c r="AQ812" i="3" s="1"/>
  <c r="R834" i="3"/>
  <c r="AQ834" i="3" s="1"/>
  <c r="R850" i="3"/>
  <c r="AQ850" i="3" s="1"/>
  <c r="R867" i="3"/>
  <c r="AQ867" i="3" s="1"/>
  <c r="R882" i="3"/>
  <c r="AQ882" i="3" s="1"/>
  <c r="Q897" i="3"/>
  <c r="P913" i="3"/>
  <c r="AC913" i="3" s="1"/>
  <c r="R928" i="3"/>
  <c r="AQ928" i="3" s="1"/>
  <c r="P944" i="3"/>
  <c r="AC944" i="3" s="1"/>
  <c r="R961" i="3"/>
  <c r="AQ961" i="3" s="1"/>
  <c r="P977" i="3"/>
  <c r="R992" i="3"/>
  <c r="AQ992" i="3" s="1"/>
  <c r="O1008" i="3"/>
  <c r="P1023" i="3"/>
  <c r="AC1023" i="3" s="1"/>
  <c r="O1040" i="3"/>
  <c r="P1055" i="3"/>
  <c r="P1072" i="3"/>
  <c r="AC1072" i="3" s="1"/>
  <c r="R1087" i="3"/>
  <c r="AQ1087" i="3" s="1"/>
  <c r="O1103" i="3"/>
  <c r="P1118" i="3"/>
  <c r="O1134" i="3"/>
  <c r="Q1151" i="3"/>
  <c r="O1167" i="3"/>
  <c r="O1182" i="3"/>
  <c r="R1198" i="3"/>
  <c r="AA1198" i="3" s="1"/>
  <c r="Q1215" i="3"/>
  <c r="R1231" i="3"/>
  <c r="P1245" i="3"/>
  <c r="AC1245" i="3" s="1"/>
  <c r="Q1261" i="3"/>
  <c r="R1277" i="3"/>
  <c r="AA1277" i="3" s="1"/>
  <c r="P1292" i="3"/>
  <c r="P1308" i="3"/>
  <c r="AC1308" i="3" s="1"/>
  <c r="R1324" i="3"/>
  <c r="R1341" i="3"/>
  <c r="AA1341" i="3" s="1"/>
  <c r="Q1356" i="3"/>
  <c r="P524" i="3"/>
  <c r="AC524" i="3" s="1"/>
  <c r="R676" i="3"/>
  <c r="AQ676" i="3" s="1"/>
  <c r="R793" i="3"/>
  <c r="AQ793" i="3" s="1"/>
  <c r="O829" i="3"/>
  <c r="O845" i="3"/>
  <c r="P860" i="3"/>
  <c r="P877" i="3"/>
  <c r="P892" i="3"/>
  <c r="Q909" i="3"/>
  <c r="P925" i="3"/>
  <c r="R940" i="3"/>
  <c r="AQ940" i="3" s="1"/>
  <c r="P956" i="3"/>
  <c r="R973" i="3"/>
  <c r="AQ973" i="3" s="1"/>
  <c r="P989" i="3"/>
  <c r="Q1004" i="3"/>
  <c r="Q1021" i="3"/>
  <c r="Q1036" i="3"/>
  <c r="Q1053" i="3"/>
  <c r="R1070" i="3"/>
  <c r="AQ1070" i="3" s="1"/>
  <c r="P1086" i="3"/>
  <c r="R1101" i="3"/>
  <c r="AQ1101" i="3" s="1"/>
  <c r="Q1118" i="3"/>
  <c r="P1134" i="3"/>
  <c r="R1151" i="3"/>
  <c r="AQ1151" i="3" s="1"/>
  <c r="P1167" i="3"/>
  <c r="P1184" i="3"/>
  <c r="O1199" i="3"/>
  <c r="R1215" i="3"/>
  <c r="O1232" i="3"/>
  <c r="P1249" i="3"/>
  <c r="P1265" i="3"/>
  <c r="Q1283" i="3"/>
  <c r="R1299" i="3"/>
  <c r="R1315" i="3"/>
  <c r="R1330" i="3"/>
  <c r="R1347" i="3"/>
  <c r="P1362" i="3"/>
  <c r="R1376" i="3"/>
  <c r="P1392" i="3"/>
  <c r="AC1392" i="3" s="1"/>
  <c r="P1407" i="3"/>
  <c r="R572" i="3"/>
  <c r="AQ572" i="3" s="1"/>
  <c r="R710" i="3"/>
  <c r="AQ710" i="3" s="1"/>
  <c r="R808" i="3"/>
  <c r="AQ808" i="3" s="1"/>
  <c r="P833" i="3"/>
  <c r="P849" i="3"/>
  <c r="P864" i="3"/>
  <c r="Q881" i="3"/>
  <c r="O896" i="3"/>
  <c r="R913" i="3"/>
  <c r="AQ913" i="3" s="1"/>
  <c r="P929" i="3"/>
  <c r="R944" i="3"/>
  <c r="AQ944" i="3" s="1"/>
  <c r="P960" i="3"/>
  <c r="R977" i="3"/>
  <c r="AQ977" i="3" s="1"/>
  <c r="P993" i="3"/>
  <c r="P1010" i="3"/>
  <c r="P1025" i="3"/>
  <c r="P1042" i="3"/>
  <c r="P1057" i="3"/>
  <c r="R1074" i="3"/>
  <c r="AQ1074" i="3" s="1"/>
  <c r="P1090" i="3"/>
  <c r="Q1107" i="3"/>
  <c r="R1122" i="3"/>
  <c r="AQ1122" i="3" s="1"/>
  <c r="P1138" i="3"/>
  <c r="R1155" i="3"/>
  <c r="AQ1155" i="3" s="1"/>
  <c r="Q341" i="3"/>
  <c r="R648" i="3"/>
  <c r="AQ648" i="3" s="1"/>
  <c r="O772" i="3"/>
  <c r="P822" i="3"/>
  <c r="Q839" i="3"/>
  <c r="O855" i="3"/>
  <c r="P870" i="3"/>
  <c r="P887" i="3"/>
  <c r="O902" i="3"/>
  <c r="O918" i="3"/>
  <c r="Q935" i="3"/>
  <c r="O951" i="3"/>
  <c r="Q966" i="3"/>
  <c r="O982" i="3"/>
  <c r="Q999" i="3"/>
  <c r="Q1014" i="3"/>
  <c r="Q1031" i="3"/>
  <c r="Q1046" i="3"/>
  <c r="P1063" i="3"/>
  <c r="R1080" i="3"/>
  <c r="AQ1080" i="3" s="1"/>
  <c r="P1096" i="3"/>
  <c r="P1111" i="3"/>
  <c r="O1127" i="3"/>
  <c r="Q1142" i="3"/>
  <c r="O1158" i="3"/>
  <c r="P1175" i="3"/>
  <c r="O1192" i="3"/>
  <c r="O1207" i="3"/>
  <c r="Q1225" i="3"/>
  <c r="O1241" i="3"/>
  <c r="O1255" i="3"/>
  <c r="O1271" i="3"/>
  <c r="P1289" i="3"/>
  <c r="P1305" i="3"/>
  <c r="AC1305" i="3" s="1"/>
  <c r="R1323" i="3"/>
  <c r="AA1323" i="3" s="1"/>
  <c r="R1338" i="3"/>
  <c r="Q1353" i="3"/>
  <c r="O1368" i="3"/>
  <c r="O1385" i="3"/>
  <c r="O1402" i="3"/>
  <c r="O471" i="3"/>
  <c r="U471" i="3" s="1"/>
  <c r="R682" i="3"/>
  <c r="AQ682" i="3" s="1"/>
  <c r="O788" i="3"/>
  <c r="U788" i="3" s="1"/>
  <c r="R827" i="3"/>
  <c r="AQ827" i="3" s="1"/>
  <c r="R843" i="3"/>
  <c r="AQ843" i="3" s="1"/>
  <c r="P859" i="3"/>
  <c r="P874" i="3"/>
  <c r="P891" i="3"/>
  <c r="P908" i="3"/>
  <c r="O924" i="3"/>
  <c r="Q941" i="3"/>
  <c r="O957" i="3"/>
  <c r="Q972" i="3"/>
  <c r="O988" i="3"/>
  <c r="P1005" i="3"/>
  <c r="P1022" i="3"/>
  <c r="P1037" i="3"/>
  <c r="P1054" i="3"/>
  <c r="Q1069" i="3"/>
  <c r="O1085" i="3"/>
  <c r="U1085" i="3" s="1"/>
  <c r="P1102" i="3"/>
  <c r="P1119" i="3"/>
  <c r="O1135" i="3"/>
  <c r="U1135" i="3" s="1"/>
  <c r="Q1150" i="3"/>
  <c r="O1166" i="3"/>
  <c r="O1183" i="3"/>
  <c r="R1199" i="3"/>
  <c r="R1214" i="3"/>
  <c r="R1230" i="3"/>
  <c r="P1248" i="3"/>
  <c r="P1264" i="3"/>
  <c r="Q1280" i="3"/>
  <c r="R1296" i="3"/>
  <c r="R1312" i="3"/>
  <c r="Q1329" i="3"/>
  <c r="Q1344" i="3"/>
  <c r="O1361" i="3"/>
  <c r="Q1375" i="3"/>
  <c r="O1391" i="3"/>
  <c r="U1391" i="3" s="1"/>
  <c r="O1408" i="3"/>
  <c r="U1408" i="3" s="1"/>
  <c r="P557" i="3"/>
  <c r="R702" i="3"/>
  <c r="AQ702" i="3" s="1"/>
  <c r="R797" i="3"/>
  <c r="AQ797" i="3" s="1"/>
  <c r="P830" i="3"/>
  <c r="AC830" i="3" s="1"/>
  <c r="P846" i="3"/>
  <c r="AC846" i="3" s="1"/>
  <c r="P863" i="3"/>
  <c r="Q878" i="3"/>
  <c r="O895" i="3"/>
  <c r="R910" i="3"/>
  <c r="AQ910" i="3" s="1"/>
  <c r="Q926" i="3"/>
  <c r="O942" i="3"/>
  <c r="U942" i="3" s="1"/>
  <c r="Q959" i="3"/>
  <c r="O975" i="3"/>
  <c r="U975" i="3" s="1"/>
  <c r="Q990" i="3"/>
  <c r="R1005" i="3"/>
  <c r="AQ1005" i="3" s="1"/>
  <c r="R1022" i="3"/>
  <c r="AQ1022" i="3" s="1"/>
  <c r="R1037" i="3"/>
  <c r="AQ1037" i="3" s="1"/>
  <c r="R823" i="3"/>
  <c r="AQ823" i="3" s="1"/>
  <c r="P511" i="3"/>
  <c r="AC511" i="3" s="1"/>
  <c r="R614" i="3"/>
  <c r="AQ614" i="3" s="1"/>
  <c r="P679" i="3"/>
  <c r="AC679" i="3" s="1"/>
  <c r="P743" i="3"/>
  <c r="AC743" i="3" s="1"/>
  <c r="O806" i="3"/>
  <c r="R361" i="3"/>
  <c r="AQ361" i="3" s="1"/>
  <c r="R597" i="3"/>
  <c r="AQ597" i="3" s="1"/>
  <c r="Q661" i="3"/>
  <c r="Q725" i="3"/>
  <c r="R788" i="3"/>
  <c r="AQ788" i="3" s="1"/>
  <c r="P318" i="3"/>
  <c r="AC318" i="3" s="1"/>
  <c r="O596" i="3"/>
  <c r="R659" i="3"/>
  <c r="AQ659" i="3" s="1"/>
  <c r="R723" i="3"/>
  <c r="AQ723" i="3" s="1"/>
  <c r="O787" i="3"/>
  <c r="U787" i="3" s="1"/>
  <c r="P213" i="3"/>
  <c r="R578" i="3"/>
  <c r="AQ578" i="3" s="1"/>
  <c r="O642" i="3"/>
  <c r="O706" i="3"/>
  <c r="R763" i="3"/>
  <c r="AQ763" i="3" s="1"/>
  <c r="Q779" i="3"/>
  <c r="O795" i="3"/>
  <c r="O68" i="3"/>
  <c r="U68" i="3" s="1"/>
  <c r="P200" i="3"/>
  <c r="AC200" i="3" s="1"/>
  <c r="R337" i="3"/>
  <c r="AQ337" i="3" s="1"/>
  <c r="P467" i="3"/>
  <c r="P546" i="3"/>
  <c r="AC546" i="3" s="1"/>
  <c r="O577" i="3"/>
  <c r="Q594" i="3"/>
  <c r="P610" i="3"/>
  <c r="AC610" i="3" s="1"/>
  <c r="R625" i="3"/>
  <c r="AQ625" i="3" s="1"/>
  <c r="P642" i="3"/>
  <c r="P658" i="3"/>
  <c r="P674" i="3"/>
  <c r="P690" i="3"/>
  <c r="P706" i="3"/>
  <c r="P722" i="3"/>
  <c r="P738" i="3"/>
  <c r="P754" i="3"/>
  <c r="R771" i="3"/>
  <c r="AQ771" i="3" s="1"/>
  <c r="Q787" i="3"/>
  <c r="O803" i="3"/>
  <c r="O819" i="3"/>
  <c r="U819" i="3" s="1"/>
  <c r="O85" i="3"/>
  <c r="U85" i="3" s="1"/>
  <c r="O217" i="3"/>
  <c r="U217" i="3" s="1"/>
  <c r="Q339" i="3"/>
  <c r="P469" i="3"/>
  <c r="AC469" i="3" s="1"/>
  <c r="Q547" i="3"/>
  <c r="P577" i="3"/>
  <c r="R594" i="3"/>
  <c r="AQ594" i="3" s="1"/>
  <c r="Q610" i="3"/>
  <c r="O629" i="3"/>
  <c r="Q642" i="3"/>
  <c r="Q658" i="3"/>
  <c r="Q674" i="3"/>
  <c r="Q690" i="3"/>
  <c r="Q706" i="3"/>
  <c r="Q722" i="3"/>
  <c r="Q738" i="3"/>
  <c r="Q754" i="3"/>
  <c r="R174" i="3"/>
  <c r="AQ174" i="3" s="1"/>
  <c r="P629" i="3"/>
  <c r="R754" i="3"/>
  <c r="AQ754" i="3" s="1"/>
  <c r="R816" i="3"/>
  <c r="AQ816" i="3" s="1"/>
  <c r="R836" i="3"/>
  <c r="AQ836" i="3" s="1"/>
  <c r="Q852" i="3"/>
  <c r="Q869" i="3"/>
  <c r="Q884" i="3"/>
  <c r="P899" i="3"/>
  <c r="AC899" i="3" s="1"/>
  <c r="P915" i="3"/>
  <c r="AC915" i="3" s="1"/>
  <c r="R930" i="3"/>
  <c r="AQ930" i="3" s="1"/>
  <c r="P946" i="3"/>
  <c r="AC946" i="3" s="1"/>
  <c r="R963" i="3"/>
  <c r="AQ963" i="3" s="1"/>
  <c r="P979" i="3"/>
  <c r="AC979" i="3" s="1"/>
  <c r="R994" i="3"/>
  <c r="AQ994" i="3" s="1"/>
  <c r="R1009" i="3"/>
  <c r="AQ1009" i="3" s="1"/>
  <c r="R1026" i="3"/>
  <c r="AQ1026" i="3" s="1"/>
  <c r="R1041" i="3"/>
  <c r="AQ1041" i="3" s="1"/>
  <c r="R1058" i="3"/>
  <c r="AQ1058" i="3" s="1"/>
  <c r="P1074" i="3"/>
  <c r="AC1074" i="3" s="1"/>
  <c r="R1089" i="3"/>
  <c r="AQ1089" i="3" s="1"/>
  <c r="O1105" i="3"/>
  <c r="P1120" i="3"/>
  <c r="O1136" i="3"/>
  <c r="Q1153" i="3"/>
  <c r="O1169" i="3"/>
  <c r="O1184" i="3"/>
  <c r="R1200" i="3"/>
  <c r="Q1217" i="3"/>
  <c r="Q1233" i="3"/>
  <c r="P1247" i="3"/>
  <c r="AC1247" i="3" s="1"/>
  <c r="P1263" i="3"/>
  <c r="Q1279" i="3"/>
  <c r="R1295" i="3"/>
  <c r="R1311" i="3"/>
  <c r="Q1326" i="3"/>
  <c r="Q1343" i="3"/>
  <c r="O1358" i="3"/>
  <c r="R568" i="3"/>
  <c r="AQ568" i="3" s="1"/>
  <c r="R692" i="3"/>
  <c r="AQ692" i="3" s="1"/>
  <c r="P801" i="3"/>
  <c r="O831" i="3"/>
  <c r="O847" i="3"/>
  <c r="O862" i="3"/>
  <c r="P879" i="3"/>
  <c r="R895" i="3"/>
  <c r="AQ895" i="3" s="1"/>
  <c r="Q911" i="3"/>
  <c r="P927" i="3"/>
  <c r="R942" i="3"/>
  <c r="AQ942" i="3" s="1"/>
  <c r="P958" i="3"/>
  <c r="R975" i="3"/>
  <c r="AQ975" i="3" s="1"/>
  <c r="P991" i="3"/>
  <c r="Q1006" i="3"/>
  <c r="Q1023" i="3"/>
  <c r="Q1038" i="3"/>
  <c r="Q1055" i="3"/>
  <c r="Q1072" i="3"/>
  <c r="O1088" i="3"/>
  <c r="P1103" i="3"/>
  <c r="Q1120" i="3"/>
  <c r="P1136" i="3"/>
  <c r="R1153" i="3"/>
  <c r="AQ1153" i="3" s="1"/>
  <c r="P1169" i="3"/>
  <c r="P1186" i="3"/>
  <c r="O1201" i="3"/>
  <c r="R1217" i="3"/>
  <c r="R1233" i="3"/>
  <c r="P1251" i="3"/>
  <c r="P1267" i="3"/>
  <c r="P1285" i="3"/>
  <c r="P1301" i="3"/>
  <c r="Q1317" i="3"/>
  <c r="Q1332" i="3"/>
  <c r="P1349" i="3"/>
  <c r="O1364" i="3"/>
  <c r="R1378" i="3"/>
  <c r="O1394" i="3"/>
  <c r="O1409" i="3"/>
  <c r="P589" i="3"/>
  <c r="R726" i="3"/>
  <c r="AQ726" i="3" s="1"/>
  <c r="Q813" i="3"/>
  <c r="P835" i="3"/>
  <c r="P851" i="3"/>
  <c r="P866" i="3"/>
  <c r="P883" i="3"/>
  <c r="R899" i="3"/>
  <c r="AQ899" i="3" s="1"/>
  <c r="R915" i="3"/>
  <c r="AQ915" i="3" s="1"/>
  <c r="P931" i="3"/>
  <c r="R946" i="3"/>
  <c r="AQ946" i="3" s="1"/>
  <c r="P962" i="3"/>
  <c r="R979" i="3"/>
  <c r="AQ979" i="3" s="1"/>
  <c r="P995" i="3"/>
  <c r="P1012" i="3"/>
  <c r="P1027" i="3"/>
  <c r="P1044" i="3"/>
  <c r="P1059" i="3"/>
  <c r="R1076" i="3"/>
  <c r="AQ1076" i="3" s="1"/>
  <c r="P1092" i="3"/>
  <c r="Q1109" i="3"/>
  <c r="R1124" i="3"/>
  <c r="AQ1124" i="3" s="1"/>
  <c r="P1140" i="3"/>
  <c r="R1157" i="3"/>
  <c r="AQ1157" i="3" s="1"/>
  <c r="Q456" i="3"/>
  <c r="R664" i="3"/>
  <c r="AQ664" i="3" s="1"/>
  <c r="O780" i="3"/>
  <c r="Q825" i="3"/>
  <c r="Q841" i="3"/>
  <c r="O857" i="3"/>
  <c r="P872" i="3"/>
  <c r="P889" i="3"/>
  <c r="O904" i="3"/>
  <c r="R921" i="3"/>
  <c r="AQ921" i="3" s="1"/>
  <c r="P937" i="3"/>
  <c r="R952" i="3"/>
  <c r="AQ952" i="3" s="1"/>
  <c r="P968" i="3"/>
  <c r="R985" i="3"/>
  <c r="AQ985" i="3" s="1"/>
  <c r="O1001" i="3"/>
  <c r="P1016" i="3"/>
  <c r="O1033" i="3"/>
  <c r="P1048" i="3"/>
  <c r="P1065" i="3"/>
  <c r="R1082" i="3"/>
  <c r="AQ1082" i="3" s="1"/>
  <c r="P1098" i="3"/>
  <c r="P1113" i="3"/>
  <c r="O1129" i="3"/>
  <c r="Q1144" i="3"/>
  <c r="O1160" i="3"/>
  <c r="P1177" i="3"/>
  <c r="AC1177" i="3" s="1"/>
  <c r="O1194" i="3"/>
  <c r="O1209" i="3"/>
  <c r="P1227" i="3"/>
  <c r="AC1227" i="3" s="1"/>
  <c r="R1242" i="3"/>
  <c r="AA1242" i="3" s="1"/>
  <c r="R1258" i="3"/>
  <c r="AA1258" i="3" s="1"/>
  <c r="R1274" i="3"/>
  <c r="AA1274" i="3" s="1"/>
  <c r="P1291" i="3"/>
  <c r="P1307" i="3"/>
  <c r="AC1307" i="3" s="1"/>
  <c r="Q1325" i="3"/>
  <c r="Q1340" i="3"/>
  <c r="Q1355" i="3"/>
  <c r="O1370" i="3"/>
  <c r="O1387" i="3"/>
  <c r="O1404" i="3"/>
  <c r="P548" i="3"/>
  <c r="R698" i="3"/>
  <c r="AQ698" i="3" s="1"/>
  <c r="R795" i="3"/>
  <c r="AQ795" i="3" s="1"/>
  <c r="R829" i="3"/>
  <c r="AQ829" i="3" s="1"/>
  <c r="R845" i="3"/>
  <c r="AQ845" i="3" s="1"/>
  <c r="O861" i="3"/>
  <c r="U861" i="3" s="1"/>
  <c r="O876" i="3"/>
  <c r="U876" i="3" s="1"/>
  <c r="Q894" i="3"/>
  <c r="P910" i="3"/>
  <c r="O926" i="3"/>
  <c r="Q943" i="3"/>
  <c r="O959" i="3"/>
  <c r="U959" i="3" s="1"/>
  <c r="Q974" i="3"/>
  <c r="O990" i="3"/>
  <c r="U990" i="3" s="1"/>
  <c r="P1007" i="3"/>
  <c r="O1024" i="3"/>
  <c r="U1024" i="3" s="1"/>
  <c r="P1039" i="3"/>
  <c r="O1056" i="3"/>
  <c r="U1056" i="3" s="1"/>
  <c r="P1071" i="3"/>
  <c r="R1088" i="3"/>
  <c r="AQ1088" i="3" s="1"/>
  <c r="O1104" i="3"/>
  <c r="P1121" i="3"/>
  <c r="O1137" i="3"/>
  <c r="U1137" i="3" s="1"/>
  <c r="Q1152" i="3"/>
  <c r="O1168" i="3"/>
  <c r="U1168" i="3" s="1"/>
  <c r="O1185" i="3"/>
  <c r="U1185" i="3" s="1"/>
  <c r="R1201" i="3"/>
  <c r="Q1216" i="3"/>
  <c r="R1232" i="3"/>
  <c r="O1250" i="3"/>
  <c r="O1266" i="3"/>
  <c r="P1282" i="3"/>
  <c r="Q1298" i="3"/>
  <c r="Q1314" i="3"/>
  <c r="Q1331" i="3"/>
  <c r="Q1346" i="3"/>
  <c r="O1363" i="3"/>
  <c r="Q1377" i="3"/>
  <c r="R1394" i="3"/>
  <c r="R1409" i="3"/>
  <c r="Q581" i="3"/>
  <c r="R718" i="3"/>
  <c r="AQ718" i="3" s="1"/>
  <c r="Q805" i="3"/>
  <c r="P832" i="3"/>
  <c r="P848" i="3"/>
  <c r="P865" i="3"/>
  <c r="Q880" i="3"/>
  <c r="O897" i="3"/>
  <c r="U897" i="3" s="1"/>
  <c r="R912" i="3"/>
  <c r="AQ912" i="3" s="1"/>
  <c r="P928" i="3"/>
  <c r="AC928" i="3" s="1"/>
  <c r="R945" i="3"/>
  <c r="AQ945" i="3" s="1"/>
  <c r="P961" i="3"/>
  <c r="AC961" i="3" s="1"/>
  <c r="R976" i="3"/>
  <c r="AQ976" i="3" s="1"/>
  <c r="P992" i="3"/>
  <c r="AC992" i="3" s="1"/>
  <c r="R1007" i="3"/>
  <c r="AQ1007" i="3" s="1"/>
  <c r="Q1024" i="3"/>
  <c r="R1039" i="3"/>
  <c r="AQ1039" i="3" s="1"/>
  <c r="Q1056" i="3"/>
  <c r="R1071" i="3"/>
  <c r="AQ1071" i="3" s="1"/>
  <c r="P1087" i="3"/>
  <c r="R1102" i="3"/>
  <c r="AQ1102" i="3" s="1"/>
  <c r="R1119" i="3"/>
  <c r="AQ1119" i="3" s="1"/>
  <c r="Q1135" i="3"/>
  <c r="O1151" i="3"/>
  <c r="U1151" i="3" s="1"/>
  <c r="Q1166" i="3"/>
  <c r="Q1183" i="3"/>
  <c r="P1198" i="3"/>
  <c r="O1215" i="3"/>
  <c r="U1215" i="3" s="1"/>
  <c r="O1233" i="3"/>
  <c r="R1248" i="3"/>
  <c r="AA1248" i="3" s="1"/>
  <c r="R1264" i="3"/>
  <c r="AA1264" i="3" s="1"/>
  <c r="R1282" i="3"/>
  <c r="AA1282" i="3" s="1"/>
  <c r="O1299" i="3"/>
  <c r="O1315" i="3"/>
  <c r="U1315" i="3" s="1"/>
  <c r="O1330" i="3"/>
  <c r="O1347" i="3"/>
  <c r="U1347" i="3" s="1"/>
  <c r="Q1361" i="3"/>
  <c r="O1376" i="3"/>
  <c r="U1376" i="3" s="1"/>
  <c r="Q1391" i="3"/>
  <c r="Q1408" i="3"/>
  <c r="P614" i="3"/>
  <c r="R736" i="3"/>
  <c r="AQ736" i="3" s="1"/>
  <c r="Q811" i="3"/>
  <c r="Q834" i="3"/>
  <c r="Q850" i="3"/>
  <c r="Q867" i="3"/>
  <c r="P805" i="3"/>
  <c r="Q908" i="3"/>
  <c r="R970" i="3"/>
  <c r="AQ970" i="3" s="1"/>
  <c r="Q1039" i="3"/>
  <c r="R1100" i="3"/>
  <c r="AQ1100" i="3" s="1"/>
  <c r="P1162" i="3"/>
  <c r="R1203" i="3"/>
  <c r="Q1251" i="3"/>
  <c r="P1294" i="3"/>
  <c r="Q1333" i="3"/>
  <c r="P1374" i="3"/>
  <c r="O1405" i="3"/>
  <c r="U1405" i="3" s="1"/>
  <c r="O1423" i="3"/>
  <c r="U1423" i="3" s="1"/>
  <c r="O1440" i="3"/>
  <c r="R1454" i="3"/>
  <c r="AA1454" i="3" s="1"/>
  <c r="P1434" i="3"/>
  <c r="AC1434" i="3" s="1"/>
  <c r="O850" i="3"/>
  <c r="R924" i="3"/>
  <c r="AQ924" i="3" s="1"/>
  <c r="R986" i="3"/>
  <c r="AQ986" i="3" s="1"/>
  <c r="O1055" i="3"/>
  <c r="P1116" i="3"/>
  <c r="AC1116" i="3" s="1"/>
  <c r="P1174" i="3"/>
  <c r="P1214" i="3"/>
  <c r="O1252" i="3"/>
  <c r="P1290" i="3"/>
  <c r="P1339" i="3"/>
  <c r="Q1378" i="3"/>
  <c r="O1412" i="3"/>
  <c r="P1427" i="3"/>
  <c r="P1444" i="3"/>
  <c r="P1462" i="3"/>
  <c r="P1326" i="3"/>
  <c r="AC1326" i="3" s="1"/>
  <c r="R1446" i="3"/>
  <c r="AA1446" i="3" s="1"/>
  <c r="O977" i="3"/>
  <c r="O1198" i="3"/>
  <c r="Q1385" i="3"/>
  <c r="R887" i="3"/>
  <c r="AQ887" i="3" s="1"/>
  <c r="Q949" i="3"/>
  <c r="O1011" i="3"/>
  <c r="Q1071" i="3"/>
  <c r="O1141" i="3"/>
  <c r="P1190" i="3"/>
  <c r="O1243" i="3"/>
  <c r="U1243" i="3" s="1"/>
  <c r="O1286" i="3"/>
  <c r="Q1324" i="3"/>
  <c r="P1364" i="3"/>
  <c r="P1394" i="3"/>
  <c r="AC1394" i="3" s="1"/>
  <c r="O1418" i="3"/>
  <c r="U1418" i="3" s="1"/>
  <c r="O1433" i="3"/>
  <c r="U1433" i="3" s="1"/>
  <c r="R1449" i="3"/>
  <c r="P15" i="3"/>
  <c r="AC15" i="3" s="1"/>
  <c r="Q518" i="3"/>
  <c r="Q616" i="3"/>
  <c r="P681" i="3"/>
  <c r="AC681" i="3" s="1"/>
  <c r="P745" i="3"/>
  <c r="O808" i="3"/>
  <c r="U808" i="3" s="1"/>
  <c r="R376" i="3"/>
  <c r="AQ376" i="3" s="1"/>
  <c r="Q599" i="3"/>
  <c r="Q663" i="3"/>
  <c r="Q727" i="3"/>
  <c r="R790" i="3"/>
  <c r="AQ790" i="3" s="1"/>
  <c r="R333" i="3"/>
  <c r="AQ333" i="3" s="1"/>
  <c r="O598" i="3"/>
  <c r="U598" i="3" s="1"/>
  <c r="R661" i="3"/>
  <c r="AQ661" i="3" s="1"/>
  <c r="R725" i="3"/>
  <c r="AQ725" i="3" s="1"/>
  <c r="O789" i="3"/>
  <c r="Q228" i="3"/>
  <c r="R580" i="3"/>
  <c r="AQ580" i="3" s="1"/>
  <c r="O644" i="3"/>
  <c r="O708" i="3"/>
  <c r="R765" i="3"/>
  <c r="AQ765" i="3" s="1"/>
  <c r="Q781" i="3"/>
  <c r="O797" i="3"/>
  <c r="P83" i="3"/>
  <c r="AC83" i="3" s="1"/>
  <c r="O215" i="3"/>
  <c r="U215" i="3" s="1"/>
  <c r="R352" i="3"/>
  <c r="AQ352" i="3" s="1"/>
  <c r="Q482" i="3"/>
  <c r="O552" i="3"/>
  <c r="U552" i="3" s="1"/>
  <c r="O579" i="3"/>
  <c r="Q596" i="3"/>
  <c r="R613" i="3"/>
  <c r="AQ613" i="3" s="1"/>
  <c r="O627" i="3"/>
  <c r="P644" i="3"/>
  <c r="P660" i="3"/>
  <c r="P676" i="3"/>
  <c r="P692" i="3"/>
  <c r="P708" i="3"/>
  <c r="P724" i="3"/>
  <c r="P740" i="3"/>
  <c r="P756" i="3"/>
  <c r="R773" i="3"/>
  <c r="AQ773" i="3" s="1"/>
  <c r="Q789" i="3"/>
  <c r="O805" i="3"/>
  <c r="O821" i="3"/>
  <c r="U821" i="3" s="1"/>
  <c r="R99" i="3"/>
  <c r="AQ99" i="3" s="1"/>
  <c r="O232" i="3"/>
  <c r="Q354" i="3"/>
  <c r="Q484" i="3"/>
  <c r="O553" i="3"/>
  <c r="U553" i="3" s="1"/>
  <c r="P579" i="3"/>
  <c r="R596" i="3"/>
  <c r="AQ596" i="3" s="1"/>
  <c r="O612" i="3"/>
  <c r="O631" i="3"/>
  <c r="Q644" i="3"/>
  <c r="Q660" i="3"/>
  <c r="Q676" i="3"/>
  <c r="Q692" i="3"/>
  <c r="Q708" i="3"/>
  <c r="Q724" i="3"/>
  <c r="Q740" i="3"/>
  <c r="Q756" i="3"/>
  <c r="Q295" i="3"/>
  <c r="R642" i="3"/>
  <c r="AQ642" i="3" s="1"/>
  <c r="Q768" i="3"/>
  <c r="R820" i="3"/>
  <c r="AQ820" i="3" s="1"/>
  <c r="R838" i="3"/>
  <c r="AQ838" i="3" s="1"/>
  <c r="P854" i="3"/>
  <c r="Q871" i="3"/>
  <c r="Q886" i="3"/>
  <c r="P901" i="3"/>
  <c r="P917" i="3"/>
  <c r="AC917" i="3" s="1"/>
  <c r="R932" i="3"/>
  <c r="AQ932" i="3" s="1"/>
  <c r="P948" i="3"/>
  <c r="R965" i="3"/>
  <c r="AQ965" i="3" s="1"/>
  <c r="P981" i="3"/>
  <c r="AC981" i="3" s="1"/>
  <c r="R996" i="3"/>
  <c r="AQ996" i="3" s="1"/>
  <c r="R1011" i="3"/>
  <c r="AQ1011" i="3" s="1"/>
  <c r="R1028" i="3"/>
  <c r="AQ1028" i="3" s="1"/>
  <c r="R1043" i="3"/>
  <c r="AQ1043" i="3" s="1"/>
  <c r="R1060" i="3"/>
  <c r="AQ1060" i="3" s="1"/>
  <c r="P1076" i="3"/>
  <c r="AC1076" i="3" s="1"/>
  <c r="R1091" i="3"/>
  <c r="AQ1091" i="3" s="1"/>
  <c r="O1107" i="3"/>
  <c r="P1122" i="3"/>
  <c r="AC1122" i="3" s="1"/>
  <c r="R1139" i="3"/>
  <c r="AQ1139" i="3" s="1"/>
  <c r="P1155" i="3"/>
  <c r="R1170" i="3"/>
  <c r="AQ1170" i="3" s="1"/>
  <c r="O1186" i="3"/>
  <c r="R1202" i="3"/>
  <c r="AA1202" i="3" s="1"/>
  <c r="P1219" i="3"/>
  <c r="O1235" i="3"/>
  <c r="O1249" i="3"/>
  <c r="O1265" i="3"/>
  <c r="P1281" i="3"/>
  <c r="AC1281" i="3" s="1"/>
  <c r="Q1297" i="3"/>
  <c r="Q1313" i="3"/>
  <c r="Q1328" i="3"/>
  <c r="Q1345" i="3"/>
  <c r="O1360" i="3"/>
  <c r="P587" i="3"/>
  <c r="AC587" i="3" s="1"/>
  <c r="R708" i="3"/>
  <c r="AQ708" i="3" s="1"/>
  <c r="Q807" i="3"/>
  <c r="O833" i="3"/>
  <c r="O849" i="3"/>
  <c r="O864" i="3"/>
  <c r="P881" i="3"/>
  <c r="R897" i="3"/>
  <c r="AQ897" i="3" s="1"/>
  <c r="Q913" i="3"/>
  <c r="O929" i="3"/>
  <c r="Q944" i="3"/>
  <c r="O960" i="3"/>
  <c r="Q977" i="3"/>
  <c r="O993" i="3"/>
  <c r="P1008" i="3"/>
  <c r="O1025" i="3"/>
  <c r="P1040" i="3"/>
  <c r="O1057" i="3"/>
  <c r="Q1074" i="3"/>
  <c r="O1090" i="3"/>
  <c r="P1105" i="3"/>
  <c r="Q1122" i="3"/>
  <c r="O1138" i="3"/>
  <c r="Q1155" i="3"/>
  <c r="O1171" i="3"/>
  <c r="P1188" i="3"/>
  <c r="Q1204" i="3"/>
  <c r="Q1219" i="3"/>
  <c r="P1235" i="3"/>
  <c r="Q1254" i="3"/>
  <c r="Q1270" i="3"/>
  <c r="O1287" i="3"/>
  <c r="U1287" i="3" s="1"/>
  <c r="O1303" i="3"/>
  <c r="P1319" i="3"/>
  <c r="AC1319" i="3" s="1"/>
  <c r="AB1319" i="3" s="1"/>
  <c r="P1334" i="3"/>
  <c r="AC1334" i="3" s="1"/>
  <c r="O1351" i="3"/>
  <c r="U1351" i="3" s="1"/>
  <c r="R1365" i="3"/>
  <c r="AA1365" i="3" s="1"/>
  <c r="R1380" i="3"/>
  <c r="AA1380" i="3" s="1"/>
  <c r="O1396" i="3"/>
  <c r="O1411" i="3"/>
  <c r="U1411" i="3" s="1"/>
  <c r="R604" i="3"/>
  <c r="AQ604" i="3" s="1"/>
  <c r="R742" i="3"/>
  <c r="AQ742" i="3" s="1"/>
  <c r="Q817" i="3"/>
  <c r="P837" i="3"/>
  <c r="O853" i="3"/>
  <c r="O868" i="3"/>
  <c r="O885" i="3"/>
  <c r="R901" i="3"/>
  <c r="AQ901" i="3" s="1"/>
  <c r="R917" i="3"/>
  <c r="AQ917" i="3" s="1"/>
  <c r="P933" i="3"/>
  <c r="R948" i="3"/>
  <c r="AQ948" i="3" s="1"/>
  <c r="P964" i="3"/>
  <c r="R981" i="3"/>
  <c r="AQ981" i="3" s="1"/>
  <c r="P997" i="3"/>
  <c r="P1014" i="3"/>
  <c r="P1029" i="3"/>
  <c r="P1046" i="3"/>
  <c r="P1061" i="3"/>
  <c r="R1078" i="3"/>
  <c r="AQ1078" i="3" s="1"/>
  <c r="P1094" i="3"/>
  <c r="O1111" i="3"/>
  <c r="R1126" i="3"/>
  <c r="AQ1126" i="3" s="1"/>
  <c r="P1142" i="3"/>
  <c r="R1159" i="3"/>
  <c r="AQ1159" i="3" s="1"/>
  <c r="P540" i="3"/>
  <c r="AC540" i="3" s="1"/>
  <c r="R680" i="3"/>
  <c r="AQ680" i="3" s="1"/>
  <c r="R787" i="3"/>
  <c r="AQ787" i="3" s="1"/>
  <c r="Q827" i="3"/>
  <c r="Q843" i="3"/>
  <c r="O859" i="3"/>
  <c r="O874" i="3"/>
  <c r="O891" i="3"/>
  <c r="O906" i="3"/>
  <c r="R923" i="3"/>
  <c r="AQ923" i="3" s="1"/>
  <c r="P939" i="3"/>
  <c r="AC939" i="3" s="1"/>
  <c r="R954" i="3"/>
  <c r="AQ954" i="3" s="1"/>
  <c r="P970" i="3"/>
  <c r="AC970" i="3" s="1"/>
  <c r="R987" i="3"/>
  <c r="AQ987" i="3" s="1"/>
  <c r="O1003" i="3"/>
  <c r="O1018" i="3"/>
  <c r="O1035" i="3"/>
  <c r="O1050" i="3"/>
  <c r="P1067" i="3"/>
  <c r="AC1067" i="3" s="1"/>
  <c r="R1084" i="3"/>
  <c r="AQ1084" i="3" s="1"/>
  <c r="P1100" i="3"/>
  <c r="AC1100" i="3" s="1"/>
  <c r="P1115" i="3"/>
  <c r="R1130" i="3"/>
  <c r="AQ1130" i="3" s="1"/>
  <c r="P1146" i="3"/>
  <c r="R1163" i="3"/>
  <c r="AQ1163" i="3" s="1"/>
  <c r="O1179" i="3"/>
  <c r="R1195" i="3"/>
  <c r="AA1195" i="3" s="1"/>
  <c r="Q1212" i="3"/>
  <c r="Q1230" i="3"/>
  <c r="P1244" i="3"/>
  <c r="Q1260" i="3"/>
  <c r="Q1276" i="3"/>
  <c r="Q1294" i="3"/>
  <c r="Q1310" i="3"/>
  <c r="P1327" i="3"/>
  <c r="AC1327" i="3" s="1"/>
  <c r="P1342" i="3"/>
  <c r="AC1342" i="3" s="1"/>
  <c r="O1357" i="3"/>
  <c r="Q1373" i="3"/>
  <c r="O1389" i="3"/>
  <c r="O1406" i="3"/>
  <c r="Q577" i="3"/>
  <c r="R714" i="3"/>
  <c r="AQ714" i="3" s="1"/>
  <c r="Q803" i="3"/>
  <c r="R831" i="3"/>
  <c r="AQ831" i="3" s="1"/>
  <c r="R847" i="3"/>
  <c r="AQ847" i="3" s="1"/>
  <c r="R862" i="3"/>
  <c r="AQ862" i="3" s="1"/>
  <c r="O878" i="3"/>
  <c r="Q896" i="3"/>
  <c r="P912" i="3"/>
  <c r="R929" i="3"/>
  <c r="AQ929" i="3" s="1"/>
  <c r="P945" i="3"/>
  <c r="AC945" i="3" s="1"/>
  <c r="R960" i="3"/>
  <c r="AQ960" i="3" s="1"/>
  <c r="P976" i="3"/>
  <c r="R993" i="3"/>
  <c r="AQ993" i="3" s="1"/>
  <c r="R1010" i="3"/>
  <c r="AQ1010" i="3" s="1"/>
  <c r="R1025" i="3"/>
  <c r="AQ1025" i="3" s="1"/>
  <c r="R1042" i="3"/>
  <c r="AQ1042" i="3" s="1"/>
  <c r="R1057" i="3"/>
  <c r="AQ1057" i="3" s="1"/>
  <c r="P1073" i="3"/>
  <c r="AC1073" i="3" s="1"/>
  <c r="R1090" i="3"/>
  <c r="AQ1090" i="3" s="1"/>
  <c r="O1106" i="3"/>
  <c r="U1106" i="3" s="1"/>
  <c r="P1123" i="3"/>
  <c r="R1138" i="3"/>
  <c r="AQ1138" i="3" s="1"/>
  <c r="P1154" i="3"/>
  <c r="R1171" i="3"/>
  <c r="O1187" i="3"/>
  <c r="U1187" i="3" s="1"/>
  <c r="Q1203" i="3"/>
  <c r="Q1218" i="3"/>
  <c r="P1234" i="3"/>
  <c r="Q1253" i="3"/>
  <c r="Q1269" i="3"/>
  <c r="O1284" i="3"/>
  <c r="P1300" i="3"/>
  <c r="P1316" i="3"/>
  <c r="P1333" i="3"/>
  <c r="AC1333" i="3" s="1"/>
  <c r="P1348" i="3"/>
  <c r="AC1348" i="3" s="1"/>
  <c r="R1364" i="3"/>
  <c r="Q1379" i="3"/>
  <c r="R1396" i="3"/>
  <c r="AA1396" i="3" s="1"/>
  <c r="R1411" i="3"/>
  <c r="O597" i="3"/>
  <c r="U597" i="3" s="1"/>
  <c r="R734" i="3"/>
  <c r="AQ734" i="3" s="1"/>
  <c r="P811" i="3"/>
  <c r="P834" i="3"/>
  <c r="AC834" i="3" s="1"/>
  <c r="P850" i="3"/>
  <c r="P867" i="3"/>
  <c r="P882" i="3"/>
  <c r="AC882" i="3" s="1"/>
  <c r="R898" i="3"/>
  <c r="AQ898" i="3" s="1"/>
  <c r="R914" i="3"/>
  <c r="AQ914" i="3" s="1"/>
  <c r="P930" i="3"/>
  <c r="AC930" i="3" s="1"/>
  <c r="R947" i="3"/>
  <c r="AQ947" i="3" s="1"/>
  <c r="P963" i="3"/>
  <c r="AC963" i="3" s="1"/>
  <c r="R978" i="3"/>
  <c r="AQ978" i="3" s="1"/>
  <c r="P994" i="3"/>
  <c r="P1009" i="3"/>
  <c r="P1026" i="3"/>
  <c r="P1041" i="3"/>
  <c r="P1058" i="3"/>
  <c r="AC1058" i="3" s="1"/>
  <c r="R1073" i="3"/>
  <c r="AQ1073" i="3" s="1"/>
  <c r="P1089" i="3"/>
  <c r="AC1089" i="3" s="1"/>
  <c r="Q1104" i="3"/>
  <c r="R1121" i="3"/>
  <c r="AQ1121" i="3" s="1"/>
  <c r="Q1137" i="3"/>
  <c r="O1153" i="3"/>
  <c r="U1153" i="3" s="1"/>
  <c r="Q1168" i="3"/>
  <c r="Q1185" i="3"/>
  <c r="P1200" i="3"/>
  <c r="O1217" i="3"/>
  <c r="R1234" i="3"/>
  <c r="AA1234" i="3" s="1"/>
  <c r="Q1250" i="3"/>
  <c r="Q1266" i="3"/>
  <c r="Q1284" i="3"/>
  <c r="R1300" i="3"/>
  <c r="R1316" i="3"/>
  <c r="AA1316" i="3" s="1"/>
  <c r="R1333" i="3"/>
  <c r="AA1333" i="3" s="1"/>
  <c r="R1348" i="3"/>
  <c r="Q1363" i="3"/>
  <c r="O1378" i="3"/>
  <c r="P1393" i="3"/>
  <c r="R41" i="3"/>
  <c r="AQ41" i="3" s="1"/>
  <c r="Q627" i="3"/>
  <c r="R752" i="3"/>
  <c r="AQ752" i="3" s="1"/>
  <c r="P816" i="3"/>
  <c r="AC816" i="3" s="1"/>
  <c r="Q836" i="3"/>
  <c r="P852" i="3"/>
  <c r="P869" i="3"/>
  <c r="O832" i="3"/>
  <c r="Q916" i="3"/>
  <c r="Q978" i="3"/>
  <c r="O1047" i="3"/>
  <c r="P1108" i="3"/>
  <c r="R1168" i="3"/>
  <c r="AQ1168" i="3" s="1"/>
  <c r="R1208" i="3"/>
  <c r="O1256" i="3"/>
  <c r="P1299" i="3"/>
  <c r="Q1338" i="3"/>
  <c r="P1378" i="3"/>
  <c r="R1408" i="3"/>
  <c r="O1425" i="3"/>
  <c r="U1425" i="3" s="1"/>
  <c r="O1442" i="3"/>
  <c r="U1442" i="3" s="1"/>
  <c r="Q1456" i="3"/>
  <c r="R1441" i="3"/>
  <c r="AA1441" i="3" s="1"/>
  <c r="O865" i="3"/>
  <c r="Q932" i="3"/>
  <c r="Q994" i="3"/>
  <c r="Q1062" i="3"/>
  <c r="O1124" i="3"/>
  <c r="Q1179" i="3"/>
  <c r="O1219" i="3"/>
  <c r="R1256" i="3"/>
  <c r="O1295" i="3"/>
  <c r="O1344" i="3"/>
  <c r="Q1382" i="3"/>
  <c r="P1414" i="3"/>
  <c r="O1429" i="3"/>
  <c r="U1429" i="3" s="1"/>
  <c r="Q1447" i="3"/>
  <c r="O1464" i="3"/>
  <c r="U1464" i="3" s="1"/>
  <c r="Q1376" i="3"/>
  <c r="O1454" i="3"/>
  <c r="O1038" i="3"/>
  <c r="O1218" i="3"/>
  <c r="U1218" i="3" s="1"/>
  <c r="Q1404" i="3"/>
  <c r="R130" i="3"/>
  <c r="AQ130" i="3" s="1"/>
  <c r="R894" i="3"/>
  <c r="AQ894" i="3" s="1"/>
  <c r="P957" i="3"/>
  <c r="Q1018" i="3"/>
  <c r="P1079" i="3"/>
  <c r="AC1079" i="3" s="1"/>
  <c r="R1148" i="3"/>
  <c r="AQ1148" i="3" s="1"/>
  <c r="O1200" i="3"/>
  <c r="R1247" i="3"/>
  <c r="AA1247" i="3" s="1"/>
  <c r="O1291" i="3"/>
  <c r="R1329" i="3"/>
  <c r="R1367" i="3"/>
  <c r="P1398" i="3"/>
  <c r="O1420" i="3"/>
  <c r="O1435" i="3"/>
  <c r="R1451" i="3"/>
  <c r="O729" i="3"/>
  <c r="Q119" i="3"/>
  <c r="P562" i="3"/>
  <c r="AC562" i="3" s="1"/>
  <c r="P633" i="3"/>
  <c r="AC633" i="3" s="1"/>
  <c r="P695" i="3"/>
  <c r="AC695" i="3" s="1"/>
  <c r="P759" i="3"/>
  <c r="AC759" i="3" s="1"/>
  <c r="O822" i="3"/>
  <c r="O492" i="3"/>
  <c r="O613" i="3"/>
  <c r="Q677" i="3"/>
  <c r="Q741" i="3"/>
  <c r="P804" i="3"/>
  <c r="AC804" i="3" s="1"/>
  <c r="P449" i="3"/>
  <c r="AC449" i="3" s="1"/>
  <c r="Q611" i="3"/>
  <c r="R675" i="3"/>
  <c r="AQ675" i="3" s="1"/>
  <c r="R739" i="3"/>
  <c r="AQ739" i="3" s="1"/>
  <c r="Q802" i="3"/>
  <c r="R335" i="3"/>
  <c r="AQ335" i="3" s="1"/>
  <c r="P594" i="3"/>
  <c r="AC594" i="3" s="1"/>
  <c r="O658" i="3"/>
  <c r="O722" i="3"/>
  <c r="R767" i="3"/>
  <c r="AQ767" i="3" s="1"/>
  <c r="Q783" i="3"/>
  <c r="R800" i="3"/>
  <c r="AQ800" i="3" s="1"/>
  <c r="R97" i="3"/>
  <c r="AQ97" i="3" s="1"/>
  <c r="O230" i="3"/>
  <c r="Q367" i="3"/>
  <c r="Q497" i="3"/>
  <c r="Q556" i="3"/>
  <c r="O581" i="3"/>
  <c r="Q598" i="3"/>
  <c r="R615" i="3"/>
  <c r="AQ615" i="3" s="1"/>
  <c r="R628" i="3"/>
  <c r="AQ628" i="3" s="1"/>
  <c r="P646" i="3"/>
  <c r="P662" i="3"/>
  <c r="AC662" i="3" s="1"/>
  <c r="P678" i="3"/>
  <c r="AC678" i="3" s="1"/>
  <c r="P694" i="3"/>
  <c r="AC694" i="3" s="1"/>
  <c r="P710" i="3"/>
  <c r="AC710" i="3" s="1"/>
  <c r="P726" i="3"/>
  <c r="AC726" i="3" s="1"/>
  <c r="P742" i="3"/>
  <c r="AC742" i="3" s="1"/>
  <c r="P758" i="3"/>
  <c r="AC758" i="3" s="1"/>
  <c r="R775" i="3"/>
  <c r="AQ775" i="3" s="1"/>
  <c r="Q791" i="3"/>
  <c r="O807" i="3"/>
  <c r="O823" i="3"/>
  <c r="R128" i="3"/>
  <c r="AQ128" i="3" s="1"/>
  <c r="Q247" i="3"/>
  <c r="P369" i="3"/>
  <c r="AC369" i="3" s="1"/>
  <c r="Q499" i="3"/>
  <c r="O557" i="3"/>
  <c r="P581" i="3"/>
  <c r="R598" i="3"/>
  <c r="AQ598" i="3" s="1"/>
  <c r="O614" i="3"/>
  <c r="R632" i="3"/>
  <c r="AQ632" i="3" s="1"/>
  <c r="Q646" i="3"/>
  <c r="Q662" i="3"/>
  <c r="Q678" i="3"/>
  <c r="Q694" i="3"/>
  <c r="Q710" i="3"/>
  <c r="Q726" i="3"/>
  <c r="Q742" i="3"/>
  <c r="Q758" i="3"/>
  <c r="O414" i="3"/>
  <c r="U414" i="3" s="1"/>
  <c r="R658" i="3"/>
  <c r="AQ658" i="3" s="1"/>
  <c r="P776" i="3"/>
  <c r="R824" i="3"/>
  <c r="AQ824" i="3" s="1"/>
  <c r="R840" i="3"/>
  <c r="AQ840" i="3" s="1"/>
  <c r="P856" i="3"/>
  <c r="Q873" i="3"/>
  <c r="Q888" i="3"/>
  <c r="P903" i="3"/>
  <c r="AC903" i="3" s="1"/>
  <c r="P919" i="3"/>
  <c r="AC919" i="3" s="1"/>
  <c r="R934" i="3"/>
  <c r="AQ934" i="3" s="1"/>
  <c r="P950" i="3"/>
  <c r="AC950" i="3" s="1"/>
  <c r="R967" i="3"/>
  <c r="AQ967" i="3" s="1"/>
  <c r="P983" i="3"/>
  <c r="AC983" i="3" s="1"/>
  <c r="R998" i="3"/>
  <c r="AQ998" i="3" s="1"/>
  <c r="R1013" i="3"/>
  <c r="AQ1013" i="3" s="1"/>
  <c r="R1030" i="3"/>
  <c r="AQ1030" i="3" s="1"/>
  <c r="R1045" i="3"/>
  <c r="AQ1045" i="3" s="1"/>
  <c r="R1062" i="3"/>
  <c r="AQ1062" i="3" s="1"/>
  <c r="P1078" i="3"/>
  <c r="R1093" i="3"/>
  <c r="AQ1093" i="3" s="1"/>
  <c r="O1109" i="3"/>
  <c r="P1124" i="3"/>
  <c r="R1141" i="3"/>
  <c r="AQ1141" i="3" s="1"/>
  <c r="P1157" i="3"/>
  <c r="AC1157" i="3" s="1"/>
  <c r="R1172" i="3"/>
  <c r="O1188" i="3"/>
  <c r="P1204" i="3"/>
  <c r="O1221" i="3"/>
  <c r="R1236" i="3"/>
  <c r="AA1236" i="3" s="1"/>
  <c r="O1251" i="3"/>
  <c r="O1267" i="3"/>
  <c r="P1283" i="3"/>
  <c r="AC1283" i="3" s="1"/>
  <c r="Q1299" i="3"/>
  <c r="Q1315" i="3"/>
  <c r="Q1330" i="3"/>
  <c r="Q1347" i="3"/>
  <c r="O1362" i="3"/>
  <c r="R602" i="3"/>
  <c r="AQ602" i="3" s="1"/>
  <c r="R724" i="3"/>
  <c r="AQ724" i="3" s="1"/>
  <c r="P813" i="3"/>
  <c r="AC813" i="3" s="1"/>
  <c r="O835" i="3"/>
  <c r="O851" i="3"/>
  <c r="O866" i="3"/>
  <c r="O883" i="3"/>
  <c r="Q899" i="3"/>
  <c r="Q915" i="3"/>
  <c r="O931" i="3"/>
  <c r="Q946" i="3"/>
  <c r="O962" i="3"/>
  <c r="Q979" i="3"/>
  <c r="O995" i="3"/>
  <c r="O1010" i="3"/>
  <c r="O1027" i="3"/>
  <c r="O1042" i="3"/>
  <c r="O1059" i="3"/>
  <c r="Q1076" i="3"/>
  <c r="O1092" i="3"/>
  <c r="P1107" i="3"/>
  <c r="Q1124" i="3"/>
  <c r="O1140" i="3"/>
  <c r="Q1157" i="3"/>
  <c r="R1174" i="3"/>
  <c r="O1190" i="3"/>
  <c r="Q1206" i="3"/>
  <c r="P1221" i="3"/>
  <c r="R1238" i="3"/>
  <c r="Q1256" i="3"/>
  <c r="Q1272" i="3"/>
  <c r="R1290" i="3"/>
  <c r="R1306" i="3"/>
  <c r="P1321" i="3"/>
  <c r="AC1321" i="3" s="1"/>
  <c r="P1336" i="3"/>
  <c r="AC1336" i="3" s="1"/>
  <c r="O1353" i="3"/>
  <c r="Q1367" i="3"/>
  <c r="R1382" i="3"/>
  <c r="O1398" i="3"/>
  <c r="O1413" i="3"/>
  <c r="U1413" i="3" s="1"/>
  <c r="O619" i="3"/>
  <c r="U619" i="3" s="1"/>
  <c r="R758" i="3"/>
  <c r="AQ758" i="3" s="1"/>
  <c r="Q821" i="3"/>
  <c r="P839" i="3"/>
  <c r="AC839" i="3" s="1"/>
  <c r="R854" i="3"/>
  <c r="AQ854" i="3" s="1"/>
  <c r="O870" i="3"/>
  <c r="O887" i="3"/>
  <c r="R903" i="3"/>
  <c r="AQ903" i="3" s="1"/>
  <c r="R919" i="3"/>
  <c r="AQ919" i="3" s="1"/>
  <c r="P935" i="3"/>
  <c r="AC935" i="3" s="1"/>
  <c r="R950" i="3"/>
  <c r="AQ950" i="3" s="1"/>
  <c r="P966" i="3"/>
  <c r="AC966" i="3" s="1"/>
  <c r="R983" i="3"/>
  <c r="AQ983" i="3" s="1"/>
  <c r="P999" i="3"/>
  <c r="O1016" i="3"/>
  <c r="P1031" i="3"/>
  <c r="O1048" i="3"/>
  <c r="O1063" i="3"/>
  <c r="Q1080" i="3"/>
  <c r="O1096" i="3"/>
  <c r="O1113" i="3"/>
  <c r="R1128" i="3"/>
  <c r="AQ1128" i="3" s="1"/>
  <c r="P1144" i="3"/>
  <c r="R1161" i="3"/>
  <c r="AQ1161" i="3" s="1"/>
  <c r="Q575" i="3"/>
  <c r="R696" i="3"/>
  <c r="AQ696" i="3" s="1"/>
  <c r="Q795" i="3"/>
  <c r="Q829" i="3"/>
  <c r="Q845" i="3"/>
  <c r="R860" i="3"/>
  <c r="AQ860" i="3" s="1"/>
  <c r="R877" i="3"/>
  <c r="AQ877" i="3" s="1"/>
  <c r="R892" i="3"/>
  <c r="AQ892" i="3" s="1"/>
  <c r="O908" i="3"/>
  <c r="R925" i="3"/>
  <c r="AQ925" i="3" s="1"/>
  <c r="P941" i="3"/>
  <c r="AC941" i="3" s="1"/>
  <c r="R956" i="3"/>
  <c r="AQ956" i="3" s="1"/>
  <c r="P972" i="3"/>
  <c r="AC972" i="3" s="1"/>
  <c r="R989" i="3"/>
  <c r="AQ989" i="3" s="1"/>
  <c r="O1005" i="3"/>
  <c r="O1020" i="3"/>
  <c r="O1037" i="3"/>
  <c r="O1052" i="3"/>
  <c r="P1069" i="3"/>
  <c r="AC1069" i="3" s="1"/>
  <c r="R1086" i="3"/>
  <c r="AQ1086" i="3" s="1"/>
  <c r="O1102" i="3"/>
  <c r="P1117" i="3"/>
  <c r="AC1117" i="3" s="1"/>
  <c r="R1132" i="3"/>
  <c r="AQ1132" i="3" s="1"/>
  <c r="P1148" i="3"/>
  <c r="R1165" i="3"/>
  <c r="AQ1165" i="3" s="1"/>
  <c r="R1182" i="3"/>
  <c r="AA1182" i="3" s="1"/>
  <c r="Q1197" i="3"/>
  <c r="Q1214" i="3"/>
  <c r="Q1232" i="3"/>
  <c r="O1246" i="3"/>
  <c r="O1262" i="3"/>
  <c r="P1278" i="3"/>
  <c r="AC1278" i="3" s="1"/>
  <c r="Q1296" i="3"/>
  <c r="Q1312" i="3"/>
  <c r="P1329" i="3"/>
  <c r="AC1329" i="3" s="1"/>
  <c r="P1344" i="3"/>
  <c r="R1358" i="3"/>
  <c r="P1375" i="3"/>
  <c r="AC1375" i="3" s="1"/>
  <c r="R1392" i="3"/>
  <c r="AA1392" i="3" s="1"/>
  <c r="R1407" i="3"/>
  <c r="AA1407" i="3" s="1"/>
  <c r="O593" i="3"/>
  <c r="U593" i="3" s="1"/>
  <c r="R730" i="3"/>
  <c r="AQ730" i="3" s="1"/>
  <c r="Q809" i="3"/>
  <c r="R833" i="3"/>
  <c r="AQ833" i="3" s="1"/>
  <c r="R849" i="3"/>
  <c r="AQ849" i="3" s="1"/>
  <c r="R864" i="3"/>
  <c r="AQ864" i="3" s="1"/>
  <c r="O880" i="3"/>
  <c r="U880" i="3" s="1"/>
  <c r="P898" i="3"/>
  <c r="AC898" i="3" s="1"/>
  <c r="P914" i="3"/>
  <c r="R931" i="3"/>
  <c r="AQ931" i="3" s="1"/>
  <c r="P947" i="3"/>
  <c r="R962" i="3"/>
  <c r="AQ962" i="3" s="1"/>
  <c r="P978" i="3"/>
  <c r="AC978" i="3" s="1"/>
  <c r="R995" i="3"/>
  <c r="AQ995" i="3" s="1"/>
  <c r="R1012" i="3"/>
  <c r="AQ1012" i="3" s="1"/>
  <c r="R1027" i="3"/>
  <c r="AQ1027" i="3" s="1"/>
  <c r="R1044" i="3"/>
  <c r="AQ1044" i="3" s="1"/>
  <c r="R1059" i="3"/>
  <c r="AQ1059" i="3" s="1"/>
  <c r="P1075" i="3"/>
  <c r="R1092" i="3"/>
  <c r="AQ1092" i="3" s="1"/>
  <c r="O1108" i="3"/>
  <c r="P1125" i="3"/>
  <c r="R1140" i="3"/>
  <c r="AQ1140" i="3" s="1"/>
  <c r="P1156" i="3"/>
  <c r="Q1173" i="3"/>
  <c r="O1189" i="3"/>
  <c r="P1205" i="3"/>
  <c r="O1220" i="3"/>
  <c r="U1220" i="3" s="1"/>
  <c r="Q1237" i="3"/>
  <c r="P1255" i="3"/>
  <c r="P1271" i="3"/>
  <c r="R1287" i="3"/>
  <c r="R1303" i="3"/>
  <c r="O1318" i="3"/>
  <c r="O1335" i="3"/>
  <c r="U1335" i="3" s="1"/>
  <c r="R1351" i="3"/>
  <c r="P1366" i="3"/>
  <c r="Q1381" i="3"/>
  <c r="R1398" i="3"/>
  <c r="R26" i="3"/>
  <c r="AQ26" i="3" s="1"/>
  <c r="P612" i="3"/>
  <c r="R750" i="3"/>
  <c r="AQ750" i="3" s="1"/>
  <c r="Q815" i="3"/>
  <c r="P836" i="3"/>
  <c r="AC836" i="3" s="1"/>
  <c r="O852" i="3"/>
  <c r="O869" i="3"/>
  <c r="O884" i="3"/>
  <c r="U884" i="3" s="1"/>
  <c r="R900" i="3"/>
  <c r="AQ900" i="3" s="1"/>
  <c r="R916" i="3"/>
  <c r="AQ916" i="3" s="1"/>
  <c r="P932" i="3"/>
  <c r="R949" i="3"/>
  <c r="AQ949" i="3" s="1"/>
  <c r="P965" i="3"/>
  <c r="R980" i="3"/>
  <c r="AQ980" i="3" s="1"/>
  <c r="P996" i="3"/>
  <c r="AC996" i="3" s="1"/>
  <c r="P1011" i="3"/>
  <c r="P1028" i="3"/>
  <c r="AC1028" i="3" s="1"/>
  <c r="P1043" i="3"/>
  <c r="P1060" i="3"/>
  <c r="AC1060" i="3" s="1"/>
  <c r="R1075" i="3"/>
  <c r="AQ1075" i="3" s="1"/>
  <c r="P1091" i="3"/>
  <c r="AC1091" i="3" s="1"/>
  <c r="Q1106" i="3"/>
  <c r="R1123" i="3"/>
  <c r="AQ1123" i="3" s="1"/>
  <c r="P1139" i="3"/>
  <c r="R1154" i="3"/>
  <c r="AQ1154" i="3" s="1"/>
  <c r="P1170" i="3"/>
  <c r="Q1187" i="3"/>
  <c r="P1202" i="3"/>
  <c r="AC1202" i="3" s="1"/>
  <c r="Q1220" i="3"/>
  <c r="P1236" i="3"/>
  <c r="AC1236" i="3" s="1"/>
  <c r="P1252" i="3"/>
  <c r="P1268" i="3"/>
  <c r="AC1268" i="3" s="1"/>
  <c r="P1286" i="3"/>
  <c r="P1302" i="3"/>
  <c r="AC1302" i="3" s="1"/>
  <c r="Q1318" i="3"/>
  <c r="Q1335" i="3"/>
  <c r="P1350" i="3"/>
  <c r="AC1350" i="3" s="1"/>
  <c r="O1365" i="3"/>
  <c r="U1365" i="3" s="1"/>
  <c r="O1380" i="3"/>
  <c r="U1380" i="3" s="1"/>
  <c r="P1395" i="3"/>
  <c r="O160" i="3"/>
  <c r="U160" i="3" s="1"/>
  <c r="P641" i="3"/>
  <c r="P768" i="3"/>
  <c r="AC768" i="3" s="1"/>
  <c r="P820" i="3"/>
  <c r="AC820" i="3" s="1"/>
  <c r="Q838" i="3"/>
  <c r="O854" i="3"/>
  <c r="P871" i="3"/>
  <c r="O848" i="3"/>
  <c r="P924" i="3"/>
  <c r="P986" i="3"/>
  <c r="Q1054" i="3"/>
  <c r="R1115" i="3"/>
  <c r="AQ1115" i="3" s="1"/>
  <c r="R1173" i="3"/>
  <c r="Q1213" i="3"/>
  <c r="Q1265" i="3"/>
  <c r="O1304" i="3"/>
  <c r="P1343" i="3"/>
  <c r="AC1343" i="3" s="1"/>
  <c r="P1382" i="3"/>
  <c r="Q1411" i="3"/>
  <c r="O1427" i="3"/>
  <c r="O1444" i="3"/>
  <c r="Q1458" i="3"/>
  <c r="R878" i="3"/>
  <c r="AQ878" i="3" s="1"/>
  <c r="P940" i="3"/>
  <c r="AC940" i="3" s="1"/>
  <c r="O1002" i="3"/>
  <c r="P1070" i="3"/>
  <c r="AC1070" i="3" s="1"/>
  <c r="R1131" i="3"/>
  <c r="AQ1131" i="3" s="1"/>
  <c r="Q1184" i="3"/>
  <c r="O1224" i="3"/>
  <c r="U1224" i="3" s="1"/>
  <c r="P1261" i="3"/>
  <c r="AC1261" i="3" s="1"/>
  <c r="Q1304" i="3"/>
  <c r="O1354" i="3"/>
  <c r="P1386" i="3"/>
  <c r="O1416" i="3"/>
  <c r="R1432" i="3"/>
  <c r="Q1449" i="3"/>
  <c r="O1466" i="3"/>
  <c r="R1395" i="3"/>
  <c r="AA1395" i="3" s="1"/>
  <c r="R1459" i="3"/>
  <c r="AA1459" i="3" s="1"/>
  <c r="P1068" i="3"/>
  <c r="AC1068" i="3" s="1"/>
  <c r="P1232" i="3"/>
  <c r="P1417" i="3"/>
  <c r="AC1417" i="3" s="1"/>
  <c r="Q624" i="3"/>
  <c r="Q902" i="3"/>
  <c r="O965" i="3"/>
  <c r="O1026" i="3"/>
  <c r="O1087" i="3"/>
  <c r="Q1156" i="3"/>
  <c r="R1204" i="3"/>
  <c r="Q1252" i="3"/>
  <c r="Q1295" i="3"/>
  <c r="Q1334" i="3"/>
  <c r="R1371" i="3"/>
  <c r="AA1371" i="3" s="1"/>
  <c r="R1401" i="3"/>
  <c r="AA1401" i="3" s="1"/>
  <c r="R1421" i="3"/>
  <c r="AA1421" i="3" s="1"/>
  <c r="O745" i="3"/>
  <c r="P134" i="3"/>
  <c r="AC134" i="3" s="1"/>
  <c r="P566" i="3"/>
  <c r="AC566" i="3" s="1"/>
  <c r="R634" i="3"/>
  <c r="AQ634" i="3" s="1"/>
  <c r="P697" i="3"/>
  <c r="AC697" i="3" s="1"/>
  <c r="P761" i="3"/>
  <c r="AC761" i="3" s="1"/>
  <c r="O824" i="3"/>
  <c r="Q504" i="3"/>
  <c r="O615" i="3"/>
  <c r="U615" i="3" s="1"/>
  <c r="Q679" i="3"/>
  <c r="Q743" i="3"/>
  <c r="P806" i="3"/>
  <c r="R463" i="3"/>
  <c r="AQ463" i="3" s="1"/>
  <c r="P613" i="3"/>
  <c r="R677" i="3"/>
  <c r="AQ677" i="3" s="1"/>
  <c r="R741" i="3"/>
  <c r="AQ741" i="3" s="1"/>
  <c r="Q804" i="3"/>
  <c r="R350" i="3"/>
  <c r="AQ350" i="3" s="1"/>
  <c r="P596" i="3"/>
  <c r="O660" i="3"/>
  <c r="O724" i="3"/>
  <c r="R769" i="3"/>
  <c r="AQ769" i="3" s="1"/>
  <c r="Q785" i="3"/>
  <c r="R802" i="3"/>
  <c r="AQ802" i="3" s="1"/>
  <c r="P112" i="3"/>
  <c r="AC112" i="3" s="1"/>
  <c r="R245" i="3"/>
  <c r="AQ245" i="3" s="1"/>
  <c r="O382" i="3"/>
  <c r="P507" i="3"/>
  <c r="AC507" i="3" s="1"/>
  <c r="P560" i="3"/>
  <c r="AC560" i="3" s="1"/>
  <c r="R584" i="3"/>
  <c r="AQ584" i="3" s="1"/>
  <c r="P600" i="3"/>
  <c r="AC600" i="3" s="1"/>
  <c r="P617" i="3"/>
  <c r="AC617" i="3" s="1"/>
  <c r="R630" i="3"/>
  <c r="AQ630" i="3" s="1"/>
  <c r="P648" i="3"/>
  <c r="AC648" i="3" s="1"/>
  <c r="P664" i="3"/>
  <c r="AC664" i="3" s="1"/>
  <c r="P680" i="3"/>
  <c r="AC680" i="3" s="1"/>
  <c r="P696" i="3"/>
  <c r="AC696" i="3" s="1"/>
  <c r="P712" i="3"/>
  <c r="AC712" i="3" s="1"/>
  <c r="P728" i="3"/>
  <c r="AC728" i="3" s="1"/>
  <c r="P744" i="3"/>
  <c r="AC744" i="3" s="1"/>
  <c r="P760" i="3"/>
  <c r="AC760" i="3" s="1"/>
  <c r="R777" i="3"/>
  <c r="AQ777" i="3" s="1"/>
  <c r="Q793" i="3"/>
  <c r="O809" i="3"/>
  <c r="U809" i="3" s="1"/>
  <c r="Q9" i="3"/>
  <c r="R143" i="3"/>
  <c r="AQ143" i="3" s="1"/>
  <c r="O263" i="3"/>
  <c r="U263" i="3" s="1"/>
  <c r="R383" i="3"/>
  <c r="AQ383" i="3" s="1"/>
  <c r="Q508" i="3"/>
  <c r="R560" i="3"/>
  <c r="AQ560" i="3" s="1"/>
  <c r="O583" i="3"/>
  <c r="U583" i="3" s="1"/>
  <c r="Q600" i="3"/>
  <c r="Q617" i="3"/>
  <c r="O634" i="3"/>
  <c r="Q648" i="3"/>
  <c r="Q664" i="3"/>
  <c r="Q680" i="3"/>
  <c r="Q696" i="3"/>
  <c r="Q712" i="3"/>
  <c r="Q728" i="3"/>
  <c r="Q744" i="3"/>
  <c r="Q760" i="3"/>
  <c r="R516" i="3"/>
  <c r="AQ516" i="3" s="1"/>
  <c r="R674" i="3"/>
  <c r="AQ674" i="3" s="1"/>
  <c r="P784" i="3"/>
  <c r="AC784" i="3" s="1"/>
  <c r="R826" i="3"/>
  <c r="AQ826" i="3" s="1"/>
  <c r="R842" i="3"/>
  <c r="AQ842" i="3" s="1"/>
  <c r="P858" i="3"/>
  <c r="AC858" i="3" s="1"/>
  <c r="P875" i="3"/>
  <c r="AC875" i="3" s="1"/>
  <c r="P890" i="3"/>
  <c r="P905" i="3"/>
  <c r="AC905" i="3" s="1"/>
  <c r="O921" i="3"/>
  <c r="U921" i="3" s="1"/>
  <c r="Q936" i="3"/>
  <c r="O952" i="3"/>
  <c r="Q969" i="3"/>
  <c r="O985" i="3"/>
  <c r="U985" i="3" s="1"/>
  <c r="Q1000" i="3"/>
  <c r="R1015" i="3"/>
  <c r="AQ1015" i="3" s="1"/>
  <c r="Q1032" i="3"/>
  <c r="R1047" i="3"/>
  <c r="AQ1047" i="3" s="1"/>
  <c r="Q1064" i="3"/>
  <c r="O1080" i="3"/>
  <c r="U1080" i="3" s="1"/>
  <c r="Q1095" i="3"/>
  <c r="R1110" i="3"/>
  <c r="AQ1110" i="3" s="1"/>
  <c r="P1126" i="3"/>
  <c r="AC1126" i="3" s="1"/>
  <c r="R1143" i="3"/>
  <c r="AQ1143" i="3" s="1"/>
  <c r="P1159" i="3"/>
  <c r="AC1159" i="3" s="1"/>
  <c r="Q1174" i="3"/>
  <c r="Q1191" i="3"/>
  <c r="P1206" i="3"/>
  <c r="R1224" i="3"/>
  <c r="AA1224" i="3" s="1"/>
  <c r="Q1238" i="3"/>
  <c r="R1252" i="3"/>
  <c r="R1268" i="3"/>
  <c r="AA1268" i="3" s="1"/>
  <c r="O1285" i="3"/>
  <c r="O1301" i="3"/>
  <c r="P1317" i="3"/>
  <c r="AC1317" i="3" s="1"/>
  <c r="P1332" i="3"/>
  <c r="AC1332" i="3" s="1"/>
  <c r="O1349" i="3"/>
  <c r="O72" i="3"/>
  <c r="U72" i="3" s="1"/>
  <c r="R617" i="3"/>
  <c r="AQ617" i="3" s="1"/>
  <c r="R740" i="3"/>
  <c r="AQ740" i="3" s="1"/>
  <c r="P817" i="3"/>
  <c r="O837" i="3"/>
  <c r="R852" i="3"/>
  <c r="AQ852" i="3" s="1"/>
  <c r="R869" i="3"/>
  <c r="AQ869" i="3" s="1"/>
  <c r="R884" i="3"/>
  <c r="AQ884" i="3" s="1"/>
  <c r="Q901" i="3"/>
  <c r="Q917" i="3"/>
  <c r="O933" i="3"/>
  <c r="Q948" i="3"/>
  <c r="O964" i="3"/>
  <c r="Q981" i="3"/>
  <c r="O997" i="3"/>
  <c r="O1012" i="3"/>
  <c r="O1029" i="3"/>
  <c r="O1044" i="3"/>
  <c r="O1061" i="3"/>
  <c r="Q1078" i="3"/>
  <c r="O1094" i="3"/>
  <c r="P1109" i="3"/>
  <c r="Q1126" i="3"/>
  <c r="O1142" i="3"/>
  <c r="Q1159" i="3"/>
  <c r="R1176" i="3"/>
  <c r="AA1176" i="3" s="1"/>
  <c r="R1191" i="3"/>
  <c r="Q1208" i="3"/>
  <c r="O1223" i="3"/>
  <c r="U1223" i="3" s="1"/>
  <c r="R1240" i="3"/>
  <c r="AA1240" i="3" s="1"/>
  <c r="P1258" i="3"/>
  <c r="P1274" i="3"/>
  <c r="Q1292" i="3"/>
  <c r="Q1308" i="3"/>
  <c r="P1323" i="3"/>
  <c r="AC1323" i="3" s="1"/>
  <c r="P1338" i="3"/>
  <c r="O1355" i="3"/>
  <c r="U1355" i="3" s="1"/>
  <c r="Q1369" i="3"/>
  <c r="R1384" i="3"/>
  <c r="AA1384" i="3" s="1"/>
  <c r="R1399" i="3"/>
  <c r="AA1399" i="3" s="1"/>
  <c r="O87" i="3"/>
  <c r="U87" i="3" s="1"/>
  <c r="R646" i="3"/>
  <c r="AQ646" i="3" s="1"/>
  <c r="P770" i="3"/>
  <c r="P825" i="3"/>
  <c r="P841" i="3"/>
  <c r="R856" i="3"/>
  <c r="AQ856" i="3" s="1"/>
  <c r="O872" i="3"/>
  <c r="O889" i="3"/>
  <c r="R905" i="3"/>
  <c r="AQ905" i="3" s="1"/>
  <c r="Q921" i="3"/>
  <c r="O937" i="3"/>
  <c r="Q952" i="3"/>
  <c r="O968" i="3"/>
  <c r="Q985" i="3"/>
  <c r="R1002" i="3"/>
  <c r="AQ1002" i="3" s="1"/>
  <c r="R1017" i="3"/>
  <c r="AQ1017" i="3" s="1"/>
  <c r="R1034" i="3"/>
  <c r="AQ1034" i="3" s="1"/>
  <c r="R1049" i="3"/>
  <c r="AQ1049" i="3" s="1"/>
  <c r="O1065" i="3"/>
  <c r="Q1082" i="3"/>
  <c r="O1098" i="3"/>
  <c r="O1115" i="3"/>
  <c r="Q1130" i="3"/>
  <c r="O1146" i="3"/>
  <c r="Q1163" i="3"/>
  <c r="O591" i="3"/>
  <c r="U591" i="3" s="1"/>
  <c r="R712" i="3"/>
  <c r="AQ712" i="3" s="1"/>
  <c r="P803" i="3"/>
  <c r="Q831" i="3"/>
  <c r="Q847" i="3"/>
  <c r="Q862" i="3"/>
  <c r="R879" i="3"/>
  <c r="AQ879" i="3" s="1"/>
  <c r="P894" i="3"/>
  <c r="O910" i="3"/>
  <c r="R927" i="3"/>
  <c r="AQ927" i="3" s="1"/>
  <c r="P943" i="3"/>
  <c r="AC943" i="3" s="1"/>
  <c r="R958" i="3"/>
  <c r="AQ958" i="3" s="1"/>
  <c r="P974" i="3"/>
  <c r="R991" i="3"/>
  <c r="AQ991" i="3" s="1"/>
  <c r="O1007" i="3"/>
  <c r="O1022" i="3"/>
  <c r="O1039" i="3"/>
  <c r="O1054" i="3"/>
  <c r="O1071" i="3"/>
  <c r="Q1088" i="3"/>
  <c r="R1103" i="3"/>
  <c r="AQ1103" i="3" s="1"/>
  <c r="O1119" i="3"/>
  <c r="R1134" i="3"/>
  <c r="AQ1134" i="3" s="1"/>
  <c r="P1150" i="3"/>
  <c r="AC1150" i="3" s="1"/>
  <c r="R1167" i="3"/>
  <c r="AQ1167" i="3" s="1"/>
  <c r="R1184" i="3"/>
  <c r="Q1199" i="3"/>
  <c r="P1216" i="3"/>
  <c r="O1234" i="3"/>
  <c r="O1248" i="3"/>
  <c r="O1264" i="3"/>
  <c r="P1280" i="3"/>
  <c r="AC1280" i="3" s="1"/>
  <c r="P1298" i="3"/>
  <c r="AC1298" i="3" s="1"/>
  <c r="P1314" i="3"/>
  <c r="AC1314" i="3" s="1"/>
  <c r="P1331" i="3"/>
  <c r="AC1331" i="3" s="1"/>
  <c r="P1346" i="3"/>
  <c r="R1360" i="3"/>
  <c r="AA1360" i="3" s="1"/>
  <c r="P1377" i="3"/>
  <c r="AC1377" i="3" s="1"/>
  <c r="Q1394" i="3"/>
  <c r="Q1409" i="3"/>
  <c r="R608" i="3"/>
  <c r="AQ608" i="3" s="1"/>
  <c r="R746" i="3"/>
  <c r="AQ746" i="3" s="1"/>
  <c r="R814" i="3"/>
  <c r="AQ814" i="3" s="1"/>
  <c r="R835" i="3"/>
  <c r="AQ835" i="3" s="1"/>
  <c r="R851" i="3"/>
  <c r="AQ851" i="3" s="1"/>
  <c r="R866" i="3"/>
  <c r="AQ866" i="3" s="1"/>
  <c r="R883" i="3"/>
  <c r="AQ883" i="3" s="1"/>
  <c r="P900" i="3"/>
  <c r="P916" i="3"/>
  <c r="AC916" i="3" s="1"/>
  <c r="R933" i="3"/>
  <c r="AQ933" i="3" s="1"/>
  <c r="P949" i="3"/>
  <c r="AC949" i="3" s="1"/>
  <c r="R964" i="3"/>
  <c r="AQ964" i="3" s="1"/>
  <c r="P980" i="3"/>
  <c r="R997" i="3"/>
  <c r="AQ997" i="3" s="1"/>
  <c r="R1014" i="3"/>
  <c r="AQ1014" i="3" s="1"/>
  <c r="R1029" i="3"/>
  <c r="AQ1029" i="3" s="1"/>
  <c r="R1046" i="3"/>
  <c r="AQ1046" i="3" s="1"/>
  <c r="R1061" i="3"/>
  <c r="AQ1061" i="3" s="1"/>
  <c r="P1077" i="3"/>
  <c r="AC1077" i="3" s="1"/>
  <c r="R1094" i="3"/>
  <c r="AQ1094" i="3" s="1"/>
  <c r="Q1111" i="3"/>
  <c r="P1127" i="3"/>
  <c r="R1142" i="3"/>
  <c r="AQ1142" i="3" s="1"/>
  <c r="P1158" i="3"/>
  <c r="Q1175" i="3"/>
  <c r="R1190" i="3"/>
  <c r="P1207" i="3"/>
  <c r="O1222" i="3"/>
  <c r="U1222" i="3" s="1"/>
  <c r="Q1239" i="3"/>
  <c r="O1257" i="3"/>
  <c r="O1273" i="3"/>
  <c r="Q1289" i="3"/>
  <c r="Q1305" i="3"/>
  <c r="O1320" i="3"/>
  <c r="O1337" i="3"/>
  <c r="U1337" i="3" s="1"/>
  <c r="R1353" i="3"/>
  <c r="AA1353" i="3" s="1"/>
  <c r="P1368" i="3"/>
  <c r="Q1383" i="3"/>
  <c r="Q1400" i="3"/>
  <c r="P145" i="3"/>
  <c r="AC145" i="3" s="1"/>
  <c r="R639" i="3"/>
  <c r="AQ639" i="3" s="1"/>
  <c r="Q766" i="3"/>
  <c r="Q819" i="3"/>
  <c r="P838" i="3"/>
  <c r="AC838" i="3" s="1"/>
  <c r="R855" i="3"/>
  <c r="AQ855" i="3" s="1"/>
  <c r="O871" i="3"/>
  <c r="O886" i="3"/>
  <c r="R902" i="3"/>
  <c r="AQ902" i="3" s="1"/>
  <c r="R918" i="3"/>
  <c r="AQ918" i="3" s="1"/>
  <c r="P934" i="3"/>
  <c r="AC934" i="3" s="1"/>
  <c r="R951" i="3"/>
  <c r="AQ951" i="3" s="1"/>
  <c r="P967" i="3"/>
  <c r="AC967" i="3" s="1"/>
  <c r="R982" i="3"/>
  <c r="AQ982" i="3" s="1"/>
  <c r="P998" i="3"/>
  <c r="AC998" i="3" s="1"/>
  <c r="P1013" i="3"/>
  <c r="AC1013" i="3" s="1"/>
  <c r="P1030" i="3"/>
  <c r="AC1030" i="3" s="1"/>
  <c r="P1045" i="3"/>
  <c r="AC1045" i="3" s="1"/>
  <c r="P1062" i="3"/>
  <c r="R1077" i="3"/>
  <c r="AQ1077" i="3" s="1"/>
  <c r="P1093" i="3"/>
  <c r="AC1093" i="3" s="1"/>
  <c r="Q1108" i="3"/>
  <c r="R1125" i="3"/>
  <c r="AQ1125" i="3" s="1"/>
  <c r="P1141" i="3"/>
  <c r="R1156" i="3"/>
  <c r="AQ1156" i="3" s="1"/>
  <c r="P1172" i="3"/>
  <c r="AC1172" i="3" s="1"/>
  <c r="Q1189" i="3"/>
  <c r="R1205" i="3"/>
  <c r="AA1205" i="3" s="1"/>
  <c r="Q1222" i="3"/>
  <c r="O1238" i="3"/>
  <c r="U1238" i="3" s="1"/>
  <c r="R1255" i="3"/>
  <c r="AA1255" i="3" s="1"/>
  <c r="R1271" i="3"/>
  <c r="AA1271" i="3" s="1"/>
  <c r="P1288" i="3"/>
  <c r="P1304" i="3"/>
  <c r="Q1320" i="3"/>
  <c r="Q1337" i="3"/>
  <c r="P1352" i="3"/>
  <c r="R1366" i="3"/>
  <c r="AA1366" i="3" s="1"/>
  <c r="O1382" i="3"/>
  <c r="P1397" i="3"/>
  <c r="AC1397" i="3" s="1"/>
  <c r="P280" i="3"/>
  <c r="AC280" i="3" s="1"/>
  <c r="R656" i="3"/>
  <c r="AQ656" i="3" s="1"/>
  <c r="O776" i="3"/>
  <c r="P824" i="3"/>
  <c r="Q840" i="3"/>
  <c r="O856" i="3"/>
  <c r="P873" i="3"/>
  <c r="O863" i="3"/>
  <c r="O932" i="3"/>
  <c r="O994" i="3"/>
  <c r="O1062" i="3"/>
  <c r="Q1123" i="3"/>
  <c r="R1178" i="3"/>
  <c r="AA1178" i="3" s="1"/>
  <c r="R1218" i="3"/>
  <c r="O1270" i="3"/>
  <c r="R1308" i="3"/>
  <c r="Q1348" i="3"/>
  <c r="O1386" i="3"/>
  <c r="O1414" i="3"/>
  <c r="R1430" i="3"/>
  <c r="AA1430" i="3" s="1"/>
  <c r="R1445" i="3"/>
  <c r="Q1460" i="3"/>
  <c r="Q11" i="3"/>
  <c r="P886" i="3"/>
  <c r="O948" i="3"/>
  <c r="Q1009" i="3"/>
  <c r="O1078" i="3"/>
  <c r="Q1139" i="3"/>
  <c r="R1189" i="3"/>
  <c r="R1228" i="3"/>
  <c r="AA1228" i="3" s="1"/>
  <c r="P1266" i="3"/>
  <c r="P1309" i="3"/>
  <c r="Q1358" i="3"/>
  <c r="P1390" i="3"/>
  <c r="R1417" i="3"/>
  <c r="AA1417" i="3" s="1"/>
  <c r="R1434" i="3"/>
  <c r="AA1434" i="3" s="1"/>
  <c r="Q1451" i="3"/>
  <c r="O1407" i="3"/>
  <c r="O1467" i="3"/>
  <c r="R1083" i="3"/>
  <c r="AQ1083" i="3" s="1"/>
  <c r="P1260" i="3"/>
  <c r="R1428" i="3"/>
  <c r="AA1428" i="3" s="1"/>
  <c r="R748" i="3"/>
  <c r="AQ748" i="3" s="1"/>
  <c r="Q910" i="3"/>
  <c r="R972" i="3"/>
  <c r="AQ972" i="3" s="1"/>
  <c r="Q1033" i="3"/>
  <c r="Q1102" i="3"/>
  <c r="P1164" i="3"/>
  <c r="AC1164" i="3" s="1"/>
  <c r="O1210" i="3"/>
  <c r="U1210" i="3" s="1"/>
  <c r="P1257" i="3"/>
  <c r="Q1300" i="3"/>
  <c r="R1339" i="3"/>
  <c r="Q797" i="3"/>
  <c r="P1467" i="3"/>
  <c r="R1452" i="3"/>
  <c r="AA1452" i="3" s="1"/>
  <c r="O1436" i="3"/>
  <c r="U1436" i="3" s="1"/>
  <c r="O1419" i="3"/>
  <c r="U1419" i="3" s="1"/>
  <c r="P1396" i="3"/>
  <c r="O1352" i="3"/>
  <c r="P1312" i="3"/>
  <c r="R1273" i="3"/>
  <c r="AA1273" i="3" s="1"/>
  <c r="Q1231" i="3"/>
  <c r="Q1192" i="3"/>
  <c r="O1145" i="3"/>
  <c r="P1083" i="3"/>
  <c r="AC1083" i="3" s="1"/>
  <c r="Q1022" i="3"/>
  <c r="P953" i="3"/>
  <c r="AC953" i="3" s="1"/>
  <c r="Q891" i="3"/>
  <c r="Q1352" i="3"/>
  <c r="P1099" i="3"/>
  <c r="P1369" i="3"/>
  <c r="AC1369" i="3" s="1"/>
  <c r="Q1311" i="3"/>
  <c r="P1273" i="3"/>
  <c r="Q1235" i="3"/>
  <c r="Q1196" i="3"/>
  <c r="Q1143" i="3"/>
  <c r="R1081" i="3"/>
  <c r="AQ1081" i="3" s="1"/>
  <c r="O1021" i="3"/>
  <c r="R959" i="3"/>
  <c r="AQ959" i="3" s="1"/>
  <c r="O890" i="3"/>
  <c r="P486" i="3"/>
  <c r="AC486" i="3" s="1"/>
  <c r="O1289" i="3"/>
  <c r="O1053" i="3"/>
  <c r="U1053" i="3" s="1"/>
  <c r="P1388" i="3"/>
  <c r="Q1431" i="3"/>
  <c r="R1416" i="3"/>
  <c r="AA1416" i="3" s="1"/>
  <c r="P1384" i="3"/>
  <c r="O1346" i="3"/>
  <c r="O1292" i="3"/>
  <c r="R1253" i="3"/>
  <c r="O1206" i="3"/>
  <c r="P1166" i="3"/>
  <c r="AC1166" i="3" s="1"/>
  <c r="P1104" i="3"/>
  <c r="O1043" i="3"/>
  <c r="Q982" i="3"/>
  <c r="Q912" i="3"/>
  <c r="P823" i="3"/>
  <c r="Q1445" i="3"/>
  <c r="R1317" i="3"/>
  <c r="AA1317" i="3" s="1"/>
  <c r="O1173" i="3"/>
  <c r="R953" i="3"/>
  <c r="AQ953" i="3" s="1"/>
  <c r="R1435" i="3"/>
  <c r="AA1435" i="3" s="1"/>
  <c r="O1439" i="3"/>
  <c r="U1439" i="3" s="1"/>
  <c r="O1452" i="3"/>
  <c r="U1452" i="3" s="1"/>
  <c r="R1423" i="3"/>
  <c r="AA1423" i="3" s="1"/>
  <c r="O1395" i="3"/>
  <c r="R1359" i="3"/>
  <c r="AA1359" i="3" s="1"/>
  <c r="P1320" i="3"/>
  <c r="O1277" i="3"/>
  <c r="U1277" i="3" s="1"/>
  <c r="O1239" i="3"/>
  <c r="Q1200" i="3"/>
  <c r="P1149" i="3"/>
  <c r="AC1149" i="3" s="1"/>
  <c r="R1079" i="3"/>
  <c r="AQ1079" i="3" s="1"/>
  <c r="O1019" i="3"/>
  <c r="U1019" i="3" s="1"/>
  <c r="R957" i="3"/>
  <c r="AQ957" i="3" s="1"/>
  <c r="P895" i="3"/>
  <c r="R637" i="3"/>
  <c r="AQ637" i="3" s="1"/>
  <c r="O1208" i="3"/>
  <c r="Q1410" i="3"/>
  <c r="R1442" i="3"/>
  <c r="AA1442" i="3" s="1"/>
  <c r="R1447" i="3"/>
  <c r="Q1414" i="3"/>
  <c r="R1314" i="3"/>
  <c r="AA1314" i="3" s="1"/>
  <c r="Q1125" i="3"/>
  <c r="O867" i="3"/>
  <c r="R922" i="3"/>
  <c r="AQ922" i="3" s="1"/>
  <c r="P1440" i="3"/>
  <c r="AC1440" i="3" s="1"/>
  <c r="O1324" i="3"/>
  <c r="R1162" i="3"/>
  <c r="AQ1162" i="3" s="1"/>
  <c r="O909" i="3"/>
  <c r="P1451" i="3"/>
  <c r="AC1451" i="3" s="1"/>
  <c r="O1367" i="3"/>
  <c r="R1193" i="3"/>
  <c r="AA1193" i="3" s="1"/>
  <c r="P955" i="3"/>
  <c r="AC955" i="3" s="1"/>
  <c r="Q846" i="3"/>
  <c r="O561" i="3"/>
  <c r="U561" i="3" s="1"/>
  <c r="R1357" i="3"/>
  <c r="AA1357" i="3" s="1"/>
  <c r="P1295" i="3"/>
  <c r="P1229" i="3"/>
  <c r="AC1229" i="3" s="1"/>
  <c r="Q1162" i="3"/>
  <c r="O1099" i="3"/>
  <c r="R1020" i="3"/>
  <c r="AQ1020" i="3" s="1"/>
  <c r="C9" i="1"/>
  <c r="E13" i="1"/>
  <c r="F7" i="1"/>
  <c r="E7" i="1"/>
  <c r="C11" i="1"/>
  <c r="B8" i="1"/>
  <c r="E5" i="1"/>
  <c r="B10" i="1"/>
  <c r="C12" i="1"/>
  <c r="B7" i="1"/>
  <c r="C6" i="1"/>
  <c r="E8" i="1"/>
  <c r="B6" i="1"/>
  <c r="E12" i="1"/>
  <c r="E15" i="1"/>
  <c r="B2" i="1"/>
  <c r="C10" i="1"/>
  <c r="E4" i="1"/>
  <c r="F11" i="1"/>
  <c r="J2" i="1"/>
  <c r="E14" i="1"/>
  <c r="F8" i="1"/>
  <c r="B9" i="1"/>
  <c r="F10" i="1"/>
  <c r="C15" i="1"/>
  <c r="C5" i="1"/>
  <c r="E6" i="1"/>
  <c r="F9" i="1"/>
  <c r="B11" i="1"/>
  <c r="C14" i="1"/>
  <c r="C13" i="1"/>
  <c r="C4" i="1"/>
  <c r="B15" i="1"/>
  <c r="B12" i="1"/>
  <c r="C7" i="1"/>
  <c r="E10" i="1"/>
  <c r="E9" i="1"/>
  <c r="F12" i="1"/>
  <c r="B13" i="1"/>
  <c r="B4" i="1"/>
  <c r="E11" i="1"/>
  <c r="F14" i="1"/>
  <c r="F13" i="1"/>
  <c r="F4" i="1"/>
  <c r="B14" i="1"/>
  <c r="B5" i="1"/>
  <c r="C8" i="1"/>
  <c r="F15" i="1"/>
  <c r="F6" i="1"/>
  <c r="F5" i="1"/>
  <c r="E2" i="1"/>
  <c r="AN7" i="3"/>
  <c r="AN71" i="3"/>
  <c r="AN135" i="3"/>
  <c r="AN199" i="3"/>
  <c r="AN263" i="3"/>
  <c r="AN327" i="3"/>
  <c r="AN391" i="3"/>
  <c r="AN455" i="3"/>
  <c r="AN519" i="3"/>
  <c r="AN583" i="3"/>
  <c r="AN64" i="3"/>
  <c r="AN128" i="3"/>
  <c r="AN192" i="3"/>
  <c r="AN256" i="3"/>
  <c r="AN320" i="3"/>
  <c r="AN384" i="3"/>
  <c r="AN448" i="3"/>
  <c r="AN512" i="3"/>
  <c r="AN576" i="3"/>
  <c r="AN25" i="3"/>
  <c r="AN89" i="3"/>
  <c r="AN153" i="3"/>
  <c r="AN217" i="3"/>
  <c r="AN281" i="3"/>
  <c r="AN345" i="3"/>
  <c r="AN409" i="3"/>
  <c r="AN473" i="3"/>
  <c r="AN537" i="3"/>
  <c r="AN601" i="3"/>
  <c r="AN665" i="3"/>
  <c r="AN59" i="3"/>
  <c r="AN123" i="3"/>
  <c r="AN187" i="3"/>
  <c r="AN251" i="3"/>
  <c r="AN315" i="3"/>
  <c r="AN379" i="3"/>
  <c r="AN443" i="3"/>
  <c r="AN507" i="3"/>
  <c r="AN571" i="3"/>
  <c r="AN12" i="3"/>
  <c r="AN76" i="3"/>
  <c r="AN140" i="3"/>
  <c r="AN204" i="3"/>
  <c r="AN268" i="3"/>
  <c r="AN332" i="3"/>
  <c r="AN396" i="3"/>
  <c r="AN460" i="3"/>
  <c r="AN524" i="3"/>
  <c r="AN588" i="3"/>
  <c r="AN652" i="3"/>
  <c r="AN74" i="3"/>
  <c r="AN245" i="3"/>
  <c r="AN414" i="3"/>
  <c r="AN586" i="3"/>
  <c r="AN683" i="3"/>
  <c r="AN748" i="3"/>
  <c r="AN812" i="3"/>
  <c r="AN876" i="3"/>
  <c r="AN940" i="3"/>
  <c r="AN1004" i="3"/>
  <c r="AN1068" i="3"/>
  <c r="AN141" i="3"/>
  <c r="AN310" i="3"/>
  <c r="AN482" i="3"/>
  <c r="AN632" i="3"/>
  <c r="AN709" i="3"/>
  <c r="AN773" i="3"/>
  <c r="AN837" i="3"/>
  <c r="AN901" i="3"/>
  <c r="AN965" i="3"/>
  <c r="AN1029" i="3"/>
  <c r="AN37" i="3"/>
  <c r="AN206" i="3"/>
  <c r="AN378" i="3"/>
  <c r="AN549" i="3"/>
  <c r="AN666" i="3"/>
  <c r="AN734" i="3"/>
  <c r="AN798" i="3"/>
  <c r="AN15" i="3"/>
  <c r="AN79" i="3"/>
  <c r="AN143" i="3"/>
  <c r="AN207" i="3"/>
  <c r="AN271" i="3"/>
  <c r="AN335" i="3"/>
  <c r="AN399" i="3"/>
  <c r="AN463" i="3"/>
  <c r="AN527" i="3"/>
  <c r="AN8" i="3"/>
  <c r="AN72" i="3"/>
  <c r="AN136" i="3"/>
  <c r="AN200" i="3"/>
  <c r="AN264" i="3"/>
  <c r="AN328" i="3"/>
  <c r="AN392" i="3"/>
  <c r="AN456" i="3"/>
  <c r="AN520" i="3"/>
  <c r="AN584" i="3"/>
  <c r="AN33" i="3"/>
  <c r="AN97" i="3"/>
  <c r="AN161" i="3"/>
  <c r="AN225" i="3"/>
  <c r="AN289" i="3"/>
  <c r="AN353" i="3"/>
  <c r="AN417" i="3"/>
  <c r="AN481" i="3"/>
  <c r="AN545" i="3"/>
  <c r="AN609" i="3"/>
  <c r="AN673" i="3"/>
  <c r="AN67" i="3"/>
  <c r="AN131" i="3"/>
  <c r="AN195" i="3"/>
  <c r="AN259" i="3"/>
  <c r="AN323" i="3"/>
  <c r="AN387" i="3"/>
  <c r="AN451" i="3"/>
  <c r="AN515" i="3"/>
  <c r="AN579" i="3"/>
  <c r="AN20" i="3"/>
  <c r="AN84" i="3"/>
  <c r="AN148" i="3"/>
  <c r="AN212" i="3"/>
  <c r="AN276" i="3"/>
  <c r="AN340" i="3"/>
  <c r="AN404" i="3"/>
  <c r="AN468" i="3"/>
  <c r="AN532" i="3"/>
  <c r="AN596" i="3"/>
  <c r="AN660" i="3"/>
  <c r="AN94" i="3"/>
  <c r="AN266" i="3"/>
  <c r="AN437" i="3"/>
  <c r="AN602" i="3"/>
  <c r="AN692" i="3"/>
  <c r="AN756" i="3"/>
  <c r="AN820" i="3"/>
  <c r="AN884" i="3"/>
  <c r="AN948" i="3"/>
  <c r="AN1012" i="3"/>
  <c r="AN1076" i="3"/>
  <c r="AN162" i="3"/>
  <c r="AN333" i="3"/>
  <c r="AN502" i="3"/>
  <c r="AN643" i="3"/>
  <c r="AN717" i="3"/>
  <c r="AN781" i="3"/>
  <c r="AN845" i="3"/>
  <c r="AN909" i="3"/>
  <c r="AN973" i="3"/>
  <c r="AN1037" i="3"/>
  <c r="AN58" i="3"/>
  <c r="AN229" i="3"/>
  <c r="AN398" i="3"/>
  <c r="AN570" i="3"/>
  <c r="AN677" i="3"/>
  <c r="AN742" i="3"/>
  <c r="AN806" i="3"/>
  <c r="AN870" i="3"/>
  <c r="AN934" i="3"/>
  <c r="AN998" i="3"/>
  <c r="AN1062" i="3"/>
  <c r="AN125" i="3"/>
  <c r="AN294" i="3"/>
  <c r="AN466" i="3"/>
  <c r="AN623" i="3"/>
  <c r="AN23" i="3"/>
  <c r="AN87" i="3"/>
  <c r="AN151" i="3"/>
  <c r="AN215" i="3"/>
  <c r="AN279" i="3"/>
  <c r="AN343" i="3"/>
  <c r="AN407" i="3"/>
  <c r="AN471" i="3"/>
  <c r="AN535" i="3"/>
  <c r="AN16" i="3"/>
  <c r="AN80" i="3"/>
  <c r="AN144" i="3"/>
  <c r="AN208" i="3"/>
  <c r="AN272" i="3"/>
  <c r="AN336" i="3"/>
  <c r="AN400" i="3"/>
  <c r="AN464" i="3"/>
  <c r="AN528" i="3"/>
  <c r="AN592" i="3"/>
  <c r="AN41" i="3"/>
  <c r="AN105" i="3"/>
  <c r="AN169" i="3"/>
  <c r="AN233" i="3"/>
  <c r="AN297" i="3"/>
  <c r="AN361" i="3"/>
  <c r="AN425" i="3"/>
  <c r="AN489" i="3"/>
  <c r="AN553" i="3"/>
  <c r="AN617" i="3"/>
  <c r="AN11" i="3"/>
  <c r="AN75" i="3"/>
  <c r="AN139" i="3"/>
  <c r="AN203" i="3"/>
  <c r="AN267" i="3"/>
  <c r="AN331" i="3"/>
  <c r="AN395" i="3"/>
  <c r="AN459" i="3"/>
  <c r="AN523" i="3"/>
  <c r="AN587" i="3"/>
  <c r="AN28" i="3"/>
  <c r="AN92" i="3"/>
  <c r="AN156" i="3"/>
  <c r="AN220" i="3"/>
  <c r="AN284" i="3"/>
  <c r="AN348" i="3"/>
  <c r="AN412" i="3"/>
  <c r="AN476" i="3"/>
  <c r="AN540" i="3"/>
  <c r="AN604" i="3"/>
  <c r="AN668" i="3"/>
  <c r="AN117" i="3"/>
  <c r="AN286" i="3"/>
  <c r="AN458" i="3"/>
  <c r="AN618" i="3"/>
  <c r="AN700" i="3"/>
  <c r="AN764" i="3"/>
  <c r="AN828" i="3"/>
  <c r="AN892" i="3"/>
  <c r="AN956" i="3"/>
  <c r="AN1020" i="3"/>
  <c r="AN13" i="3"/>
  <c r="AN182" i="3"/>
  <c r="AN354" i="3"/>
  <c r="AN525" i="3"/>
  <c r="AN654" i="3"/>
  <c r="AN725" i="3"/>
  <c r="AN789" i="3"/>
  <c r="AN853" i="3"/>
  <c r="AN917" i="3"/>
  <c r="AN981" i="3"/>
  <c r="AN1045" i="3"/>
  <c r="AN78" i="3"/>
  <c r="AN250" i="3"/>
  <c r="AN421" i="3"/>
  <c r="AN590" i="3"/>
  <c r="AN686" i="3"/>
  <c r="AN750" i="3"/>
  <c r="AN814" i="3"/>
  <c r="AN878" i="3"/>
  <c r="AN942" i="3"/>
  <c r="AN1006" i="3"/>
  <c r="AN1070" i="3"/>
  <c r="AN31" i="3"/>
  <c r="AN95" i="3"/>
  <c r="AN159" i="3"/>
  <c r="AN223" i="3"/>
  <c r="AN287" i="3"/>
  <c r="AN351" i="3"/>
  <c r="AN415" i="3"/>
  <c r="AN479" i="3"/>
  <c r="AN543" i="3"/>
  <c r="AN24" i="3"/>
  <c r="AN88" i="3"/>
  <c r="AN152" i="3"/>
  <c r="AN216" i="3"/>
  <c r="AN280" i="3"/>
  <c r="AN344" i="3"/>
  <c r="AN408" i="3"/>
  <c r="AN472" i="3"/>
  <c r="AN536" i="3"/>
  <c r="AN600" i="3"/>
  <c r="AN49" i="3"/>
  <c r="AN113" i="3"/>
  <c r="AN177" i="3"/>
  <c r="AN241" i="3"/>
  <c r="AN305" i="3"/>
  <c r="AN369" i="3"/>
  <c r="AN433" i="3"/>
  <c r="AN497" i="3"/>
  <c r="AN561" i="3"/>
  <c r="AN625" i="3"/>
  <c r="AN19" i="3"/>
  <c r="AN83" i="3"/>
  <c r="AN147" i="3"/>
  <c r="AN211" i="3"/>
  <c r="AN275" i="3"/>
  <c r="AN339" i="3"/>
  <c r="AN403" i="3"/>
  <c r="AN467" i="3"/>
  <c r="AN531" i="3"/>
  <c r="AN595" i="3"/>
  <c r="AN36" i="3"/>
  <c r="AN100" i="3"/>
  <c r="AN164" i="3"/>
  <c r="AN228" i="3"/>
  <c r="AN292" i="3"/>
  <c r="AN356" i="3"/>
  <c r="AN420" i="3"/>
  <c r="AN484" i="3"/>
  <c r="AN548" i="3"/>
  <c r="AN612" i="3"/>
  <c r="AN676" i="3"/>
  <c r="AN138" i="3"/>
  <c r="AN309" i="3"/>
  <c r="AN478" i="3"/>
  <c r="AN631" i="3"/>
  <c r="AN708" i="3"/>
  <c r="AN772" i="3"/>
  <c r="AN836" i="3"/>
  <c r="AN900" i="3"/>
  <c r="AN964" i="3"/>
  <c r="AN1028" i="3"/>
  <c r="AN34" i="3"/>
  <c r="AN205" i="3"/>
  <c r="AN374" i="3"/>
  <c r="AN546" i="3"/>
  <c r="AN664" i="3"/>
  <c r="AN733" i="3"/>
  <c r="AN797" i="3"/>
  <c r="AN861" i="3"/>
  <c r="AN925" i="3"/>
  <c r="AN989" i="3"/>
  <c r="AN1053" i="3"/>
  <c r="AN101" i="3"/>
  <c r="AN270" i="3"/>
  <c r="AN442" i="3"/>
  <c r="AN606" i="3"/>
  <c r="AN694" i="3"/>
  <c r="AN758" i="3"/>
  <c r="AN822" i="3"/>
  <c r="AN886" i="3"/>
  <c r="AN950" i="3"/>
  <c r="AN1014" i="3"/>
  <c r="AN1078" i="3"/>
  <c r="AN166" i="3"/>
  <c r="AN338" i="3"/>
  <c r="AN509" i="3"/>
  <c r="AN39" i="3"/>
  <c r="AN103" i="3"/>
  <c r="AN167" i="3"/>
  <c r="AN231" i="3"/>
  <c r="AN295" i="3"/>
  <c r="AN359" i="3"/>
  <c r="AN423" i="3"/>
  <c r="AN487" i="3"/>
  <c r="AN551" i="3"/>
  <c r="AN32" i="3"/>
  <c r="AN96" i="3"/>
  <c r="AN160" i="3"/>
  <c r="AN224" i="3"/>
  <c r="AN288" i="3"/>
  <c r="AN352" i="3"/>
  <c r="AN416" i="3"/>
  <c r="AN480" i="3"/>
  <c r="AN544" i="3"/>
  <c r="AN608" i="3"/>
  <c r="AN57" i="3"/>
  <c r="AN121" i="3"/>
  <c r="AN185" i="3"/>
  <c r="AN249" i="3"/>
  <c r="AN313" i="3"/>
  <c r="AN377" i="3"/>
  <c r="AN441" i="3"/>
  <c r="AN505" i="3"/>
  <c r="AN569" i="3"/>
  <c r="AN633" i="3"/>
  <c r="AN27" i="3"/>
  <c r="AN91" i="3"/>
  <c r="AN155" i="3"/>
  <c r="AN219" i="3"/>
  <c r="AN283" i="3"/>
  <c r="AN347" i="3"/>
  <c r="AN411" i="3"/>
  <c r="AN475" i="3"/>
  <c r="AN539" i="3"/>
  <c r="AN603" i="3"/>
  <c r="AN44" i="3"/>
  <c r="AN108" i="3"/>
  <c r="AN172" i="3"/>
  <c r="AN236" i="3"/>
  <c r="AN300" i="3"/>
  <c r="AN364" i="3"/>
  <c r="AN428" i="3"/>
  <c r="AN492" i="3"/>
  <c r="AN556" i="3"/>
  <c r="AN620" i="3"/>
  <c r="AN684" i="3"/>
  <c r="AN158" i="3"/>
  <c r="AN330" i="3"/>
  <c r="AN501" i="3"/>
  <c r="AN642" i="3"/>
  <c r="AN716" i="3"/>
  <c r="AN780" i="3"/>
  <c r="AN844" i="3"/>
  <c r="AN47" i="3"/>
  <c r="AN111" i="3"/>
  <c r="AN175" i="3"/>
  <c r="AN239" i="3"/>
  <c r="AN303" i="3"/>
  <c r="AN367" i="3"/>
  <c r="AN431" i="3"/>
  <c r="AN495" i="3"/>
  <c r="AN559" i="3"/>
  <c r="AN40" i="3"/>
  <c r="AN104" i="3"/>
  <c r="AN168" i="3"/>
  <c r="AN232" i="3"/>
  <c r="AN296" i="3"/>
  <c r="AN360" i="3"/>
  <c r="AN424" i="3"/>
  <c r="AN488" i="3"/>
  <c r="AN552" i="3"/>
  <c r="AN616" i="3"/>
  <c r="AN65" i="3"/>
  <c r="AN129" i="3"/>
  <c r="AN193" i="3"/>
  <c r="AN257" i="3"/>
  <c r="AN321" i="3"/>
  <c r="AN385" i="3"/>
  <c r="AN449" i="3"/>
  <c r="AN513" i="3"/>
  <c r="AN577" i="3"/>
  <c r="AN641" i="3"/>
  <c r="AN35" i="3"/>
  <c r="AN99" i="3"/>
  <c r="AN163" i="3"/>
  <c r="AN227" i="3"/>
  <c r="AN291" i="3"/>
  <c r="AN355" i="3"/>
  <c r="AN419" i="3"/>
  <c r="AN483" i="3"/>
  <c r="AN547" i="3"/>
  <c r="AN611" i="3"/>
  <c r="AN52" i="3"/>
  <c r="AN116" i="3"/>
  <c r="AN180" i="3"/>
  <c r="AN244" i="3"/>
  <c r="AN308" i="3"/>
  <c r="AN372" i="3"/>
  <c r="AN436" i="3"/>
  <c r="AN500" i="3"/>
  <c r="AN564" i="3"/>
  <c r="AN628" i="3"/>
  <c r="AN10" i="3"/>
  <c r="AN181" i="3"/>
  <c r="AN350" i="3"/>
  <c r="AN522" i="3"/>
  <c r="AN653" i="3"/>
  <c r="AN724" i="3"/>
  <c r="AN788" i="3"/>
  <c r="AN852" i="3"/>
  <c r="AN916" i="3"/>
  <c r="AN980" i="3"/>
  <c r="AN1044" i="3"/>
  <c r="AN77" i="3"/>
  <c r="AN246" i="3"/>
  <c r="AN418" i="3"/>
  <c r="AN589" i="3"/>
  <c r="AN685" i="3"/>
  <c r="AN749" i="3"/>
  <c r="AN813" i="3"/>
  <c r="AN877" i="3"/>
  <c r="AN941" i="3"/>
  <c r="AN1005" i="3"/>
  <c r="AN1069" i="3"/>
  <c r="AN142" i="3"/>
  <c r="AN314" i="3"/>
  <c r="AN485" i="3"/>
  <c r="AN634" i="3"/>
  <c r="AN710" i="3"/>
  <c r="AN774" i="3"/>
  <c r="AN838" i="3"/>
  <c r="AN902" i="3"/>
  <c r="AN966" i="3"/>
  <c r="AN1030" i="3"/>
  <c r="AN38" i="3"/>
  <c r="AN55" i="3"/>
  <c r="AN119" i="3"/>
  <c r="AN183" i="3"/>
  <c r="AN247" i="3"/>
  <c r="AN311" i="3"/>
  <c r="AN375" i="3"/>
  <c r="AN439" i="3"/>
  <c r="AN503" i="3"/>
  <c r="AN567" i="3"/>
  <c r="AN48" i="3"/>
  <c r="AN112" i="3"/>
  <c r="AN176" i="3"/>
  <c r="AN240" i="3"/>
  <c r="AN304" i="3"/>
  <c r="AN368" i="3"/>
  <c r="AN432" i="3"/>
  <c r="AN496" i="3"/>
  <c r="AN560" i="3"/>
  <c r="AN9" i="3"/>
  <c r="AN73" i="3"/>
  <c r="AN137" i="3"/>
  <c r="AN201" i="3"/>
  <c r="AN265" i="3"/>
  <c r="AN329" i="3"/>
  <c r="AN393" i="3"/>
  <c r="AN457" i="3"/>
  <c r="AN521" i="3"/>
  <c r="AN585" i="3"/>
  <c r="AN649" i="3"/>
  <c r="AN43" i="3"/>
  <c r="AN107" i="3"/>
  <c r="AN171" i="3"/>
  <c r="AN235" i="3"/>
  <c r="AN299" i="3"/>
  <c r="AN363" i="3"/>
  <c r="AN427" i="3"/>
  <c r="AN491" i="3"/>
  <c r="AN555" i="3"/>
  <c r="AN619" i="3"/>
  <c r="AN60" i="3"/>
  <c r="AN124" i="3"/>
  <c r="AN188" i="3"/>
  <c r="AN252" i="3"/>
  <c r="AN316" i="3"/>
  <c r="AN380" i="3"/>
  <c r="AN444" i="3"/>
  <c r="AN508" i="3"/>
  <c r="AN572" i="3"/>
  <c r="AN636" i="3"/>
  <c r="AN30" i="3"/>
  <c r="AN202" i="3"/>
  <c r="AN373" i="3"/>
  <c r="AN542" i="3"/>
  <c r="AN663" i="3"/>
  <c r="AN732" i="3"/>
  <c r="AN796" i="3"/>
  <c r="AN860" i="3"/>
  <c r="AN924" i="3"/>
  <c r="AN988" i="3"/>
  <c r="AN1052" i="3"/>
  <c r="AN98" i="3"/>
  <c r="AN269" i="3"/>
  <c r="AN438" i="3"/>
  <c r="AN605" i="3"/>
  <c r="AN693" i="3"/>
  <c r="AN757" i="3"/>
  <c r="AN821" i="3"/>
  <c r="AN885" i="3"/>
  <c r="AN949" i="3"/>
  <c r="AN1013" i="3"/>
  <c r="AN1077" i="3"/>
  <c r="AN165" i="3"/>
  <c r="AN334" i="3"/>
  <c r="AN63" i="3"/>
  <c r="AN575" i="3"/>
  <c r="AN504" i="3"/>
  <c r="AN401" i="3"/>
  <c r="AN243" i="3"/>
  <c r="AN132" i="3"/>
  <c r="AN644" i="3"/>
  <c r="AN868" i="3"/>
  <c r="AN118" i="3"/>
  <c r="AN701" i="3"/>
  <c r="AN957" i="3"/>
  <c r="AN357" i="3"/>
  <c r="AN718" i="3"/>
  <c r="AN862" i="3"/>
  <c r="AN990" i="3"/>
  <c r="AN102" i="3"/>
  <c r="AN358" i="3"/>
  <c r="AN573" i="3"/>
  <c r="AN687" i="3"/>
  <c r="AN751" i="3"/>
  <c r="AN815" i="3"/>
  <c r="AN42" i="3"/>
  <c r="AN213" i="3"/>
  <c r="AN382" i="3"/>
  <c r="AN554" i="3"/>
  <c r="AN669" i="3"/>
  <c r="AN736" i="3"/>
  <c r="AN800" i="3"/>
  <c r="AN864" i="3"/>
  <c r="AN928" i="3"/>
  <c r="AN992" i="3"/>
  <c r="AN1056" i="3"/>
  <c r="AN109" i="3"/>
  <c r="AN278" i="3"/>
  <c r="AN450" i="3"/>
  <c r="AN613" i="3"/>
  <c r="AN697" i="3"/>
  <c r="AN761" i="3"/>
  <c r="AN825" i="3"/>
  <c r="AN889" i="3"/>
  <c r="AN953" i="3"/>
  <c r="AN26" i="3"/>
  <c r="AN661" i="3"/>
  <c r="AN903" i="3"/>
  <c r="AN1058" i="3"/>
  <c r="AN1134" i="3"/>
  <c r="AN1198" i="3"/>
  <c r="AN1262" i="3"/>
  <c r="AN1326" i="3"/>
  <c r="AN1390" i="3"/>
  <c r="AN1454" i="3"/>
  <c r="AN1217" i="3"/>
  <c r="AN285" i="3"/>
  <c r="AN763" i="3"/>
  <c r="AN970" i="3"/>
  <c r="AN1095" i="3"/>
  <c r="AN1159" i="3"/>
  <c r="AN1223" i="3"/>
  <c r="AN1287" i="3"/>
  <c r="AN1351" i="3"/>
  <c r="AN1415" i="3"/>
  <c r="AN1105" i="3"/>
  <c r="AN1273" i="3"/>
  <c r="AN558" i="3"/>
  <c r="AN866" i="3"/>
  <c r="AN1031" i="3"/>
  <c r="AN1120" i="3"/>
  <c r="AN1184" i="3"/>
  <c r="AN1248" i="3"/>
  <c r="AN1312" i="3"/>
  <c r="AN1376" i="3"/>
  <c r="AN1440" i="3"/>
  <c r="AN1185" i="3"/>
  <c r="AN134" i="3"/>
  <c r="AN707" i="3"/>
  <c r="AN931" i="3"/>
  <c r="AN1081" i="3"/>
  <c r="AN639" i="3"/>
  <c r="AN891" i="3"/>
  <c r="AN1050" i="3"/>
  <c r="AN1130" i="3"/>
  <c r="AN1194" i="3"/>
  <c r="AN1258" i="3"/>
  <c r="AN1322" i="3"/>
  <c r="AN1386" i="3"/>
  <c r="AN127" i="3"/>
  <c r="AN56" i="3"/>
  <c r="AN568" i="3"/>
  <c r="AN465" i="3"/>
  <c r="AN307" i="3"/>
  <c r="AN196" i="3"/>
  <c r="AN53" i="3"/>
  <c r="AN908" i="3"/>
  <c r="AN226" i="3"/>
  <c r="AN741" i="3"/>
  <c r="AN997" i="3"/>
  <c r="AN462" i="3"/>
  <c r="AN726" i="3"/>
  <c r="AN894" i="3"/>
  <c r="AN1022" i="3"/>
  <c r="AN146" i="3"/>
  <c r="AN381" i="3"/>
  <c r="AN591" i="3"/>
  <c r="AN695" i="3"/>
  <c r="AN759" i="3"/>
  <c r="AN823" i="3"/>
  <c r="AN62" i="3"/>
  <c r="AN234" i="3"/>
  <c r="AN405" i="3"/>
  <c r="AN574" i="3"/>
  <c r="AN679" i="3"/>
  <c r="AN744" i="3"/>
  <c r="AN808" i="3"/>
  <c r="AN872" i="3"/>
  <c r="AN936" i="3"/>
  <c r="AN1000" i="3"/>
  <c r="AN1064" i="3"/>
  <c r="AN130" i="3"/>
  <c r="AN301" i="3"/>
  <c r="AN470" i="3"/>
  <c r="AN626" i="3"/>
  <c r="AN705" i="3"/>
  <c r="AN769" i="3"/>
  <c r="AN833" i="3"/>
  <c r="AN897" i="3"/>
  <c r="AN961" i="3"/>
  <c r="AN110" i="3"/>
  <c r="AN698" i="3"/>
  <c r="AN923" i="3"/>
  <c r="AN1074" i="3"/>
  <c r="AN1142" i="3"/>
  <c r="AN1206" i="3"/>
  <c r="AN1270" i="3"/>
  <c r="AN1334" i="3"/>
  <c r="AN1398" i="3"/>
  <c r="AN1462" i="3"/>
  <c r="AN1241" i="3"/>
  <c r="AN370" i="3"/>
  <c r="AN795" i="3"/>
  <c r="AN991" i="3"/>
  <c r="AN1103" i="3"/>
  <c r="AN1167" i="3"/>
  <c r="AN1231" i="3"/>
  <c r="AN1295" i="3"/>
  <c r="AN1359" i="3"/>
  <c r="AN1423" i="3"/>
  <c r="AN1137" i="3"/>
  <c r="AN1297" i="3"/>
  <c r="AN629" i="3"/>
  <c r="AN887" i="3"/>
  <c r="AN1047" i="3"/>
  <c r="AN1128" i="3"/>
  <c r="AN1192" i="3"/>
  <c r="AN1256" i="3"/>
  <c r="AN1320" i="3"/>
  <c r="AN1384" i="3"/>
  <c r="AN1448" i="3"/>
  <c r="AN1201" i="3"/>
  <c r="AN221" i="3"/>
  <c r="AN739" i="3"/>
  <c r="AN954" i="3"/>
  <c r="AN69" i="3"/>
  <c r="AN681" i="3"/>
  <c r="AN914" i="3"/>
  <c r="AN1066" i="3"/>
  <c r="AN191" i="3"/>
  <c r="AN120" i="3"/>
  <c r="AN17" i="3"/>
  <c r="AN529" i="3"/>
  <c r="AN371" i="3"/>
  <c r="AN260" i="3"/>
  <c r="AN222" i="3"/>
  <c r="AN932" i="3"/>
  <c r="AN290" i="3"/>
  <c r="AN765" i="3"/>
  <c r="AN1021" i="3"/>
  <c r="AN506" i="3"/>
  <c r="AN766" i="3"/>
  <c r="AN910" i="3"/>
  <c r="AN1038" i="3"/>
  <c r="AN189" i="3"/>
  <c r="AN402" i="3"/>
  <c r="AN607" i="3"/>
  <c r="AN703" i="3"/>
  <c r="AN767" i="3"/>
  <c r="AN831" i="3"/>
  <c r="AN85" i="3"/>
  <c r="AN254" i="3"/>
  <c r="AN426" i="3"/>
  <c r="AN594" i="3"/>
  <c r="AN688" i="3"/>
  <c r="AN752" i="3"/>
  <c r="AN816" i="3"/>
  <c r="AN880" i="3"/>
  <c r="AN944" i="3"/>
  <c r="AN1008" i="3"/>
  <c r="AN1072" i="3"/>
  <c r="AN150" i="3"/>
  <c r="AN322" i="3"/>
  <c r="AN493" i="3"/>
  <c r="AN638" i="3"/>
  <c r="AN713" i="3"/>
  <c r="AN777" i="3"/>
  <c r="AN841" i="3"/>
  <c r="AN905" i="3"/>
  <c r="AN969" i="3"/>
  <c r="AN197" i="3"/>
  <c r="AN730" i="3"/>
  <c r="AN946" i="3"/>
  <c r="AN1086" i="3"/>
  <c r="AN1150" i="3"/>
  <c r="AN1214" i="3"/>
  <c r="AN1278" i="3"/>
  <c r="AN1342" i="3"/>
  <c r="AN1406" i="3"/>
  <c r="AN1265" i="3"/>
  <c r="AN454" i="3"/>
  <c r="AN827" i="3"/>
  <c r="AN1011" i="3"/>
  <c r="AN1111" i="3"/>
  <c r="AN1175" i="3"/>
  <c r="AN1239" i="3"/>
  <c r="AN1303" i="3"/>
  <c r="AN1367" i="3"/>
  <c r="AN1431" i="3"/>
  <c r="AN1153" i="3"/>
  <c r="AN46" i="3"/>
  <c r="AN671" i="3"/>
  <c r="AN907" i="3"/>
  <c r="AN1063" i="3"/>
  <c r="AN1136" i="3"/>
  <c r="AN1200" i="3"/>
  <c r="AN1264" i="3"/>
  <c r="AN1328" i="3"/>
  <c r="AN1392" i="3"/>
  <c r="AN1456" i="3"/>
  <c r="AN1225" i="3"/>
  <c r="AN306" i="3"/>
  <c r="AN771" i="3"/>
  <c r="AN975" i="3"/>
  <c r="AN154" i="3"/>
  <c r="AN714" i="3"/>
  <c r="AN935" i="3"/>
  <c r="AN1082" i="3"/>
  <c r="AN1146" i="3"/>
  <c r="AN1210" i="3"/>
  <c r="AN255" i="3"/>
  <c r="AN184" i="3"/>
  <c r="AN81" i="3"/>
  <c r="AN593" i="3"/>
  <c r="AN435" i="3"/>
  <c r="AN324" i="3"/>
  <c r="AN394" i="3"/>
  <c r="AN972" i="3"/>
  <c r="AN397" i="3"/>
  <c r="AN805" i="3"/>
  <c r="AN1061" i="3"/>
  <c r="AN526" i="3"/>
  <c r="AN782" i="3"/>
  <c r="AN918" i="3"/>
  <c r="AN1046" i="3"/>
  <c r="AN210" i="3"/>
  <c r="AN422" i="3"/>
  <c r="AN635" i="3"/>
  <c r="AN711" i="3"/>
  <c r="AN775" i="3"/>
  <c r="AN839" i="3"/>
  <c r="AN106" i="3"/>
  <c r="AN277" i="3"/>
  <c r="AN446" i="3"/>
  <c r="AN610" i="3"/>
  <c r="AN696" i="3"/>
  <c r="AN760" i="3"/>
  <c r="AN824" i="3"/>
  <c r="AN888" i="3"/>
  <c r="AN952" i="3"/>
  <c r="AN1016" i="3"/>
  <c r="AN1080" i="3"/>
  <c r="AN173" i="3"/>
  <c r="AN342" i="3"/>
  <c r="AN514" i="3"/>
  <c r="AN648" i="3"/>
  <c r="AN721" i="3"/>
  <c r="AN785" i="3"/>
  <c r="AN849" i="3"/>
  <c r="AN913" i="3"/>
  <c r="AN977" i="3"/>
  <c r="AN282" i="3"/>
  <c r="AN762" i="3"/>
  <c r="AN967" i="3"/>
  <c r="AN1094" i="3"/>
  <c r="AN1158" i="3"/>
  <c r="AN1222" i="3"/>
  <c r="AN1286" i="3"/>
  <c r="AN1350" i="3"/>
  <c r="AN1414" i="3"/>
  <c r="AN1097" i="3"/>
  <c r="AN1289" i="3"/>
  <c r="AN541" i="3"/>
  <c r="AN859" i="3"/>
  <c r="AN1027" i="3"/>
  <c r="AN1119" i="3"/>
  <c r="AN1183" i="3"/>
  <c r="AN1247" i="3"/>
  <c r="AN1311" i="3"/>
  <c r="AN1375" i="3"/>
  <c r="AN1439" i="3"/>
  <c r="AN1169" i="3"/>
  <c r="AN133" i="3"/>
  <c r="AN706" i="3"/>
  <c r="AN930" i="3"/>
  <c r="AN1079" i="3"/>
  <c r="AN1144" i="3"/>
  <c r="AN1208" i="3"/>
  <c r="AN1272" i="3"/>
  <c r="AN1336" i="3"/>
  <c r="AN1400" i="3"/>
  <c r="AN1464" i="3"/>
  <c r="AN1257" i="3"/>
  <c r="AN390" i="3"/>
  <c r="AN803" i="3"/>
  <c r="AN995" i="3"/>
  <c r="AN238" i="3"/>
  <c r="AN746" i="3"/>
  <c r="AN955" i="3"/>
  <c r="AN1090" i="3"/>
  <c r="AN319" i="3"/>
  <c r="AN248" i="3"/>
  <c r="AN145" i="3"/>
  <c r="AN657" i="3"/>
  <c r="AN499" i="3"/>
  <c r="AN388" i="3"/>
  <c r="AN565" i="3"/>
  <c r="AN996" i="3"/>
  <c r="AN461" i="3"/>
  <c r="AN829" i="3"/>
  <c r="AN14" i="3"/>
  <c r="AN622" i="3"/>
  <c r="AN790" i="3"/>
  <c r="AN926" i="3"/>
  <c r="AN1054" i="3"/>
  <c r="AN230" i="3"/>
  <c r="AN445" i="3"/>
  <c r="AN646" i="3"/>
  <c r="AN719" i="3"/>
  <c r="AN783" i="3"/>
  <c r="AN847" i="3"/>
  <c r="AN126" i="3"/>
  <c r="AN298" i="3"/>
  <c r="AN469" i="3"/>
  <c r="AN624" i="3"/>
  <c r="AN704" i="3"/>
  <c r="AN768" i="3"/>
  <c r="AN832" i="3"/>
  <c r="AN896" i="3"/>
  <c r="AN960" i="3"/>
  <c r="AN1024" i="3"/>
  <c r="AN22" i="3"/>
  <c r="AN194" i="3"/>
  <c r="AN365" i="3"/>
  <c r="AN534" i="3"/>
  <c r="AN659" i="3"/>
  <c r="AN729" i="3"/>
  <c r="AN793" i="3"/>
  <c r="AN857" i="3"/>
  <c r="AN921" i="3"/>
  <c r="AN985" i="3"/>
  <c r="AN366" i="3"/>
  <c r="AN794" i="3"/>
  <c r="AN987" i="3"/>
  <c r="AN1102" i="3"/>
  <c r="AN1166" i="3"/>
  <c r="AN1230" i="3"/>
  <c r="AN1294" i="3"/>
  <c r="AN1358" i="3"/>
  <c r="AN1422" i="3"/>
  <c r="AN1113" i="3"/>
  <c r="AN1313" i="3"/>
  <c r="AN615" i="3"/>
  <c r="AN883" i="3"/>
  <c r="AN1043" i="3"/>
  <c r="AN1127" i="3"/>
  <c r="AN1191" i="3"/>
  <c r="AN1255" i="3"/>
  <c r="AN1319" i="3"/>
  <c r="AN1383" i="3"/>
  <c r="AN1447" i="3"/>
  <c r="AN1193" i="3"/>
  <c r="AN218" i="3"/>
  <c r="AN738" i="3"/>
  <c r="AN951" i="3"/>
  <c r="AN1088" i="3"/>
  <c r="AN1152" i="3"/>
  <c r="AN1216" i="3"/>
  <c r="AN1280" i="3"/>
  <c r="AN1344" i="3"/>
  <c r="AN1408" i="3"/>
  <c r="AN1281" i="3"/>
  <c r="AN477" i="3"/>
  <c r="AN835" i="3"/>
  <c r="AN383" i="3"/>
  <c r="AN312" i="3"/>
  <c r="AN209" i="3"/>
  <c r="AN51" i="3"/>
  <c r="AN563" i="3"/>
  <c r="AN452" i="3"/>
  <c r="AN674" i="3"/>
  <c r="AN1036" i="3"/>
  <c r="AN566" i="3"/>
  <c r="AN869" i="3"/>
  <c r="AN122" i="3"/>
  <c r="AN645" i="3"/>
  <c r="AN830" i="3"/>
  <c r="AN958" i="3"/>
  <c r="AN18" i="3"/>
  <c r="AN253" i="3"/>
  <c r="AN486" i="3"/>
  <c r="AN656" i="3"/>
  <c r="AN727" i="3"/>
  <c r="AN791" i="3"/>
  <c r="AN855" i="3"/>
  <c r="AN149" i="3"/>
  <c r="AN318" i="3"/>
  <c r="AN490" i="3"/>
  <c r="AN637" i="3"/>
  <c r="AN712" i="3"/>
  <c r="AN776" i="3"/>
  <c r="AN840" i="3"/>
  <c r="AN904" i="3"/>
  <c r="AN968" i="3"/>
  <c r="AN1032" i="3"/>
  <c r="AN45" i="3"/>
  <c r="AN214" i="3"/>
  <c r="AN386" i="3"/>
  <c r="AN557" i="3"/>
  <c r="AN670" i="3"/>
  <c r="AN737" i="3"/>
  <c r="AN801" i="3"/>
  <c r="AN865" i="3"/>
  <c r="AN929" i="3"/>
  <c r="AN993" i="3"/>
  <c r="AN453" i="3"/>
  <c r="AN826" i="3"/>
  <c r="AN1010" i="3"/>
  <c r="AN1110" i="3"/>
  <c r="AN1174" i="3"/>
  <c r="AN1238" i="3"/>
  <c r="AN1302" i="3"/>
  <c r="AN1366" i="3"/>
  <c r="AN1430" i="3"/>
  <c r="AN1129" i="3"/>
  <c r="AN29" i="3"/>
  <c r="AN662" i="3"/>
  <c r="AN906" i="3"/>
  <c r="AN1059" i="3"/>
  <c r="AN1135" i="3"/>
  <c r="AN1199" i="3"/>
  <c r="AN1263" i="3"/>
  <c r="AN1327" i="3"/>
  <c r="AN1391" i="3"/>
  <c r="AN1455" i="3"/>
  <c r="AN1209" i="3"/>
  <c r="AN302" i="3"/>
  <c r="AN770" i="3"/>
  <c r="AN971" i="3"/>
  <c r="AN1096" i="3"/>
  <c r="AN1160" i="3"/>
  <c r="AN1224" i="3"/>
  <c r="AN1288" i="3"/>
  <c r="AN1352" i="3"/>
  <c r="AN1416" i="3"/>
  <c r="AN1089" i="3"/>
  <c r="AN1305" i="3"/>
  <c r="AN562" i="3"/>
  <c r="AN867" i="3"/>
  <c r="AN1033" i="3"/>
  <c r="AN410" i="3"/>
  <c r="AN447" i="3"/>
  <c r="AN376" i="3"/>
  <c r="AN273" i="3"/>
  <c r="AN115" i="3"/>
  <c r="AN627" i="3"/>
  <c r="AN516" i="3"/>
  <c r="AN740" i="3"/>
  <c r="AN1060" i="3"/>
  <c r="AN621" i="3"/>
  <c r="AN893" i="3"/>
  <c r="AN186" i="3"/>
  <c r="AN655" i="3"/>
  <c r="AN846" i="3"/>
  <c r="AN974" i="3"/>
  <c r="AN61" i="3"/>
  <c r="AN274" i="3"/>
  <c r="AN530" i="3"/>
  <c r="AN667" i="3"/>
  <c r="AN735" i="3"/>
  <c r="AN799" i="3"/>
  <c r="AN863" i="3"/>
  <c r="AN170" i="3"/>
  <c r="AN341" i="3"/>
  <c r="AN510" i="3"/>
  <c r="AN647" i="3"/>
  <c r="AN720" i="3"/>
  <c r="AN784" i="3"/>
  <c r="AN848" i="3"/>
  <c r="AN912" i="3"/>
  <c r="AN976" i="3"/>
  <c r="AN1040" i="3"/>
  <c r="AN66" i="3"/>
  <c r="AN237" i="3"/>
  <c r="AN406" i="3"/>
  <c r="AN578" i="3"/>
  <c r="AN680" i="3"/>
  <c r="AN745" i="3"/>
  <c r="AN809" i="3"/>
  <c r="AN873" i="3"/>
  <c r="AN937" i="3"/>
  <c r="AN1001" i="3"/>
  <c r="AN538" i="3"/>
  <c r="AN858" i="3"/>
  <c r="AN1026" i="3"/>
  <c r="AN1118" i="3"/>
  <c r="AN1182" i="3"/>
  <c r="AN1246" i="3"/>
  <c r="AN1310" i="3"/>
  <c r="AN1374" i="3"/>
  <c r="AN1438" i="3"/>
  <c r="AN1161" i="3"/>
  <c r="AN114" i="3"/>
  <c r="AN699" i="3"/>
  <c r="AN927" i="3"/>
  <c r="AN1075" i="3"/>
  <c r="AN1143" i="3"/>
  <c r="AN1207" i="3"/>
  <c r="AN1271" i="3"/>
  <c r="AN1335" i="3"/>
  <c r="AN1399" i="3"/>
  <c r="AN1463" i="3"/>
  <c r="AN1233" i="3"/>
  <c r="AN389" i="3"/>
  <c r="AN802" i="3"/>
  <c r="AN994" i="3"/>
  <c r="AN1104" i="3"/>
  <c r="AN1168" i="3"/>
  <c r="AN1232" i="3"/>
  <c r="AN1296" i="3"/>
  <c r="AN1360" i="3"/>
  <c r="AN1424" i="3"/>
  <c r="AN1121" i="3"/>
  <c r="AN1321" i="3"/>
  <c r="AN630" i="3"/>
  <c r="AN890" i="3"/>
  <c r="AN1049" i="3"/>
  <c r="AN494" i="3"/>
  <c r="AN842" i="3"/>
  <c r="AN1018" i="3"/>
  <c r="AN1114" i="3"/>
  <c r="AN1178" i="3"/>
  <c r="AN1242" i="3"/>
  <c r="AN511" i="3"/>
  <c r="AN675" i="3"/>
  <c r="AN550" i="3"/>
  <c r="AN658" i="3"/>
  <c r="AN258" i="3"/>
  <c r="AN1009" i="3"/>
  <c r="AN1382" i="3"/>
  <c r="AN1215" i="3"/>
  <c r="AN1015" i="3"/>
  <c r="AN50" i="3"/>
  <c r="AN810" i="3"/>
  <c r="AN1138" i="3"/>
  <c r="AN1234" i="3"/>
  <c r="AN1314" i="3"/>
  <c r="AN1394" i="3"/>
  <c r="AN1458" i="3"/>
  <c r="AN786" i="3"/>
  <c r="AN1092" i="3"/>
  <c r="AN326" i="3"/>
  <c r="AN779" i="3"/>
  <c r="AN979" i="3"/>
  <c r="AN1099" i="3"/>
  <c r="AN1163" i="3"/>
  <c r="AN1227" i="3"/>
  <c r="AN1291" i="3"/>
  <c r="AN1355" i="3"/>
  <c r="AN1419" i="3"/>
  <c r="AN174" i="3"/>
  <c r="AN962" i="3"/>
  <c r="AN93" i="3"/>
  <c r="AN1276" i="3"/>
  <c r="AN1461" i="3"/>
  <c r="AN943" i="3"/>
  <c r="AN1337" i="3"/>
  <c r="AN1425" i="3"/>
  <c r="AN755" i="3"/>
  <c r="AN1316" i="3"/>
  <c r="AN1457" i="3"/>
  <c r="AN1189" i="3"/>
  <c r="AN1405" i="3"/>
  <c r="AN434" i="3"/>
  <c r="AN1324" i="3"/>
  <c r="AN1372" i="3"/>
  <c r="AN1165" i="3"/>
  <c r="AN1268" i="3"/>
  <c r="AN86" i="3"/>
  <c r="AN1145" i="3"/>
  <c r="AN1226" i="3"/>
  <c r="AN747" i="3"/>
  <c r="AN1283" i="3"/>
  <c r="AN1244" i="3"/>
  <c r="AN1381" i="3"/>
  <c r="AN1157" i="3"/>
  <c r="AN1125" i="3"/>
  <c r="AN440" i="3"/>
  <c r="AN933" i="3"/>
  <c r="AN678" i="3"/>
  <c r="AN728" i="3"/>
  <c r="AN429" i="3"/>
  <c r="AN614" i="3"/>
  <c r="AN1446" i="3"/>
  <c r="AN1279" i="3"/>
  <c r="AN1112" i="3"/>
  <c r="AN672" i="3"/>
  <c r="AN871" i="3"/>
  <c r="AN1154" i="3"/>
  <c r="AN1250" i="3"/>
  <c r="AN1330" i="3"/>
  <c r="AN1402" i="3"/>
  <c r="AN1466" i="3"/>
  <c r="AN850" i="3"/>
  <c r="AN1100" i="3"/>
  <c r="AN413" i="3"/>
  <c r="AN811" i="3"/>
  <c r="AN1002" i="3"/>
  <c r="AN1107" i="3"/>
  <c r="AN1171" i="3"/>
  <c r="AN1235" i="3"/>
  <c r="AN1299" i="3"/>
  <c r="AN1363" i="3"/>
  <c r="AN1427" i="3"/>
  <c r="AN261" i="3"/>
  <c r="AN983" i="3"/>
  <c r="AN691" i="3"/>
  <c r="AN1308" i="3"/>
  <c r="AN599" i="3"/>
  <c r="AN1085" i="3"/>
  <c r="AN1357" i="3"/>
  <c r="AN963" i="3"/>
  <c r="AN1340" i="3"/>
  <c r="AN1173" i="3"/>
  <c r="AN1221" i="3"/>
  <c r="AN1428" i="3"/>
  <c r="AN1369" i="3"/>
  <c r="AN819" i="3"/>
  <c r="AN1365" i="3"/>
  <c r="AN651" i="3"/>
  <c r="AN1197" i="3"/>
  <c r="AN1393" i="3"/>
  <c r="AN54" i="3"/>
  <c r="AN1151" i="3"/>
  <c r="AN778" i="3"/>
  <c r="AN1450" i="3"/>
  <c r="AN1091" i="3"/>
  <c r="AN1441" i="3"/>
  <c r="AN1284" i="3"/>
  <c r="AN1236" i="3"/>
  <c r="AN337" i="3"/>
  <c r="AN293" i="3"/>
  <c r="AN743" i="3"/>
  <c r="AN792" i="3"/>
  <c r="AN597" i="3"/>
  <c r="AN882" i="3"/>
  <c r="AN1177" i="3"/>
  <c r="AN1343" i="3"/>
  <c r="AN1176" i="3"/>
  <c r="AN911" i="3"/>
  <c r="AN978" i="3"/>
  <c r="AN1162" i="3"/>
  <c r="AN1266" i="3"/>
  <c r="AN1338" i="3"/>
  <c r="AN1410" i="3"/>
  <c r="AN875" i="3"/>
  <c r="AN1116" i="3"/>
  <c r="AN498" i="3"/>
  <c r="AN843" i="3"/>
  <c r="AN1019" i="3"/>
  <c r="AN1115" i="3"/>
  <c r="AN1179" i="3"/>
  <c r="AN1243" i="3"/>
  <c r="AN1307" i="3"/>
  <c r="AN1371" i="3"/>
  <c r="AN1435" i="3"/>
  <c r="AN430" i="3"/>
  <c r="AN1023" i="3"/>
  <c r="AN922" i="3"/>
  <c r="AN1333" i="3"/>
  <c r="AN1300" i="3"/>
  <c r="AN1149" i="3"/>
  <c r="AN1380" i="3"/>
  <c r="AN1093" i="3"/>
  <c r="AN1361" i="3"/>
  <c r="AN1417" i="3"/>
  <c r="AN1253" i="3"/>
  <c r="AN1449" i="3"/>
  <c r="AN1433" i="3"/>
  <c r="AN1007" i="3"/>
  <c r="AN1409" i="3"/>
  <c r="AN1205" i="3"/>
  <c r="AN1229" i="3"/>
  <c r="AN899" i="3"/>
  <c r="AN533" i="3"/>
  <c r="AN834" i="3"/>
  <c r="AN1306" i="3"/>
  <c r="AN959" i="3"/>
  <c r="AN1347" i="3"/>
  <c r="AN1140" i="3"/>
  <c r="AN262" i="3"/>
  <c r="AN1429" i="3"/>
  <c r="AN179" i="3"/>
  <c r="AN702" i="3"/>
  <c r="AN807" i="3"/>
  <c r="AN856" i="3"/>
  <c r="AN689" i="3"/>
  <c r="AN1042" i="3"/>
  <c r="AN198" i="3"/>
  <c r="AN1407" i="3"/>
  <c r="AN1240" i="3"/>
  <c r="AN1017" i="3"/>
  <c r="AN999" i="3"/>
  <c r="AN1274" i="3"/>
  <c r="AN1346" i="3"/>
  <c r="AN1418" i="3"/>
  <c r="AN90" i="3"/>
  <c r="AN919" i="3"/>
  <c r="AN1132" i="3"/>
  <c r="AN582" i="3"/>
  <c r="AN874" i="3"/>
  <c r="AN1035" i="3"/>
  <c r="AN1123" i="3"/>
  <c r="AN1187" i="3"/>
  <c r="AN1251" i="3"/>
  <c r="AN1315" i="3"/>
  <c r="AN1379" i="3"/>
  <c r="AN1443" i="3"/>
  <c r="AN598" i="3"/>
  <c r="AN1039" i="3"/>
  <c r="AN1073" i="3"/>
  <c r="AN1356" i="3"/>
  <c r="AN1436" i="3"/>
  <c r="AN1181" i="3"/>
  <c r="AN1401" i="3"/>
  <c r="AN1172" i="3"/>
  <c r="AN1156" i="3"/>
  <c r="AN1404" i="3"/>
  <c r="AN349" i="3"/>
  <c r="AN1285" i="3"/>
  <c r="AN1204" i="3"/>
  <c r="AN1109" i="3"/>
  <c r="AN1452" i="3"/>
  <c r="AN1301" i="3"/>
  <c r="AN1261" i="3"/>
  <c r="AN1269" i="3"/>
  <c r="AN317" i="3"/>
  <c r="AN1318" i="3"/>
  <c r="AN1122" i="3"/>
  <c r="AN722" i="3"/>
  <c r="AN1155" i="3"/>
  <c r="AN1411" i="3"/>
  <c r="AN723" i="3"/>
  <c r="AN1329" i="3"/>
  <c r="AN1117" i="3"/>
  <c r="AN68" i="3"/>
  <c r="AN854" i="3"/>
  <c r="AN21" i="3"/>
  <c r="AN920" i="3"/>
  <c r="AN753" i="3"/>
  <c r="AN1126" i="3"/>
  <c r="AN731" i="3"/>
  <c r="AN1304" i="3"/>
  <c r="AN1065" i="3"/>
  <c r="AN1034" i="3"/>
  <c r="AN1186" i="3"/>
  <c r="AN1282" i="3"/>
  <c r="AN1354" i="3"/>
  <c r="AN1426" i="3"/>
  <c r="AN346" i="3"/>
  <c r="AN939" i="3"/>
  <c r="AN1148" i="3"/>
  <c r="AN640" i="3"/>
  <c r="AN895" i="3"/>
  <c r="AN1051" i="3"/>
  <c r="AN1131" i="3"/>
  <c r="AN1195" i="3"/>
  <c r="AN1259" i="3"/>
  <c r="AN1323" i="3"/>
  <c r="AN1387" i="3"/>
  <c r="AN1451" i="3"/>
  <c r="AN690" i="3"/>
  <c r="AN1084" i="3"/>
  <c r="AN1141" i="3"/>
  <c r="AN1377" i="3"/>
  <c r="AN1237" i="3"/>
  <c r="AN1213" i="3"/>
  <c r="AN1421" i="3"/>
  <c r="AN1413" i="3"/>
  <c r="AN1188" i="3"/>
  <c r="AN1445" i="3"/>
  <c r="AN787" i="3"/>
  <c r="AN1317" i="3"/>
  <c r="AN1292" i="3"/>
  <c r="AN1349" i="3"/>
  <c r="AN1164" i="3"/>
  <c r="AN1325" i="3"/>
  <c r="AN518" i="3"/>
  <c r="AN1293" i="3"/>
  <c r="AN1396" i="3"/>
  <c r="AN945" i="3"/>
  <c r="AN1378" i="3"/>
  <c r="AN1219" i="3"/>
  <c r="AN898" i="3"/>
  <c r="AN1309" i="3"/>
  <c r="AN1385" i="3"/>
  <c r="AN580" i="3"/>
  <c r="AN982" i="3"/>
  <c r="AN190" i="3"/>
  <c r="AN984" i="3"/>
  <c r="AN817" i="3"/>
  <c r="AN1190" i="3"/>
  <c r="AN947" i="3"/>
  <c r="AN1249" i="3"/>
  <c r="AN1368" i="3"/>
  <c r="AN325" i="3"/>
  <c r="AN1098" i="3"/>
  <c r="AN1202" i="3"/>
  <c r="AN1290" i="3"/>
  <c r="AN1362" i="3"/>
  <c r="AN1434" i="3"/>
  <c r="AN517" i="3"/>
  <c r="AN1003" i="3"/>
  <c r="AN70" i="3"/>
  <c r="AN682" i="3"/>
  <c r="AN915" i="3"/>
  <c r="AN1067" i="3"/>
  <c r="AN1139" i="3"/>
  <c r="AN1203" i="3"/>
  <c r="AN1267" i="3"/>
  <c r="AN1331" i="3"/>
  <c r="AN1395" i="3"/>
  <c r="AN1459" i="3"/>
  <c r="AN754" i="3"/>
  <c r="AN1108" i="3"/>
  <c r="AN1180" i="3"/>
  <c r="AN1397" i="3"/>
  <c r="AN1353" i="3"/>
  <c r="AN1245" i="3"/>
  <c r="AN1444" i="3"/>
  <c r="AN1133" i="3"/>
  <c r="AN1220" i="3"/>
  <c r="AN1389" i="3"/>
  <c r="AN986" i="3"/>
  <c r="AN1341" i="3"/>
  <c r="AN1345" i="3"/>
  <c r="AN1057" i="3"/>
  <c r="AN1196" i="3"/>
  <c r="AN1412" i="3"/>
  <c r="AN851" i="3"/>
  <c r="AN1348" i="3"/>
  <c r="AN1460" i="3"/>
  <c r="AN242" i="3"/>
  <c r="AN1437" i="3"/>
  <c r="AN804" i="3"/>
  <c r="AN82" i="3"/>
  <c r="AN362" i="3"/>
  <c r="AN1048" i="3"/>
  <c r="AN881" i="3"/>
  <c r="AN1254" i="3"/>
  <c r="AN1087" i="3"/>
  <c r="AN474" i="3"/>
  <c r="AN1432" i="3"/>
  <c r="AN581" i="3"/>
  <c r="AN1106" i="3"/>
  <c r="AN1218" i="3"/>
  <c r="AN1298" i="3"/>
  <c r="AN1370" i="3"/>
  <c r="AN1442" i="3"/>
  <c r="AN650" i="3"/>
  <c r="AN1055" i="3"/>
  <c r="AN157" i="3"/>
  <c r="AN715" i="3"/>
  <c r="AN938" i="3"/>
  <c r="AN1083" i="3"/>
  <c r="AN1147" i="3"/>
  <c r="AN1211" i="3"/>
  <c r="AN1275" i="3"/>
  <c r="AN1339" i="3"/>
  <c r="AN1403" i="3"/>
  <c r="AN1467" i="3"/>
  <c r="AN818" i="3"/>
  <c r="AN1124" i="3"/>
  <c r="AN1212" i="3"/>
  <c r="AN1420" i="3"/>
  <c r="AN178" i="3"/>
  <c r="AN1277" i="3"/>
  <c r="AN1465" i="3"/>
  <c r="AN1373" i="3"/>
  <c r="AN1252" i="3"/>
  <c r="AN879" i="3"/>
  <c r="AN1101" i="3"/>
  <c r="AN1364" i="3"/>
  <c r="AN1388" i="3"/>
  <c r="AN1332" i="3"/>
  <c r="AN1228" i="3"/>
  <c r="AN1041" i="3"/>
  <c r="AN1025" i="3"/>
  <c r="AN1453" i="3"/>
  <c r="AN1071" i="3"/>
  <c r="AN1260" i="3"/>
  <c r="O7" i="3"/>
  <c r="P7" i="3"/>
  <c r="Q7" i="3"/>
  <c r="R7" i="3"/>
  <c r="AQ7" i="3" s="1"/>
  <c r="AC107" i="3" l="1"/>
  <c r="AC824" i="3"/>
  <c r="U1017" i="3"/>
  <c r="U554" i="3"/>
  <c r="U138" i="3"/>
  <c r="AC144" i="3"/>
  <c r="U423" i="3"/>
  <c r="U375" i="3"/>
  <c r="AC50" i="3"/>
  <c r="U22" i="3"/>
  <c r="U325" i="3"/>
  <c r="AC208" i="3"/>
  <c r="AC170" i="3"/>
  <c r="AC119" i="3"/>
  <c r="AC101" i="3"/>
  <c r="U245" i="3"/>
  <c r="AA1172" i="3"/>
  <c r="AA1171" i="3"/>
  <c r="AV675" i="3"/>
  <c r="AV658" i="3"/>
  <c r="AV20" i="3"/>
  <c r="AV370" i="3"/>
  <c r="AV484" i="3"/>
  <c r="AV248" i="3"/>
  <c r="AV36" i="3"/>
  <c r="AV97" i="3"/>
  <c r="AV961" i="3"/>
  <c r="AV393" i="3"/>
  <c r="AV404" i="3"/>
  <c r="AV639" i="3"/>
  <c r="AV442" i="3"/>
  <c r="AV510" i="3"/>
  <c r="AV1046" i="3"/>
  <c r="AV727" i="3"/>
  <c r="AV466" i="3"/>
  <c r="AV470" i="3"/>
  <c r="AV1130" i="3"/>
  <c r="AV385" i="3"/>
  <c r="AV76" i="3"/>
  <c r="AV259" i="3"/>
  <c r="AV1070" i="3"/>
  <c r="AV596" i="3"/>
  <c r="AV347" i="3"/>
  <c r="AV851" i="3"/>
  <c r="AV620" i="3"/>
  <c r="AV803" i="3"/>
  <c r="AV839" i="3"/>
  <c r="AV802" i="3"/>
  <c r="AV258" i="3"/>
  <c r="AV326" i="3"/>
  <c r="AV1105" i="3"/>
  <c r="AV830" i="3"/>
  <c r="AV557" i="3"/>
  <c r="AV62" i="3"/>
  <c r="AV305" i="3"/>
  <c r="AV193" i="3"/>
  <c r="AV916" i="3"/>
  <c r="AV886" i="3"/>
  <c r="AV777" i="3"/>
  <c r="AV773" i="3"/>
  <c r="AV480" i="3"/>
  <c r="AV929" i="3"/>
  <c r="AV797" i="3"/>
  <c r="AV440" i="3"/>
  <c r="AV354" i="3"/>
  <c r="AV44" i="3"/>
  <c r="AV289" i="3"/>
  <c r="AV507" i="3"/>
  <c r="AV345" i="3"/>
  <c r="AV588" i="3"/>
  <c r="AV905" i="3"/>
  <c r="AV339" i="3"/>
  <c r="AV843" i="3"/>
  <c r="AV676" i="3"/>
  <c r="AV544" i="3"/>
  <c r="AV299" i="3"/>
  <c r="AV21" i="3"/>
  <c r="AV137" i="3"/>
  <c r="AV947" i="3"/>
  <c r="AV486" i="3"/>
  <c r="AV389" i="3"/>
  <c r="AV311" i="3"/>
  <c r="AV734" i="3"/>
  <c r="AV682" i="3"/>
  <c r="AV477" i="3"/>
  <c r="AV149" i="3"/>
  <c r="AV758" i="3"/>
  <c r="AV838" i="3"/>
  <c r="AV356" i="3"/>
  <c r="AV317" i="3"/>
  <c r="AV460" i="3"/>
  <c r="AV272" i="3"/>
  <c r="AV877" i="3"/>
  <c r="AV657" i="3"/>
  <c r="AV653" i="3"/>
  <c r="AV360" i="3"/>
  <c r="AV681" i="3"/>
  <c r="AV808" i="3"/>
  <c r="AV89" i="3"/>
  <c r="AV833" i="3"/>
  <c r="AV739" i="3"/>
  <c r="AV204" i="3"/>
  <c r="AV581" i="3"/>
  <c r="AV775" i="3"/>
  <c r="AV611" i="3"/>
  <c r="AV779" i="3"/>
  <c r="AV998" i="3"/>
  <c r="AV799" i="3"/>
  <c r="AV546" i="3"/>
  <c r="AV637" i="3"/>
  <c r="AV958" i="3"/>
  <c r="AV1082" i="3"/>
  <c r="AV1166" i="3"/>
  <c r="AV106" i="3"/>
  <c r="AV1042" i="3"/>
  <c r="AV1030" i="3"/>
  <c r="AV146" i="3"/>
  <c r="AV1025" i="3"/>
  <c r="AV1146" i="3"/>
  <c r="AV837" i="3"/>
  <c r="AV42" i="3"/>
  <c r="AV1106" i="3"/>
  <c r="AV82" i="3"/>
  <c r="AV811" i="3"/>
  <c r="AV901" i="3"/>
  <c r="AV431" i="3"/>
  <c r="AV1170" i="3"/>
  <c r="AV861" i="3"/>
  <c r="AV18" i="3"/>
  <c r="AV418" i="3"/>
  <c r="AV928" i="3"/>
  <c r="AV278" i="3"/>
  <c r="AV1149" i="3"/>
  <c r="AV952" i="3"/>
  <c r="AV230" i="3"/>
  <c r="AV1109" i="3"/>
  <c r="AV848" i="3"/>
  <c r="AV87" i="3"/>
  <c r="AV1084" i="3"/>
  <c r="AV881" i="3"/>
  <c r="AV1092" i="3"/>
  <c r="AV1011" i="3"/>
  <c r="AV40" i="3"/>
  <c r="AV1116" i="3"/>
  <c r="AV80" i="3"/>
  <c r="AV1012" i="3"/>
  <c r="AV499" i="3"/>
  <c r="AV1040" i="3"/>
  <c r="AV1127" i="3"/>
  <c r="AV125" i="3"/>
  <c r="AV1087" i="3"/>
  <c r="AV1081" i="3"/>
  <c r="AV165" i="3"/>
  <c r="AV643" i="3"/>
  <c r="AV821" i="3"/>
  <c r="AV58" i="3"/>
  <c r="AV1090" i="3"/>
  <c r="AV845" i="3"/>
  <c r="AV34" i="3"/>
  <c r="AV1050" i="3"/>
  <c r="AV1062" i="3"/>
  <c r="AV138" i="3"/>
  <c r="AV995" i="3"/>
  <c r="AV764" i="3"/>
  <c r="AV1055" i="3"/>
  <c r="AV133" i="3"/>
  <c r="AV1079" i="3"/>
  <c r="AV1064" i="3"/>
  <c r="AV173" i="3"/>
  <c r="AV631" i="3"/>
  <c r="AV166" i="3"/>
  <c r="AV321" i="3"/>
  <c r="AV854" i="3"/>
  <c r="AV279" i="3"/>
  <c r="AV641" i="3"/>
  <c r="AV362" i="3"/>
  <c r="AV94" i="3"/>
  <c r="AV580" i="3"/>
  <c r="AV786" i="3"/>
  <c r="AV562" i="3"/>
  <c r="AV585" i="3"/>
  <c r="AV776" i="3"/>
  <c r="AV288" i="3"/>
  <c r="AV1008" i="3"/>
  <c r="AV673" i="3"/>
  <c r="AV800" i="3"/>
  <c r="AV566" i="3"/>
  <c r="AV448" i="3"/>
  <c r="AV722" i="3"/>
  <c r="AV337" i="3"/>
  <c r="AV464" i="3"/>
  <c r="AV1047" i="3"/>
  <c r="AV913" i="3"/>
  <c r="AV852" i="3"/>
  <c r="AV570" i="3"/>
  <c r="AV943" i="3"/>
  <c r="AV878" i="3"/>
  <c r="AV827" i="3"/>
  <c r="AV660" i="3"/>
  <c r="AV592" i="3"/>
  <c r="AV411" i="3"/>
  <c r="AV915" i="3"/>
  <c r="AV684" i="3"/>
  <c r="AV552" i="3"/>
  <c r="AV54" i="3"/>
  <c r="AV696" i="3"/>
  <c r="AV316" i="3"/>
  <c r="AV234" i="3"/>
  <c r="AV302" i="3"/>
  <c r="AV871" i="3"/>
  <c r="AV870" i="3"/>
  <c r="AV322" i="3"/>
  <c r="AV390" i="3"/>
  <c r="AV884" i="3"/>
  <c r="AV543" i="3"/>
  <c r="AV282" i="3"/>
  <c r="AV33" i="3"/>
  <c r="AV369" i="3"/>
  <c r="AV129" i="3"/>
  <c r="AV1057" i="3"/>
  <c r="AV828" i="3"/>
  <c r="AV911" i="3"/>
  <c r="AV844" i="3"/>
  <c r="AV555" i="3"/>
  <c r="AV993" i="3"/>
  <c r="AV868" i="3"/>
  <c r="AV504" i="3"/>
  <c r="AV624" i="3"/>
  <c r="AV372" i="3"/>
  <c r="AV214" i="3"/>
  <c r="AV980" i="3"/>
  <c r="AV595" i="3"/>
  <c r="AV715" i="3"/>
  <c r="AV982" i="3"/>
  <c r="AV763" i="3"/>
  <c r="AV227" i="3"/>
  <c r="AV1009" i="3"/>
  <c r="AV1048" i="3"/>
  <c r="AV545" i="3"/>
  <c r="AV73" i="3"/>
  <c r="AV264" i="3"/>
  <c r="AV453" i="3"/>
  <c r="AV527" i="3"/>
  <c r="AV798" i="3"/>
  <c r="AV746" i="3"/>
  <c r="AV537" i="3"/>
  <c r="AV359" i="3"/>
  <c r="AV823" i="3"/>
  <c r="AV551" i="3"/>
  <c r="AV420" i="3"/>
  <c r="AV238" i="3"/>
  <c r="AV490" i="3"/>
  <c r="AV524" i="3"/>
  <c r="AV336" i="3"/>
  <c r="AV721" i="3"/>
  <c r="AV717" i="3"/>
  <c r="AV424" i="3"/>
  <c r="AV745" i="3"/>
  <c r="AV741" i="3"/>
  <c r="AV384" i="3"/>
  <c r="AV1036" i="3"/>
  <c r="AV978" i="3"/>
  <c r="AV160" i="3"/>
  <c r="AV938" i="3"/>
  <c r="AV200" i="3"/>
  <c r="AV1100" i="3"/>
  <c r="AV1086" i="3"/>
  <c r="AV96" i="3"/>
  <c r="AV1060" i="3"/>
  <c r="AV1002" i="3"/>
  <c r="AV136" i="3"/>
  <c r="AV1148" i="3"/>
  <c r="AV1164" i="3"/>
  <c r="AV1019" i="3"/>
  <c r="AV32" i="3"/>
  <c r="AV1124" i="3"/>
  <c r="AV72" i="3"/>
  <c r="AV752" i="3"/>
  <c r="AV834" i="3"/>
  <c r="AV77" i="3"/>
  <c r="AV1135" i="3"/>
  <c r="AV858" i="3"/>
  <c r="AV53" i="3"/>
  <c r="AV1095" i="3"/>
  <c r="AV1096" i="3"/>
  <c r="AV157" i="3"/>
  <c r="AV350" i="3"/>
  <c r="AV1153" i="3"/>
  <c r="AV1077" i="3"/>
  <c r="AV119" i="3"/>
  <c r="AV1037" i="3"/>
  <c r="AV1136" i="3"/>
  <c r="AV159" i="3"/>
  <c r="AV373" i="3"/>
  <c r="AV327" i="3"/>
  <c r="AV203" i="3"/>
  <c r="AV749" i="3"/>
  <c r="AV1026" i="3"/>
  <c r="AV112" i="3"/>
  <c r="AV1044" i="3"/>
  <c r="AV1118" i="3"/>
  <c r="AV88" i="3"/>
  <c r="AV1004" i="3"/>
  <c r="AV946" i="3"/>
  <c r="AV192" i="3"/>
  <c r="AV646" i="3"/>
  <c r="AV262" i="3"/>
  <c r="AV1163" i="3"/>
  <c r="AV10" i="3"/>
  <c r="AV767" i="3"/>
  <c r="AV489" i="3"/>
  <c r="AV492" i="3"/>
  <c r="AV426" i="3"/>
  <c r="AV185" i="3"/>
  <c r="AV528" i="3"/>
  <c r="AV292" i="3"/>
  <c r="AV81" i="3"/>
  <c r="AV164" i="3"/>
  <c r="AV188" i="3"/>
  <c r="AV142" i="3"/>
  <c r="AV726" i="3"/>
  <c r="AV674" i="3"/>
  <c r="AV469" i="3"/>
  <c r="AV213" i="3"/>
  <c r="AV817" i="3"/>
  <c r="AV698" i="3"/>
  <c r="AV429" i="3"/>
  <c r="AV100" i="3"/>
  <c r="AV15" i="3"/>
  <c r="AV757" i="3"/>
  <c r="AV306" i="3"/>
  <c r="AV374" i="3"/>
  <c r="AV591" i="3"/>
  <c r="AV394" i="3"/>
  <c r="AV398" i="3"/>
  <c r="AV892" i="3"/>
  <c r="AV807" i="3"/>
  <c r="AV977" i="3"/>
  <c r="AV921" i="3"/>
  <c r="AV285" i="3"/>
  <c r="AV1033" i="3"/>
  <c r="AV951" i="3"/>
  <c r="AV52" i="3"/>
  <c r="AV124" i="3"/>
  <c r="AV513" i="3"/>
  <c r="AV268" i="3"/>
  <c r="AV387" i="3"/>
  <c r="AV891" i="3"/>
  <c r="AV724" i="3"/>
  <c r="AV656" i="3"/>
  <c r="AV475" i="3"/>
  <c r="AV979" i="3"/>
  <c r="AV748" i="3"/>
  <c r="AV616" i="3"/>
  <c r="AV319" i="3"/>
  <c r="AV594" i="3"/>
  <c r="AV380" i="3"/>
  <c r="AV177" i="3"/>
  <c r="AV366" i="3"/>
  <c r="AV583" i="3"/>
  <c r="AV386" i="3"/>
  <c r="AV454" i="3"/>
  <c r="AV948" i="3"/>
  <c r="AV607" i="3"/>
  <c r="AV346" i="3"/>
  <c r="AV651" i="3"/>
  <c r="AV589" i="3"/>
  <c r="AV212" i="3"/>
  <c r="AV383" i="3"/>
  <c r="AV701" i="3"/>
  <c r="AV408" i="3"/>
  <c r="AV1125" i="3"/>
  <c r="AV793" i="3"/>
  <c r="AV789" i="3"/>
  <c r="AV432" i="3"/>
  <c r="AV1066" i="3"/>
  <c r="AV857" i="3"/>
  <c r="AV782" i="3"/>
  <c r="AV436" i="3"/>
  <c r="AV150" i="3"/>
  <c r="AV813" i="3"/>
  <c r="AV667" i="3"/>
  <c r="AV267" i="3"/>
  <c r="AV1102" i="3"/>
  <c r="AV604" i="3"/>
  <c r="AV536" i="3"/>
  <c r="AV291" i="3"/>
  <c r="AV625" i="3"/>
  <c r="AV251" i="3"/>
  <c r="AV232" i="3"/>
  <c r="AV126" i="3"/>
  <c r="AV445" i="3"/>
  <c r="AV517" i="3"/>
  <c r="AV56" i="3"/>
  <c r="AV841" i="3"/>
  <c r="AV816" i="3"/>
  <c r="AV266" i="3"/>
  <c r="AV573" i="3"/>
  <c r="AV855" i="3"/>
  <c r="AV615" i="3"/>
  <c r="AV561" i="3"/>
  <c r="AV43" i="3"/>
  <c r="AV199" i="3"/>
  <c r="AV91" i="3"/>
  <c r="AV175" i="3"/>
  <c r="AV51" i="3"/>
  <c r="AV343" i="3"/>
  <c r="AV135" i="3"/>
  <c r="AV1021" i="3"/>
  <c r="AV824" i="3"/>
  <c r="AV111" i="3"/>
  <c r="AV155" i="3"/>
  <c r="AV215" i="3"/>
  <c r="AV864" i="3"/>
  <c r="AV71" i="3"/>
  <c r="AV1085" i="3"/>
  <c r="AV888" i="3"/>
  <c r="AV47" i="3"/>
  <c r="AV1045" i="3"/>
  <c r="AV1145" i="3"/>
  <c r="AV151" i="3"/>
  <c r="AV650" i="3"/>
  <c r="AV30" i="3"/>
  <c r="AV1144" i="3"/>
  <c r="AV123" i="3"/>
  <c r="AV247" i="3"/>
  <c r="AV435" i="3"/>
  <c r="AV939" i="3"/>
  <c r="AV1063" i="3"/>
  <c r="AV1032" i="3"/>
  <c r="AV189" i="3"/>
  <c r="AV1023" i="3"/>
  <c r="AV989" i="3"/>
  <c r="AV226" i="3"/>
  <c r="AV563" i="3"/>
  <c r="AV1126" i="3"/>
  <c r="AV122" i="3"/>
  <c r="AV98" i="3"/>
  <c r="AV976" i="3"/>
  <c r="AV202" i="3"/>
  <c r="AV846" i="3"/>
  <c r="AV1005" i="3"/>
  <c r="AV127" i="3"/>
  <c r="AV1029" i="3"/>
  <c r="AV1121" i="3"/>
  <c r="AV167" i="3"/>
  <c r="AV107" i="3"/>
  <c r="AV547" i="3"/>
  <c r="AV1158" i="3"/>
  <c r="AV1006" i="3"/>
  <c r="AV170" i="3"/>
  <c r="AV968" i="3"/>
  <c r="AV210" i="3"/>
  <c r="AV532" i="3"/>
  <c r="AV217" i="3"/>
  <c r="AV60" i="3"/>
  <c r="AV351" i="3"/>
  <c r="AV252" i="3"/>
  <c r="AV401" i="3"/>
  <c r="AV348" i="3"/>
  <c r="AV632" i="3"/>
  <c r="AV520" i="3"/>
  <c r="AV511" i="3"/>
  <c r="AV140" i="3"/>
  <c r="AV683" i="3"/>
  <c r="AV974" i="3"/>
  <c r="AV731" i="3"/>
  <c r="AV283" i="3"/>
  <c r="AV556" i="3"/>
  <c r="AV629" i="3"/>
  <c r="AV313" i="3"/>
  <c r="AV241" i="3"/>
  <c r="AV295" i="3"/>
  <c r="AV640" i="3"/>
  <c r="AV459" i="3"/>
  <c r="AV963" i="3"/>
  <c r="AV796" i="3"/>
  <c r="AV728" i="3"/>
  <c r="AV483" i="3"/>
  <c r="AV987" i="3"/>
  <c r="AV1056" i="3"/>
  <c r="AV438" i="3"/>
  <c r="AV932" i="3"/>
  <c r="AV655" i="3"/>
  <c r="AV458" i="3"/>
  <c r="AV462" i="3"/>
  <c r="AV956" i="3"/>
  <c r="AV564" i="3"/>
  <c r="AV361" i="3"/>
  <c r="AV250" i="3"/>
  <c r="AV894" i="3"/>
  <c r="AV465" i="3"/>
  <c r="AV787" i="3"/>
  <c r="AV606" i="3"/>
  <c r="AV985" i="3"/>
  <c r="AV349" i="3"/>
  <c r="AV630" i="3"/>
  <c r="AV642" i="3"/>
  <c r="AV228" i="3"/>
  <c r="AV412" i="3"/>
  <c r="AV358" i="3"/>
  <c r="AV332" i="3"/>
  <c r="AV451" i="3"/>
  <c r="AV955" i="3"/>
  <c r="AV788" i="3"/>
  <c r="AV720" i="3"/>
  <c r="AV549" i="3"/>
  <c r="AV856" i="3"/>
  <c r="AV809" i="3"/>
  <c r="AV680" i="3"/>
  <c r="AV270" i="3"/>
  <c r="AV865" i="3"/>
  <c r="AV516" i="3"/>
  <c r="AV23" i="3"/>
  <c r="AV794" i="3"/>
  <c r="AV586" i="3"/>
  <c r="AV318" i="3"/>
  <c r="AV1041" i="3"/>
  <c r="AV535" i="3"/>
  <c r="AV274" i="3"/>
  <c r="AV579" i="3"/>
  <c r="AV984" i="3"/>
  <c r="AV392" i="3"/>
  <c r="AV379" i="3"/>
  <c r="AV148" i="3"/>
  <c r="AV229" i="3"/>
  <c r="AV765" i="3"/>
  <c r="AV472" i="3"/>
  <c r="AV1111" i="3"/>
  <c r="AV927" i="3"/>
  <c r="AV860" i="3"/>
  <c r="AV496" i="3"/>
  <c r="AV1020" i="3"/>
  <c r="AV1137" i="3"/>
  <c r="AV1038" i="3"/>
  <c r="AV500" i="3"/>
  <c r="AV86" i="3"/>
  <c r="AV66" i="3"/>
  <c r="AV903" i="3"/>
  <c r="AV331" i="3"/>
  <c r="AV835" i="3"/>
  <c r="AV668" i="3"/>
  <c r="AV600" i="3"/>
  <c r="AV355" i="3"/>
  <c r="AV859" i="3"/>
  <c r="AV753" i="3"/>
  <c r="AV560" i="3"/>
  <c r="AV949" i="3"/>
  <c r="AV253" i="3"/>
  <c r="AV973" i="3"/>
  <c r="AV237" i="3"/>
  <c r="AV869" i="3"/>
  <c r="AV550" i="3"/>
  <c r="AV1016" i="3"/>
  <c r="AV205" i="3"/>
  <c r="AV1007" i="3"/>
  <c r="AV1049" i="3"/>
  <c r="AV181" i="3"/>
  <c r="AV933" i="3"/>
  <c r="AV303" i="3"/>
  <c r="AV1128" i="3"/>
  <c r="AV141" i="3"/>
  <c r="AV1071" i="3"/>
  <c r="AV117" i="3"/>
  <c r="AV1031" i="3"/>
  <c r="AV997" i="3"/>
  <c r="AV221" i="3"/>
  <c r="AV887" i="3"/>
  <c r="AV1074" i="3"/>
  <c r="AV829" i="3"/>
  <c r="AV50" i="3"/>
  <c r="AV1098" i="3"/>
  <c r="AV90" i="3"/>
  <c r="AV1065" i="3"/>
  <c r="AV309" i="3"/>
  <c r="AV1147" i="3"/>
  <c r="AV211" i="3"/>
  <c r="AV1107" i="3"/>
  <c r="AV231" i="3"/>
  <c r="AV685" i="3"/>
  <c r="AV962" i="3"/>
  <c r="AV176" i="3"/>
  <c r="AV986" i="3"/>
  <c r="AV152" i="3"/>
  <c r="AV882" i="3"/>
  <c r="AV29" i="3"/>
  <c r="AV700" i="3"/>
  <c r="AV1024" i="3"/>
  <c r="AV197" i="3"/>
  <c r="AV1015" i="3"/>
  <c r="AV981" i="3"/>
  <c r="AV233" i="3"/>
  <c r="AV677" i="3"/>
  <c r="AV320" i="3"/>
  <c r="AV954" i="3"/>
  <c r="AV914" i="3"/>
  <c r="AV224" i="3"/>
  <c r="AV874" i="3"/>
  <c r="AV37" i="3"/>
  <c r="AV521" i="3"/>
  <c r="AV602" i="3"/>
  <c r="AV297" i="3"/>
  <c r="AV428" i="3"/>
  <c r="AV377" i="3"/>
  <c r="AV447" i="3"/>
  <c r="AV323" i="3"/>
  <c r="AV116" i="3"/>
  <c r="AV174" i="3"/>
  <c r="AV315" i="3"/>
  <c r="AV273" i="3"/>
  <c r="AV400" i="3"/>
  <c r="AV1061" i="3"/>
  <c r="AV785" i="3"/>
  <c r="AV781" i="3"/>
  <c r="AV488" i="3"/>
  <c r="AV815" i="3"/>
  <c r="AV805" i="3"/>
  <c r="AV760" i="3"/>
  <c r="AV260" i="3"/>
  <c r="AV41" i="3"/>
  <c r="AV969" i="3"/>
  <c r="AV333" i="3"/>
  <c r="AV678" i="3"/>
  <c r="AV626" i="3"/>
  <c r="AV357" i="3"/>
  <c r="AV950" i="3"/>
  <c r="AV523" i="3"/>
  <c r="AV1104" i="3"/>
  <c r="AV601" i="3"/>
  <c r="AV792" i="3"/>
  <c r="AV553" i="3"/>
  <c r="AV920" i="3"/>
  <c r="AV638" i="3"/>
  <c r="AV967" i="3"/>
  <c r="AV244" i="3"/>
  <c r="AV541" i="3"/>
  <c r="AV708" i="3"/>
  <c r="AV434" i="3"/>
  <c r="AV502" i="3"/>
  <c r="AV996" i="3"/>
  <c r="AV719" i="3"/>
  <c r="AV522" i="3"/>
  <c r="AV526" i="3"/>
  <c r="AV1110" i="3"/>
  <c r="AV692" i="3"/>
  <c r="AV425" i="3"/>
  <c r="AV201" i="3"/>
  <c r="AV1169" i="3"/>
  <c r="AV529" i="3"/>
  <c r="AV325" i="3"/>
  <c r="AV670" i="3"/>
  <c r="AV618" i="3"/>
  <c r="AV413" i="3"/>
  <c r="AV79" i="3"/>
  <c r="AV694" i="3"/>
  <c r="AV706" i="3"/>
  <c r="AV236" i="3"/>
  <c r="AV577" i="3"/>
  <c r="AV381" i="3"/>
  <c r="AV409" i="3"/>
  <c r="AV652" i="3"/>
  <c r="AV584" i="3"/>
  <c r="AV403" i="3"/>
  <c r="AV907" i="3"/>
  <c r="AV740" i="3"/>
  <c r="AV608" i="3"/>
  <c r="AV363" i="3"/>
  <c r="AV11" i="3"/>
  <c r="AV209" i="3"/>
  <c r="AV883" i="3"/>
  <c r="AV771" i="3"/>
  <c r="AV276" i="3"/>
  <c r="AV862" i="3"/>
  <c r="AV314" i="3"/>
  <c r="AV382" i="3"/>
  <c r="AV876" i="3"/>
  <c r="AV599" i="3"/>
  <c r="AV338" i="3"/>
  <c r="AV342" i="3"/>
  <c r="AV890" i="3"/>
  <c r="AV897" i="3"/>
  <c r="AV755" i="3"/>
  <c r="AV84" i="3"/>
  <c r="AV169" i="3"/>
  <c r="AV836" i="3"/>
  <c r="AV540" i="3"/>
  <c r="AV991" i="3"/>
  <c r="AV935" i="3"/>
  <c r="AV659" i="3"/>
  <c r="AV964" i="3"/>
  <c r="AV895" i="3"/>
  <c r="AV1067" i="3"/>
  <c r="AV163" i="3"/>
  <c r="AV1091" i="3"/>
  <c r="AV391" i="3"/>
  <c r="AV1132" i="3"/>
  <c r="AV64" i="3"/>
  <c r="AV1131" i="3"/>
  <c r="AV13" i="3"/>
  <c r="AV1155" i="3"/>
  <c r="AV423" i="3"/>
  <c r="AV1051" i="3"/>
  <c r="AV147" i="3"/>
  <c r="AV487" i="3"/>
  <c r="AV519" i="3"/>
  <c r="AV1115" i="3"/>
  <c r="AV455" i="3"/>
  <c r="AV761" i="3"/>
  <c r="AV1028" i="3"/>
  <c r="AV1054" i="3"/>
  <c r="AV104" i="3"/>
  <c r="AV1052" i="3"/>
  <c r="AV994" i="3"/>
  <c r="AV144" i="3"/>
  <c r="AV743" i="3"/>
  <c r="AV482" i="3"/>
  <c r="AV992" i="3"/>
  <c r="AV186" i="3"/>
  <c r="AV1014" i="3"/>
  <c r="AV162" i="3"/>
  <c r="AV912" i="3"/>
  <c r="AV294" i="3"/>
  <c r="AV778" i="3"/>
  <c r="AV99" i="3"/>
  <c r="AV191" i="3"/>
  <c r="AV27" i="3"/>
  <c r="AV239" i="3"/>
  <c r="AV1168" i="3"/>
  <c r="AV75" i="3"/>
  <c r="AV1097" i="3"/>
  <c r="AV1139" i="3"/>
  <c r="AV187" i="3"/>
  <c r="AV1099" i="3"/>
  <c r="AV179" i="3"/>
  <c r="AV1140" i="3"/>
  <c r="AV770" i="3"/>
  <c r="AV501" i="3"/>
  <c r="AV184" i="3"/>
  <c r="AV265" i="3"/>
  <c r="AV131" i="3"/>
  <c r="AV255" i="3"/>
  <c r="AV1160" i="3"/>
  <c r="AV19" i="3"/>
  <c r="AV1080" i="3"/>
  <c r="AV196" i="3"/>
  <c r="AV118" i="3"/>
  <c r="AV161" i="3"/>
  <c r="AV92" i="3"/>
  <c r="AV12" i="3"/>
  <c r="AV286" i="3"/>
  <c r="AV298" i="3"/>
  <c r="AV254" i="3"/>
  <c r="AV645" i="3"/>
  <c r="AV578" i="3"/>
  <c r="AV310" i="3"/>
  <c r="AV873" i="3"/>
  <c r="AV1073" i="3"/>
  <c r="AV330" i="3"/>
  <c r="AV334" i="3"/>
  <c r="AV1120" i="3"/>
  <c r="AV679" i="3"/>
  <c r="AV225" i="3"/>
  <c r="AV457" i="3"/>
  <c r="AV468" i="3"/>
  <c r="AV703" i="3"/>
  <c r="AV506" i="3"/>
  <c r="AV605" i="3"/>
  <c r="AV926" i="3"/>
  <c r="AV791" i="3"/>
  <c r="AV530" i="3"/>
  <c r="AV538" i="3"/>
  <c r="AV397" i="3"/>
  <c r="AV207" i="3"/>
  <c r="AV742" i="3"/>
  <c r="AV690" i="3"/>
  <c r="AV421" i="3"/>
  <c r="AV287" i="3"/>
  <c r="AV1017" i="3"/>
  <c r="AV476" i="3"/>
  <c r="AV441" i="3"/>
  <c r="AV121" i="3"/>
  <c r="AV134" i="3"/>
  <c r="AV768" i="3"/>
  <c r="AV280" i="3"/>
  <c r="AV941" i="3"/>
  <c r="AV665" i="3"/>
  <c r="AV661" i="3"/>
  <c r="AV304" i="3"/>
  <c r="AV826" i="3"/>
  <c r="AV702" i="3"/>
  <c r="AV695" i="3"/>
  <c r="AV308" i="3"/>
  <c r="AV718" i="3"/>
  <c r="AV590" i="3"/>
  <c r="AV498" i="3"/>
  <c r="AV603" i="3"/>
  <c r="AV918" i="3"/>
  <c r="AV783" i="3"/>
  <c r="AV613" i="3"/>
  <c r="AV621" i="3"/>
  <c r="AV942" i="3"/>
  <c r="AV756" i="3"/>
  <c r="AV433" i="3"/>
  <c r="AV65" i="3"/>
  <c r="AV567" i="3"/>
  <c r="AV975" i="3"/>
  <c r="AV919" i="3"/>
  <c r="AV277" i="3"/>
  <c r="AV622" i="3"/>
  <c r="AV937" i="3"/>
  <c r="AV691" i="3"/>
  <c r="AV688" i="3"/>
  <c r="AV300" i="3"/>
  <c r="AV222" i="3"/>
  <c r="AV582" i="3"/>
  <c r="AV473" i="3"/>
  <c r="AV716" i="3"/>
  <c r="AV648" i="3"/>
  <c r="AV467" i="3"/>
  <c r="AV971" i="3"/>
  <c r="AV804" i="3"/>
  <c r="AV672" i="3"/>
  <c r="AV427" i="3"/>
  <c r="AV243" i="3"/>
  <c r="AV145" i="3"/>
  <c r="AV329" i="3"/>
  <c r="AV340" i="3"/>
  <c r="AV575" i="3"/>
  <c r="AV378" i="3"/>
  <c r="AV446" i="3"/>
  <c r="AV940" i="3"/>
  <c r="AV663" i="3"/>
  <c r="AV402" i="3"/>
  <c r="AV406" i="3"/>
  <c r="AV623" i="3"/>
  <c r="AV1133" i="3"/>
  <c r="AV936" i="3"/>
  <c r="AV261" i="3"/>
  <c r="AV1157" i="3"/>
  <c r="AV896" i="3"/>
  <c r="AV39" i="3"/>
  <c r="AV1053" i="3"/>
  <c r="AV687" i="3"/>
  <c r="AV1000" i="3"/>
  <c r="AV178" i="3"/>
  <c r="AV960" i="3"/>
  <c r="AV218" i="3"/>
  <c r="AV1117" i="3"/>
  <c r="AV751" i="3"/>
  <c r="AV1150" i="3"/>
  <c r="AV114" i="3"/>
  <c r="AV1034" i="3"/>
  <c r="AV1022" i="3"/>
  <c r="AV154" i="3"/>
  <c r="AV587" i="3"/>
  <c r="AV863" i="3"/>
  <c r="AV1013" i="3"/>
  <c r="AV1089" i="3"/>
  <c r="AV183" i="3"/>
  <c r="AV503" i="3"/>
  <c r="AV223" i="3"/>
  <c r="AV689" i="3"/>
  <c r="AV814" i="3"/>
  <c r="AV898" i="3"/>
  <c r="AV565" i="3"/>
  <c r="AV922" i="3"/>
  <c r="AV216" i="3"/>
  <c r="AV1159" i="3"/>
  <c r="AV818" i="3"/>
  <c r="AV93" i="3"/>
  <c r="AV636" i="3"/>
  <c r="AV957" i="3"/>
  <c r="AV249" i="3"/>
  <c r="AV917" i="3"/>
  <c r="AV367" i="3"/>
  <c r="AV1122" i="3"/>
  <c r="AV478" i="3"/>
  <c r="AV972" i="3"/>
  <c r="AV944" i="3"/>
  <c r="AV246" i="3"/>
  <c r="AV1165" i="3"/>
  <c r="AV904" i="3"/>
  <c r="AV31" i="3"/>
  <c r="AV628" i="3"/>
  <c r="AV812" i="3"/>
  <c r="AV885" i="3"/>
  <c r="AV495" i="3"/>
  <c r="AV1154" i="3"/>
  <c r="AV909" i="3"/>
  <c r="AV399" i="3"/>
  <c r="AV1114" i="3"/>
  <c r="AV74" i="3"/>
  <c r="AV190" i="3"/>
  <c r="AV324" i="3"/>
  <c r="AV704" i="3"/>
  <c r="AV571" i="3"/>
  <c r="AV172" i="3"/>
  <c r="AV707" i="3"/>
  <c r="AV554" i="3"/>
  <c r="AV120" i="3"/>
  <c r="AV180" i="3"/>
  <c r="AV456" i="3"/>
  <c r="AV568" i="3"/>
  <c r="AV576" i="3"/>
  <c r="AV395" i="3"/>
  <c r="AV899" i="3"/>
  <c r="AV732" i="3"/>
  <c r="AV664" i="3"/>
  <c r="AV419" i="3"/>
  <c r="AV923" i="3"/>
  <c r="AV879" i="3"/>
  <c r="AV479" i="3"/>
  <c r="AV644" i="3"/>
  <c r="AV328" i="3"/>
  <c r="AV649" i="3"/>
  <c r="AV352" i="3"/>
  <c r="AV1123" i="3"/>
  <c r="AV737" i="3"/>
  <c r="AV669" i="3"/>
  <c r="AV312" i="3"/>
  <c r="AV512" i="3"/>
  <c r="AV597" i="3"/>
  <c r="AV747" i="3"/>
  <c r="AV990" i="3"/>
  <c r="AV548" i="3"/>
  <c r="AV627" i="3"/>
  <c r="AV635" i="3"/>
  <c r="AV110" i="3"/>
  <c r="AV889" i="3"/>
  <c r="AV388" i="3"/>
  <c r="AV132" i="3"/>
  <c r="AV666" i="3"/>
  <c r="AV461" i="3"/>
  <c r="AV271" i="3"/>
  <c r="AV806" i="3"/>
  <c r="AV754" i="3"/>
  <c r="AV485" i="3"/>
  <c r="AV85" i="3"/>
  <c r="AV867" i="3"/>
  <c r="AV481" i="3"/>
  <c r="AV505" i="3"/>
  <c r="AV57" i="3"/>
  <c r="AV70" i="3"/>
  <c r="AV1129" i="3"/>
  <c r="AV344" i="3"/>
  <c r="AV1059" i="3"/>
  <c r="AV729" i="3"/>
  <c r="AV725" i="3"/>
  <c r="AV368" i="3"/>
  <c r="AV766" i="3"/>
  <c r="AV759" i="3"/>
  <c r="AV444" i="3"/>
  <c r="AV113" i="3"/>
  <c r="AV430" i="3"/>
  <c r="AV924" i="3"/>
  <c r="AV647" i="3"/>
  <c r="AV450" i="3"/>
  <c r="AV518" i="3"/>
  <c r="AV1078" i="3"/>
  <c r="AV671" i="3"/>
  <c r="AV410" i="3"/>
  <c r="AV353" i="3"/>
  <c r="AV497" i="3"/>
  <c r="AV220" i="3"/>
  <c r="AV574" i="3"/>
  <c r="AV772" i="3"/>
  <c r="AV598" i="3"/>
  <c r="AV983" i="3"/>
  <c r="AV341" i="3"/>
  <c r="AV686" i="3"/>
  <c r="AV1001" i="3"/>
  <c r="AV301" i="3"/>
  <c r="AV953" i="3"/>
  <c r="AV364" i="3"/>
  <c r="AV158" i="3"/>
  <c r="AV693" i="3"/>
  <c r="AV534" i="3"/>
  <c r="AV780" i="3"/>
  <c r="AV712" i="3"/>
  <c r="AV531" i="3"/>
  <c r="AV1161" i="3"/>
  <c r="AV609" i="3"/>
  <c r="AV736" i="3"/>
  <c r="AV491" i="3"/>
  <c r="AV307" i="3"/>
  <c r="AV1112" i="3"/>
  <c r="AV1119" i="3"/>
  <c r="AV842" i="3"/>
  <c r="AV69" i="3"/>
  <c r="AV1143" i="3"/>
  <c r="AV109" i="3"/>
  <c r="AV1039" i="3"/>
  <c r="AV633" i="3"/>
  <c r="AV906" i="3"/>
  <c r="AV240" i="3"/>
  <c r="AV866" i="3"/>
  <c r="AV45" i="3"/>
  <c r="AV1103" i="3"/>
  <c r="AV697" i="3"/>
  <c r="AV970" i="3"/>
  <c r="AV168" i="3"/>
  <c r="AV930" i="3"/>
  <c r="AV208" i="3"/>
  <c r="AV1167" i="3"/>
  <c r="AV371" i="3"/>
  <c r="AV875" i="3"/>
  <c r="AV965" i="3"/>
  <c r="AV242" i="3"/>
  <c r="AV925" i="3"/>
  <c r="AV335" i="3"/>
  <c r="AV825" i="3"/>
  <c r="AV714" i="3"/>
  <c r="AV139" i="3"/>
  <c r="AV263" i="3"/>
  <c r="AV59" i="3"/>
  <c r="AV407" i="3"/>
  <c r="AV14" i="3"/>
  <c r="AV959" i="3"/>
  <c r="AV1156" i="3"/>
  <c r="AV1075" i="3"/>
  <c r="AV195" i="3"/>
  <c r="AV1035" i="3"/>
  <c r="AV16" i="3"/>
  <c r="AV1076" i="3"/>
  <c r="AV256" i="3"/>
  <c r="AV1094" i="3"/>
  <c r="AV850" i="3"/>
  <c r="AV61" i="3"/>
  <c r="AV1151" i="3"/>
  <c r="AV810" i="3"/>
  <c r="AV101" i="3"/>
  <c r="AV945" i="3"/>
  <c r="AV820" i="3"/>
  <c r="AV1003" i="3"/>
  <c r="AV48" i="3"/>
  <c r="AV1108" i="3"/>
  <c r="AV1027" i="3"/>
  <c r="AV24" i="3"/>
  <c r="AV1068" i="3"/>
  <c r="AV1010" i="3"/>
  <c r="AV128" i="3"/>
  <c r="AV102" i="3"/>
  <c r="AV449" i="3"/>
  <c r="AV198" i="3"/>
  <c r="AV182" i="3"/>
  <c r="AV819" i="3"/>
  <c r="AV245" i="3"/>
  <c r="AV415" i="3"/>
  <c r="AV509" i="3"/>
  <c r="AV25" i="3"/>
  <c r="AV105" i="3"/>
  <c r="AV910" i="3"/>
  <c r="AV269" i="3"/>
  <c r="AV614" i="3"/>
  <c r="AV999" i="3"/>
  <c r="AV293" i="3"/>
  <c r="AV1142" i="3"/>
  <c r="AV28" i="3"/>
  <c r="AV78" i="3"/>
  <c r="AV1018" i="3"/>
  <c r="AV790" i="3"/>
  <c r="AV738" i="3"/>
  <c r="AV533" i="3"/>
  <c r="AV539" i="3"/>
  <c r="AV849" i="3"/>
  <c r="AV762" i="3"/>
  <c r="AV493" i="3"/>
  <c r="AV713" i="3"/>
  <c r="AV709" i="3"/>
  <c r="AV416" i="3"/>
  <c r="AV801" i="3"/>
  <c r="AV733" i="3"/>
  <c r="AV376" i="3"/>
  <c r="AV290" i="3"/>
  <c r="AV108" i="3"/>
  <c r="AV284" i="3"/>
  <c r="AV422" i="3"/>
  <c r="AV281" i="3"/>
  <c r="AV902" i="3"/>
  <c r="AV699" i="3"/>
  <c r="AV275" i="3"/>
  <c r="AV1134" i="3"/>
  <c r="AV612" i="3"/>
  <c r="AV795" i="3"/>
  <c r="AV235" i="3"/>
  <c r="AV194" i="3"/>
  <c r="AV569" i="3"/>
  <c r="AV769" i="3"/>
  <c r="AV452" i="3"/>
  <c r="AV68" i="3"/>
  <c r="AV730" i="3"/>
  <c r="AV525" i="3"/>
  <c r="AV171" i="3"/>
  <c r="AV847" i="3"/>
  <c r="AV822" i="3"/>
  <c r="AV542" i="3"/>
  <c r="AV22" i="3"/>
  <c r="AV931" i="3"/>
  <c r="AV417" i="3"/>
  <c r="AV443" i="3"/>
  <c r="AV396" i="3"/>
  <c r="AV515" i="3"/>
  <c r="AV1072" i="3"/>
  <c r="AV593" i="3"/>
  <c r="AV784" i="3"/>
  <c r="AV296" i="3"/>
  <c r="AV1113" i="3"/>
  <c r="AV617" i="3"/>
  <c r="AV744" i="3"/>
  <c r="AV153" i="3"/>
  <c r="AV705" i="3"/>
  <c r="AV508" i="3"/>
  <c r="AV49" i="3"/>
  <c r="AV494" i="3"/>
  <c r="AV988" i="3"/>
  <c r="AV711" i="3"/>
  <c r="AV514" i="3"/>
  <c r="AV619" i="3"/>
  <c r="AV934" i="3"/>
  <c r="AV735" i="3"/>
  <c r="AV474" i="3"/>
  <c r="AV966" i="3"/>
  <c r="AV558" i="3"/>
  <c r="AV156" i="3"/>
  <c r="AV206" i="3"/>
  <c r="AV654" i="3"/>
  <c r="AV662" i="3"/>
  <c r="AV610" i="3"/>
  <c r="AV405" i="3"/>
  <c r="AV143" i="3"/>
  <c r="AV750" i="3"/>
  <c r="AV634" i="3"/>
  <c r="AV365" i="3"/>
  <c r="AV1088" i="3"/>
  <c r="AV710" i="3"/>
  <c r="AV38" i="3"/>
  <c r="AV9" i="3"/>
  <c r="AV774" i="3"/>
  <c r="AV67" i="3"/>
  <c r="AV471" i="3"/>
  <c r="AV1152" i="3"/>
  <c r="AV83" i="3"/>
  <c r="AV831" i="3"/>
  <c r="AV35" i="3"/>
  <c r="AV257" i="3"/>
  <c r="AV115" i="3"/>
  <c r="AV375" i="3"/>
  <c r="AV723" i="3"/>
  <c r="AV1083" i="3"/>
  <c r="AV219" i="3"/>
  <c r="AV1043" i="3"/>
  <c r="AV8" i="3"/>
  <c r="AV572" i="3"/>
  <c r="AV1138" i="3"/>
  <c r="AV893" i="3"/>
  <c r="AV463" i="3"/>
  <c r="AV1162" i="3"/>
  <c r="AV853" i="3"/>
  <c r="AV26" i="3"/>
  <c r="AV1058" i="3"/>
  <c r="AV414" i="3"/>
  <c r="AV908" i="3"/>
  <c r="AV1141" i="3"/>
  <c r="AV880" i="3"/>
  <c r="AV55" i="3"/>
  <c r="AV1101" i="3"/>
  <c r="AV840" i="3"/>
  <c r="AV95" i="3"/>
  <c r="AV437" i="3"/>
  <c r="AV130" i="3"/>
  <c r="AV46" i="3"/>
  <c r="AV439" i="3"/>
  <c r="AV17" i="3"/>
  <c r="AV900" i="3"/>
  <c r="AV559" i="3"/>
  <c r="AV1069" i="3"/>
  <c r="AV872" i="3"/>
  <c r="AV63" i="3"/>
  <c r="AV1093" i="3"/>
  <c r="AV832" i="3"/>
  <c r="AV103" i="3"/>
  <c r="AV7" i="3"/>
  <c r="AA584" i="3"/>
  <c r="AA1086" i="3"/>
  <c r="AA956" i="3"/>
  <c r="AA253" i="3"/>
  <c r="AA365" i="3"/>
  <c r="AA181" i="3"/>
  <c r="AA244" i="3"/>
  <c r="AA49" i="3"/>
  <c r="AA113" i="3"/>
  <c r="AA639" i="3"/>
  <c r="AB639" i="3" s="1"/>
  <c r="AA1167" i="3"/>
  <c r="AA463" i="3"/>
  <c r="AA1075" i="3"/>
  <c r="AA1030" i="3"/>
  <c r="AB1030" i="3" s="1"/>
  <c r="AA898" i="3"/>
  <c r="AA945" i="3"/>
  <c r="AA1026" i="3"/>
  <c r="AA1005" i="3"/>
  <c r="AA1087" i="3"/>
  <c r="AA961" i="3"/>
  <c r="AA832" i="3"/>
  <c r="AA289" i="3"/>
  <c r="AA435" i="3"/>
  <c r="AA78" i="3"/>
  <c r="AA619" i="3"/>
  <c r="AA429" i="3"/>
  <c r="AA153" i="3"/>
  <c r="AA241" i="3"/>
  <c r="AA397" i="3"/>
  <c r="AA1110" i="3"/>
  <c r="AA634" i="3"/>
  <c r="AA1131" i="3"/>
  <c r="AA925" i="3"/>
  <c r="AA1141" i="3"/>
  <c r="AA1013" i="3"/>
  <c r="AA632" i="3"/>
  <c r="AA767" i="3"/>
  <c r="AA1091" i="3"/>
  <c r="AB1091" i="3" s="1"/>
  <c r="AA965" i="3"/>
  <c r="AA95" i="3"/>
  <c r="AA1050" i="3"/>
  <c r="AA857" i="3"/>
  <c r="AA90" i="3"/>
  <c r="AA369" i="3"/>
  <c r="AA171" i="3"/>
  <c r="AA1142" i="3"/>
  <c r="AA1134" i="3"/>
  <c r="AA842" i="3"/>
  <c r="AA1165" i="3"/>
  <c r="AA602" i="3"/>
  <c r="AA970" i="3"/>
  <c r="AA928" i="3"/>
  <c r="AA1160" i="3"/>
  <c r="AA618" i="3"/>
  <c r="AA472" i="3"/>
  <c r="AA319" i="3"/>
  <c r="AA328" i="3"/>
  <c r="AA183" i="3"/>
  <c r="AA105" i="3"/>
  <c r="AA502" i="3"/>
  <c r="AA826" i="3"/>
  <c r="AA560" i="3"/>
  <c r="AB560" i="3" s="1"/>
  <c r="AA1154" i="3"/>
  <c r="AA900" i="3"/>
  <c r="AA1161" i="3"/>
  <c r="AA1060" i="3"/>
  <c r="AB1060" i="3" s="1"/>
  <c r="AA614" i="3"/>
  <c r="AA261" i="3"/>
  <c r="AA1020" i="3"/>
  <c r="AA855" i="3"/>
  <c r="AA1103" i="3"/>
  <c r="AA1140" i="3"/>
  <c r="AA877" i="3"/>
  <c r="AA967" i="3"/>
  <c r="AB967" i="3" s="1"/>
  <c r="AA1170" i="3"/>
  <c r="AA1089" i="3"/>
  <c r="AA578" i="3"/>
  <c r="AA1129" i="3"/>
  <c r="AA874" i="3"/>
  <c r="AA830" i="3"/>
  <c r="AA774" i="3"/>
  <c r="AB774" i="3" s="1"/>
  <c r="AA392" i="3"/>
  <c r="AA359" i="3"/>
  <c r="AA764" i="3"/>
  <c r="AA565" i="3"/>
  <c r="AA1047" i="3"/>
  <c r="AA824" i="3"/>
  <c r="AA335" i="3"/>
  <c r="AB335" i="3" s="1"/>
  <c r="AA1028" i="3"/>
  <c r="AA1119" i="3"/>
  <c r="AA816" i="3"/>
  <c r="AA882" i="3"/>
  <c r="AA859" i="3"/>
  <c r="AA474" i="3"/>
  <c r="AA103" i="3"/>
  <c r="AA216" i="3"/>
  <c r="AA433" i="3"/>
  <c r="AA951" i="3"/>
  <c r="AA516" i="3"/>
  <c r="AA980" i="3"/>
  <c r="AA1062" i="3"/>
  <c r="AA1011" i="3"/>
  <c r="AA765" i="3"/>
  <c r="AA976" i="3"/>
  <c r="AA597" i="3"/>
  <c r="AA1037" i="3"/>
  <c r="AA992" i="3"/>
  <c r="AA562" i="3"/>
  <c r="AB562" i="3" s="1"/>
  <c r="AA399" i="3"/>
  <c r="AB399" i="3" s="1"/>
  <c r="AA1158" i="3"/>
  <c r="AA152" i="3"/>
  <c r="AA467" i="3"/>
  <c r="AA254" i="3"/>
  <c r="U111" i="3"/>
  <c r="U190" i="3"/>
  <c r="AA1132" i="3"/>
  <c r="AC630" i="3"/>
  <c r="U23" i="3"/>
  <c r="U392" i="3"/>
  <c r="AC621" i="3"/>
  <c r="U284" i="3"/>
  <c r="U452" i="3"/>
  <c r="AC65" i="3"/>
  <c r="AC14" i="3"/>
  <c r="AC444" i="3"/>
  <c r="AC129" i="3"/>
  <c r="U330" i="3"/>
  <c r="AC512" i="3"/>
  <c r="AC175" i="3"/>
  <c r="AC986" i="3"/>
  <c r="AC914" i="3"/>
  <c r="AC447" i="3"/>
  <c r="AC460" i="3"/>
  <c r="AC339" i="3"/>
  <c r="U427" i="3"/>
  <c r="AC976" i="3"/>
  <c r="U133" i="3"/>
  <c r="AC419" i="3"/>
  <c r="U1239" i="3"/>
  <c r="AC980" i="3"/>
  <c r="AC740" i="3"/>
  <c r="AC80" i="3"/>
  <c r="U410" i="3"/>
  <c r="AC211" i="3"/>
  <c r="U1367" i="3"/>
  <c r="AC356" i="3"/>
  <c r="AC532" i="3"/>
  <c r="AC347" i="3"/>
  <c r="AC120" i="3"/>
  <c r="AC1041" i="3"/>
  <c r="AC814" i="3"/>
  <c r="AC108" i="3"/>
  <c r="AC923" i="3"/>
  <c r="AA750" i="3"/>
  <c r="AB750" i="3" s="1"/>
  <c r="U1173" i="3"/>
  <c r="U853" i="3"/>
  <c r="AC91" i="3"/>
  <c r="AC82" i="3"/>
  <c r="AA758" i="3"/>
  <c r="AB758" i="3" s="1"/>
  <c r="AC463" i="3"/>
  <c r="AB463" i="3" s="1"/>
  <c r="AC484" i="3"/>
  <c r="U251" i="3"/>
  <c r="AC711" i="3"/>
  <c r="AA1090" i="3"/>
  <c r="AA960" i="3"/>
  <c r="AA613" i="3"/>
  <c r="AA808" i="3"/>
  <c r="AA643" i="3"/>
  <c r="AA1127" i="3"/>
  <c r="AA579" i="3"/>
  <c r="AA14" i="3"/>
  <c r="AA29" i="3"/>
  <c r="AA542" i="3"/>
  <c r="AA769" i="3"/>
  <c r="AA333" i="3"/>
  <c r="AA788" i="3"/>
  <c r="AA848" i="3"/>
  <c r="AA128" i="3"/>
  <c r="AA141" i="3"/>
  <c r="AA707" i="3"/>
  <c r="AA408" i="3"/>
  <c r="AA362" i="3"/>
  <c r="AA259" i="3"/>
  <c r="AA245" i="3"/>
  <c r="AA1092" i="3"/>
  <c r="AA962" i="3"/>
  <c r="AA833" i="3"/>
  <c r="AA903" i="3"/>
  <c r="AA822" i="3"/>
  <c r="AA571" i="3"/>
  <c r="AA329" i="3"/>
  <c r="AA528" i="3"/>
  <c r="AA145" i="3"/>
  <c r="AA323" i="3"/>
  <c r="AA445" i="3"/>
  <c r="AA455" i="3"/>
  <c r="AA391" i="3"/>
  <c r="AA1121" i="3"/>
  <c r="AA922" i="3"/>
  <c r="AA1049" i="3"/>
  <c r="AB1049" i="3" s="1"/>
  <c r="AA630" i="3"/>
  <c r="AA1115" i="3"/>
  <c r="AA41" i="3"/>
  <c r="AA1043" i="3"/>
  <c r="AA1007" i="3"/>
  <c r="AA174" i="3"/>
  <c r="AB174" i="3" s="1"/>
  <c r="AA659" i="3"/>
  <c r="AA590" i="3"/>
  <c r="AA1058" i="3"/>
  <c r="AA914" i="3"/>
  <c r="AA996" i="3"/>
  <c r="AB996" i="3" s="1"/>
  <c r="AA139" i="3"/>
  <c r="AA438" i="3"/>
  <c r="AA374" i="3"/>
  <c r="AA656" i="3"/>
  <c r="AB656" i="3" s="1"/>
  <c r="AA918" i="3"/>
  <c r="AA1046" i="3"/>
  <c r="AA569" i="3"/>
  <c r="AA251" i="3"/>
  <c r="AA730" i="3"/>
  <c r="AA205" i="3"/>
  <c r="AA15" i="3"/>
  <c r="AB15" i="3" s="1"/>
  <c r="AA972" i="3"/>
  <c r="AB972" i="3" s="1"/>
  <c r="AA1094" i="3"/>
  <c r="AA964" i="3"/>
  <c r="AA835" i="3"/>
  <c r="AA947" i="3"/>
  <c r="AA666" i="3"/>
  <c r="AA1073" i="3"/>
  <c r="AB1073" i="3" s="1"/>
  <c r="AA99" i="3"/>
  <c r="AA865" i="3"/>
  <c r="AA863" i="3"/>
  <c r="AA904" i="3"/>
  <c r="AA454" i="3"/>
  <c r="AA390" i="3"/>
  <c r="AA325" i="3"/>
  <c r="AA46" i="3"/>
  <c r="AA544" i="3"/>
  <c r="AA461" i="3"/>
  <c r="AA407" i="3"/>
  <c r="AA746" i="3"/>
  <c r="AA1015" i="3"/>
  <c r="AB1015" i="3" s="1"/>
  <c r="AA143" i="3"/>
  <c r="AB143" i="3" s="1"/>
  <c r="AA350" i="3"/>
  <c r="AB350" i="3" s="1"/>
  <c r="AA26" i="3"/>
  <c r="AA1045" i="3"/>
  <c r="AB1045" i="3" s="1"/>
  <c r="AA615" i="3"/>
  <c r="AA800" i="3"/>
  <c r="AA739" i="3"/>
  <c r="AA1041" i="3"/>
  <c r="AA723" i="3"/>
  <c r="AA361" i="3"/>
  <c r="AA1085" i="3"/>
  <c r="AA109" i="3"/>
  <c r="AA995" i="3"/>
  <c r="AA252" i="3"/>
  <c r="AA543" i="3"/>
  <c r="AA423" i="3"/>
  <c r="AA352" i="3"/>
  <c r="AA1083" i="3"/>
  <c r="AB1083" i="3" s="1"/>
  <c r="AA883" i="3"/>
  <c r="AA1017" i="3"/>
  <c r="AA919" i="3"/>
  <c r="AB919" i="3" s="1"/>
  <c r="AA998" i="3"/>
  <c r="AB998" i="3" s="1"/>
  <c r="AA934" i="3"/>
  <c r="AA1057" i="3"/>
  <c r="AA929" i="3"/>
  <c r="AA923" i="3"/>
  <c r="AB923" i="3" s="1"/>
  <c r="AA930" i="3"/>
  <c r="AB930" i="3" s="1"/>
  <c r="AA906" i="3"/>
  <c r="AA530" i="3"/>
  <c r="AB530" i="3" s="1"/>
  <c r="AA511" i="3"/>
  <c r="AB511" i="3" s="1"/>
  <c r="AA249" i="3"/>
  <c r="AA866" i="3"/>
  <c r="AA308" i="3"/>
  <c r="AA552" i="3"/>
  <c r="AA363" i="3"/>
  <c r="AC873" i="3"/>
  <c r="AC467" i="3"/>
  <c r="AC999" i="3"/>
  <c r="AC646" i="3"/>
  <c r="U230" i="3"/>
  <c r="AC213" i="3"/>
  <c r="AC770" i="3"/>
  <c r="AA617" i="3"/>
  <c r="AB617" i="3" s="1"/>
  <c r="AC548" i="3"/>
  <c r="AC487" i="3"/>
  <c r="AC299" i="3"/>
  <c r="AC109" i="3"/>
  <c r="AC240" i="3"/>
  <c r="AC354" i="3"/>
  <c r="AC228" i="3"/>
  <c r="AC154" i="3"/>
  <c r="AA231" i="3"/>
  <c r="AC35" i="3"/>
  <c r="AC641" i="3"/>
  <c r="AA214" i="3"/>
  <c r="AC291" i="3"/>
  <c r="AA22" i="3"/>
  <c r="AC32" i="3"/>
  <c r="U1460" i="3"/>
  <c r="U1062" i="3"/>
  <c r="AC94" i="3"/>
  <c r="AB842" i="3"/>
  <c r="AC1031" i="3"/>
  <c r="AC841" i="3"/>
  <c r="AC811" i="3"/>
  <c r="AC349" i="3"/>
  <c r="AC956" i="3"/>
  <c r="AA771" i="3"/>
  <c r="AB771" i="3" s="1"/>
  <c r="AC892" i="3"/>
  <c r="U1468" i="3"/>
  <c r="AC259" i="3"/>
  <c r="AC430" i="3"/>
  <c r="U868" i="3"/>
  <c r="AC894" i="3"/>
  <c r="U878" i="3"/>
  <c r="AC1014" i="3"/>
  <c r="AC242" i="3"/>
  <c r="U8" i="3"/>
  <c r="AC954" i="3"/>
  <c r="AC383" i="3"/>
  <c r="AC974" i="3"/>
  <c r="U1354" i="3"/>
  <c r="U57" i="3"/>
  <c r="AC178" i="3"/>
  <c r="AC901" i="3"/>
  <c r="AC564" i="3"/>
  <c r="AC895" i="3"/>
  <c r="AC825" i="3"/>
  <c r="AC67" i="3"/>
  <c r="AG1469" i="3" a="1"/>
  <c r="AG1469" i="3" s="1"/>
  <c r="AH1469" i="3" a="1"/>
  <c r="AH1469" i="3" s="1"/>
  <c r="AI1469" i="3" a="1"/>
  <c r="AI1469" i="3" s="1"/>
  <c r="AH1289" i="3" a="1"/>
  <c r="AH1289" i="3" s="1"/>
  <c r="AI1289" i="3" a="1"/>
  <c r="AI1289" i="3" s="1"/>
  <c r="AG1289" i="3" a="1"/>
  <c r="AG1289" i="3" s="1"/>
  <c r="AH1292" i="3" a="1"/>
  <c r="AH1292" i="3" s="1"/>
  <c r="AG1292" i="3" a="1"/>
  <c r="AG1292" i="3" s="1"/>
  <c r="AI1292" i="3" a="1"/>
  <c r="AI1292" i="3" s="1"/>
  <c r="AG922" i="3" a="1"/>
  <c r="AG922" i="3" s="1"/>
  <c r="AH922" i="3" a="1"/>
  <c r="AH922" i="3" s="1"/>
  <c r="AI922" i="3" a="1"/>
  <c r="AI922" i="3" s="1"/>
  <c r="AI348" i="3" a="1"/>
  <c r="AI348" i="3" s="1"/>
  <c r="AH348" i="3" a="1"/>
  <c r="AH348" i="3" s="1"/>
  <c r="AG348" i="3" a="1"/>
  <c r="AG348" i="3" s="1"/>
  <c r="AI1303" i="3" a="1"/>
  <c r="AI1303" i="3" s="1"/>
  <c r="AG1303" i="3" a="1"/>
  <c r="AG1303" i="3" s="1"/>
  <c r="AH1303" i="3" a="1"/>
  <c r="AH1303" i="3" s="1"/>
  <c r="AI1118" i="3" a="1"/>
  <c r="AI1118" i="3" s="1"/>
  <c r="AH1118" i="3" a="1"/>
  <c r="AH1118" i="3" s="1"/>
  <c r="AG1118" i="3" a="1"/>
  <c r="AG1118" i="3" s="1"/>
  <c r="AH1350" i="3" a="1"/>
  <c r="AH1350" i="3" s="1"/>
  <c r="AG1350" i="3" a="1"/>
  <c r="AG1350" i="3" s="1"/>
  <c r="AI1350" i="3" a="1"/>
  <c r="AI1350" i="3" s="1"/>
  <c r="AI961" i="3" a="1"/>
  <c r="AI961" i="3" s="1"/>
  <c r="AG961" i="3" a="1"/>
  <c r="AG961" i="3" s="1"/>
  <c r="AH961" i="3" a="1"/>
  <c r="AH961" i="3" s="1"/>
  <c r="AI1104" i="3" a="1"/>
  <c r="AI1104" i="3" s="1"/>
  <c r="AG1104" i="3" a="1"/>
  <c r="AG1104" i="3" s="1"/>
  <c r="AH1104" i="3" a="1"/>
  <c r="AH1104" i="3" s="1"/>
  <c r="AG1246" i="3" a="1"/>
  <c r="AG1246" i="3" s="1"/>
  <c r="AH1246" i="3" a="1"/>
  <c r="AH1246" i="3" s="1"/>
  <c r="AI1246" i="3" a="1"/>
  <c r="AI1246" i="3" s="1"/>
  <c r="AG625" i="3" a="1"/>
  <c r="AG625" i="3" s="1"/>
  <c r="AH625" i="3" a="1"/>
  <c r="AH625" i="3" s="1"/>
  <c r="AI625" i="3" a="1"/>
  <c r="AI625" i="3" s="1"/>
  <c r="AH239" i="3" a="1"/>
  <c r="AH239" i="3" s="1"/>
  <c r="AG239" i="3" a="1"/>
  <c r="AG239" i="3" s="1"/>
  <c r="AI239" i="3" a="1"/>
  <c r="AI239" i="3" s="1"/>
  <c r="AG96" i="3" a="1"/>
  <c r="AG96" i="3" s="1"/>
  <c r="AI96" i="3" a="1"/>
  <c r="AI96" i="3" s="1"/>
  <c r="AH96" i="3" a="1"/>
  <c r="AH96" i="3" s="1"/>
  <c r="AH619" i="3" a="1"/>
  <c r="AH619" i="3" s="1"/>
  <c r="AI619" i="3" a="1"/>
  <c r="AI619" i="3" s="1"/>
  <c r="AG619" i="3" a="1"/>
  <c r="AG619" i="3" s="1"/>
  <c r="AH559" i="3" a="1"/>
  <c r="AH559" i="3" s="1"/>
  <c r="AG559" i="3" a="1"/>
  <c r="AG559" i="3" s="1"/>
  <c r="AI559" i="3" a="1"/>
  <c r="AI559" i="3" s="1"/>
  <c r="AG65" i="3" a="1"/>
  <c r="AG65" i="3" s="1"/>
  <c r="AH65" i="3" a="1"/>
  <c r="AH65" i="3" s="1"/>
  <c r="AI65" i="3" a="1"/>
  <c r="AI65" i="3" s="1"/>
  <c r="AG286" i="3" a="1"/>
  <c r="AG286" i="3" s="1"/>
  <c r="AI286" i="3" a="1"/>
  <c r="AI286" i="3" s="1"/>
  <c r="AH286" i="3" a="1"/>
  <c r="AH286" i="3" s="1"/>
  <c r="AH636" i="3" a="1"/>
  <c r="AH636" i="3" s="1"/>
  <c r="AG636" i="3" a="1"/>
  <c r="AG636" i="3" s="1"/>
  <c r="AI636" i="3" a="1"/>
  <c r="AI636" i="3" s="1"/>
  <c r="AI98" i="3" a="1"/>
  <c r="AI98" i="3" s="1"/>
  <c r="AH98" i="3" a="1"/>
  <c r="AH98" i="3" s="1"/>
  <c r="AG98" i="3" a="1"/>
  <c r="AG98" i="3" s="1"/>
  <c r="AH543" i="3" a="1"/>
  <c r="AH543" i="3" s="1"/>
  <c r="AI543" i="3" a="1"/>
  <c r="AI543" i="3" s="1"/>
  <c r="AG543" i="3" a="1"/>
  <c r="AG543" i="3" s="1"/>
  <c r="AG56" i="3" a="1"/>
  <c r="AG56" i="3" s="1"/>
  <c r="AH56" i="3" a="1"/>
  <c r="AH56" i="3" s="1"/>
  <c r="AI56" i="3" a="1"/>
  <c r="AI56" i="3" s="1"/>
  <c r="AI579" i="3" a="1"/>
  <c r="AI579" i="3" s="1"/>
  <c r="AH579" i="3" a="1"/>
  <c r="AH579" i="3" s="1"/>
  <c r="AG579" i="3" a="1"/>
  <c r="AG579" i="3" s="1"/>
  <c r="AG384" i="3" a="1"/>
  <c r="AG384" i="3" s="1"/>
  <c r="AI384" i="3" a="1"/>
  <c r="AI384" i="3" s="1"/>
  <c r="AH384" i="3" a="1"/>
  <c r="AH384" i="3" s="1"/>
  <c r="AI293" i="3" a="1"/>
  <c r="AI293" i="3" s="1"/>
  <c r="AH293" i="3" a="1"/>
  <c r="AH293" i="3" s="1"/>
  <c r="AG293" i="3" a="1"/>
  <c r="AG293" i="3" s="1"/>
  <c r="AI887" i="3" a="1"/>
  <c r="AI887" i="3" s="1"/>
  <c r="AG887" i="3" a="1"/>
  <c r="AG887" i="3" s="1"/>
  <c r="AH887" i="3" a="1"/>
  <c r="AH887" i="3" s="1"/>
  <c r="AG417" i="3" a="1"/>
  <c r="AG417" i="3" s="1"/>
  <c r="AI417" i="3" a="1"/>
  <c r="AI417" i="3" s="1"/>
  <c r="AH417" i="3" a="1"/>
  <c r="AH417" i="3" s="1"/>
  <c r="AI813" i="3" a="1"/>
  <c r="AI813" i="3" s="1"/>
  <c r="AG813" i="3" a="1"/>
  <c r="AG813" i="3" s="1"/>
  <c r="AH813" i="3" a="1"/>
  <c r="AH813" i="3" s="1"/>
  <c r="AH182" i="3" a="1"/>
  <c r="AH182" i="3" s="1"/>
  <c r="AG182" i="3" a="1"/>
  <c r="AG182" i="3" s="1"/>
  <c r="AI182" i="3" a="1"/>
  <c r="AI182" i="3" s="1"/>
  <c r="AG283" i="3" a="1"/>
  <c r="AG283" i="3" s="1"/>
  <c r="AI283" i="3" a="1"/>
  <c r="AI283" i="3" s="1"/>
  <c r="AH283" i="3" a="1"/>
  <c r="AH283" i="3" s="1"/>
  <c r="AH20" i="3" a="1"/>
  <c r="AH20" i="3" s="1"/>
  <c r="AI20" i="3" a="1"/>
  <c r="AI20" i="3" s="1"/>
  <c r="AG20" i="3" a="1"/>
  <c r="AG20" i="3" s="1"/>
  <c r="AG819" i="3" a="1"/>
  <c r="AG819" i="3" s="1"/>
  <c r="AH819" i="3" a="1"/>
  <c r="AH819" i="3" s="1"/>
  <c r="AI819" i="3" a="1"/>
  <c r="AI819" i="3" s="1"/>
  <c r="AH891" i="3" a="1"/>
  <c r="AH891" i="3" s="1"/>
  <c r="AG891" i="3" a="1"/>
  <c r="AG891" i="3" s="1"/>
  <c r="AI891" i="3" a="1"/>
  <c r="AI891" i="3" s="1"/>
  <c r="AI295" i="3" a="1"/>
  <c r="AI295" i="3" s="1"/>
  <c r="AH295" i="3" a="1"/>
  <c r="AH295" i="3" s="1"/>
  <c r="AG295" i="3" a="1"/>
  <c r="AG295" i="3" s="1"/>
  <c r="AH226" i="3" a="1"/>
  <c r="AH226" i="3" s="1"/>
  <c r="AG226" i="3" a="1"/>
  <c r="AG226" i="3" s="1"/>
  <c r="AI226" i="3" a="1"/>
  <c r="AI226" i="3" s="1"/>
  <c r="AI860" i="3" a="1"/>
  <c r="AI860" i="3" s="1"/>
  <c r="AG860" i="3" a="1"/>
  <c r="AG860" i="3" s="1"/>
  <c r="AH860" i="3" a="1"/>
  <c r="AH860" i="3" s="1"/>
  <c r="AI932" i="3" a="1"/>
  <c r="AI932" i="3" s="1"/>
  <c r="AG932" i="3" a="1"/>
  <c r="AG932" i="3" s="1"/>
  <c r="AH932" i="3" a="1"/>
  <c r="AH932" i="3" s="1"/>
  <c r="AI486" i="3" a="1"/>
  <c r="AI486" i="3" s="1"/>
  <c r="AH486" i="3" a="1"/>
  <c r="AH486" i="3" s="1"/>
  <c r="AG486" i="3" a="1"/>
  <c r="AG486" i="3" s="1"/>
  <c r="AI1324" i="3" a="1"/>
  <c r="AI1324" i="3" s="1"/>
  <c r="AH1324" i="3" a="1"/>
  <c r="AH1324" i="3" s="1"/>
  <c r="AG1324" i="3" a="1"/>
  <c r="AG1324" i="3" s="1"/>
  <c r="AH1351" i="3" a="1"/>
  <c r="AH1351" i="3" s="1"/>
  <c r="AI1351" i="3" a="1"/>
  <c r="AI1351" i="3" s="1"/>
  <c r="AG1351" i="3" a="1"/>
  <c r="AG1351" i="3" s="1"/>
  <c r="AH953" i="3" a="1"/>
  <c r="AH953" i="3" s="1"/>
  <c r="AI953" i="3" a="1"/>
  <c r="AI953" i="3" s="1"/>
  <c r="AG953" i="3" a="1"/>
  <c r="AG953" i="3" s="1"/>
  <c r="AG1045" i="3" a="1"/>
  <c r="AG1045" i="3" s="1"/>
  <c r="AI1045" i="3" a="1"/>
  <c r="AI1045" i="3" s="1"/>
  <c r="AH1045" i="3" a="1"/>
  <c r="AH1045" i="3" s="1"/>
  <c r="AI1081" i="3" a="1"/>
  <c r="AI1081" i="3" s="1"/>
  <c r="AG1081" i="3" a="1"/>
  <c r="AG1081" i="3" s="1"/>
  <c r="AH1081" i="3" a="1"/>
  <c r="AH1081" i="3" s="1"/>
  <c r="AH1278" i="3" a="1"/>
  <c r="AH1278" i="3" s="1"/>
  <c r="AI1278" i="3" a="1"/>
  <c r="AI1278" i="3" s="1"/>
  <c r="AG1278" i="3" a="1"/>
  <c r="AG1278" i="3" s="1"/>
  <c r="AG647" i="3" a="1"/>
  <c r="AG647" i="3" s="1"/>
  <c r="AH647" i="3" a="1"/>
  <c r="AH647" i="3" s="1"/>
  <c r="AI647" i="3" a="1"/>
  <c r="AI647" i="3" s="1"/>
  <c r="AH1369" i="3" a="1"/>
  <c r="AH1369" i="3" s="1"/>
  <c r="AG1369" i="3" a="1"/>
  <c r="AG1369" i="3" s="1"/>
  <c r="AI1369" i="3" a="1"/>
  <c r="AI1369" i="3" s="1"/>
  <c r="AI1443" i="3" a="1"/>
  <c r="AI1443" i="3" s="1"/>
  <c r="AH1443" i="3" a="1"/>
  <c r="AH1443" i="3" s="1"/>
  <c r="AG1443" i="3" a="1"/>
  <c r="AG1443" i="3" s="1"/>
  <c r="AI540" i="3" a="1"/>
  <c r="AI540" i="3" s="1"/>
  <c r="AH540" i="3" a="1"/>
  <c r="AH540" i="3" s="1"/>
  <c r="AG540" i="3" a="1"/>
  <c r="AG540" i="3" s="1"/>
  <c r="AG1310" i="3" a="1"/>
  <c r="AG1310" i="3" s="1"/>
  <c r="AI1310" i="3" a="1"/>
  <c r="AI1310" i="3" s="1"/>
  <c r="AH1310" i="3" a="1"/>
  <c r="AH1310" i="3" s="1"/>
  <c r="AH978" i="3" a="1"/>
  <c r="AH978" i="3" s="1"/>
  <c r="AG978" i="3" a="1"/>
  <c r="AG978" i="3" s="1"/>
  <c r="AI978" i="3" a="1"/>
  <c r="AI978" i="3" s="1"/>
  <c r="AH346" i="3" a="1"/>
  <c r="AH346" i="3" s="1"/>
  <c r="AG346" i="3" a="1"/>
  <c r="AG346" i="3" s="1"/>
  <c r="AI346" i="3" a="1"/>
  <c r="AI346" i="3" s="1"/>
  <c r="AI1360" i="3" a="1"/>
  <c r="AI1360" i="3" s="1"/>
  <c r="AG1360" i="3" a="1"/>
  <c r="AG1360" i="3" s="1"/>
  <c r="AH1360" i="3" a="1"/>
  <c r="AH1360" i="3" s="1"/>
  <c r="AG775" i="3" a="1"/>
  <c r="AG775" i="3" s="1"/>
  <c r="AH775" i="3" a="1"/>
  <c r="AH775" i="3" s="1"/>
  <c r="AI775" i="3" a="1"/>
  <c r="AI775" i="3" s="1"/>
  <c r="AG1425" i="3" a="1"/>
  <c r="AG1425" i="3" s="1"/>
  <c r="AI1425" i="3" a="1"/>
  <c r="AI1425" i="3" s="1"/>
  <c r="AH1425" i="3" a="1"/>
  <c r="AH1425" i="3" s="1"/>
  <c r="AI1212" i="3" a="1"/>
  <c r="AI1212" i="3" s="1"/>
  <c r="AH1212" i="3" a="1"/>
  <c r="AH1212" i="3" s="1"/>
  <c r="AG1212" i="3" a="1"/>
  <c r="AG1212" i="3" s="1"/>
  <c r="AH1346" i="3" a="1"/>
  <c r="AH1346" i="3" s="1"/>
  <c r="AI1346" i="3" a="1"/>
  <c r="AI1346" i="3" s="1"/>
  <c r="AG1346" i="3" a="1"/>
  <c r="AG1346" i="3" s="1"/>
  <c r="AI7" i="3" a="1"/>
  <c r="AI7" i="3" s="1"/>
  <c r="AH7" i="3" a="1"/>
  <c r="AH7" i="3" s="1"/>
  <c r="AG7" i="3" a="1"/>
  <c r="AG7" i="3" s="1"/>
  <c r="AI355" i="3" a="1"/>
  <c r="AI355" i="3" s="1"/>
  <c r="AH355" i="3" a="1"/>
  <c r="AH355" i="3" s="1"/>
  <c r="AG355" i="3" a="1"/>
  <c r="AG355" i="3" s="1"/>
  <c r="AI1014" i="3" a="1"/>
  <c r="AI1014" i="3" s="1"/>
  <c r="AG1014" i="3" a="1"/>
  <c r="AG1014" i="3" s="1"/>
  <c r="AH1014" i="3" a="1"/>
  <c r="AH1014" i="3" s="1"/>
  <c r="AH672" i="3" a="1"/>
  <c r="AH672" i="3" s="1"/>
  <c r="AI672" i="3" a="1"/>
  <c r="AI672" i="3" s="1"/>
  <c r="AG672" i="3" a="1"/>
  <c r="AG672" i="3" s="1"/>
  <c r="AG108" i="3" a="1"/>
  <c r="AG108" i="3" s="1"/>
  <c r="AI108" i="3" a="1"/>
  <c r="AI108" i="3" s="1"/>
  <c r="AH108" i="3" a="1"/>
  <c r="AH108" i="3" s="1"/>
  <c r="AH516" i="3" a="1"/>
  <c r="AH516" i="3" s="1"/>
  <c r="AI516" i="3" a="1"/>
  <c r="AI516" i="3" s="1"/>
  <c r="AG516" i="3" a="1"/>
  <c r="AG516" i="3" s="1"/>
  <c r="AI641" i="3" a="1"/>
  <c r="AI641" i="3" s="1"/>
  <c r="AG641" i="3" a="1"/>
  <c r="AG641" i="3" s="1"/>
  <c r="AH641" i="3" a="1"/>
  <c r="AH641" i="3" s="1"/>
  <c r="AI271" i="3" a="1"/>
  <c r="AI271" i="3" s="1"/>
  <c r="AH271" i="3" a="1"/>
  <c r="AH271" i="3" s="1"/>
  <c r="AG271" i="3" a="1"/>
  <c r="AG271" i="3" s="1"/>
  <c r="AI159" i="3" a="1"/>
  <c r="AI159" i="3" s="1"/>
  <c r="AH159" i="3" a="1"/>
  <c r="AH159" i="3" s="1"/>
  <c r="AG159" i="3" a="1"/>
  <c r="AG159" i="3" s="1"/>
  <c r="AI507" i="3" a="1"/>
  <c r="AI507" i="3" s="1"/>
  <c r="AH507" i="3" a="1"/>
  <c r="AH507" i="3" s="1"/>
  <c r="AG507" i="3" a="1"/>
  <c r="AG507" i="3" s="1"/>
  <c r="AI338" i="3" a="1"/>
  <c r="AI338" i="3" s="1"/>
  <c r="AH338" i="3" a="1"/>
  <c r="AH338" i="3" s="1"/>
  <c r="AG338" i="3" a="1"/>
  <c r="AG338" i="3" s="1"/>
  <c r="AH632" i="3" a="1"/>
  <c r="AH632" i="3" s="1"/>
  <c r="AI632" i="3" a="1"/>
  <c r="AI632" i="3" s="1"/>
  <c r="AG632" i="3" a="1"/>
  <c r="AG632" i="3" s="1"/>
  <c r="AI541" i="3" a="1"/>
  <c r="AI541" i="3" s="1"/>
  <c r="AH541" i="3" a="1"/>
  <c r="AH541" i="3" s="1"/>
  <c r="AG541" i="3" a="1"/>
  <c r="AG541" i="3" s="1"/>
  <c r="AI281" i="3" a="1"/>
  <c r="AI281" i="3" s="1"/>
  <c r="AH281" i="3" a="1"/>
  <c r="AH281" i="3" s="1"/>
  <c r="AG281" i="3" a="1"/>
  <c r="AG281" i="3" s="1"/>
  <c r="AI675" i="3" a="1"/>
  <c r="AI675" i="3" s="1"/>
  <c r="AH675" i="3" a="1"/>
  <c r="AH675" i="3" s="1"/>
  <c r="AG675" i="3" a="1"/>
  <c r="AG675" i="3" s="1"/>
  <c r="AG864" i="3" a="1"/>
  <c r="AG864" i="3" s="1"/>
  <c r="AH864" i="3" a="1"/>
  <c r="AH864" i="3" s="1"/>
  <c r="AI864" i="3" a="1"/>
  <c r="AI864" i="3" s="1"/>
  <c r="AI147" i="3" a="1"/>
  <c r="AI147" i="3" s="1"/>
  <c r="AH147" i="3" a="1"/>
  <c r="AH147" i="3" s="1"/>
  <c r="AG147" i="3" a="1"/>
  <c r="AG147" i="3" s="1"/>
  <c r="AG806" i="3" a="1"/>
  <c r="AG806" i="3" s="1"/>
  <c r="AH806" i="3" a="1"/>
  <c r="AH806" i="3" s="1"/>
  <c r="AI806" i="3" a="1"/>
  <c r="AI806" i="3" s="1"/>
  <c r="AG336" i="3" a="1"/>
  <c r="AG336" i="3" s="1"/>
  <c r="AI336" i="3" a="1"/>
  <c r="AI336" i="3" s="1"/>
  <c r="AH336" i="3" a="1"/>
  <c r="AH336" i="3" s="1"/>
  <c r="AH245" i="3" a="1"/>
  <c r="AH245" i="3" s="1"/>
  <c r="AG245" i="3" a="1"/>
  <c r="AG245" i="3" s="1"/>
  <c r="AI245" i="3" a="1"/>
  <c r="AI245" i="3" s="1"/>
  <c r="AI729" i="3" a="1"/>
  <c r="AI729" i="3" s="1"/>
  <c r="AH729" i="3" a="1"/>
  <c r="AH729" i="3" s="1"/>
  <c r="AG729" i="3" a="1"/>
  <c r="AG729" i="3" s="1"/>
  <c r="AH247" i="3" a="1"/>
  <c r="AH247" i="3" s="1"/>
  <c r="AG247" i="3" a="1"/>
  <c r="AG247" i="3" s="1"/>
  <c r="AI247" i="3" a="1"/>
  <c r="AI247" i="3" s="1"/>
  <c r="AI535" i="3" a="1"/>
  <c r="AI535" i="3" s="1"/>
  <c r="AH535" i="3" a="1"/>
  <c r="AH535" i="3" s="1"/>
  <c r="AG535" i="3" a="1"/>
  <c r="AG535" i="3" s="1"/>
  <c r="AH1403" i="3" a="1"/>
  <c r="AH1403" i="3" s="1"/>
  <c r="AG1403" i="3" a="1"/>
  <c r="AG1403" i="3" s="1"/>
  <c r="AI1403" i="3" a="1"/>
  <c r="AI1403" i="3" s="1"/>
  <c r="AI745" i="3" a="1"/>
  <c r="AI745" i="3" s="1"/>
  <c r="AG745" i="3" a="1"/>
  <c r="AG745" i="3" s="1"/>
  <c r="AH745" i="3" a="1"/>
  <c r="AH745" i="3" s="1"/>
  <c r="AG375" i="3" a="1"/>
  <c r="AG375" i="3" s="1"/>
  <c r="AH375" i="3" a="1"/>
  <c r="AH375" i="3" s="1"/>
  <c r="AI375" i="3" a="1"/>
  <c r="AI375" i="3" s="1"/>
  <c r="AG638" i="3" a="1"/>
  <c r="AG638" i="3" s="1"/>
  <c r="AH638" i="3" a="1"/>
  <c r="AH638" i="3" s="1"/>
  <c r="AI638" i="3" a="1"/>
  <c r="AI638" i="3" s="1"/>
  <c r="AH442" i="3" a="1"/>
  <c r="AH442" i="3" s="1"/>
  <c r="AG442" i="3" a="1"/>
  <c r="AG442" i="3" s="1"/>
  <c r="AI442" i="3" a="1"/>
  <c r="AI442" i="3" s="1"/>
  <c r="AG1229" i="3" a="1"/>
  <c r="AG1229" i="3" s="1"/>
  <c r="AH1229" i="3" a="1"/>
  <c r="AH1229" i="3" s="1"/>
  <c r="AI1229" i="3" a="1"/>
  <c r="AI1229" i="3" s="1"/>
  <c r="AH1265" i="3" a="1"/>
  <c r="AH1265" i="3" s="1"/>
  <c r="AI1265" i="3" a="1"/>
  <c r="AI1265" i="3" s="1"/>
  <c r="AG1265" i="3" a="1"/>
  <c r="AG1265" i="3" s="1"/>
  <c r="AH818" i="3" a="1"/>
  <c r="AH818" i="3" s="1"/>
  <c r="AI818" i="3" a="1"/>
  <c r="AI818" i="3" s="1"/>
  <c r="AG818" i="3" a="1"/>
  <c r="AG818" i="3" s="1"/>
  <c r="AI908" i="3" a="1"/>
  <c r="AI908" i="3" s="1"/>
  <c r="AG908" i="3" a="1"/>
  <c r="AG908" i="3" s="1"/>
  <c r="AH908" i="3" a="1"/>
  <c r="AH908" i="3" s="1"/>
  <c r="AH982" i="3" a="1"/>
  <c r="AH982" i="3" s="1"/>
  <c r="AI982" i="3" a="1"/>
  <c r="AI982" i="3" s="1"/>
  <c r="AG982" i="3" a="1"/>
  <c r="AG982" i="3" s="1"/>
  <c r="AH1049" i="3" a="1"/>
  <c r="AH1049" i="3" s="1"/>
  <c r="AG1049" i="3" a="1"/>
  <c r="AG1049" i="3" s="1"/>
  <c r="AI1049" i="3" a="1"/>
  <c r="AI1049" i="3" s="1"/>
  <c r="AG788" i="3" a="1"/>
  <c r="AG788" i="3" s="1"/>
  <c r="AH788" i="3" a="1"/>
  <c r="AH788" i="3" s="1"/>
  <c r="AI788" i="3" a="1"/>
  <c r="AI788" i="3" s="1"/>
  <c r="AI851" i="3" a="1"/>
  <c r="AI851" i="3" s="1"/>
  <c r="AG851" i="3" a="1"/>
  <c r="AG851" i="3" s="1"/>
  <c r="AH851" i="3" a="1"/>
  <c r="AH851" i="3" s="1"/>
  <c r="AH796" i="3" a="1"/>
  <c r="AH796" i="3" s="1"/>
  <c r="AI796" i="3" a="1"/>
  <c r="AI796" i="3" s="1"/>
  <c r="AG796" i="3" a="1"/>
  <c r="AG796" i="3" s="1"/>
  <c r="AH482" i="3" a="1"/>
  <c r="AH482" i="3" s="1"/>
  <c r="AG482" i="3" a="1"/>
  <c r="AG482" i="3" s="1"/>
  <c r="AI482" i="3" a="1"/>
  <c r="AI482" i="3" s="1"/>
  <c r="AI1097" i="3" a="1"/>
  <c r="AI1097" i="3" s="1"/>
  <c r="AG1097" i="3" a="1"/>
  <c r="AG1097" i="3" s="1"/>
  <c r="AH1097" i="3" a="1"/>
  <c r="AH1097" i="3" s="1"/>
  <c r="AH1370" i="3" a="1"/>
  <c r="AH1370" i="3" s="1"/>
  <c r="AI1370" i="3" a="1"/>
  <c r="AI1370" i="3" s="1"/>
  <c r="AG1370" i="3" a="1"/>
  <c r="AG1370" i="3" s="1"/>
  <c r="AI1340" i="3" a="1"/>
  <c r="AI1340" i="3" s="1"/>
  <c r="AH1340" i="3" a="1"/>
  <c r="AH1340" i="3" s="1"/>
  <c r="AG1340" i="3" a="1"/>
  <c r="AG1340" i="3" s="1"/>
  <c r="AG1242" i="3" a="1"/>
  <c r="AG1242" i="3" s="1"/>
  <c r="AI1242" i="3" a="1"/>
  <c r="AI1242" i="3" s="1"/>
  <c r="AH1242" i="3" a="1"/>
  <c r="AH1242" i="3" s="1"/>
  <c r="AI1179" i="3" a="1"/>
  <c r="AI1179" i="3" s="1"/>
  <c r="AH1179" i="3" a="1"/>
  <c r="AH1179" i="3" s="1"/>
  <c r="AG1179" i="3" a="1"/>
  <c r="AG1179" i="3" s="1"/>
  <c r="AG983" i="3" a="1"/>
  <c r="AG983" i="3" s="1"/>
  <c r="AH983" i="3" a="1"/>
  <c r="AH983" i="3" s="1"/>
  <c r="AI983" i="3" a="1"/>
  <c r="AI983" i="3" s="1"/>
  <c r="AG1230" i="3" a="1"/>
  <c r="AG1230" i="3" s="1"/>
  <c r="AI1230" i="3" a="1"/>
  <c r="AI1230" i="3" s="1"/>
  <c r="AH1230" i="3" a="1"/>
  <c r="AH1230" i="3" s="1"/>
  <c r="AI1450" i="3" a="1"/>
  <c r="AI1450" i="3" s="1"/>
  <c r="AH1450" i="3" a="1"/>
  <c r="AH1450" i="3" s="1"/>
  <c r="AG1450" i="3" a="1"/>
  <c r="AG1450" i="3" s="1"/>
  <c r="AG408" i="3" a="1"/>
  <c r="AG408" i="3" s="1"/>
  <c r="AH408" i="3" a="1"/>
  <c r="AH408" i="3" s="1"/>
  <c r="AI408" i="3" a="1"/>
  <c r="AI408" i="3" s="1"/>
  <c r="AI317" i="3" a="1"/>
  <c r="AI317" i="3" s="1"/>
  <c r="AH317" i="3" a="1"/>
  <c r="AH317" i="3" s="1"/>
  <c r="AG317" i="3" a="1"/>
  <c r="AG317" i="3" s="1"/>
  <c r="AG911" i="3" a="1"/>
  <c r="AG911" i="3" s="1"/>
  <c r="AH911" i="3" a="1"/>
  <c r="AH911" i="3" s="1"/>
  <c r="AI911" i="3" a="1"/>
  <c r="AI911" i="3" s="1"/>
  <c r="AH569" i="3" a="1"/>
  <c r="AH569" i="3" s="1"/>
  <c r="AG569" i="3" a="1"/>
  <c r="AG569" i="3" s="1"/>
  <c r="AI569" i="3" a="1"/>
  <c r="AI569" i="3" s="1"/>
  <c r="AG78" i="3" a="1"/>
  <c r="AG78" i="3" s="1"/>
  <c r="AH78" i="3" a="1"/>
  <c r="AH78" i="3" s="1"/>
  <c r="AI78" i="3" a="1"/>
  <c r="AI78" i="3" s="1"/>
  <c r="AH23" i="3" a="1"/>
  <c r="AH23" i="3" s="1"/>
  <c r="AI23" i="3" a="1"/>
  <c r="AI23" i="3" s="1"/>
  <c r="AG23" i="3" a="1"/>
  <c r="AG23" i="3" s="1"/>
  <c r="AI371" i="3" a="1"/>
  <c r="AI371" i="3" s="1"/>
  <c r="AH371" i="3" a="1"/>
  <c r="AH371" i="3" s="1"/>
  <c r="AG371" i="3" a="1"/>
  <c r="AG371" i="3" s="1"/>
  <c r="AG1030" i="3" a="1"/>
  <c r="AG1030" i="3" s="1"/>
  <c r="AH1030" i="3" a="1"/>
  <c r="AH1030" i="3" s="1"/>
  <c r="AI1030" i="3" a="1"/>
  <c r="AI1030" i="3" s="1"/>
  <c r="AG560" i="3" a="1"/>
  <c r="AG560" i="3" s="1"/>
  <c r="AH560" i="3" a="1"/>
  <c r="AH560" i="3" s="1"/>
  <c r="AI560" i="3" a="1"/>
  <c r="AI560" i="3" s="1"/>
  <c r="AI469" i="3" a="1"/>
  <c r="AI469" i="3" s="1"/>
  <c r="AH469" i="3" a="1"/>
  <c r="AH469" i="3" s="1"/>
  <c r="AG469" i="3" a="1"/>
  <c r="AG469" i="3" s="1"/>
  <c r="AH292" i="3" a="1"/>
  <c r="AH292" i="3" s="1"/>
  <c r="AG292" i="3" a="1"/>
  <c r="AG292" i="3" s="1"/>
  <c r="AI292" i="3" a="1"/>
  <c r="AI292" i="3" s="1"/>
  <c r="AG529" i="3" a="1"/>
  <c r="AG529" i="3" s="1"/>
  <c r="AH529" i="3" a="1"/>
  <c r="AH529" i="3" s="1"/>
  <c r="AI529" i="3" a="1"/>
  <c r="AI529" i="3" s="1"/>
  <c r="AI925" i="3" a="1"/>
  <c r="AI925" i="3" s="1"/>
  <c r="AG925" i="3" a="1"/>
  <c r="AG925" i="3" s="1"/>
  <c r="AH925" i="3" a="1"/>
  <c r="AH925" i="3" s="1"/>
  <c r="AH11" i="3" a="1"/>
  <c r="AH11" i="3" s="1"/>
  <c r="AI11" i="3" a="1"/>
  <c r="AI11" i="3" s="1"/>
  <c r="AG11" i="3" a="1"/>
  <c r="AG11" i="3" s="1"/>
  <c r="AG666" i="3" a="1"/>
  <c r="AG666" i="3" s="1"/>
  <c r="AH666" i="3" a="1"/>
  <c r="AH666" i="3" s="1"/>
  <c r="AI666" i="3" a="1"/>
  <c r="AI666" i="3" s="1"/>
  <c r="AH200" i="3" a="1"/>
  <c r="AH200" i="3" s="1"/>
  <c r="AI200" i="3" a="1"/>
  <c r="AI200" i="3" s="1"/>
  <c r="AG200" i="3" a="1"/>
  <c r="AG200" i="3" s="1"/>
  <c r="AI109" i="3" a="1"/>
  <c r="AI109" i="3" s="1"/>
  <c r="AH109" i="3" a="1"/>
  <c r="AH109" i="3" s="1"/>
  <c r="AG109" i="3" a="1"/>
  <c r="AG109" i="3" s="1"/>
  <c r="AG703" i="3" a="1"/>
  <c r="AG703" i="3" s="1"/>
  <c r="AH703" i="3" a="1"/>
  <c r="AH703" i="3" s="1"/>
  <c r="AI703" i="3" a="1"/>
  <c r="AI703" i="3" s="1"/>
  <c r="AG233" i="3" a="1"/>
  <c r="AG233" i="3" s="1"/>
  <c r="AI233" i="3" a="1"/>
  <c r="AI233" i="3" s="1"/>
  <c r="AH233" i="3" a="1"/>
  <c r="AH233" i="3" s="1"/>
  <c r="AH607" i="3" a="1"/>
  <c r="AH607" i="3" s="1"/>
  <c r="AG607" i="3" a="1"/>
  <c r="AG607" i="3" s="1"/>
  <c r="AI607" i="3" a="1"/>
  <c r="AI607" i="3" s="1"/>
  <c r="AI707" i="3" a="1"/>
  <c r="AI707" i="3" s="1"/>
  <c r="AH707" i="3" a="1"/>
  <c r="AH707" i="3" s="1"/>
  <c r="AG707" i="3" a="1"/>
  <c r="AG707" i="3" s="1"/>
  <c r="AG1397" i="3" a="1"/>
  <c r="AG1397" i="3" s="1"/>
  <c r="AH1397" i="3" a="1"/>
  <c r="AH1397" i="3" s="1"/>
  <c r="AI1397" i="3" a="1"/>
  <c r="AI1397" i="3" s="1"/>
  <c r="AH454" i="3" a="1"/>
  <c r="AH454" i="3" s="1"/>
  <c r="AG454" i="3" a="1"/>
  <c r="AG454" i="3" s="1"/>
  <c r="AI454" i="3" a="1"/>
  <c r="AI454" i="3" s="1"/>
  <c r="AG1308" i="3" a="1"/>
  <c r="AG1308" i="3" s="1"/>
  <c r="AH1308" i="3" a="1"/>
  <c r="AH1308" i="3" s="1"/>
  <c r="AI1308" i="3" a="1"/>
  <c r="AI1308" i="3" s="1"/>
  <c r="AH723" i="3" a="1"/>
  <c r="AH723" i="3" s="1"/>
  <c r="AG723" i="3" a="1"/>
  <c r="AG723" i="3" s="1"/>
  <c r="AI723" i="3" a="1"/>
  <c r="AI723" i="3" s="1"/>
  <c r="AI1413" i="3" a="1"/>
  <c r="AI1413" i="3" s="1"/>
  <c r="AG1413" i="3" a="1"/>
  <c r="AG1413" i="3" s="1"/>
  <c r="AH1413" i="3" a="1"/>
  <c r="AH1413" i="3" s="1"/>
  <c r="AI1449" i="3" a="1"/>
  <c r="AI1449" i="3" s="1"/>
  <c r="AH1449" i="3" a="1"/>
  <c r="AH1449" i="3" s="1"/>
  <c r="AG1449" i="3" a="1"/>
  <c r="AG1449" i="3" s="1"/>
  <c r="AI1099" i="3" a="1"/>
  <c r="AI1099" i="3" s="1"/>
  <c r="AH1099" i="3" a="1"/>
  <c r="AH1099" i="3" s="1"/>
  <c r="AG1099" i="3" a="1"/>
  <c r="AG1099" i="3" s="1"/>
  <c r="AG1134" i="3" a="1"/>
  <c r="AG1134" i="3" s="1"/>
  <c r="AI1134" i="3" a="1"/>
  <c r="AI1134" i="3" s="1"/>
  <c r="AH1134" i="3" a="1"/>
  <c r="AH1134" i="3" s="1"/>
  <c r="AI332" i="3" a="1"/>
  <c r="AI332" i="3" s="1"/>
  <c r="AH332" i="3" a="1"/>
  <c r="AH332" i="3" s="1"/>
  <c r="AG332" i="3" a="1"/>
  <c r="AG332" i="3" s="1"/>
  <c r="AH236" i="3" a="1"/>
  <c r="AH236" i="3" s="1"/>
  <c r="AG236" i="3" a="1"/>
  <c r="AG236" i="3" s="1"/>
  <c r="AI236" i="3" a="1"/>
  <c r="AI236" i="3" s="1"/>
  <c r="AH455" i="3" a="1"/>
  <c r="AH455" i="3" s="1"/>
  <c r="AI455" i="3" a="1"/>
  <c r="AI455" i="3" s="1"/>
  <c r="AG455" i="3" a="1"/>
  <c r="AG455" i="3" s="1"/>
  <c r="AI1059" i="3" a="1"/>
  <c r="AI1059" i="3" s="1"/>
  <c r="AH1059" i="3" a="1"/>
  <c r="AH1059" i="3" s="1"/>
  <c r="AG1059" i="3" a="1"/>
  <c r="AG1059" i="3" s="1"/>
  <c r="AH828" i="3" a="1"/>
  <c r="AH828" i="3" s="1"/>
  <c r="AG828" i="3" a="1"/>
  <c r="AG828" i="3" s="1"/>
  <c r="AI828" i="3" a="1"/>
  <c r="AI828" i="3" s="1"/>
  <c r="AH1028" i="3" a="1"/>
  <c r="AH1028" i="3" s="1"/>
  <c r="AG1028" i="3" a="1"/>
  <c r="AG1028" i="3" s="1"/>
  <c r="AI1028" i="3" a="1"/>
  <c r="AI1028" i="3" s="1"/>
  <c r="AG1033" i="3" a="1"/>
  <c r="AG1033" i="3" s="1"/>
  <c r="AH1033" i="3" a="1"/>
  <c r="AH1033" i="3" s="1"/>
  <c r="AI1033" i="3" a="1"/>
  <c r="AI1033" i="3" s="1"/>
  <c r="AG1383" i="3" a="1"/>
  <c r="AG1383" i="3" s="1"/>
  <c r="AI1383" i="3" a="1"/>
  <c r="AI1383" i="3" s="1"/>
  <c r="AH1383" i="3" a="1"/>
  <c r="AH1383" i="3" s="1"/>
  <c r="AG1123" i="3" a="1"/>
  <c r="AG1123" i="3" s="1"/>
  <c r="AH1123" i="3" a="1"/>
  <c r="AH1123" i="3" s="1"/>
  <c r="AI1123" i="3" a="1"/>
  <c r="AI1123" i="3" s="1"/>
  <c r="AH1012" i="3" a="1"/>
  <c r="AH1012" i="3" s="1"/>
  <c r="AG1012" i="3" a="1"/>
  <c r="AG1012" i="3" s="1"/>
  <c r="AI1012" i="3" a="1"/>
  <c r="AI1012" i="3" s="1"/>
  <c r="AG852" i="3" a="1"/>
  <c r="AG852" i="3" s="1"/>
  <c r="AI852" i="3" a="1"/>
  <c r="AI852" i="3" s="1"/>
  <c r="AH852" i="3" a="1"/>
  <c r="AH852" i="3" s="1"/>
  <c r="AI1342" i="3" a="1"/>
  <c r="AI1342" i="3" s="1"/>
  <c r="AG1342" i="3" a="1"/>
  <c r="AG1342" i="3" s="1"/>
  <c r="AH1342" i="3" a="1"/>
  <c r="AH1342" i="3" s="1"/>
  <c r="AH1280" i="3" a="1"/>
  <c r="AH1280" i="3" s="1"/>
  <c r="AG1280" i="3" a="1"/>
  <c r="AG1280" i="3" s="1"/>
  <c r="AI1280" i="3" a="1"/>
  <c r="AI1280" i="3" s="1"/>
  <c r="AG1373" i="3" a="1"/>
  <c r="AG1373" i="3" s="1"/>
  <c r="AI1373" i="3" a="1"/>
  <c r="AI1373" i="3" s="1"/>
  <c r="AH1373" i="3" a="1"/>
  <c r="AH1373" i="3" s="1"/>
  <c r="AI1066" i="3" a="1"/>
  <c r="AI1066" i="3" s="1"/>
  <c r="AH1066" i="3" a="1"/>
  <c r="AH1066" i="3" s="1"/>
  <c r="AG1066" i="3" a="1"/>
  <c r="AG1066" i="3" s="1"/>
  <c r="AG1032" i="3" a="1"/>
  <c r="AG1032" i="3" s="1"/>
  <c r="AH1032" i="3" a="1"/>
  <c r="AH1032" i="3" s="1"/>
  <c r="AI1032" i="3" a="1"/>
  <c r="AI1032" i="3" s="1"/>
  <c r="AG724" i="3" a="1"/>
  <c r="AG724" i="3" s="1"/>
  <c r="AH724" i="3" a="1"/>
  <c r="AH724" i="3" s="1"/>
  <c r="AI724" i="3" a="1"/>
  <c r="AI724" i="3" s="1"/>
  <c r="AG305" i="3" a="1"/>
  <c r="AG305" i="3" s="1"/>
  <c r="AH305" i="3" a="1"/>
  <c r="AH305" i="3" s="1"/>
  <c r="AI305" i="3" a="1"/>
  <c r="AI305" i="3" s="1"/>
  <c r="AH701" i="3" a="1"/>
  <c r="AH701" i="3" s="1"/>
  <c r="AI701" i="3" a="1"/>
  <c r="AI701" i="3" s="1"/>
  <c r="AG701" i="3" a="1"/>
  <c r="AG701" i="3" s="1"/>
  <c r="AG888" i="3" a="1"/>
  <c r="AG888" i="3" s="1"/>
  <c r="AI888" i="3" a="1"/>
  <c r="AI888" i="3" s="1"/>
  <c r="AH888" i="3" a="1"/>
  <c r="AH888" i="3" s="1"/>
  <c r="AI299" i="3" a="1"/>
  <c r="AI299" i="3" s="1"/>
  <c r="AH299" i="3" a="1"/>
  <c r="AH299" i="3" s="1"/>
  <c r="AG299" i="3" a="1"/>
  <c r="AG299" i="3" s="1"/>
  <c r="AG958" i="3" a="1"/>
  <c r="AG958" i="3" s="1"/>
  <c r="AI958" i="3" a="1"/>
  <c r="AI958" i="3" s="1"/>
  <c r="AH958" i="3" a="1"/>
  <c r="AH958" i="3" s="1"/>
  <c r="AI424" i="3" a="1"/>
  <c r="AI424" i="3" s="1"/>
  <c r="AG424" i="3" a="1"/>
  <c r="AG424" i="3" s="1"/>
  <c r="AH424" i="3" a="1"/>
  <c r="AH424" i="3" s="1"/>
  <c r="AG333" i="3" a="1"/>
  <c r="AG333" i="3" s="1"/>
  <c r="AI333" i="3" a="1"/>
  <c r="AI333" i="3" s="1"/>
  <c r="AH333" i="3" a="1"/>
  <c r="AH333" i="3" s="1"/>
  <c r="AG927" i="3" a="1"/>
  <c r="AG927" i="3" s="1"/>
  <c r="AH927" i="3" a="1"/>
  <c r="AH927" i="3" s="1"/>
  <c r="AI927" i="3" a="1"/>
  <c r="AI927" i="3" s="1"/>
  <c r="AI457" i="3" a="1"/>
  <c r="AI457" i="3" s="1"/>
  <c r="AH457" i="3" a="1"/>
  <c r="AH457" i="3" s="1"/>
  <c r="AG457" i="3" a="1"/>
  <c r="AG457" i="3" s="1"/>
  <c r="AH853" i="3" a="1"/>
  <c r="AH853" i="3" s="1"/>
  <c r="AG853" i="3" a="1"/>
  <c r="AG853" i="3" s="1"/>
  <c r="AI853" i="3" a="1"/>
  <c r="AI853" i="3" s="1"/>
  <c r="AH262" i="3" a="1"/>
  <c r="AH262" i="3" s="1"/>
  <c r="AG262" i="3" a="1"/>
  <c r="AG262" i="3" s="1"/>
  <c r="AI262" i="3" a="1"/>
  <c r="AI262" i="3" s="1"/>
  <c r="AI259" i="3" a="1"/>
  <c r="AI259" i="3" s="1"/>
  <c r="AH259" i="3" a="1"/>
  <c r="AH259" i="3" s="1"/>
  <c r="AG259" i="3" a="1"/>
  <c r="AG259" i="3" s="1"/>
  <c r="AG64" i="3" a="1"/>
  <c r="AG64" i="3" s="1"/>
  <c r="AH64" i="3" a="1"/>
  <c r="AH64" i="3" s="1"/>
  <c r="AI64" i="3" a="1"/>
  <c r="AI64" i="3" s="1"/>
  <c r="AH587" i="3" a="1"/>
  <c r="AH587" i="3" s="1"/>
  <c r="AI587" i="3" a="1"/>
  <c r="AI587" i="3" s="1"/>
  <c r="AG587" i="3" a="1"/>
  <c r="AG587" i="3" s="1"/>
  <c r="AG498" i="3" a="1"/>
  <c r="AG498" i="3" s="1"/>
  <c r="AH498" i="3" a="1"/>
  <c r="AH498" i="3" s="1"/>
  <c r="AI498" i="3" a="1"/>
  <c r="AI498" i="3" s="1"/>
  <c r="AG97" i="3" a="1"/>
  <c r="AG97" i="3" s="1"/>
  <c r="AI97" i="3" a="1"/>
  <c r="AI97" i="3" s="1"/>
  <c r="AH97" i="3" a="1"/>
  <c r="AH97" i="3" s="1"/>
  <c r="AH350" i="3" a="1"/>
  <c r="AH350" i="3" s="1"/>
  <c r="AG350" i="3" a="1"/>
  <c r="AG350" i="3" s="1"/>
  <c r="AI350" i="3" a="1"/>
  <c r="AI350" i="3" s="1"/>
  <c r="AH678" i="3" a="1"/>
  <c r="AH678" i="3" s="1"/>
  <c r="AI678" i="3" a="1"/>
  <c r="AI678" i="3" s="1"/>
  <c r="AG678" i="3" a="1"/>
  <c r="AG678" i="3" s="1"/>
  <c r="AI130" i="3" a="1"/>
  <c r="AI130" i="3" s="1"/>
  <c r="AH130" i="3" a="1"/>
  <c r="AH130" i="3" s="1"/>
  <c r="AG130" i="3" a="1"/>
  <c r="AG130" i="3" s="1"/>
  <c r="AG597" i="3" a="1"/>
  <c r="AG597" i="3" s="1"/>
  <c r="AH597" i="3" a="1"/>
  <c r="AH597" i="3" s="1"/>
  <c r="AI597" i="3" a="1"/>
  <c r="AI597" i="3" s="1"/>
  <c r="AH1267" i="3" a="1"/>
  <c r="AH1267" i="3" s="1"/>
  <c r="AI1267" i="3" a="1"/>
  <c r="AI1267" i="3" s="1"/>
  <c r="AG1267" i="3" a="1"/>
  <c r="AG1267" i="3" s="1"/>
  <c r="AG1302" i="3" a="1"/>
  <c r="AG1302" i="3" s="1"/>
  <c r="AH1302" i="3" a="1"/>
  <c r="AH1302" i="3" s="1"/>
  <c r="AI1302" i="3" a="1"/>
  <c r="AI1302" i="3" s="1"/>
  <c r="AG410" i="3" a="1"/>
  <c r="AG410" i="3" s="1"/>
  <c r="AI410" i="3" a="1"/>
  <c r="AI410" i="3" s="1"/>
  <c r="AH410" i="3" a="1"/>
  <c r="AH410" i="3" s="1"/>
  <c r="AH1213" i="3" a="1"/>
  <c r="AH1213" i="3" s="1"/>
  <c r="AI1213" i="3" a="1"/>
  <c r="AI1213" i="3" s="1"/>
  <c r="AG1213" i="3" a="1"/>
  <c r="AG1213" i="3" s="1"/>
  <c r="AH1283" i="3" a="1"/>
  <c r="AH1283" i="3" s="1"/>
  <c r="AG1283" i="3" a="1"/>
  <c r="AG1283" i="3" s="1"/>
  <c r="AI1283" i="3" a="1"/>
  <c r="AI1283" i="3" s="1"/>
  <c r="AI1318" i="3" a="1"/>
  <c r="AI1318" i="3" s="1"/>
  <c r="AG1318" i="3" a="1"/>
  <c r="AG1318" i="3" s="1"/>
  <c r="AH1318" i="3" a="1"/>
  <c r="AH1318" i="3" s="1"/>
  <c r="AI711" i="3" a="1"/>
  <c r="AI711" i="3" s="1"/>
  <c r="AH711" i="3" a="1"/>
  <c r="AH711" i="3" s="1"/>
  <c r="AG711" i="3" a="1"/>
  <c r="AG711" i="3" s="1"/>
  <c r="AH999" i="3" a="1"/>
  <c r="AH999" i="3" s="1"/>
  <c r="AG999" i="3" a="1"/>
  <c r="AG999" i="3" s="1"/>
  <c r="AI999" i="3" a="1"/>
  <c r="AI999" i="3" s="1"/>
  <c r="AI1029" i="3" a="1"/>
  <c r="AI1029" i="3" s="1"/>
  <c r="AH1029" i="3" a="1"/>
  <c r="AH1029" i="3" s="1"/>
  <c r="AG1029" i="3" a="1"/>
  <c r="AG1029" i="3" s="1"/>
  <c r="AG614" i="3" a="1"/>
  <c r="AG614" i="3" s="1"/>
  <c r="AH614" i="3" a="1"/>
  <c r="AH614" i="3" s="1"/>
  <c r="AI614" i="3" a="1"/>
  <c r="AI614" i="3" s="1"/>
  <c r="AG1396" i="3" a="1"/>
  <c r="AG1396" i="3" s="1"/>
  <c r="AI1396" i="3" a="1"/>
  <c r="AI1396" i="3" s="1"/>
  <c r="AH1396" i="3" a="1"/>
  <c r="AH1396" i="3" s="1"/>
  <c r="AG1423" i="3" a="1"/>
  <c r="AG1423" i="3" s="1"/>
  <c r="AI1423" i="3" a="1"/>
  <c r="AI1423" i="3" s="1"/>
  <c r="AH1423" i="3" a="1"/>
  <c r="AH1423" i="3" s="1"/>
  <c r="AG1253" i="3" a="1"/>
  <c r="AG1253" i="3" s="1"/>
  <c r="AH1253" i="3" a="1"/>
  <c r="AH1253" i="3" s="1"/>
  <c r="AI1253" i="3" a="1"/>
  <c r="AI1253" i="3" s="1"/>
  <c r="AG630" i="3" a="1"/>
  <c r="AG630" i="3" s="1"/>
  <c r="AH630" i="3" a="1"/>
  <c r="AH630" i="3" s="1"/>
  <c r="AI630" i="3" a="1"/>
  <c r="AI630" i="3" s="1"/>
  <c r="AH407" i="3" a="1"/>
  <c r="AH407" i="3" s="1"/>
  <c r="AI407" i="3" a="1"/>
  <c r="AI407" i="3" s="1"/>
  <c r="AG407" i="3" a="1"/>
  <c r="AG407" i="3" s="1"/>
  <c r="AH591" i="3" a="1"/>
  <c r="AH591" i="3" s="1"/>
  <c r="AI591" i="3" a="1"/>
  <c r="AI591" i="3" s="1"/>
  <c r="AG591" i="3" a="1"/>
  <c r="AG591" i="3" s="1"/>
  <c r="AG899" i="3" a="1"/>
  <c r="AG899" i="3" s="1"/>
  <c r="AH899" i="3" a="1"/>
  <c r="AH899" i="3" s="1"/>
  <c r="AI899" i="3" a="1"/>
  <c r="AI899" i="3" s="1"/>
  <c r="AG1317" i="3" a="1"/>
  <c r="AG1317" i="3" s="1"/>
  <c r="AI1317" i="3" a="1"/>
  <c r="AI1317" i="3" s="1"/>
  <c r="AH1317" i="3" a="1"/>
  <c r="AH1317" i="3" s="1"/>
  <c r="AH955" i="3" a="1"/>
  <c r="AH955" i="3" s="1"/>
  <c r="AG955" i="3" a="1"/>
  <c r="AG955" i="3" s="1"/>
  <c r="AI955" i="3" a="1"/>
  <c r="AI955" i="3" s="1"/>
  <c r="AG530" i="3" a="1"/>
  <c r="AG530" i="3" s="1"/>
  <c r="AI530" i="3" a="1"/>
  <c r="AI530" i="3" s="1"/>
  <c r="AH530" i="3" a="1"/>
  <c r="AH530" i="3" s="1"/>
  <c r="AI1105" i="3" a="1"/>
  <c r="AI1105" i="3" s="1"/>
  <c r="AH1105" i="3" a="1"/>
  <c r="AH1105" i="3" s="1"/>
  <c r="AG1105" i="3" a="1"/>
  <c r="AG1105" i="3" s="1"/>
  <c r="AI1170" i="3" a="1"/>
  <c r="AI1170" i="3" s="1"/>
  <c r="AH1170" i="3" a="1"/>
  <c r="AH1170" i="3" s="1"/>
  <c r="AG1170" i="3" a="1"/>
  <c r="AG1170" i="3" s="1"/>
  <c r="AI1183" i="3" a="1"/>
  <c r="AI1183" i="3" s="1"/>
  <c r="AH1183" i="3" a="1"/>
  <c r="AH1183" i="3" s="1"/>
  <c r="AG1183" i="3" a="1"/>
  <c r="AG1183" i="3" s="1"/>
  <c r="AH997" i="3" a="1"/>
  <c r="AH997" i="3" s="1"/>
  <c r="AI997" i="3" a="1"/>
  <c r="AI997" i="3" s="1"/>
  <c r="AG997" i="3" a="1"/>
  <c r="AG997" i="3" s="1"/>
  <c r="AI524" i="3" a="1"/>
  <c r="AI524" i="3" s="1"/>
  <c r="AG524" i="3" a="1"/>
  <c r="AG524" i="3" s="1"/>
  <c r="AH524" i="3" a="1"/>
  <c r="AH524" i="3" s="1"/>
  <c r="AH1456" i="3" a="1"/>
  <c r="AH1456" i="3" s="1"/>
  <c r="AI1456" i="3" a="1"/>
  <c r="AI1456" i="3" s="1"/>
  <c r="AG1456" i="3" a="1"/>
  <c r="AG1456" i="3" s="1"/>
  <c r="AI35" i="3" a="1"/>
  <c r="AI35" i="3" s="1"/>
  <c r="AG35" i="3" a="1"/>
  <c r="AG35" i="3" s="1"/>
  <c r="AH35" i="3" a="1"/>
  <c r="AH35" i="3" s="1"/>
  <c r="AG694" i="3" a="1"/>
  <c r="AG694" i="3" s="1"/>
  <c r="AI694" i="3" a="1"/>
  <c r="AI694" i="3" s="1"/>
  <c r="AH694" i="3" a="1"/>
  <c r="AH694" i="3" s="1"/>
  <c r="AI352" i="3" a="1"/>
  <c r="AI352" i="3" s="1"/>
  <c r="AH352" i="3" a="1"/>
  <c r="AH352" i="3" s="1"/>
  <c r="AG352" i="3" a="1"/>
  <c r="AG352" i="3" s="1"/>
  <c r="AG261" i="3" a="1"/>
  <c r="AG261" i="3" s="1"/>
  <c r="AI261" i="3" a="1"/>
  <c r="AI261" i="3" s="1"/>
  <c r="AH261" i="3" a="1"/>
  <c r="AH261" i="3" s="1"/>
  <c r="AH855" i="3" a="1"/>
  <c r="AH855" i="3" s="1"/>
  <c r="AG855" i="3" a="1"/>
  <c r="AG855" i="3" s="1"/>
  <c r="AI855" i="3" a="1"/>
  <c r="AI855" i="3" s="1"/>
  <c r="AI321" i="3" a="1"/>
  <c r="AI321" i="3" s="1"/>
  <c r="AH321" i="3" a="1"/>
  <c r="AH321" i="3" s="1"/>
  <c r="AG321" i="3" a="1"/>
  <c r="AG321" i="3" s="1"/>
  <c r="AH717" i="3" a="1"/>
  <c r="AH717" i="3" s="1"/>
  <c r="AG717" i="3" a="1"/>
  <c r="AG717" i="3" s="1"/>
  <c r="AI717" i="3" a="1"/>
  <c r="AI717" i="3" s="1"/>
  <c r="AI904" i="3" a="1"/>
  <c r="AI904" i="3" s="1"/>
  <c r="AH904" i="3" a="1"/>
  <c r="AH904" i="3" s="1"/>
  <c r="AG904" i="3" a="1"/>
  <c r="AG904" i="3" s="1"/>
  <c r="AH187" i="3" a="1"/>
  <c r="AH187" i="3" s="1"/>
  <c r="AI187" i="3" a="1"/>
  <c r="AI187" i="3" s="1"/>
  <c r="AG187" i="3" a="1"/>
  <c r="AG187" i="3" s="1"/>
  <c r="AH846" i="3" a="1"/>
  <c r="AH846" i="3" s="1"/>
  <c r="AI846" i="3" a="1"/>
  <c r="AI846" i="3" s="1"/>
  <c r="AG846" i="3" a="1"/>
  <c r="AG846" i="3" s="1"/>
  <c r="AI312" i="3" a="1"/>
  <c r="AI312" i="3" s="1"/>
  <c r="AH312" i="3" a="1"/>
  <c r="AH312" i="3" s="1"/>
  <c r="AG312" i="3" a="1"/>
  <c r="AG312" i="3" s="1"/>
  <c r="AG221" i="3" a="1"/>
  <c r="AG221" i="3" s="1"/>
  <c r="AH221" i="3" a="1"/>
  <c r="AH221" i="3" s="1"/>
  <c r="AI221" i="3" a="1"/>
  <c r="AI221" i="3" s="1"/>
  <c r="AI640" i="3" a="1"/>
  <c r="AI640" i="3" s="1"/>
  <c r="AG640" i="3" a="1"/>
  <c r="AG640" i="3" s="1"/>
  <c r="AH640" i="3" a="1"/>
  <c r="AH640" i="3" s="1"/>
  <c r="AI549" i="3" a="1"/>
  <c r="AI549" i="3" s="1"/>
  <c r="AG549" i="3" a="1"/>
  <c r="AG549" i="3" s="1"/>
  <c r="AH549" i="3" a="1"/>
  <c r="AH549" i="3" s="1"/>
  <c r="AG452" i="3" a="1"/>
  <c r="AG452" i="3" s="1"/>
  <c r="AH452" i="3" a="1"/>
  <c r="AH452" i="3" s="1"/>
  <c r="AI452" i="3" a="1"/>
  <c r="AI452" i="3" s="1"/>
  <c r="AI673" i="3" a="1"/>
  <c r="AI673" i="3" s="1"/>
  <c r="AH673" i="3" a="1"/>
  <c r="AH673" i="3" s="1"/>
  <c r="AG673" i="3" a="1"/>
  <c r="AG673" i="3" s="1"/>
  <c r="AG335" i="3" a="1"/>
  <c r="AG335" i="3" s="1"/>
  <c r="AH335" i="3" a="1"/>
  <c r="AH335" i="3" s="1"/>
  <c r="AI335" i="3" a="1"/>
  <c r="AI335" i="3" s="1"/>
  <c r="AH16" i="3" a="1"/>
  <c r="AH16" i="3" s="1"/>
  <c r="AI16" i="3" a="1"/>
  <c r="AI16" i="3" s="1"/>
  <c r="AG16" i="3" a="1"/>
  <c r="AG16" i="3" s="1"/>
  <c r="AH539" i="3" a="1"/>
  <c r="AH539" i="3" s="1"/>
  <c r="AG539" i="3" a="1"/>
  <c r="AG539" i="3" s="1"/>
  <c r="AI539" i="3" a="1"/>
  <c r="AI539" i="3" s="1"/>
  <c r="AG792" i="3" a="1"/>
  <c r="AG792" i="3" s="1"/>
  <c r="AH792" i="3" a="1"/>
  <c r="AH792" i="3" s="1"/>
  <c r="AI792" i="3" a="1"/>
  <c r="AI792" i="3" s="1"/>
  <c r="AI1172" i="3" a="1"/>
  <c r="AI1172" i="3" s="1"/>
  <c r="AG1172" i="3" a="1"/>
  <c r="AG1172" i="3" s="1"/>
  <c r="AH1172" i="3" a="1"/>
  <c r="AH1172" i="3" s="1"/>
  <c r="AI1199" i="3" a="1"/>
  <c r="AI1199" i="3" s="1"/>
  <c r="AH1199" i="3" a="1"/>
  <c r="AH1199" i="3" s="1"/>
  <c r="AG1199" i="3" a="1"/>
  <c r="AG1199" i="3" s="1"/>
  <c r="AG1083" i="3" a="1"/>
  <c r="AG1083" i="3" s="1"/>
  <c r="AI1083" i="3" a="1"/>
  <c r="AI1083" i="3" s="1"/>
  <c r="AH1083" i="3" a="1"/>
  <c r="AH1083" i="3" s="1"/>
  <c r="AI856" i="3" a="1"/>
  <c r="AI856" i="3" s="1"/>
  <c r="AH856" i="3" a="1"/>
  <c r="AH856" i="3" s="1"/>
  <c r="AG856" i="3" a="1"/>
  <c r="AG856" i="3" s="1"/>
  <c r="AH1188" i="3" a="1"/>
  <c r="AH1188" i="3" s="1"/>
  <c r="AI1188" i="3" a="1"/>
  <c r="AI1188" i="3" s="1"/>
  <c r="AG1188" i="3" a="1"/>
  <c r="AG1188" i="3" s="1"/>
  <c r="AH1215" i="3" a="1"/>
  <c r="AH1215" i="3" s="1"/>
  <c r="AG1215" i="3" a="1"/>
  <c r="AG1215" i="3" s="1"/>
  <c r="AI1215" i="3" a="1"/>
  <c r="AI1215" i="3" s="1"/>
  <c r="AH817" i="3" a="1"/>
  <c r="AH817" i="3" s="1"/>
  <c r="AG817" i="3" a="1"/>
  <c r="AG817" i="3" s="1"/>
  <c r="AI817" i="3" a="1"/>
  <c r="AI817" i="3" s="1"/>
  <c r="AG794" i="3" a="1"/>
  <c r="AG794" i="3" s="1"/>
  <c r="AI794" i="3" a="1"/>
  <c r="AI794" i="3" s="1"/>
  <c r="AH794" i="3" a="1"/>
  <c r="AH794" i="3" s="1"/>
  <c r="AG898" i="3" a="1"/>
  <c r="AG898" i="3" s="1"/>
  <c r="AI898" i="3" a="1"/>
  <c r="AI898" i="3" s="1"/>
  <c r="AH898" i="3" a="1"/>
  <c r="AH898" i="3" s="1"/>
  <c r="AG580" i="3" a="1"/>
  <c r="AG580" i="3" s="1"/>
  <c r="AI580" i="3" a="1"/>
  <c r="AI580" i="3" s="1"/>
  <c r="AH580" i="3" a="1"/>
  <c r="AH580" i="3" s="1"/>
  <c r="AI1301" i="3" a="1"/>
  <c r="AI1301" i="3" s="1"/>
  <c r="AG1301" i="3" a="1"/>
  <c r="AG1301" i="3" s="1"/>
  <c r="AH1301" i="3" a="1"/>
  <c r="AH1301" i="3" s="1"/>
  <c r="AH1337" i="3" a="1"/>
  <c r="AH1337" i="3" s="1"/>
  <c r="AG1337" i="3" a="1"/>
  <c r="AG1337" i="3" s="1"/>
  <c r="AI1337" i="3" a="1"/>
  <c r="AI1337" i="3" s="1"/>
  <c r="AH1111" i="3" a="1"/>
  <c r="AH1111" i="3" s="1"/>
  <c r="AG1111" i="3" a="1"/>
  <c r="AG1111" i="3" s="1"/>
  <c r="AI1111" i="3" a="1"/>
  <c r="AI1111" i="3" s="1"/>
  <c r="AH755" i="3" a="1"/>
  <c r="AH755" i="3" s="1"/>
  <c r="AG755" i="3" a="1"/>
  <c r="AG755" i="3" s="1"/>
  <c r="AI755" i="3" a="1"/>
  <c r="AI755" i="3" s="1"/>
  <c r="AI1234" i="3" a="1"/>
  <c r="AI1234" i="3" s="1"/>
  <c r="AG1234" i="3" a="1"/>
  <c r="AG1234" i="3" s="1"/>
  <c r="AH1234" i="3" a="1"/>
  <c r="AH1234" i="3" s="1"/>
  <c r="AH1178" i="3" a="1"/>
  <c r="AH1178" i="3" s="1"/>
  <c r="AG1178" i="3" a="1"/>
  <c r="AG1178" i="3" s="1"/>
  <c r="AI1178" i="3" a="1"/>
  <c r="AI1178" i="3" s="1"/>
  <c r="AI1143" i="3" a="1"/>
  <c r="AI1143" i="3" s="1"/>
  <c r="AG1143" i="3" a="1"/>
  <c r="AG1143" i="3" s="1"/>
  <c r="AH1143" i="3" a="1"/>
  <c r="AH1143" i="3" s="1"/>
  <c r="AI1386" i="3" a="1"/>
  <c r="AI1386" i="3" s="1"/>
  <c r="AH1386" i="3" a="1"/>
  <c r="AH1386" i="3" s="1"/>
  <c r="AG1386" i="3" a="1"/>
  <c r="AG1386" i="3" s="1"/>
  <c r="AH1131" i="3" a="1"/>
  <c r="AH1131" i="3" s="1"/>
  <c r="AG1131" i="3" a="1"/>
  <c r="AG1131" i="3" s="1"/>
  <c r="AI1131" i="3" a="1"/>
  <c r="AI1131" i="3" s="1"/>
  <c r="AI1048" i="3" a="1"/>
  <c r="AI1048" i="3" s="1"/>
  <c r="AH1048" i="3" a="1"/>
  <c r="AH1048" i="3" s="1"/>
  <c r="AG1048" i="3" a="1"/>
  <c r="AG1048" i="3" s="1"/>
  <c r="AI913" i="3" a="1"/>
  <c r="AI913" i="3" s="1"/>
  <c r="AH913" i="3" a="1"/>
  <c r="AH913" i="3" s="1"/>
  <c r="AG913" i="3" a="1"/>
  <c r="AG913" i="3" s="1"/>
  <c r="AH1338" i="3" a="1"/>
  <c r="AH1338" i="3" s="1"/>
  <c r="AG1338" i="3" a="1"/>
  <c r="AG1338" i="3" s="1"/>
  <c r="AI1338" i="3" a="1"/>
  <c r="AI1338" i="3" s="1"/>
  <c r="AG1197" i="3" a="1"/>
  <c r="AG1197" i="3" s="1"/>
  <c r="AH1197" i="3" a="1"/>
  <c r="AH1197" i="3" s="1"/>
  <c r="AI1197" i="3" a="1"/>
  <c r="AI1197" i="3" s="1"/>
  <c r="AI1378" i="3" a="1"/>
  <c r="AI1378" i="3" s="1"/>
  <c r="AH1378" i="3" a="1"/>
  <c r="AH1378" i="3" s="1"/>
  <c r="AG1378" i="3" a="1"/>
  <c r="AG1378" i="3" s="1"/>
  <c r="AG88" i="3" a="1"/>
  <c r="AG88" i="3" s="1"/>
  <c r="AH88" i="3" a="1"/>
  <c r="AH88" i="3" s="1"/>
  <c r="AI88" i="3" a="1"/>
  <c r="AI88" i="3" s="1"/>
  <c r="AG611" i="3" a="1"/>
  <c r="AG611" i="3" s="1"/>
  <c r="AI611" i="3" a="1"/>
  <c r="AI611" i="3" s="1"/>
  <c r="AH611" i="3" a="1"/>
  <c r="AH611" i="3" s="1"/>
  <c r="AH546" i="3" a="1"/>
  <c r="AH546" i="3" s="1"/>
  <c r="AG546" i="3" a="1"/>
  <c r="AG546" i="3" s="1"/>
  <c r="AI546" i="3" a="1"/>
  <c r="AI546" i="3" s="1"/>
  <c r="AH249" i="3" a="1"/>
  <c r="AH249" i="3" s="1"/>
  <c r="AI249" i="3" a="1"/>
  <c r="AI249" i="3" s="1"/>
  <c r="AG249" i="3" a="1"/>
  <c r="AG249" i="3" s="1"/>
  <c r="AI631" i="3" a="1"/>
  <c r="AI631" i="3" s="1"/>
  <c r="AG631" i="3" a="1"/>
  <c r="AG631" i="3" s="1"/>
  <c r="AH631" i="3" a="1"/>
  <c r="AH631" i="3" s="1"/>
  <c r="AH832" i="3" a="1"/>
  <c r="AH832" i="3" s="1"/>
  <c r="AG832" i="3" a="1"/>
  <c r="AG832" i="3" s="1"/>
  <c r="AI832" i="3" a="1"/>
  <c r="AI832" i="3" s="1"/>
  <c r="AG51" i="3" a="1"/>
  <c r="AG51" i="3" s="1"/>
  <c r="AH51" i="3" a="1"/>
  <c r="AH51" i="3" s="1"/>
  <c r="AI51" i="3" a="1"/>
  <c r="AI51" i="3" s="1"/>
  <c r="AH710" i="3" a="1"/>
  <c r="AH710" i="3" s="1"/>
  <c r="AI710" i="3" a="1"/>
  <c r="AI710" i="3" s="1"/>
  <c r="AG710" i="3" a="1"/>
  <c r="AG710" i="3" s="1"/>
  <c r="AH240" i="3" a="1"/>
  <c r="AH240" i="3" s="1"/>
  <c r="AG240" i="3" a="1"/>
  <c r="AG240" i="3" s="1"/>
  <c r="AI240" i="3" a="1"/>
  <c r="AI240" i="3" s="1"/>
  <c r="AH149" i="3" a="1"/>
  <c r="AH149" i="3" s="1"/>
  <c r="AG149" i="3" a="1"/>
  <c r="AG149" i="3" s="1"/>
  <c r="AI149" i="3" a="1"/>
  <c r="AI149" i="3" s="1"/>
  <c r="AH743" i="3" a="1"/>
  <c r="AH743" i="3" s="1"/>
  <c r="AG743" i="3" a="1"/>
  <c r="AG743" i="3" s="1"/>
  <c r="AI743" i="3" a="1"/>
  <c r="AI743" i="3" s="1"/>
  <c r="AH209" i="3" a="1"/>
  <c r="AH209" i="3" s="1"/>
  <c r="AI209" i="3" a="1"/>
  <c r="AI209" i="3" s="1"/>
  <c r="AG209" i="3" a="1"/>
  <c r="AG209" i="3" s="1"/>
  <c r="AH570" i="3" a="1"/>
  <c r="AH570" i="3" s="1"/>
  <c r="AI570" i="3" a="1"/>
  <c r="AI570" i="3" s="1"/>
  <c r="AG570" i="3" a="1"/>
  <c r="AG570" i="3" s="1"/>
  <c r="AH537" i="3" a="1"/>
  <c r="AH537" i="3" s="1"/>
  <c r="AI537" i="3" a="1"/>
  <c r="AI537" i="3" s="1"/>
  <c r="AG537" i="3" a="1"/>
  <c r="AG537" i="3" s="1"/>
  <c r="AG933" i="3" a="1"/>
  <c r="AG933" i="3" s="1"/>
  <c r="AI933" i="3" a="1"/>
  <c r="AI933" i="3" s="1"/>
  <c r="AH933" i="3" a="1"/>
  <c r="AH933" i="3" s="1"/>
  <c r="AG55" i="3" a="1"/>
  <c r="AG55" i="3" s="1"/>
  <c r="AH55" i="3" a="1"/>
  <c r="AH55" i="3" s="1"/>
  <c r="AI55" i="3" a="1"/>
  <c r="AI55" i="3" s="1"/>
  <c r="AG403" i="3" a="1"/>
  <c r="AG403" i="3" s="1"/>
  <c r="AH403" i="3" a="1"/>
  <c r="AH403" i="3" s="1"/>
  <c r="AI403" i="3" a="1"/>
  <c r="AI403" i="3" s="1"/>
  <c r="AG84" i="3" a="1"/>
  <c r="AG84" i="3" s="1"/>
  <c r="AH84" i="3" a="1"/>
  <c r="AH84" i="3" s="1"/>
  <c r="AI84" i="3" a="1"/>
  <c r="AI84" i="3" s="1"/>
  <c r="AI592" i="3" a="1"/>
  <c r="AI592" i="3" s="1"/>
  <c r="AH592" i="3" a="1"/>
  <c r="AH592" i="3" s="1"/>
  <c r="AG592" i="3" a="1"/>
  <c r="AG592" i="3" s="1"/>
  <c r="AG501" i="3" a="1"/>
  <c r="AG501" i="3" s="1"/>
  <c r="AH501" i="3" a="1"/>
  <c r="AH501" i="3" s="1"/>
  <c r="AI501" i="3" a="1"/>
  <c r="AI501" i="3" s="1"/>
  <c r="AI100" i="3" a="1"/>
  <c r="AI100" i="3" s="1"/>
  <c r="AH100" i="3" a="1"/>
  <c r="AH100" i="3" s="1"/>
  <c r="AG100" i="3" a="1"/>
  <c r="AG100" i="3" s="1"/>
  <c r="AG1077" i="3" a="1"/>
  <c r="AG1077" i="3" s="1"/>
  <c r="AH1077" i="3" a="1"/>
  <c r="AH1077" i="3" s="1"/>
  <c r="AI1077" i="3" a="1"/>
  <c r="AI1077" i="3" s="1"/>
  <c r="AI635" i="3" a="1"/>
  <c r="AI635" i="3" s="1"/>
  <c r="AH635" i="3" a="1"/>
  <c r="AH635" i="3" s="1"/>
  <c r="AG635" i="3" a="1"/>
  <c r="AG635" i="3" s="1"/>
  <c r="AH980" i="3" a="1"/>
  <c r="AH980" i="3" s="1"/>
  <c r="AG980" i="3" a="1"/>
  <c r="AG980" i="3" s="1"/>
  <c r="AI980" i="3" a="1"/>
  <c r="AI980" i="3" s="1"/>
  <c r="AI164" i="3" a="1"/>
  <c r="AI164" i="3" s="1"/>
  <c r="AH164" i="3" a="1"/>
  <c r="AH164" i="3" s="1"/>
  <c r="AG164" i="3" a="1"/>
  <c r="AG164" i="3" s="1"/>
  <c r="AH1093" i="3" a="1"/>
  <c r="AH1093" i="3" s="1"/>
  <c r="AG1093" i="3" a="1"/>
  <c r="AG1093" i="3" s="1"/>
  <c r="AI1093" i="3" a="1"/>
  <c r="AI1093" i="3" s="1"/>
  <c r="AH1129" i="3" a="1"/>
  <c r="AH1129" i="3" s="1"/>
  <c r="AI1129" i="3" a="1"/>
  <c r="AI1129" i="3" s="1"/>
  <c r="AG1129" i="3" a="1"/>
  <c r="AG1129" i="3" s="1"/>
  <c r="AH795" i="3" a="1"/>
  <c r="AH795" i="3" s="1"/>
  <c r="AG795" i="3" a="1"/>
  <c r="AG795" i="3" s="1"/>
  <c r="AI795" i="3" a="1"/>
  <c r="AI795" i="3" s="1"/>
  <c r="AH188" i="3" a="1"/>
  <c r="AH188" i="3" s="1"/>
  <c r="AI188" i="3" a="1"/>
  <c r="AI188" i="3" s="1"/>
  <c r="AG188" i="3" a="1"/>
  <c r="AG188" i="3" s="1"/>
  <c r="AI1003" i="3" a="1"/>
  <c r="AI1003" i="3" s="1"/>
  <c r="AG1003" i="3" a="1"/>
  <c r="AG1003" i="3" s="1"/>
  <c r="AH1003" i="3" a="1"/>
  <c r="AH1003" i="3" s="1"/>
  <c r="AH1171" i="3" a="1"/>
  <c r="AH1171" i="3" s="1"/>
  <c r="AG1171" i="3" a="1"/>
  <c r="AG1171" i="3" s="1"/>
  <c r="AI1171" i="3" a="1"/>
  <c r="AI1171" i="3" s="1"/>
  <c r="AI1206" i="3" a="1"/>
  <c r="AI1206" i="3" s="1"/>
  <c r="AH1206" i="3" a="1"/>
  <c r="AH1206" i="3" s="1"/>
  <c r="AG1206" i="3" a="1"/>
  <c r="AG1206" i="3" s="1"/>
  <c r="AI833" i="3" a="1"/>
  <c r="AI833" i="3" s="1"/>
  <c r="AH833" i="3" a="1"/>
  <c r="AH833" i="3" s="1"/>
  <c r="AG833" i="3" a="1"/>
  <c r="AG833" i="3" s="1"/>
  <c r="AG134" i="3" a="1"/>
  <c r="AG134" i="3" s="1"/>
  <c r="AH134" i="3" a="1"/>
  <c r="AH134" i="3" s="1"/>
  <c r="AI134" i="3" a="1"/>
  <c r="AI134" i="3" s="1"/>
  <c r="AI866" i="3" a="1"/>
  <c r="AI866" i="3" s="1"/>
  <c r="AG866" i="3" a="1"/>
  <c r="AG866" i="3" s="1"/>
  <c r="AH866" i="3" a="1"/>
  <c r="AH866" i="3" s="1"/>
  <c r="AH985" i="3" a="1"/>
  <c r="AH985" i="3" s="1"/>
  <c r="AG985" i="3" a="1"/>
  <c r="AG985" i="3" s="1"/>
  <c r="AI985" i="3" a="1"/>
  <c r="AI985" i="3" s="1"/>
  <c r="AG1422" i="3" a="1"/>
  <c r="AG1422" i="3" s="1"/>
  <c r="AH1422" i="3" a="1"/>
  <c r="AH1422" i="3" s="1"/>
  <c r="AI1422" i="3" a="1"/>
  <c r="AI1422" i="3" s="1"/>
  <c r="AH897" i="3" a="1"/>
  <c r="AH897" i="3" s="1"/>
  <c r="AG897" i="3" a="1"/>
  <c r="AG897" i="3" s="1"/>
  <c r="AI897" i="3" a="1"/>
  <c r="AI897" i="3" s="1"/>
  <c r="AH804" i="3" a="1"/>
  <c r="AH804" i="3" s="1"/>
  <c r="AG804" i="3" a="1"/>
  <c r="AG804" i="3" s="1"/>
  <c r="AI804" i="3" a="1"/>
  <c r="AI804" i="3" s="1"/>
  <c r="AG604" i="3" a="1"/>
  <c r="AG604" i="3" s="1"/>
  <c r="AI604" i="3" a="1"/>
  <c r="AI604" i="3" s="1"/>
  <c r="AH604" i="3" a="1"/>
  <c r="AH604" i="3" s="1"/>
  <c r="AI1325" i="3" a="1"/>
  <c r="AI1325" i="3" s="1"/>
  <c r="AH1325" i="3" a="1"/>
  <c r="AH1325" i="3" s="1"/>
  <c r="AG1325" i="3" a="1"/>
  <c r="AG1325" i="3" s="1"/>
  <c r="AH1113" i="3" a="1"/>
  <c r="AH1113" i="3" s="1"/>
  <c r="AG1113" i="3" a="1"/>
  <c r="AG1113" i="3" s="1"/>
  <c r="AI1113" i="3" a="1"/>
  <c r="AI1113" i="3" s="1"/>
  <c r="AH1164" i="3" a="1"/>
  <c r="AH1164" i="3" s="1"/>
  <c r="AI1164" i="3" a="1"/>
  <c r="AI1164" i="3" s="1"/>
  <c r="AG1164" i="3" a="1"/>
  <c r="AG1164" i="3" s="1"/>
  <c r="AH740" i="3" a="1"/>
  <c r="AH740" i="3" s="1"/>
  <c r="AG740" i="3" a="1"/>
  <c r="AG740" i="3" s="1"/>
  <c r="AI740" i="3" a="1"/>
  <c r="AI740" i="3" s="1"/>
  <c r="AI1063" i="3" a="1"/>
  <c r="AI1063" i="3" s="1"/>
  <c r="AG1063" i="3" a="1"/>
  <c r="AG1063" i="3" s="1"/>
  <c r="AH1063" i="3" a="1"/>
  <c r="AH1063" i="3" s="1"/>
  <c r="AH785" i="3" a="1"/>
  <c r="AH785" i="3" s="1"/>
  <c r="AI785" i="3" a="1"/>
  <c r="AI785" i="3" s="1"/>
  <c r="AG785" i="3" a="1"/>
  <c r="AG785" i="3" s="1"/>
  <c r="AG664" i="3" a="1"/>
  <c r="AG664" i="3" s="1"/>
  <c r="AH664" i="3" a="1"/>
  <c r="AH664" i="3" s="1"/>
  <c r="AI664" i="3" a="1"/>
  <c r="AI664" i="3" s="1"/>
  <c r="AG76" i="3" a="1"/>
  <c r="AG76" i="3" s="1"/>
  <c r="AH76" i="3" a="1"/>
  <c r="AH76" i="3" s="1"/>
  <c r="AI76" i="3" a="1"/>
  <c r="AI76" i="3" s="1"/>
  <c r="AG500" i="3" a="1"/>
  <c r="AG500" i="3" s="1"/>
  <c r="AH500" i="3" a="1"/>
  <c r="AH500" i="3" s="1"/>
  <c r="AI500" i="3" a="1"/>
  <c r="AI500" i="3" s="1"/>
  <c r="AG146" i="3" a="1"/>
  <c r="AG146" i="3" s="1"/>
  <c r="AH146" i="3" a="1"/>
  <c r="AH146" i="3" s="1"/>
  <c r="AI146" i="3" a="1"/>
  <c r="AI146" i="3" s="1"/>
  <c r="AG622" i="3" a="1"/>
  <c r="AG622" i="3" s="1"/>
  <c r="AH622" i="3" a="1"/>
  <c r="AH622" i="3" s="1"/>
  <c r="AI622" i="3" a="1"/>
  <c r="AI622" i="3" s="1"/>
  <c r="AG104" i="3" a="1"/>
  <c r="AG104" i="3" s="1"/>
  <c r="AI104" i="3" a="1"/>
  <c r="AI104" i="3" s="1"/>
  <c r="AH104" i="3" a="1"/>
  <c r="AH104" i="3" s="1"/>
  <c r="AH13" i="3" a="1"/>
  <c r="AH13" i="3" s="1"/>
  <c r="AI13" i="3" a="1"/>
  <c r="AI13" i="3" s="1"/>
  <c r="AG13" i="3" a="1"/>
  <c r="AG13" i="3" s="1"/>
  <c r="AH573" i="3" a="1"/>
  <c r="AH573" i="3" s="1"/>
  <c r="AI573" i="3" a="1"/>
  <c r="AI573" i="3" s="1"/>
  <c r="AG573" i="3" a="1"/>
  <c r="AG573" i="3" s="1"/>
  <c r="AH137" i="3" a="1"/>
  <c r="AH137" i="3" s="1"/>
  <c r="AG137" i="3" a="1"/>
  <c r="AG137" i="3" s="1"/>
  <c r="AI137" i="3" a="1"/>
  <c r="AI137" i="3" s="1"/>
  <c r="AH430" i="3" a="1"/>
  <c r="AH430" i="3" s="1"/>
  <c r="AG430" i="3" a="1"/>
  <c r="AG430" i="3" s="1"/>
  <c r="AI430" i="3" a="1"/>
  <c r="AI430" i="3" s="1"/>
  <c r="AI720" i="3" a="1"/>
  <c r="AI720" i="3" s="1"/>
  <c r="AH720" i="3" a="1"/>
  <c r="AH720" i="3" s="1"/>
  <c r="AG720" i="3" a="1"/>
  <c r="AG720" i="3" s="1"/>
  <c r="AG106" i="3" a="1"/>
  <c r="AG106" i="3" s="1"/>
  <c r="AI106" i="3" a="1"/>
  <c r="AI106" i="3" s="1"/>
  <c r="AH106" i="3" a="1"/>
  <c r="AH106" i="3" s="1"/>
  <c r="AI558" i="3" a="1"/>
  <c r="AI558" i="3" s="1"/>
  <c r="AG558" i="3" a="1"/>
  <c r="AG558" i="3" s="1"/>
  <c r="AH558" i="3" a="1"/>
  <c r="AH558" i="3" s="1"/>
  <c r="AI267" i="3" a="1"/>
  <c r="AI267" i="3" s="1"/>
  <c r="AH267" i="3" a="1"/>
  <c r="AH267" i="3" s="1"/>
  <c r="AG267" i="3" a="1"/>
  <c r="AG267" i="3" s="1"/>
  <c r="AH926" i="3" a="1"/>
  <c r="AH926" i="3" s="1"/>
  <c r="AI926" i="3" a="1"/>
  <c r="AI926" i="3" s="1"/>
  <c r="AG926" i="3" a="1"/>
  <c r="AG926" i="3" s="1"/>
  <c r="AG456" i="3" a="1"/>
  <c r="AG456" i="3" s="1"/>
  <c r="AH456" i="3" a="1"/>
  <c r="AH456" i="3" s="1"/>
  <c r="AI456" i="3" a="1"/>
  <c r="AI456" i="3" s="1"/>
  <c r="AH365" i="3" a="1"/>
  <c r="AH365" i="3" s="1"/>
  <c r="AG365" i="3" a="1"/>
  <c r="AG365" i="3" s="1"/>
  <c r="AI365" i="3" a="1"/>
  <c r="AI365" i="3" s="1"/>
  <c r="AG959" i="3" a="1"/>
  <c r="AG959" i="3" s="1"/>
  <c r="AI959" i="3" a="1"/>
  <c r="AI959" i="3" s="1"/>
  <c r="AH959" i="3" a="1"/>
  <c r="AH959" i="3" s="1"/>
  <c r="AH489" i="3" a="1"/>
  <c r="AH489" i="3" s="1"/>
  <c r="AI489" i="3" a="1"/>
  <c r="AI489" i="3" s="1"/>
  <c r="AG489" i="3" a="1"/>
  <c r="AG489" i="3" s="1"/>
  <c r="AG885" i="3" a="1"/>
  <c r="AG885" i="3" s="1"/>
  <c r="AH885" i="3" a="1"/>
  <c r="AH885" i="3" s="1"/>
  <c r="AI885" i="3" a="1"/>
  <c r="AI885" i="3" s="1"/>
  <c r="AI900" i="3" a="1"/>
  <c r="AI900" i="3" s="1"/>
  <c r="AH900" i="3" a="1"/>
  <c r="AH900" i="3" s="1"/>
  <c r="AG900" i="3" a="1"/>
  <c r="AG900" i="3" s="1"/>
  <c r="AI973" i="3" a="1"/>
  <c r="AI973" i="3" s="1"/>
  <c r="AH973" i="3" a="1"/>
  <c r="AH973" i="3" s="1"/>
  <c r="AG973" i="3" a="1"/>
  <c r="AG973" i="3" s="1"/>
  <c r="AG801" i="3" a="1"/>
  <c r="AG801" i="3" s="1"/>
  <c r="AH801" i="3" a="1"/>
  <c r="AH801" i="3" s="1"/>
  <c r="AI801" i="3" a="1"/>
  <c r="AI801" i="3" s="1"/>
  <c r="AG730" i="3" a="1"/>
  <c r="AG730" i="3" s="1"/>
  <c r="AI730" i="3" a="1"/>
  <c r="AI730" i="3" s="1"/>
  <c r="AH730" i="3" a="1"/>
  <c r="AH730" i="3" s="1"/>
  <c r="AH946" i="3" a="1"/>
  <c r="AH946" i="3" s="1"/>
  <c r="AG946" i="3" a="1"/>
  <c r="AG946" i="3" s="1"/>
  <c r="AI946" i="3" a="1"/>
  <c r="AI946" i="3" s="1"/>
  <c r="AH992" i="3" a="1"/>
  <c r="AH992" i="3" s="1"/>
  <c r="AG992" i="3" a="1"/>
  <c r="AG992" i="3" s="1"/>
  <c r="AI992" i="3" a="1"/>
  <c r="AI992" i="3" s="1"/>
  <c r="AG1074" i="3" a="1"/>
  <c r="AG1074" i="3" s="1"/>
  <c r="AI1074" i="3" a="1"/>
  <c r="AI1074" i="3" s="1"/>
  <c r="AH1074" i="3" a="1"/>
  <c r="AH1074" i="3" s="1"/>
  <c r="AI1355" i="3" a="1"/>
  <c r="AI1355" i="3" s="1"/>
  <c r="AH1355" i="3" a="1"/>
  <c r="AH1355" i="3" s="1"/>
  <c r="AG1355" i="3" a="1"/>
  <c r="AG1355" i="3" s="1"/>
  <c r="AI1390" i="3" a="1"/>
  <c r="AI1390" i="3" s="1"/>
  <c r="AH1390" i="3" a="1"/>
  <c r="AH1390" i="3" s="1"/>
  <c r="AG1390" i="3" a="1"/>
  <c r="AG1390" i="3" s="1"/>
  <c r="AI180" i="3" a="1"/>
  <c r="AI180" i="3" s="1"/>
  <c r="AG180" i="3" a="1"/>
  <c r="AG180" i="3" s="1"/>
  <c r="AH180" i="3" a="1"/>
  <c r="AH180" i="3" s="1"/>
  <c r="AI1076" i="3" a="1"/>
  <c r="AI1076" i="3" s="1"/>
  <c r="AG1076" i="3" a="1"/>
  <c r="AG1076" i="3" s="1"/>
  <c r="AH1076" i="3" a="1"/>
  <c r="AH1076" i="3" s="1"/>
  <c r="AH1103" i="3" a="1"/>
  <c r="AH1103" i="3" s="1"/>
  <c r="AI1103" i="3" a="1"/>
  <c r="AI1103" i="3" s="1"/>
  <c r="AG1103" i="3" a="1"/>
  <c r="AG1103" i="3" s="1"/>
  <c r="AG1084" i="3" a="1"/>
  <c r="AG1084" i="3" s="1"/>
  <c r="AI1084" i="3" a="1"/>
  <c r="AI1084" i="3" s="1"/>
  <c r="AH1084" i="3" a="1"/>
  <c r="AH1084" i="3" s="1"/>
  <c r="AI594" i="3" a="1"/>
  <c r="AI594" i="3" s="1"/>
  <c r="AH594" i="3" a="1"/>
  <c r="AH594" i="3" s="1"/>
  <c r="AG594" i="3" a="1"/>
  <c r="AG594" i="3" s="1"/>
  <c r="AI578" i="3" a="1"/>
  <c r="AI578" i="3" s="1"/>
  <c r="AH578" i="3" a="1"/>
  <c r="AH578" i="3" s="1"/>
  <c r="AG578" i="3" a="1"/>
  <c r="AG578" i="3" s="1"/>
  <c r="AI356" i="3" a="1"/>
  <c r="AI356" i="3" s="1"/>
  <c r="AH356" i="3" a="1"/>
  <c r="AH356" i="3" s="1"/>
  <c r="AG356" i="3" a="1"/>
  <c r="AG356" i="3" s="1"/>
  <c r="AI1177" i="3" a="1"/>
  <c r="AI1177" i="3" s="1"/>
  <c r="AH1177" i="3" a="1"/>
  <c r="AH1177" i="3" s="1"/>
  <c r="AG1177" i="3" a="1"/>
  <c r="AG1177" i="3" s="1"/>
  <c r="AI1148" i="3" a="1"/>
  <c r="AI1148" i="3" s="1"/>
  <c r="AH1148" i="3" a="1"/>
  <c r="AH1148" i="3" s="1"/>
  <c r="AG1148" i="3" a="1"/>
  <c r="AG1148" i="3" s="1"/>
  <c r="AI1122" i="3" a="1"/>
  <c r="AI1122" i="3" s="1"/>
  <c r="AG1122" i="3" a="1"/>
  <c r="AG1122" i="3" s="1"/>
  <c r="AH1122" i="3" a="1"/>
  <c r="AH1122" i="3" s="1"/>
  <c r="AI1410" i="3" a="1"/>
  <c r="AI1410" i="3" s="1"/>
  <c r="AG1410" i="3" a="1"/>
  <c r="AG1410" i="3" s="1"/>
  <c r="AH1410" i="3" a="1"/>
  <c r="AH1410" i="3" s="1"/>
  <c r="AI1175" i="3" a="1"/>
  <c r="AI1175" i="3" s="1"/>
  <c r="AG1175" i="3" a="1"/>
  <c r="AG1175" i="3" s="1"/>
  <c r="AH1175" i="3" a="1"/>
  <c r="AH1175" i="3" s="1"/>
  <c r="AG1245" i="3" a="1"/>
  <c r="AG1245" i="3" s="1"/>
  <c r="AI1245" i="3" a="1"/>
  <c r="AI1245" i="3" s="1"/>
  <c r="AH1245" i="3" a="1"/>
  <c r="AH1245" i="3" s="1"/>
  <c r="AI1222" i="3" a="1"/>
  <c r="AI1222" i="3" s="1"/>
  <c r="AH1222" i="3" a="1"/>
  <c r="AH1222" i="3" s="1"/>
  <c r="AG1222" i="3" a="1"/>
  <c r="AG1222" i="3" s="1"/>
  <c r="AG777" i="3" a="1"/>
  <c r="AG777" i="3" s="1"/>
  <c r="AH777" i="3" a="1"/>
  <c r="AH777" i="3" s="1"/>
  <c r="AI777" i="3" a="1"/>
  <c r="AI777" i="3" s="1"/>
  <c r="AG1433" i="3" a="1"/>
  <c r="AG1433" i="3" s="1"/>
  <c r="AI1433" i="3" a="1"/>
  <c r="AI1433" i="3" s="1"/>
  <c r="AH1433" i="3" a="1"/>
  <c r="AH1433" i="3" s="1"/>
  <c r="AI1389" i="3" a="1"/>
  <c r="AI1389" i="3" s="1"/>
  <c r="AH1389" i="3" a="1"/>
  <c r="AH1389" i="3" s="1"/>
  <c r="AG1389" i="3" a="1"/>
  <c r="AG1389" i="3" s="1"/>
  <c r="AG561" i="3" a="1"/>
  <c r="AG561" i="3" s="1"/>
  <c r="AH561" i="3" a="1"/>
  <c r="AH561" i="3" s="1"/>
  <c r="AI561" i="3" a="1"/>
  <c r="AI561" i="3" s="1"/>
  <c r="AI46" i="3" a="1"/>
  <c r="AI46" i="3" s="1"/>
  <c r="AG46" i="3" a="1"/>
  <c r="AG46" i="3" s="1"/>
  <c r="AH46" i="3" a="1"/>
  <c r="AH46" i="3" s="1"/>
  <c r="AI32" i="3" a="1"/>
  <c r="AI32" i="3" s="1"/>
  <c r="AG32" i="3" a="1"/>
  <c r="AG32" i="3" s="1"/>
  <c r="AH32" i="3" a="1"/>
  <c r="AH32" i="3" s="1"/>
  <c r="AI555" i="3" a="1"/>
  <c r="AI555" i="3" s="1"/>
  <c r="AG555" i="3" a="1"/>
  <c r="AG555" i="3" s="1"/>
  <c r="AH555" i="3" a="1"/>
  <c r="AH555" i="3" s="1"/>
  <c r="AI434" i="3" a="1"/>
  <c r="AI434" i="3" s="1"/>
  <c r="AG434" i="3" a="1"/>
  <c r="AG434" i="3" s="1"/>
  <c r="AH434" i="3" a="1"/>
  <c r="AH434" i="3" s="1"/>
  <c r="AH680" i="3" a="1"/>
  <c r="AH680" i="3" s="1"/>
  <c r="AI680" i="3" a="1"/>
  <c r="AI680" i="3" s="1"/>
  <c r="AG680" i="3" a="1"/>
  <c r="AG680" i="3" s="1"/>
  <c r="AH140" i="3" a="1"/>
  <c r="AH140" i="3" s="1"/>
  <c r="AG140" i="3" a="1"/>
  <c r="AG140" i="3" s="1"/>
  <c r="AI140" i="3" a="1"/>
  <c r="AI140" i="3" s="1"/>
  <c r="AG532" i="3" a="1"/>
  <c r="AG532" i="3" s="1"/>
  <c r="AI532" i="3" a="1"/>
  <c r="AI532" i="3" s="1"/>
  <c r="AH532" i="3" a="1"/>
  <c r="AH532" i="3" s="1"/>
  <c r="AI34" i="3" a="1"/>
  <c r="AI34" i="3" s="1"/>
  <c r="AG34" i="3" a="1"/>
  <c r="AG34" i="3" s="1"/>
  <c r="AH34" i="3" a="1"/>
  <c r="AH34" i="3" s="1"/>
  <c r="AH415" i="3" a="1"/>
  <c r="AH415" i="3" s="1"/>
  <c r="AG415" i="3" a="1"/>
  <c r="AG415" i="3" s="1"/>
  <c r="AI415" i="3" a="1"/>
  <c r="AI415" i="3" s="1"/>
  <c r="AG167" i="3" a="1"/>
  <c r="AG167" i="3" s="1"/>
  <c r="AI167" i="3" a="1"/>
  <c r="AI167" i="3" s="1"/>
  <c r="AH167" i="3" a="1"/>
  <c r="AH167" i="3" s="1"/>
  <c r="AI515" i="3" a="1"/>
  <c r="AI515" i="3" s="1"/>
  <c r="AH515" i="3" a="1"/>
  <c r="AH515" i="3" s="1"/>
  <c r="AG515" i="3" a="1"/>
  <c r="AG515" i="3" s="1"/>
  <c r="AI320" i="3" a="1"/>
  <c r="AI320" i="3" s="1"/>
  <c r="AH320" i="3" a="1"/>
  <c r="AH320" i="3" s="1"/>
  <c r="AG320" i="3" a="1"/>
  <c r="AG320" i="3" s="1"/>
  <c r="AI229" i="3" a="1"/>
  <c r="AI229" i="3" s="1"/>
  <c r="AH229" i="3" a="1"/>
  <c r="AH229" i="3" s="1"/>
  <c r="AG229" i="3" a="1"/>
  <c r="AG229" i="3" s="1"/>
  <c r="AH823" i="3" a="1"/>
  <c r="AH823" i="3" s="1"/>
  <c r="AG823" i="3" a="1"/>
  <c r="AG823" i="3" s="1"/>
  <c r="AI823" i="3" a="1"/>
  <c r="AI823" i="3" s="1"/>
  <c r="AI353" i="3" a="1"/>
  <c r="AI353" i="3" s="1"/>
  <c r="AH353" i="3" a="1"/>
  <c r="AH353" i="3" s="1"/>
  <c r="AG353" i="3" a="1"/>
  <c r="AG353" i="3" s="1"/>
  <c r="AG749" i="3" a="1"/>
  <c r="AG749" i="3" s="1"/>
  <c r="AH749" i="3" a="1"/>
  <c r="AH749" i="3" s="1"/>
  <c r="AI749" i="3" a="1"/>
  <c r="AI749" i="3" s="1"/>
  <c r="AI936" i="3" a="1"/>
  <c r="AI936" i="3" s="1"/>
  <c r="AH936" i="3" a="1"/>
  <c r="AH936" i="3" s="1"/>
  <c r="AG936" i="3" a="1"/>
  <c r="AG936" i="3" s="1"/>
  <c r="AG219" i="3" a="1"/>
  <c r="AG219" i="3" s="1"/>
  <c r="AI219" i="3" a="1"/>
  <c r="AI219" i="3" s="1"/>
  <c r="AH219" i="3" a="1"/>
  <c r="AH219" i="3" s="1"/>
  <c r="AH726" i="3" a="1"/>
  <c r="AH726" i="3" s="1"/>
  <c r="AI726" i="3" a="1"/>
  <c r="AI726" i="3" s="1"/>
  <c r="AG726" i="3" a="1"/>
  <c r="AG726" i="3" s="1"/>
  <c r="AI492" i="3" a="1"/>
  <c r="AI492" i="3" s="1"/>
  <c r="AG492" i="3" a="1"/>
  <c r="AG492" i="3" s="1"/>
  <c r="AH492" i="3" a="1"/>
  <c r="AH492" i="3" s="1"/>
  <c r="AH670" i="3" a="1"/>
  <c r="AH670" i="3" s="1"/>
  <c r="AG670" i="3" a="1"/>
  <c r="AG670" i="3" s="1"/>
  <c r="AI670" i="3" a="1"/>
  <c r="AI670" i="3" s="1"/>
  <c r="AG779" i="3" a="1"/>
  <c r="AG779" i="3" s="1"/>
  <c r="AI779" i="3" a="1"/>
  <c r="AI779" i="3" s="1"/>
  <c r="AH779" i="3" a="1"/>
  <c r="AH779" i="3" s="1"/>
  <c r="AI854" i="3" a="1"/>
  <c r="AI854" i="3" s="1"/>
  <c r="AH854" i="3" a="1"/>
  <c r="AH854" i="3" s="1"/>
  <c r="AG854" i="3" a="1"/>
  <c r="AG854" i="3" s="1"/>
  <c r="AI606" i="3" a="1"/>
  <c r="AI606" i="3" s="1"/>
  <c r="AH606" i="3" a="1"/>
  <c r="AH606" i="3" s="1"/>
  <c r="AG606" i="3" a="1"/>
  <c r="AG606" i="3" s="1"/>
  <c r="AI738" i="3" a="1"/>
  <c r="AI738" i="3" s="1"/>
  <c r="AG738" i="3" a="1"/>
  <c r="AG738" i="3" s="1"/>
  <c r="AH738" i="3" a="1"/>
  <c r="AH738" i="3" s="1"/>
  <c r="AI326" i="3" a="1"/>
  <c r="AI326" i="3" s="1"/>
  <c r="AH326" i="3" a="1"/>
  <c r="AH326" i="3" s="1"/>
  <c r="AG326" i="3" a="1"/>
  <c r="AG326" i="3" s="1"/>
  <c r="AI1260" i="3" a="1"/>
  <c r="AI1260" i="3" s="1"/>
  <c r="AG1260" i="3" a="1"/>
  <c r="AG1260" i="3" s="1"/>
  <c r="AH1260" i="3" a="1"/>
  <c r="AH1260" i="3" s="1"/>
  <c r="AI1287" i="3" a="1"/>
  <c r="AI1287" i="3" s="1"/>
  <c r="AH1287" i="3" a="1"/>
  <c r="AH1287" i="3" s="1"/>
  <c r="AG1287" i="3" a="1"/>
  <c r="AG1287" i="3" s="1"/>
  <c r="AG889" i="3" a="1"/>
  <c r="AG889" i="3" s="1"/>
  <c r="AH889" i="3" a="1"/>
  <c r="AH889" i="3" s="1"/>
  <c r="AI889" i="3" a="1"/>
  <c r="AI889" i="3" s="1"/>
  <c r="AG972" i="3" a="1"/>
  <c r="AG972" i="3" s="1"/>
  <c r="AH972" i="3" a="1"/>
  <c r="AH972" i="3" s="1"/>
  <c r="AI972" i="3" a="1"/>
  <c r="AI972" i="3" s="1"/>
  <c r="AI1013" i="3" a="1"/>
  <c r="AI1013" i="3" s="1"/>
  <c r="AG1013" i="3" a="1"/>
  <c r="AG1013" i="3" s="1"/>
  <c r="AH1013" i="3" a="1"/>
  <c r="AH1013" i="3" s="1"/>
  <c r="AH1150" i="3" a="1"/>
  <c r="AH1150" i="3" s="1"/>
  <c r="AI1150" i="3" a="1"/>
  <c r="AI1150" i="3" s="1"/>
  <c r="AG1150" i="3" a="1"/>
  <c r="AG1150" i="3" s="1"/>
  <c r="AG374" i="3" a="1"/>
  <c r="AG374" i="3" s="1"/>
  <c r="AH374" i="3" a="1"/>
  <c r="AH374" i="3" s="1"/>
  <c r="AI374" i="3" a="1"/>
  <c r="AI374" i="3" s="1"/>
  <c r="AI1281" i="3" a="1"/>
  <c r="AI1281" i="3" s="1"/>
  <c r="AH1281" i="3" a="1"/>
  <c r="AH1281" i="3" s="1"/>
  <c r="AG1281" i="3" a="1"/>
  <c r="AG1281" i="3" s="1"/>
  <c r="AH1468" i="3" a="1"/>
  <c r="AH1468" i="3" s="1"/>
  <c r="AG1468" i="3" a="1"/>
  <c r="AG1468" i="3" s="1"/>
  <c r="AI1468" i="3" a="1"/>
  <c r="AI1468" i="3" s="1"/>
  <c r="AH1259" i="3" a="1"/>
  <c r="AH1259" i="3" s="1"/>
  <c r="AI1259" i="3" a="1"/>
  <c r="AI1259" i="3" s="1"/>
  <c r="AG1259" i="3" a="1"/>
  <c r="AG1259" i="3" s="1"/>
  <c r="AG1240" i="3" a="1"/>
  <c r="AG1240" i="3" s="1"/>
  <c r="AI1240" i="3" a="1"/>
  <c r="AI1240" i="3" s="1"/>
  <c r="AH1240" i="3" a="1"/>
  <c r="AH1240" i="3" s="1"/>
  <c r="AG1182" i="3" a="1"/>
  <c r="AG1182" i="3" s="1"/>
  <c r="AH1182" i="3" a="1"/>
  <c r="AH1182" i="3" s="1"/>
  <c r="AI1182" i="3" a="1"/>
  <c r="AI1182" i="3" s="1"/>
  <c r="AH1354" i="3" a="1"/>
  <c r="AH1354" i="3" s="1"/>
  <c r="AG1354" i="3" a="1"/>
  <c r="AG1354" i="3" s="1"/>
  <c r="AI1354" i="3" a="1"/>
  <c r="AI1354" i="3" s="1"/>
  <c r="AI905" i="3" a="1"/>
  <c r="AI905" i="3" s="1"/>
  <c r="AG905" i="3" a="1"/>
  <c r="AG905" i="3" s="1"/>
  <c r="AH905" i="3" a="1"/>
  <c r="AH905" i="3" s="1"/>
  <c r="AG892" i="3" a="1"/>
  <c r="AG892" i="3" s="1"/>
  <c r="AH892" i="3" a="1"/>
  <c r="AH892" i="3" s="1"/>
  <c r="AI892" i="3" a="1"/>
  <c r="AI892" i="3" s="1"/>
  <c r="AI1258" i="3" a="1"/>
  <c r="AI1258" i="3" s="1"/>
  <c r="AH1258" i="3" a="1"/>
  <c r="AH1258" i="3" s="1"/>
  <c r="AG1258" i="3" a="1"/>
  <c r="AG1258" i="3" s="1"/>
  <c r="AI1225" i="3" a="1"/>
  <c r="AI1225" i="3" s="1"/>
  <c r="AG1225" i="3" a="1"/>
  <c r="AG1225" i="3" s="1"/>
  <c r="AH1225" i="3" a="1"/>
  <c r="AH1225" i="3" s="1"/>
  <c r="AG1026" i="3" a="1"/>
  <c r="AG1026" i="3" s="1"/>
  <c r="AH1026" i="3" a="1"/>
  <c r="AH1026" i="3" s="1"/>
  <c r="AI1026" i="3" a="1"/>
  <c r="AI1026" i="3" s="1"/>
  <c r="AI1344" i="3" a="1"/>
  <c r="AI1344" i="3" s="1"/>
  <c r="AH1344" i="3" a="1"/>
  <c r="AH1344" i="3" s="1"/>
  <c r="AG1344" i="3" a="1"/>
  <c r="AG1344" i="3" s="1"/>
  <c r="AH957" i="3" a="1"/>
  <c r="AH957" i="3" s="1"/>
  <c r="AI957" i="3" a="1"/>
  <c r="AI957" i="3" s="1"/>
  <c r="AG957" i="3" a="1"/>
  <c r="AG957" i="3" s="1"/>
  <c r="AI291" i="3" a="1"/>
  <c r="AI291" i="3" s="1"/>
  <c r="AH291" i="3" a="1"/>
  <c r="AH291" i="3" s="1"/>
  <c r="AG291" i="3" a="1"/>
  <c r="AG291" i="3" s="1"/>
  <c r="AH950" i="3" a="1"/>
  <c r="AH950" i="3" s="1"/>
  <c r="AG950" i="3" a="1"/>
  <c r="AG950" i="3" s="1"/>
  <c r="AI950" i="3" a="1"/>
  <c r="AI950" i="3" s="1"/>
  <c r="AG608" i="3" a="1"/>
  <c r="AG608" i="3" s="1"/>
  <c r="AI608" i="3" a="1"/>
  <c r="AI608" i="3" s="1"/>
  <c r="AH608" i="3" a="1"/>
  <c r="AH608" i="3" s="1"/>
  <c r="AI517" i="3" a="1"/>
  <c r="AI517" i="3" s="1"/>
  <c r="AH517" i="3" a="1"/>
  <c r="AH517" i="3" s="1"/>
  <c r="AG517" i="3" a="1"/>
  <c r="AG517" i="3" s="1"/>
  <c r="AG388" i="3" a="1"/>
  <c r="AG388" i="3" s="1"/>
  <c r="AI388" i="3" a="1"/>
  <c r="AI388" i="3" s="1"/>
  <c r="AH388" i="3" a="1"/>
  <c r="AH388" i="3" s="1"/>
  <c r="AH577" i="3" a="1"/>
  <c r="AH577" i="3" s="1"/>
  <c r="AI577" i="3" a="1"/>
  <c r="AI577" i="3" s="1"/>
  <c r="AG577" i="3" a="1"/>
  <c r="AG577" i="3" s="1"/>
  <c r="AG110" i="3" a="1"/>
  <c r="AG110" i="3" s="1"/>
  <c r="AI110" i="3" a="1"/>
  <c r="AI110" i="3" s="1"/>
  <c r="AH110" i="3" a="1"/>
  <c r="AH110" i="3" s="1"/>
  <c r="AH95" i="3" a="1"/>
  <c r="AH95" i="3" s="1"/>
  <c r="AG95" i="3" a="1"/>
  <c r="AG95" i="3" s="1"/>
  <c r="AI95" i="3" a="1"/>
  <c r="AI95" i="3" s="1"/>
  <c r="AG443" i="3" a="1"/>
  <c r="AG443" i="3" s="1"/>
  <c r="AI443" i="3" a="1"/>
  <c r="AI443" i="3" s="1"/>
  <c r="AH443" i="3" a="1"/>
  <c r="AH443" i="3" s="1"/>
  <c r="AH210" i="3" a="1"/>
  <c r="AH210" i="3" s="1"/>
  <c r="AG210" i="3" a="1"/>
  <c r="AG210" i="3" s="1"/>
  <c r="AI210" i="3" a="1"/>
  <c r="AI210" i="3" s="1"/>
  <c r="AG568" i="3" a="1"/>
  <c r="AG568" i="3" s="1"/>
  <c r="AH568" i="3" a="1"/>
  <c r="AH568" i="3" s="1"/>
  <c r="AI568" i="3" a="1"/>
  <c r="AI568" i="3" s="1"/>
  <c r="AI477" i="3" a="1"/>
  <c r="AI477" i="3" s="1"/>
  <c r="AH477" i="3" a="1"/>
  <c r="AH477" i="3" s="1"/>
  <c r="AG477" i="3" a="1"/>
  <c r="AG477" i="3" s="1"/>
  <c r="AH217" i="3" a="1"/>
  <c r="AH217" i="3" s="1"/>
  <c r="AI217" i="3" a="1"/>
  <c r="AI217" i="3" s="1"/>
  <c r="AG217" i="3" a="1"/>
  <c r="AG217" i="3" s="1"/>
  <c r="AH582" i="3" a="1"/>
  <c r="AH582" i="3" s="1"/>
  <c r="AI582" i="3" a="1"/>
  <c r="AI582" i="3" s="1"/>
  <c r="AG582" i="3" a="1"/>
  <c r="AG582" i="3" s="1"/>
  <c r="AH800" i="3" a="1"/>
  <c r="AH800" i="3" s="1"/>
  <c r="AG800" i="3" a="1"/>
  <c r="AG800" i="3" s="1"/>
  <c r="AI800" i="3" a="1"/>
  <c r="AI800" i="3" s="1"/>
  <c r="AG83" i="3" a="1"/>
  <c r="AG83" i="3" s="1"/>
  <c r="AH83" i="3" a="1"/>
  <c r="AH83" i="3" s="1"/>
  <c r="AI83" i="3" a="1"/>
  <c r="AI83" i="3" s="1"/>
  <c r="AH742" i="3" a="1"/>
  <c r="AH742" i="3" s="1"/>
  <c r="AG742" i="3" a="1"/>
  <c r="AG742" i="3" s="1"/>
  <c r="AI742" i="3" a="1"/>
  <c r="AI742" i="3" s="1"/>
  <c r="AH272" i="3" a="1"/>
  <c r="AH272" i="3" s="1"/>
  <c r="AG272" i="3" a="1"/>
  <c r="AG272" i="3" s="1"/>
  <c r="AI272" i="3" a="1"/>
  <c r="AI272" i="3" s="1"/>
  <c r="AH181" i="3" a="1"/>
  <c r="AH181" i="3" s="1"/>
  <c r="AI181" i="3" a="1"/>
  <c r="AI181" i="3" s="1"/>
  <c r="AG181" i="3" a="1"/>
  <c r="AG181" i="3" s="1"/>
  <c r="AG659" i="3" a="1"/>
  <c r="AG659" i="3" s="1"/>
  <c r="AI659" i="3" a="1"/>
  <c r="AI659" i="3" s="1"/>
  <c r="AH659" i="3" a="1"/>
  <c r="AH659" i="3" s="1"/>
  <c r="AI1428" i="3" a="1"/>
  <c r="AI1428" i="3" s="1"/>
  <c r="AH1428" i="3" a="1"/>
  <c r="AH1428" i="3" s="1"/>
  <c r="AG1428" i="3" a="1"/>
  <c r="AG1428" i="3" s="1"/>
  <c r="AI1455" i="3" a="1"/>
  <c r="AI1455" i="3" s="1"/>
  <c r="AG1455" i="3" a="1"/>
  <c r="AG1455" i="3" s="1"/>
  <c r="AH1455" i="3" a="1"/>
  <c r="AH1455" i="3" s="1"/>
  <c r="AI1339" i="3" a="1"/>
  <c r="AI1339" i="3" s="1"/>
  <c r="AG1339" i="3" a="1"/>
  <c r="AG1339" i="3" s="1"/>
  <c r="AH1339" i="3" a="1"/>
  <c r="AH1339" i="3" s="1"/>
  <c r="AH679" i="3" a="1"/>
  <c r="AH679" i="3" s="1"/>
  <c r="AI679" i="3" a="1"/>
  <c r="AI679" i="3" s="1"/>
  <c r="AG679" i="3" a="1"/>
  <c r="AG679" i="3" s="1"/>
  <c r="AG1444" i="3" a="1"/>
  <c r="AG1444" i="3" s="1"/>
  <c r="AI1444" i="3" a="1"/>
  <c r="AI1444" i="3" s="1"/>
  <c r="AH1444" i="3" a="1"/>
  <c r="AH1444" i="3" s="1"/>
  <c r="AG126" i="3" a="1"/>
  <c r="AG126" i="3" s="1"/>
  <c r="AI126" i="3" a="1"/>
  <c r="AI126" i="3" s="1"/>
  <c r="AH126" i="3" a="1"/>
  <c r="AH126" i="3" s="1"/>
  <c r="AG314" i="3" a="1"/>
  <c r="AG314" i="3" s="1"/>
  <c r="AI314" i="3" a="1"/>
  <c r="AI314" i="3" s="1"/>
  <c r="AH314" i="3" a="1"/>
  <c r="AH314" i="3" s="1"/>
  <c r="AI1165" i="3" a="1"/>
  <c r="AI1165" i="3" s="1"/>
  <c r="AH1165" i="3" a="1"/>
  <c r="AH1165" i="3" s="1"/>
  <c r="AG1165" i="3" a="1"/>
  <c r="AG1165" i="3" s="1"/>
  <c r="AI1201" i="3" a="1"/>
  <c r="AI1201" i="3" s="1"/>
  <c r="AG1201" i="3" a="1"/>
  <c r="AG1201" i="3" s="1"/>
  <c r="AH1201" i="3" a="1"/>
  <c r="AH1201" i="3" s="1"/>
  <c r="AI487" i="3" a="1"/>
  <c r="AI487" i="3" s="1"/>
  <c r="AH487" i="3" a="1"/>
  <c r="AH487" i="3" s="1"/>
  <c r="AG487" i="3" a="1"/>
  <c r="AG487" i="3" s="1"/>
  <c r="AH700" i="3" a="1"/>
  <c r="AH700" i="3" s="1"/>
  <c r="AI700" i="3" a="1"/>
  <c r="AI700" i="3" s="1"/>
  <c r="AG700" i="3" a="1"/>
  <c r="AG700" i="3" s="1"/>
  <c r="AG942" i="3" a="1"/>
  <c r="AG942" i="3" s="1"/>
  <c r="AH942" i="3" a="1"/>
  <c r="AH942" i="3" s="1"/>
  <c r="AI942" i="3" a="1"/>
  <c r="AI942" i="3" s="1"/>
  <c r="AI939" i="3" a="1"/>
  <c r="AI939" i="3" s="1"/>
  <c r="AG939" i="3" a="1"/>
  <c r="AG939" i="3" s="1"/>
  <c r="AH939" i="3" a="1"/>
  <c r="AH939" i="3" s="1"/>
  <c r="AI1435" i="3" a="1"/>
  <c r="AI1435" i="3" s="1"/>
  <c r="AG1435" i="3" a="1"/>
  <c r="AG1435" i="3" s="1"/>
  <c r="AH1435" i="3" a="1"/>
  <c r="AH1435" i="3" s="1"/>
  <c r="AI1464" i="3" a="1"/>
  <c r="AI1464" i="3" s="1"/>
  <c r="AG1464" i="3" a="1"/>
  <c r="AG1464" i="3" s="1"/>
  <c r="AH1464" i="3" a="1"/>
  <c r="AH1464" i="3" s="1"/>
  <c r="AI1453" i="3" a="1"/>
  <c r="AI1453" i="3" s="1"/>
  <c r="AH1453" i="3" a="1"/>
  <c r="AH1453" i="3" s="1"/>
  <c r="AG1453" i="3" a="1"/>
  <c r="AG1453" i="3" s="1"/>
  <c r="AI1448" i="3" a="1"/>
  <c r="AI1448" i="3" s="1"/>
  <c r="AH1448" i="3" a="1"/>
  <c r="AH1448" i="3" s="1"/>
  <c r="AG1448" i="3" a="1"/>
  <c r="AG1448" i="3" s="1"/>
  <c r="AH977" i="3" a="1"/>
  <c r="AH977" i="3" s="1"/>
  <c r="AG977" i="3" a="1"/>
  <c r="AG977" i="3" s="1"/>
  <c r="AI977" i="3" a="1"/>
  <c r="AI977" i="3" s="1"/>
  <c r="AG220" i="3" a="1"/>
  <c r="AG220" i="3" s="1"/>
  <c r="AH220" i="3" a="1"/>
  <c r="AH220" i="3" s="1"/>
  <c r="AI220" i="3" a="1"/>
  <c r="AI220" i="3" s="1"/>
  <c r="AH1156" i="3" a="1"/>
  <c r="AH1156" i="3" s="1"/>
  <c r="AG1156" i="3" a="1"/>
  <c r="AG1156" i="3" s="1"/>
  <c r="AI1156" i="3" a="1"/>
  <c r="AI1156" i="3" s="1"/>
  <c r="AI1218" i="3" a="1"/>
  <c r="AI1218" i="3" s="1"/>
  <c r="AH1218" i="3" a="1"/>
  <c r="AH1218" i="3" s="1"/>
  <c r="AG1218" i="3" a="1"/>
  <c r="AG1218" i="3" s="1"/>
  <c r="AI988" i="3" a="1"/>
  <c r="AI988" i="3" s="1"/>
  <c r="AH988" i="3" a="1"/>
  <c r="AH988" i="3" s="1"/>
  <c r="AG988" i="3" a="1"/>
  <c r="AG988" i="3" s="1"/>
  <c r="AH1061" i="3" a="1"/>
  <c r="AH1061" i="3" s="1"/>
  <c r="AI1061" i="3" a="1"/>
  <c r="AI1061" i="3" s="1"/>
  <c r="AG1061" i="3" a="1"/>
  <c r="AG1061" i="3" s="1"/>
  <c r="AG1102" i="3" a="1"/>
  <c r="AG1102" i="3" s="1"/>
  <c r="AI1102" i="3" a="1"/>
  <c r="AI1102" i="3" s="1"/>
  <c r="AH1102" i="3" a="1"/>
  <c r="AH1102" i="3" s="1"/>
  <c r="AH1194" i="3" a="1"/>
  <c r="AH1194" i="3" s="1"/>
  <c r="AG1194" i="3" a="1"/>
  <c r="AG1194" i="3" s="1"/>
  <c r="AI1194" i="3" a="1"/>
  <c r="AI1194" i="3" s="1"/>
  <c r="AI344" i="3" a="1"/>
  <c r="AI344" i="3" s="1"/>
  <c r="AH344" i="3" a="1"/>
  <c r="AH344" i="3" s="1"/>
  <c r="AG344" i="3" a="1"/>
  <c r="AG344" i="3" s="1"/>
  <c r="AH253" i="3" a="1"/>
  <c r="AH253" i="3" s="1"/>
  <c r="AG253" i="3" a="1"/>
  <c r="AG253" i="3" s="1"/>
  <c r="AI253" i="3" a="1"/>
  <c r="AI253" i="3" s="1"/>
  <c r="AI847" i="3" a="1"/>
  <c r="AI847" i="3" s="1"/>
  <c r="AH847" i="3" a="1"/>
  <c r="AH847" i="3" s="1"/>
  <c r="AG847" i="3" a="1"/>
  <c r="AG847" i="3" s="1"/>
  <c r="AH505" i="3" a="1"/>
  <c r="AH505" i="3" s="1"/>
  <c r="AG505" i="3" a="1"/>
  <c r="AG505" i="3" s="1"/>
  <c r="AI505" i="3" a="1"/>
  <c r="AI505" i="3" s="1"/>
  <c r="AI901" i="3" a="1"/>
  <c r="AI901" i="3" s="1"/>
  <c r="AG901" i="3" a="1"/>
  <c r="AG901" i="3" s="1"/>
  <c r="AH901" i="3" a="1"/>
  <c r="AH901" i="3" s="1"/>
  <c r="AI358" i="3" a="1"/>
  <c r="AI358" i="3" s="1"/>
  <c r="AH358" i="3" a="1"/>
  <c r="AH358" i="3" s="1"/>
  <c r="AG358" i="3" a="1"/>
  <c r="AG358" i="3" s="1"/>
  <c r="AI307" i="3" a="1"/>
  <c r="AI307" i="3" s="1"/>
  <c r="AH307" i="3" a="1"/>
  <c r="AH307" i="3" s="1"/>
  <c r="AG307" i="3" a="1"/>
  <c r="AG307" i="3" s="1"/>
  <c r="AH966" i="3" a="1"/>
  <c r="AH966" i="3" s="1"/>
  <c r="AI966" i="3" a="1"/>
  <c r="AI966" i="3" s="1"/>
  <c r="AG966" i="3" a="1"/>
  <c r="AG966" i="3" s="1"/>
  <c r="AG496" i="3" a="1"/>
  <c r="AG496" i="3" s="1"/>
  <c r="AH496" i="3" a="1"/>
  <c r="AH496" i="3" s="1"/>
  <c r="AI496" i="3" a="1"/>
  <c r="AI496" i="3" s="1"/>
  <c r="AH405" i="3" a="1"/>
  <c r="AH405" i="3" s="1"/>
  <c r="AG405" i="3" a="1"/>
  <c r="AG405" i="3" s="1"/>
  <c r="AI405" i="3" a="1"/>
  <c r="AI405" i="3" s="1"/>
  <c r="AH150" i="3" a="1"/>
  <c r="AH150" i="3" s="1"/>
  <c r="AG150" i="3" a="1"/>
  <c r="AG150" i="3" s="1"/>
  <c r="AI150" i="3" a="1"/>
  <c r="AI150" i="3" s="1"/>
  <c r="AI465" i="3" a="1"/>
  <c r="AI465" i="3" s="1"/>
  <c r="AH465" i="3" a="1"/>
  <c r="AH465" i="3" s="1"/>
  <c r="AG465" i="3" a="1"/>
  <c r="AG465" i="3" s="1"/>
  <c r="AG861" i="3" a="1"/>
  <c r="AG861" i="3" s="1"/>
  <c r="AH861" i="3" a="1"/>
  <c r="AH861" i="3" s="1"/>
  <c r="AI861" i="3" a="1"/>
  <c r="AI861" i="3" s="1"/>
  <c r="AG114" i="3" a="1"/>
  <c r="AG114" i="3" s="1"/>
  <c r="AI114" i="3" a="1"/>
  <c r="AI114" i="3" s="1"/>
  <c r="AH114" i="3" a="1"/>
  <c r="AH114" i="3" s="1"/>
  <c r="AI572" i="3" a="1"/>
  <c r="AI572" i="3" s="1"/>
  <c r="AH572" i="3" a="1"/>
  <c r="AH572" i="3" s="1"/>
  <c r="AG572" i="3" a="1"/>
  <c r="AG572" i="3" s="1"/>
  <c r="AI136" i="3" a="1"/>
  <c r="AI136" i="3" s="1"/>
  <c r="AH136" i="3" a="1"/>
  <c r="AH136" i="3" s="1"/>
  <c r="AG136" i="3" a="1"/>
  <c r="AG136" i="3" s="1"/>
  <c r="AI45" i="3" a="1"/>
  <c r="AI45" i="3" s="1"/>
  <c r="AG45" i="3" a="1"/>
  <c r="AG45" i="3" s="1"/>
  <c r="AH45" i="3" a="1"/>
  <c r="AH45" i="3" s="1"/>
  <c r="AI623" i="3" a="1"/>
  <c r="AI623" i="3" s="1"/>
  <c r="AH623" i="3" a="1"/>
  <c r="AH623" i="3" s="1"/>
  <c r="AG623" i="3" a="1"/>
  <c r="AG623" i="3" s="1"/>
  <c r="AH169" i="3" a="1"/>
  <c r="AH169" i="3" s="1"/>
  <c r="AI169" i="3" a="1"/>
  <c r="AI169" i="3" s="1"/>
  <c r="AG169" i="3" a="1"/>
  <c r="AG169" i="3" s="1"/>
  <c r="AG494" i="3" a="1"/>
  <c r="AG494" i="3" s="1"/>
  <c r="AH494" i="3" a="1"/>
  <c r="AH494" i="3" s="1"/>
  <c r="AI494" i="3" a="1"/>
  <c r="AI494" i="3" s="1"/>
  <c r="AH629" i="3" a="1"/>
  <c r="AH629" i="3" s="1"/>
  <c r="AI629" i="3" a="1"/>
  <c r="AI629" i="3" s="1"/>
  <c r="AG629" i="3" a="1"/>
  <c r="AG629" i="3" s="1"/>
  <c r="AI1333" i="3" a="1"/>
  <c r="AI1333" i="3" s="1"/>
  <c r="AG1333" i="3" a="1"/>
  <c r="AG1333" i="3" s="1"/>
  <c r="AH1333" i="3" a="1"/>
  <c r="AH1333" i="3" s="1"/>
  <c r="AH214" i="3" a="1"/>
  <c r="AH214" i="3" s="1"/>
  <c r="AI214" i="3" a="1"/>
  <c r="AI214" i="3" s="1"/>
  <c r="AG214" i="3" a="1"/>
  <c r="AG214" i="3" s="1"/>
  <c r="AG1244" i="3" a="1"/>
  <c r="AG1244" i="3" s="1"/>
  <c r="AH1244" i="3" a="1"/>
  <c r="AH1244" i="3" s="1"/>
  <c r="AI1244" i="3" a="1"/>
  <c r="AI1244" i="3" s="1"/>
  <c r="AH651" i="3" a="1"/>
  <c r="AH651" i="3" s="1"/>
  <c r="AG651" i="3" a="1"/>
  <c r="AG651" i="3" s="1"/>
  <c r="AI651" i="3" a="1"/>
  <c r="AI651" i="3" s="1"/>
  <c r="AI1349" i="3" a="1"/>
  <c r="AI1349" i="3" s="1"/>
  <c r="AG1349" i="3" a="1"/>
  <c r="AG1349" i="3" s="1"/>
  <c r="AH1349" i="3" a="1"/>
  <c r="AH1349" i="3" s="1"/>
  <c r="AH1385" i="3" a="1"/>
  <c r="AH1385" i="3" s="1"/>
  <c r="AI1385" i="3" a="1"/>
  <c r="AI1385" i="3" s="1"/>
  <c r="AG1385" i="3" a="1"/>
  <c r="AG1385" i="3" s="1"/>
  <c r="AH1034" i="3" a="1"/>
  <c r="AH1034" i="3" s="1"/>
  <c r="AG1034" i="3" a="1"/>
  <c r="AG1034" i="3" s="1"/>
  <c r="AI1034" i="3" a="1"/>
  <c r="AI1034" i="3" s="1"/>
  <c r="AI1070" i="3" a="1"/>
  <c r="AI1070" i="3" s="1"/>
  <c r="AH1070" i="3" a="1"/>
  <c r="AH1070" i="3" s="1"/>
  <c r="AG1070" i="3" a="1"/>
  <c r="AG1070" i="3" s="1"/>
  <c r="AG1362" i="3" a="1"/>
  <c r="AG1362" i="3" s="1"/>
  <c r="AI1362" i="3" a="1"/>
  <c r="AI1362" i="3" s="1"/>
  <c r="AH1362" i="3" a="1"/>
  <c r="AH1362" i="3" s="1"/>
  <c r="AI1427" i="3" a="1"/>
  <c r="AI1427" i="3" s="1"/>
  <c r="AG1427" i="3" a="1"/>
  <c r="AG1427" i="3" s="1"/>
  <c r="AH1427" i="3" a="1"/>
  <c r="AH1427" i="3" s="1"/>
  <c r="AH1462" i="3" a="1"/>
  <c r="AH1462" i="3" s="1"/>
  <c r="AG1462" i="3" a="1"/>
  <c r="AG1462" i="3" s="1"/>
  <c r="AI1462" i="3" a="1"/>
  <c r="AI1462" i="3" s="1"/>
  <c r="AG650" i="3" a="1"/>
  <c r="AG650" i="3" s="1"/>
  <c r="AI650" i="3" a="1"/>
  <c r="AI650" i="3" s="1"/>
  <c r="AH650" i="3" a="1"/>
  <c r="AH650" i="3" s="1"/>
  <c r="AI1216" i="3" a="1"/>
  <c r="AI1216" i="3" s="1"/>
  <c r="AH1216" i="3" a="1"/>
  <c r="AH1216" i="3" s="1"/>
  <c r="AG1216" i="3" a="1"/>
  <c r="AG1216" i="3" s="1"/>
  <c r="AH764" i="3" a="1"/>
  <c r="AH764" i="3" s="1"/>
  <c r="AG764" i="3" a="1"/>
  <c r="AG764" i="3" s="1"/>
  <c r="AI764" i="3" a="1"/>
  <c r="AI764" i="3" s="1"/>
  <c r="AI1416" i="3" a="1"/>
  <c r="AI1416" i="3" s="1"/>
  <c r="AH1416" i="3" a="1"/>
  <c r="AH1416" i="3" s="1"/>
  <c r="AG1416" i="3" a="1"/>
  <c r="AG1416" i="3" s="1"/>
  <c r="AH1255" i="3" a="1"/>
  <c r="AH1255" i="3" s="1"/>
  <c r="AI1255" i="3" a="1"/>
  <c r="AI1255" i="3" s="1"/>
  <c r="AG1255" i="3" a="1"/>
  <c r="AG1255" i="3" s="1"/>
  <c r="AH882" i="3" a="1"/>
  <c r="AH882" i="3" s="1"/>
  <c r="AI882" i="3" a="1"/>
  <c r="AI882" i="3" s="1"/>
  <c r="AG882" i="3" a="1"/>
  <c r="AG882" i="3" s="1"/>
  <c r="AI1314" i="3" a="1"/>
  <c r="AI1314" i="3" s="1"/>
  <c r="AG1314" i="3" a="1"/>
  <c r="AG1314" i="3" s="1"/>
  <c r="AH1314" i="3" a="1"/>
  <c r="AH1314" i="3" s="1"/>
  <c r="AI1207" i="3" a="1"/>
  <c r="AI1207" i="3" s="1"/>
  <c r="AH1207" i="3" a="1"/>
  <c r="AH1207" i="3" s="1"/>
  <c r="AG1207" i="3" a="1"/>
  <c r="AG1207" i="3" s="1"/>
  <c r="AI1214" i="3" a="1"/>
  <c r="AI1214" i="3" s="1"/>
  <c r="AH1214" i="3" a="1"/>
  <c r="AH1214" i="3" s="1"/>
  <c r="AG1214" i="3" a="1"/>
  <c r="AG1214" i="3" s="1"/>
  <c r="AH1282" i="3" a="1"/>
  <c r="AH1282" i="3" s="1"/>
  <c r="AI1282" i="3" a="1"/>
  <c r="AI1282" i="3" s="1"/>
  <c r="AG1282" i="3" a="1"/>
  <c r="AG1282" i="3" s="1"/>
  <c r="AI1189" i="3" a="1"/>
  <c r="AI1189" i="3" s="1"/>
  <c r="AG1189" i="3" a="1"/>
  <c r="AG1189" i="3" s="1"/>
  <c r="AH1189" i="3" a="1"/>
  <c r="AH1189" i="3" s="1"/>
  <c r="AG1128" i="3" a="1"/>
  <c r="AG1128" i="3" s="1"/>
  <c r="AH1128" i="3" a="1"/>
  <c r="AH1128" i="3" s="1"/>
  <c r="AI1128" i="3" a="1"/>
  <c r="AI1128" i="3" s="1"/>
  <c r="AG810" i="3" a="1"/>
  <c r="AG810" i="3" s="1"/>
  <c r="AI810" i="3" a="1"/>
  <c r="AI810" i="3" s="1"/>
  <c r="AH810" i="3" a="1"/>
  <c r="AH810" i="3" s="1"/>
  <c r="AI1379" i="3" a="1"/>
  <c r="AI1379" i="3" s="1"/>
  <c r="AG1379" i="3" a="1"/>
  <c r="AG1379" i="3" s="1"/>
  <c r="AH1379" i="3" a="1"/>
  <c r="AH1379" i="3" s="1"/>
  <c r="AI241" i="3" a="1"/>
  <c r="AI241" i="3" s="1"/>
  <c r="AH241" i="3" a="1"/>
  <c r="AH241" i="3" s="1"/>
  <c r="AG241" i="3" a="1"/>
  <c r="AG241" i="3" s="1"/>
  <c r="AG621" i="3" a="1"/>
  <c r="AG621" i="3" s="1"/>
  <c r="AH621" i="3" a="1"/>
  <c r="AH621" i="3" s="1"/>
  <c r="AI621" i="3" a="1"/>
  <c r="AI621" i="3" s="1"/>
  <c r="AG824" i="3" a="1"/>
  <c r="AG824" i="3" s="1"/>
  <c r="AI824" i="3" a="1"/>
  <c r="AI824" i="3" s="1"/>
  <c r="AH824" i="3" a="1"/>
  <c r="AH824" i="3" s="1"/>
  <c r="AH235" i="3" a="1"/>
  <c r="AH235" i="3" s="1"/>
  <c r="AG235" i="3" a="1"/>
  <c r="AG235" i="3" s="1"/>
  <c r="AI235" i="3" a="1"/>
  <c r="AI235" i="3" s="1"/>
  <c r="AG894" i="3" a="1"/>
  <c r="AG894" i="3" s="1"/>
  <c r="AH894" i="3" a="1"/>
  <c r="AH894" i="3" s="1"/>
  <c r="AI894" i="3" a="1"/>
  <c r="AI894" i="3" s="1"/>
  <c r="AI360" i="3" a="1"/>
  <c r="AI360" i="3" s="1"/>
  <c r="AH360" i="3" a="1"/>
  <c r="AH360" i="3" s="1"/>
  <c r="AG360" i="3" a="1"/>
  <c r="AG360" i="3" s="1"/>
  <c r="AI269" i="3" a="1"/>
  <c r="AI269" i="3" s="1"/>
  <c r="AH269" i="3" a="1"/>
  <c r="AH269" i="3" s="1"/>
  <c r="AG269" i="3" a="1"/>
  <c r="AG269" i="3" s="1"/>
  <c r="AG863" i="3" a="1"/>
  <c r="AG863" i="3" s="1"/>
  <c r="AH863" i="3" a="1"/>
  <c r="AH863" i="3" s="1"/>
  <c r="AI863" i="3" a="1"/>
  <c r="AI863" i="3" s="1"/>
  <c r="AG393" i="3" a="1"/>
  <c r="AG393" i="3" s="1"/>
  <c r="AH393" i="3" a="1"/>
  <c r="AH393" i="3" s="1"/>
  <c r="AI393" i="3" a="1"/>
  <c r="AI393" i="3" s="1"/>
  <c r="AH789" i="3" a="1"/>
  <c r="AH789" i="3" s="1"/>
  <c r="AI789" i="3" a="1"/>
  <c r="AI789" i="3" s="1"/>
  <c r="AG789" i="3" a="1"/>
  <c r="AG789" i="3" s="1"/>
  <c r="AI92" i="3" a="1"/>
  <c r="AI92" i="3" s="1"/>
  <c r="AG92" i="3" a="1"/>
  <c r="AG92" i="3" s="1"/>
  <c r="AH92" i="3" a="1"/>
  <c r="AH92" i="3" s="1"/>
  <c r="AG195" i="3" a="1"/>
  <c r="AG195" i="3" s="1"/>
  <c r="AH195" i="3" a="1"/>
  <c r="AH195" i="3" s="1"/>
  <c r="AI195" i="3" a="1"/>
  <c r="AI195" i="3" s="1"/>
  <c r="AH175" i="3" a="1"/>
  <c r="AH175" i="3" s="1"/>
  <c r="AI175" i="3" a="1"/>
  <c r="AI175" i="3" s="1"/>
  <c r="AG175" i="3" a="1"/>
  <c r="AG175" i="3" s="1"/>
  <c r="AH523" i="3" a="1"/>
  <c r="AH523" i="3" s="1"/>
  <c r="AG523" i="3" a="1"/>
  <c r="AG523" i="3" s="1"/>
  <c r="AI523" i="3" a="1"/>
  <c r="AI523" i="3" s="1"/>
  <c r="AG370" i="3" a="1"/>
  <c r="AG370" i="3" s="1"/>
  <c r="AI370" i="3" a="1"/>
  <c r="AI370" i="3" s="1"/>
  <c r="AH370" i="3" a="1"/>
  <c r="AH370" i="3" s="1"/>
  <c r="AG33" i="3" a="1"/>
  <c r="AG33" i="3" s="1"/>
  <c r="AI33" i="3" a="1"/>
  <c r="AI33" i="3" s="1"/>
  <c r="AH33" i="3" a="1"/>
  <c r="AH33" i="3" s="1"/>
  <c r="AH222" i="3" a="1"/>
  <c r="AH222" i="3" s="1"/>
  <c r="AG222" i="3" a="1"/>
  <c r="AG222" i="3" s="1"/>
  <c r="AI222" i="3" a="1"/>
  <c r="AI222" i="3" s="1"/>
  <c r="AH588" i="3" a="1"/>
  <c r="AH588" i="3" s="1"/>
  <c r="AG588" i="3" a="1"/>
  <c r="AG588" i="3" s="1"/>
  <c r="AI588" i="3" a="1"/>
  <c r="AI588" i="3" s="1"/>
  <c r="AH66" i="3" a="1"/>
  <c r="AH66" i="3" s="1"/>
  <c r="AI66" i="3" a="1"/>
  <c r="AI66" i="3" s="1"/>
  <c r="AG66" i="3" a="1"/>
  <c r="AG66" i="3" s="1"/>
  <c r="AI479" i="3" a="1"/>
  <c r="AI479" i="3" s="1"/>
  <c r="AG479" i="3" a="1"/>
  <c r="AG479" i="3" s="1"/>
  <c r="AH479" i="3" a="1"/>
  <c r="AH479" i="3" s="1"/>
  <c r="AI1203" i="3" a="1"/>
  <c r="AI1203" i="3" s="1"/>
  <c r="AH1203" i="3" a="1"/>
  <c r="AH1203" i="3" s="1"/>
  <c r="AG1203" i="3" a="1"/>
  <c r="AG1203" i="3" s="1"/>
  <c r="AG1238" i="3" a="1"/>
  <c r="AG1238" i="3" s="1"/>
  <c r="AI1238" i="3" a="1"/>
  <c r="AI1238" i="3" s="1"/>
  <c r="AH1238" i="3" a="1"/>
  <c r="AH1238" i="3" s="1"/>
  <c r="AG282" i="3" a="1"/>
  <c r="AG282" i="3" s="1"/>
  <c r="AI282" i="3" a="1"/>
  <c r="AI282" i="3" s="1"/>
  <c r="AH282" i="3" a="1"/>
  <c r="AH282" i="3" s="1"/>
  <c r="AG1149" i="3" a="1"/>
  <c r="AG1149" i="3" s="1"/>
  <c r="AI1149" i="3" a="1"/>
  <c r="AI1149" i="3" s="1"/>
  <c r="AH1149" i="3" a="1"/>
  <c r="AH1149" i="3" s="1"/>
  <c r="AH1219" i="3" a="1"/>
  <c r="AH1219" i="3" s="1"/>
  <c r="AG1219" i="3" a="1"/>
  <c r="AG1219" i="3" s="1"/>
  <c r="AI1219" i="3" a="1"/>
  <c r="AI1219" i="3" s="1"/>
  <c r="AG1254" i="3" a="1"/>
  <c r="AG1254" i="3" s="1"/>
  <c r="AI1254" i="3" a="1"/>
  <c r="AI1254" i="3" s="1"/>
  <c r="AH1254" i="3" a="1"/>
  <c r="AH1254" i="3" s="1"/>
  <c r="AH274" i="3" a="1"/>
  <c r="AH274" i="3" s="1"/>
  <c r="AG274" i="3" a="1"/>
  <c r="AG274" i="3" s="1"/>
  <c r="AI274" i="3" a="1"/>
  <c r="AI274" i="3" s="1"/>
  <c r="AI883" i="3" a="1"/>
  <c r="AI883" i="3" s="1"/>
  <c r="AH883" i="3" a="1"/>
  <c r="AH883" i="3" s="1"/>
  <c r="AG883" i="3" a="1"/>
  <c r="AG883" i="3" s="1"/>
  <c r="AH954" i="3" a="1"/>
  <c r="AH954" i="3" s="1"/>
  <c r="AG954" i="3" a="1"/>
  <c r="AG954" i="3" s="1"/>
  <c r="AI954" i="3" a="1"/>
  <c r="AI954" i="3" s="1"/>
  <c r="AI502" i="3" a="1"/>
  <c r="AI502" i="3" s="1"/>
  <c r="AH502" i="3" a="1"/>
  <c r="AH502" i="3" s="1"/>
  <c r="AG502" i="3" a="1"/>
  <c r="AG502" i="3" s="1"/>
  <c r="AH1332" i="3" a="1"/>
  <c r="AH1332" i="3" s="1"/>
  <c r="AI1332" i="3" a="1"/>
  <c r="AI1332" i="3" s="1"/>
  <c r="AG1332" i="3" a="1"/>
  <c r="AG1332" i="3" s="1"/>
  <c r="AH1359" i="3" a="1"/>
  <c r="AH1359" i="3" s="1"/>
  <c r="AI1359" i="3" a="1"/>
  <c r="AI1359" i="3" s="1"/>
  <c r="AG1359" i="3" a="1"/>
  <c r="AG1359" i="3" s="1"/>
  <c r="AH1069" i="3" a="1"/>
  <c r="AH1069" i="3" s="1"/>
  <c r="AG1069" i="3" a="1"/>
  <c r="AG1069" i="3" s="1"/>
  <c r="AI1069" i="3" a="1"/>
  <c r="AI1069" i="3" s="1"/>
  <c r="AH940" i="3" a="1"/>
  <c r="AH940" i="3" s="1"/>
  <c r="AI940" i="3" a="1"/>
  <c r="AI940" i="3" s="1"/>
  <c r="AG940" i="3" a="1"/>
  <c r="AG940" i="3" s="1"/>
  <c r="AI1375" i="3" a="1"/>
  <c r="AI1375" i="3" s="1"/>
  <c r="AG1375" i="3" a="1"/>
  <c r="AG1375" i="3" s="1"/>
  <c r="AH1375" i="3" a="1"/>
  <c r="AH1375" i="3" s="1"/>
  <c r="AI234" i="3" a="1"/>
  <c r="AI234" i="3" s="1"/>
  <c r="AH234" i="3" a="1"/>
  <c r="AH234" i="3" s="1"/>
  <c r="AG234" i="3" a="1"/>
  <c r="AG234" i="3" s="1"/>
  <c r="AI1296" i="3" a="1"/>
  <c r="AI1296" i="3" s="1"/>
  <c r="AG1296" i="3" a="1"/>
  <c r="AG1296" i="3" s="1"/>
  <c r="AH1296" i="3" a="1"/>
  <c r="AH1296" i="3" s="1"/>
  <c r="AI1133" i="3" a="1"/>
  <c r="AI1133" i="3" s="1"/>
  <c r="AH1133" i="3" a="1"/>
  <c r="AH1133" i="3" s="1"/>
  <c r="AG1133" i="3" a="1"/>
  <c r="AG1133" i="3" s="1"/>
  <c r="AI1090" i="3" a="1"/>
  <c r="AI1090" i="3" s="1"/>
  <c r="AH1090" i="3" a="1"/>
  <c r="AH1090" i="3" s="1"/>
  <c r="AG1090" i="3" a="1"/>
  <c r="AG1090" i="3" s="1"/>
  <c r="AI1322" i="3" a="1"/>
  <c r="AI1322" i="3" s="1"/>
  <c r="AH1322" i="3" a="1"/>
  <c r="AH1322" i="3" s="1"/>
  <c r="AG1322" i="3" a="1"/>
  <c r="AG1322" i="3" s="1"/>
  <c r="AH986" i="3" a="1"/>
  <c r="AH986" i="3" s="1"/>
  <c r="AG986" i="3" a="1"/>
  <c r="AG986" i="3" s="1"/>
  <c r="AI986" i="3" a="1"/>
  <c r="AI986" i="3" s="1"/>
  <c r="AG1153" i="3" a="1"/>
  <c r="AG1153" i="3" s="1"/>
  <c r="AI1153" i="3" a="1"/>
  <c r="AI1153" i="3" s="1"/>
  <c r="AH1153" i="3" a="1"/>
  <c r="AH1153" i="3" s="1"/>
  <c r="AG1055" i="3" a="1"/>
  <c r="AG1055" i="3" s="1"/>
  <c r="AI1055" i="3" a="1"/>
  <c r="AI1055" i="3" s="1"/>
  <c r="AH1055" i="3" a="1"/>
  <c r="AH1055" i="3" s="1"/>
  <c r="AI551" i="3" a="1"/>
  <c r="AI551" i="3" s="1"/>
  <c r="AG551" i="3" a="1"/>
  <c r="AG551" i="3" s="1"/>
  <c r="AH551" i="3" a="1"/>
  <c r="AH551" i="3" s="1"/>
  <c r="AH1458" i="3" a="1"/>
  <c r="AH1458" i="3" s="1"/>
  <c r="AI1458" i="3" a="1"/>
  <c r="AI1458" i="3" s="1"/>
  <c r="AG1458" i="3" a="1"/>
  <c r="AG1458" i="3" s="1"/>
  <c r="AG1353" i="3" a="1"/>
  <c r="AG1353" i="3" s="1"/>
  <c r="AH1353" i="3" a="1"/>
  <c r="AH1353" i="3" s="1"/>
  <c r="AI1353" i="3" a="1"/>
  <c r="AI1353" i="3" s="1"/>
  <c r="AI138" i="3" a="1"/>
  <c r="AI138" i="3" s="1"/>
  <c r="AG138" i="3" a="1"/>
  <c r="AG138" i="3" s="1"/>
  <c r="AH138" i="3" a="1"/>
  <c r="AH138" i="3" s="1"/>
  <c r="AH610" i="3" a="1"/>
  <c r="AH610" i="3" s="1"/>
  <c r="AI610" i="3" a="1"/>
  <c r="AI610" i="3" s="1"/>
  <c r="AG610" i="3" a="1"/>
  <c r="AG610" i="3" s="1"/>
  <c r="AI288" i="3" a="1"/>
  <c r="AI288" i="3" s="1"/>
  <c r="AH288" i="3" a="1"/>
  <c r="AH288" i="3" s="1"/>
  <c r="AG288" i="3" a="1"/>
  <c r="AG288" i="3" s="1"/>
  <c r="AH197" i="3" a="1"/>
  <c r="AH197" i="3" s="1"/>
  <c r="AI197" i="3" a="1"/>
  <c r="AI197" i="3" s="1"/>
  <c r="AG197" i="3" a="1"/>
  <c r="AG197" i="3" s="1"/>
  <c r="AH791" i="3" a="1"/>
  <c r="AH791" i="3" s="1"/>
  <c r="AG791" i="3" a="1"/>
  <c r="AG791" i="3" s="1"/>
  <c r="AI791" i="3" a="1"/>
  <c r="AI791" i="3" s="1"/>
  <c r="AH257" i="3" a="1"/>
  <c r="AH257" i="3" s="1"/>
  <c r="AG257" i="3" a="1"/>
  <c r="AG257" i="3" s="1"/>
  <c r="AI257" i="3" a="1"/>
  <c r="AI257" i="3" s="1"/>
  <c r="AG643" i="3" a="1"/>
  <c r="AG643" i="3" s="1"/>
  <c r="AH643" i="3" a="1"/>
  <c r="AH643" i="3" s="1"/>
  <c r="AI643" i="3" a="1"/>
  <c r="AI643" i="3" s="1"/>
  <c r="AG840" i="3" a="1"/>
  <c r="AG840" i="3" s="1"/>
  <c r="AI840" i="3" a="1"/>
  <c r="AI840" i="3" s="1"/>
  <c r="AH840" i="3" a="1"/>
  <c r="AH840" i="3" s="1"/>
  <c r="AH123" i="3" a="1"/>
  <c r="AH123" i="3" s="1"/>
  <c r="AG123" i="3" a="1"/>
  <c r="AG123" i="3" s="1"/>
  <c r="AI123" i="3" a="1"/>
  <c r="AI123" i="3" s="1"/>
  <c r="AG782" i="3" a="1"/>
  <c r="AG782" i="3" s="1"/>
  <c r="AH782" i="3" a="1"/>
  <c r="AH782" i="3" s="1"/>
  <c r="AI782" i="3" a="1"/>
  <c r="AI782" i="3" s="1"/>
  <c r="AH248" i="3" a="1"/>
  <c r="AH248" i="3" s="1"/>
  <c r="AG248" i="3" a="1"/>
  <c r="AG248" i="3" s="1"/>
  <c r="AI248" i="3" a="1"/>
  <c r="AI248" i="3" s="1"/>
  <c r="AH157" i="3" a="1"/>
  <c r="AH157" i="3" s="1"/>
  <c r="AG157" i="3" a="1"/>
  <c r="AG157" i="3" s="1"/>
  <c r="AI157" i="3" a="1"/>
  <c r="AI157" i="3" s="1"/>
  <c r="AH576" i="3" a="1"/>
  <c r="AH576" i="3" s="1"/>
  <c r="AI576" i="3" a="1"/>
  <c r="AI576" i="3" s="1"/>
  <c r="AG576" i="3" a="1"/>
  <c r="AG576" i="3" s="1"/>
  <c r="AH485" i="3" a="1"/>
  <c r="AH485" i="3" s="1"/>
  <c r="AG485" i="3" a="1"/>
  <c r="AG485" i="3" s="1"/>
  <c r="AI485" i="3" a="1"/>
  <c r="AI485" i="3" s="1"/>
  <c r="AG324" i="3" a="1"/>
  <c r="AG324" i="3" s="1"/>
  <c r="AH324" i="3" a="1"/>
  <c r="AH324" i="3" s="1"/>
  <c r="AI324" i="3" a="1"/>
  <c r="AI324" i="3" s="1"/>
  <c r="AI609" i="3" a="1"/>
  <c r="AI609" i="3" s="1"/>
  <c r="AH609" i="3" a="1"/>
  <c r="AH609" i="3" s="1"/>
  <c r="AG609" i="3" a="1"/>
  <c r="AG609" i="3" s="1"/>
  <c r="AH207" i="3" a="1"/>
  <c r="AH207" i="3" s="1"/>
  <c r="AI207" i="3" a="1"/>
  <c r="AI207" i="3" s="1"/>
  <c r="AG207" i="3" a="1"/>
  <c r="AG207" i="3" s="1"/>
  <c r="AG127" i="3" a="1"/>
  <c r="AG127" i="3" s="1"/>
  <c r="AI127" i="3" a="1"/>
  <c r="AI127" i="3" s="1"/>
  <c r="AH127" i="3" a="1"/>
  <c r="AH127" i="3" s="1"/>
  <c r="AI475" i="3" a="1"/>
  <c r="AI475" i="3" s="1"/>
  <c r="AH475" i="3" a="1"/>
  <c r="AH475" i="3" s="1"/>
  <c r="AG475" i="3" a="1"/>
  <c r="AG475" i="3" s="1"/>
  <c r="AG436" i="3" a="1"/>
  <c r="AG436" i="3" s="1"/>
  <c r="AI436" i="3" a="1"/>
  <c r="AI436" i="3" s="1"/>
  <c r="AH436" i="3" a="1"/>
  <c r="AH436" i="3" s="1"/>
  <c r="AH1108" i="3" a="1"/>
  <c r="AH1108" i="3" s="1"/>
  <c r="AG1108" i="3" a="1"/>
  <c r="AG1108" i="3" s="1"/>
  <c r="AI1108" i="3" a="1"/>
  <c r="AI1108" i="3" s="1"/>
  <c r="AI1135" i="3" a="1"/>
  <c r="AI1135" i="3" s="1"/>
  <c r="AH1135" i="3" a="1"/>
  <c r="AH1135" i="3" s="1"/>
  <c r="AG1135" i="3" a="1"/>
  <c r="AG1135" i="3" s="1"/>
  <c r="AH1016" i="3" a="1"/>
  <c r="AH1016" i="3" s="1"/>
  <c r="AI1016" i="3" a="1"/>
  <c r="AI1016" i="3" s="1"/>
  <c r="AG1016" i="3" a="1"/>
  <c r="AG1016" i="3" s="1"/>
  <c r="AH562" i="3" a="1"/>
  <c r="AH562" i="3" s="1"/>
  <c r="AG562" i="3" a="1"/>
  <c r="AG562" i="3" s="1"/>
  <c r="AI562" i="3" a="1"/>
  <c r="AI562" i="3" s="1"/>
  <c r="AI1124" i="3" a="1"/>
  <c r="AI1124" i="3" s="1"/>
  <c r="AG1124" i="3" a="1"/>
  <c r="AG1124" i="3" s="1"/>
  <c r="AH1124" i="3" a="1"/>
  <c r="AH1124" i="3" s="1"/>
  <c r="AI1151" i="3" a="1"/>
  <c r="AI1151" i="3" s="1"/>
  <c r="AG1151" i="3" a="1"/>
  <c r="AG1151" i="3" s="1"/>
  <c r="AH1151" i="3" a="1"/>
  <c r="AH1151" i="3" s="1"/>
  <c r="AG753" i="3" a="1"/>
  <c r="AG753" i="3" s="1"/>
  <c r="AI753" i="3" a="1"/>
  <c r="AI753" i="3" s="1"/>
  <c r="AH753" i="3" a="1"/>
  <c r="AH753" i="3" s="1"/>
  <c r="AH439" i="3" a="1"/>
  <c r="AH439" i="3" s="1"/>
  <c r="AI439" i="3" a="1"/>
  <c r="AI439" i="3" s="1"/>
  <c r="AG439" i="3" a="1"/>
  <c r="AG439" i="3" s="1"/>
  <c r="AH682" i="3" a="1"/>
  <c r="AH682" i="3" s="1"/>
  <c r="AI682" i="3" a="1"/>
  <c r="AI682" i="3" s="1"/>
  <c r="AG682" i="3" a="1"/>
  <c r="AG682" i="3" s="1"/>
  <c r="AG458" i="3" a="1"/>
  <c r="AG458" i="3" s="1"/>
  <c r="AH458" i="3" a="1"/>
  <c r="AH458" i="3" s="1"/>
  <c r="AI458" i="3" a="1"/>
  <c r="AI458" i="3" s="1"/>
  <c r="AH1237" i="3" a="1"/>
  <c r="AH1237" i="3" s="1"/>
  <c r="AG1237" i="3" a="1"/>
  <c r="AG1237" i="3" s="1"/>
  <c r="AI1237" i="3" a="1"/>
  <c r="AI1237" i="3" s="1"/>
  <c r="AI1273" i="3" a="1"/>
  <c r="AI1273" i="3" s="1"/>
  <c r="AG1273" i="3" a="1"/>
  <c r="AG1273" i="3" s="1"/>
  <c r="AH1273" i="3" a="1"/>
  <c r="AH1273" i="3" s="1"/>
  <c r="AG975" i="3" a="1"/>
  <c r="AG975" i="3" s="1"/>
  <c r="AH975" i="3" a="1"/>
  <c r="AH975" i="3" s="1"/>
  <c r="AI975" i="3" a="1"/>
  <c r="AI975" i="3" s="1"/>
  <c r="AH506" i="3" a="1"/>
  <c r="AH506" i="3" s="1"/>
  <c r="AI506" i="3" a="1"/>
  <c r="AI506" i="3" s="1"/>
  <c r="AG506" i="3" a="1"/>
  <c r="AG506" i="3" s="1"/>
  <c r="AI812" i="3" a="1"/>
  <c r="AI812" i="3" s="1"/>
  <c r="AG812" i="3" a="1"/>
  <c r="AG812" i="3" s="1"/>
  <c r="AH812" i="3" a="1"/>
  <c r="AH812" i="3" s="1"/>
  <c r="AH1284" i="3" a="1"/>
  <c r="AH1284" i="3" s="1"/>
  <c r="AI1284" i="3" a="1"/>
  <c r="AI1284" i="3" s="1"/>
  <c r="AG1284" i="3" a="1"/>
  <c r="AG1284" i="3" s="1"/>
  <c r="AG835" i="3" a="1"/>
  <c r="AG835" i="3" s="1"/>
  <c r="AI835" i="3" a="1"/>
  <c r="AI835" i="3" s="1"/>
  <c r="AH835" i="3" a="1"/>
  <c r="AH835" i="3" s="1"/>
  <c r="AI1011" i="3" a="1"/>
  <c r="AI1011" i="3" s="1"/>
  <c r="AG1011" i="3" a="1"/>
  <c r="AG1011" i="3" s="1"/>
  <c r="AH1011" i="3" a="1"/>
  <c r="AH1011" i="3" s="1"/>
  <c r="AG642" i="3" a="1"/>
  <c r="AG642" i="3" s="1"/>
  <c r="AH642" i="3" a="1"/>
  <c r="AH642" i="3" s="1"/>
  <c r="AI642" i="3" a="1"/>
  <c r="AI642" i="3" s="1"/>
  <c r="AG979" i="3" a="1"/>
  <c r="AG979" i="3" s="1"/>
  <c r="AI979" i="3" a="1"/>
  <c r="AI979" i="3" s="1"/>
  <c r="AH979" i="3" a="1"/>
  <c r="AH979" i="3" s="1"/>
  <c r="AI1442" i="3" a="1"/>
  <c r="AI1442" i="3" s="1"/>
  <c r="AH1442" i="3" a="1"/>
  <c r="AH1442" i="3" s="1"/>
  <c r="AG1442" i="3" a="1"/>
  <c r="AG1442" i="3" s="1"/>
  <c r="AH769" i="3" a="1"/>
  <c r="AH769" i="3" s="1"/>
  <c r="AG769" i="3" a="1"/>
  <c r="AG769" i="3" s="1"/>
  <c r="AI769" i="3" a="1"/>
  <c r="AI769" i="3" s="1"/>
  <c r="AG1248" i="3" a="1"/>
  <c r="AG1248" i="3" s="1"/>
  <c r="AH1248" i="3" a="1"/>
  <c r="AH1248" i="3" s="1"/>
  <c r="AI1248" i="3" a="1"/>
  <c r="AI1248" i="3" s="1"/>
  <c r="AI1053" i="3" a="1"/>
  <c r="AI1053" i="3" s="1"/>
  <c r="AH1053" i="3" a="1"/>
  <c r="AH1053" i="3" s="1"/>
  <c r="AG1053" i="3" a="1"/>
  <c r="AG1053" i="3" s="1"/>
  <c r="AG1312" i="3" a="1"/>
  <c r="AG1312" i="3" s="1"/>
  <c r="AI1312" i="3" a="1"/>
  <c r="AI1312" i="3" s="1"/>
  <c r="AH1312" i="3" a="1"/>
  <c r="AH1312" i="3" s="1"/>
  <c r="AH24" i="3" a="1"/>
  <c r="AH24" i="3" s="1"/>
  <c r="AI24" i="3" a="1"/>
  <c r="AI24" i="3" s="1"/>
  <c r="AG24" i="3" a="1"/>
  <c r="AG24" i="3" s="1"/>
  <c r="AI547" i="3" a="1"/>
  <c r="AI547" i="3" s="1"/>
  <c r="AH547" i="3" a="1"/>
  <c r="AH547" i="3" s="1"/>
  <c r="AG547" i="3" a="1"/>
  <c r="AG547" i="3" s="1"/>
  <c r="AI418" i="3" a="1"/>
  <c r="AI418" i="3" s="1"/>
  <c r="AH418" i="3" a="1"/>
  <c r="AH418" i="3" s="1"/>
  <c r="AG418" i="3" a="1"/>
  <c r="AG418" i="3" s="1"/>
  <c r="AH185" i="3" a="1"/>
  <c r="AH185" i="3" s="1"/>
  <c r="AI185" i="3" a="1"/>
  <c r="AI185" i="3" s="1"/>
  <c r="AG185" i="3" a="1"/>
  <c r="AG185" i="3" s="1"/>
  <c r="AG526" i="3" a="1"/>
  <c r="AG526" i="3" s="1"/>
  <c r="AH526" i="3" a="1"/>
  <c r="AH526" i="3" s="1"/>
  <c r="AI526" i="3" a="1"/>
  <c r="AI526" i="3" s="1"/>
  <c r="AG768" i="3" a="1"/>
  <c r="AG768" i="3" s="1"/>
  <c r="AH768" i="3" a="1"/>
  <c r="AH768" i="3" s="1"/>
  <c r="AI768" i="3" a="1"/>
  <c r="AI768" i="3" s="1"/>
  <c r="AH154" i="3" a="1"/>
  <c r="AH154" i="3" s="1"/>
  <c r="AI154" i="3" a="1"/>
  <c r="AI154" i="3" s="1"/>
  <c r="AG154" i="3" a="1"/>
  <c r="AG154" i="3" s="1"/>
  <c r="AI634" i="3" a="1"/>
  <c r="AI634" i="3" s="1"/>
  <c r="AG634" i="3" a="1"/>
  <c r="AG634" i="3" s="1"/>
  <c r="AH634" i="3" a="1"/>
  <c r="AH634" i="3" s="1"/>
  <c r="AG176" i="3" a="1"/>
  <c r="AG176" i="3" s="1"/>
  <c r="AI176" i="3" a="1"/>
  <c r="AI176" i="3" s="1"/>
  <c r="AH176" i="3" a="1"/>
  <c r="AH176" i="3" s="1"/>
  <c r="AG85" i="3" a="1"/>
  <c r="AG85" i="3" s="1"/>
  <c r="AH85" i="3" a="1"/>
  <c r="AH85" i="3" s="1"/>
  <c r="AI85" i="3" a="1"/>
  <c r="AI85" i="3" s="1"/>
  <c r="AI677" i="3" a="1"/>
  <c r="AI677" i="3" s="1"/>
  <c r="AH677" i="3" a="1"/>
  <c r="AH677" i="3" s="1"/>
  <c r="AG677" i="3" a="1"/>
  <c r="AG677" i="3" s="1"/>
  <c r="AH145" i="3" a="1"/>
  <c r="AH145" i="3" s="1"/>
  <c r="AG145" i="3" a="1"/>
  <c r="AG145" i="3" s="1"/>
  <c r="AI145" i="3" a="1"/>
  <c r="AI145" i="3" s="1"/>
  <c r="AI446" i="3" a="1"/>
  <c r="AI446" i="3" s="1"/>
  <c r="AG446" i="3" a="1"/>
  <c r="AG446" i="3" s="1"/>
  <c r="AH446" i="3" a="1"/>
  <c r="AH446" i="3" s="1"/>
  <c r="AI473" i="3" a="1"/>
  <c r="AI473" i="3" s="1"/>
  <c r="AH473" i="3" a="1"/>
  <c r="AH473" i="3" s="1"/>
  <c r="AG473" i="3" a="1"/>
  <c r="AG473" i="3" s="1"/>
  <c r="AI869" i="3" a="1"/>
  <c r="AI869" i="3" s="1"/>
  <c r="AG869" i="3" a="1"/>
  <c r="AG869" i="3" s="1"/>
  <c r="AH869" i="3" a="1"/>
  <c r="AH869" i="3" s="1"/>
  <c r="AI294" i="3" a="1"/>
  <c r="AI294" i="3" s="1"/>
  <c r="AH294" i="3" a="1"/>
  <c r="AH294" i="3" s="1"/>
  <c r="AG294" i="3" a="1"/>
  <c r="AG294" i="3" s="1"/>
  <c r="AG339" i="3" a="1"/>
  <c r="AG339" i="3" s="1"/>
  <c r="AI339" i="3" a="1"/>
  <c r="AI339" i="3" s="1"/>
  <c r="AH339" i="3" a="1"/>
  <c r="AH339" i="3" s="1"/>
  <c r="AH998" i="3" a="1"/>
  <c r="AH998" i="3" s="1"/>
  <c r="AI998" i="3" a="1"/>
  <c r="AI998" i="3" s="1"/>
  <c r="AG998" i="3" a="1"/>
  <c r="AG998" i="3" s="1"/>
  <c r="AH528" i="3" a="1"/>
  <c r="AH528" i="3" s="1"/>
  <c r="AG528" i="3" a="1"/>
  <c r="AG528" i="3" s="1"/>
  <c r="AI528" i="3" a="1"/>
  <c r="AI528" i="3" s="1"/>
  <c r="AG437" i="3" a="1"/>
  <c r="AG437" i="3" s="1"/>
  <c r="AH437" i="3" a="1"/>
  <c r="AH437" i="3" s="1"/>
  <c r="AI437" i="3" a="1"/>
  <c r="AI437" i="3" s="1"/>
  <c r="AI921" i="3" a="1"/>
  <c r="AI921" i="3" s="1"/>
  <c r="AH921" i="3" a="1"/>
  <c r="AH921" i="3" s="1"/>
  <c r="AG921" i="3" a="1"/>
  <c r="AG921" i="3" s="1"/>
  <c r="AG1009" i="3" a="1"/>
  <c r="AG1009" i="3" s="1"/>
  <c r="AH1009" i="3" a="1"/>
  <c r="AH1009" i="3" s="1"/>
  <c r="AI1009" i="3" a="1"/>
  <c r="AI1009" i="3" s="1"/>
  <c r="AG116" i="3" a="1"/>
  <c r="AG116" i="3" s="1"/>
  <c r="AI116" i="3" a="1"/>
  <c r="AI116" i="3" s="1"/>
  <c r="AH116" i="3" a="1"/>
  <c r="AH116" i="3" s="1"/>
  <c r="AG842" i="3" a="1"/>
  <c r="AG842" i="3" s="1"/>
  <c r="AI842" i="3" a="1"/>
  <c r="AI842" i="3" s="1"/>
  <c r="AH842" i="3" a="1"/>
  <c r="AH842" i="3" s="1"/>
  <c r="AG937" i="3" a="1"/>
  <c r="AG937" i="3" s="1"/>
  <c r="AH937" i="3" a="1"/>
  <c r="AH937" i="3" s="1"/>
  <c r="AI937" i="3" a="1"/>
  <c r="AI937" i="3" s="1"/>
  <c r="AG1027" i="3" a="1"/>
  <c r="AG1027" i="3" s="1"/>
  <c r="AI1027" i="3" a="1"/>
  <c r="AI1027" i="3" s="1"/>
  <c r="AH1027" i="3" a="1"/>
  <c r="AH1027" i="3" s="1"/>
  <c r="AH1065" i="3" a="1"/>
  <c r="AH1065" i="3" s="1"/>
  <c r="AI1065" i="3" a="1"/>
  <c r="AI1065" i="3" s="1"/>
  <c r="AG1065" i="3" a="1"/>
  <c r="AG1065" i="3" s="1"/>
  <c r="AI731" i="3" a="1"/>
  <c r="AI731" i="3" s="1"/>
  <c r="AH731" i="3" a="1"/>
  <c r="AH731" i="3" s="1"/>
  <c r="AG731" i="3" a="1"/>
  <c r="AG731" i="3" s="1"/>
  <c r="AI1421" i="3" a="1"/>
  <c r="AI1421" i="3" s="1"/>
  <c r="AG1421" i="3" a="1"/>
  <c r="AG1421" i="3" s="1"/>
  <c r="AH1421" i="3" a="1"/>
  <c r="AH1421" i="3" s="1"/>
  <c r="AI1457" i="3" a="1"/>
  <c r="AI1457" i="3" s="1"/>
  <c r="AH1457" i="3" a="1"/>
  <c r="AH1457" i="3" s="1"/>
  <c r="AG1457" i="3" a="1"/>
  <c r="AG1457" i="3" s="1"/>
  <c r="AG1107" i="3" a="1"/>
  <c r="AG1107" i="3" s="1"/>
  <c r="AI1107" i="3" a="1"/>
  <c r="AI1107" i="3" s="1"/>
  <c r="AH1107" i="3" a="1"/>
  <c r="AH1107" i="3" s="1"/>
  <c r="AG1142" i="3" a="1"/>
  <c r="AG1142" i="3" s="1"/>
  <c r="AI1142" i="3" a="1"/>
  <c r="AI1142" i="3" s="1"/>
  <c r="AH1142" i="3" a="1"/>
  <c r="AH1142" i="3" s="1"/>
  <c r="AG637" i="3" a="1"/>
  <c r="AG637" i="3" s="1"/>
  <c r="AH637" i="3" a="1"/>
  <c r="AH637" i="3" s="1"/>
  <c r="AI637" i="3" a="1"/>
  <c r="AI637" i="3" s="1"/>
  <c r="AH1361" i="3" a="1"/>
  <c r="AH1361" i="3" s="1"/>
  <c r="AI1361" i="3" a="1"/>
  <c r="AI1361" i="3" s="1"/>
  <c r="AG1361" i="3" a="1"/>
  <c r="AG1361" i="3" s="1"/>
  <c r="AH1420" i="3" a="1"/>
  <c r="AH1420" i="3" s="1"/>
  <c r="AI1420" i="3" a="1"/>
  <c r="AI1420" i="3" s="1"/>
  <c r="AG1420" i="3" a="1"/>
  <c r="AG1420" i="3" s="1"/>
  <c r="AI1146" i="3" a="1"/>
  <c r="AI1146" i="3" s="1"/>
  <c r="AG1146" i="3" a="1"/>
  <c r="AG1146" i="3" s="1"/>
  <c r="AH1146" i="3" a="1"/>
  <c r="AH1146" i="3" s="1"/>
  <c r="AI1294" i="3" a="1"/>
  <c r="AI1294" i="3" s="1"/>
  <c r="AH1294" i="3" a="1"/>
  <c r="AH1294" i="3" s="1"/>
  <c r="AG1294" i="3" a="1"/>
  <c r="AG1294" i="3" s="1"/>
  <c r="AH713" i="3" a="1"/>
  <c r="AH713" i="3" s="1"/>
  <c r="AG713" i="3" a="1"/>
  <c r="AG713" i="3" s="1"/>
  <c r="AI713" i="3" a="1"/>
  <c r="AI713" i="3" s="1"/>
  <c r="AG1409" i="3" a="1"/>
  <c r="AG1409" i="3" s="1"/>
  <c r="AI1409" i="3" a="1"/>
  <c r="AI1409" i="3" s="1"/>
  <c r="AH1409" i="3" a="1"/>
  <c r="AH1409" i="3" s="1"/>
  <c r="AG780" i="3" a="1"/>
  <c r="AG780" i="3" s="1"/>
  <c r="AI780" i="3" a="1"/>
  <c r="AI780" i="3" s="1"/>
  <c r="AH780" i="3" a="1"/>
  <c r="AH780" i="3" s="1"/>
  <c r="AI1181" i="3" a="1"/>
  <c r="AI1181" i="3" s="1"/>
  <c r="AG1181" i="3" a="1"/>
  <c r="AG1181" i="3" s="1"/>
  <c r="AH1181" i="3" a="1"/>
  <c r="AH1181" i="3" s="1"/>
  <c r="AG1130" i="3" a="1"/>
  <c r="AG1130" i="3" s="1"/>
  <c r="AH1130" i="3" a="1"/>
  <c r="AH1130" i="3" s="1"/>
  <c r="AI1130" i="3" a="1"/>
  <c r="AI1130" i="3" s="1"/>
  <c r="AI1017" i="3" a="1"/>
  <c r="AI1017" i="3" s="1"/>
  <c r="AG1017" i="3" a="1"/>
  <c r="AG1017" i="3" s="1"/>
  <c r="AH1017" i="3" a="1"/>
  <c r="AH1017" i="3" s="1"/>
  <c r="AI1441" i="3" a="1"/>
  <c r="AI1441" i="3" s="1"/>
  <c r="AG1441" i="3" a="1"/>
  <c r="AG1441" i="3" s="1"/>
  <c r="AH1441" i="3" a="1"/>
  <c r="AH1441" i="3" s="1"/>
  <c r="AI868" i="3" a="1"/>
  <c r="AI868" i="3" s="1"/>
  <c r="AG868" i="3" a="1"/>
  <c r="AG868" i="3" s="1"/>
  <c r="AH868" i="3" a="1"/>
  <c r="AH868" i="3" s="1"/>
  <c r="AG627" i="3" a="1"/>
  <c r="AG627" i="3" s="1"/>
  <c r="AH627" i="3" a="1"/>
  <c r="AH627" i="3" s="1"/>
  <c r="AI627" i="3" a="1"/>
  <c r="AI627" i="3" s="1"/>
  <c r="AG600" i="3" a="1"/>
  <c r="AG600" i="3" s="1"/>
  <c r="AI600" i="3" a="1"/>
  <c r="AI600" i="3" s="1"/>
  <c r="AH600" i="3" a="1"/>
  <c r="AH600" i="3" s="1"/>
  <c r="AI509" i="3" a="1"/>
  <c r="AI509" i="3" s="1"/>
  <c r="AH509" i="3" a="1"/>
  <c r="AH509" i="3" s="1"/>
  <c r="AG509" i="3" a="1"/>
  <c r="AG509" i="3" s="1"/>
  <c r="AG372" i="3" a="1"/>
  <c r="AG372" i="3" s="1"/>
  <c r="AI372" i="3" a="1"/>
  <c r="AI372" i="3" s="1"/>
  <c r="AH372" i="3" a="1"/>
  <c r="AH372" i="3" s="1"/>
  <c r="AG82" i="3" a="1"/>
  <c r="AG82" i="3" s="1"/>
  <c r="AH82" i="3" a="1"/>
  <c r="AH82" i="3" s="1"/>
  <c r="AI82" i="3" a="1"/>
  <c r="AI82" i="3" s="1"/>
  <c r="AG511" i="3" a="1"/>
  <c r="AG511" i="3" s="1"/>
  <c r="AI511" i="3" a="1"/>
  <c r="AI511" i="3" s="1"/>
  <c r="AH511" i="3" a="1"/>
  <c r="AH511" i="3" s="1"/>
  <c r="AI40" i="3" a="1"/>
  <c r="AI40" i="3" s="1"/>
  <c r="AH40" i="3" a="1"/>
  <c r="AH40" i="3" s="1"/>
  <c r="AG40" i="3" a="1"/>
  <c r="AG40" i="3" s="1"/>
  <c r="AG563" i="3" a="1"/>
  <c r="AG563" i="3" s="1"/>
  <c r="AH563" i="3" a="1"/>
  <c r="AH563" i="3" s="1"/>
  <c r="AI563" i="3" a="1"/>
  <c r="AI563" i="3" s="1"/>
  <c r="AH450" i="3" a="1"/>
  <c r="AH450" i="3" s="1"/>
  <c r="AG450" i="3" a="1"/>
  <c r="AG450" i="3" s="1"/>
  <c r="AI450" i="3" a="1"/>
  <c r="AI450" i="3" s="1"/>
  <c r="AG73" i="3" a="1"/>
  <c r="AG73" i="3" s="1"/>
  <c r="AH73" i="3" a="1"/>
  <c r="AH73" i="3" s="1"/>
  <c r="AI73" i="3" a="1"/>
  <c r="AI73" i="3" s="1"/>
  <c r="AI302" i="3" a="1"/>
  <c r="AI302" i="3" s="1"/>
  <c r="AH302" i="3" a="1"/>
  <c r="AH302" i="3" s="1"/>
  <c r="AG302" i="3" a="1"/>
  <c r="AG302" i="3" s="1"/>
  <c r="AH646" i="3" a="1"/>
  <c r="AH646" i="3" s="1"/>
  <c r="AG646" i="3" a="1"/>
  <c r="AG646" i="3" s="1"/>
  <c r="AI646" i="3" a="1"/>
  <c r="AI646" i="3" s="1"/>
  <c r="AH42" i="3" a="1"/>
  <c r="AH42" i="3" s="1"/>
  <c r="AI42" i="3" a="1"/>
  <c r="AI42" i="3" s="1"/>
  <c r="AG42" i="3" a="1"/>
  <c r="AG42" i="3" s="1"/>
  <c r="AH431" i="3" a="1"/>
  <c r="AH431" i="3" s="1"/>
  <c r="AG431" i="3" a="1"/>
  <c r="AG431" i="3" s="1"/>
  <c r="AI431" i="3" a="1"/>
  <c r="AI431" i="3" s="1"/>
  <c r="AH203" i="3" a="1"/>
  <c r="AH203" i="3" s="1"/>
  <c r="AG203" i="3" a="1"/>
  <c r="AG203" i="3" s="1"/>
  <c r="AI203" i="3" a="1"/>
  <c r="AI203" i="3" s="1"/>
  <c r="AG862" i="3" a="1"/>
  <c r="AG862" i="3" s="1"/>
  <c r="AH862" i="3" a="1"/>
  <c r="AH862" i="3" s="1"/>
  <c r="AI862" i="3" a="1"/>
  <c r="AI862" i="3" s="1"/>
  <c r="AG392" i="3" a="1"/>
  <c r="AG392" i="3" s="1"/>
  <c r="AH392" i="3" a="1"/>
  <c r="AH392" i="3" s="1"/>
  <c r="AI392" i="3" a="1"/>
  <c r="AI392" i="3" s="1"/>
  <c r="AI301" i="3" a="1"/>
  <c r="AI301" i="3" s="1"/>
  <c r="AH301" i="3" a="1"/>
  <c r="AH301" i="3" s="1"/>
  <c r="AG301" i="3" a="1"/>
  <c r="AG301" i="3" s="1"/>
  <c r="AI895" i="3" a="1"/>
  <c r="AI895" i="3" s="1"/>
  <c r="AG895" i="3" a="1"/>
  <c r="AG895" i="3" s="1"/>
  <c r="AH895" i="3" a="1"/>
  <c r="AH895" i="3" s="1"/>
  <c r="AG425" i="3" a="1"/>
  <c r="AG425" i="3" s="1"/>
  <c r="AH425" i="3" a="1"/>
  <c r="AH425" i="3" s="1"/>
  <c r="AI425" i="3" a="1"/>
  <c r="AI425" i="3" s="1"/>
  <c r="AI821" i="3" a="1"/>
  <c r="AI821" i="3" s="1"/>
  <c r="AG821" i="3" a="1"/>
  <c r="AG821" i="3" s="1"/>
  <c r="AH821" i="3" a="1"/>
  <c r="AH821" i="3" s="1"/>
  <c r="AH690" i="3" a="1"/>
  <c r="AH690" i="3" s="1"/>
  <c r="AI690" i="3" a="1"/>
  <c r="AI690" i="3" s="1"/>
  <c r="AG690" i="3" a="1"/>
  <c r="AG690" i="3" s="1"/>
  <c r="AH826" i="3" a="1"/>
  <c r="AH826" i="3" s="1"/>
  <c r="AG826" i="3" a="1"/>
  <c r="AG826" i="3" s="1"/>
  <c r="AI826" i="3" a="1"/>
  <c r="AI826" i="3" s="1"/>
  <c r="AH737" i="3" a="1"/>
  <c r="AH737" i="3" s="1"/>
  <c r="AG737" i="3" a="1"/>
  <c r="AG737" i="3" s="1"/>
  <c r="AI737" i="3" a="1"/>
  <c r="AI737" i="3" s="1"/>
  <c r="AI311" i="3" a="1"/>
  <c r="AI311" i="3" s="1"/>
  <c r="AH311" i="3" a="1"/>
  <c r="AH311" i="3" s="1"/>
  <c r="AG311" i="3" a="1"/>
  <c r="AG311" i="3" s="1"/>
  <c r="AG754" i="3" a="1"/>
  <c r="AG754" i="3" s="1"/>
  <c r="AH754" i="3" a="1"/>
  <c r="AH754" i="3" s="1"/>
  <c r="AI754" i="3" a="1"/>
  <c r="AI754" i="3" s="1"/>
  <c r="AH867" i="3" a="1"/>
  <c r="AH867" i="3" s="1"/>
  <c r="AG867" i="3" a="1"/>
  <c r="AG867" i="3" s="1"/>
  <c r="AI867" i="3" a="1"/>
  <c r="AI867" i="3" s="1"/>
  <c r="AH204" i="3" a="1"/>
  <c r="AH204" i="3" s="1"/>
  <c r="AI204" i="3" a="1"/>
  <c r="AI204" i="3" s="1"/>
  <c r="AG204" i="3" a="1"/>
  <c r="AG204" i="3" s="1"/>
  <c r="AI1291" i="3" a="1"/>
  <c r="AI1291" i="3" s="1"/>
  <c r="AG1291" i="3" a="1"/>
  <c r="AG1291" i="3" s="1"/>
  <c r="AH1291" i="3" a="1"/>
  <c r="AH1291" i="3" s="1"/>
  <c r="AH1326" i="3" a="1"/>
  <c r="AH1326" i="3" s="1"/>
  <c r="AG1326" i="3" a="1"/>
  <c r="AG1326" i="3" s="1"/>
  <c r="AI1326" i="3" a="1"/>
  <c r="AI1326" i="3" s="1"/>
  <c r="AI751" i="3" a="1"/>
  <c r="AI751" i="3" s="1"/>
  <c r="AG751" i="3" a="1"/>
  <c r="AG751" i="3" s="1"/>
  <c r="AH751" i="3" a="1"/>
  <c r="AH751" i="3" s="1"/>
  <c r="AG1008" i="3" a="1"/>
  <c r="AG1008" i="3" s="1"/>
  <c r="AI1008" i="3" a="1"/>
  <c r="AI1008" i="3" s="1"/>
  <c r="AH1008" i="3" a="1"/>
  <c r="AH1008" i="3" s="1"/>
  <c r="AG1039" i="3" a="1"/>
  <c r="AG1039" i="3" s="1"/>
  <c r="AI1039" i="3" a="1"/>
  <c r="AI1039" i="3" s="1"/>
  <c r="AH1039" i="3" a="1"/>
  <c r="AH1039" i="3" s="1"/>
  <c r="AH756" i="3" a="1"/>
  <c r="AH756" i="3" s="1"/>
  <c r="AG756" i="3" a="1"/>
  <c r="AG756" i="3" s="1"/>
  <c r="AI756" i="3" a="1"/>
  <c r="AI756" i="3" s="1"/>
  <c r="AI284" i="3" a="1"/>
  <c r="AI284" i="3" s="1"/>
  <c r="AG284" i="3" a="1"/>
  <c r="AG284" i="3" s="1"/>
  <c r="AH284" i="3" a="1"/>
  <c r="AH284" i="3" s="1"/>
  <c r="AI1414" i="3" a="1"/>
  <c r="AI1414" i="3" s="1"/>
  <c r="AH1414" i="3" a="1"/>
  <c r="AH1414" i="3" s="1"/>
  <c r="AG1414" i="3" a="1"/>
  <c r="AG1414" i="3" s="1"/>
  <c r="AG402" i="3" a="1"/>
  <c r="AG402" i="3" s="1"/>
  <c r="AI402" i="3" a="1"/>
  <c r="AI402" i="3" s="1"/>
  <c r="AH402" i="3" a="1"/>
  <c r="AH402" i="3" s="1"/>
  <c r="AI1089" i="3" a="1"/>
  <c r="AI1089" i="3" s="1"/>
  <c r="AH1089" i="3" a="1"/>
  <c r="AH1089" i="3" s="1"/>
  <c r="AG1089" i="3" a="1"/>
  <c r="AG1089" i="3" s="1"/>
  <c r="AH947" i="3" a="1"/>
  <c r="AH947" i="3" s="1"/>
  <c r="AI947" i="3" a="1"/>
  <c r="AI947" i="3" s="1"/>
  <c r="AG947" i="3" a="1"/>
  <c r="AG947" i="3" s="1"/>
  <c r="AI1088" i="3" a="1"/>
  <c r="AI1088" i="3" s="1"/>
  <c r="AH1088" i="3" a="1"/>
  <c r="AH1088" i="3" s="1"/>
  <c r="AG1088" i="3" a="1"/>
  <c r="AG1088" i="3" s="1"/>
  <c r="AI708" i="3" a="1"/>
  <c r="AI708" i="3" s="1"/>
  <c r="AH708" i="3" a="1"/>
  <c r="AH708" i="3" s="1"/>
  <c r="AG708" i="3" a="1"/>
  <c r="AG708" i="3" s="1"/>
  <c r="AI1047" i="3" a="1"/>
  <c r="AI1047" i="3" s="1"/>
  <c r="AG1047" i="3" a="1"/>
  <c r="AG1047" i="3" s="1"/>
  <c r="AH1047" i="3" a="1"/>
  <c r="AH1047" i="3" s="1"/>
  <c r="AI1195" i="3" a="1"/>
  <c r="AI1195" i="3" s="1"/>
  <c r="AH1195" i="3" a="1"/>
  <c r="AH1195" i="3" s="1"/>
  <c r="AG1195" i="3" a="1"/>
  <c r="AG1195" i="3" s="1"/>
  <c r="AI1094" i="3" a="1"/>
  <c r="AI1094" i="3" s="1"/>
  <c r="AG1094" i="3" a="1"/>
  <c r="AG1094" i="3" s="1"/>
  <c r="AH1094" i="3" a="1"/>
  <c r="AH1094" i="3" s="1"/>
  <c r="AG550" i="3" a="1"/>
  <c r="AG550" i="3" s="1"/>
  <c r="AI550" i="3" a="1"/>
  <c r="AI550" i="3" s="1"/>
  <c r="AH550" i="3" a="1"/>
  <c r="AH550" i="3" s="1"/>
  <c r="AI1345" i="3" a="1"/>
  <c r="AI1345" i="3" s="1"/>
  <c r="AG1345" i="3" a="1"/>
  <c r="AG1345" i="3" s="1"/>
  <c r="AH1345" i="3" a="1"/>
  <c r="AH1345" i="3" s="1"/>
  <c r="AH660" i="3" a="1"/>
  <c r="AH660" i="3" s="1"/>
  <c r="AI660" i="3" a="1"/>
  <c r="AI660" i="3" s="1"/>
  <c r="AG660" i="3" a="1"/>
  <c r="AG660" i="3" s="1"/>
  <c r="AG497" i="3" a="1"/>
  <c r="AG497" i="3" s="1"/>
  <c r="AI497" i="3" a="1"/>
  <c r="AI497" i="3" s="1"/>
  <c r="AH497" i="3" a="1"/>
  <c r="AH497" i="3" s="1"/>
  <c r="AH893" i="3" a="1"/>
  <c r="AH893" i="3" s="1"/>
  <c r="AG893" i="3" a="1"/>
  <c r="AG893" i="3" s="1"/>
  <c r="AI893" i="3" a="1"/>
  <c r="AI893" i="3" s="1"/>
  <c r="AI143" i="3" a="1"/>
  <c r="AI143" i="3" s="1"/>
  <c r="AH143" i="3" a="1"/>
  <c r="AH143" i="3" s="1"/>
  <c r="AG143" i="3" a="1"/>
  <c r="AG143" i="3" s="1"/>
  <c r="AG491" i="3" a="1"/>
  <c r="AG491" i="3" s="1"/>
  <c r="AH491" i="3" a="1"/>
  <c r="AH491" i="3" s="1"/>
  <c r="AI491" i="3" a="1"/>
  <c r="AI491" i="3" s="1"/>
  <c r="AG306" i="3" a="1"/>
  <c r="AG306" i="3" s="1"/>
  <c r="AI306" i="3" a="1"/>
  <c r="AI306" i="3" s="1"/>
  <c r="AH306" i="3" a="1"/>
  <c r="AH306" i="3" s="1"/>
  <c r="AG616" i="3" a="1"/>
  <c r="AG616" i="3" s="1"/>
  <c r="AH616" i="3" a="1"/>
  <c r="AH616" i="3" s="1"/>
  <c r="AI616" i="3" a="1"/>
  <c r="AI616" i="3" s="1"/>
  <c r="AI525" i="3" a="1"/>
  <c r="AI525" i="3" s="1"/>
  <c r="AG525" i="3" a="1"/>
  <c r="AG525" i="3" s="1"/>
  <c r="AH525" i="3" a="1"/>
  <c r="AH525" i="3" s="1"/>
  <c r="AI404" i="3" a="1"/>
  <c r="AI404" i="3" s="1"/>
  <c r="AH404" i="3" a="1"/>
  <c r="AH404" i="3" s="1"/>
  <c r="AG404" i="3" a="1"/>
  <c r="AG404" i="3" s="1"/>
  <c r="AI649" i="3" a="1"/>
  <c r="AI649" i="3" s="1"/>
  <c r="AH649" i="3" a="1"/>
  <c r="AH649" i="3" s="1"/>
  <c r="AG649" i="3" a="1"/>
  <c r="AG649" i="3" s="1"/>
  <c r="AI287" i="3" a="1"/>
  <c r="AI287" i="3" s="1"/>
  <c r="AH287" i="3" a="1"/>
  <c r="AH287" i="3" s="1"/>
  <c r="AG287" i="3" a="1"/>
  <c r="AG287" i="3" s="1"/>
  <c r="AG103" i="3" a="1"/>
  <c r="AG103" i="3" s="1"/>
  <c r="AI103" i="3" a="1"/>
  <c r="AI103" i="3" s="1"/>
  <c r="AH103" i="3" a="1"/>
  <c r="AH103" i="3" s="1"/>
  <c r="AG451" i="3" a="1"/>
  <c r="AG451" i="3" s="1"/>
  <c r="AI451" i="3" a="1"/>
  <c r="AI451" i="3" s="1"/>
  <c r="AH451" i="3" a="1"/>
  <c r="AH451" i="3" s="1"/>
  <c r="AH256" i="3" a="1"/>
  <c r="AH256" i="3" s="1"/>
  <c r="AG256" i="3" a="1"/>
  <c r="AG256" i="3" s="1"/>
  <c r="AI256" i="3" a="1"/>
  <c r="AI256" i="3" s="1"/>
  <c r="AI165" i="3" a="1"/>
  <c r="AI165" i="3" s="1"/>
  <c r="AH165" i="3" a="1"/>
  <c r="AH165" i="3" s="1"/>
  <c r="AG165" i="3" a="1"/>
  <c r="AG165" i="3" s="1"/>
  <c r="AG759" i="3" a="1"/>
  <c r="AG759" i="3" s="1"/>
  <c r="AH759" i="3" a="1"/>
  <c r="AH759" i="3" s="1"/>
  <c r="AI759" i="3" a="1"/>
  <c r="AI759" i="3" s="1"/>
  <c r="AI289" i="3" a="1"/>
  <c r="AI289" i="3" s="1"/>
  <c r="AH289" i="3" a="1"/>
  <c r="AH289" i="3" s="1"/>
  <c r="AG289" i="3" a="1"/>
  <c r="AG289" i="3" s="1"/>
  <c r="AI685" i="3" a="1"/>
  <c r="AI685" i="3" s="1"/>
  <c r="AG685" i="3" a="1"/>
  <c r="AG685" i="3" s="1"/>
  <c r="AH685" i="3" a="1"/>
  <c r="AH685" i="3" s="1"/>
  <c r="AG872" i="3" a="1"/>
  <c r="AG872" i="3" s="1"/>
  <c r="AI872" i="3" a="1"/>
  <c r="AI872" i="3" s="1"/>
  <c r="AH872" i="3" a="1"/>
  <c r="AH872" i="3" s="1"/>
  <c r="AI155" i="3" a="1"/>
  <c r="AI155" i="3" s="1"/>
  <c r="AH155" i="3" a="1"/>
  <c r="AH155" i="3" s="1"/>
  <c r="AG155" i="3" a="1"/>
  <c r="AG155" i="3" s="1"/>
  <c r="AI814" i="3" a="1"/>
  <c r="AI814" i="3" s="1"/>
  <c r="AH814" i="3" a="1"/>
  <c r="AH814" i="3" s="1"/>
  <c r="AG814" i="3" a="1"/>
  <c r="AG814" i="3" s="1"/>
  <c r="AH1459" i="3" a="1"/>
  <c r="AH1459" i="3" s="1"/>
  <c r="AI1459" i="3" a="1"/>
  <c r="AI1459" i="3" s="1"/>
  <c r="AG1459" i="3" a="1"/>
  <c r="AG1459" i="3" s="1"/>
  <c r="AI199" i="3" a="1"/>
  <c r="AI199" i="3" s="1"/>
  <c r="AG199" i="3" a="1"/>
  <c r="AG199" i="3" s="1"/>
  <c r="AH199" i="3" a="1"/>
  <c r="AH199" i="3" s="1"/>
  <c r="AI715" i="3" a="1"/>
  <c r="AI715" i="3" s="1"/>
  <c r="AH715" i="3" a="1"/>
  <c r="AH715" i="3" s="1"/>
  <c r="AG715" i="3" a="1"/>
  <c r="AG715" i="3" s="1"/>
  <c r="AG1405" i="3" a="1"/>
  <c r="AG1405" i="3" s="1"/>
  <c r="AH1405" i="3" a="1"/>
  <c r="AH1405" i="3" s="1"/>
  <c r="AI1405" i="3" a="1"/>
  <c r="AI1405" i="3" s="1"/>
  <c r="AH38" i="3" a="1"/>
  <c r="AH38" i="3" s="1"/>
  <c r="AI38" i="3" a="1"/>
  <c r="AI38" i="3" s="1"/>
  <c r="AG38" i="3" a="1"/>
  <c r="AG38" i="3" s="1"/>
  <c r="AG327" i="3" a="1"/>
  <c r="AG327" i="3" s="1"/>
  <c r="AI327" i="3" a="1"/>
  <c r="AI327" i="3" s="1"/>
  <c r="AH327" i="3" a="1"/>
  <c r="AH327" i="3" s="1"/>
  <c r="AI880" i="3" a="1"/>
  <c r="AI880" i="3" s="1"/>
  <c r="AH880" i="3" a="1"/>
  <c r="AH880" i="3" s="1"/>
  <c r="AG880" i="3" a="1"/>
  <c r="AG880" i="3" s="1"/>
  <c r="AI1196" i="3" a="1"/>
  <c r="AI1196" i="3" s="1"/>
  <c r="AG1196" i="3" a="1"/>
  <c r="AG1196" i="3" s="1"/>
  <c r="AH1196" i="3" a="1"/>
  <c r="AH1196" i="3" s="1"/>
  <c r="AH1223" i="3" a="1"/>
  <c r="AH1223" i="3" s="1"/>
  <c r="AI1223" i="3" a="1"/>
  <c r="AI1223" i="3" s="1"/>
  <c r="AG1223" i="3" a="1"/>
  <c r="AG1223" i="3" s="1"/>
  <c r="AH825" i="3" a="1"/>
  <c r="AH825" i="3" s="1"/>
  <c r="AI825" i="3" a="1"/>
  <c r="AI825" i="3" s="1"/>
  <c r="AG825" i="3" a="1"/>
  <c r="AG825" i="3" s="1"/>
  <c r="AG820" i="3" a="1"/>
  <c r="AG820" i="3" s="1"/>
  <c r="AH820" i="3" a="1"/>
  <c r="AH820" i="3" s="1"/>
  <c r="AI820" i="3" a="1"/>
  <c r="AI820" i="3" s="1"/>
  <c r="AG916" i="3" a="1"/>
  <c r="AG916" i="3" s="1"/>
  <c r="AH916" i="3" a="1"/>
  <c r="AH916" i="3" s="1"/>
  <c r="AI916" i="3" a="1"/>
  <c r="AI916" i="3" s="1"/>
  <c r="AI1019" i="3" a="1"/>
  <c r="AI1019" i="3" s="1"/>
  <c r="AH1019" i="3" a="1"/>
  <c r="AH1019" i="3" s="1"/>
  <c r="AG1019" i="3" a="1"/>
  <c r="AG1019" i="3" s="1"/>
  <c r="AI308" i="3" a="1"/>
  <c r="AI308" i="3" s="1"/>
  <c r="AH308" i="3" a="1"/>
  <c r="AH308" i="3" s="1"/>
  <c r="AG308" i="3" a="1"/>
  <c r="AG308" i="3" s="1"/>
  <c r="AH1169" i="3" a="1"/>
  <c r="AH1169" i="3" s="1"/>
  <c r="AI1169" i="3" a="1"/>
  <c r="AI1169" i="3" s="1"/>
  <c r="AG1169" i="3" a="1"/>
  <c r="AG1169" i="3" s="1"/>
  <c r="AH1115" i="3" a="1"/>
  <c r="AH1115" i="3" s="1"/>
  <c r="AI1115" i="3" a="1"/>
  <c r="AI1115" i="3" s="1"/>
  <c r="AG1115" i="3" a="1"/>
  <c r="AG1115" i="3" s="1"/>
  <c r="AG976" i="3" a="1"/>
  <c r="AG976" i="3" s="1"/>
  <c r="AH976" i="3" a="1"/>
  <c r="AH976" i="3" s="1"/>
  <c r="AI976" i="3" a="1"/>
  <c r="AI976" i="3" s="1"/>
  <c r="AG1054" i="3" a="1"/>
  <c r="AG1054" i="3" s="1"/>
  <c r="AH1054" i="3" a="1"/>
  <c r="AH1054" i="3" s="1"/>
  <c r="AI1054" i="3" a="1"/>
  <c r="AI1054" i="3" s="1"/>
  <c r="AI1098" i="3" a="1"/>
  <c r="AI1098" i="3" s="1"/>
  <c r="AH1098" i="3" a="1"/>
  <c r="AH1098" i="3" s="1"/>
  <c r="AG1098" i="3" a="1"/>
  <c r="AG1098" i="3" s="1"/>
  <c r="AI721" i="3" a="1"/>
  <c r="AI721" i="3" s="1"/>
  <c r="AH721" i="3" a="1"/>
  <c r="AH721" i="3" s="1"/>
  <c r="AG721" i="3" a="1"/>
  <c r="AG721" i="3" s="1"/>
  <c r="AI1417" i="3" a="1"/>
  <c r="AI1417" i="3" s="1"/>
  <c r="AH1417" i="3" a="1"/>
  <c r="AH1417" i="3" s="1"/>
  <c r="AG1417" i="3" a="1"/>
  <c r="AG1417" i="3" s="1"/>
  <c r="AH1096" i="3" a="1"/>
  <c r="AH1096" i="3" s="1"/>
  <c r="AI1096" i="3" a="1"/>
  <c r="AI1096" i="3" s="1"/>
  <c r="AG1096" i="3" a="1"/>
  <c r="AG1096" i="3" s="1"/>
  <c r="AH778" i="3" a="1"/>
  <c r="AH778" i="3" s="1"/>
  <c r="AG778" i="3" a="1"/>
  <c r="AG778" i="3" s="1"/>
  <c r="AI778" i="3" a="1"/>
  <c r="AI778" i="3" s="1"/>
  <c r="AI428" i="3" a="1"/>
  <c r="AI428" i="3" s="1"/>
  <c r="AG428" i="3" a="1"/>
  <c r="AG428" i="3" s="1"/>
  <c r="AH428" i="3" a="1"/>
  <c r="AH428" i="3" s="1"/>
  <c r="AG1402" i="3" a="1"/>
  <c r="AG1402" i="3" s="1"/>
  <c r="AH1402" i="3" a="1"/>
  <c r="AH1402" i="3" s="1"/>
  <c r="AI1402" i="3" a="1"/>
  <c r="AI1402" i="3" s="1"/>
  <c r="AG748" i="3" a="1"/>
  <c r="AG748" i="3" s="1"/>
  <c r="AH748" i="3" a="1"/>
  <c r="AH748" i="3" s="1"/>
  <c r="AI748" i="3" a="1"/>
  <c r="AI748" i="3" s="1"/>
  <c r="AH227" i="3" a="1"/>
  <c r="AH227" i="3" s="1"/>
  <c r="AG227" i="3" a="1"/>
  <c r="AG227" i="3" s="1"/>
  <c r="AI227" i="3" a="1"/>
  <c r="AI227" i="3" s="1"/>
  <c r="AG886" i="3" a="1"/>
  <c r="AG886" i="3" s="1"/>
  <c r="AH886" i="3" a="1"/>
  <c r="AH886" i="3" s="1"/>
  <c r="AI886" i="3" a="1"/>
  <c r="AI886" i="3" s="1"/>
  <c r="AG544" i="3" a="1"/>
  <c r="AG544" i="3" s="1"/>
  <c r="AI544" i="3" a="1"/>
  <c r="AI544" i="3" s="1"/>
  <c r="AH544" i="3" a="1"/>
  <c r="AH544" i="3" s="1"/>
  <c r="AG453" i="3" a="1"/>
  <c r="AG453" i="3" s="1"/>
  <c r="AI453" i="3" a="1"/>
  <c r="AI453" i="3" s="1"/>
  <c r="AH453" i="3" a="1"/>
  <c r="AH453" i="3" s="1"/>
  <c r="AI260" i="3" a="1"/>
  <c r="AI260" i="3" s="1"/>
  <c r="AH260" i="3" a="1"/>
  <c r="AH260" i="3" s="1"/>
  <c r="AG260" i="3" a="1"/>
  <c r="AG260" i="3" s="1"/>
  <c r="AI513" i="3" a="1"/>
  <c r="AI513" i="3" s="1"/>
  <c r="AH513" i="3" a="1"/>
  <c r="AH513" i="3" s="1"/>
  <c r="AG513" i="3" a="1"/>
  <c r="AG513" i="3" s="1"/>
  <c r="AG909" i="3" a="1"/>
  <c r="AG909" i="3" s="1"/>
  <c r="AI909" i="3" a="1"/>
  <c r="AI909" i="3" s="1"/>
  <c r="AH909" i="3" a="1"/>
  <c r="AH909" i="3" s="1"/>
  <c r="AG31" i="3" a="1"/>
  <c r="AG31" i="3" s="1"/>
  <c r="AH31" i="3" a="1"/>
  <c r="AH31" i="3" s="1"/>
  <c r="AI31" i="3" a="1"/>
  <c r="AI31" i="3" s="1"/>
  <c r="AG379" i="3" a="1"/>
  <c r="AG379" i="3" s="1"/>
  <c r="AH379" i="3" a="1"/>
  <c r="AH379" i="3" s="1"/>
  <c r="AI379" i="3" a="1"/>
  <c r="AI379" i="3" s="1"/>
  <c r="AI1038" i="3" a="1"/>
  <c r="AI1038" i="3" s="1"/>
  <c r="AG1038" i="3" a="1"/>
  <c r="AG1038" i="3" s="1"/>
  <c r="AH1038" i="3" a="1"/>
  <c r="AH1038" i="3" s="1"/>
  <c r="AG504" i="3" a="1"/>
  <c r="AG504" i="3" s="1"/>
  <c r="AH504" i="3" a="1"/>
  <c r="AH504" i="3" s="1"/>
  <c r="AI504" i="3" a="1"/>
  <c r="AI504" i="3" s="1"/>
  <c r="AI413" i="3" a="1"/>
  <c r="AI413" i="3" s="1"/>
  <c r="AH413" i="3" a="1"/>
  <c r="AH413" i="3" s="1"/>
  <c r="AG413" i="3" a="1"/>
  <c r="AG413" i="3" s="1"/>
  <c r="AH153" i="3" a="1"/>
  <c r="AH153" i="3" s="1"/>
  <c r="AG153" i="3" a="1"/>
  <c r="AG153" i="3" s="1"/>
  <c r="AI153" i="3" a="1"/>
  <c r="AI153" i="3" s="1"/>
  <c r="AI462" i="3" a="1"/>
  <c r="AI462" i="3" s="1"/>
  <c r="AH462" i="3" a="1"/>
  <c r="AH462" i="3" s="1"/>
  <c r="AG462" i="3" a="1"/>
  <c r="AG462" i="3" s="1"/>
  <c r="AH736" i="3" a="1"/>
  <c r="AH736" i="3" s="1"/>
  <c r="AI736" i="3" a="1"/>
  <c r="AI736" i="3" s="1"/>
  <c r="AG736" i="3" a="1"/>
  <c r="AG736" i="3" s="1"/>
  <c r="AH19" i="3" a="1"/>
  <c r="AH19" i="3" s="1"/>
  <c r="AI19" i="3" a="1"/>
  <c r="AI19" i="3" s="1"/>
  <c r="AG19" i="3" a="1"/>
  <c r="AG19" i="3" s="1"/>
  <c r="AH676" i="3" a="1"/>
  <c r="AH676" i="3" s="1"/>
  <c r="AI676" i="3" a="1"/>
  <c r="AI676" i="3" s="1"/>
  <c r="AG676" i="3" a="1"/>
  <c r="AG676" i="3" s="1"/>
  <c r="AH208" i="3" a="1"/>
  <c r="AH208" i="3" s="1"/>
  <c r="AI208" i="3" a="1"/>
  <c r="AI208" i="3" s="1"/>
  <c r="AG208" i="3" a="1"/>
  <c r="AG208" i="3" s="1"/>
  <c r="AG117" i="3" a="1"/>
  <c r="AG117" i="3" s="1"/>
  <c r="AI117" i="3" a="1"/>
  <c r="AI117" i="3" s="1"/>
  <c r="AH117" i="3" a="1"/>
  <c r="AH117" i="3" s="1"/>
  <c r="AH564" i="3" a="1"/>
  <c r="AH564" i="3" s="1"/>
  <c r="AG564" i="3" a="1"/>
  <c r="AG564" i="3" s="1"/>
  <c r="AI564" i="3" a="1"/>
  <c r="AI564" i="3" s="1"/>
  <c r="AH1364" i="3" a="1"/>
  <c r="AH1364" i="3" s="1"/>
  <c r="AG1364" i="3" a="1"/>
  <c r="AG1364" i="3" s="1"/>
  <c r="AI1364" i="3" a="1"/>
  <c r="AI1364" i="3" s="1"/>
  <c r="AI1391" i="3" a="1"/>
  <c r="AI1391" i="3" s="1"/>
  <c r="AH1391" i="3" a="1"/>
  <c r="AH1391" i="3" s="1"/>
  <c r="AG1391" i="3" a="1"/>
  <c r="AG1391" i="3" s="1"/>
  <c r="AH1275" i="3" a="1"/>
  <c r="AH1275" i="3" s="1"/>
  <c r="AG1275" i="3" a="1"/>
  <c r="AG1275" i="3" s="1"/>
  <c r="AI1275" i="3" a="1"/>
  <c r="AI1275" i="3" s="1"/>
  <c r="AH589" i="3" a="1"/>
  <c r="AH589" i="3" s="1"/>
  <c r="AG589" i="3" a="1"/>
  <c r="AG589" i="3" s="1"/>
  <c r="AI589" i="3" a="1"/>
  <c r="AI589" i="3" s="1"/>
  <c r="AI1380" i="3" a="1"/>
  <c r="AI1380" i="3" s="1"/>
  <c r="AG1380" i="3" a="1"/>
  <c r="AG1380" i="3" s="1"/>
  <c r="AH1380" i="3" a="1"/>
  <c r="AH1380" i="3" s="1"/>
  <c r="AG1407" i="3" a="1"/>
  <c r="AG1407" i="3" s="1"/>
  <c r="AI1407" i="3" a="1"/>
  <c r="AI1407" i="3" s="1"/>
  <c r="AH1407" i="3" a="1"/>
  <c r="AH1407" i="3" s="1"/>
  <c r="AH186" i="3" a="1"/>
  <c r="AH186" i="3" s="1"/>
  <c r="AI186" i="3" a="1"/>
  <c r="AI186" i="3" s="1"/>
  <c r="AG186" i="3" a="1"/>
  <c r="AG186" i="3" s="1"/>
  <c r="AI1101" i="3" a="1"/>
  <c r="AI1101" i="3" s="1"/>
  <c r="AG1101" i="3" a="1"/>
  <c r="AG1101" i="3" s="1"/>
  <c r="AH1101" i="3" a="1"/>
  <c r="AH1101" i="3" s="1"/>
  <c r="AH1137" i="3" a="1"/>
  <c r="AH1137" i="3" s="1"/>
  <c r="AI1137" i="3" a="1"/>
  <c r="AI1137" i="3" s="1"/>
  <c r="AG1137" i="3" a="1"/>
  <c r="AG1137" i="3" s="1"/>
  <c r="AH803" i="3" a="1"/>
  <c r="AH803" i="3" s="1"/>
  <c r="AG803" i="3" a="1"/>
  <c r="AG803" i="3" s="1"/>
  <c r="AI803" i="3" a="1"/>
  <c r="AI803" i="3" s="1"/>
  <c r="AH252" i="3" a="1"/>
  <c r="AH252" i="3" s="1"/>
  <c r="AG252" i="3" a="1"/>
  <c r="AG252" i="3" s="1"/>
  <c r="AI252" i="3" a="1"/>
  <c r="AI252" i="3" s="1"/>
  <c r="AG1040" i="3" a="1"/>
  <c r="AG1040" i="3" s="1"/>
  <c r="AI1040" i="3" a="1"/>
  <c r="AI1040" i="3" s="1"/>
  <c r="AH1040" i="3" a="1"/>
  <c r="AH1040" i="3" s="1"/>
  <c r="AH343" i="3" a="1"/>
  <c r="AH343" i="3" s="1"/>
  <c r="AG343" i="3" a="1"/>
  <c r="AG343" i="3" s="1"/>
  <c r="AI343" i="3" a="1"/>
  <c r="AI343" i="3" s="1"/>
  <c r="AH1251" i="3" a="1"/>
  <c r="AH1251" i="3" s="1"/>
  <c r="AG1251" i="3" a="1"/>
  <c r="AG1251" i="3" s="1"/>
  <c r="AI1251" i="3" a="1"/>
  <c r="AI1251" i="3" s="1"/>
  <c r="AI1208" i="3" a="1"/>
  <c r="AI1208" i="3" s="1"/>
  <c r="AG1208" i="3" a="1"/>
  <c r="AG1208" i="3" s="1"/>
  <c r="AH1208" i="3" a="1"/>
  <c r="AH1208" i="3" s="1"/>
  <c r="AG1309" i="3" a="1"/>
  <c r="AG1309" i="3" s="1"/>
  <c r="AI1309" i="3" a="1"/>
  <c r="AI1309" i="3" s="1"/>
  <c r="AH1309" i="3" a="1"/>
  <c r="AH1309" i="3" s="1"/>
  <c r="AH874" i="3" a="1"/>
  <c r="AH874" i="3" s="1"/>
  <c r="AG874" i="3" a="1"/>
  <c r="AG874" i="3" s="1"/>
  <c r="AI874" i="3" a="1"/>
  <c r="AI874" i="3" s="1"/>
  <c r="AH590" i="3" a="1"/>
  <c r="AH590" i="3" s="1"/>
  <c r="AI590" i="3" a="1"/>
  <c r="AI590" i="3" s="1"/>
  <c r="AG590" i="3" a="1"/>
  <c r="AG590" i="3" s="1"/>
  <c r="AH1392" i="3" a="1"/>
  <c r="AH1392" i="3" s="1"/>
  <c r="AI1392" i="3" a="1"/>
  <c r="AI1392" i="3" s="1"/>
  <c r="AG1392" i="3" a="1"/>
  <c r="AG1392" i="3" s="1"/>
  <c r="AG962" i="3" a="1"/>
  <c r="AG962" i="3" s="1"/>
  <c r="AI962" i="3" a="1"/>
  <c r="AI962" i="3" s="1"/>
  <c r="AH962" i="3" a="1"/>
  <c r="AH962" i="3" s="1"/>
  <c r="AH1152" i="3" a="1"/>
  <c r="AH1152" i="3" s="1"/>
  <c r="AI1152" i="3" a="1"/>
  <c r="AI1152" i="3" s="1"/>
  <c r="AG1152" i="3" a="1"/>
  <c r="AG1152" i="3" s="1"/>
  <c r="AH158" i="3" a="1"/>
  <c r="AH158" i="3" s="1"/>
  <c r="AG158" i="3" a="1"/>
  <c r="AG158" i="3" s="1"/>
  <c r="AI158" i="3" a="1"/>
  <c r="AI158" i="3" s="1"/>
  <c r="AI1051" i="3" a="1"/>
  <c r="AI1051" i="3" s="1"/>
  <c r="AG1051" i="3" a="1"/>
  <c r="AG1051" i="3" s="1"/>
  <c r="AH1051" i="3" a="1"/>
  <c r="AH1051" i="3" s="1"/>
  <c r="AI964" i="3" a="1"/>
  <c r="AI964" i="3" s="1"/>
  <c r="AG964" i="3" a="1"/>
  <c r="AG964" i="3" s="1"/>
  <c r="AH964" i="3" a="1"/>
  <c r="AH964" i="3" s="1"/>
  <c r="AH876" i="3" a="1"/>
  <c r="AH876" i="3" s="1"/>
  <c r="AG876" i="3" a="1"/>
  <c r="AG876" i="3" s="1"/>
  <c r="AI876" i="3" a="1"/>
  <c r="AI876" i="3" s="1"/>
  <c r="AG280" i="3" a="1"/>
  <c r="AG280" i="3" s="1"/>
  <c r="AI280" i="3" a="1"/>
  <c r="AI280" i="3" s="1"/>
  <c r="AH280" i="3" a="1"/>
  <c r="AH280" i="3" s="1"/>
  <c r="AH189" i="3" a="1"/>
  <c r="AH189" i="3" s="1"/>
  <c r="AI189" i="3" a="1"/>
  <c r="AI189" i="3" s="1"/>
  <c r="AG189" i="3" a="1"/>
  <c r="AG189" i="3" s="1"/>
  <c r="AH783" i="3" a="1"/>
  <c r="AH783" i="3" s="1"/>
  <c r="AG783" i="3" a="1"/>
  <c r="AG783" i="3" s="1"/>
  <c r="AI783" i="3" a="1"/>
  <c r="AI783" i="3" s="1"/>
  <c r="AG441" i="3" a="1"/>
  <c r="AG441" i="3" s="1"/>
  <c r="AI441" i="3" a="1"/>
  <c r="AI441" i="3" s="1"/>
  <c r="AH441" i="3" a="1"/>
  <c r="AH441" i="3" s="1"/>
  <c r="AH837" i="3" a="1"/>
  <c r="AH837" i="3" s="1"/>
  <c r="AI837" i="3" a="1"/>
  <c r="AI837" i="3" s="1"/>
  <c r="AG837" i="3" a="1"/>
  <c r="AG837" i="3" s="1"/>
  <c r="AH230" i="3" a="1"/>
  <c r="AH230" i="3" s="1"/>
  <c r="AG230" i="3" a="1"/>
  <c r="AG230" i="3" s="1"/>
  <c r="AI230" i="3" a="1"/>
  <c r="AI230" i="3" s="1"/>
  <c r="AG243" i="3" a="1"/>
  <c r="AG243" i="3" s="1"/>
  <c r="AI243" i="3" a="1"/>
  <c r="AI243" i="3" s="1"/>
  <c r="AH243" i="3" a="1"/>
  <c r="AH243" i="3" s="1"/>
  <c r="AG902" i="3" a="1"/>
  <c r="AG902" i="3" s="1"/>
  <c r="AH902" i="3" a="1"/>
  <c r="AH902" i="3" s="1"/>
  <c r="AI902" i="3" a="1"/>
  <c r="AI902" i="3" s="1"/>
  <c r="AG432" i="3" a="1"/>
  <c r="AG432" i="3" s="1"/>
  <c r="AH432" i="3" a="1"/>
  <c r="AH432" i="3" s="1"/>
  <c r="AI432" i="3" a="1"/>
  <c r="AI432" i="3" s="1"/>
  <c r="AI341" i="3" a="1"/>
  <c r="AI341" i="3" s="1"/>
  <c r="AH341" i="3" a="1"/>
  <c r="AH341" i="3" s="1"/>
  <c r="AG341" i="3" a="1"/>
  <c r="AG341" i="3" s="1"/>
  <c r="AG935" i="3" a="1"/>
  <c r="AG935" i="3" s="1"/>
  <c r="AH935" i="3" a="1"/>
  <c r="AH935" i="3" s="1"/>
  <c r="AI935" i="3" a="1"/>
  <c r="AI935" i="3" s="1"/>
  <c r="AI401" i="3" a="1"/>
  <c r="AI401" i="3" s="1"/>
  <c r="AH401" i="3" a="1"/>
  <c r="AH401" i="3" s="1"/>
  <c r="AG401" i="3" a="1"/>
  <c r="AG401" i="3" s="1"/>
  <c r="AG797" i="3" a="1"/>
  <c r="AG797" i="3" s="1"/>
  <c r="AI797" i="3" a="1"/>
  <c r="AI797" i="3" s="1"/>
  <c r="AH797" i="3" a="1"/>
  <c r="AH797" i="3" s="1"/>
  <c r="AG50" i="3" a="1"/>
  <c r="AG50" i="3" s="1"/>
  <c r="AH50" i="3" a="1"/>
  <c r="AH50" i="3" s="1"/>
  <c r="AI50" i="3" a="1"/>
  <c r="AI50" i="3" s="1"/>
  <c r="AG447" i="3" a="1"/>
  <c r="AG447" i="3" s="1"/>
  <c r="AH447" i="3" a="1"/>
  <c r="AH447" i="3" s="1"/>
  <c r="AI447" i="3" a="1"/>
  <c r="AI447" i="3" s="1"/>
  <c r="AI72" i="3" a="1"/>
  <c r="AI72" i="3" s="1"/>
  <c r="AG72" i="3" a="1"/>
  <c r="AG72" i="3" s="1"/>
  <c r="AH72" i="3" a="1"/>
  <c r="AH72" i="3" s="1"/>
  <c r="AH595" i="3" a="1"/>
  <c r="AH595" i="3" s="1"/>
  <c r="AG595" i="3" a="1"/>
  <c r="AG595" i="3" s="1"/>
  <c r="AI595" i="3" a="1"/>
  <c r="AI595" i="3" s="1"/>
  <c r="AH514" i="3" a="1"/>
  <c r="AH514" i="3" s="1"/>
  <c r="AI514" i="3" a="1"/>
  <c r="AI514" i="3" s="1"/>
  <c r="AG514" i="3" a="1"/>
  <c r="AG514" i="3" s="1"/>
  <c r="AG105" i="3" a="1"/>
  <c r="AG105" i="3" s="1"/>
  <c r="AI105" i="3" a="1"/>
  <c r="AI105" i="3" s="1"/>
  <c r="AH105" i="3" a="1"/>
  <c r="AH105" i="3" s="1"/>
  <c r="AH366" i="3" a="1"/>
  <c r="AH366" i="3" s="1"/>
  <c r="AG366" i="3" a="1"/>
  <c r="AG366" i="3" s="1"/>
  <c r="AI366" i="3" a="1"/>
  <c r="AI366" i="3" s="1"/>
  <c r="AH522" i="3" a="1"/>
  <c r="AH522" i="3" s="1"/>
  <c r="AG522" i="3" a="1"/>
  <c r="AG522" i="3" s="1"/>
  <c r="AI522" i="3" a="1"/>
  <c r="AI522" i="3" s="1"/>
  <c r="AH1269" i="3" a="1"/>
  <c r="AH1269" i="3" s="1"/>
  <c r="AI1269" i="3" a="1"/>
  <c r="AI1269" i="3" s="1"/>
  <c r="AG1269" i="3" a="1"/>
  <c r="AG1269" i="3" s="1"/>
  <c r="AG816" i="3" a="1"/>
  <c r="AG816" i="3" s="1"/>
  <c r="AI816" i="3" a="1"/>
  <c r="AI816" i="3" s="1"/>
  <c r="AH816" i="3" a="1"/>
  <c r="AH816" i="3" s="1"/>
  <c r="AG1180" i="3" a="1"/>
  <c r="AG1180" i="3" s="1"/>
  <c r="AH1180" i="3" a="1"/>
  <c r="AH1180" i="3" s="1"/>
  <c r="AI1180" i="3" a="1"/>
  <c r="AI1180" i="3" s="1"/>
  <c r="AH554" i="3" a="1"/>
  <c r="AH554" i="3" s="1"/>
  <c r="AI554" i="3" a="1"/>
  <c r="AI554" i="3" s="1"/>
  <c r="AG554" i="3" a="1"/>
  <c r="AG554" i="3" s="1"/>
  <c r="AH1285" i="3" a="1"/>
  <c r="AH1285" i="3" s="1"/>
  <c r="AG1285" i="3" a="1"/>
  <c r="AG1285" i="3" s="1"/>
  <c r="AI1285" i="3" a="1"/>
  <c r="AI1285" i="3" s="1"/>
  <c r="AH1321" i="3" a="1"/>
  <c r="AH1321" i="3" s="1"/>
  <c r="AI1321" i="3" a="1"/>
  <c r="AI1321" i="3" s="1"/>
  <c r="AG1321" i="3" a="1"/>
  <c r="AG1321" i="3" s="1"/>
  <c r="AG960" i="3" a="1"/>
  <c r="AG960" i="3" s="1"/>
  <c r="AI960" i="3" a="1"/>
  <c r="AI960" i="3" s="1"/>
  <c r="AH960" i="3" a="1"/>
  <c r="AH960" i="3" s="1"/>
  <c r="AH1001" i="3" a="1"/>
  <c r="AH1001" i="3" s="1"/>
  <c r="AG1001" i="3" a="1"/>
  <c r="AG1001" i="3" s="1"/>
  <c r="AI1001" i="3" a="1"/>
  <c r="AI1001" i="3" s="1"/>
  <c r="AI1106" i="3" a="1"/>
  <c r="AI1106" i="3" s="1"/>
  <c r="AH1106" i="3" a="1"/>
  <c r="AH1106" i="3" s="1"/>
  <c r="AG1106" i="3" a="1"/>
  <c r="AG1106" i="3" s="1"/>
  <c r="AG1363" i="3" a="1"/>
  <c r="AG1363" i="3" s="1"/>
  <c r="AH1363" i="3" a="1"/>
  <c r="AH1363" i="3" s="1"/>
  <c r="AI1363" i="3" a="1"/>
  <c r="AI1363" i="3" s="1"/>
  <c r="AG1398" i="3" a="1"/>
  <c r="AG1398" i="3" s="1"/>
  <c r="AH1398" i="3" a="1"/>
  <c r="AH1398" i="3" s="1"/>
  <c r="AI1398" i="3" a="1"/>
  <c r="AI1398" i="3" s="1"/>
  <c r="AG747" i="3" a="1"/>
  <c r="AG747" i="3" s="1"/>
  <c r="AH747" i="3" a="1"/>
  <c r="AH747" i="3" s="1"/>
  <c r="AI747" i="3" a="1"/>
  <c r="AI747" i="3" s="1"/>
  <c r="AI1202" i="3" a="1"/>
  <c r="AI1202" i="3" s="1"/>
  <c r="AH1202" i="3" a="1"/>
  <c r="AH1202" i="3" s="1"/>
  <c r="AG1202" i="3" a="1"/>
  <c r="AG1202" i="3" s="1"/>
  <c r="AI1445" i="3" a="1"/>
  <c r="AI1445" i="3" s="1"/>
  <c r="AH1445" i="3" a="1"/>
  <c r="AH1445" i="3" s="1"/>
  <c r="AG1445" i="3" a="1"/>
  <c r="AG1445" i="3" s="1"/>
  <c r="AH1160" i="3" a="1"/>
  <c r="AH1160" i="3" s="1"/>
  <c r="AG1160" i="3" a="1"/>
  <c r="AG1160" i="3" s="1"/>
  <c r="AI1160" i="3" a="1"/>
  <c r="AI1160" i="3" s="1"/>
  <c r="AG1127" i="3" a="1"/>
  <c r="AG1127" i="3" s="1"/>
  <c r="AH1127" i="3" a="1"/>
  <c r="AH1127" i="3" s="1"/>
  <c r="AI1127" i="3" a="1"/>
  <c r="AI1127" i="3" s="1"/>
  <c r="AH811" i="3" a="1"/>
  <c r="AH811" i="3" s="1"/>
  <c r="AG811" i="3" a="1"/>
  <c r="AG811" i="3" s="1"/>
  <c r="AI811" i="3" a="1"/>
  <c r="AI811" i="3" s="1"/>
  <c r="AI1298" i="3" a="1"/>
  <c r="AI1298" i="3" s="1"/>
  <c r="AH1298" i="3" a="1"/>
  <c r="AH1298" i="3" s="1"/>
  <c r="AG1298" i="3" a="1"/>
  <c r="AG1298" i="3" s="1"/>
  <c r="AG1374" i="3" a="1"/>
  <c r="AG1374" i="3" s="1"/>
  <c r="AH1374" i="3" a="1"/>
  <c r="AH1374" i="3" s="1"/>
  <c r="AI1374" i="3" a="1"/>
  <c r="AI1374" i="3" s="1"/>
  <c r="AI1086" i="3" a="1"/>
  <c r="AI1086" i="3" s="1"/>
  <c r="AG1086" i="3" a="1"/>
  <c r="AG1086" i="3" s="1"/>
  <c r="AH1086" i="3" a="1"/>
  <c r="AH1086" i="3" s="1"/>
  <c r="AH1336" i="3" a="1"/>
  <c r="AH1336" i="3" s="1"/>
  <c r="AG1336" i="3" a="1"/>
  <c r="AG1336" i="3" s="1"/>
  <c r="AI1336" i="3" a="1"/>
  <c r="AI1336" i="3" s="1"/>
  <c r="AH1000" i="3" a="1"/>
  <c r="AH1000" i="3" s="1"/>
  <c r="AG1000" i="3" a="1"/>
  <c r="AG1000" i="3" s="1"/>
  <c r="AI1000" i="3" a="1"/>
  <c r="AI1000" i="3" s="1"/>
  <c r="AH1352" i="3" a="1"/>
  <c r="AH1352" i="3" s="1"/>
  <c r="AI1352" i="3" a="1"/>
  <c r="AI1352" i="3" s="1"/>
  <c r="AG1352" i="3" a="1"/>
  <c r="AG1352" i="3" s="1"/>
  <c r="AI1447" i="3" a="1"/>
  <c r="AI1447" i="3" s="1"/>
  <c r="AH1447" i="3" a="1"/>
  <c r="AH1447" i="3" s="1"/>
  <c r="AG1447" i="3" a="1"/>
  <c r="AG1447" i="3" s="1"/>
  <c r="AH699" i="3" a="1"/>
  <c r="AH699" i="3" s="1"/>
  <c r="AI699" i="3" a="1"/>
  <c r="AI699" i="3" s="1"/>
  <c r="AG699" i="3" a="1"/>
  <c r="AG699" i="3" s="1"/>
  <c r="AH177" i="3" a="1"/>
  <c r="AH177" i="3" s="1"/>
  <c r="AI177" i="3" a="1"/>
  <c r="AI177" i="3" s="1"/>
  <c r="AG177" i="3" a="1"/>
  <c r="AG177" i="3" s="1"/>
  <c r="AH510" i="3" a="1"/>
  <c r="AH510" i="3" s="1"/>
  <c r="AI510" i="3" a="1"/>
  <c r="AI510" i="3" s="1"/>
  <c r="AG510" i="3" a="1"/>
  <c r="AG510" i="3" s="1"/>
  <c r="AG760" i="3" a="1"/>
  <c r="AG760" i="3" s="1"/>
  <c r="AH760" i="3" a="1"/>
  <c r="AH760" i="3" s="1"/>
  <c r="AI760" i="3" a="1"/>
  <c r="AI760" i="3" s="1"/>
  <c r="AH171" i="3" a="1"/>
  <c r="AH171" i="3" s="1"/>
  <c r="AI171" i="3" a="1"/>
  <c r="AI171" i="3" s="1"/>
  <c r="AG171" i="3" a="1"/>
  <c r="AG171" i="3" s="1"/>
  <c r="AH830" i="3" a="1"/>
  <c r="AH830" i="3" s="1"/>
  <c r="AG830" i="3" a="1"/>
  <c r="AG830" i="3" s="1"/>
  <c r="AI830" i="3" a="1"/>
  <c r="AI830" i="3" s="1"/>
  <c r="AI296" i="3" a="1"/>
  <c r="AI296" i="3" s="1"/>
  <c r="AH296" i="3" a="1"/>
  <c r="AH296" i="3" s="1"/>
  <c r="AG296" i="3" a="1"/>
  <c r="AG296" i="3" s="1"/>
  <c r="AH205" i="3" a="1"/>
  <c r="AH205" i="3" s="1"/>
  <c r="AI205" i="3" a="1"/>
  <c r="AI205" i="3" s="1"/>
  <c r="AG205" i="3" a="1"/>
  <c r="AG205" i="3" s="1"/>
  <c r="AH799" i="3" a="1"/>
  <c r="AH799" i="3" s="1"/>
  <c r="AI799" i="3" a="1"/>
  <c r="AI799" i="3" s="1"/>
  <c r="AG799" i="3" a="1"/>
  <c r="AG799" i="3" s="1"/>
  <c r="AI329" i="3" a="1"/>
  <c r="AI329" i="3" s="1"/>
  <c r="AH329" i="3" a="1"/>
  <c r="AH329" i="3" s="1"/>
  <c r="AG329" i="3" a="1"/>
  <c r="AG329" i="3" s="1"/>
  <c r="AH725" i="3" a="1"/>
  <c r="AH725" i="3" s="1"/>
  <c r="AI725" i="3" a="1"/>
  <c r="AI725" i="3" s="1"/>
  <c r="AG725" i="3" a="1"/>
  <c r="AG725" i="3" s="1"/>
  <c r="AG912" i="3" a="1"/>
  <c r="AG912" i="3" s="1"/>
  <c r="AH912" i="3" a="1"/>
  <c r="AH912" i="3" s="1"/>
  <c r="AI912" i="3" a="1"/>
  <c r="AI912" i="3" s="1"/>
  <c r="AG131" i="3" a="1"/>
  <c r="AG131" i="3" s="1"/>
  <c r="AI131" i="3" a="1"/>
  <c r="AI131" i="3" s="1"/>
  <c r="AH131" i="3" a="1"/>
  <c r="AH131" i="3" s="1"/>
  <c r="AI111" i="3" a="1"/>
  <c r="AI111" i="3" s="1"/>
  <c r="AH111" i="3" a="1"/>
  <c r="AH111" i="3" s="1"/>
  <c r="AG111" i="3" a="1"/>
  <c r="AG111" i="3" s="1"/>
  <c r="AI459" i="3" a="1"/>
  <c r="AI459" i="3" s="1"/>
  <c r="AH459" i="3" a="1"/>
  <c r="AH459" i="3" s="1"/>
  <c r="AG459" i="3" a="1"/>
  <c r="AG459" i="3" s="1"/>
  <c r="AG242" i="3" a="1"/>
  <c r="AG242" i="3" s="1"/>
  <c r="AH242" i="3" a="1"/>
  <c r="AH242" i="3" s="1"/>
  <c r="AI242" i="3" a="1"/>
  <c r="AI242" i="3" s="1"/>
  <c r="AG648" i="3" a="1"/>
  <c r="AG648" i="3" s="1"/>
  <c r="AI648" i="3" a="1"/>
  <c r="AI648" i="3" s="1"/>
  <c r="AH648" i="3" a="1"/>
  <c r="AH648" i="3" s="1"/>
  <c r="AH12" i="3" a="1"/>
  <c r="AH12" i="3" s="1"/>
  <c r="AI12" i="3" a="1"/>
  <c r="AI12" i="3" s="1"/>
  <c r="AG12" i="3" a="1"/>
  <c r="AG12" i="3" s="1"/>
  <c r="AI468" i="3" a="1"/>
  <c r="AI468" i="3" s="1"/>
  <c r="AH468" i="3" a="1"/>
  <c r="AH468" i="3" s="1"/>
  <c r="AG468" i="3" a="1"/>
  <c r="AG468" i="3" s="1"/>
  <c r="AG681" i="3" a="1"/>
  <c r="AG681" i="3" s="1"/>
  <c r="AH681" i="3" a="1"/>
  <c r="AH681" i="3" s="1"/>
  <c r="AI681" i="3" a="1"/>
  <c r="AI681" i="3" s="1"/>
  <c r="AI351" i="3" a="1"/>
  <c r="AI351" i="3" s="1"/>
  <c r="AH351" i="3" a="1"/>
  <c r="AH351" i="3" s="1"/>
  <c r="AG351" i="3" a="1"/>
  <c r="AG351" i="3" s="1"/>
  <c r="AG1139" i="3" a="1"/>
  <c r="AG1139" i="3" s="1"/>
  <c r="AH1139" i="3" a="1"/>
  <c r="AH1139" i="3" s="1"/>
  <c r="AI1139" i="3" a="1"/>
  <c r="AI1139" i="3" s="1"/>
  <c r="AI1174" i="3" a="1"/>
  <c r="AI1174" i="3" s="1"/>
  <c r="AG1174" i="3" a="1"/>
  <c r="AG1174" i="3" s="1"/>
  <c r="AH1174" i="3" a="1"/>
  <c r="AH1174" i="3" s="1"/>
  <c r="AG132" i="3" a="1"/>
  <c r="AG132" i="3" s="1"/>
  <c r="AI132" i="3" a="1"/>
  <c r="AI132" i="3" s="1"/>
  <c r="AH132" i="3" a="1"/>
  <c r="AH132" i="3" s="1"/>
  <c r="AG1085" i="3" a="1"/>
  <c r="AG1085" i="3" s="1"/>
  <c r="AI1085" i="3" a="1"/>
  <c r="AI1085" i="3" s="1"/>
  <c r="AH1085" i="3" a="1"/>
  <c r="AH1085" i="3" s="1"/>
  <c r="AI1155" i="3" a="1"/>
  <c r="AI1155" i="3" s="1"/>
  <c r="AH1155" i="3" a="1"/>
  <c r="AH1155" i="3" s="1"/>
  <c r="AG1155" i="3" a="1"/>
  <c r="AG1155" i="3" s="1"/>
  <c r="AG1190" i="3" a="1"/>
  <c r="AG1190" i="3" s="1"/>
  <c r="AH1190" i="3" a="1"/>
  <c r="AH1190" i="3" s="1"/>
  <c r="AI1190" i="3" a="1"/>
  <c r="AI1190" i="3" s="1"/>
  <c r="AH878" i="3" a="1"/>
  <c r="AH878" i="3" s="1"/>
  <c r="AG878" i="3" a="1"/>
  <c r="AG878" i="3" s="1"/>
  <c r="AI878" i="3" a="1"/>
  <c r="AI878" i="3" s="1"/>
  <c r="AG652" i="3" a="1"/>
  <c r="AG652" i="3" s="1"/>
  <c r="AH652" i="3" a="1"/>
  <c r="AH652" i="3" s="1"/>
  <c r="AI652" i="3" a="1"/>
  <c r="AI652" i="3" s="1"/>
  <c r="AG770" i="3" a="1"/>
  <c r="AG770" i="3" s="1"/>
  <c r="AH770" i="3" a="1"/>
  <c r="AH770" i="3" s="1"/>
  <c r="AI770" i="3" a="1"/>
  <c r="AI770" i="3" s="1"/>
  <c r="AI342" i="3" a="1"/>
  <c r="AI342" i="3" s="1"/>
  <c r="AH342" i="3" a="1"/>
  <c r="AH342" i="3" s="1"/>
  <c r="AG342" i="3" a="1"/>
  <c r="AG342" i="3" s="1"/>
  <c r="AH1268" i="3" a="1"/>
  <c r="AH1268" i="3" s="1"/>
  <c r="AG1268" i="3" a="1"/>
  <c r="AG1268" i="3" s="1"/>
  <c r="AI1268" i="3" a="1"/>
  <c r="AI1268" i="3" s="1"/>
  <c r="AI1295" i="3" a="1"/>
  <c r="AI1295" i="3" s="1"/>
  <c r="AH1295" i="3" a="1"/>
  <c r="AH1295" i="3" s="1"/>
  <c r="AG1295" i="3" a="1"/>
  <c r="AG1295" i="3" s="1"/>
  <c r="AH843" i="3" a="1"/>
  <c r="AH843" i="3" s="1"/>
  <c r="AG843" i="3" a="1"/>
  <c r="AG843" i="3" s="1"/>
  <c r="AI843" i="3" a="1"/>
  <c r="AI843" i="3" s="1"/>
  <c r="AI938" i="3" a="1"/>
  <c r="AI938" i="3" s="1"/>
  <c r="AG938" i="3" a="1"/>
  <c r="AG938" i="3" s="1"/>
  <c r="AH938" i="3" a="1"/>
  <c r="AH938" i="3" s="1"/>
  <c r="AI1247" i="3" a="1"/>
  <c r="AI1247" i="3" s="1"/>
  <c r="AG1247" i="3" a="1"/>
  <c r="AG1247" i="3" s="1"/>
  <c r="AH1247" i="3" a="1"/>
  <c r="AH1247" i="3" s="1"/>
  <c r="AG849" i="3" a="1"/>
  <c r="AG849" i="3" s="1"/>
  <c r="AH849" i="3" a="1"/>
  <c r="AH849" i="3" s="1"/>
  <c r="AI849" i="3" a="1"/>
  <c r="AI849" i="3" s="1"/>
  <c r="AI674" i="3" a="1"/>
  <c r="AI674" i="3" s="1"/>
  <c r="AH674" i="3" a="1"/>
  <c r="AH674" i="3" s="1"/>
  <c r="AG674" i="3" a="1"/>
  <c r="AG674" i="3" s="1"/>
  <c r="AH981" i="3" a="1"/>
  <c r="AH981" i="3" s="1"/>
  <c r="AG981" i="3" a="1"/>
  <c r="AG981" i="3" s="1"/>
  <c r="AI981" i="3" a="1"/>
  <c r="AI981" i="3" s="1"/>
  <c r="AG1120" i="3" a="1"/>
  <c r="AG1120" i="3" s="1"/>
  <c r="AH1120" i="3" a="1"/>
  <c r="AH1120" i="3" s="1"/>
  <c r="AI1120" i="3" a="1"/>
  <c r="AI1120" i="3" s="1"/>
  <c r="AI1384" i="3" a="1"/>
  <c r="AI1384" i="3" s="1"/>
  <c r="AG1384" i="3" a="1"/>
  <c r="AG1384" i="3" s="1"/>
  <c r="AH1384" i="3" a="1"/>
  <c r="AH1384" i="3" s="1"/>
  <c r="AH746" i="3" a="1"/>
  <c r="AH746" i="3" s="1"/>
  <c r="AI746" i="3" a="1"/>
  <c r="AI746" i="3" s="1"/>
  <c r="AG746" i="3" a="1"/>
  <c r="AG746" i="3" s="1"/>
  <c r="AI1463" i="3" a="1"/>
  <c r="AI1463" i="3" s="1"/>
  <c r="AG1463" i="3" a="1"/>
  <c r="AG1463" i="3" s="1"/>
  <c r="AH1463" i="3" a="1"/>
  <c r="AH1463" i="3" s="1"/>
  <c r="AI850" i="3" a="1"/>
  <c r="AI850" i="3" s="1"/>
  <c r="AH850" i="3" a="1"/>
  <c r="AH850" i="3" s="1"/>
  <c r="AG850" i="3" a="1"/>
  <c r="AG850" i="3" s="1"/>
  <c r="AH691" i="3" a="1"/>
  <c r="AH691" i="3" s="1"/>
  <c r="AG691" i="3" a="1"/>
  <c r="AG691" i="3" s="1"/>
  <c r="AI691" i="3" a="1"/>
  <c r="AI691" i="3" s="1"/>
  <c r="AH1138" i="3" a="1"/>
  <c r="AH1138" i="3" s="1"/>
  <c r="AG1138" i="3" a="1"/>
  <c r="AG1138" i="3" s="1"/>
  <c r="AI1138" i="3" a="1"/>
  <c r="AI1138" i="3" s="1"/>
  <c r="AG1041" i="3" a="1"/>
  <c r="AG1041" i="3" s="1"/>
  <c r="AI1041" i="3" a="1"/>
  <c r="AI1041" i="3" s="1"/>
  <c r="AH1041" i="3" a="1"/>
  <c r="AH1041" i="3" s="1"/>
  <c r="AG74" i="3" a="1"/>
  <c r="AG74" i="3" s="1"/>
  <c r="AH74" i="3" a="1"/>
  <c r="AH74" i="3" s="1"/>
  <c r="AI74" i="3" a="1"/>
  <c r="AI74" i="3" s="1"/>
  <c r="AG495" i="3" a="1"/>
  <c r="AG495" i="3" s="1"/>
  <c r="AH495" i="3" a="1"/>
  <c r="AH495" i="3" s="1"/>
  <c r="AI495" i="3" a="1"/>
  <c r="AI495" i="3" s="1"/>
  <c r="AH224" i="3" a="1"/>
  <c r="AH224" i="3" s="1"/>
  <c r="AG224" i="3" a="1"/>
  <c r="AG224" i="3" s="1"/>
  <c r="AI224" i="3" a="1"/>
  <c r="AI224" i="3" s="1"/>
  <c r="AI133" i="3" a="1"/>
  <c r="AI133" i="3" s="1"/>
  <c r="AH133" i="3" a="1"/>
  <c r="AH133" i="3" s="1"/>
  <c r="AG133" i="3" a="1"/>
  <c r="AG133" i="3" s="1"/>
  <c r="AI727" i="3" a="1"/>
  <c r="AI727" i="3" s="1"/>
  <c r="AH727" i="3" a="1"/>
  <c r="AH727" i="3" s="1"/>
  <c r="AG727" i="3" a="1"/>
  <c r="AG727" i="3" s="1"/>
  <c r="AH193" i="3" a="1"/>
  <c r="AH193" i="3" s="1"/>
  <c r="AI193" i="3" a="1"/>
  <c r="AI193" i="3" s="1"/>
  <c r="AG193" i="3" a="1"/>
  <c r="AG193" i="3" s="1"/>
  <c r="AG542" i="3" a="1"/>
  <c r="AG542" i="3" s="1"/>
  <c r="AH542" i="3" a="1"/>
  <c r="AH542" i="3" s="1"/>
  <c r="AI542" i="3" a="1"/>
  <c r="AI542" i="3" s="1"/>
  <c r="AI776" i="3" a="1"/>
  <c r="AI776" i="3" s="1"/>
  <c r="AH776" i="3" a="1"/>
  <c r="AH776" i="3" s="1"/>
  <c r="AG776" i="3" a="1"/>
  <c r="AG776" i="3" s="1"/>
  <c r="AI59" i="3" a="1"/>
  <c r="AI59" i="3" s="1"/>
  <c r="AG59" i="3" a="1"/>
  <c r="AG59" i="3" s="1"/>
  <c r="AH59" i="3" a="1"/>
  <c r="AH59" i="3" s="1"/>
  <c r="AI718" i="3" a="1"/>
  <c r="AI718" i="3" s="1"/>
  <c r="AH718" i="3" a="1"/>
  <c r="AH718" i="3" s="1"/>
  <c r="AG718" i="3" a="1"/>
  <c r="AG718" i="3" s="1"/>
  <c r="AH184" i="3" a="1"/>
  <c r="AH184" i="3" s="1"/>
  <c r="AI184" i="3" a="1"/>
  <c r="AI184" i="3" s="1"/>
  <c r="AG184" i="3" a="1"/>
  <c r="AG184" i="3" s="1"/>
  <c r="AG93" i="3" a="1"/>
  <c r="AG93" i="3" s="1"/>
  <c r="AH93" i="3" a="1"/>
  <c r="AH93" i="3" s="1"/>
  <c r="AI93" i="3" a="1"/>
  <c r="AI93" i="3" s="1"/>
  <c r="AH512" i="3" a="1"/>
  <c r="AH512" i="3" s="1"/>
  <c r="AG512" i="3" a="1"/>
  <c r="AG512" i="3" s="1"/>
  <c r="AI512" i="3" a="1"/>
  <c r="AI512" i="3" s="1"/>
  <c r="AH421" i="3" a="1"/>
  <c r="AH421" i="3" s="1"/>
  <c r="AG421" i="3" a="1"/>
  <c r="AG421" i="3" s="1"/>
  <c r="AI421" i="3" a="1"/>
  <c r="AI421" i="3" s="1"/>
  <c r="AG196" i="3" a="1"/>
  <c r="AG196" i="3" s="1"/>
  <c r="AH196" i="3" a="1"/>
  <c r="AH196" i="3" s="1"/>
  <c r="AI196" i="3" a="1"/>
  <c r="AI196" i="3" s="1"/>
  <c r="AI545" i="3" a="1"/>
  <c r="AI545" i="3" s="1"/>
  <c r="AG545" i="3" a="1"/>
  <c r="AG545" i="3" s="1"/>
  <c r="AH545" i="3" a="1"/>
  <c r="AH545" i="3" s="1"/>
  <c r="AG941" i="3" a="1"/>
  <c r="AG941" i="3" s="1"/>
  <c r="AH941" i="3" a="1"/>
  <c r="AH941" i="3" s="1"/>
  <c r="AI941" i="3" a="1"/>
  <c r="AI941" i="3" s="1"/>
  <c r="AI63" i="3" a="1"/>
  <c r="AI63" i="3" s="1"/>
  <c r="AG63" i="3" a="1"/>
  <c r="AG63" i="3" s="1"/>
  <c r="AH63" i="3" a="1"/>
  <c r="AH63" i="3" s="1"/>
  <c r="AH411" i="3" a="1"/>
  <c r="AH411" i="3" s="1"/>
  <c r="AG411" i="3" a="1"/>
  <c r="AG411" i="3" s="1"/>
  <c r="AI411" i="3" a="1"/>
  <c r="AI411" i="3" s="1"/>
  <c r="AI879" i="3" a="1"/>
  <c r="AI879" i="3" s="1"/>
  <c r="AG879" i="3" a="1"/>
  <c r="AG879" i="3" s="1"/>
  <c r="AH879" i="3" a="1"/>
  <c r="AH879" i="3" s="1"/>
  <c r="AH1044" i="3" a="1"/>
  <c r="AH1044" i="3" s="1"/>
  <c r="AI1044" i="3" a="1"/>
  <c r="AI1044" i="3" s="1"/>
  <c r="AG1044" i="3" a="1"/>
  <c r="AG1044" i="3" s="1"/>
  <c r="AH1071" i="3" a="1"/>
  <c r="AH1071" i="3" s="1"/>
  <c r="AG1071" i="3" a="1"/>
  <c r="AG1071" i="3" s="1"/>
  <c r="AI1071" i="3" a="1"/>
  <c r="AI1071" i="3" s="1"/>
  <c r="AG923" i="3" a="1"/>
  <c r="AG923" i="3" s="1"/>
  <c r="AH923" i="3" a="1"/>
  <c r="AH923" i="3" s="1"/>
  <c r="AI923" i="3" a="1"/>
  <c r="AI923" i="3" s="1"/>
  <c r="AG943" i="3" a="1"/>
  <c r="AG943" i="3" s="1"/>
  <c r="AI943" i="3" a="1"/>
  <c r="AI943" i="3" s="1"/>
  <c r="AH943" i="3" a="1"/>
  <c r="AH943" i="3" s="1"/>
  <c r="AH1060" i="3" a="1"/>
  <c r="AH1060" i="3" s="1"/>
  <c r="AG1060" i="3" a="1"/>
  <c r="AG1060" i="3" s="1"/>
  <c r="AI1060" i="3" a="1"/>
  <c r="AI1060" i="3" s="1"/>
  <c r="AI1087" i="3" a="1"/>
  <c r="AI1087" i="3" s="1"/>
  <c r="AG1087" i="3" a="1"/>
  <c r="AG1087" i="3" s="1"/>
  <c r="AH1087" i="3" a="1"/>
  <c r="AH1087" i="3" s="1"/>
  <c r="AH689" i="3" a="1"/>
  <c r="AH689" i="3" s="1"/>
  <c r="AG689" i="3" a="1"/>
  <c r="AG689" i="3" s="1"/>
  <c r="AI689" i="3" a="1"/>
  <c r="AI689" i="3" s="1"/>
  <c r="AI1452" i="3" a="1"/>
  <c r="AI1452" i="3" s="1"/>
  <c r="AH1452" i="3" a="1"/>
  <c r="AH1452" i="3" s="1"/>
  <c r="AG1452" i="3" a="1"/>
  <c r="AG1452" i="3" s="1"/>
  <c r="AH215" i="3" a="1"/>
  <c r="AH215" i="3" s="1"/>
  <c r="AI215" i="3" a="1"/>
  <c r="AI215" i="3" s="1"/>
  <c r="AG215" i="3" a="1"/>
  <c r="AG215" i="3" s="1"/>
  <c r="AI330" i="3" a="1"/>
  <c r="AI330" i="3" s="1"/>
  <c r="AH330" i="3" a="1"/>
  <c r="AH330" i="3" s="1"/>
  <c r="AG330" i="3" a="1"/>
  <c r="AG330" i="3" s="1"/>
  <c r="AG1173" i="3" a="1"/>
  <c r="AG1173" i="3" s="1"/>
  <c r="AH1173" i="3" a="1"/>
  <c r="AH1173" i="3" s="1"/>
  <c r="AI1173" i="3" a="1"/>
  <c r="AI1173" i="3" s="1"/>
  <c r="AH1209" i="3" a="1"/>
  <c r="AH1209" i="3" s="1"/>
  <c r="AG1209" i="3" a="1"/>
  <c r="AG1209" i="3" s="1"/>
  <c r="AI1209" i="3" a="1"/>
  <c r="AI1209" i="3" s="1"/>
  <c r="AH519" i="3" a="1"/>
  <c r="AH519" i="3" s="1"/>
  <c r="AG519" i="3" a="1"/>
  <c r="AG519" i="3" s="1"/>
  <c r="AI519" i="3" a="1"/>
  <c r="AI519" i="3" s="1"/>
  <c r="AH218" i="3" a="1"/>
  <c r="AH218" i="3" s="1"/>
  <c r="AI218" i="3" a="1"/>
  <c r="AI218" i="3" s="1"/>
  <c r="AG218" i="3" a="1"/>
  <c r="AG218" i="3" s="1"/>
  <c r="AG1200" i="3" a="1"/>
  <c r="AG1200" i="3" s="1"/>
  <c r="AH1200" i="3" a="1"/>
  <c r="AH1200" i="3" s="1"/>
  <c r="AI1200" i="3" a="1"/>
  <c r="AI1200" i="3" s="1"/>
  <c r="AG1100" i="3" a="1"/>
  <c r="AG1100" i="3" s="1"/>
  <c r="AH1100" i="3" a="1"/>
  <c r="AH1100" i="3" s="1"/>
  <c r="AI1100" i="3" a="1"/>
  <c r="AI1100" i="3" s="1"/>
  <c r="AI1024" i="3" a="1"/>
  <c r="AI1024" i="3" s="1"/>
  <c r="AH1024" i="3" a="1"/>
  <c r="AH1024" i="3" s="1"/>
  <c r="AG1024" i="3" a="1"/>
  <c r="AG1024" i="3" s="1"/>
  <c r="AH706" i="3" a="1"/>
  <c r="AH706" i="3" s="1"/>
  <c r="AG706" i="3" a="1"/>
  <c r="AG706" i="3" s="1"/>
  <c r="AI706" i="3" a="1"/>
  <c r="AI706" i="3" s="1"/>
  <c r="AI994" i="3" a="1"/>
  <c r="AI994" i="3" s="1"/>
  <c r="AH994" i="3" a="1"/>
  <c r="AH994" i="3" s="1"/>
  <c r="AG994" i="3" a="1"/>
  <c r="AG994" i="3" s="1"/>
  <c r="AH30" i="3" a="1"/>
  <c r="AH30" i="3" s="1"/>
  <c r="AI30" i="3" a="1"/>
  <c r="AI30" i="3" s="1"/>
  <c r="AG30" i="3" a="1"/>
  <c r="AG30" i="3" s="1"/>
  <c r="AI1394" i="3" a="1"/>
  <c r="AI1394" i="3" s="1"/>
  <c r="AH1394" i="3" a="1"/>
  <c r="AH1394" i="3" s="1"/>
  <c r="AG1394" i="3" a="1"/>
  <c r="AG1394" i="3" s="1"/>
  <c r="AI534" i="3" a="1"/>
  <c r="AI534" i="3" s="1"/>
  <c r="AH534" i="3" a="1"/>
  <c r="AH534" i="3" s="1"/>
  <c r="AG534" i="3" a="1"/>
  <c r="AG534" i="3" s="1"/>
  <c r="AG1080" i="3" a="1"/>
  <c r="AG1080" i="3" s="1"/>
  <c r="AH1080" i="3" a="1"/>
  <c r="AH1080" i="3" s="1"/>
  <c r="AI1080" i="3" a="1"/>
  <c r="AI1080" i="3" s="1"/>
  <c r="AG615" i="3" a="1"/>
  <c r="AG615" i="3" s="1"/>
  <c r="AH615" i="3" a="1"/>
  <c r="AH615" i="3" s="1"/>
  <c r="AI615" i="3" a="1"/>
  <c r="AI615" i="3" s="1"/>
  <c r="AG1434" i="3" a="1"/>
  <c r="AG1434" i="3" s="1"/>
  <c r="AH1434" i="3" a="1"/>
  <c r="AH1434" i="3" s="1"/>
  <c r="AI1434" i="3" a="1"/>
  <c r="AI1434" i="3" s="1"/>
  <c r="AH135" i="3" a="1"/>
  <c r="AH135" i="3" s="1"/>
  <c r="AG135" i="3" a="1"/>
  <c r="AG135" i="3" s="1"/>
  <c r="AI135" i="3" a="1"/>
  <c r="AI135" i="3" s="1"/>
  <c r="AH483" i="3" a="1"/>
  <c r="AH483" i="3" s="1"/>
  <c r="AI483" i="3" a="1"/>
  <c r="AI483" i="3" s="1"/>
  <c r="AG483" i="3" a="1"/>
  <c r="AG483" i="3" s="1"/>
  <c r="AH290" i="3" a="1"/>
  <c r="AH290" i="3" s="1"/>
  <c r="AG290" i="3" a="1"/>
  <c r="AG290" i="3" s="1"/>
  <c r="AI290" i="3" a="1"/>
  <c r="AI290" i="3" s="1"/>
  <c r="AG121" i="3" a="1"/>
  <c r="AG121" i="3" s="1"/>
  <c r="AI121" i="3" a="1"/>
  <c r="AI121" i="3" s="1"/>
  <c r="AH121" i="3" a="1"/>
  <c r="AH121" i="3" s="1"/>
  <c r="AH398" i="3" a="1"/>
  <c r="AH398" i="3" s="1"/>
  <c r="AI398" i="3" a="1"/>
  <c r="AI398" i="3" s="1"/>
  <c r="AG398" i="3" a="1"/>
  <c r="AG398" i="3" s="1"/>
  <c r="AI704" i="3" a="1"/>
  <c r="AI704" i="3" s="1"/>
  <c r="AH704" i="3" a="1"/>
  <c r="AH704" i="3" s="1"/>
  <c r="AG704" i="3" a="1"/>
  <c r="AG704" i="3" s="1"/>
  <c r="AH90" i="3" a="1"/>
  <c r="AH90" i="3" s="1"/>
  <c r="AI90" i="3" a="1"/>
  <c r="AI90" i="3" s="1"/>
  <c r="AG90" i="3" a="1"/>
  <c r="AG90" i="3" s="1"/>
  <c r="AG527" i="3" a="1"/>
  <c r="AG527" i="3" s="1"/>
  <c r="AH527" i="3" a="1"/>
  <c r="AH527" i="3" s="1"/>
  <c r="AI527" i="3" a="1"/>
  <c r="AI527" i="3" s="1"/>
  <c r="AI112" i="3" a="1"/>
  <c r="AI112" i="3" s="1"/>
  <c r="AH112" i="3" a="1"/>
  <c r="AH112" i="3" s="1"/>
  <c r="AG112" i="3" a="1"/>
  <c r="AG112" i="3" s="1"/>
  <c r="AH21" i="3" a="1"/>
  <c r="AH21" i="3" s="1"/>
  <c r="AI21" i="3" a="1"/>
  <c r="AI21" i="3" s="1"/>
  <c r="AG21" i="3" a="1"/>
  <c r="AG21" i="3" s="1"/>
  <c r="AH586" i="3" a="1"/>
  <c r="AH586" i="3" s="1"/>
  <c r="AG586" i="3" a="1"/>
  <c r="AG586" i="3" s="1"/>
  <c r="AI586" i="3" a="1"/>
  <c r="AI586" i="3" s="1"/>
  <c r="AG81" i="3" a="1"/>
  <c r="AG81" i="3" s="1"/>
  <c r="AH81" i="3" a="1"/>
  <c r="AH81" i="3" s="1"/>
  <c r="AI81" i="3" a="1"/>
  <c r="AI81" i="3" s="1"/>
  <c r="AI318" i="3" a="1"/>
  <c r="AI318" i="3" s="1"/>
  <c r="AH318" i="3" a="1"/>
  <c r="AH318" i="3" s="1"/>
  <c r="AG318" i="3" a="1"/>
  <c r="AG318" i="3" s="1"/>
  <c r="AI409" i="3" a="1"/>
  <c r="AI409" i="3" s="1"/>
  <c r="AH409" i="3" a="1"/>
  <c r="AH409" i="3" s="1"/>
  <c r="AG409" i="3" a="1"/>
  <c r="AG409" i="3" s="1"/>
  <c r="AH805" i="3" a="1"/>
  <c r="AH805" i="3" s="1"/>
  <c r="AG805" i="3" a="1"/>
  <c r="AG805" i="3" s="1"/>
  <c r="AI805" i="3" a="1"/>
  <c r="AI805" i="3" s="1"/>
  <c r="AH156" i="3" a="1"/>
  <c r="AH156" i="3" s="1"/>
  <c r="AG156" i="3" a="1"/>
  <c r="AG156" i="3" s="1"/>
  <c r="AI156" i="3" a="1"/>
  <c r="AI156" i="3" s="1"/>
  <c r="AI275" i="3" a="1"/>
  <c r="AI275" i="3" s="1"/>
  <c r="AH275" i="3" a="1"/>
  <c r="AH275" i="3" s="1"/>
  <c r="AG275" i="3" a="1"/>
  <c r="AG275" i="3" s="1"/>
  <c r="AG934" i="3" a="1"/>
  <c r="AG934" i="3" s="1"/>
  <c r="AH934" i="3" a="1"/>
  <c r="AH934" i="3" s="1"/>
  <c r="AI934" i="3" a="1"/>
  <c r="AI934" i="3" s="1"/>
  <c r="AG464" i="3" a="1"/>
  <c r="AG464" i="3" s="1"/>
  <c r="AI464" i="3" a="1"/>
  <c r="AI464" i="3" s="1"/>
  <c r="AH464" i="3" a="1"/>
  <c r="AH464" i="3" s="1"/>
  <c r="AH373" i="3" a="1"/>
  <c r="AH373" i="3" s="1"/>
  <c r="AG373" i="3" a="1"/>
  <c r="AG373" i="3" s="1"/>
  <c r="AI373" i="3" a="1"/>
  <c r="AI373" i="3" s="1"/>
  <c r="AH857" i="3" a="1"/>
  <c r="AH857" i="3" s="1"/>
  <c r="AG857" i="3" a="1"/>
  <c r="AG857" i="3" s="1"/>
  <c r="AI857" i="3" a="1"/>
  <c r="AI857" i="3" s="1"/>
  <c r="AI907" i="3" a="1"/>
  <c r="AI907" i="3" s="1"/>
  <c r="AG907" i="3" a="1"/>
  <c r="AG907" i="3" s="1"/>
  <c r="AH907" i="3" a="1"/>
  <c r="AH907" i="3" s="1"/>
  <c r="AH790" i="3" a="1"/>
  <c r="AH790" i="3" s="1"/>
  <c r="AG790" i="3" a="1"/>
  <c r="AG790" i="3" s="1"/>
  <c r="AI790" i="3" a="1"/>
  <c r="AI790" i="3" s="1"/>
  <c r="AG556" i="3" a="1"/>
  <c r="AG556" i="3" s="1"/>
  <c r="AI556" i="3" a="1"/>
  <c r="AI556" i="3" s="1"/>
  <c r="AH556" i="3" a="1"/>
  <c r="AH556" i="3" s="1"/>
  <c r="AH873" i="3" a="1"/>
  <c r="AH873" i="3" s="1"/>
  <c r="AG873" i="3" a="1"/>
  <c r="AG873" i="3" s="1"/>
  <c r="AI873" i="3" a="1"/>
  <c r="AI873" i="3" s="1"/>
  <c r="AH948" i="3" a="1"/>
  <c r="AH948" i="3" s="1"/>
  <c r="AG948" i="3" a="1"/>
  <c r="AG948" i="3" s="1"/>
  <c r="AI948" i="3" a="1"/>
  <c r="AI948" i="3" s="1"/>
  <c r="AG995" i="3" a="1"/>
  <c r="AG995" i="3" s="1"/>
  <c r="AI995" i="3" a="1"/>
  <c r="AI995" i="3" s="1"/>
  <c r="AH995" i="3" a="1"/>
  <c r="AH995" i="3" s="1"/>
  <c r="AG661" i="3" a="1"/>
  <c r="AG661" i="3" s="1"/>
  <c r="AH661" i="3" a="1"/>
  <c r="AH661" i="3" s="1"/>
  <c r="AI661" i="3" a="1"/>
  <c r="AI661" i="3" s="1"/>
  <c r="AI1357" i="3" a="1"/>
  <c r="AI1357" i="3" s="1"/>
  <c r="AG1357" i="3" a="1"/>
  <c r="AG1357" i="3" s="1"/>
  <c r="AH1357" i="3" a="1"/>
  <c r="AH1357" i="3" s="1"/>
  <c r="AI1393" i="3" a="1"/>
  <c r="AI1393" i="3" s="1"/>
  <c r="AG1393" i="3" a="1"/>
  <c r="AG1393" i="3" s="1"/>
  <c r="AH1393" i="3" a="1"/>
  <c r="AH1393" i="3" s="1"/>
  <c r="AH1043" i="3" a="1"/>
  <c r="AH1043" i="3" s="1"/>
  <c r="AG1043" i="3" a="1"/>
  <c r="AG1043" i="3" s="1"/>
  <c r="AI1043" i="3" a="1"/>
  <c r="AI1043" i="3" s="1"/>
  <c r="AI1078" i="3" a="1"/>
  <c r="AI1078" i="3" s="1"/>
  <c r="AH1078" i="3" a="1"/>
  <c r="AH1078" i="3" s="1"/>
  <c r="AG1078" i="3" a="1"/>
  <c r="AG1078" i="3" s="1"/>
  <c r="AG124" i="3" a="1"/>
  <c r="AG124" i="3" s="1"/>
  <c r="AI124" i="3" a="1"/>
  <c r="AI124" i="3" s="1"/>
  <c r="AH124" i="3" a="1"/>
  <c r="AH124" i="3" s="1"/>
  <c r="AH1249" i="3" a="1"/>
  <c r="AH1249" i="3" s="1"/>
  <c r="AI1249" i="3" a="1"/>
  <c r="AI1249" i="3" s="1"/>
  <c r="AG1249" i="3" a="1"/>
  <c r="AG1249" i="3" s="1"/>
  <c r="AH1276" i="3" a="1"/>
  <c r="AH1276" i="3" s="1"/>
  <c r="AI1276" i="3" a="1"/>
  <c r="AI1276" i="3" s="1"/>
  <c r="AG1276" i="3" a="1"/>
  <c r="AG1276" i="3" s="1"/>
  <c r="AI716" i="3" a="1"/>
  <c r="AI716" i="3" s="1"/>
  <c r="AH716" i="3" a="1"/>
  <c r="AH716" i="3" s="1"/>
  <c r="AG716" i="3" a="1"/>
  <c r="AG716" i="3" s="1"/>
  <c r="AI1166" i="3" a="1"/>
  <c r="AI1166" i="3" s="1"/>
  <c r="AG1166" i="3" a="1"/>
  <c r="AG1166" i="3" s="1"/>
  <c r="AH1166" i="3" a="1"/>
  <c r="AH1166" i="3" s="1"/>
  <c r="AI422" i="3" a="1"/>
  <c r="AI422" i="3" s="1"/>
  <c r="AG422" i="3" a="1"/>
  <c r="AG422" i="3" s="1"/>
  <c r="AH422" i="3" a="1"/>
  <c r="AH422" i="3" s="1"/>
  <c r="AI1297" i="3" a="1"/>
  <c r="AI1297" i="3" s="1"/>
  <c r="AG1297" i="3" a="1"/>
  <c r="AG1297" i="3" s="1"/>
  <c r="AH1297" i="3" a="1"/>
  <c r="AH1297" i="3" s="1"/>
  <c r="AI1250" i="3" a="1"/>
  <c r="AI1250" i="3" s="1"/>
  <c r="AG1250" i="3" a="1"/>
  <c r="AG1250" i="3" s="1"/>
  <c r="AH1250" i="3" a="1"/>
  <c r="AH1250" i="3" s="1"/>
  <c r="AH991" i="3" a="1"/>
  <c r="AH991" i="3" s="1"/>
  <c r="AG991" i="3" a="1"/>
  <c r="AG991" i="3" s="1"/>
  <c r="AI991" i="3" a="1"/>
  <c r="AI991" i="3" s="1"/>
  <c r="AH1256" i="3" a="1"/>
  <c r="AH1256" i="3" s="1"/>
  <c r="AI1256" i="3" a="1"/>
  <c r="AI1256" i="3" s="1"/>
  <c r="AG1256" i="3" a="1"/>
  <c r="AG1256" i="3" s="1"/>
  <c r="AI364" i="3" a="1"/>
  <c r="AI364" i="3" s="1"/>
  <c r="AH364" i="3" a="1"/>
  <c r="AH364" i="3" s="1"/>
  <c r="AG364" i="3" a="1"/>
  <c r="AG364" i="3" s="1"/>
  <c r="AH1335" i="3" a="1"/>
  <c r="AH1335" i="3" s="1"/>
  <c r="AI1335" i="3" a="1"/>
  <c r="AI1335" i="3" s="1"/>
  <c r="AG1335" i="3" a="1"/>
  <c r="AG1335" i="3" s="1"/>
  <c r="AG94" i="3" a="1"/>
  <c r="AG94" i="3" s="1"/>
  <c r="AH94" i="3" a="1"/>
  <c r="AH94" i="3" s="1"/>
  <c r="AI94" i="3" a="1"/>
  <c r="AI94" i="3" s="1"/>
  <c r="AI952" i="3" a="1"/>
  <c r="AI952" i="3" s="1"/>
  <c r="AH952" i="3" a="1"/>
  <c r="AH952" i="3" s="1"/>
  <c r="AG952" i="3" a="1"/>
  <c r="AG952" i="3" s="1"/>
  <c r="AI536" i="3" a="1"/>
  <c r="AI536" i="3" s="1"/>
  <c r="AG536" i="3" a="1"/>
  <c r="AG536" i="3" s="1"/>
  <c r="AH536" i="3" a="1"/>
  <c r="AH536" i="3" s="1"/>
  <c r="AI445" i="3" a="1"/>
  <c r="AI445" i="3" s="1"/>
  <c r="AG445" i="3" a="1"/>
  <c r="AG445" i="3" s="1"/>
  <c r="AH445" i="3" a="1"/>
  <c r="AH445" i="3" s="1"/>
  <c r="AH244" i="3" a="1"/>
  <c r="AH244" i="3" s="1"/>
  <c r="AG244" i="3" a="1"/>
  <c r="AG244" i="3" s="1"/>
  <c r="AI244" i="3" a="1"/>
  <c r="AI244" i="3" s="1"/>
  <c r="AH18" i="3" a="1"/>
  <c r="AH18" i="3" s="1"/>
  <c r="AG18" i="3" a="1"/>
  <c r="AG18" i="3" s="1"/>
  <c r="AI18" i="3" a="1"/>
  <c r="AI18" i="3" s="1"/>
  <c r="AG383" i="3" a="1"/>
  <c r="AG383" i="3" s="1"/>
  <c r="AI383" i="3" a="1"/>
  <c r="AI383" i="3" s="1"/>
  <c r="AH383" i="3" a="1"/>
  <c r="AH383" i="3" s="1"/>
  <c r="AI151" i="3" a="1"/>
  <c r="AI151" i="3" s="1"/>
  <c r="AH151" i="3" a="1"/>
  <c r="AH151" i="3" s="1"/>
  <c r="AG151" i="3" a="1"/>
  <c r="AG151" i="3" s="1"/>
  <c r="AG499" i="3" a="1"/>
  <c r="AG499" i="3" s="1"/>
  <c r="AI499" i="3" a="1"/>
  <c r="AI499" i="3" s="1"/>
  <c r="AH499" i="3" a="1"/>
  <c r="AH499" i="3" s="1"/>
  <c r="AH322" i="3" a="1"/>
  <c r="AH322" i="3" s="1"/>
  <c r="AG322" i="3" a="1"/>
  <c r="AG322" i="3" s="1"/>
  <c r="AI322" i="3" a="1"/>
  <c r="AI322" i="3" s="1"/>
  <c r="AH9" i="3" a="1"/>
  <c r="AH9" i="3" s="1"/>
  <c r="AI9" i="3" a="1"/>
  <c r="AI9" i="3" s="1"/>
  <c r="AG9" i="3" a="1"/>
  <c r="AG9" i="3" s="1"/>
  <c r="AH172" i="3" a="1"/>
  <c r="AH172" i="3" s="1"/>
  <c r="AI172" i="3" a="1"/>
  <c r="AI172" i="3" s="1"/>
  <c r="AG172" i="3" a="1"/>
  <c r="AG172" i="3" s="1"/>
  <c r="AG548" i="3" a="1"/>
  <c r="AG548" i="3" s="1"/>
  <c r="AI548" i="3" a="1"/>
  <c r="AI548" i="3" s="1"/>
  <c r="AH548" i="3" a="1"/>
  <c r="AH548" i="3" s="1"/>
  <c r="AG657" i="3" a="1"/>
  <c r="AG657" i="3" s="1"/>
  <c r="AI657" i="3" a="1"/>
  <c r="AI657" i="3" s="1"/>
  <c r="AH657" i="3" a="1"/>
  <c r="AH657" i="3" s="1"/>
  <c r="AH303" i="3" a="1"/>
  <c r="AH303" i="3" s="1"/>
  <c r="AG303" i="3" a="1"/>
  <c r="AG303" i="3" s="1"/>
  <c r="AI303" i="3" a="1"/>
  <c r="AI303" i="3" s="1"/>
  <c r="AH139" i="3" a="1"/>
  <c r="AH139" i="3" s="1"/>
  <c r="AG139" i="3" a="1"/>
  <c r="AG139" i="3" s="1"/>
  <c r="AI139" i="3" a="1"/>
  <c r="AI139" i="3" s="1"/>
  <c r="AI798" i="3" a="1"/>
  <c r="AI798" i="3" s="1"/>
  <c r="AH798" i="3" a="1"/>
  <c r="AH798" i="3" s="1"/>
  <c r="AG798" i="3" a="1"/>
  <c r="AG798" i="3" s="1"/>
  <c r="AI328" i="3" a="1"/>
  <c r="AI328" i="3" s="1"/>
  <c r="AH328" i="3" a="1"/>
  <c r="AH328" i="3" s="1"/>
  <c r="AG328" i="3" a="1"/>
  <c r="AG328" i="3" s="1"/>
  <c r="AG237" i="3" a="1"/>
  <c r="AG237" i="3" s="1"/>
  <c r="AI237" i="3" a="1"/>
  <c r="AI237" i="3" s="1"/>
  <c r="AH237" i="3" a="1"/>
  <c r="AH237" i="3" s="1"/>
  <c r="AI831" i="3" a="1"/>
  <c r="AI831" i="3" s="1"/>
  <c r="AH831" i="3" a="1"/>
  <c r="AH831" i="3" s="1"/>
  <c r="AG831" i="3" a="1"/>
  <c r="AG831" i="3" s="1"/>
  <c r="AI361" i="3" a="1"/>
  <c r="AI361" i="3" s="1"/>
  <c r="AH361" i="3" a="1"/>
  <c r="AH361" i="3" s="1"/>
  <c r="AG361" i="3" a="1"/>
  <c r="AG361" i="3" s="1"/>
  <c r="AG757" i="3" a="1"/>
  <c r="AG757" i="3" s="1"/>
  <c r="AH757" i="3" a="1"/>
  <c r="AH757" i="3" s="1"/>
  <c r="AI757" i="3" a="1"/>
  <c r="AI757" i="3" s="1"/>
  <c r="AG231" i="3" a="1"/>
  <c r="AG231" i="3" s="1"/>
  <c r="AI231" i="3" a="1"/>
  <c r="AI231" i="3" s="1"/>
  <c r="AH231" i="3" a="1"/>
  <c r="AH231" i="3" s="1"/>
  <c r="AG508" i="3" a="1"/>
  <c r="AG508" i="3" s="1"/>
  <c r="AH508" i="3" a="1"/>
  <c r="AH508" i="3" s="1"/>
  <c r="AI508" i="3" a="1"/>
  <c r="AI508" i="3" s="1"/>
  <c r="AH669" i="3" a="1"/>
  <c r="AH669" i="3" s="1"/>
  <c r="AG669" i="3" a="1"/>
  <c r="AG669" i="3" s="1"/>
  <c r="AI669" i="3" a="1"/>
  <c r="AI669" i="3" s="1"/>
  <c r="AI1436" i="3" a="1"/>
  <c r="AI1436" i="3" s="1"/>
  <c r="AG1436" i="3" a="1"/>
  <c r="AG1436" i="3" s="1"/>
  <c r="AH1436" i="3" a="1"/>
  <c r="AH1436" i="3" s="1"/>
  <c r="AI359" i="3" a="1"/>
  <c r="AI359" i="3" s="1"/>
  <c r="AH359" i="3" a="1"/>
  <c r="AH359" i="3" s="1"/>
  <c r="AG359" i="3" a="1"/>
  <c r="AG359" i="3" s="1"/>
  <c r="AH620" i="3" a="1"/>
  <c r="AH620" i="3" s="1"/>
  <c r="AG620" i="3" a="1"/>
  <c r="AG620" i="3" s="1"/>
  <c r="AI620" i="3" a="1"/>
  <c r="AI620" i="3" s="1"/>
  <c r="AG1232" i="3" a="1"/>
  <c r="AG1232" i="3" s="1"/>
  <c r="AI1232" i="3" a="1"/>
  <c r="AI1232" i="3" s="1"/>
  <c r="AH1232" i="3" a="1"/>
  <c r="AH1232" i="3" s="1"/>
  <c r="AG1227" i="3" a="1"/>
  <c r="AG1227" i="3" s="1"/>
  <c r="AI1227" i="3" a="1"/>
  <c r="AI1227" i="3" s="1"/>
  <c r="AH1227" i="3" a="1"/>
  <c r="AH1227" i="3" s="1"/>
  <c r="AH1262" i="3" a="1"/>
  <c r="AH1262" i="3" s="1"/>
  <c r="AI1262" i="3" a="1"/>
  <c r="AI1262" i="3" s="1"/>
  <c r="AG1262" i="3" a="1"/>
  <c r="AG1262" i="3" s="1"/>
  <c r="AI354" i="3" a="1"/>
  <c r="AI354" i="3" s="1"/>
  <c r="AH354" i="3" a="1"/>
  <c r="AH354" i="3" s="1"/>
  <c r="AG354" i="3" a="1"/>
  <c r="AG354" i="3" s="1"/>
  <c r="AG906" i="3" a="1"/>
  <c r="AG906" i="3" s="1"/>
  <c r="AI906" i="3" a="1"/>
  <c r="AI906" i="3" s="1"/>
  <c r="AH906" i="3" a="1"/>
  <c r="AH906" i="3" s="1"/>
  <c r="AH965" i="3" a="1"/>
  <c r="AH965" i="3" s="1"/>
  <c r="AG965" i="3" a="1"/>
  <c r="AG965" i="3" s="1"/>
  <c r="AI965" i="3" a="1"/>
  <c r="AI965" i="3" s="1"/>
  <c r="AI1387" i="3" a="1"/>
  <c r="AI1387" i="3" s="1"/>
  <c r="AG1387" i="3" a="1"/>
  <c r="AG1387" i="3" s="1"/>
  <c r="AH1387" i="3" a="1"/>
  <c r="AH1387" i="3" s="1"/>
  <c r="AG1432" i="3" a="1"/>
  <c r="AG1432" i="3" s="1"/>
  <c r="AI1432" i="3" a="1"/>
  <c r="AI1432" i="3" s="1"/>
  <c r="AH1432" i="3" a="1"/>
  <c r="AH1432" i="3" s="1"/>
  <c r="AH1286" i="3" a="1"/>
  <c r="AH1286" i="3" s="1"/>
  <c r="AI1286" i="3" a="1"/>
  <c r="AI1286" i="3" s="1"/>
  <c r="AG1286" i="3" a="1"/>
  <c r="AG1286" i="3" s="1"/>
  <c r="AG1192" i="3" a="1"/>
  <c r="AG1192" i="3" s="1"/>
  <c r="AH1192" i="3" a="1"/>
  <c r="AH1192" i="3" s="1"/>
  <c r="AI1192" i="3" a="1"/>
  <c r="AI1192" i="3" s="1"/>
  <c r="AI968" i="3" a="1"/>
  <c r="AI968" i="3" s="1"/>
  <c r="AG968" i="3" a="1"/>
  <c r="AG968" i="3" s="1"/>
  <c r="AH968" i="3" a="1"/>
  <c r="AH968" i="3" s="1"/>
  <c r="AI1451" i="3" a="1"/>
  <c r="AI1451" i="3" s="1"/>
  <c r="AH1451" i="3" a="1"/>
  <c r="AH1451" i="3" s="1"/>
  <c r="AG1451" i="3" a="1"/>
  <c r="AG1451" i="3" s="1"/>
  <c r="AH1274" i="3" a="1"/>
  <c r="AH1274" i="3" s="1"/>
  <c r="AG1274" i="3" a="1"/>
  <c r="AG1274" i="3" s="1"/>
  <c r="AI1274" i="3" a="1"/>
  <c r="AI1274" i="3" s="1"/>
  <c r="AI1136" i="3" a="1"/>
  <c r="AI1136" i="3" s="1"/>
  <c r="AG1136" i="3" a="1"/>
  <c r="AG1136" i="3" s="1"/>
  <c r="AH1136" i="3" a="1"/>
  <c r="AH1136" i="3" s="1"/>
  <c r="AG827" i="3" a="1"/>
  <c r="AG827" i="3" s="1"/>
  <c r="AI827" i="3" a="1"/>
  <c r="AI827" i="3" s="1"/>
  <c r="AH827" i="3" a="1"/>
  <c r="AH827" i="3" s="1"/>
  <c r="AG1162" i="3" a="1"/>
  <c r="AG1162" i="3" s="1"/>
  <c r="AH1162" i="3" a="1"/>
  <c r="AH1162" i="3" s="1"/>
  <c r="AI1162" i="3" a="1"/>
  <c r="AI1162" i="3" s="1"/>
  <c r="AH949" i="3" a="1"/>
  <c r="AH949" i="3" s="1"/>
  <c r="AG949" i="3" a="1"/>
  <c r="AG949" i="3" s="1"/>
  <c r="AI949" i="3" a="1"/>
  <c r="AI949" i="3" s="1"/>
  <c r="AI944" i="3" a="1"/>
  <c r="AI944" i="3" s="1"/>
  <c r="AH944" i="3" a="1"/>
  <c r="AH944" i="3" s="1"/>
  <c r="AG944" i="3" a="1"/>
  <c r="AG944" i="3" s="1"/>
  <c r="AG1233" i="3" a="1"/>
  <c r="AG1233" i="3" s="1"/>
  <c r="AI1233" i="3" a="1"/>
  <c r="AI1233" i="3" s="1"/>
  <c r="AH1233" i="3" a="1"/>
  <c r="AH1233" i="3" s="1"/>
  <c r="AI1220" i="3" a="1"/>
  <c r="AI1220" i="3" s="1"/>
  <c r="AH1220" i="3" a="1"/>
  <c r="AH1220" i="3" s="1"/>
  <c r="AG1220" i="3" a="1"/>
  <c r="AG1220" i="3" s="1"/>
  <c r="AH433" i="3" a="1"/>
  <c r="AH433" i="3" s="1"/>
  <c r="AI433" i="3" a="1"/>
  <c r="AI433" i="3" s="1"/>
  <c r="AG433" i="3" a="1"/>
  <c r="AG433" i="3" s="1"/>
  <c r="AG829" i="3" a="1"/>
  <c r="AG829" i="3" s="1"/>
  <c r="AH829" i="3" a="1"/>
  <c r="AH829" i="3" s="1"/>
  <c r="AI829" i="3" a="1"/>
  <c r="AI829" i="3" s="1"/>
  <c r="AG79" i="3" a="1"/>
  <c r="AG79" i="3" s="1"/>
  <c r="AH79" i="3" a="1"/>
  <c r="AH79" i="3" s="1"/>
  <c r="AI79" i="3" a="1"/>
  <c r="AI79" i="3" s="1"/>
  <c r="AG427" i="3" a="1"/>
  <c r="AG427" i="3" s="1"/>
  <c r="AH427" i="3" a="1"/>
  <c r="AH427" i="3" s="1"/>
  <c r="AI427" i="3" a="1"/>
  <c r="AI427" i="3" s="1"/>
  <c r="AH178" i="3" a="1"/>
  <c r="AH178" i="3" s="1"/>
  <c r="AG178" i="3" a="1"/>
  <c r="AG178" i="3" s="1"/>
  <c r="AI178" i="3" a="1"/>
  <c r="AI178" i="3" s="1"/>
  <c r="AG552" i="3" a="1"/>
  <c r="AG552" i="3" s="1"/>
  <c r="AI552" i="3" a="1"/>
  <c r="AI552" i="3" s="1"/>
  <c r="AH552" i="3" a="1"/>
  <c r="AH552" i="3" s="1"/>
  <c r="AH461" i="3" a="1"/>
  <c r="AH461" i="3" s="1"/>
  <c r="AG461" i="3" a="1"/>
  <c r="AG461" i="3" s="1"/>
  <c r="AI461" i="3" a="1"/>
  <c r="AI461" i="3" s="1"/>
  <c r="AI276" i="3" a="1"/>
  <c r="AI276" i="3" s="1"/>
  <c r="AH276" i="3" a="1"/>
  <c r="AH276" i="3" s="1"/>
  <c r="AG276" i="3" a="1"/>
  <c r="AG276" i="3" s="1"/>
  <c r="AG585" i="3" a="1"/>
  <c r="AG585" i="3" s="1"/>
  <c r="AI585" i="3" a="1"/>
  <c r="AI585" i="3" s="1"/>
  <c r="AH585" i="3" a="1"/>
  <c r="AH585" i="3" s="1"/>
  <c r="AH142" i="3" a="1"/>
  <c r="AH142" i="3" s="1"/>
  <c r="AI142" i="3" a="1"/>
  <c r="AI142" i="3" s="1"/>
  <c r="AG142" i="3" a="1"/>
  <c r="AG142" i="3" s="1"/>
  <c r="AI39" i="3" a="1"/>
  <c r="AI39" i="3" s="1"/>
  <c r="AG39" i="3" a="1"/>
  <c r="AG39" i="3" s="1"/>
  <c r="AH39" i="3" a="1"/>
  <c r="AH39" i="3" s="1"/>
  <c r="AG387" i="3" a="1"/>
  <c r="AG387" i="3" s="1"/>
  <c r="AH387" i="3" a="1"/>
  <c r="AH387" i="3" s="1"/>
  <c r="AI387" i="3" a="1"/>
  <c r="AI387" i="3" s="1"/>
  <c r="AH192" i="3" a="1"/>
  <c r="AH192" i="3" s="1"/>
  <c r="AI192" i="3" a="1"/>
  <c r="AI192" i="3" s="1"/>
  <c r="AG192" i="3" a="1"/>
  <c r="AG192" i="3" s="1"/>
  <c r="AI101" i="3" a="1"/>
  <c r="AI101" i="3" s="1"/>
  <c r="AH101" i="3" a="1"/>
  <c r="AH101" i="3" s="1"/>
  <c r="AG101" i="3" a="1"/>
  <c r="AG101" i="3" s="1"/>
  <c r="AH695" i="3" a="1"/>
  <c r="AH695" i="3" s="1"/>
  <c r="AG695" i="3" a="1"/>
  <c r="AG695" i="3" s="1"/>
  <c r="AI695" i="3" a="1"/>
  <c r="AI695" i="3" s="1"/>
  <c r="AH225" i="3" a="1"/>
  <c r="AH225" i="3" s="1"/>
  <c r="AG225" i="3" a="1"/>
  <c r="AG225" i="3" s="1"/>
  <c r="AI225" i="3" a="1"/>
  <c r="AI225" i="3" s="1"/>
  <c r="AI596" i="3" a="1"/>
  <c r="AI596" i="3" s="1"/>
  <c r="AH596" i="3" a="1"/>
  <c r="AH596" i="3" s="1"/>
  <c r="AG596" i="3" a="1"/>
  <c r="AG596" i="3" s="1"/>
  <c r="AG808" i="3" a="1"/>
  <c r="AG808" i="3" s="1"/>
  <c r="AH808" i="3" a="1"/>
  <c r="AH808" i="3" s="1"/>
  <c r="AI808" i="3" a="1"/>
  <c r="AI808" i="3" s="1"/>
  <c r="AI91" i="3" a="1"/>
  <c r="AI91" i="3" s="1"/>
  <c r="AG91" i="3" a="1"/>
  <c r="AG91" i="3" s="1"/>
  <c r="AH91" i="3" a="1"/>
  <c r="AH91" i="3" s="1"/>
  <c r="AH750" i="3" a="1"/>
  <c r="AH750" i="3" s="1"/>
  <c r="AG750" i="3" a="1"/>
  <c r="AG750" i="3" s="1"/>
  <c r="AI750" i="3" a="1"/>
  <c r="AI750" i="3" s="1"/>
  <c r="AI1395" i="3" a="1"/>
  <c r="AI1395" i="3" s="1"/>
  <c r="AG1395" i="3" a="1"/>
  <c r="AG1395" i="3" s="1"/>
  <c r="AH1395" i="3" a="1"/>
  <c r="AH1395" i="3" s="1"/>
  <c r="AG1430" i="3" a="1"/>
  <c r="AG1430" i="3" s="1"/>
  <c r="AH1430" i="3" a="1"/>
  <c r="AH1430" i="3" s="1"/>
  <c r="AI1430" i="3" a="1"/>
  <c r="AI1430" i="3" s="1"/>
  <c r="AH639" i="3" a="1"/>
  <c r="AH639" i="3" s="1"/>
  <c r="AI639" i="3" a="1"/>
  <c r="AI639" i="3" s="1"/>
  <c r="AG639" i="3" a="1"/>
  <c r="AG639" i="3" s="1"/>
  <c r="AI1341" i="3" a="1"/>
  <c r="AI1341" i="3" s="1"/>
  <c r="AH1341" i="3" a="1"/>
  <c r="AH1341" i="3" s="1"/>
  <c r="AG1341" i="3" a="1"/>
  <c r="AG1341" i="3" s="1"/>
  <c r="AI1411" i="3" a="1"/>
  <c r="AI1411" i="3" s="1"/>
  <c r="AG1411" i="3" a="1"/>
  <c r="AG1411" i="3" s="1"/>
  <c r="AH1411" i="3" a="1"/>
  <c r="AH1411" i="3" s="1"/>
  <c r="AG1446" i="3" a="1"/>
  <c r="AG1446" i="3" s="1"/>
  <c r="AH1446" i="3" a="1"/>
  <c r="AH1446" i="3" s="1"/>
  <c r="AI1446" i="3" a="1"/>
  <c r="AI1446" i="3" s="1"/>
  <c r="AH599" i="3" a="1"/>
  <c r="AH599" i="3" s="1"/>
  <c r="AG599" i="3" a="1"/>
  <c r="AG599" i="3" s="1"/>
  <c r="AI599" i="3" a="1"/>
  <c r="AI599" i="3" s="1"/>
  <c r="AG1132" i="3" a="1"/>
  <c r="AG1132" i="3" s="1"/>
  <c r="AH1132" i="3" a="1"/>
  <c r="AH1132" i="3" s="1"/>
  <c r="AI1132" i="3" a="1"/>
  <c r="AI1132" i="3" s="1"/>
  <c r="AI1159" i="3" a="1"/>
  <c r="AI1159" i="3" s="1"/>
  <c r="AH1159" i="3" a="1"/>
  <c r="AH1159" i="3" s="1"/>
  <c r="AG1159" i="3" a="1"/>
  <c r="AG1159" i="3" s="1"/>
  <c r="AG761" i="3" a="1"/>
  <c r="AG761" i="3" s="1"/>
  <c r="AI761" i="3" a="1"/>
  <c r="AI761" i="3" s="1"/>
  <c r="AH761" i="3" a="1"/>
  <c r="AH761" i="3" s="1"/>
  <c r="AI503" i="3" a="1"/>
  <c r="AI503" i="3" s="1"/>
  <c r="AG503" i="3" a="1"/>
  <c r="AG503" i="3" s="1"/>
  <c r="AH503" i="3" a="1"/>
  <c r="AH503" i="3" s="1"/>
  <c r="AI714" i="3" a="1"/>
  <c r="AI714" i="3" s="1"/>
  <c r="AH714" i="3" a="1"/>
  <c r="AH714" i="3" s="1"/>
  <c r="AG714" i="3" a="1"/>
  <c r="AG714" i="3" s="1"/>
  <c r="AI732" i="3" a="1"/>
  <c r="AI732" i="3" s="1"/>
  <c r="AH732" i="3" a="1"/>
  <c r="AH732" i="3" s="1"/>
  <c r="AG732" i="3" a="1"/>
  <c r="AG732" i="3" s="1"/>
  <c r="AG1006" i="3" a="1"/>
  <c r="AG1006" i="3" s="1"/>
  <c r="AI1006" i="3" a="1"/>
  <c r="AI1006" i="3" s="1"/>
  <c r="AH1006" i="3" a="1"/>
  <c r="AH1006" i="3" s="1"/>
  <c r="AG1057" i="3" a="1"/>
  <c r="AG1057" i="3" s="1"/>
  <c r="AH1057" i="3" a="1"/>
  <c r="AH1057" i="3" s="1"/>
  <c r="AI1057" i="3" a="1"/>
  <c r="AI1057" i="3" s="1"/>
  <c r="AI859" i="3" a="1"/>
  <c r="AI859" i="3" s="1"/>
  <c r="AG859" i="3" a="1"/>
  <c r="AG859" i="3" s="1"/>
  <c r="AH859" i="3" a="1"/>
  <c r="AH859" i="3" s="1"/>
  <c r="AH1154" i="3" a="1"/>
  <c r="AH1154" i="3" s="1"/>
  <c r="AI1154" i="3" a="1"/>
  <c r="AI1154" i="3" s="1"/>
  <c r="AG1154" i="3" a="1"/>
  <c r="AG1154" i="3" s="1"/>
  <c r="AI844" i="3" a="1"/>
  <c r="AI844" i="3" s="1"/>
  <c r="AH844" i="3" a="1"/>
  <c r="AH844" i="3" s="1"/>
  <c r="AG844" i="3" a="1"/>
  <c r="AG844" i="3" s="1"/>
  <c r="AG412" i="3" a="1"/>
  <c r="AG412" i="3" s="1"/>
  <c r="AH412" i="3" a="1"/>
  <c r="AH412" i="3" s="1"/>
  <c r="AI412" i="3" a="1"/>
  <c r="AI412" i="3" s="1"/>
  <c r="AI518" i="3" a="1"/>
  <c r="AI518" i="3" s="1"/>
  <c r="AG518" i="3" a="1"/>
  <c r="AG518" i="3" s="1"/>
  <c r="AH518" i="3" a="1"/>
  <c r="AH518" i="3" s="1"/>
  <c r="AG1305" i="3" a="1"/>
  <c r="AG1305" i="3" s="1"/>
  <c r="AI1305" i="3" a="1"/>
  <c r="AI1305" i="3" s="1"/>
  <c r="AH1305" i="3" a="1"/>
  <c r="AH1305" i="3" s="1"/>
  <c r="AI1082" i="3" a="1"/>
  <c r="AI1082" i="3" s="1"/>
  <c r="AH1082" i="3" a="1"/>
  <c r="AH1082" i="3" s="1"/>
  <c r="AG1082" i="3" a="1"/>
  <c r="AG1082" i="3" s="1"/>
  <c r="AI1439" i="3" a="1"/>
  <c r="AI1439" i="3" s="1"/>
  <c r="AH1439" i="3" a="1"/>
  <c r="AH1439" i="3" s="1"/>
  <c r="AG1439" i="3" a="1"/>
  <c r="AG1439" i="3" s="1"/>
  <c r="AH1371" i="3" a="1"/>
  <c r="AH1371" i="3" s="1"/>
  <c r="AG1371" i="3" a="1"/>
  <c r="AG1371" i="3" s="1"/>
  <c r="AI1371" i="3" a="1"/>
  <c r="AI1371" i="3" s="1"/>
  <c r="AG1368" i="3" a="1"/>
  <c r="AG1368" i="3" s="1"/>
  <c r="AI1368" i="3" a="1"/>
  <c r="AI1368" i="3" s="1"/>
  <c r="AH1368" i="3" a="1"/>
  <c r="AH1368" i="3" s="1"/>
  <c r="AG1408" i="3" a="1"/>
  <c r="AG1408" i="3" s="1"/>
  <c r="AH1408" i="3" a="1"/>
  <c r="AH1408" i="3" s="1"/>
  <c r="AI1408" i="3" a="1"/>
  <c r="AI1408" i="3" s="1"/>
  <c r="AH163" i="3" a="1"/>
  <c r="AH163" i="3" s="1"/>
  <c r="AI163" i="3" a="1"/>
  <c r="AI163" i="3" s="1"/>
  <c r="AG163" i="3" a="1"/>
  <c r="AG163" i="3" s="1"/>
  <c r="AG822" i="3" a="1"/>
  <c r="AG822" i="3" s="1"/>
  <c r="AH822" i="3" a="1"/>
  <c r="AH822" i="3" s="1"/>
  <c r="AI822" i="3" a="1"/>
  <c r="AI822" i="3" s="1"/>
  <c r="AI480" i="3" a="1"/>
  <c r="AI480" i="3" s="1"/>
  <c r="AH480" i="3" a="1"/>
  <c r="AH480" i="3" s="1"/>
  <c r="AG480" i="3" a="1"/>
  <c r="AG480" i="3" s="1"/>
  <c r="AG389" i="3" a="1"/>
  <c r="AG389" i="3" s="1"/>
  <c r="AI389" i="3" a="1"/>
  <c r="AI389" i="3" s="1"/>
  <c r="AH389" i="3" a="1"/>
  <c r="AH389" i="3" s="1"/>
  <c r="AG86" i="3" a="1"/>
  <c r="AG86" i="3" s="1"/>
  <c r="AH86" i="3" a="1"/>
  <c r="AH86" i="3" s="1"/>
  <c r="AI86" i="3" a="1"/>
  <c r="AI86" i="3" s="1"/>
  <c r="AG449" i="3" a="1"/>
  <c r="AG449" i="3" s="1"/>
  <c r="AI449" i="3" a="1"/>
  <c r="AI449" i="3" s="1"/>
  <c r="AH449" i="3" a="1"/>
  <c r="AH449" i="3" s="1"/>
  <c r="AG845" i="3" a="1"/>
  <c r="AG845" i="3" s="1"/>
  <c r="AI845" i="3" a="1"/>
  <c r="AI845" i="3" s="1"/>
  <c r="AH845" i="3" a="1"/>
  <c r="AH845" i="3" s="1"/>
  <c r="AH246" i="3" a="1"/>
  <c r="AH246" i="3" s="1"/>
  <c r="AG246" i="3" a="1"/>
  <c r="AG246" i="3" s="1"/>
  <c r="AI246" i="3" a="1"/>
  <c r="AI246" i="3" s="1"/>
  <c r="AI315" i="3" a="1"/>
  <c r="AI315" i="3" s="1"/>
  <c r="AH315" i="3" a="1"/>
  <c r="AH315" i="3" s="1"/>
  <c r="AG315" i="3" a="1"/>
  <c r="AG315" i="3" s="1"/>
  <c r="AG974" i="3" a="1"/>
  <c r="AG974" i="3" s="1"/>
  <c r="AI974" i="3" a="1"/>
  <c r="AI974" i="3" s="1"/>
  <c r="AH974" i="3" a="1"/>
  <c r="AH974" i="3" s="1"/>
  <c r="AH440" i="3" a="1"/>
  <c r="AH440" i="3" s="1"/>
  <c r="AG440" i="3" a="1"/>
  <c r="AG440" i="3" s="1"/>
  <c r="AI440" i="3" a="1"/>
  <c r="AI440" i="3" s="1"/>
  <c r="AI349" i="3" a="1"/>
  <c r="AI349" i="3" s="1"/>
  <c r="AG349" i="3" a="1"/>
  <c r="AG349" i="3" s="1"/>
  <c r="AH349" i="3" a="1"/>
  <c r="AH349" i="3" s="1"/>
  <c r="AI89" i="3" a="1"/>
  <c r="AI89" i="3" s="1"/>
  <c r="AG89" i="3" a="1"/>
  <c r="AG89" i="3" s="1"/>
  <c r="AH89" i="3" a="1"/>
  <c r="AH89" i="3" s="1"/>
  <c r="AI334" i="3" a="1"/>
  <c r="AI334" i="3" s="1"/>
  <c r="AH334" i="3" a="1"/>
  <c r="AH334" i="3" s="1"/>
  <c r="AG334" i="3" a="1"/>
  <c r="AG334" i="3" s="1"/>
  <c r="AH668" i="3" a="1"/>
  <c r="AH668" i="3" s="1"/>
  <c r="AG668" i="3" a="1"/>
  <c r="AG668" i="3" s="1"/>
  <c r="AI668" i="3" a="1"/>
  <c r="AI668" i="3" s="1"/>
  <c r="AG122" i="3" a="1"/>
  <c r="AG122" i="3" s="1"/>
  <c r="AI122" i="3" a="1"/>
  <c r="AI122" i="3" s="1"/>
  <c r="AH122" i="3" a="1"/>
  <c r="AH122" i="3" s="1"/>
  <c r="AH583" i="3" a="1"/>
  <c r="AH583" i="3" s="1"/>
  <c r="AI583" i="3" a="1"/>
  <c r="AI583" i="3" s="1"/>
  <c r="AG583" i="3" a="1"/>
  <c r="AG583" i="3" s="1"/>
  <c r="AI144" i="3" a="1"/>
  <c r="AI144" i="3" s="1"/>
  <c r="AH144" i="3" a="1"/>
  <c r="AH144" i="3" s="1"/>
  <c r="AG144" i="3" a="1"/>
  <c r="AG144" i="3" s="1"/>
  <c r="AG53" i="3" a="1"/>
  <c r="AG53" i="3" s="1"/>
  <c r="AH53" i="3" a="1"/>
  <c r="AH53" i="3" s="1"/>
  <c r="AI53" i="3" a="1"/>
  <c r="AI53" i="3" s="1"/>
  <c r="AG438" i="3" a="1"/>
  <c r="AG438" i="3" s="1"/>
  <c r="AI438" i="3" a="1"/>
  <c r="AI438" i="3" s="1"/>
  <c r="AH438" i="3" a="1"/>
  <c r="AH438" i="3" s="1"/>
  <c r="AH1300" i="3" a="1"/>
  <c r="AH1300" i="3" s="1"/>
  <c r="AI1300" i="3" a="1"/>
  <c r="AI1300" i="3" s="1"/>
  <c r="AG1300" i="3" a="1"/>
  <c r="AG1300" i="3" s="1"/>
  <c r="AH1327" i="3" a="1"/>
  <c r="AH1327" i="3" s="1"/>
  <c r="AI1327" i="3" a="1"/>
  <c r="AI1327" i="3" s="1"/>
  <c r="AG1327" i="3" a="1"/>
  <c r="AG1327" i="3" s="1"/>
  <c r="AI1211" i="3" a="1"/>
  <c r="AI1211" i="3" s="1"/>
  <c r="AG1211" i="3" a="1"/>
  <c r="AG1211" i="3" s="1"/>
  <c r="AH1211" i="3" a="1"/>
  <c r="AH1211" i="3" s="1"/>
  <c r="AH470" i="3" a="1"/>
  <c r="AH470" i="3" s="1"/>
  <c r="AI470" i="3" a="1"/>
  <c r="AI470" i="3" s="1"/>
  <c r="AG470" i="3" a="1"/>
  <c r="AG470" i="3" s="1"/>
  <c r="AG1316" i="3" a="1"/>
  <c r="AG1316" i="3" s="1"/>
  <c r="AI1316" i="3" a="1"/>
  <c r="AI1316" i="3" s="1"/>
  <c r="AH1316" i="3" a="1"/>
  <c r="AH1316" i="3" s="1"/>
  <c r="AI1343" i="3" a="1"/>
  <c r="AI1343" i="3" s="1"/>
  <c r="AH1343" i="3" a="1"/>
  <c r="AH1343" i="3" s="1"/>
  <c r="AG1343" i="3" a="1"/>
  <c r="AG1343" i="3" s="1"/>
  <c r="AI945" i="3" a="1"/>
  <c r="AI945" i="3" s="1"/>
  <c r="AG945" i="3" a="1"/>
  <c r="AG945" i="3" s="1"/>
  <c r="AH945" i="3" a="1"/>
  <c r="AH945" i="3" s="1"/>
  <c r="AH1036" i="3" a="1"/>
  <c r="AH1036" i="3" s="1"/>
  <c r="AG1036" i="3" a="1"/>
  <c r="AG1036" i="3" s="1"/>
  <c r="AI1036" i="3" a="1"/>
  <c r="AI1036" i="3" s="1"/>
  <c r="AH1073" i="3" a="1"/>
  <c r="AH1073" i="3" s="1"/>
  <c r="AI1073" i="3" a="1"/>
  <c r="AI1073" i="3" s="1"/>
  <c r="AG1073" i="3" a="1"/>
  <c r="AG1073" i="3" s="1"/>
  <c r="AG739" i="3" a="1"/>
  <c r="AG739" i="3" s="1"/>
  <c r="AH739" i="3" a="1"/>
  <c r="AH739" i="3" s="1"/>
  <c r="AI739" i="3" a="1"/>
  <c r="AI739" i="3" s="1"/>
  <c r="AG1429" i="3" a="1"/>
  <c r="AG1429" i="3" s="1"/>
  <c r="AI1429" i="3" a="1"/>
  <c r="AI1429" i="3" s="1"/>
  <c r="AH1429" i="3" a="1"/>
  <c r="AH1429" i="3" s="1"/>
  <c r="AH1465" i="3" a="1"/>
  <c r="AH1465" i="3" s="1"/>
  <c r="AG1465" i="3" a="1"/>
  <c r="AG1465" i="3" s="1"/>
  <c r="AI1465" i="3" a="1"/>
  <c r="AI1465" i="3" s="1"/>
  <c r="AG1367" i="3" a="1"/>
  <c r="AG1367" i="3" s="1"/>
  <c r="AH1367" i="3" a="1"/>
  <c r="AH1367" i="3" s="1"/>
  <c r="AI1367" i="3" a="1"/>
  <c r="AI1367" i="3" s="1"/>
  <c r="AG1067" i="3" a="1"/>
  <c r="AG1067" i="3" s="1"/>
  <c r="AI1067" i="3" a="1"/>
  <c r="AI1067" i="3" s="1"/>
  <c r="AH1067" i="3" a="1"/>
  <c r="AH1067" i="3" s="1"/>
  <c r="AG915" i="3" a="1"/>
  <c r="AG915" i="3" s="1"/>
  <c r="AH915" i="3" a="1"/>
  <c r="AH915" i="3" s="1"/>
  <c r="AI915" i="3" a="1"/>
  <c r="AI915" i="3" s="1"/>
  <c r="AH1125" i="3" a="1"/>
  <c r="AH1125" i="3" s="1"/>
  <c r="AG1125" i="3" a="1"/>
  <c r="AG1125" i="3" s="1"/>
  <c r="AI1125" i="3" a="1"/>
  <c r="AI1125" i="3" s="1"/>
  <c r="AI1058" i="3" a="1"/>
  <c r="AI1058" i="3" s="1"/>
  <c r="AG1058" i="3" a="1"/>
  <c r="AG1058" i="3" s="1"/>
  <c r="AH1058" i="3" a="1"/>
  <c r="AH1058" i="3" s="1"/>
  <c r="AG1399" i="3" a="1"/>
  <c r="AG1399" i="3" s="1"/>
  <c r="AH1399" i="3" a="1"/>
  <c r="AH1399" i="3" s="1"/>
  <c r="AI1399" i="3" a="1"/>
  <c r="AI1399" i="3" s="1"/>
  <c r="AH1313" i="3" a="1"/>
  <c r="AH1313" i="3" s="1"/>
  <c r="AG1313" i="3" a="1"/>
  <c r="AG1313" i="3" s="1"/>
  <c r="AI1313" i="3" a="1"/>
  <c r="AI1313" i="3" s="1"/>
  <c r="AH300" i="3" a="1"/>
  <c r="AH300" i="3" s="1"/>
  <c r="AG300" i="3" a="1"/>
  <c r="AG300" i="3" s="1"/>
  <c r="AI300" i="3" a="1"/>
  <c r="AI300" i="3" s="1"/>
  <c r="AG1306" i="3" a="1"/>
  <c r="AG1306" i="3" s="1"/>
  <c r="AI1306" i="3" a="1"/>
  <c r="AI1306" i="3" s="1"/>
  <c r="AH1306" i="3" a="1"/>
  <c r="AH1306" i="3" s="1"/>
  <c r="AI683" i="3" a="1"/>
  <c r="AI683" i="3" s="1"/>
  <c r="AH683" i="3" a="1"/>
  <c r="AH683" i="3" s="1"/>
  <c r="AG683" i="3" a="1"/>
  <c r="AG683" i="3" s="1"/>
  <c r="AG1418" i="3" a="1"/>
  <c r="AG1418" i="3" s="1"/>
  <c r="AH1418" i="3" a="1"/>
  <c r="AH1418" i="3" s="1"/>
  <c r="AI1418" i="3" a="1"/>
  <c r="AI1418" i="3" s="1"/>
  <c r="AG444" i="3" a="1"/>
  <c r="AG444" i="3" s="1"/>
  <c r="AI444" i="3" a="1"/>
  <c r="AI444" i="3" s="1"/>
  <c r="AH444" i="3" a="1"/>
  <c r="AH444" i="3" s="1"/>
  <c r="AH1320" i="3" a="1"/>
  <c r="AH1320" i="3" s="1"/>
  <c r="AI1320" i="3" a="1"/>
  <c r="AI1320" i="3" s="1"/>
  <c r="AG1320" i="3" a="1"/>
  <c r="AG1320" i="3" s="1"/>
  <c r="AH216" i="3" a="1"/>
  <c r="AH216" i="3" s="1"/>
  <c r="AI216" i="3" a="1"/>
  <c r="AI216" i="3" s="1"/>
  <c r="AG216" i="3" a="1"/>
  <c r="AG216" i="3" s="1"/>
  <c r="AG125" i="3" a="1"/>
  <c r="AG125" i="3" s="1"/>
  <c r="AI125" i="3" a="1"/>
  <c r="AI125" i="3" s="1"/>
  <c r="AH125" i="3" a="1"/>
  <c r="AH125" i="3" s="1"/>
  <c r="AI719" i="3" a="1"/>
  <c r="AI719" i="3" s="1"/>
  <c r="AH719" i="3" a="1"/>
  <c r="AH719" i="3" s="1"/>
  <c r="AG719" i="3" a="1"/>
  <c r="AG719" i="3" s="1"/>
  <c r="AG377" i="3" a="1"/>
  <c r="AG377" i="3" s="1"/>
  <c r="AI377" i="3" a="1"/>
  <c r="AI377" i="3" s="1"/>
  <c r="AH377" i="3" a="1"/>
  <c r="AH377" i="3" s="1"/>
  <c r="AH773" i="3" a="1"/>
  <c r="AH773" i="3" s="1"/>
  <c r="AG773" i="3" a="1"/>
  <c r="AG773" i="3" s="1"/>
  <c r="AI773" i="3" a="1"/>
  <c r="AI773" i="3" s="1"/>
  <c r="AG28" i="3" a="1"/>
  <c r="AG28" i="3" s="1"/>
  <c r="AH28" i="3" a="1"/>
  <c r="AH28" i="3" s="1"/>
  <c r="AI28" i="3" a="1"/>
  <c r="AI28" i="3" s="1"/>
  <c r="AH179" i="3" a="1"/>
  <c r="AH179" i="3" s="1"/>
  <c r="AI179" i="3" a="1"/>
  <c r="AI179" i="3" s="1"/>
  <c r="AG179" i="3" a="1"/>
  <c r="AG179" i="3" s="1"/>
  <c r="AG838" i="3" a="1"/>
  <c r="AG838" i="3" s="1"/>
  <c r="AH838" i="3" a="1"/>
  <c r="AH838" i="3" s="1"/>
  <c r="AI838" i="3" a="1"/>
  <c r="AI838" i="3" s="1"/>
  <c r="AI368" i="3" a="1"/>
  <c r="AI368" i="3" s="1"/>
  <c r="AH368" i="3" a="1"/>
  <c r="AH368" i="3" s="1"/>
  <c r="AG368" i="3" a="1"/>
  <c r="AG368" i="3" s="1"/>
  <c r="AI277" i="3" a="1"/>
  <c r="AI277" i="3" s="1"/>
  <c r="AH277" i="3" a="1"/>
  <c r="AH277" i="3" s="1"/>
  <c r="AG277" i="3" a="1"/>
  <c r="AG277" i="3" s="1"/>
  <c r="AH871" i="3" a="1"/>
  <c r="AH871" i="3" s="1"/>
  <c r="AG871" i="3" a="1"/>
  <c r="AG871" i="3" s="1"/>
  <c r="AI871" i="3" a="1"/>
  <c r="AI871" i="3" s="1"/>
  <c r="AI337" i="3" a="1"/>
  <c r="AI337" i="3" s="1"/>
  <c r="AH337" i="3" a="1"/>
  <c r="AH337" i="3" s="1"/>
  <c r="AG337" i="3" a="1"/>
  <c r="AG337" i="3" s="1"/>
  <c r="AG733" i="3" a="1"/>
  <c r="AG733" i="3" s="1"/>
  <c r="AH733" i="3" a="1"/>
  <c r="AH733" i="3" s="1"/>
  <c r="AI733" i="3" a="1"/>
  <c r="AI733" i="3" s="1"/>
  <c r="AG665" i="3" a="1"/>
  <c r="AG665" i="3" s="1"/>
  <c r="AH665" i="3" a="1"/>
  <c r="AH665" i="3" s="1"/>
  <c r="AI665" i="3" a="1"/>
  <c r="AI665" i="3" s="1"/>
  <c r="AI319" i="3" a="1"/>
  <c r="AI319" i="3" s="1"/>
  <c r="AH319" i="3" a="1"/>
  <c r="AH319" i="3" s="1"/>
  <c r="AG319" i="3" a="1"/>
  <c r="AG319" i="3" s="1"/>
  <c r="AG8" i="3" a="1"/>
  <c r="AG8" i="3" s="1"/>
  <c r="AH8" i="3" a="1"/>
  <c r="AH8" i="3" s="1"/>
  <c r="AI8" i="3" a="1"/>
  <c r="AI8" i="3" s="1"/>
  <c r="AI531" i="3" a="1"/>
  <c r="AI531" i="3" s="1"/>
  <c r="AG531" i="3" a="1"/>
  <c r="AG531" i="3" s="1"/>
  <c r="AH531" i="3" a="1"/>
  <c r="AH531" i="3" s="1"/>
  <c r="AG386" i="3" a="1"/>
  <c r="AG386" i="3" s="1"/>
  <c r="AI386" i="3" a="1"/>
  <c r="AI386" i="3" s="1"/>
  <c r="AH386" i="3" a="1"/>
  <c r="AH386" i="3" s="1"/>
  <c r="AH41" i="3" a="1"/>
  <c r="AH41" i="3" s="1"/>
  <c r="AI41" i="3" a="1"/>
  <c r="AI41" i="3" s="1"/>
  <c r="AG41" i="3" a="1"/>
  <c r="AG41" i="3" s="1"/>
  <c r="AG238" i="3" a="1"/>
  <c r="AG238" i="3" s="1"/>
  <c r="AI238" i="3" a="1"/>
  <c r="AI238" i="3" s="1"/>
  <c r="AH238" i="3" a="1"/>
  <c r="AH238" i="3" s="1"/>
  <c r="AG394" i="3" a="1"/>
  <c r="AG394" i="3" s="1"/>
  <c r="AI394" i="3" a="1"/>
  <c r="AI394" i="3" s="1"/>
  <c r="AH394" i="3" a="1"/>
  <c r="AH394" i="3" s="1"/>
  <c r="AI1205" i="3" a="1"/>
  <c r="AI1205" i="3" s="1"/>
  <c r="AG1205" i="3" a="1"/>
  <c r="AG1205" i="3" s="1"/>
  <c r="AH1205" i="3" a="1"/>
  <c r="AH1205" i="3" s="1"/>
  <c r="AI484" i="3" a="1"/>
  <c r="AI484" i="3" s="1"/>
  <c r="AH484" i="3" a="1"/>
  <c r="AH484" i="3" s="1"/>
  <c r="AG484" i="3" a="1"/>
  <c r="AG484" i="3" s="1"/>
  <c r="AG1116" i="3" a="1"/>
  <c r="AG1116" i="3" s="1"/>
  <c r="AH1116" i="3" a="1"/>
  <c r="AH1116" i="3" s="1"/>
  <c r="AI1116" i="3" a="1"/>
  <c r="AI1116" i="3" s="1"/>
  <c r="AG426" i="3" a="1"/>
  <c r="AG426" i="3" s="1"/>
  <c r="AI426" i="3" a="1"/>
  <c r="AI426" i="3" s="1"/>
  <c r="AH426" i="3" a="1"/>
  <c r="AH426" i="3" s="1"/>
  <c r="AH1221" i="3" a="1"/>
  <c r="AH1221" i="3" s="1"/>
  <c r="AG1221" i="3" a="1"/>
  <c r="AG1221" i="3" s="1"/>
  <c r="AI1221" i="3" a="1"/>
  <c r="AI1221" i="3" s="1"/>
  <c r="AH1257" i="3" a="1"/>
  <c r="AH1257" i="3" s="1"/>
  <c r="AG1257" i="3" a="1"/>
  <c r="AG1257" i="3" s="1"/>
  <c r="AI1257" i="3" a="1"/>
  <c r="AI1257" i="3" s="1"/>
  <c r="AI786" i="3" a="1"/>
  <c r="AI786" i="3" s="1"/>
  <c r="AG786" i="3" a="1"/>
  <c r="AG786" i="3" s="1"/>
  <c r="AH786" i="3" a="1"/>
  <c r="AH786" i="3" s="1"/>
  <c r="AG890" i="3" a="1"/>
  <c r="AG890" i="3" s="1"/>
  <c r="AH890" i="3" a="1"/>
  <c r="AH890" i="3" s="1"/>
  <c r="AI890" i="3" a="1"/>
  <c r="AI890" i="3" s="1"/>
  <c r="AH476" i="3" a="1"/>
  <c r="AH476" i="3" s="1"/>
  <c r="AI476" i="3" a="1"/>
  <c r="AI476" i="3" s="1"/>
  <c r="AG476" i="3" a="1"/>
  <c r="AG476" i="3" s="1"/>
  <c r="AI1299" i="3" a="1"/>
  <c r="AI1299" i="3" s="1"/>
  <c r="AH1299" i="3" a="1"/>
  <c r="AH1299" i="3" s="1"/>
  <c r="AG1299" i="3" a="1"/>
  <c r="AG1299" i="3" s="1"/>
  <c r="AI1334" i="3" a="1"/>
  <c r="AI1334" i="3" s="1"/>
  <c r="AG1334" i="3" a="1"/>
  <c r="AG1334" i="3" s="1"/>
  <c r="AH1334" i="3" a="1"/>
  <c r="AH1334" i="3" s="1"/>
  <c r="AG490" i="3" a="1"/>
  <c r="AG490" i="3" s="1"/>
  <c r="AH490" i="3" a="1"/>
  <c r="AH490" i="3" s="1"/>
  <c r="AI490" i="3" a="1"/>
  <c r="AI490" i="3" s="1"/>
  <c r="AH684" i="3" a="1"/>
  <c r="AH684" i="3" s="1"/>
  <c r="AG684" i="3" a="1"/>
  <c r="AG684" i="3" s="1"/>
  <c r="AI684" i="3" a="1"/>
  <c r="AI684" i="3" s="1"/>
  <c r="AH1261" i="3" a="1"/>
  <c r="AH1261" i="3" s="1"/>
  <c r="AG1261" i="3" a="1"/>
  <c r="AG1261" i="3" s="1"/>
  <c r="AI1261" i="3" a="1"/>
  <c r="AI1261" i="3" s="1"/>
  <c r="AG772" i="3" a="1"/>
  <c r="AG772" i="3" s="1"/>
  <c r="AH772" i="3" a="1"/>
  <c r="AH772" i="3" s="1"/>
  <c r="AI772" i="3" a="1"/>
  <c r="AI772" i="3" s="1"/>
  <c r="AH993" i="3" a="1"/>
  <c r="AH993" i="3" s="1"/>
  <c r="AG993" i="3" a="1"/>
  <c r="AG993" i="3" s="1"/>
  <c r="AI993" i="3" a="1"/>
  <c r="AI993" i="3" s="1"/>
  <c r="AH605" i="3" a="1"/>
  <c r="AH605" i="3" s="1"/>
  <c r="AI605" i="3" a="1"/>
  <c r="AI605" i="3" s="1"/>
  <c r="AG605" i="3" a="1"/>
  <c r="AG605" i="3" s="1"/>
  <c r="AI969" i="3" a="1"/>
  <c r="AI969" i="3" s="1"/>
  <c r="AG969" i="3" a="1"/>
  <c r="AG969" i="3" s="1"/>
  <c r="AH969" i="3" a="1"/>
  <c r="AH969" i="3" s="1"/>
  <c r="AH567" i="3" a="1"/>
  <c r="AH567" i="3" s="1"/>
  <c r="AI567" i="3" a="1"/>
  <c r="AI567" i="3" s="1"/>
  <c r="AG567" i="3" a="1"/>
  <c r="AG567" i="3" s="1"/>
  <c r="AI931" i="3" a="1"/>
  <c r="AI931" i="3" s="1"/>
  <c r="AH931" i="3" a="1"/>
  <c r="AH931" i="3" s="1"/>
  <c r="AG931" i="3" a="1"/>
  <c r="AG931" i="3" s="1"/>
  <c r="AG1426" i="3" a="1"/>
  <c r="AG1426" i="3" s="1"/>
  <c r="AH1426" i="3" a="1"/>
  <c r="AH1426" i="3" s="1"/>
  <c r="AI1426" i="3" a="1"/>
  <c r="AI1426" i="3" s="1"/>
  <c r="AG565" i="3" a="1"/>
  <c r="AG565" i="3" s="1"/>
  <c r="AH565" i="3" a="1"/>
  <c r="AH565" i="3" s="1"/>
  <c r="AI565" i="3" a="1"/>
  <c r="AI565" i="3" s="1"/>
  <c r="AG581" i="3" a="1"/>
  <c r="AG581" i="3" s="1"/>
  <c r="AI581" i="3" a="1"/>
  <c r="AI581" i="3" s="1"/>
  <c r="AH581" i="3" a="1"/>
  <c r="AH581" i="3" s="1"/>
  <c r="AG1319" i="3" a="1"/>
  <c r="AG1319" i="3" s="1"/>
  <c r="AI1319" i="3" a="1"/>
  <c r="AI1319" i="3" s="1"/>
  <c r="AH1319" i="3" a="1"/>
  <c r="AH1319" i="3" s="1"/>
  <c r="AI474" i="3" a="1"/>
  <c r="AI474" i="3" s="1"/>
  <c r="AH474" i="3" a="1"/>
  <c r="AH474" i="3" s="1"/>
  <c r="AG474" i="3" a="1"/>
  <c r="AG474" i="3" s="1"/>
  <c r="AG113" i="3" a="1"/>
  <c r="AG113" i="3" s="1"/>
  <c r="AI113" i="3" a="1"/>
  <c r="AI113" i="3" s="1"/>
  <c r="AH113" i="3" a="1"/>
  <c r="AH113" i="3" s="1"/>
  <c r="AG382" i="3" a="1"/>
  <c r="AG382" i="3" s="1"/>
  <c r="AH382" i="3" a="1"/>
  <c r="AH382" i="3" s="1"/>
  <c r="AI382" i="3" a="1"/>
  <c r="AI382" i="3" s="1"/>
  <c r="AH696" i="3" a="1"/>
  <c r="AH696" i="3" s="1"/>
  <c r="AI696" i="3" a="1"/>
  <c r="AI696" i="3" s="1"/>
  <c r="AG696" i="3" a="1"/>
  <c r="AG696" i="3" s="1"/>
  <c r="AG107" i="3" a="1"/>
  <c r="AG107" i="3" s="1"/>
  <c r="AI107" i="3" a="1"/>
  <c r="AI107" i="3" s="1"/>
  <c r="AH107" i="3" a="1"/>
  <c r="AH107" i="3" s="1"/>
  <c r="AG766" i="3" a="1"/>
  <c r="AG766" i="3" s="1"/>
  <c r="AH766" i="3" a="1"/>
  <c r="AH766" i="3" s="1"/>
  <c r="AI766" i="3" a="1"/>
  <c r="AI766" i="3" s="1"/>
  <c r="AH232" i="3" a="1"/>
  <c r="AH232" i="3" s="1"/>
  <c r="AG232" i="3" a="1"/>
  <c r="AG232" i="3" s="1"/>
  <c r="AI232" i="3" a="1"/>
  <c r="AI232" i="3" s="1"/>
  <c r="AH141" i="3" a="1"/>
  <c r="AH141" i="3" s="1"/>
  <c r="AG141" i="3" a="1"/>
  <c r="AG141" i="3" s="1"/>
  <c r="AI141" i="3" a="1"/>
  <c r="AI141" i="3" s="1"/>
  <c r="AI735" i="3" a="1"/>
  <c r="AI735" i="3" s="1"/>
  <c r="AH735" i="3" a="1"/>
  <c r="AH735" i="3" s="1"/>
  <c r="AG735" i="3" a="1"/>
  <c r="AG735" i="3" s="1"/>
  <c r="AH265" i="3" a="1"/>
  <c r="AH265" i="3" s="1"/>
  <c r="AG265" i="3" a="1"/>
  <c r="AG265" i="3" s="1"/>
  <c r="AI265" i="3" a="1"/>
  <c r="AI265" i="3" s="1"/>
  <c r="AI653" i="3" a="1"/>
  <c r="AI653" i="3" s="1"/>
  <c r="AG653" i="3" a="1"/>
  <c r="AG653" i="3" s="1"/>
  <c r="AH653" i="3" a="1"/>
  <c r="AH653" i="3" s="1"/>
  <c r="AH848" i="3" a="1"/>
  <c r="AH848" i="3" s="1"/>
  <c r="AG848" i="3" a="1"/>
  <c r="AG848" i="3" s="1"/>
  <c r="AI848" i="3" a="1"/>
  <c r="AI848" i="3" s="1"/>
  <c r="AH67" i="3" a="1"/>
  <c r="AH67" i="3" s="1"/>
  <c r="AI67" i="3" a="1"/>
  <c r="AI67" i="3" s="1"/>
  <c r="AG67" i="3" a="1"/>
  <c r="AG67" i="3" s="1"/>
  <c r="AG47" i="3" a="1"/>
  <c r="AG47" i="3" s="1"/>
  <c r="AH47" i="3" a="1"/>
  <c r="AH47" i="3" s="1"/>
  <c r="AI47" i="3" a="1"/>
  <c r="AI47" i="3" s="1"/>
  <c r="AI395" i="3" a="1"/>
  <c r="AI395" i="3" s="1"/>
  <c r="AH395" i="3" a="1"/>
  <c r="AH395" i="3" s="1"/>
  <c r="AG395" i="3" a="1"/>
  <c r="AG395" i="3" s="1"/>
  <c r="AG52" i="3" a="1"/>
  <c r="AG52" i="3" s="1"/>
  <c r="AH52" i="3" a="1"/>
  <c r="AH52" i="3" s="1"/>
  <c r="AI52" i="3" a="1"/>
  <c r="AI52" i="3" s="1"/>
  <c r="AI584" i="3" a="1"/>
  <c r="AI584" i="3" s="1"/>
  <c r="AH584" i="3" a="1"/>
  <c r="AH584" i="3" s="1"/>
  <c r="AG584" i="3" a="1"/>
  <c r="AG584" i="3" s="1"/>
  <c r="AI493" i="3" a="1"/>
  <c r="AI493" i="3" s="1"/>
  <c r="AH493" i="3" a="1"/>
  <c r="AH493" i="3" s="1"/>
  <c r="AG493" i="3" a="1"/>
  <c r="AG493" i="3" s="1"/>
  <c r="AI340" i="3" a="1"/>
  <c r="AI340" i="3" s="1"/>
  <c r="AH340" i="3" a="1"/>
  <c r="AH340" i="3" s="1"/>
  <c r="AG340" i="3" a="1"/>
  <c r="AG340" i="3" s="1"/>
  <c r="AH617" i="3" a="1"/>
  <c r="AH617" i="3" s="1"/>
  <c r="AG617" i="3" a="1"/>
  <c r="AG617" i="3" s="1"/>
  <c r="AI617" i="3" a="1"/>
  <c r="AI617" i="3" s="1"/>
  <c r="AH223" i="3" a="1"/>
  <c r="AH223" i="3" s="1"/>
  <c r="AG223" i="3" a="1"/>
  <c r="AG223" i="3" s="1"/>
  <c r="AI223" i="3" a="1"/>
  <c r="AI223" i="3" s="1"/>
  <c r="AH1075" i="3" a="1"/>
  <c r="AH1075" i="3" s="1"/>
  <c r="AG1075" i="3" a="1"/>
  <c r="AG1075" i="3" s="1"/>
  <c r="AI1075" i="3" a="1"/>
  <c r="AI1075" i="3" s="1"/>
  <c r="AI1110" i="3" a="1"/>
  <c r="AI1110" i="3" s="1"/>
  <c r="AH1110" i="3" a="1"/>
  <c r="AH1110" i="3" s="1"/>
  <c r="AG1110" i="3" a="1"/>
  <c r="AG1110" i="3" s="1"/>
  <c r="AH929" i="3" a="1"/>
  <c r="AH929" i="3" s="1"/>
  <c r="AG929" i="3" a="1"/>
  <c r="AG929" i="3" s="1"/>
  <c r="AI929" i="3" a="1"/>
  <c r="AI929" i="3" s="1"/>
  <c r="AG1018" i="3" a="1"/>
  <c r="AG1018" i="3" s="1"/>
  <c r="AI1018" i="3" a="1"/>
  <c r="AI1018" i="3" s="1"/>
  <c r="AH1018" i="3" a="1"/>
  <c r="AH1018" i="3" s="1"/>
  <c r="AI1091" i="3" a="1"/>
  <c r="AI1091" i="3" s="1"/>
  <c r="AG1091" i="3" a="1"/>
  <c r="AG1091" i="3" s="1"/>
  <c r="AH1091" i="3" a="1"/>
  <c r="AH1091" i="3" s="1"/>
  <c r="AI1126" i="3" a="1"/>
  <c r="AI1126" i="3" s="1"/>
  <c r="AG1126" i="3" a="1"/>
  <c r="AG1126" i="3" s="1"/>
  <c r="AH1126" i="3" a="1"/>
  <c r="AH1126" i="3" s="1"/>
  <c r="AG1440" i="3" a="1"/>
  <c r="AG1440" i="3" s="1"/>
  <c r="AH1440" i="3" a="1"/>
  <c r="AH1440" i="3" s="1"/>
  <c r="AI1440" i="3" a="1"/>
  <c r="AI1440" i="3" s="1"/>
  <c r="AI166" i="3" a="1"/>
  <c r="AI166" i="3" s="1"/>
  <c r="AH166" i="3" a="1"/>
  <c r="AH166" i="3" s="1"/>
  <c r="AG166" i="3" a="1"/>
  <c r="AG166" i="3" s="1"/>
  <c r="AG391" i="3" a="1"/>
  <c r="AG391" i="3" s="1"/>
  <c r="AI391" i="3" a="1"/>
  <c r="AI391" i="3" s="1"/>
  <c r="AH391" i="3" a="1"/>
  <c r="AH391" i="3" s="1"/>
  <c r="AH920" i="3" a="1"/>
  <c r="AH920" i="3" s="1"/>
  <c r="AG920" i="3" a="1"/>
  <c r="AG920" i="3" s="1"/>
  <c r="AI920" i="3" a="1"/>
  <c r="AI920" i="3" s="1"/>
  <c r="AI1204" i="3" a="1"/>
  <c r="AI1204" i="3" s="1"/>
  <c r="AH1204" i="3" a="1"/>
  <c r="AH1204" i="3" s="1"/>
  <c r="AG1204" i="3" a="1"/>
  <c r="AG1204" i="3" s="1"/>
  <c r="AI1231" i="3" a="1"/>
  <c r="AI1231" i="3" s="1"/>
  <c r="AG1231" i="3" a="1"/>
  <c r="AG1231" i="3" s="1"/>
  <c r="AH1231" i="3" a="1"/>
  <c r="AH1231" i="3" s="1"/>
  <c r="AG1412" i="3" a="1"/>
  <c r="AG1412" i="3" s="1"/>
  <c r="AI1412" i="3" a="1"/>
  <c r="AI1412" i="3" s="1"/>
  <c r="AH1412" i="3" a="1"/>
  <c r="AH1412" i="3" s="1"/>
  <c r="AH1114" i="3" a="1"/>
  <c r="AH1114" i="3" s="1"/>
  <c r="AG1114" i="3" a="1"/>
  <c r="AG1114" i="3" s="1"/>
  <c r="AI1114" i="3" a="1"/>
  <c r="AI1114" i="3" s="1"/>
  <c r="AI1119" i="3" a="1"/>
  <c r="AI1119" i="3" s="1"/>
  <c r="AG1119" i="3" a="1"/>
  <c r="AG1119" i="3" s="1"/>
  <c r="AH1119" i="3" a="1"/>
  <c r="AH1119" i="3" s="1"/>
  <c r="AI705" i="3" a="1"/>
  <c r="AI705" i="3" s="1"/>
  <c r="AG705" i="3" a="1"/>
  <c r="AG705" i="3" s="1"/>
  <c r="AH705" i="3" a="1"/>
  <c r="AH705" i="3" s="1"/>
  <c r="AH1377" i="3" a="1"/>
  <c r="AH1377" i="3" s="1"/>
  <c r="AG1377" i="3" a="1"/>
  <c r="AG1377" i="3" s="1"/>
  <c r="AI1377" i="3" a="1"/>
  <c r="AI1377" i="3" s="1"/>
  <c r="AI62" i="3" a="1"/>
  <c r="AI62" i="3" s="1"/>
  <c r="AG62" i="3" a="1"/>
  <c r="AG62" i="3" s="1"/>
  <c r="AH62" i="3" a="1"/>
  <c r="AH62" i="3" s="1"/>
  <c r="AH1210" i="3" a="1"/>
  <c r="AH1210" i="3" s="1"/>
  <c r="AG1210" i="3" a="1"/>
  <c r="AG1210" i="3" s="1"/>
  <c r="AI1210" i="3" a="1"/>
  <c r="AI1210" i="3" s="1"/>
  <c r="AH1226" i="3" a="1"/>
  <c r="AH1226" i="3" s="1"/>
  <c r="AG1226" i="3" a="1"/>
  <c r="AG1226" i="3" s="1"/>
  <c r="AI1226" i="3" a="1"/>
  <c r="AI1226" i="3" s="1"/>
  <c r="AI1431" i="3" a="1"/>
  <c r="AI1431" i="3" s="1"/>
  <c r="AG1431" i="3" a="1"/>
  <c r="AG1431" i="3" s="1"/>
  <c r="AH1431" i="3" a="1"/>
  <c r="AH1431" i="3" s="1"/>
  <c r="AH914" i="3" a="1"/>
  <c r="AH914" i="3" s="1"/>
  <c r="AG914" i="3" a="1"/>
  <c r="AG914" i="3" s="1"/>
  <c r="AI914" i="3" a="1"/>
  <c r="AI914" i="3" s="1"/>
  <c r="AH396" i="3" a="1"/>
  <c r="AH396" i="3" s="1"/>
  <c r="AI396" i="3" a="1"/>
  <c r="AI396" i="3" s="1"/>
  <c r="AG396" i="3" a="1"/>
  <c r="AG396" i="3" s="1"/>
  <c r="AH378" i="3" a="1"/>
  <c r="AH378" i="3" s="1"/>
  <c r="AG378" i="3" a="1"/>
  <c r="AG378" i="3" s="1"/>
  <c r="AI378" i="3" a="1"/>
  <c r="AI378" i="3" s="1"/>
  <c r="AG1424" i="3" a="1"/>
  <c r="AG1424" i="3" s="1"/>
  <c r="AH1424" i="3" a="1"/>
  <c r="AH1424" i="3" s="1"/>
  <c r="AI1424" i="3" a="1"/>
  <c r="AI1424" i="3" s="1"/>
  <c r="AG1079" i="3" a="1"/>
  <c r="AG1079" i="3" s="1"/>
  <c r="AH1079" i="3" a="1"/>
  <c r="AH1079" i="3" s="1"/>
  <c r="AI1079" i="3" a="1"/>
  <c r="AI1079" i="3" s="1"/>
  <c r="AH10" i="3" a="1"/>
  <c r="AH10" i="3" s="1"/>
  <c r="AI10" i="3" a="1"/>
  <c r="AI10" i="3" s="1"/>
  <c r="AG10" i="3" a="1"/>
  <c r="AG10" i="3" s="1"/>
  <c r="AI367" i="3" a="1"/>
  <c r="AI367" i="3" s="1"/>
  <c r="AH367" i="3" a="1"/>
  <c r="AH367" i="3" s="1"/>
  <c r="AG367" i="3" a="1"/>
  <c r="AG367" i="3" s="1"/>
  <c r="AG160" i="3" a="1"/>
  <c r="AG160" i="3" s="1"/>
  <c r="AI160" i="3" a="1"/>
  <c r="AI160" i="3" s="1"/>
  <c r="AH160" i="3" a="1"/>
  <c r="AH160" i="3" s="1"/>
  <c r="AI69" i="3" a="1"/>
  <c r="AI69" i="3" s="1"/>
  <c r="AG69" i="3" a="1"/>
  <c r="AG69" i="3" s="1"/>
  <c r="AH69" i="3" a="1"/>
  <c r="AH69" i="3" s="1"/>
  <c r="AG655" i="3" a="1"/>
  <c r="AG655" i="3" s="1"/>
  <c r="AH655" i="3" a="1"/>
  <c r="AH655" i="3" s="1"/>
  <c r="AI655" i="3" a="1"/>
  <c r="AI655" i="3" s="1"/>
  <c r="AI129" i="3" a="1"/>
  <c r="AI129" i="3" s="1"/>
  <c r="AH129" i="3" a="1"/>
  <c r="AH129" i="3" s="1"/>
  <c r="AG129" i="3" a="1"/>
  <c r="AG129" i="3" s="1"/>
  <c r="AH414" i="3" a="1"/>
  <c r="AH414" i="3" s="1"/>
  <c r="AI414" i="3" a="1"/>
  <c r="AI414" i="3" s="1"/>
  <c r="AG414" i="3" a="1"/>
  <c r="AG414" i="3" s="1"/>
  <c r="AI712" i="3" a="1"/>
  <c r="AI712" i="3" s="1"/>
  <c r="AH712" i="3" a="1"/>
  <c r="AH712" i="3" s="1"/>
  <c r="AG712" i="3" a="1"/>
  <c r="AG712" i="3" s="1"/>
  <c r="AG162" i="3" a="1"/>
  <c r="AG162" i="3" s="1"/>
  <c r="AH162" i="3" a="1"/>
  <c r="AH162" i="3" s="1"/>
  <c r="AI162" i="3" a="1"/>
  <c r="AI162" i="3" s="1"/>
  <c r="AH644" i="3" a="1"/>
  <c r="AH644" i="3" s="1"/>
  <c r="AG644" i="3" a="1"/>
  <c r="AG644" i="3" s="1"/>
  <c r="AI644" i="3" a="1"/>
  <c r="AI644" i="3" s="1"/>
  <c r="AG120" i="3" a="1"/>
  <c r="AG120" i="3" s="1"/>
  <c r="AI120" i="3" a="1"/>
  <c r="AI120" i="3" s="1"/>
  <c r="AH120" i="3" a="1"/>
  <c r="AH120" i="3" s="1"/>
  <c r="AH29" i="3" a="1"/>
  <c r="AH29" i="3" s="1"/>
  <c r="AI29" i="3" a="1"/>
  <c r="AI29" i="3" s="1"/>
  <c r="AG29" i="3" a="1"/>
  <c r="AG29" i="3" s="1"/>
  <c r="AG448" i="3" a="1"/>
  <c r="AG448" i="3" s="1"/>
  <c r="AI448" i="3" a="1"/>
  <c r="AI448" i="3" s="1"/>
  <c r="AH448" i="3" a="1"/>
  <c r="AH448" i="3" s="1"/>
  <c r="AI357" i="3" a="1"/>
  <c r="AI357" i="3" s="1"/>
  <c r="AH357" i="3" a="1"/>
  <c r="AH357" i="3" s="1"/>
  <c r="AG357" i="3" a="1"/>
  <c r="AG357" i="3" s="1"/>
  <c r="AH951" i="3" a="1"/>
  <c r="AH951" i="3" s="1"/>
  <c r="AI951" i="3" a="1"/>
  <c r="AI951" i="3" s="1"/>
  <c r="AG951" i="3" a="1"/>
  <c r="AG951" i="3" s="1"/>
  <c r="AI481" i="3" a="1"/>
  <c r="AI481" i="3" s="1"/>
  <c r="AH481" i="3" a="1"/>
  <c r="AH481" i="3" s="1"/>
  <c r="AG481" i="3" a="1"/>
  <c r="AG481" i="3" s="1"/>
  <c r="AH877" i="3" a="1"/>
  <c r="AH877" i="3" s="1"/>
  <c r="AG877" i="3" a="1"/>
  <c r="AG877" i="3" s="1"/>
  <c r="AI877" i="3" a="1"/>
  <c r="AI877" i="3" s="1"/>
  <c r="AI310" i="3" a="1"/>
  <c r="AI310" i="3" s="1"/>
  <c r="AH310" i="3" a="1"/>
  <c r="AH310" i="3" s="1"/>
  <c r="AG310" i="3" a="1"/>
  <c r="AG310" i="3" s="1"/>
  <c r="AI347" i="3" a="1"/>
  <c r="AI347" i="3" s="1"/>
  <c r="AH347" i="3" a="1"/>
  <c r="AH347" i="3" s="1"/>
  <c r="AG347" i="3" a="1"/>
  <c r="AG347" i="3" s="1"/>
  <c r="AH598" i="3" a="1"/>
  <c r="AH598" i="3" s="1"/>
  <c r="AG598" i="3" a="1"/>
  <c r="AG598" i="3" s="1"/>
  <c r="AI598" i="3" a="1"/>
  <c r="AI598" i="3" s="1"/>
  <c r="AG971" i="3" a="1"/>
  <c r="AG971" i="3" s="1"/>
  <c r="AI971" i="3" a="1"/>
  <c r="AI971" i="3" s="1"/>
  <c r="AH971" i="3" a="1"/>
  <c r="AH971" i="3" s="1"/>
  <c r="AG1002" i="3" a="1"/>
  <c r="AG1002" i="3" s="1"/>
  <c r="AI1002" i="3" a="1"/>
  <c r="AI1002" i="3" s="1"/>
  <c r="AH1002" i="3" a="1"/>
  <c r="AH1002" i="3" s="1"/>
  <c r="AI722" i="3" a="1"/>
  <c r="AI722" i="3" s="1"/>
  <c r="AH722" i="3" a="1"/>
  <c r="AH722" i="3" s="1"/>
  <c r="AG722" i="3" a="1"/>
  <c r="AG722" i="3" s="1"/>
  <c r="AH687" i="3" a="1"/>
  <c r="AH687" i="3" s="1"/>
  <c r="AI687" i="3" a="1"/>
  <c r="AI687" i="3" s="1"/>
  <c r="AG687" i="3" a="1"/>
  <c r="AG687" i="3" s="1"/>
  <c r="AH989" i="3" a="1"/>
  <c r="AH989" i="3" s="1"/>
  <c r="AG989" i="3" a="1"/>
  <c r="AG989" i="3" s="1"/>
  <c r="AI989" i="3" a="1"/>
  <c r="AI989" i="3" s="1"/>
  <c r="AH1020" i="3" a="1"/>
  <c r="AH1020" i="3" s="1"/>
  <c r="AG1020" i="3" a="1"/>
  <c r="AG1020" i="3" s="1"/>
  <c r="AI1020" i="3" a="1"/>
  <c r="AI1020" i="3" s="1"/>
  <c r="AH602" i="3" a="1"/>
  <c r="AH602" i="3" s="1"/>
  <c r="AG602" i="3" a="1"/>
  <c r="AG602" i="3" s="1"/>
  <c r="AI602" i="3" a="1"/>
  <c r="AI602" i="3" s="1"/>
  <c r="AI1388" i="3" a="1"/>
  <c r="AI1388" i="3" s="1"/>
  <c r="AH1388" i="3" a="1"/>
  <c r="AH1388" i="3" s="1"/>
  <c r="AG1388" i="3" a="1"/>
  <c r="AG1388" i="3" s="1"/>
  <c r="AI1415" i="3" a="1"/>
  <c r="AI1415" i="3" s="1"/>
  <c r="AH1415" i="3" a="1"/>
  <c r="AH1415" i="3" s="1"/>
  <c r="AG1415" i="3" a="1"/>
  <c r="AG1415" i="3" s="1"/>
  <c r="AI202" i="3" a="1"/>
  <c r="AI202" i="3" s="1"/>
  <c r="AG202" i="3" a="1"/>
  <c r="AG202" i="3" s="1"/>
  <c r="AH202" i="3" a="1"/>
  <c r="AH202" i="3" s="1"/>
  <c r="AI1109" i="3" a="1"/>
  <c r="AI1109" i="3" s="1"/>
  <c r="AH1109" i="3" a="1"/>
  <c r="AH1109" i="3" s="1"/>
  <c r="AG1109" i="3" a="1"/>
  <c r="AG1109" i="3" s="1"/>
  <c r="AH1145" i="3" a="1"/>
  <c r="AH1145" i="3" s="1"/>
  <c r="AI1145" i="3" a="1"/>
  <c r="AI1145" i="3" s="1"/>
  <c r="AG1145" i="3" a="1"/>
  <c r="AG1145" i="3" s="1"/>
  <c r="AI1406" i="3" a="1"/>
  <c r="AI1406" i="3" s="1"/>
  <c r="AG1406" i="3" a="1"/>
  <c r="AG1406" i="3" s="1"/>
  <c r="AH1406" i="3" a="1"/>
  <c r="AH1406" i="3" s="1"/>
  <c r="AH841" i="3" a="1"/>
  <c r="AH841" i="3" s="1"/>
  <c r="AG841" i="3" a="1"/>
  <c r="AG841" i="3" s="1"/>
  <c r="AI841" i="3" a="1"/>
  <c r="AI841" i="3" s="1"/>
  <c r="AI460" i="3" a="1"/>
  <c r="AI460" i="3" s="1"/>
  <c r="AH460" i="3" a="1"/>
  <c r="AH460" i="3" s="1"/>
  <c r="AG460" i="3" a="1"/>
  <c r="AG460" i="3" s="1"/>
  <c r="AI924" i="3" a="1"/>
  <c r="AI924" i="3" s="1"/>
  <c r="AH924" i="3" a="1"/>
  <c r="AH924" i="3" s="1"/>
  <c r="AG924" i="3" a="1"/>
  <c r="AG924" i="3" s="1"/>
  <c r="AG1021" i="3" a="1"/>
  <c r="AG1021" i="3" s="1"/>
  <c r="AI1021" i="3" a="1"/>
  <c r="AI1021" i="3" s="1"/>
  <c r="AH1021" i="3" a="1"/>
  <c r="AH1021" i="3" s="1"/>
  <c r="AG1438" i="3" a="1"/>
  <c r="AG1438" i="3" s="1"/>
  <c r="AI1438" i="3" a="1"/>
  <c r="AI1438" i="3" s="1"/>
  <c r="AH1438" i="3" a="1"/>
  <c r="AH1438" i="3" s="1"/>
  <c r="AI1184" i="3" a="1"/>
  <c r="AI1184" i="3" s="1"/>
  <c r="AH1184" i="3" a="1"/>
  <c r="AH1184" i="3" s="1"/>
  <c r="AG1184" i="3" a="1"/>
  <c r="AG1184" i="3" s="1"/>
  <c r="AI618" i="3" a="1"/>
  <c r="AI618" i="3" s="1"/>
  <c r="AH618" i="3" a="1"/>
  <c r="AH618" i="3" s="1"/>
  <c r="AG618" i="3" a="1"/>
  <c r="AG618" i="3" s="1"/>
  <c r="AH1005" i="3" a="1"/>
  <c r="AH1005" i="3" s="1"/>
  <c r="AI1005" i="3" a="1"/>
  <c r="AI1005" i="3" s="1"/>
  <c r="AG1005" i="3" a="1"/>
  <c r="AG1005" i="3" s="1"/>
  <c r="AG752" i="3" a="1"/>
  <c r="AG752" i="3" s="1"/>
  <c r="AI752" i="3" a="1"/>
  <c r="AI752" i="3" s="1"/>
  <c r="AH752" i="3" a="1"/>
  <c r="AH752" i="3" s="1"/>
  <c r="AH1042" i="3" a="1"/>
  <c r="AH1042" i="3" s="1"/>
  <c r="AI1042" i="3" a="1"/>
  <c r="AI1042" i="3" s="1"/>
  <c r="AG1042" i="3" a="1"/>
  <c r="AG1042" i="3" s="1"/>
  <c r="AH1356" i="3" a="1"/>
  <c r="AH1356" i="3" s="1"/>
  <c r="AI1356" i="3" a="1"/>
  <c r="AI1356" i="3" s="1"/>
  <c r="AG1356" i="3" a="1"/>
  <c r="AG1356" i="3" s="1"/>
  <c r="AI1050" i="3" a="1"/>
  <c r="AI1050" i="3" s="1"/>
  <c r="AG1050" i="3" a="1"/>
  <c r="AG1050" i="3" s="1"/>
  <c r="AH1050" i="3" a="1"/>
  <c r="AH1050" i="3" s="1"/>
  <c r="AH71" i="3" a="1"/>
  <c r="AH71" i="3" s="1"/>
  <c r="AI71" i="3" a="1"/>
  <c r="AI71" i="3" s="1"/>
  <c r="AG71" i="3" a="1"/>
  <c r="AG71" i="3" s="1"/>
  <c r="AG419" i="3" a="1"/>
  <c r="AG419" i="3" s="1"/>
  <c r="AI419" i="3" a="1"/>
  <c r="AI419" i="3" s="1"/>
  <c r="AH419" i="3" a="1"/>
  <c r="AH419" i="3" s="1"/>
  <c r="AI148" i="3" a="1"/>
  <c r="AI148" i="3" s="1"/>
  <c r="AH148" i="3" a="1"/>
  <c r="AH148" i="3" s="1"/>
  <c r="AG148" i="3" a="1"/>
  <c r="AG148" i="3" s="1"/>
  <c r="AG57" i="3" a="1"/>
  <c r="AG57" i="3" s="1"/>
  <c r="AI57" i="3" a="1"/>
  <c r="AI57" i="3" s="1"/>
  <c r="AH57" i="3" a="1"/>
  <c r="AH57" i="3" s="1"/>
  <c r="AG270" i="3" a="1"/>
  <c r="AG270" i="3" s="1"/>
  <c r="AI270" i="3" a="1"/>
  <c r="AI270" i="3" s="1"/>
  <c r="AH270" i="3" a="1"/>
  <c r="AH270" i="3" s="1"/>
  <c r="AG626" i="3" a="1"/>
  <c r="AG626" i="3" s="1"/>
  <c r="AH626" i="3" a="1"/>
  <c r="AH626" i="3" s="1"/>
  <c r="AI626" i="3" a="1"/>
  <c r="AI626" i="3" s="1"/>
  <c r="AG26" i="3" a="1"/>
  <c r="AG26" i="3" s="1"/>
  <c r="AI26" i="3" a="1"/>
  <c r="AI26" i="3" s="1"/>
  <c r="AH26" i="3" a="1"/>
  <c r="AH26" i="3" s="1"/>
  <c r="AH399" i="3" a="1"/>
  <c r="AH399" i="3" s="1"/>
  <c r="AI399" i="3" a="1"/>
  <c r="AI399" i="3" s="1"/>
  <c r="AG399" i="3" a="1"/>
  <c r="AG399" i="3" s="1"/>
  <c r="AG48" i="3" a="1"/>
  <c r="AG48" i="3" s="1"/>
  <c r="AH48" i="3" a="1"/>
  <c r="AH48" i="3" s="1"/>
  <c r="AI48" i="3" a="1"/>
  <c r="AI48" i="3" s="1"/>
  <c r="AH571" i="3" a="1"/>
  <c r="AH571" i="3" s="1"/>
  <c r="AG571" i="3" a="1"/>
  <c r="AG571" i="3" s="1"/>
  <c r="AI571" i="3" a="1"/>
  <c r="AI571" i="3" s="1"/>
  <c r="AI466" i="3" a="1"/>
  <c r="AI466" i="3" s="1"/>
  <c r="AH466" i="3" a="1"/>
  <c r="AH466" i="3" s="1"/>
  <c r="AG466" i="3" a="1"/>
  <c r="AG466" i="3" s="1"/>
  <c r="AH17" i="3" a="1"/>
  <c r="AH17" i="3" s="1"/>
  <c r="AG17" i="3" a="1"/>
  <c r="AG17" i="3" s="1"/>
  <c r="AI17" i="3" a="1"/>
  <c r="AI17" i="3" s="1"/>
  <c r="AH190" i="3" a="1"/>
  <c r="AH190" i="3" s="1"/>
  <c r="AG190" i="3" a="1"/>
  <c r="AG190" i="3" s="1"/>
  <c r="AI190" i="3" a="1"/>
  <c r="AI190" i="3" s="1"/>
  <c r="AI345" i="3" a="1"/>
  <c r="AI345" i="3" s="1"/>
  <c r="AH345" i="3" a="1"/>
  <c r="AH345" i="3" s="1"/>
  <c r="AG345" i="3" a="1"/>
  <c r="AG345" i="3" s="1"/>
  <c r="AG741" i="3" a="1"/>
  <c r="AG741" i="3" s="1"/>
  <c r="AH741" i="3" a="1"/>
  <c r="AH741" i="3" s="1"/>
  <c r="AI741" i="3" a="1"/>
  <c r="AI741" i="3" s="1"/>
  <c r="AI928" i="3" a="1"/>
  <c r="AI928" i="3" s="1"/>
  <c r="AG928" i="3" a="1"/>
  <c r="AG928" i="3" s="1"/>
  <c r="AH928" i="3" a="1"/>
  <c r="AH928" i="3" s="1"/>
  <c r="AH211" i="3" a="1"/>
  <c r="AH211" i="3" s="1"/>
  <c r="AG211" i="3" a="1"/>
  <c r="AG211" i="3" s="1"/>
  <c r="AI211" i="3" a="1"/>
  <c r="AI211" i="3" s="1"/>
  <c r="AG870" i="3" a="1"/>
  <c r="AG870" i="3" s="1"/>
  <c r="AH870" i="3" a="1"/>
  <c r="AH870" i="3" s="1"/>
  <c r="AI870" i="3" a="1"/>
  <c r="AI870" i="3" s="1"/>
  <c r="AH400" i="3" a="1"/>
  <c r="AH400" i="3" s="1"/>
  <c r="AG400" i="3" a="1"/>
  <c r="AG400" i="3" s="1"/>
  <c r="AI400" i="3" a="1"/>
  <c r="AI400" i="3" s="1"/>
  <c r="AG309" i="3" a="1"/>
  <c r="AG309" i="3" s="1"/>
  <c r="AI309" i="3" a="1"/>
  <c r="AI309" i="3" s="1"/>
  <c r="AH309" i="3" a="1"/>
  <c r="AH309" i="3" s="1"/>
  <c r="AH793" i="3" a="1"/>
  <c r="AH793" i="3" s="1"/>
  <c r="AG793" i="3" a="1"/>
  <c r="AG793" i="3" s="1"/>
  <c r="AI793" i="3" a="1"/>
  <c r="AI793" i="3" s="1"/>
  <c r="AH698" i="3" a="1"/>
  <c r="AH698" i="3" s="1"/>
  <c r="AI698" i="3" a="1"/>
  <c r="AI698" i="3" s="1"/>
  <c r="AG698" i="3" a="1"/>
  <c r="AG698" i="3" s="1"/>
  <c r="AG834" i="3" a="1"/>
  <c r="AG834" i="3" s="1"/>
  <c r="AI834" i="3" a="1"/>
  <c r="AI834" i="3" s="1"/>
  <c r="AH834" i="3" a="1"/>
  <c r="AH834" i="3" s="1"/>
  <c r="AI1467" i="3" a="1"/>
  <c r="AI1467" i="3" s="1"/>
  <c r="AH1467" i="3" a="1"/>
  <c r="AH1467" i="3" s="1"/>
  <c r="AG1467" i="3" a="1"/>
  <c r="AG1467" i="3" s="1"/>
  <c r="AI809" i="3" a="1"/>
  <c r="AI809" i="3" s="1"/>
  <c r="AH809" i="3" a="1"/>
  <c r="AH809" i="3" s="1"/>
  <c r="AG809" i="3" a="1"/>
  <c r="AG809" i="3" s="1"/>
  <c r="AG762" i="3" a="1"/>
  <c r="AG762" i="3" s="1"/>
  <c r="AH762" i="3" a="1"/>
  <c r="AH762" i="3" s="1"/>
  <c r="AI762" i="3" a="1"/>
  <c r="AI762" i="3" s="1"/>
  <c r="AG875" i="3" a="1"/>
  <c r="AG875" i="3" s="1"/>
  <c r="AH875" i="3" a="1"/>
  <c r="AH875" i="3" s="1"/>
  <c r="AI875" i="3" a="1"/>
  <c r="AI875" i="3" s="1"/>
  <c r="AH566" i="3" a="1"/>
  <c r="AH566" i="3" s="1"/>
  <c r="AG566" i="3" a="1"/>
  <c r="AG566" i="3" s="1"/>
  <c r="AI566" i="3" a="1"/>
  <c r="AI566" i="3" s="1"/>
  <c r="AH1293" i="3" a="1"/>
  <c r="AH1293" i="3" s="1"/>
  <c r="AI1293" i="3" a="1"/>
  <c r="AI1293" i="3" s="1"/>
  <c r="AG1293" i="3" a="1"/>
  <c r="AG1293" i="3" s="1"/>
  <c r="AH1329" i="3" a="1"/>
  <c r="AH1329" i="3" s="1"/>
  <c r="AI1329" i="3" a="1"/>
  <c r="AI1329" i="3" s="1"/>
  <c r="AG1329" i="3" a="1"/>
  <c r="AG1329" i="3" s="1"/>
  <c r="AG970" i="3" a="1"/>
  <c r="AG970" i="3" s="1"/>
  <c r="AI970" i="3" a="1"/>
  <c r="AI970" i="3" s="1"/>
  <c r="AH970" i="3" a="1"/>
  <c r="AH970" i="3" s="1"/>
  <c r="AH1010" i="3" a="1"/>
  <c r="AH1010" i="3" s="1"/>
  <c r="AI1010" i="3" a="1"/>
  <c r="AI1010" i="3" s="1"/>
  <c r="AG1010" i="3" a="1"/>
  <c r="AG1010" i="3" s="1"/>
  <c r="AH228" i="3" a="1"/>
  <c r="AH228" i="3" s="1"/>
  <c r="AG228" i="3" a="1"/>
  <c r="AG228" i="3" s="1"/>
  <c r="AI228" i="3" a="1"/>
  <c r="AI228" i="3" s="1"/>
  <c r="AI1161" i="3" a="1"/>
  <c r="AI1161" i="3" s="1"/>
  <c r="AH1161" i="3" a="1"/>
  <c r="AH1161" i="3" s="1"/>
  <c r="AG1161" i="3" a="1"/>
  <c r="AG1161" i="3" s="1"/>
  <c r="AI1092" i="3" a="1"/>
  <c r="AI1092" i="3" s="1"/>
  <c r="AG1092" i="3" a="1"/>
  <c r="AG1092" i="3" s="1"/>
  <c r="AH1092" i="3" a="1"/>
  <c r="AH1092" i="3" s="1"/>
  <c r="AG858" i="3" a="1"/>
  <c r="AG858" i="3" s="1"/>
  <c r="AH858" i="3" a="1"/>
  <c r="AH858" i="3" s="1"/>
  <c r="AI858" i="3" a="1"/>
  <c r="AI858" i="3" s="1"/>
  <c r="AH1037" i="3" a="1"/>
  <c r="AH1037" i="3" s="1"/>
  <c r="AI1037" i="3" a="1"/>
  <c r="AI1037" i="3" s="1"/>
  <c r="AG1037" i="3" a="1"/>
  <c r="AG1037" i="3" s="1"/>
  <c r="AI688" i="3" a="1"/>
  <c r="AI688" i="3" s="1"/>
  <c r="AH688" i="3" a="1"/>
  <c r="AH688" i="3" s="1"/>
  <c r="AG688" i="3" a="1"/>
  <c r="AG688" i="3" s="1"/>
  <c r="AG1185" i="3" a="1"/>
  <c r="AG1185" i="3" s="1"/>
  <c r="AH1185" i="3" a="1"/>
  <c r="AH1185" i="3" s="1"/>
  <c r="AI1185" i="3" a="1"/>
  <c r="AI1185" i="3" s="1"/>
  <c r="AG1015" i="3" a="1"/>
  <c r="AG1015" i="3" s="1"/>
  <c r="AI1015" i="3" a="1"/>
  <c r="AI1015" i="3" s="1"/>
  <c r="AH1015" i="3" a="1"/>
  <c r="AH1015" i="3" s="1"/>
  <c r="AH183" i="3" a="1"/>
  <c r="AH183" i="3" s="1"/>
  <c r="AI183" i="3" a="1"/>
  <c r="AI183" i="3" s="1"/>
  <c r="AG183" i="3" a="1"/>
  <c r="AG183" i="3" s="1"/>
  <c r="AH1186" i="3" a="1"/>
  <c r="AH1186" i="3" s="1"/>
  <c r="AI1186" i="3" a="1"/>
  <c r="AI1186" i="3" s="1"/>
  <c r="AG1186" i="3" a="1"/>
  <c r="AG1186" i="3" s="1"/>
  <c r="AH1323" i="3" a="1"/>
  <c r="AH1323" i="3" s="1"/>
  <c r="AG1323" i="3" a="1"/>
  <c r="AG1323" i="3" s="1"/>
  <c r="AI1323" i="3" a="1"/>
  <c r="AI1323" i="3" s="1"/>
  <c r="AI263" i="3" a="1"/>
  <c r="AI263" i="3" s="1"/>
  <c r="AH263" i="3" a="1"/>
  <c r="AH263" i="3" s="1"/>
  <c r="AG263" i="3" a="1"/>
  <c r="AG263" i="3" s="1"/>
  <c r="AI1358" i="3" a="1"/>
  <c r="AI1358" i="3" s="1"/>
  <c r="AG1358" i="3" a="1"/>
  <c r="AG1358" i="3" s="1"/>
  <c r="AH1358" i="3" a="1"/>
  <c r="AH1358" i="3" s="1"/>
  <c r="AG839" i="3" a="1"/>
  <c r="AG839" i="3" s="1"/>
  <c r="AH839" i="3" a="1"/>
  <c r="AH839" i="3" s="1"/>
  <c r="AI839" i="3" a="1"/>
  <c r="AI839" i="3" s="1"/>
  <c r="AI472" i="3" a="1"/>
  <c r="AI472" i="3" s="1"/>
  <c r="AH472" i="3" a="1"/>
  <c r="AH472" i="3" s="1"/>
  <c r="AG472" i="3" a="1"/>
  <c r="AG472" i="3" s="1"/>
  <c r="AG381" i="3" a="1"/>
  <c r="AG381" i="3" s="1"/>
  <c r="AH381" i="3" a="1"/>
  <c r="AH381" i="3" s="1"/>
  <c r="AI381" i="3" a="1"/>
  <c r="AI381" i="3" s="1"/>
  <c r="AH54" i="3" a="1"/>
  <c r="AH54" i="3" s="1"/>
  <c r="AI54" i="3" a="1"/>
  <c r="AI54" i="3" s="1"/>
  <c r="AG54" i="3" a="1"/>
  <c r="AG54" i="3" s="1"/>
  <c r="AG633" i="3" a="1"/>
  <c r="AG633" i="3" s="1"/>
  <c r="AI633" i="3" a="1"/>
  <c r="AI633" i="3" s="1"/>
  <c r="AH633" i="3" a="1"/>
  <c r="AH633" i="3" s="1"/>
  <c r="AH255" i="3" a="1"/>
  <c r="AH255" i="3" s="1"/>
  <c r="AG255" i="3" a="1"/>
  <c r="AG255" i="3" s="1"/>
  <c r="AI255" i="3" a="1"/>
  <c r="AI255" i="3" s="1"/>
  <c r="AG87" i="3" a="1"/>
  <c r="AG87" i="3" s="1"/>
  <c r="AH87" i="3" a="1"/>
  <c r="AH87" i="3" s="1"/>
  <c r="AI87" i="3" a="1"/>
  <c r="AI87" i="3" s="1"/>
  <c r="AH435" i="3" a="1"/>
  <c r="AH435" i="3" s="1"/>
  <c r="AG435" i="3" a="1"/>
  <c r="AG435" i="3" s="1"/>
  <c r="AI435" i="3" a="1"/>
  <c r="AI435" i="3" s="1"/>
  <c r="AG194" i="3" a="1"/>
  <c r="AG194" i="3" s="1"/>
  <c r="AI194" i="3" a="1"/>
  <c r="AI194" i="3" s="1"/>
  <c r="AH194" i="3" a="1"/>
  <c r="AH194" i="3" s="1"/>
  <c r="AG624" i="3" a="1"/>
  <c r="AG624" i="3" s="1"/>
  <c r="AI624" i="3" a="1"/>
  <c r="AI624" i="3" s="1"/>
  <c r="AH624" i="3" a="1"/>
  <c r="AH624" i="3" s="1"/>
  <c r="AH533" i="3" a="1"/>
  <c r="AH533" i="3" s="1"/>
  <c r="AI533" i="3" a="1"/>
  <c r="AI533" i="3" s="1"/>
  <c r="AG533" i="3" a="1"/>
  <c r="AG533" i="3" s="1"/>
  <c r="AH420" i="3" a="1"/>
  <c r="AH420" i="3" s="1"/>
  <c r="AG420" i="3" a="1"/>
  <c r="AG420" i="3" s="1"/>
  <c r="AI420" i="3" a="1"/>
  <c r="AI420" i="3" s="1"/>
  <c r="AI593" i="3" a="1"/>
  <c r="AI593" i="3" s="1"/>
  <c r="AH593" i="3" a="1"/>
  <c r="AH593" i="3" s="1"/>
  <c r="AG593" i="3" a="1"/>
  <c r="AG593" i="3" s="1"/>
  <c r="AG174" i="3" a="1"/>
  <c r="AG174" i="3" s="1"/>
  <c r="AI174" i="3" a="1"/>
  <c r="AI174" i="3" s="1"/>
  <c r="AH174" i="3" a="1"/>
  <c r="AH174" i="3" s="1"/>
  <c r="AG75" i="3" a="1"/>
  <c r="AG75" i="3" s="1"/>
  <c r="AH75" i="3" a="1"/>
  <c r="AH75" i="3" s="1"/>
  <c r="AI75" i="3" a="1"/>
  <c r="AI75" i="3" s="1"/>
  <c r="AI734" i="3" a="1"/>
  <c r="AI734" i="3" s="1"/>
  <c r="AH734" i="3" a="1"/>
  <c r="AH734" i="3" s="1"/>
  <c r="AG734" i="3" a="1"/>
  <c r="AG734" i="3" s="1"/>
  <c r="AI264" i="3" a="1"/>
  <c r="AI264" i="3" s="1"/>
  <c r="AH264" i="3" a="1"/>
  <c r="AH264" i="3" s="1"/>
  <c r="AG264" i="3" a="1"/>
  <c r="AG264" i="3" s="1"/>
  <c r="AI173" i="3" a="1"/>
  <c r="AI173" i="3" s="1"/>
  <c r="AG173" i="3" a="1"/>
  <c r="AG173" i="3" s="1"/>
  <c r="AH173" i="3" a="1"/>
  <c r="AH173" i="3" s="1"/>
  <c r="AI767" i="3" a="1"/>
  <c r="AI767" i="3" s="1"/>
  <c r="AH767" i="3" a="1"/>
  <c r="AH767" i="3" s="1"/>
  <c r="AG767" i="3" a="1"/>
  <c r="AG767" i="3" s="1"/>
  <c r="AI297" i="3" a="1"/>
  <c r="AI297" i="3" s="1"/>
  <c r="AH297" i="3" a="1"/>
  <c r="AH297" i="3" s="1"/>
  <c r="AG297" i="3" a="1"/>
  <c r="AG297" i="3" s="1"/>
  <c r="AG693" i="3" a="1"/>
  <c r="AG693" i="3" s="1"/>
  <c r="AH693" i="3" a="1"/>
  <c r="AH693" i="3" s="1"/>
  <c r="AI693" i="3" a="1"/>
  <c r="AI693" i="3" s="1"/>
  <c r="AI771" i="3" a="1"/>
  <c r="AI771" i="3" s="1"/>
  <c r="AG771" i="3" a="1"/>
  <c r="AG771" i="3" s="1"/>
  <c r="AH771" i="3" a="1"/>
  <c r="AH771" i="3" s="1"/>
  <c r="AG1461" i="3" a="1"/>
  <c r="AG1461" i="3" s="1"/>
  <c r="AH1461" i="3" a="1"/>
  <c r="AH1461" i="3" s="1"/>
  <c r="AI1461" i="3" a="1"/>
  <c r="AI1461" i="3" s="1"/>
  <c r="AI575" i="3" a="1"/>
  <c r="AI575" i="3" s="1"/>
  <c r="AH575" i="3" a="1"/>
  <c r="AH575" i="3" s="1"/>
  <c r="AG575" i="3" a="1"/>
  <c r="AG575" i="3" s="1"/>
  <c r="AI1372" i="3" a="1"/>
  <c r="AI1372" i="3" s="1"/>
  <c r="AG1372" i="3" a="1"/>
  <c r="AG1372" i="3" s="1"/>
  <c r="AH1372" i="3" a="1"/>
  <c r="AH1372" i="3" s="1"/>
  <c r="AG787" i="3" a="1"/>
  <c r="AG787" i="3" s="1"/>
  <c r="AH787" i="3" a="1"/>
  <c r="AH787" i="3" s="1"/>
  <c r="AI787" i="3" a="1"/>
  <c r="AI787" i="3" s="1"/>
  <c r="AI70" i="3" a="1"/>
  <c r="AI70" i="3" s="1"/>
  <c r="AH70" i="3" a="1"/>
  <c r="AH70" i="3" s="1"/>
  <c r="AG70" i="3" a="1"/>
  <c r="AG70" i="3" s="1"/>
  <c r="AH967" i="3" a="1"/>
  <c r="AH967" i="3" s="1"/>
  <c r="AI967" i="3" a="1"/>
  <c r="AI967" i="3" s="1"/>
  <c r="AG967" i="3" a="1"/>
  <c r="AG967" i="3" s="1"/>
  <c r="AG1163" i="3" a="1"/>
  <c r="AG1163" i="3" s="1"/>
  <c r="AH1163" i="3" a="1"/>
  <c r="AH1163" i="3" s="1"/>
  <c r="AI1163" i="3" a="1"/>
  <c r="AI1163" i="3" s="1"/>
  <c r="AI1198" i="3" a="1"/>
  <c r="AI1198" i="3" s="1"/>
  <c r="AH1198" i="3" a="1"/>
  <c r="AH1198" i="3" s="1"/>
  <c r="AG1198" i="3" a="1"/>
  <c r="AG1198" i="3" s="1"/>
  <c r="AG918" i="3" a="1"/>
  <c r="AG918" i="3" s="1"/>
  <c r="AI918" i="3" a="1"/>
  <c r="AI918" i="3" s="1"/>
  <c r="AH918" i="3" a="1"/>
  <c r="AH918" i="3" s="1"/>
  <c r="AH692" i="3" a="1"/>
  <c r="AH692" i="3" s="1"/>
  <c r="AI692" i="3" a="1"/>
  <c r="AI692" i="3" s="1"/>
  <c r="AG692" i="3" a="1"/>
  <c r="AG692" i="3" s="1"/>
  <c r="AI802" i="3" a="1"/>
  <c r="AI802" i="3" s="1"/>
  <c r="AH802" i="3" a="1"/>
  <c r="AH802" i="3" s="1"/>
  <c r="AG802" i="3" a="1"/>
  <c r="AG802" i="3" s="1"/>
  <c r="AG1243" i="3" a="1"/>
  <c r="AG1243" i="3" s="1"/>
  <c r="AI1243" i="3" a="1"/>
  <c r="AI1243" i="3" s="1"/>
  <c r="AH1243" i="3" a="1"/>
  <c r="AH1243" i="3" s="1"/>
  <c r="AI1176" i="3" a="1"/>
  <c r="AI1176" i="3" s="1"/>
  <c r="AH1176" i="3" a="1"/>
  <c r="AH1176" i="3" s="1"/>
  <c r="AG1176" i="3" a="1"/>
  <c r="AG1176" i="3" s="1"/>
  <c r="AG1158" i="3" a="1"/>
  <c r="AG1158" i="3" s="1"/>
  <c r="AH1158" i="3" a="1"/>
  <c r="AH1158" i="3" s="1"/>
  <c r="AI1158" i="3" a="1"/>
  <c r="AI1158" i="3" s="1"/>
  <c r="AI1290" i="3" a="1"/>
  <c r="AI1290" i="3" s="1"/>
  <c r="AH1290" i="3" a="1"/>
  <c r="AH1290" i="3" s="1"/>
  <c r="AG1290" i="3" a="1"/>
  <c r="AG1290" i="3" s="1"/>
  <c r="AH471" i="3" a="1"/>
  <c r="AH471" i="3" s="1"/>
  <c r="AG471" i="3" a="1"/>
  <c r="AG471" i="3" s="1"/>
  <c r="AI471" i="3" a="1"/>
  <c r="AI471" i="3" s="1"/>
  <c r="AG1307" i="3" a="1"/>
  <c r="AG1307" i="3" s="1"/>
  <c r="AH1307" i="3" a="1"/>
  <c r="AH1307" i="3" s="1"/>
  <c r="AI1307" i="3" a="1"/>
  <c r="AI1307" i="3" s="1"/>
  <c r="AG1272" i="3" a="1"/>
  <c r="AG1272" i="3" s="1"/>
  <c r="AI1272" i="3" a="1"/>
  <c r="AI1272" i="3" s="1"/>
  <c r="AH1272" i="3" a="1"/>
  <c r="AH1272" i="3" s="1"/>
  <c r="AI1241" i="3" a="1"/>
  <c r="AI1241" i="3" s="1"/>
  <c r="AG1241" i="3" a="1"/>
  <c r="AG1241" i="3" s="1"/>
  <c r="AH1241" i="3" a="1"/>
  <c r="AH1241" i="3" s="1"/>
  <c r="AG102" i="3" a="1"/>
  <c r="AG102" i="3" s="1"/>
  <c r="AI102" i="3" a="1"/>
  <c r="AI102" i="3" s="1"/>
  <c r="AH102" i="3" a="1"/>
  <c r="AH102" i="3" s="1"/>
  <c r="AH1031" i="3" a="1"/>
  <c r="AH1031" i="3" s="1"/>
  <c r="AG1031" i="3" a="1"/>
  <c r="AG1031" i="3" s="1"/>
  <c r="AI1031" i="3" a="1"/>
  <c r="AI1031" i="3" s="1"/>
  <c r="AG380" i="3" a="1"/>
  <c r="AG380" i="3" s="1"/>
  <c r="AH380" i="3" a="1"/>
  <c r="AH380" i="3" s="1"/>
  <c r="AI380" i="3" a="1"/>
  <c r="AI380" i="3" s="1"/>
  <c r="AI815" i="3" a="1"/>
  <c r="AI815" i="3" s="1"/>
  <c r="AH815" i="3" a="1"/>
  <c r="AH815" i="3" s="1"/>
  <c r="AG815" i="3" a="1"/>
  <c r="AG815" i="3" s="1"/>
  <c r="AG1121" i="3" a="1"/>
  <c r="AG1121" i="3" s="1"/>
  <c r="AI1121" i="3" a="1"/>
  <c r="AI1121" i="3" s="1"/>
  <c r="AH1121" i="3" a="1"/>
  <c r="AH1121" i="3" s="1"/>
  <c r="AI1035" i="3" a="1"/>
  <c r="AI1035" i="3" s="1"/>
  <c r="AG1035" i="3" a="1"/>
  <c r="AG1035" i="3" s="1"/>
  <c r="AH1035" i="3" a="1"/>
  <c r="AH1035" i="3" s="1"/>
  <c r="AI369" i="3" a="1"/>
  <c r="AI369" i="3" s="1"/>
  <c r="AH369" i="3" a="1"/>
  <c r="AH369" i="3" s="1"/>
  <c r="AG369" i="3" a="1"/>
  <c r="AG369" i="3" s="1"/>
  <c r="AH765" i="3" a="1"/>
  <c r="AH765" i="3" s="1"/>
  <c r="AI765" i="3" a="1"/>
  <c r="AI765" i="3" s="1"/>
  <c r="AG765" i="3" a="1"/>
  <c r="AG765" i="3" s="1"/>
  <c r="AH15" i="3" a="1"/>
  <c r="AH15" i="3" s="1"/>
  <c r="AI15" i="3" a="1"/>
  <c r="AI15" i="3" s="1"/>
  <c r="AG15" i="3" a="1"/>
  <c r="AG15" i="3" s="1"/>
  <c r="AG363" i="3" a="1"/>
  <c r="AG363" i="3" s="1"/>
  <c r="AI363" i="3" a="1"/>
  <c r="AI363" i="3" s="1"/>
  <c r="AH363" i="3" a="1"/>
  <c r="AH363" i="3" s="1"/>
  <c r="AH1022" i="3" a="1"/>
  <c r="AH1022" i="3" s="1"/>
  <c r="AG1022" i="3" a="1"/>
  <c r="AG1022" i="3" s="1"/>
  <c r="AI1022" i="3" a="1"/>
  <c r="AI1022" i="3" s="1"/>
  <c r="AG488" i="3" a="1"/>
  <c r="AG488" i="3" s="1"/>
  <c r="AI488" i="3" a="1"/>
  <c r="AI488" i="3" s="1"/>
  <c r="AH488" i="3" a="1"/>
  <c r="AH488" i="3" s="1"/>
  <c r="AI397" i="3" a="1"/>
  <c r="AI397" i="3" s="1"/>
  <c r="AG397" i="3" a="1"/>
  <c r="AG397" i="3" s="1"/>
  <c r="AH397" i="3" a="1"/>
  <c r="AH397" i="3" s="1"/>
  <c r="AG118" i="3" a="1"/>
  <c r="AG118" i="3" s="1"/>
  <c r="AI118" i="3" a="1"/>
  <c r="AI118" i="3" s="1"/>
  <c r="AH118" i="3" a="1"/>
  <c r="AH118" i="3" s="1"/>
  <c r="AH521" i="3" a="1"/>
  <c r="AH521" i="3" s="1"/>
  <c r="AI521" i="3" a="1"/>
  <c r="AI521" i="3" s="1"/>
  <c r="AG521" i="3" a="1"/>
  <c r="AG521" i="3" s="1"/>
  <c r="AG917" i="3" a="1"/>
  <c r="AG917" i="3" s="1"/>
  <c r="AH917" i="3" a="1"/>
  <c r="AH917" i="3" s="1"/>
  <c r="AI917" i="3" a="1"/>
  <c r="AI917" i="3" s="1"/>
  <c r="AG390" i="3" a="1"/>
  <c r="AG390" i="3" s="1"/>
  <c r="AH390" i="3" a="1"/>
  <c r="AH390" i="3" s="1"/>
  <c r="AI390" i="3" a="1"/>
  <c r="AI390" i="3" s="1"/>
  <c r="AH323" i="3" a="1"/>
  <c r="AH323" i="3" s="1"/>
  <c r="AG323" i="3" a="1"/>
  <c r="AG323" i="3" s="1"/>
  <c r="AI323" i="3" a="1"/>
  <c r="AI323" i="3" s="1"/>
  <c r="AG128" i="3" a="1"/>
  <c r="AG128" i="3" s="1"/>
  <c r="AI128" i="3" a="1"/>
  <c r="AI128" i="3" s="1"/>
  <c r="AH128" i="3" a="1"/>
  <c r="AH128" i="3" s="1"/>
  <c r="AH37" i="3" a="1"/>
  <c r="AH37" i="3" s="1"/>
  <c r="AI37" i="3" a="1"/>
  <c r="AI37" i="3" s="1"/>
  <c r="AG37" i="3" a="1"/>
  <c r="AG37" i="3" s="1"/>
  <c r="AG612" i="3" a="1"/>
  <c r="AG612" i="3" s="1"/>
  <c r="AH612" i="3" a="1"/>
  <c r="AH612" i="3" s="1"/>
  <c r="AI612" i="3" a="1"/>
  <c r="AI612" i="3" s="1"/>
  <c r="AH161" i="3" a="1"/>
  <c r="AH161" i="3" s="1"/>
  <c r="AG161" i="3" a="1"/>
  <c r="AG161" i="3" s="1"/>
  <c r="AI161" i="3" a="1"/>
  <c r="AI161" i="3" s="1"/>
  <c r="AH478" i="3" a="1"/>
  <c r="AH478" i="3" s="1"/>
  <c r="AG478" i="3" a="1"/>
  <c r="AG478" i="3" s="1"/>
  <c r="AI478" i="3" a="1"/>
  <c r="AI478" i="3" s="1"/>
  <c r="AH744" i="3" a="1"/>
  <c r="AH744" i="3" s="1"/>
  <c r="AI744" i="3" a="1"/>
  <c r="AI744" i="3" s="1"/>
  <c r="AG744" i="3" a="1"/>
  <c r="AG744" i="3" s="1"/>
  <c r="AG27" i="3" a="1"/>
  <c r="AG27" i="3" s="1"/>
  <c r="AH27" i="3" a="1"/>
  <c r="AH27" i="3" s="1"/>
  <c r="AI27" i="3" a="1"/>
  <c r="AI27" i="3" s="1"/>
  <c r="AH686" i="3" a="1"/>
  <c r="AH686" i="3" s="1"/>
  <c r="AI686" i="3" a="1"/>
  <c r="AI686" i="3" s="1"/>
  <c r="AG686" i="3" a="1"/>
  <c r="AG686" i="3" s="1"/>
  <c r="AH1331" i="3" a="1"/>
  <c r="AH1331" i="3" s="1"/>
  <c r="AI1331" i="3" a="1"/>
  <c r="AI1331" i="3" s="1"/>
  <c r="AG1331" i="3" a="1"/>
  <c r="AG1331" i="3" s="1"/>
  <c r="AH1366" i="3" a="1"/>
  <c r="AH1366" i="3" s="1"/>
  <c r="AG1366" i="3" a="1"/>
  <c r="AG1366" i="3" s="1"/>
  <c r="AI1366" i="3" a="1"/>
  <c r="AI1366" i="3" s="1"/>
  <c r="AG538" i="3" a="1"/>
  <c r="AG538" i="3" s="1"/>
  <c r="AH538" i="3" a="1"/>
  <c r="AH538" i="3" s="1"/>
  <c r="AI538" i="3" a="1"/>
  <c r="AI538" i="3" s="1"/>
  <c r="AI1277" i="3" a="1"/>
  <c r="AI1277" i="3" s="1"/>
  <c r="AH1277" i="3" a="1"/>
  <c r="AH1277" i="3" s="1"/>
  <c r="AG1277" i="3" a="1"/>
  <c r="AG1277" i="3" s="1"/>
  <c r="AI1347" i="3" a="1"/>
  <c r="AI1347" i="3" s="1"/>
  <c r="AG1347" i="3" a="1"/>
  <c r="AG1347" i="3" s="1"/>
  <c r="AH1347" i="3" a="1"/>
  <c r="AH1347" i="3" s="1"/>
  <c r="AH1382" i="3" a="1"/>
  <c r="AH1382" i="3" s="1"/>
  <c r="AG1382" i="3" a="1"/>
  <c r="AG1382" i="3" s="1"/>
  <c r="AI1382" i="3" a="1"/>
  <c r="AI1382" i="3" s="1"/>
  <c r="AH22" i="3" a="1"/>
  <c r="AH22" i="3" s="1"/>
  <c r="AI22" i="3" a="1"/>
  <c r="AI22" i="3" s="1"/>
  <c r="AG22" i="3" a="1"/>
  <c r="AG22" i="3" s="1"/>
  <c r="AI1068" i="3" a="1"/>
  <c r="AI1068" i="3" s="1"/>
  <c r="AG1068" i="3" a="1"/>
  <c r="AG1068" i="3" s="1"/>
  <c r="AH1068" i="3" a="1"/>
  <c r="AH1068" i="3" s="1"/>
  <c r="AH1095" i="3" a="1"/>
  <c r="AH1095" i="3" s="1"/>
  <c r="AG1095" i="3" a="1"/>
  <c r="AG1095" i="3" s="1"/>
  <c r="AI1095" i="3" a="1"/>
  <c r="AI1095" i="3" s="1"/>
  <c r="AH697" i="3" a="1"/>
  <c r="AH697" i="3" s="1"/>
  <c r="AI697" i="3" a="1"/>
  <c r="AI697" i="3" s="1"/>
  <c r="AG697" i="3" a="1"/>
  <c r="AG697" i="3" s="1"/>
  <c r="AH1460" i="3" a="1"/>
  <c r="AH1460" i="3" s="1"/>
  <c r="AG1460" i="3" a="1"/>
  <c r="AG1460" i="3" s="1"/>
  <c r="AI1460" i="3" a="1"/>
  <c r="AI1460" i="3" s="1"/>
  <c r="AI279" i="3" a="1"/>
  <c r="AI279" i="3" s="1"/>
  <c r="AH279" i="3" a="1"/>
  <c r="AH279" i="3" s="1"/>
  <c r="AG279" i="3" a="1"/>
  <c r="AG279" i="3" s="1"/>
  <c r="AI1437" i="3" a="1"/>
  <c r="AI1437" i="3" s="1"/>
  <c r="AH1437" i="3" a="1"/>
  <c r="AH1437" i="3" s="1"/>
  <c r="AG1437" i="3" a="1"/>
  <c r="AG1437" i="3" s="1"/>
  <c r="AG996" i="3" a="1"/>
  <c r="AG996" i="3" s="1"/>
  <c r="AH996" i="3" a="1"/>
  <c r="AH996" i="3" s="1"/>
  <c r="AI996" i="3" a="1"/>
  <c r="AI996" i="3" s="1"/>
  <c r="AG956" i="3" a="1"/>
  <c r="AG956" i="3" s="1"/>
  <c r="AI956" i="3" a="1"/>
  <c r="AI956" i="3" s="1"/>
  <c r="AH956" i="3" a="1"/>
  <c r="AH956" i="3" s="1"/>
  <c r="AG763" i="3" a="1"/>
  <c r="AG763" i="3" s="1"/>
  <c r="AH763" i="3" a="1"/>
  <c r="AH763" i="3" s="1"/>
  <c r="AI763" i="3" a="1"/>
  <c r="AI763" i="3" s="1"/>
  <c r="AH1266" i="3" a="1"/>
  <c r="AH1266" i="3" s="1"/>
  <c r="AG1266" i="3" a="1"/>
  <c r="AG1266" i="3" s="1"/>
  <c r="AI1266" i="3" a="1"/>
  <c r="AI1266" i="3" s="1"/>
  <c r="AG1224" i="3" a="1"/>
  <c r="AG1224" i="3" s="1"/>
  <c r="AH1224" i="3" a="1"/>
  <c r="AH1224" i="3" s="1"/>
  <c r="AI1224" i="3" a="1"/>
  <c r="AI1224" i="3" s="1"/>
  <c r="AI728" i="3" a="1"/>
  <c r="AI728" i="3" s="1"/>
  <c r="AH728" i="3" a="1"/>
  <c r="AH728" i="3" s="1"/>
  <c r="AG728" i="3" a="1"/>
  <c r="AG728" i="3" s="1"/>
  <c r="AI1217" i="3" a="1"/>
  <c r="AI1217" i="3" s="1"/>
  <c r="AG1217" i="3" a="1"/>
  <c r="AG1217" i="3" s="1"/>
  <c r="AH1217" i="3" a="1"/>
  <c r="AH1217" i="3" s="1"/>
  <c r="AG1400" i="3" a="1"/>
  <c r="AG1400" i="3" s="1"/>
  <c r="AI1400" i="3" a="1"/>
  <c r="AI1400" i="3" s="1"/>
  <c r="AH1400" i="3" a="1"/>
  <c r="AH1400" i="3" s="1"/>
  <c r="AG1311" i="3" a="1"/>
  <c r="AG1311" i="3" s="1"/>
  <c r="AH1311" i="3" a="1"/>
  <c r="AH1311" i="3" s="1"/>
  <c r="AI1311" i="3" a="1"/>
  <c r="AI1311" i="3" s="1"/>
  <c r="AG1187" i="3" a="1"/>
  <c r="AG1187" i="3" s="1"/>
  <c r="AI1187" i="3" a="1"/>
  <c r="AI1187" i="3" s="1"/>
  <c r="AH1187" i="3" a="1"/>
  <c r="AH1187" i="3" s="1"/>
  <c r="AG1112" i="3" a="1"/>
  <c r="AG1112" i="3" s="1"/>
  <c r="AH1112" i="3" a="1"/>
  <c r="AH1112" i="3" s="1"/>
  <c r="AI1112" i="3" a="1"/>
  <c r="AI1112" i="3" s="1"/>
  <c r="AG1144" i="3" a="1"/>
  <c r="AG1144" i="3" s="1"/>
  <c r="AH1144" i="3" a="1"/>
  <c r="AH1144" i="3" s="1"/>
  <c r="AI1144" i="3" a="1"/>
  <c r="AI1144" i="3" s="1"/>
  <c r="AG99" i="3" a="1"/>
  <c r="AG99" i="3" s="1"/>
  <c r="AI99" i="3" a="1"/>
  <c r="AI99" i="3" s="1"/>
  <c r="AH99" i="3" a="1"/>
  <c r="AH99" i="3" s="1"/>
  <c r="AG758" i="3" a="1"/>
  <c r="AG758" i="3" s="1"/>
  <c r="AH758" i="3" a="1"/>
  <c r="AH758" i="3" s="1"/>
  <c r="AI758" i="3" a="1"/>
  <c r="AI758" i="3" s="1"/>
  <c r="AH416" i="3" a="1"/>
  <c r="AH416" i="3" s="1"/>
  <c r="AG416" i="3" a="1"/>
  <c r="AG416" i="3" s="1"/>
  <c r="AI416" i="3" a="1"/>
  <c r="AI416" i="3" s="1"/>
  <c r="AI325" i="3" a="1"/>
  <c r="AI325" i="3" s="1"/>
  <c r="AH325" i="3" a="1"/>
  <c r="AH325" i="3" s="1"/>
  <c r="AG325" i="3" a="1"/>
  <c r="AG325" i="3" s="1"/>
  <c r="AH919" i="3" a="1"/>
  <c r="AH919" i="3" s="1"/>
  <c r="AG919" i="3" a="1"/>
  <c r="AG919" i="3" s="1"/>
  <c r="AI919" i="3" a="1"/>
  <c r="AI919" i="3" s="1"/>
  <c r="AI385" i="3" a="1"/>
  <c r="AI385" i="3" s="1"/>
  <c r="AH385" i="3" a="1"/>
  <c r="AH385" i="3" s="1"/>
  <c r="AG385" i="3" a="1"/>
  <c r="AG385" i="3" s="1"/>
  <c r="AH781" i="3" a="1"/>
  <c r="AH781" i="3" s="1"/>
  <c r="AG781" i="3" a="1"/>
  <c r="AG781" i="3" s="1"/>
  <c r="AI781" i="3" a="1"/>
  <c r="AI781" i="3" s="1"/>
  <c r="AG60" i="3" a="1"/>
  <c r="AG60" i="3" s="1"/>
  <c r="AH60" i="3" a="1"/>
  <c r="AH60" i="3" s="1"/>
  <c r="AI60" i="3" a="1"/>
  <c r="AI60" i="3" s="1"/>
  <c r="AH251" i="3" a="1"/>
  <c r="AH251" i="3" s="1"/>
  <c r="AG251" i="3" a="1"/>
  <c r="AG251" i="3" s="1"/>
  <c r="AI251" i="3" a="1"/>
  <c r="AI251" i="3" s="1"/>
  <c r="AI910" i="3" a="1"/>
  <c r="AI910" i="3" s="1"/>
  <c r="AH910" i="3" a="1"/>
  <c r="AH910" i="3" s="1"/>
  <c r="AG910" i="3" a="1"/>
  <c r="AG910" i="3" s="1"/>
  <c r="AG376" i="3" a="1"/>
  <c r="AG376" i="3" s="1"/>
  <c r="AI376" i="3" a="1"/>
  <c r="AI376" i="3" s="1"/>
  <c r="AH376" i="3" a="1"/>
  <c r="AH376" i="3" s="1"/>
  <c r="AI285" i="3" a="1"/>
  <c r="AI285" i="3" s="1"/>
  <c r="AH285" i="3" a="1"/>
  <c r="AH285" i="3" s="1"/>
  <c r="AG285" i="3" a="1"/>
  <c r="AG285" i="3" s="1"/>
  <c r="AG25" i="3" a="1"/>
  <c r="AG25" i="3" s="1"/>
  <c r="AH25" i="3" a="1"/>
  <c r="AH25" i="3" s="1"/>
  <c r="AI25" i="3" a="1"/>
  <c r="AI25" i="3" s="1"/>
  <c r="AH206" i="3" a="1"/>
  <c r="AH206" i="3" s="1"/>
  <c r="AI206" i="3" a="1"/>
  <c r="AI206" i="3" s="1"/>
  <c r="AG206" i="3" a="1"/>
  <c r="AG206" i="3" s="1"/>
  <c r="AH574" i="3" a="1"/>
  <c r="AH574" i="3" s="1"/>
  <c r="AI574" i="3" a="1"/>
  <c r="AI574" i="3" s="1"/>
  <c r="AG574" i="3" a="1"/>
  <c r="AG574" i="3" s="1"/>
  <c r="AI58" i="3" a="1"/>
  <c r="AI58" i="3" s="1"/>
  <c r="AG58" i="3" a="1"/>
  <c r="AG58" i="3" s="1"/>
  <c r="AH58" i="3" a="1"/>
  <c r="AH58" i="3" s="1"/>
  <c r="AI463" i="3" a="1"/>
  <c r="AI463" i="3" s="1"/>
  <c r="AH463" i="3" a="1"/>
  <c r="AH463" i="3" s="1"/>
  <c r="AG463" i="3" a="1"/>
  <c r="AG463" i="3" s="1"/>
  <c r="AG80" i="3" a="1"/>
  <c r="AG80" i="3" s="1"/>
  <c r="AH80" i="3" a="1"/>
  <c r="AH80" i="3" s="1"/>
  <c r="AI80" i="3" a="1"/>
  <c r="AI80" i="3" s="1"/>
  <c r="AG603" i="3" a="1"/>
  <c r="AG603" i="3" s="1"/>
  <c r="AI603" i="3" a="1"/>
  <c r="AI603" i="3" s="1"/>
  <c r="AH603" i="3" a="1"/>
  <c r="AH603" i="3" s="1"/>
  <c r="AG198" i="3" a="1"/>
  <c r="AG198" i="3" s="1"/>
  <c r="AH198" i="3" a="1"/>
  <c r="AH198" i="3" s="1"/>
  <c r="AI198" i="3" a="1"/>
  <c r="AI198" i="3" s="1"/>
  <c r="AG1236" i="3" a="1"/>
  <c r="AG1236" i="3" s="1"/>
  <c r="AI1236" i="3" a="1"/>
  <c r="AI1236" i="3" s="1"/>
  <c r="AH1236" i="3" a="1"/>
  <c r="AH1236" i="3" s="1"/>
  <c r="AH1263" i="3" a="1"/>
  <c r="AH1263" i="3" s="1"/>
  <c r="AG1263" i="3" a="1"/>
  <c r="AG1263" i="3" s="1"/>
  <c r="AI1263" i="3" a="1"/>
  <c r="AI1263" i="3" s="1"/>
  <c r="AH1147" i="3" a="1"/>
  <c r="AH1147" i="3" s="1"/>
  <c r="AG1147" i="3" a="1"/>
  <c r="AG1147" i="3" s="1"/>
  <c r="AI1147" i="3" a="1"/>
  <c r="AI1147" i="3" s="1"/>
  <c r="AG278" i="3" a="1"/>
  <c r="AG278" i="3" s="1"/>
  <c r="AI278" i="3" a="1"/>
  <c r="AI278" i="3" s="1"/>
  <c r="AH278" i="3" a="1"/>
  <c r="AH278" i="3" s="1"/>
  <c r="AG1252" i="3" a="1"/>
  <c r="AG1252" i="3" s="1"/>
  <c r="AI1252" i="3" a="1"/>
  <c r="AI1252" i="3" s="1"/>
  <c r="AH1252" i="3" a="1"/>
  <c r="AH1252" i="3" s="1"/>
  <c r="AI1279" i="3" a="1"/>
  <c r="AI1279" i="3" s="1"/>
  <c r="AH1279" i="3" a="1"/>
  <c r="AH1279" i="3" s="1"/>
  <c r="AG1279" i="3" a="1"/>
  <c r="AG1279" i="3" s="1"/>
  <c r="AH881" i="3" a="1"/>
  <c r="AH881" i="3" s="1"/>
  <c r="AI881" i="3" a="1"/>
  <c r="AI881" i="3" s="1"/>
  <c r="AG881" i="3" a="1"/>
  <c r="AG881" i="3" s="1"/>
  <c r="AG963" i="3" a="1"/>
  <c r="AG963" i="3" s="1"/>
  <c r="AI963" i="3" a="1"/>
  <c r="AI963" i="3" s="1"/>
  <c r="AH963" i="3" a="1"/>
  <c r="AH963" i="3" s="1"/>
  <c r="AH1004" i="3" a="1"/>
  <c r="AH1004" i="3" s="1"/>
  <c r="AG1004" i="3" a="1"/>
  <c r="AG1004" i="3" s="1"/>
  <c r="AI1004" i="3" a="1"/>
  <c r="AI1004" i="3" s="1"/>
  <c r="AH671" i="3" a="1"/>
  <c r="AH671" i="3" s="1"/>
  <c r="AG671" i="3" a="1"/>
  <c r="AG671" i="3" s="1"/>
  <c r="AI671" i="3" a="1"/>
  <c r="AI671" i="3" s="1"/>
  <c r="AH1365" i="3" a="1"/>
  <c r="AH1365" i="3" s="1"/>
  <c r="AI1365" i="3" a="1"/>
  <c r="AI1365" i="3" s="1"/>
  <c r="AG1365" i="3" a="1"/>
  <c r="AG1365" i="3" s="1"/>
  <c r="AG1401" i="3" a="1"/>
  <c r="AG1401" i="3" s="1"/>
  <c r="AI1401" i="3" a="1"/>
  <c r="AI1401" i="3" s="1"/>
  <c r="AH1401" i="3" a="1"/>
  <c r="AH1401" i="3" s="1"/>
  <c r="AG1239" i="3" a="1"/>
  <c r="AG1239" i="3" s="1"/>
  <c r="AI1239" i="3" a="1"/>
  <c r="AI1239" i="3" s="1"/>
  <c r="AH1239" i="3" a="1"/>
  <c r="AH1239" i="3" s="1"/>
  <c r="AG836" i="3" a="1"/>
  <c r="AG836" i="3" s="1"/>
  <c r="AH836" i="3" a="1"/>
  <c r="AH836" i="3" s="1"/>
  <c r="AI836" i="3" a="1"/>
  <c r="AI836" i="3" s="1"/>
  <c r="AI1376" i="3" a="1"/>
  <c r="AI1376" i="3" s="1"/>
  <c r="AG1376" i="3" a="1"/>
  <c r="AG1376" i="3" s="1"/>
  <c r="AH1376" i="3" a="1"/>
  <c r="AH1376" i="3" s="1"/>
  <c r="AH884" i="3" a="1"/>
  <c r="AH884" i="3" s="1"/>
  <c r="AI884" i="3" a="1"/>
  <c r="AI884" i="3" s="1"/>
  <c r="AG884" i="3" a="1"/>
  <c r="AG884" i="3" s="1"/>
  <c r="AH1056" i="3" a="1"/>
  <c r="AH1056" i="3" s="1"/>
  <c r="AG1056" i="3" a="1"/>
  <c r="AG1056" i="3" s="1"/>
  <c r="AI1056" i="3" a="1"/>
  <c r="AI1056" i="3" s="1"/>
  <c r="AH1271" i="3" a="1"/>
  <c r="AH1271" i="3" s="1"/>
  <c r="AI1271" i="3" a="1"/>
  <c r="AI1271" i="3" s="1"/>
  <c r="AG1271" i="3" a="1"/>
  <c r="AG1271" i="3" s="1"/>
  <c r="AG1023" i="3" a="1"/>
  <c r="AG1023" i="3" s="1"/>
  <c r="AI1023" i="3" a="1"/>
  <c r="AI1023" i="3" s="1"/>
  <c r="AH1023" i="3" a="1"/>
  <c r="AH1023" i="3" s="1"/>
  <c r="AG1315" i="3" a="1"/>
  <c r="AG1315" i="3" s="1"/>
  <c r="AI1315" i="3" a="1"/>
  <c r="AI1315" i="3" s="1"/>
  <c r="AH1315" i="3" a="1"/>
  <c r="AH1315" i="3" s="1"/>
  <c r="AG1304" i="3" a="1"/>
  <c r="AG1304" i="3" s="1"/>
  <c r="AH1304" i="3" a="1"/>
  <c r="AH1304" i="3" s="1"/>
  <c r="AI1304" i="3" a="1"/>
  <c r="AI1304" i="3" s="1"/>
  <c r="AI362" i="3" a="1"/>
  <c r="AI362" i="3" s="1"/>
  <c r="AH362" i="3" a="1"/>
  <c r="AH362" i="3" s="1"/>
  <c r="AG362" i="3" a="1"/>
  <c r="AG362" i="3" s="1"/>
  <c r="AG1288" i="3" a="1"/>
  <c r="AG1288" i="3" s="1"/>
  <c r="AH1288" i="3" a="1"/>
  <c r="AH1288" i="3" s="1"/>
  <c r="AI1288" i="3" a="1"/>
  <c r="AI1288" i="3" s="1"/>
  <c r="AG1381" i="3" a="1"/>
  <c r="AG1381" i="3" s="1"/>
  <c r="AI1381" i="3" a="1"/>
  <c r="AI1381" i="3" s="1"/>
  <c r="AH1381" i="3" a="1"/>
  <c r="AH1381" i="3" s="1"/>
  <c r="AG1064" i="3" a="1"/>
  <c r="AG1064" i="3" s="1"/>
  <c r="AH1064" i="3" a="1"/>
  <c r="AH1064" i="3" s="1"/>
  <c r="AI1064" i="3" a="1"/>
  <c r="AI1064" i="3" s="1"/>
  <c r="AG152" i="3" a="1"/>
  <c r="AG152" i="3" s="1"/>
  <c r="AI152" i="3" a="1"/>
  <c r="AI152" i="3" s="1"/>
  <c r="AH152" i="3" a="1"/>
  <c r="AH152" i="3" s="1"/>
  <c r="AG61" i="3" a="1"/>
  <c r="AG61" i="3" s="1"/>
  <c r="AH61" i="3" a="1"/>
  <c r="AH61" i="3" s="1"/>
  <c r="AI61" i="3" a="1"/>
  <c r="AI61" i="3" s="1"/>
  <c r="AH645" i="3" a="1"/>
  <c r="AH645" i="3" s="1"/>
  <c r="AG645" i="3" a="1"/>
  <c r="AG645" i="3" s="1"/>
  <c r="AI645" i="3" a="1"/>
  <c r="AI645" i="3" s="1"/>
  <c r="AI313" i="3" a="1"/>
  <c r="AI313" i="3" s="1"/>
  <c r="AH313" i="3" a="1"/>
  <c r="AH313" i="3" s="1"/>
  <c r="AG313" i="3" a="1"/>
  <c r="AG313" i="3" s="1"/>
  <c r="AI709" i="3" a="1"/>
  <c r="AI709" i="3" s="1"/>
  <c r="AH709" i="3" a="1"/>
  <c r="AH709" i="3" s="1"/>
  <c r="AG709" i="3" a="1"/>
  <c r="AG709" i="3" s="1"/>
  <c r="AH896" i="3" a="1"/>
  <c r="AH896" i="3" s="1"/>
  <c r="AI896" i="3" a="1"/>
  <c r="AI896" i="3" s="1"/>
  <c r="AG896" i="3" a="1"/>
  <c r="AG896" i="3" s="1"/>
  <c r="AG115" i="3" a="1"/>
  <c r="AG115" i="3" s="1"/>
  <c r="AI115" i="3" a="1"/>
  <c r="AI115" i="3" s="1"/>
  <c r="AH115" i="3" a="1"/>
  <c r="AH115" i="3" s="1"/>
  <c r="AH774" i="3" a="1"/>
  <c r="AH774" i="3" s="1"/>
  <c r="AG774" i="3" a="1"/>
  <c r="AG774" i="3" s="1"/>
  <c r="AI774" i="3" a="1"/>
  <c r="AI774" i="3" s="1"/>
  <c r="AI304" i="3" a="1"/>
  <c r="AI304" i="3" s="1"/>
  <c r="AH304" i="3" a="1"/>
  <c r="AH304" i="3" s="1"/>
  <c r="AG304" i="3" a="1"/>
  <c r="AG304" i="3" s="1"/>
  <c r="AH213" i="3" a="1"/>
  <c r="AH213" i="3" s="1"/>
  <c r="AI213" i="3" a="1"/>
  <c r="AI213" i="3" s="1"/>
  <c r="AG213" i="3" a="1"/>
  <c r="AG213" i="3" s="1"/>
  <c r="AG807" i="3" a="1"/>
  <c r="AG807" i="3" s="1"/>
  <c r="AI807" i="3" a="1"/>
  <c r="AI807" i="3" s="1"/>
  <c r="AH807" i="3" a="1"/>
  <c r="AH807" i="3" s="1"/>
  <c r="AI273" i="3" a="1"/>
  <c r="AI273" i="3" s="1"/>
  <c r="AH273" i="3" a="1"/>
  <c r="AH273" i="3" s="1"/>
  <c r="AG273" i="3" a="1"/>
  <c r="AG273" i="3" s="1"/>
  <c r="AG663" i="3" a="1"/>
  <c r="AG663" i="3" s="1"/>
  <c r="AH663" i="3" a="1"/>
  <c r="AH663" i="3" s="1"/>
  <c r="AI663" i="3" a="1"/>
  <c r="AI663" i="3" s="1"/>
  <c r="AG601" i="3" a="1"/>
  <c r="AG601" i="3" s="1"/>
  <c r="AI601" i="3" a="1"/>
  <c r="AI601" i="3" s="1"/>
  <c r="AH601" i="3" a="1"/>
  <c r="AH601" i="3" s="1"/>
  <c r="AH191" i="3" a="1"/>
  <c r="AH191" i="3" s="1"/>
  <c r="AI191" i="3" a="1"/>
  <c r="AI191" i="3" s="1"/>
  <c r="AG191" i="3" a="1"/>
  <c r="AG191" i="3" s="1"/>
  <c r="AI119" i="3" a="1"/>
  <c r="AI119" i="3" s="1"/>
  <c r="AH119" i="3" a="1"/>
  <c r="AH119" i="3" s="1"/>
  <c r="AG119" i="3" a="1"/>
  <c r="AG119" i="3" s="1"/>
  <c r="AH467" i="3" a="1"/>
  <c r="AH467" i="3" s="1"/>
  <c r="AI467" i="3" a="1"/>
  <c r="AI467" i="3" s="1"/>
  <c r="AG467" i="3" a="1"/>
  <c r="AG467" i="3" s="1"/>
  <c r="AH258" i="3" a="1"/>
  <c r="AH258" i="3" s="1"/>
  <c r="AG258" i="3" a="1"/>
  <c r="AG258" i="3" s="1"/>
  <c r="AI258" i="3" a="1"/>
  <c r="AI258" i="3" s="1"/>
  <c r="AI656" i="3" a="1"/>
  <c r="AI656" i="3" s="1"/>
  <c r="AG656" i="3" a="1"/>
  <c r="AG656" i="3" s="1"/>
  <c r="AH656" i="3" a="1"/>
  <c r="AH656" i="3" s="1"/>
  <c r="AH44" i="3" a="1"/>
  <c r="AH44" i="3" s="1"/>
  <c r="AI44" i="3" a="1"/>
  <c r="AI44" i="3" s="1"/>
  <c r="AG44" i="3" a="1"/>
  <c r="AG44" i="3" s="1"/>
  <c r="AG266" i="3" a="1"/>
  <c r="AG266" i="3" s="1"/>
  <c r="AI266" i="3" a="1"/>
  <c r="AI266" i="3" s="1"/>
  <c r="AH266" i="3" a="1"/>
  <c r="AH266" i="3" s="1"/>
  <c r="AH1141" i="3" a="1"/>
  <c r="AH1141" i="3" s="1"/>
  <c r="AI1141" i="3" a="1"/>
  <c r="AI1141" i="3" s="1"/>
  <c r="AG1141" i="3" a="1"/>
  <c r="AG1141" i="3" s="1"/>
  <c r="AI903" i="3" a="1"/>
  <c r="AI903" i="3" s="1"/>
  <c r="AG903" i="3" a="1"/>
  <c r="AG903" i="3" s="1"/>
  <c r="AH903" i="3" a="1"/>
  <c r="AH903" i="3" s="1"/>
  <c r="AG1052" i="3" a="1"/>
  <c r="AG1052" i="3" s="1"/>
  <c r="AI1052" i="3" a="1"/>
  <c r="AI1052" i="3" s="1"/>
  <c r="AH1052" i="3" a="1"/>
  <c r="AH1052" i="3" s="1"/>
  <c r="AH298" i="3" a="1"/>
  <c r="AH298" i="3" s="1"/>
  <c r="AG298" i="3" a="1"/>
  <c r="AG298" i="3" s="1"/>
  <c r="AI298" i="3" a="1"/>
  <c r="AI298" i="3" s="1"/>
  <c r="AI1157" i="3" a="1"/>
  <c r="AI1157" i="3" s="1"/>
  <c r="AH1157" i="3" a="1"/>
  <c r="AH1157" i="3" s="1"/>
  <c r="AG1157" i="3" a="1"/>
  <c r="AG1157" i="3" s="1"/>
  <c r="AI1193" i="3" a="1"/>
  <c r="AI1193" i="3" s="1"/>
  <c r="AG1193" i="3" a="1"/>
  <c r="AG1193" i="3" s="1"/>
  <c r="AH1193" i="3" a="1"/>
  <c r="AH1193" i="3" s="1"/>
  <c r="AH423" i="3" a="1"/>
  <c r="AH423" i="3" s="1"/>
  <c r="AI423" i="3" a="1"/>
  <c r="AI423" i="3" s="1"/>
  <c r="AG423" i="3" a="1"/>
  <c r="AG423" i="3" s="1"/>
  <c r="AH662" i="3" a="1"/>
  <c r="AH662" i="3" s="1"/>
  <c r="AI662" i="3" a="1"/>
  <c r="AI662" i="3" s="1"/>
  <c r="AG662" i="3" a="1"/>
  <c r="AG662" i="3" s="1"/>
  <c r="AI1264" i="3" a="1"/>
  <c r="AI1264" i="3" s="1"/>
  <c r="AH1264" i="3" a="1"/>
  <c r="AH1264" i="3" s="1"/>
  <c r="AG1264" i="3" a="1"/>
  <c r="AG1264" i="3" s="1"/>
  <c r="AG1235" i="3" a="1"/>
  <c r="AG1235" i="3" s="1"/>
  <c r="AI1235" i="3" a="1"/>
  <c r="AI1235" i="3" s="1"/>
  <c r="AH1235" i="3" a="1"/>
  <c r="AH1235" i="3" s="1"/>
  <c r="AH1270" i="3" a="1"/>
  <c r="AH1270" i="3" s="1"/>
  <c r="AI1270" i="3" a="1"/>
  <c r="AI1270" i="3" s="1"/>
  <c r="AG1270" i="3" a="1"/>
  <c r="AG1270" i="3" s="1"/>
  <c r="AH68" i="3" a="1"/>
  <c r="AH68" i="3" s="1"/>
  <c r="AI68" i="3" a="1"/>
  <c r="AI68" i="3" s="1"/>
  <c r="AG68" i="3" a="1"/>
  <c r="AG68" i="3" s="1"/>
  <c r="AH1168" i="3" a="1"/>
  <c r="AH1168" i="3" s="1"/>
  <c r="AG1168" i="3" a="1"/>
  <c r="AG1168" i="3" s="1"/>
  <c r="AI1168" i="3" a="1"/>
  <c r="AI1168" i="3" s="1"/>
  <c r="AG1117" i="3" a="1"/>
  <c r="AG1117" i="3" s="1"/>
  <c r="AI1117" i="3" a="1"/>
  <c r="AI1117" i="3" s="1"/>
  <c r="AH1117" i="3" a="1"/>
  <c r="AH1117" i="3" s="1"/>
  <c r="AI987" i="3" a="1"/>
  <c r="AI987" i="3" s="1"/>
  <c r="AG987" i="3" a="1"/>
  <c r="AG987" i="3" s="1"/>
  <c r="AH987" i="3" a="1"/>
  <c r="AH987" i="3" s="1"/>
  <c r="AG628" i="3" a="1"/>
  <c r="AG628" i="3" s="1"/>
  <c r="AI628" i="3" a="1"/>
  <c r="AI628" i="3" s="1"/>
  <c r="AH628" i="3" a="1"/>
  <c r="AH628" i="3" s="1"/>
  <c r="AH250" i="3" a="1"/>
  <c r="AH250" i="3" s="1"/>
  <c r="AG250" i="3" a="1"/>
  <c r="AG250" i="3" s="1"/>
  <c r="AI250" i="3" a="1"/>
  <c r="AI250" i="3" s="1"/>
  <c r="AI1328" i="3" a="1"/>
  <c r="AI1328" i="3" s="1"/>
  <c r="AH1328" i="3" a="1"/>
  <c r="AH1328" i="3" s="1"/>
  <c r="AG1328" i="3" a="1"/>
  <c r="AG1328" i="3" s="1"/>
  <c r="AI1404" i="3" a="1"/>
  <c r="AI1404" i="3" s="1"/>
  <c r="AH1404" i="3" a="1"/>
  <c r="AH1404" i="3" s="1"/>
  <c r="AG1404" i="3" a="1"/>
  <c r="AG1404" i="3" s="1"/>
  <c r="AI316" i="3" a="1"/>
  <c r="AI316" i="3" s="1"/>
  <c r="AH316" i="3" a="1"/>
  <c r="AH316" i="3" s="1"/>
  <c r="AG316" i="3" a="1"/>
  <c r="AG316" i="3" s="1"/>
  <c r="AG1072" i="3" a="1"/>
  <c r="AG1072" i="3" s="1"/>
  <c r="AI1072" i="3" a="1"/>
  <c r="AI1072" i="3" s="1"/>
  <c r="AH1072" i="3" a="1"/>
  <c r="AH1072" i="3" s="1"/>
  <c r="AI1348" i="3" a="1"/>
  <c r="AI1348" i="3" s="1"/>
  <c r="AH1348" i="3" a="1"/>
  <c r="AH1348" i="3" s="1"/>
  <c r="AG1348" i="3" a="1"/>
  <c r="AG1348" i="3" s="1"/>
  <c r="AI1466" i="3" a="1"/>
  <c r="AI1466" i="3" s="1"/>
  <c r="AH1466" i="3" a="1"/>
  <c r="AH1466" i="3" s="1"/>
  <c r="AG1466" i="3" a="1"/>
  <c r="AG1466" i="3" s="1"/>
  <c r="AG1191" i="3" a="1"/>
  <c r="AG1191" i="3" s="1"/>
  <c r="AH1191" i="3" a="1"/>
  <c r="AH1191" i="3" s="1"/>
  <c r="AI1191" i="3" a="1"/>
  <c r="AI1191" i="3" s="1"/>
  <c r="AI36" i="3" a="1"/>
  <c r="AI36" i="3" s="1"/>
  <c r="AG36" i="3" a="1"/>
  <c r="AG36" i="3" s="1"/>
  <c r="AH36" i="3" a="1"/>
  <c r="AH36" i="3" s="1"/>
  <c r="AI49" i="3" a="1"/>
  <c r="AI49" i="3" s="1"/>
  <c r="AG49" i="3" a="1"/>
  <c r="AG49" i="3" s="1"/>
  <c r="AH49" i="3" a="1"/>
  <c r="AH49" i="3" s="1"/>
  <c r="AH254" i="3" a="1"/>
  <c r="AH254" i="3" s="1"/>
  <c r="AG254" i="3" a="1"/>
  <c r="AG254" i="3" s="1"/>
  <c r="AI254" i="3" a="1"/>
  <c r="AI254" i="3" s="1"/>
  <c r="AG613" i="3" a="1"/>
  <c r="AG613" i="3" s="1"/>
  <c r="AI613" i="3" a="1"/>
  <c r="AI613" i="3" s="1"/>
  <c r="AH613" i="3" a="1"/>
  <c r="AH613" i="3" s="1"/>
  <c r="AH43" i="3" a="1"/>
  <c r="AH43" i="3" s="1"/>
  <c r="AI43" i="3" a="1"/>
  <c r="AI43" i="3" s="1"/>
  <c r="AG43" i="3" a="1"/>
  <c r="AG43" i="3" s="1"/>
  <c r="AH702" i="3" a="1"/>
  <c r="AH702" i="3" s="1"/>
  <c r="AI702" i="3" a="1"/>
  <c r="AI702" i="3" s="1"/>
  <c r="AG702" i="3" a="1"/>
  <c r="AG702" i="3" s="1"/>
  <c r="AH168" i="3" a="1"/>
  <c r="AH168" i="3" s="1"/>
  <c r="AI168" i="3" a="1"/>
  <c r="AI168" i="3" s="1"/>
  <c r="AG168" i="3" a="1"/>
  <c r="AG168" i="3" s="1"/>
  <c r="AG77" i="3" a="1"/>
  <c r="AG77" i="3" s="1"/>
  <c r="AH77" i="3" a="1"/>
  <c r="AH77" i="3" s="1"/>
  <c r="AI77" i="3" a="1"/>
  <c r="AI77" i="3" s="1"/>
  <c r="AH667" i="3" a="1"/>
  <c r="AH667" i="3" s="1"/>
  <c r="AI667" i="3" a="1"/>
  <c r="AI667" i="3" s="1"/>
  <c r="AG667" i="3" a="1"/>
  <c r="AG667" i="3" s="1"/>
  <c r="AH201" i="3" a="1"/>
  <c r="AH201" i="3" s="1"/>
  <c r="AI201" i="3" a="1"/>
  <c r="AI201" i="3" s="1"/>
  <c r="AG201" i="3" a="1"/>
  <c r="AG201" i="3" s="1"/>
  <c r="AG557" i="3" a="1"/>
  <c r="AG557" i="3" s="1"/>
  <c r="AI557" i="3" a="1"/>
  <c r="AI557" i="3" s="1"/>
  <c r="AH557" i="3" a="1"/>
  <c r="AH557" i="3" s="1"/>
  <c r="AH784" i="3" a="1"/>
  <c r="AH784" i="3" s="1"/>
  <c r="AG784" i="3" a="1"/>
  <c r="AG784" i="3" s="1"/>
  <c r="AI784" i="3" a="1"/>
  <c r="AI784" i="3" s="1"/>
  <c r="AH170" i="3" a="1"/>
  <c r="AH170" i="3" s="1"/>
  <c r="AG170" i="3" a="1"/>
  <c r="AG170" i="3" s="1"/>
  <c r="AI170" i="3" a="1"/>
  <c r="AI170" i="3" s="1"/>
  <c r="AG654" i="3" a="1"/>
  <c r="AG654" i="3" s="1"/>
  <c r="AH654" i="3" a="1"/>
  <c r="AH654" i="3" s="1"/>
  <c r="AI654" i="3" a="1"/>
  <c r="AI654" i="3" s="1"/>
  <c r="AH331" i="3" a="1"/>
  <c r="AH331" i="3" s="1"/>
  <c r="AI331" i="3" a="1"/>
  <c r="AI331" i="3" s="1"/>
  <c r="AG331" i="3" a="1"/>
  <c r="AG331" i="3" s="1"/>
  <c r="AH990" i="3" a="1"/>
  <c r="AH990" i="3" s="1"/>
  <c r="AG990" i="3" a="1"/>
  <c r="AG990" i="3" s="1"/>
  <c r="AI990" i="3" a="1"/>
  <c r="AI990" i="3" s="1"/>
  <c r="AH520" i="3" a="1"/>
  <c r="AH520" i="3" s="1"/>
  <c r="AG520" i="3" a="1"/>
  <c r="AG520" i="3" s="1"/>
  <c r="AI520" i="3" a="1"/>
  <c r="AI520" i="3" s="1"/>
  <c r="AH429" i="3" a="1"/>
  <c r="AH429" i="3" s="1"/>
  <c r="AG429" i="3" a="1"/>
  <c r="AG429" i="3" s="1"/>
  <c r="AI429" i="3" a="1"/>
  <c r="AI429" i="3" s="1"/>
  <c r="AH212" i="3" a="1"/>
  <c r="AH212" i="3" s="1"/>
  <c r="AI212" i="3" a="1"/>
  <c r="AI212" i="3" s="1"/>
  <c r="AG212" i="3" a="1"/>
  <c r="AG212" i="3" s="1"/>
  <c r="AG553" i="3" a="1"/>
  <c r="AG553" i="3" s="1"/>
  <c r="AI553" i="3" a="1"/>
  <c r="AI553" i="3" s="1"/>
  <c r="AH553" i="3" a="1"/>
  <c r="AH553" i="3" s="1"/>
  <c r="AH14" i="3" a="1"/>
  <c r="AH14" i="3" s="1"/>
  <c r="AI14" i="3" a="1"/>
  <c r="AI14" i="3" s="1"/>
  <c r="AG14" i="3" a="1"/>
  <c r="AG14" i="3" s="1"/>
  <c r="AH1007" i="3" a="1"/>
  <c r="AH1007" i="3" s="1"/>
  <c r="AG1007" i="3" a="1"/>
  <c r="AG1007" i="3" s="1"/>
  <c r="AI1007" i="3" a="1"/>
  <c r="AI1007" i="3" s="1"/>
  <c r="AI1046" i="3" a="1"/>
  <c r="AI1046" i="3" s="1"/>
  <c r="AH1046" i="3" a="1"/>
  <c r="AH1046" i="3" s="1"/>
  <c r="AG1046" i="3" a="1"/>
  <c r="AG1046" i="3" s="1"/>
  <c r="AI865" i="3" a="1"/>
  <c r="AI865" i="3" s="1"/>
  <c r="AG865" i="3" a="1"/>
  <c r="AG865" i="3" s="1"/>
  <c r="AH865" i="3" a="1"/>
  <c r="AH865" i="3" s="1"/>
  <c r="AG930" i="3" a="1"/>
  <c r="AG930" i="3" s="1"/>
  <c r="AH930" i="3" a="1"/>
  <c r="AH930" i="3" s="1"/>
  <c r="AI930" i="3" a="1"/>
  <c r="AI930" i="3" s="1"/>
  <c r="AG1025" i="3" a="1"/>
  <c r="AG1025" i="3" s="1"/>
  <c r="AI1025" i="3" a="1"/>
  <c r="AI1025" i="3" s="1"/>
  <c r="AH1025" i="3" a="1"/>
  <c r="AH1025" i="3" s="1"/>
  <c r="AG1062" i="3" a="1"/>
  <c r="AG1062" i="3" s="1"/>
  <c r="AH1062" i="3" a="1"/>
  <c r="AH1062" i="3" s="1"/>
  <c r="AI1062" i="3" a="1"/>
  <c r="AI1062" i="3" s="1"/>
  <c r="AI1330" i="3" a="1"/>
  <c r="AI1330" i="3" s="1"/>
  <c r="AG1330" i="3" a="1"/>
  <c r="AG1330" i="3" s="1"/>
  <c r="AH1330" i="3" a="1"/>
  <c r="AH1330" i="3" s="1"/>
  <c r="AH1419" i="3" a="1"/>
  <c r="AH1419" i="3" s="1"/>
  <c r="AG1419" i="3" a="1"/>
  <c r="AG1419" i="3" s="1"/>
  <c r="AI1419" i="3" a="1"/>
  <c r="AI1419" i="3" s="1"/>
  <c r="AI1454" i="3" a="1"/>
  <c r="AI1454" i="3" s="1"/>
  <c r="AG1454" i="3" a="1"/>
  <c r="AG1454" i="3" s="1"/>
  <c r="AH1454" i="3" a="1"/>
  <c r="AH1454" i="3" s="1"/>
  <c r="AH658" i="3" a="1"/>
  <c r="AH658" i="3" s="1"/>
  <c r="AI658" i="3" a="1"/>
  <c r="AI658" i="3" s="1"/>
  <c r="AG658" i="3" a="1"/>
  <c r="AG658" i="3" s="1"/>
  <c r="AG1140" i="3" a="1"/>
  <c r="AG1140" i="3" s="1"/>
  <c r="AH1140" i="3" a="1"/>
  <c r="AH1140" i="3" s="1"/>
  <c r="AI1140" i="3" a="1"/>
  <c r="AI1140" i="3" s="1"/>
  <c r="AI1167" i="3" a="1"/>
  <c r="AI1167" i="3" s="1"/>
  <c r="AG1167" i="3" a="1"/>
  <c r="AG1167" i="3" s="1"/>
  <c r="AH1167" i="3" a="1"/>
  <c r="AH1167" i="3" s="1"/>
  <c r="AI1228" i="3" a="1"/>
  <c r="AI1228" i="3" s="1"/>
  <c r="AH1228" i="3" a="1"/>
  <c r="AH1228" i="3" s="1"/>
  <c r="AG1228" i="3" a="1"/>
  <c r="AG1228" i="3" s="1"/>
  <c r="AI268" i="3" a="1"/>
  <c r="AI268" i="3" s="1"/>
  <c r="AH268" i="3" a="1"/>
  <c r="AH268" i="3" s="1"/>
  <c r="AG268" i="3" a="1"/>
  <c r="AG268" i="3" s="1"/>
  <c r="AG984" i="3" a="1"/>
  <c r="AG984" i="3" s="1"/>
  <c r="AI984" i="3" a="1"/>
  <c r="AI984" i="3" s="1"/>
  <c r="AH984" i="3" a="1"/>
  <c r="AH984" i="3" s="1"/>
  <c r="AH406" i="3" a="1"/>
  <c r="AH406" i="3" s="1"/>
  <c r="AI406" i="3" a="1"/>
  <c r="AI406" i="3" s="1"/>
  <c r="AG406" i="3" a="1"/>
  <c r="AG406" i="3" s="1"/>
  <c r="U885" i="3"/>
  <c r="AC193" i="3"/>
  <c r="AC196" i="3"/>
  <c r="AC9" i="3"/>
  <c r="V1469" i="3"/>
  <c r="V1468" i="3"/>
  <c r="U1469" i="3"/>
  <c r="AA422" i="3"/>
  <c r="AA475" i="3"/>
  <c r="AA1014" i="3"/>
  <c r="AA239" i="3"/>
  <c r="AB239" i="3" s="1"/>
  <c r="AA691" i="3"/>
  <c r="AA465" i="3"/>
  <c r="AB465" i="3" s="1"/>
  <c r="AA1012" i="3"/>
  <c r="AA233" i="3"/>
  <c r="AA375" i="3"/>
  <c r="AA1081" i="3"/>
  <c r="AA383" i="3"/>
  <c r="AA130" i="3"/>
  <c r="AA628" i="3"/>
  <c r="AA714" i="3"/>
  <c r="AA257" i="3"/>
  <c r="AB257" i="3" s="1"/>
  <c r="AA748" i="3"/>
  <c r="AA927" i="3"/>
  <c r="AA1042" i="3"/>
  <c r="AA1059" i="3"/>
  <c r="AA931" i="3"/>
  <c r="AA773" i="3"/>
  <c r="AA991" i="3"/>
  <c r="AA637" i="3"/>
  <c r="AA878" i="3"/>
  <c r="AA1077" i="3"/>
  <c r="AB1077" i="3" s="1"/>
  <c r="AA814" i="3"/>
  <c r="AA849" i="3"/>
  <c r="AA983" i="3"/>
  <c r="AB983" i="3" s="1"/>
  <c r="AA854" i="3"/>
  <c r="AA97" i="3"/>
  <c r="AC123" i="3"/>
  <c r="AA1025" i="3"/>
  <c r="AC877" i="3"/>
  <c r="AB877" i="3" s="1"/>
  <c r="AC551" i="3"/>
  <c r="AC98" i="3"/>
  <c r="AA86" i="3"/>
  <c r="AC860" i="3"/>
  <c r="AC987" i="3"/>
  <c r="AC44" i="3"/>
  <c r="AC81" i="3"/>
  <c r="AC209" i="3"/>
  <c r="AA869" i="3"/>
  <c r="AC924" i="3"/>
  <c r="AC674" i="3"/>
  <c r="AC249" i="3"/>
  <c r="AB249" i="3" s="1"/>
  <c r="AC102" i="3"/>
  <c r="AC182" i="3"/>
  <c r="AC63" i="3"/>
  <c r="AC246" i="3"/>
  <c r="U321" i="3"/>
  <c r="U451" i="3"/>
  <c r="AA971" i="3"/>
  <c r="AA54" i="3"/>
  <c r="AC165" i="3"/>
  <c r="AA37" i="3"/>
  <c r="AC777" i="3"/>
  <c r="AC645" i="3"/>
  <c r="U1445" i="3"/>
  <c r="U1379" i="3"/>
  <c r="AC48" i="3"/>
  <c r="U378" i="3"/>
  <c r="U456" i="3"/>
  <c r="AA949" i="3"/>
  <c r="AB949" i="3" s="1"/>
  <c r="U832" i="3"/>
  <c r="AC550" i="3"/>
  <c r="AA192" i="3"/>
  <c r="AC64" i="3"/>
  <c r="AC12" i="3"/>
  <c r="AC127" i="3"/>
  <c r="AC187" i="3"/>
  <c r="AA114" i="3"/>
  <c r="AC103" i="3"/>
  <c r="AB103" i="3" s="1"/>
  <c r="AC433" i="3"/>
  <c r="AB433" i="3" s="1"/>
  <c r="AC104" i="3"/>
  <c r="U724" i="3"/>
  <c r="AA322" i="3"/>
  <c r="AB322" i="3" s="1"/>
  <c r="AA272" i="3"/>
  <c r="U1108" i="3"/>
  <c r="AA724" i="3"/>
  <c r="U1111" i="3"/>
  <c r="AA938" i="3"/>
  <c r="U1291" i="3"/>
  <c r="AB1341" i="3"/>
  <c r="AA893" i="3"/>
  <c r="AB893" i="3" s="1"/>
  <c r="U1186" i="3"/>
  <c r="AA1419" i="3"/>
  <c r="AA608" i="3"/>
  <c r="AB608" i="3" s="1"/>
  <c r="AA447" i="3"/>
  <c r="AA439" i="3"/>
  <c r="AA100" i="3"/>
  <c r="AA953" i="3"/>
  <c r="AB953" i="3" s="1"/>
  <c r="AA1029" i="3"/>
  <c r="AA1034" i="3"/>
  <c r="AB1034" i="3" s="1"/>
  <c r="AA1432" i="3"/>
  <c r="AA585" i="3"/>
  <c r="AA126" i="3"/>
  <c r="AA12" i="3"/>
  <c r="AA950" i="3"/>
  <c r="AB950" i="3" s="1"/>
  <c r="AA823" i="3"/>
  <c r="AA755" i="3"/>
  <c r="AA320" i="3"/>
  <c r="AA1079" i="3"/>
  <c r="AB1079" i="3" s="1"/>
  <c r="AA1339" i="3"/>
  <c r="AA851" i="3"/>
  <c r="AA856" i="3"/>
  <c r="AA159" i="3"/>
  <c r="AA112" i="3"/>
  <c r="AB112" i="3" s="1"/>
  <c r="AA167" i="3"/>
  <c r="AA820" i="3"/>
  <c r="AB820" i="3" s="1"/>
  <c r="AA529" i="3"/>
  <c r="AA526" i="3"/>
  <c r="AA1364" i="3"/>
  <c r="AA763" i="3"/>
  <c r="AA812" i="3"/>
  <c r="AA203" i="3"/>
  <c r="AA327" i="3"/>
  <c r="AA989" i="3"/>
  <c r="AA860" i="3"/>
  <c r="AA1084" i="3"/>
  <c r="AA954" i="3"/>
  <c r="AA650" i="3"/>
  <c r="AA39" i="3"/>
  <c r="AA451" i="3"/>
  <c r="AA413" i="3"/>
  <c r="AA191" i="3"/>
  <c r="AB191" i="3" s="1"/>
  <c r="AA87" i="3"/>
  <c r="AA740" i="3"/>
  <c r="AA568" i="3"/>
  <c r="AA682" i="3"/>
  <c r="AA777" i="3"/>
  <c r="AA887" i="3"/>
  <c r="AA1138" i="3"/>
  <c r="AA1010" i="3"/>
  <c r="AA892" i="3"/>
  <c r="AA987" i="3"/>
  <c r="AA1398" i="3"/>
  <c r="AA1190" i="3"/>
  <c r="AA1061" i="3"/>
  <c r="AA933" i="3"/>
  <c r="AB1323" i="3"/>
  <c r="AA775" i="3"/>
  <c r="AA1351" i="3"/>
  <c r="AC116" i="3"/>
  <c r="AA752" i="3"/>
  <c r="AB752" i="3" s="1"/>
  <c r="AD1347" i="3"/>
  <c r="AD1283" i="3"/>
  <c r="AA988" i="3"/>
  <c r="AA986" i="3"/>
  <c r="AA23" i="3"/>
  <c r="AA734" i="3"/>
  <c r="AB734" i="3" s="1"/>
  <c r="AA478" i="3"/>
  <c r="AA745" i="3"/>
  <c r="AA104" i="3"/>
  <c r="AD1405" i="3"/>
  <c r="AD1431" i="3"/>
  <c r="AD1222" i="3"/>
  <c r="AD1343" i="3"/>
  <c r="AD1279" i="3"/>
  <c r="AA1287" i="3"/>
  <c r="AA1201" i="3"/>
  <c r="AC90" i="3"/>
  <c r="AB90" i="3" s="1"/>
  <c r="AC76" i="3"/>
  <c r="AA40" i="3"/>
  <c r="AC559" i="3"/>
  <c r="AC802" i="3"/>
  <c r="AC757" i="3"/>
  <c r="AD1424" i="3"/>
  <c r="AD1410" i="3"/>
  <c r="AD1395" i="3"/>
  <c r="AD1198" i="3"/>
  <c r="AD1372" i="3"/>
  <c r="AD1340" i="3"/>
  <c r="AD1276" i="3"/>
  <c r="AD1236" i="3"/>
  <c r="AD1220" i="3"/>
  <c r="AD1428" i="3"/>
  <c r="AD1448" i="3"/>
  <c r="AD1384" i="3"/>
  <c r="AD1377" i="3"/>
  <c r="AD1351" i="3"/>
  <c r="AD1311" i="3"/>
  <c r="AD1287" i="3"/>
  <c r="AD1247" i="3"/>
  <c r="AD1195" i="3"/>
  <c r="AD1186" i="3"/>
  <c r="AD1438" i="3"/>
  <c r="AD1379" i="3"/>
  <c r="AD1460" i="3"/>
  <c r="AD1396" i="3"/>
  <c r="AD1375" i="3"/>
  <c r="AD1255" i="3"/>
  <c r="AA18" i="3"/>
  <c r="AA262" i="3"/>
  <c r="AA135" i="3"/>
  <c r="AA116" i="3"/>
  <c r="AA924" i="3"/>
  <c r="AC765" i="3"/>
  <c r="AB765" i="3" s="1"/>
  <c r="AC719" i="3"/>
  <c r="AC1309" i="3"/>
  <c r="U1416" i="3"/>
  <c r="AC1204" i="3"/>
  <c r="U1454" i="3"/>
  <c r="AC1312" i="3"/>
  <c r="AC1148" i="3"/>
  <c r="AC1144" i="3"/>
  <c r="AA564" i="3"/>
  <c r="AA198" i="3"/>
  <c r="AA178" i="3"/>
  <c r="AA66" i="3"/>
  <c r="AA27" i="3"/>
  <c r="AC1462" i="3"/>
  <c r="AA56" i="3"/>
  <c r="AA1465" i="3"/>
  <c r="AA201" i="3"/>
  <c r="AA34" i="3"/>
  <c r="AA169" i="3"/>
  <c r="AB169" i="3" s="1"/>
  <c r="AA1437" i="3"/>
  <c r="AA20" i="3"/>
  <c r="AA102" i="3"/>
  <c r="U1197" i="3"/>
  <c r="U1256" i="3"/>
  <c r="AA701" i="3"/>
  <c r="AA574" i="3"/>
  <c r="AA674" i="3"/>
  <c r="AA107" i="3"/>
  <c r="AB107" i="3" s="1"/>
  <c r="AC1155" i="3"/>
  <c r="AC1316" i="3"/>
  <c r="AB1316" i="3" s="1"/>
  <c r="AC1180" i="3"/>
  <c r="AC1313" i="3"/>
  <c r="AA733" i="3"/>
  <c r="AA605" i="3"/>
  <c r="AA649" i="3"/>
  <c r="AB649" i="3" s="1"/>
  <c r="AA737" i="3"/>
  <c r="AA609" i="3"/>
  <c r="AC1449" i="3"/>
  <c r="AC1258" i="3"/>
  <c r="AB1258" i="3" s="1"/>
  <c r="AA895" i="3"/>
  <c r="AA790" i="3"/>
  <c r="AA83" i="3"/>
  <c r="AB83" i="3" s="1"/>
  <c r="AC1203" i="3"/>
  <c r="AC637" i="3"/>
  <c r="AC792" i="3"/>
  <c r="AB1172" i="3"/>
  <c r="AD1456" i="3"/>
  <c r="AD1392" i="3"/>
  <c r="AD1381" i="3"/>
  <c r="AD1225" i="3"/>
  <c r="AD1352" i="3"/>
  <c r="AD1312" i="3"/>
  <c r="AD1288" i="3"/>
  <c r="AD1213" i="3"/>
  <c r="AA1303" i="3"/>
  <c r="AA1044" i="3"/>
  <c r="AA1306" i="3"/>
  <c r="AC1009" i="3"/>
  <c r="AC881" i="3"/>
  <c r="AA580" i="3"/>
  <c r="AC10" i="3"/>
  <c r="AC78" i="3"/>
  <c r="AB78" i="3" s="1"/>
  <c r="AC198" i="3"/>
  <c r="AA71" i="3"/>
  <c r="AC255" i="3"/>
  <c r="AA537" i="3"/>
  <c r="AB537" i="3" s="1"/>
  <c r="AC166" i="3"/>
  <c r="AA38" i="3"/>
  <c r="AA131" i="3"/>
  <c r="AB131" i="3" s="1"/>
  <c r="AD1413" i="3"/>
  <c r="AD1439" i="3"/>
  <c r="AC106" i="3"/>
  <c r="AA52" i="3"/>
  <c r="AC282" i="3"/>
  <c r="AC186" i="3"/>
  <c r="AA1052" i="3"/>
  <c r="U1352" i="3"/>
  <c r="U1322" i="3"/>
  <c r="U1211" i="3"/>
  <c r="AC1263" i="3"/>
  <c r="AC115" i="3"/>
  <c r="AC592" i="3"/>
  <c r="AA42" i="3"/>
  <c r="AA93" i="3"/>
  <c r="AA525" i="3"/>
  <c r="AC1428" i="3"/>
  <c r="AB1428" i="3" s="1"/>
  <c r="AC1345" i="3"/>
  <c r="AA1447" i="3"/>
  <c r="AA884" i="3"/>
  <c r="AA1148" i="3"/>
  <c r="AC278" i="3"/>
  <c r="AC1403" i="3"/>
  <c r="AC199" i="3"/>
  <c r="AA70" i="3"/>
  <c r="AC725" i="3"/>
  <c r="AC528" i="3"/>
  <c r="AC96" i="3"/>
  <c r="AC163" i="3"/>
  <c r="AC248" i="3"/>
  <c r="AC589" i="3"/>
  <c r="AC666" i="3"/>
  <c r="AC114" i="3"/>
  <c r="AA1368" i="3"/>
  <c r="AA63" i="3"/>
  <c r="AD1394" i="3"/>
  <c r="AD1338" i="3"/>
  <c r="AD1274" i="3"/>
  <c r="AA675" i="3"/>
  <c r="AA204" i="3"/>
  <c r="AA25" i="3"/>
  <c r="AA306" i="3"/>
  <c r="AA558" i="3"/>
  <c r="AD1363" i="3"/>
  <c r="AD1299" i="3"/>
  <c r="AD1235" i="3"/>
  <c r="AD1408" i="3"/>
  <c r="AD1443" i="3"/>
  <c r="AD1210" i="3"/>
  <c r="AD1454" i="3"/>
  <c r="AD1390" i="3"/>
  <c r="AD1412" i="3"/>
  <c r="AD1215" i="3"/>
  <c r="AD1329" i="3"/>
  <c r="AD1265" i="3"/>
  <c r="AA106" i="3"/>
  <c r="AA122" i="3"/>
  <c r="AA73" i="3"/>
  <c r="AA255" i="3"/>
  <c r="AA151" i="3"/>
  <c r="AA689" i="3"/>
  <c r="AA230" i="3"/>
  <c r="AA1455" i="3"/>
  <c r="AD1192" i="3"/>
  <c r="AD1368" i="3"/>
  <c r="AD1304" i="3"/>
  <c r="AD1240" i="3"/>
  <c r="AA371" i="3"/>
  <c r="AA449" i="3"/>
  <c r="AB449" i="3" s="1"/>
  <c r="AA189" i="3"/>
  <c r="AB189" i="3" s="1"/>
  <c r="AD1335" i="3"/>
  <c r="AD1271" i="3"/>
  <c r="AA993" i="3"/>
  <c r="AA1169" i="3"/>
  <c r="AA356" i="3"/>
  <c r="AA470" i="3"/>
  <c r="AA274" i="3"/>
  <c r="AA1188" i="3"/>
  <c r="AA473" i="3"/>
  <c r="AD1341" i="3"/>
  <c r="AD1277" i="3"/>
  <c r="U1208" i="3"/>
  <c r="AC1384" i="3"/>
  <c r="AB1384" i="3" s="1"/>
  <c r="AC1260" i="3"/>
  <c r="AA864" i="3"/>
  <c r="AA1128" i="3"/>
  <c r="AB1128" i="3" s="1"/>
  <c r="AA376" i="3"/>
  <c r="AA623" i="3"/>
  <c r="AB623" i="3" s="1"/>
  <c r="AA641" i="3"/>
  <c r="AA772" i="3"/>
  <c r="AA905" i="3"/>
  <c r="AB905" i="3" s="1"/>
  <c r="AA546" i="3"/>
  <c r="AB546" i="3" s="1"/>
  <c r="AA406" i="3"/>
  <c r="AA157" i="3"/>
  <c r="AA957" i="3"/>
  <c r="AA958" i="3"/>
  <c r="AA1027" i="3"/>
  <c r="AA84" i="3"/>
  <c r="AA115" i="3"/>
  <c r="AA583" i="3"/>
  <c r="AA160" i="3"/>
  <c r="AA318" i="3"/>
  <c r="AB318" i="3" s="1"/>
  <c r="AC586" i="3"/>
  <c r="AC735" i="3"/>
  <c r="AC607" i="3"/>
  <c r="AD1344" i="3"/>
  <c r="AD1320" i="3"/>
  <c r="AD1280" i="3"/>
  <c r="AD1256" i="3"/>
  <c r="AC611" i="3"/>
  <c r="AC693" i="3"/>
  <c r="AA942" i="3"/>
  <c r="AA24" i="3"/>
  <c r="AC785" i="3"/>
  <c r="AA657" i="3"/>
  <c r="AC676" i="3"/>
  <c r="AC1390" i="3"/>
  <c r="AC1193" i="3"/>
  <c r="AB1193" i="3" s="1"/>
  <c r="U1181" i="3"/>
  <c r="AC1118" i="3"/>
  <c r="AC1388" i="3"/>
  <c r="AC1170" i="3"/>
  <c r="U1457" i="3"/>
  <c r="AC1374" i="3"/>
  <c r="AB1374" i="3" s="1"/>
  <c r="AA337" i="3"/>
  <c r="AA1048" i="3"/>
  <c r="AA381" i="3"/>
  <c r="AA148" i="3"/>
  <c r="AA72" i="3"/>
  <c r="AA55" i="3"/>
  <c r="AA721" i="3"/>
  <c r="AA879" i="3"/>
  <c r="AA604" i="3"/>
  <c r="AA702" i="3"/>
  <c r="AB702" i="3" s="1"/>
  <c r="AA264" i="3"/>
  <c r="AA137" i="3"/>
  <c r="AC1127" i="3"/>
  <c r="AB1127" i="3" s="1"/>
  <c r="AA997" i="3"/>
  <c r="AA1002" i="3"/>
  <c r="AB826" i="3"/>
  <c r="AA510" i="3"/>
  <c r="AA8" i="3"/>
  <c r="AA1253" i="3"/>
  <c r="AB1253" i="3" s="1"/>
  <c r="AA796" i="3"/>
  <c r="AA669" i="3"/>
  <c r="AA713" i="3"/>
  <c r="AB713" i="3" s="1"/>
  <c r="AA270" i="3"/>
  <c r="AB270" i="3" s="1"/>
  <c r="AA673" i="3"/>
  <c r="AC1338" i="3"/>
  <c r="AC1139" i="3"/>
  <c r="AA1093" i="3"/>
  <c r="AB1093" i="3" s="1"/>
  <c r="AA698" i="3"/>
  <c r="AA184" i="3"/>
  <c r="AA69" i="3"/>
  <c r="AA232" i="3"/>
  <c r="AA959" i="3"/>
  <c r="AC1255" i="3"/>
  <c r="AB1255" i="3" s="1"/>
  <c r="AC1125" i="3"/>
  <c r="AA620" i="3"/>
  <c r="AB620" i="3" s="1"/>
  <c r="AC747" i="3"/>
  <c r="AA32" i="3"/>
  <c r="AC276" i="3"/>
  <c r="AA150" i="3"/>
  <c r="AD1205" i="3"/>
  <c r="AC121" i="3"/>
  <c r="AA51" i="3"/>
  <c r="AA140" i="3"/>
  <c r="AA89" i="3"/>
  <c r="AC1393" i="3"/>
  <c r="AC1123" i="3"/>
  <c r="AC1279" i="3"/>
  <c r="AA1413" i="3"/>
  <c r="AC1432" i="3"/>
  <c r="AB1432" i="3" s="1"/>
  <c r="AA1211" i="3"/>
  <c r="AC1437" i="3"/>
  <c r="AA782" i="3"/>
  <c r="AB782" i="3" s="1"/>
  <c r="AC655" i="3"/>
  <c r="AC1274" i="3"/>
  <c r="AB1274" i="3" s="1"/>
  <c r="AC1266" i="3"/>
  <c r="AB1434" i="3"/>
  <c r="AC1288" i="3"/>
  <c r="AB1288" i="3" s="1"/>
  <c r="U1435" i="3"/>
  <c r="U1420" i="3"/>
  <c r="AC1216" i="3"/>
  <c r="AC1244" i="3"/>
  <c r="U1466" i="3"/>
  <c r="AC1120" i="3"/>
  <c r="AC1366" i="3"/>
  <c r="AB1366" i="3" s="1"/>
  <c r="AC1290" i="3"/>
  <c r="AC1282" i="3"/>
  <c r="AB1282" i="3" s="1"/>
  <c r="AC1294" i="3"/>
  <c r="AC1368" i="3"/>
  <c r="U1330" i="3"/>
  <c r="AC155" i="3"/>
  <c r="AC1084" i="3"/>
  <c r="AC753" i="3"/>
  <c r="AC626" i="3"/>
  <c r="AA683" i="3"/>
  <c r="AC796" i="3"/>
  <c r="AC669" i="3"/>
  <c r="AC157" i="3"/>
  <c r="AA170" i="3"/>
  <c r="AB170" i="3" s="1"/>
  <c r="AA314" i="3"/>
  <c r="AC1453" i="3"/>
  <c r="U1240" i="3"/>
  <c r="U1171" i="3"/>
  <c r="U1183" i="3"/>
  <c r="AC1232" i="3"/>
  <c r="AC1121" i="3"/>
  <c r="AC1154" i="3"/>
  <c r="AB1154" i="3" s="1"/>
  <c r="U1373" i="3"/>
  <c r="AC1205" i="3"/>
  <c r="AB1205" i="3" s="1"/>
  <c r="AB1333" i="3"/>
  <c r="U1306" i="3"/>
  <c r="U1399" i="3"/>
  <c r="AC1143" i="3"/>
  <c r="AC1161" i="3"/>
  <c r="AB1161" i="3" s="1"/>
  <c r="U1325" i="3"/>
  <c r="AA110" i="3"/>
  <c r="AB110" i="3" s="1"/>
  <c r="AC11" i="3"/>
  <c r="AA88" i="3"/>
  <c r="AA57" i="3"/>
  <c r="AC46" i="3"/>
  <c r="AC167" i="3"/>
  <c r="AC49" i="3"/>
  <c r="AB49" i="3" s="1"/>
  <c r="AC1162" i="3"/>
  <c r="AA98" i="3"/>
  <c r="U300" i="3"/>
  <c r="AC1448" i="3"/>
  <c r="U1456" i="3"/>
  <c r="AC542" i="3"/>
  <c r="AC188" i="3"/>
  <c r="AC709" i="3"/>
  <c r="AC185" i="3"/>
  <c r="AC153" i="3"/>
  <c r="AB153" i="3" s="1"/>
  <c r="AC1231" i="3"/>
  <c r="AC650" i="3"/>
  <c r="AC806" i="3"/>
  <c r="AC596" i="3"/>
  <c r="AC1075" i="3"/>
  <c r="AB1075" i="3" s="1"/>
  <c r="AC947" i="3"/>
  <c r="AC1300" i="3"/>
  <c r="AC912" i="3"/>
  <c r="AC1046" i="3"/>
  <c r="AB1046" i="3" s="1"/>
  <c r="AC798" i="3"/>
  <c r="AC671" i="3"/>
  <c r="AC100" i="3"/>
  <c r="AC1174" i="3"/>
  <c r="AC446" i="3"/>
  <c r="AC958" i="3"/>
  <c r="AC738" i="3"/>
  <c r="AC1463" i="3"/>
  <c r="AB1463" i="3" s="1"/>
  <c r="AC684" i="3"/>
  <c r="AC733" i="3"/>
  <c r="AC605" i="3"/>
  <c r="AC206" i="3"/>
  <c r="AC823" i="3"/>
  <c r="AC1430" i="3"/>
  <c r="AB1430" i="3" s="1"/>
  <c r="AA202" i="3"/>
  <c r="AA125" i="3"/>
  <c r="AA21" i="3"/>
  <c r="AA786" i="3"/>
  <c r="AC741" i="3"/>
  <c r="AA705" i="3"/>
  <c r="AA852" i="3"/>
  <c r="AA265" i="3"/>
  <c r="AA136" i="3"/>
  <c r="AA1290" i="3"/>
  <c r="AC1207" i="3"/>
  <c r="AB1207" i="3" s="1"/>
  <c r="AC803" i="3"/>
  <c r="AB945" i="3"/>
  <c r="AC1086" i="3"/>
  <c r="AA59" i="3"/>
  <c r="AC61" i="3"/>
  <c r="AA658" i="3"/>
  <c r="AA1001" i="3"/>
  <c r="AA975" i="3"/>
  <c r="AA625" i="3"/>
  <c r="AA685" i="3"/>
  <c r="AA729" i="3"/>
  <c r="AA601" i="3"/>
  <c r="AB601" i="3" s="1"/>
  <c r="AC749" i="3"/>
  <c r="AC699" i="3"/>
  <c r="AC1396" i="3"/>
  <c r="AB1396" i="3" s="1"/>
  <c r="AC1271" i="3"/>
  <c r="AB1271" i="3" s="1"/>
  <c r="AA718" i="3"/>
  <c r="AB718" i="3" s="1"/>
  <c r="AA1066" i="3"/>
  <c r="AC716" i="3"/>
  <c r="AA74" i="3"/>
  <c r="AA415" i="3"/>
  <c r="AB415" i="3" s="1"/>
  <c r="AD1243" i="3"/>
  <c r="AC879" i="3"/>
  <c r="AD1248" i="3"/>
  <c r="AC1175" i="3"/>
  <c r="AC1104" i="3"/>
  <c r="AC1158" i="3"/>
  <c r="AC900" i="3"/>
  <c r="AB900" i="3" s="1"/>
  <c r="AC1156" i="3"/>
  <c r="AC817" i="3"/>
  <c r="AC1339" i="3"/>
  <c r="AC690" i="3"/>
  <c r="AC1109" i="3"/>
  <c r="AC97" i="3"/>
  <c r="AC1040" i="3"/>
  <c r="AC1214" i="3"/>
  <c r="AA1204" i="3"/>
  <c r="AC714" i="3"/>
  <c r="AA586" i="3"/>
  <c r="AC957" i="3"/>
  <c r="AC488" i="3"/>
  <c r="AC692" i="3"/>
  <c r="AC991" i="3"/>
  <c r="AA1457" i="3"/>
  <c r="AC1295" i="3"/>
  <c r="AB1058" i="3"/>
  <c r="AA940" i="3"/>
  <c r="AB940" i="3" s="1"/>
  <c r="AA686" i="3"/>
  <c r="AB686" i="3" s="1"/>
  <c r="AC689" i="3"/>
  <c r="AA747" i="3"/>
  <c r="AC632" i="3"/>
  <c r="AB632" i="3" s="1"/>
  <c r="AC683" i="3"/>
  <c r="AA179" i="3"/>
  <c r="AC781" i="3"/>
  <c r="AA653" i="3"/>
  <c r="AA697" i="3"/>
  <c r="AB697" i="3" s="1"/>
  <c r="AA267" i="3"/>
  <c r="AB267" i="3" s="1"/>
  <c r="AA138" i="3"/>
  <c r="AA1070" i="3"/>
  <c r="AB1070" i="3" s="1"/>
  <c r="AA645" i="3"/>
  <c r="AC1459" i="3"/>
  <c r="AB1459" i="3" s="1"/>
  <c r="AC1455" i="3"/>
  <c r="AA1440" i="3"/>
  <c r="AB1440" i="3" s="1"/>
  <c r="AC305" i="3"/>
  <c r="AC687" i="3"/>
  <c r="AC252" i="3"/>
  <c r="AA161" i="3"/>
  <c r="AC925" i="3"/>
  <c r="AB925" i="3" s="1"/>
  <c r="AC767" i="3"/>
  <c r="AB767" i="3" s="1"/>
  <c r="AC721" i="3"/>
  <c r="AC779" i="3"/>
  <c r="AA651" i="3"/>
  <c r="AC810" i="3"/>
  <c r="AC177" i="3"/>
  <c r="AA431" i="3"/>
  <c r="AB431" i="3" s="1"/>
  <c r="AA1101" i="3"/>
  <c r="AC773" i="3"/>
  <c r="AA1462" i="3"/>
  <c r="AB1462" i="3" s="1"/>
  <c r="AA588" i="3"/>
  <c r="AB1268" i="3"/>
  <c r="AA395" i="3"/>
  <c r="AA1262" i="3"/>
  <c r="AA263" i="3"/>
  <c r="AC503" i="3"/>
  <c r="AC989" i="3"/>
  <c r="AA172" i="3"/>
  <c r="AC701" i="3"/>
  <c r="AA778" i="3"/>
  <c r="AC651" i="3"/>
  <c r="AC580" i="3"/>
  <c r="AC661" i="3"/>
  <c r="AC613" i="3"/>
  <c r="AA665" i="3"/>
  <c r="AB665" i="3" s="1"/>
  <c r="AA297" i="3"/>
  <c r="AA234" i="3"/>
  <c r="AA164" i="3"/>
  <c r="AA753" i="3"/>
  <c r="AA787" i="3"/>
  <c r="AC652" i="3"/>
  <c r="AC618" i="3"/>
  <c r="AC29" i="3"/>
  <c r="AC715" i="3"/>
  <c r="AA587" i="3"/>
  <c r="AB587" i="3" s="1"/>
  <c r="AA236" i="3"/>
  <c r="AA166" i="3"/>
  <c r="AA897" i="3"/>
  <c r="AC1103" i="3"/>
  <c r="AB1103" i="3" s="1"/>
  <c r="AC117" i="3"/>
  <c r="AC801" i="3"/>
  <c r="AC1011" i="3"/>
  <c r="AA1329" i="3"/>
  <c r="AB1329" i="3" s="1"/>
  <c r="AA1184" i="3"/>
  <c r="AC1252" i="3"/>
  <c r="AA725" i="3"/>
  <c r="AA973" i="3"/>
  <c r="AA749" i="3"/>
  <c r="AA699" i="3"/>
  <c r="AA570" i="3"/>
  <c r="AC685" i="3"/>
  <c r="AA418" i="3"/>
  <c r="AA717" i="3"/>
  <c r="AC590" i="3"/>
  <c r="AA761" i="3"/>
  <c r="AB761" i="3" s="1"/>
  <c r="AC698" i="3"/>
  <c r="AA1382" i="3"/>
  <c r="AA1099" i="3"/>
  <c r="AA1467" i="3"/>
  <c r="AC1107" i="3"/>
  <c r="AC703" i="3"/>
  <c r="AA243" i="3"/>
  <c r="AA1068" i="3"/>
  <c r="AB1068" i="3" s="1"/>
  <c r="AC737" i="3"/>
  <c r="AC609" i="3"/>
  <c r="AA794" i="3"/>
  <c r="AA667" i="3"/>
  <c r="AA780" i="3"/>
  <c r="AC653" i="3"/>
  <c r="AC731" i="3"/>
  <c r="AC603" i="3"/>
  <c r="AC1364" i="3"/>
  <c r="AB1364" i="3" s="1"/>
  <c r="AA916" i="3"/>
  <c r="AB916" i="3" s="1"/>
  <c r="AC210" i="3"/>
  <c r="AC732" i="3"/>
  <c r="AC604" i="3"/>
  <c r="AA736" i="3"/>
  <c r="AB736" i="3" s="1"/>
  <c r="AC682" i="3"/>
  <c r="AA312" i="3"/>
  <c r="AA495" i="3"/>
  <c r="AB495" i="3" s="1"/>
  <c r="AA269" i="3"/>
  <c r="AA149" i="3"/>
  <c r="AA963" i="3"/>
  <c r="AB963" i="3" s="1"/>
  <c r="AA123" i="3"/>
  <c r="AC99" i="3"/>
  <c r="AA1218" i="3"/>
  <c r="AC812" i="3"/>
  <c r="AA576" i="3"/>
  <c r="AA595" i="3"/>
  <c r="AB595" i="3" s="1"/>
  <c r="AC677" i="3"/>
  <c r="AA514" i="3"/>
  <c r="AC250" i="3"/>
  <c r="AA188" i="3"/>
  <c r="AA368" i="3"/>
  <c r="AA35" i="3"/>
  <c r="AA709" i="3"/>
  <c r="AC1458" i="3"/>
  <c r="AC1378" i="3"/>
  <c r="AC705" i="3"/>
  <c r="AC493" i="3"/>
  <c r="AA1387" i="3"/>
  <c r="AC130" i="3"/>
  <c r="AC1311" i="3"/>
  <c r="AC1196" i="3"/>
  <c r="AA642" i="3"/>
  <c r="AC700" i="3"/>
  <c r="AC555" i="3"/>
  <c r="AA646" i="3"/>
  <c r="AB646" i="3" s="1"/>
  <c r="AB816" i="3"/>
  <c r="AA631" i="3"/>
  <c r="AC754" i="3"/>
  <c r="AA572" i="3"/>
  <c r="AA818" i="3"/>
  <c r="AB818" i="3" s="1"/>
  <c r="AC227" i="3"/>
  <c r="AC612" i="3"/>
  <c r="AC1008" i="3"/>
  <c r="AA1149" i="3"/>
  <c r="AB1149" i="3" s="1"/>
  <c r="AC526" i="3"/>
  <c r="AC756" i="3"/>
  <c r="AC390" i="3"/>
  <c r="AC214" i="3"/>
  <c r="AB214" i="3" s="1"/>
  <c r="AC1467" i="3"/>
  <c r="AC1141" i="3"/>
  <c r="AA190" i="3"/>
  <c r="AC730" i="3"/>
  <c r="AC602" i="3"/>
  <c r="AC794" i="3"/>
  <c r="AC667" i="3"/>
  <c r="AA894" i="3"/>
  <c r="AC850" i="3"/>
  <c r="AC1105" i="3"/>
  <c r="AC927" i="3"/>
  <c r="AC576" i="3"/>
  <c r="AA784" i="3"/>
  <c r="AB784" i="3" s="1"/>
  <c r="AC657" i="3"/>
  <c r="AA715" i="3"/>
  <c r="AC588" i="3"/>
  <c r="AC1304" i="3"/>
  <c r="AB1247" i="3"/>
  <c r="AC275" i="3"/>
  <c r="AA17" i="3"/>
  <c r="AA1156" i="3"/>
  <c r="AA885" i="3"/>
  <c r="AC668" i="3"/>
  <c r="AC746" i="3"/>
  <c r="AB746" i="3" s="1"/>
  <c r="AB1317" i="3"/>
  <c r="AA1097" i="3"/>
  <c r="AA757" i="3"/>
  <c r="AA741" i="3"/>
  <c r="AC1286" i="3"/>
  <c r="AB1286" i="3" s="1"/>
  <c r="AA1100" i="3"/>
  <c r="AB1100" i="3" s="1"/>
  <c r="AC585" i="3"/>
  <c r="AA591" i="3"/>
  <c r="AC673" i="3"/>
  <c r="AA731" i="3"/>
  <c r="AA603" i="3"/>
  <c r="AC763" i="3"/>
  <c r="AC717" i="3"/>
  <c r="AA589" i="3"/>
  <c r="AA636" i="3"/>
  <c r="AA681" i="3"/>
  <c r="AB681" i="3" s="1"/>
  <c r="AC1130" i="3"/>
  <c r="AA1308" i="3"/>
  <c r="AB1308" i="3" s="1"/>
  <c r="AC470" i="3"/>
  <c r="AC216" i="3"/>
  <c r="AC366" i="3"/>
  <c r="AC298" i="3"/>
  <c r="AA481" i="3"/>
  <c r="AC194" i="3"/>
  <c r="AA67" i="3"/>
  <c r="AA379" i="3"/>
  <c r="AA409" i="3"/>
  <c r="AC283" i="3"/>
  <c r="AC489" i="3"/>
  <c r="AC454" i="3"/>
  <c r="AA277" i="3"/>
  <c r="AC150" i="3"/>
  <c r="AA483" i="3"/>
  <c r="AA464" i="3"/>
  <c r="AA210" i="3"/>
  <c r="AA360" i="3"/>
  <c r="AB360" i="3" s="1"/>
  <c r="AA162" i="3"/>
  <c r="AB162" i="3" s="1"/>
  <c r="AC126" i="3"/>
  <c r="AC43" i="3"/>
  <c r="AA1191" i="3"/>
  <c r="AC1169" i="3"/>
  <c r="AC292" i="3"/>
  <c r="AC220" i="3"/>
  <c r="AC464" i="3"/>
  <c r="AC636" i="3"/>
  <c r="AA347" i="3"/>
  <c r="AA217" i="3"/>
  <c r="AC296" i="3"/>
  <c r="AA479" i="3"/>
  <c r="AA82" i="3"/>
  <c r="AB82" i="3" s="1"/>
  <c r="AA1151" i="3"/>
  <c r="AC748" i="3"/>
  <c r="AA173" i="3"/>
  <c r="AC1438" i="3"/>
  <c r="AB1417" i="3"/>
  <c r="AA677" i="3"/>
  <c r="AC406" i="3"/>
  <c r="AA430" i="3"/>
  <c r="AA485" i="3"/>
  <c r="AB485" i="3" s="1"/>
  <c r="AC181" i="3"/>
  <c r="AA366" i="3"/>
  <c r="AA75" i="3"/>
  <c r="AA1173" i="3"/>
  <c r="AC136" i="3"/>
  <c r="AA708" i="3"/>
  <c r="AC183" i="3"/>
  <c r="AA386" i="3"/>
  <c r="AC132" i="3"/>
  <c r="AC1422" i="3"/>
  <c r="AA1445" i="3"/>
  <c r="AC1257" i="3"/>
  <c r="AC1235" i="3"/>
  <c r="AC549" i="3"/>
  <c r="AA1039" i="3"/>
  <c r="AA1252" i="3"/>
  <c r="AA1238" i="3"/>
  <c r="AC1200" i="3"/>
  <c r="AA661" i="3"/>
  <c r="AA1153" i="3"/>
  <c r="AA594" i="3"/>
  <c r="AB594" i="3" s="1"/>
  <c r="AA1215" i="3"/>
  <c r="AA1117" i="3"/>
  <c r="AB1117" i="3" s="1"/>
  <c r="AC1163" i="3"/>
  <c r="AC1275" i="3"/>
  <c r="AB1275" i="3" s="1"/>
  <c r="AC236" i="3"/>
  <c r="AC483" i="3"/>
  <c r="AC355" i="3"/>
  <c r="AC225" i="3"/>
  <c r="AC172" i="3"/>
  <c r="AA559" i="3"/>
  <c r="AC448" i="3"/>
  <c r="AC374" i="3"/>
  <c r="AA349" i="3"/>
  <c r="AA219" i="3"/>
  <c r="AC39" i="3"/>
  <c r="AA402" i="3"/>
  <c r="AA275" i="3"/>
  <c r="AC148" i="3"/>
  <c r="AA208" i="3"/>
  <c r="AB208" i="3" s="1"/>
  <c r="AA358" i="3"/>
  <c r="AA411" i="3"/>
  <c r="AC285" i="3"/>
  <c r="AA633" i="3"/>
  <c r="AB633" i="3" s="1"/>
  <c r="AC128" i="3"/>
  <c r="AA1246" i="3"/>
  <c r="AC579" i="3"/>
  <c r="AA1217" i="3"/>
  <c r="AA592" i="3"/>
  <c r="AC1383" i="3"/>
  <c r="AC581" i="3"/>
  <c r="AA1116" i="3"/>
  <c r="AB1116" i="3" s="1"/>
  <c r="AC1195" i="3"/>
  <c r="AB1195" i="3" s="1"/>
  <c r="AC764" i="3"/>
  <c r="AA776" i="3"/>
  <c r="AC635" i="3"/>
  <c r="AC1443" i="3"/>
  <c r="AA712" i="3"/>
  <c r="AB712" i="3" s="1"/>
  <c r="AA1168" i="3"/>
  <c r="AA1358" i="3"/>
  <c r="AB934" i="3"/>
  <c r="AC776" i="3"/>
  <c r="AC1414" i="3"/>
  <c r="AC1320" i="3"/>
  <c r="AC1099" i="3"/>
  <c r="AC886" i="3"/>
  <c r="AA902" i="3"/>
  <c r="AA1162" i="3"/>
  <c r="AA1125" i="3"/>
  <c r="AC1206" i="3"/>
  <c r="AC1386" i="3"/>
  <c r="AC932" i="3"/>
  <c r="AA1189" i="3"/>
  <c r="AA982" i="3"/>
  <c r="AC1273" i="3"/>
  <c r="AB1273" i="3" s="1"/>
  <c r="AC1352" i="3"/>
  <c r="AC1346" i="3"/>
  <c r="AC1395" i="3"/>
  <c r="AB1395" i="3" s="1"/>
  <c r="AC1062" i="3"/>
  <c r="AB1062" i="3" s="1"/>
  <c r="AB1314" i="3"/>
  <c r="AA1143" i="3"/>
  <c r="AC890" i="3"/>
  <c r="AC871" i="3"/>
  <c r="AA1123" i="3"/>
  <c r="AC1078" i="3"/>
  <c r="AB824" i="3"/>
  <c r="AC1108" i="3"/>
  <c r="AA1078" i="3"/>
  <c r="AA948" i="3"/>
  <c r="AB1028" i="3"/>
  <c r="AC724" i="3"/>
  <c r="AA1409" i="3"/>
  <c r="AC1016" i="3"/>
  <c r="AC889" i="3"/>
  <c r="AA1157" i="3"/>
  <c r="AB1157" i="3" s="1"/>
  <c r="AC1027" i="3"/>
  <c r="AA899" i="3"/>
  <c r="AB899" i="3" s="1"/>
  <c r="AC1285" i="3"/>
  <c r="AB1285" i="3" s="1"/>
  <c r="AA1214" i="3"/>
  <c r="AA827" i="3"/>
  <c r="AA1338" i="3"/>
  <c r="AA1080" i="3"/>
  <c r="AC822" i="3"/>
  <c r="AC1090" i="3"/>
  <c r="AC960" i="3"/>
  <c r="AC833" i="3"/>
  <c r="AA1347" i="3"/>
  <c r="AC1292" i="3"/>
  <c r="AA1212" i="3"/>
  <c r="AA825" i="3"/>
  <c r="AB1336" i="3"/>
  <c r="AC1088" i="3"/>
  <c r="AC831" i="3"/>
  <c r="AA1345" i="3"/>
  <c r="AC1038" i="3"/>
  <c r="AA600" i="3"/>
  <c r="AB600" i="3" s="1"/>
  <c r="AC884" i="3"/>
  <c r="AA1318" i="3"/>
  <c r="AC1363" i="3"/>
  <c r="AA1033" i="3"/>
  <c r="AC1033" i="3"/>
  <c r="AC904" i="3"/>
  <c r="AB904" i="3" s="1"/>
  <c r="AA1038" i="3"/>
  <c r="AA909" i="3"/>
  <c r="AA1032" i="3"/>
  <c r="AC1233" i="3"/>
  <c r="AA1250" i="3"/>
  <c r="AC1385" i="3"/>
  <c r="AC1129" i="3"/>
  <c r="AA999" i="3"/>
  <c r="AC1379" i="3"/>
  <c r="AA1004" i="3"/>
  <c r="AB1004" i="3" s="1"/>
  <c r="AA875" i="3"/>
  <c r="AB875" i="3" s="1"/>
  <c r="AA871" i="3"/>
  <c r="AC1208" i="3"/>
  <c r="AA828" i="3"/>
  <c r="AB828" i="3" s="1"/>
  <c r="AA779" i="3"/>
  <c r="AA367" i="3"/>
  <c r="AC384" i="3"/>
  <c r="AA185" i="3"/>
  <c r="AC57" i="3"/>
  <c r="AA624" i="3"/>
  <c r="AA43" i="3"/>
  <c r="AA154" i="3"/>
  <c r="AC139" i="3"/>
  <c r="AB139" i="3" s="1"/>
  <c r="AA248" i="3"/>
  <c r="AC122" i="3"/>
  <c r="AC533" i="3"/>
  <c r="AA727" i="3"/>
  <c r="AB727" i="3" s="1"/>
  <c r="AA599" i="3"/>
  <c r="AB599" i="3" s="1"/>
  <c r="AA792" i="3"/>
  <c r="AC405" i="3"/>
  <c r="AA398" i="3"/>
  <c r="AA301" i="3"/>
  <c r="AB301" i="3" s="1"/>
  <c r="AC230" i="3"/>
  <c r="AC417" i="3"/>
  <c r="AC474" i="3"/>
  <c r="AA344" i="3"/>
  <c r="AB344" i="3" s="1"/>
  <c r="AA199" i="3"/>
  <c r="AC73" i="3"/>
  <c r="AA507" i="3"/>
  <c r="AB507" i="3" s="1"/>
  <c r="AC180" i="3"/>
  <c r="AA493" i="3"/>
  <c r="AC367" i="3"/>
  <c r="AC434" i="3"/>
  <c r="AA488" i="3"/>
  <c r="AC965" i="3"/>
  <c r="AB965" i="3" s="1"/>
  <c r="AC1344" i="3"/>
  <c r="AC1221" i="3"/>
  <c r="AB1221" i="3" s="1"/>
  <c r="AA1451" i="3"/>
  <c r="AB1451" i="3" s="1"/>
  <c r="AA1408" i="3"/>
  <c r="AA680" i="3"/>
  <c r="AB680" i="3" s="1"/>
  <c r="AC1061" i="3"/>
  <c r="AC933" i="3"/>
  <c r="AA742" i="3"/>
  <c r="AB742" i="3" s="1"/>
  <c r="AC1188" i="3"/>
  <c r="AA1139" i="3"/>
  <c r="AC708" i="3"/>
  <c r="AC745" i="3"/>
  <c r="AC805" i="3"/>
  <c r="AA1394" i="3"/>
  <c r="AB1394" i="3" s="1"/>
  <c r="AC1007" i="3"/>
  <c r="AC872" i="3"/>
  <c r="AC1140" i="3"/>
  <c r="AB1140" i="3" s="1"/>
  <c r="AC1012" i="3"/>
  <c r="AC883" i="3"/>
  <c r="AC1267" i="3"/>
  <c r="AB1267" i="3" s="1"/>
  <c r="AC1136" i="3"/>
  <c r="AB1089" i="3"/>
  <c r="AA836" i="3"/>
  <c r="AB836" i="3" s="1"/>
  <c r="AC577" i="3"/>
  <c r="AC658" i="3"/>
  <c r="AA797" i="3"/>
  <c r="AA1199" i="3"/>
  <c r="AC1063" i="3"/>
  <c r="AA1074" i="3"/>
  <c r="AB1074" i="3" s="1"/>
  <c r="AA944" i="3"/>
  <c r="AB944" i="3" s="1"/>
  <c r="AA1330" i="3"/>
  <c r="AA793" i="3"/>
  <c r="AB793" i="3" s="1"/>
  <c r="AA1197" i="3"/>
  <c r="AC780" i="3"/>
  <c r="AB1321" i="3"/>
  <c r="AA760" i="3"/>
  <c r="AB760" i="3" s="1"/>
  <c r="AA1072" i="3"/>
  <c r="AB1072" i="3" s="1"/>
  <c r="AA1328" i="3"/>
  <c r="AC1021" i="3"/>
  <c r="AC766" i="3"/>
  <c r="AC1412" i="3"/>
  <c r="AA732" i="3"/>
  <c r="AC1318" i="3"/>
  <c r="AC1145" i="3"/>
  <c r="AA1018" i="3"/>
  <c r="AA891" i="3"/>
  <c r="AC1404" i="3"/>
  <c r="AA1276" i="3"/>
  <c r="AC1018" i="3"/>
  <c r="AA1021" i="3"/>
  <c r="AA1279" i="3"/>
  <c r="AA1147" i="3"/>
  <c r="AB1147" i="3" s="1"/>
  <c r="AA888" i="3"/>
  <c r="AA1352" i="3"/>
  <c r="AC1228" i="3"/>
  <c r="AB1228" i="3" s="1"/>
  <c r="AA846" i="3"/>
  <c r="AB846" i="3" s="1"/>
  <c r="AC797" i="3"/>
  <c r="AA611" i="3"/>
  <c r="AA1344" i="3"/>
  <c r="AC1223" i="3"/>
  <c r="AC1110" i="3"/>
  <c r="AC1370" i="3"/>
  <c r="AB1370" i="3" s="1"/>
  <c r="AC1241" i="3"/>
  <c r="AB1241" i="3" s="1"/>
  <c r="AC982" i="3"/>
  <c r="AA1235" i="3"/>
  <c r="AA1105" i="3"/>
  <c r="AA858" i="3"/>
  <c r="AB858" i="3" s="1"/>
  <c r="AC1242" i="3"/>
  <c r="AB1242" i="3" s="1"/>
  <c r="AA1112" i="3"/>
  <c r="AA817" i="3"/>
  <c r="AA768" i="3"/>
  <c r="AB768" i="3" s="1"/>
  <c r="AC340" i="3"/>
  <c r="AB369" i="3"/>
  <c r="AC554" i="3"/>
  <c r="AC266" i="3"/>
  <c r="AC432" i="3"/>
  <c r="AA305" i="3"/>
  <c r="AC265" i="3"/>
  <c r="AA508" i="3"/>
  <c r="AC359" i="3"/>
  <c r="AB359" i="3" s="1"/>
  <c r="AC233" i="3"/>
  <c r="AA517" i="3"/>
  <c r="AA711" i="3"/>
  <c r="AC584" i="3"/>
  <c r="AB584" i="3" s="1"/>
  <c r="AA811" i="3"/>
  <c r="AA382" i="3"/>
  <c r="AA540" i="3"/>
  <c r="AB540" i="3" s="1"/>
  <c r="AA412" i="3"/>
  <c r="AB412" i="3" s="1"/>
  <c r="AC286" i="3"/>
  <c r="AA158" i="3"/>
  <c r="AB158" i="3" s="1"/>
  <c r="AC215" i="3"/>
  <c r="AC85" i="3"/>
  <c r="AC401" i="3"/>
  <c r="AA457" i="3"/>
  <c r="AB457" i="3" s="1"/>
  <c r="AC329" i="3"/>
  <c r="AA311" i="3"/>
  <c r="AC56" i="3"/>
  <c r="AC468" i="3"/>
  <c r="AA762" i="3"/>
  <c r="AC364" i="3"/>
  <c r="AA293" i="3"/>
  <c r="AB293" i="3" s="1"/>
  <c r="AA165" i="3"/>
  <c r="AC478" i="3"/>
  <c r="AC224" i="3"/>
  <c r="AC408" i="3"/>
  <c r="AA279" i="3"/>
  <c r="AB279" i="3" s="1"/>
  <c r="AC152" i="3"/>
  <c r="AB152" i="3" s="1"/>
  <c r="AC24" i="3"/>
  <c r="AA133" i="3"/>
  <c r="AC545" i="3"/>
  <c r="AA290" i="3"/>
  <c r="AB290" i="3" s="1"/>
  <c r="AC619" i="3"/>
  <c r="AB619" i="3" s="1"/>
  <c r="AC574" i="3"/>
  <c r="AA1300" i="3"/>
  <c r="AA1163" i="3"/>
  <c r="AA917" i="3"/>
  <c r="AB917" i="3" s="1"/>
  <c r="AC865" i="3"/>
  <c r="AC1113" i="3"/>
  <c r="AA985" i="3"/>
  <c r="AA1124" i="3"/>
  <c r="AC995" i="3"/>
  <c r="AC866" i="3"/>
  <c r="AA1378" i="3"/>
  <c r="AC1251" i="3"/>
  <c r="AA1200" i="3"/>
  <c r="AC642" i="3"/>
  <c r="AA1312" i="3"/>
  <c r="AC1054" i="3"/>
  <c r="AA648" i="3"/>
  <c r="AB648" i="3" s="1"/>
  <c r="AC1057" i="3"/>
  <c r="AC929" i="3"/>
  <c r="AA710" i="3"/>
  <c r="AB710" i="3" s="1"/>
  <c r="AA1315" i="3"/>
  <c r="AC1184" i="3"/>
  <c r="AA676" i="3"/>
  <c r="AB882" i="3"/>
  <c r="AC627" i="3"/>
  <c r="AC729" i="3"/>
  <c r="AA1310" i="3"/>
  <c r="AC1052" i="3"/>
  <c r="AC1173" i="3"/>
  <c r="AC634" i="3"/>
  <c r="AB634" i="3" s="1"/>
  <c r="AA1055" i="3"/>
  <c r="AA694" i="3"/>
  <c r="AB694" i="3" s="1"/>
  <c r="AA1313" i="3"/>
  <c r="AC1182" i="3"/>
  <c r="AB1182" i="3" s="1"/>
  <c r="AA660" i="3"/>
  <c r="AC624" i="3"/>
  <c r="AC988" i="3"/>
  <c r="AA1237" i="3"/>
  <c r="AB1237" i="3" s="1"/>
  <c r="AA876" i="3"/>
  <c r="AA1385" i="3"/>
  <c r="AC1387" i="3"/>
  <c r="AA1260" i="3"/>
  <c r="AC1001" i="3"/>
  <c r="AA1251" i="3"/>
  <c r="AA1006" i="3"/>
  <c r="AB1006" i="3" s="1"/>
  <c r="AA1261" i="3"/>
  <c r="AB1261" i="3" s="1"/>
  <c r="AA1000" i="3"/>
  <c r="AA873" i="3"/>
  <c r="AC1210" i="3"/>
  <c r="AB830" i="3"/>
  <c r="AA781" i="3"/>
  <c r="AC815" i="3"/>
  <c r="AC1447" i="3"/>
  <c r="AA1183" i="3"/>
  <c r="AC1354" i="3"/>
  <c r="AB1354" i="3" s="1"/>
  <c r="AC1224" i="3"/>
  <c r="AB1224" i="3" s="1"/>
  <c r="AA1355" i="3"/>
  <c r="AA1223" i="3"/>
  <c r="AA966" i="3"/>
  <c r="AB966" i="3" s="1"/>
  <c r="AA837" i="3"/>
  <c r="AC1218" i="3"/>
  <c r="AC843" i="3"/>
  <c r="AA1356" i="3"/>
  <c r="AA1095" i="3"/>
  <c r="AB1302" i="3"/>
  <c r="AA690" i="3"/>
  <c r="AA804" i="3"/>
  <c r="AB804" i="3" s="1"/>
  <c r="AA801" i="3"/>
  <c r="AA563" i="3"/>
  <c r="AA58" i="3"/>
  <c r="AA324" i="3"/>
  <c r="AC414" i="3"/>
  <c r="AC284" i="3"/>
  <c r="AA527" i="3"/>
  <c r="AC141" i="3"/>
  <c r="AA250" i="3"/>
  <c r="AC535" i="3"/>
  <c r="AA519" i="3"/>
  <c r="AB519" i="3" s="1"/>
  <c r="AC638" i="3"/>
  <c r="AC591" i="3"/>
  <c r="AA119" i="3"/>
  <c r="AB119" i="3" s="1"/>
  <c r="AC363" i="3"/>
  <c r="AA91" i="3"/>
  <c r="AC502" i="3"/>
  <c r="AB502" i="3" s="1"/>
  <c r="AA695" i="3"/>
  <c r="AB695" i="3" s="1"/>
  <c r="AB105" i="3"/>
  <c r="AA524" i="3"/>
  <c r="AB524" i="3" s="1"/>
  <c r="AA396" i="3"/>
  <c r="AB396" i="3" s="1"/>
  <c r="AA456" i="3"/>
  <c r="AC68" i="3"/>
  <c r="AC385" i="3"/>
  <c r="AA441" i="3"/>
  <c r="AB441" i="3" s="1"/>
  <c r="AA294" i="3"/>
  <c r="AC452" i="3"/>
  <c r="AC475" i="3"/>
  <c r="AC149" i="3"/>
  <c r="AC19" i="3"/>
  <c r="AA521" i="3"/>
  <c r="AB521" i="3" s="1"/>
  <c r="AC392" i="3"/>
  <c r="AA500" i="3"/>
  <c r="AB500" i="3" s="1"/>
  <c r="AA118" i="3"/>
  <c r="AC529" i="3"/>
  <c r="AA458" i="3"/>
  <c r="AB458" i="3" s="1"/>
  <c r="AC330" i="3"/>
  <c r="AC74" i="3"/>
  <c r="AA696" i="3"/>
  <c r="AB696" i="3" s="1"/>
  <c r="AB1013" i="3"/>
  <c r="AC1026" i="3"/>
  <c r="AB1026" i="3" s="1"/>
  <c r="AB898" i="3"/>
  <c r="AA1411" i="3"/>
  <c r="AC1146" i="3"/>
  <c r="AA1159" i="3"/>
  <c r="AB1159" i="3" s="1"/>
  <c r="AC1029" i="3"/>
  <c r="AA901" i="3"/>
  <c r="AC854" i="3"/>
  <c r="AA596" i="3"/>
  <c r="AC1444" i="3"/>
  <c r="AA1203" i="3"/>
  <c r="AA1102" i="3"/>
  <c r="AC848" i="3"/>
  <c r="AB848" i="3" s="1"/>
  <c r="AA1232" i="3"/>
  <c r="AA845" i="3"/>
  <c r="AC1098" i="3"/>
  <c r="AC968" i="3"/>
  <c r="AA979" i="3"/>
  <c r="AB979" i="3" s="1"/>
  <c r="AC851" i="3"/>
  <c r="AA1233" i="3"/>
  <c r="AA1311" i="3"/>
  <c r="AA754" i="3"/>
  <c r="AA910" i="3"/>
  <c r="AC557" i="3"/>
  <c r="AA1296" i="3"/>
  <c r="AC1037" i="3"/>
  <c r="AC908" i="3"/>
  <c r="AC1289" i="3"/>
  <c r="AC1042" i="3"/>
  <c r="AA913" i="3"/>
  <c r="AB913" i="3" s="1"/>
  <c r="AA1299" i="3"/>
  <c r="AC1167" i="3"/>
  <c r="AB1167" i="3" s="1"/>
  <c r="AB992" i="3"/>
  <c r="AA867" i="3"/>
  <c r="AA908" i="3"/>
  <c r="AA1294" i="3"/>
  <c r="AC1035" i="3"/>
  <c r="AC906" i="3"/>
  <c r="AA911" i="3"/>
  <c r="AB911" i="3" s="1"/>
  <c r="AA1297" i="3"/>
  <c r="AC1165" i="3"/>
  <c r="AB1165" i="3" s="1"/>
  <c r="AC926" i="3"/>
  <c r="AA1456" i="3"/>
  <c r="AC1199" i="3"/>
  <c r="AA861" i="3"/>
  <c r="AC855" i="3"/>
  <c r="AA1107" i="3"/>
  <c r="AA1118" i="3"/>
  <c r="AA1114" i="3"/>
  <c r="AB1114" i="3" s="1"/>
  <c r="AC985" i="3"/>
  <c r="AA1266" i="3"/>
  <c r="AC1436" i="3"/>
  <c r="AB1436" i="3" s="1"/>
  <c r="AC1131" i="3"/>
  <c r="AB1131" i="3" s="1"/>
  <c r="AC1209" i="3"/>
  <c r="AB1209" i="3" s="1"/>
  <c r="AC951" i="3"/>
  <c r="AC809" i="3"/>
  <c r="AC827" i="3"/>
  <c r="AC1080" i="3"/>
  <c r="AC821" i="3"/>
  <c r="AC787" i="3"/>
  <c r="AC786" i="3"/>
  <c r="AB261" i="3"/>
  <c r="AC561" i="3"/>
  <c r="AC398" i="3"/>
  <c r="AC138" i="3"/>
  <c r="AA9" i="3"/>
  <c r="AC235" i="3"/>
  <c r="AA575" i="3"/>
  <c r="AC232" i="3"/>
  <c r="AA101" i="3"/>
  <c r="AB101" i="3" s="1"/>
  <c r="AC201" i="3"/>
  <c r="AC357" i="3"/>
  <c r="AC598" i="3"/>
  <c r="AA679" i="3"/>
  <c r="AB679" i="3" s="1"/>
  <c r="AA616" i="3"/>
  <c r="AC479" i="3"/>
  <c r="AA509" i="3"/>
  <c r="AB509" i="3" s="1"/>
  <c r="AA380" i="3"/>
  <c r="AB380" i="3" s="1"/>
  <c r="AA440" i="3"/>
  <c r="AA310" i="3"/>
  <c r="AB310" i="3" s="1"/>
  <c r="AC53" i="3"/>
  <c r="AA425" i="3"/>
  <c r="AB425" i="3" s="1"/>
  <c r="AA168" i="3"/>
  <c r="AC41" i="3"/>
  <c r="AC436" i="3"/>
  <c r="AA307" i="3"/>
  <c r="AB307" i="3" s="1"/>
  <c r="AA460" i="3"/>
  <c r="AC332" i="3"/>
  <c r="AC204" i="3"/>
  <c r="AC571" i="3"/>
  <c r="AA504" i="3"/>
  <c r="AB504" i="3" s="1"/>
  <c r="AC376" i="3"/>
  <c r="AA355" i="3"/>
  <c r="AA513" i="3"/>
  <c r="AB513" i="3" s="1"/>
  <c r="AC258" i="3"/>
  <c r="AC411" i="3"/>
  <c r="AC1382" i="3"/>
  <c r="AC1043" i="3"/>
  <c r="AA1174" i="3"/>
  <c r="AC1124" i="3"/>
  <c r="AC1398" i="3"/>
  <c r="AA1256" i="3"/>
  <c r="AC1299" i="3"/>
  <c r="AA1130" i="3"/>
  <c r="AC1142" i="3"/>
  <c r="AC1219" i="3"/>
  <c r="AA838" i="3"/>
  <c r="AB838" i="3" s="1"/>
  <c r="AC660" i="3"/>
  <c r="AC1427" i="3"/>
  <c r="AC1087" i="3"/>
  <c r="AB1087" i="3" s="1"/>
  <c r="AC832" i="3"/>
  <c r="AB832" i="3" s="1"/>
  <c r="AA1088" i="3"/>
  <c r="AA829" i="3"/>
  <c r="AA1082" i="3"/>
  <c r="AA952" i="3"/>
  <c r="AC1092" i="3"/>
  <c r="AB1092" i="3" s="1"/>
  <c r="AC962" i="3"/>
  <c r="AC835" i="3"/>
  <c r="AC1349" i="3"/>
  <c r="AA1295" i="3"/>
  <c r="AC629" i="3"/>
  <c r="AA1022" i="3"/>
  <c r="AC1022" i="3"/>
  <c r="AC891" i="3"/>
  <c r="AC887" i="3"/>
  <c r="AA1155" i="3"/>
  <c r="AC1025" i="3"/>
  <c r="AC1407" i="3"/>
  <c r="AB1407" i="3" s="1"/>
  <c r="AA1231" i="3"/>
  <c r="AC977" i="3"/>
  <c r="AA850" i="3"/>
  <c r="AC1406" i="3"/>
  <c r="AC1020" i="3"/>
  <c r="AB1020" i="3" s="1"/>
  <c r="AC885" i="3"/>
  <c r="AA1023" i="3"/>
  <c r="AB1023" i="3" s="1"/>
  <c r="AB1229" i="3"/>
  <c r="AA1309" i="3"/>
  <c r="AC1189" i="3"/>
  <c r="AC1357" i="3"/>
  <c r="AB1357" i="3" s="1"/>
  <c r="AA1225" i="3"/>
  <c r="AA839" i="3"/>
  <c r="AB839" i="3" s="1"/>
  <c r="AA1349" i="3"/>
  <c r="AC845" i="3"/>
  <c r="AC1358" i="3"/>
  <c r="AA969" i="3"/>
  <c r="AA1304" i="3"/>
  <c r="AB1178" i="3"/>
  <c r="AA706" i="3"/>
  <c r="AA1219" i="3"/>
  <c r="AC1284" i="3"/>
  <c r="AA1393" i="3"/>
  <c r="AA1069" i="3"/>
  <c r="AB1069" i="3" s="1"/>
  <c r="AC1192" i="3"/>
  <c r="AA935" i="3"/>
  <c r="AB935" i="3" s="1"/>
  <c r="AA728" i="3"/>
  <c r="AB728" i="3" s="1"/>
  <c r="AC778" i="3"/>
  <c r="AA1064" i="3"/>
  <c r="AA756" i="3"/>
  <c r="AC1270" i="3"/>
  <c r="AA1145" i="3"/>
  <c r="AC1017" i="3"/>
  <c r="AC762" i="3"/>
  <c r="AA635" i="3"/>
  <c r="AC628" i="3"/>
  <c r="AA545" i="3"/>
  <c r="AA31" i="3"/>
  <c r="AA393" i="3"/>
  <c r="AA621" i="3"/>
  <c r="AB621" i="3" s="1"/>
  <c r="AC593" i="3"/>
  <c r="AC418" i="3"/>
  <c r="AC382" i="3"/>
  <c r="AC218" i="3"/>
  <c r="AA813" i="3"/>
  <c r="AB813" i="3" s="1"/>
  <c r="AC345" i="3"/>
  <c r="AC217" i="3"/>
  <c r="AC87" i="3"/>
  <c r="AA459" i="3"/>
  <c r="AC331" i="3"/>
  <c r="AC203" i="3"/>
  <c r="AC75" i="3"/>
  <c r="AC438" i="3"/>
  <c r="AA313" i="3"/>
  <c r="AA186" i="3"/>
  <c r="AA582" i="3"/>
  <c r="AB582" i="3" s="1"/>
  <c r="AA663" i="3"/>
  <c r="AB663" i="3" s="1"/>
  <c r="AA462" i="3"/>
  <c r="AB462" i="3" s="1"/>
  <c r="AA424" i="3"/>
  <c r="AA295" i="3"/>
  <c r="AB295" i="3" s="1"/>
  <c r="AC36" i="3"/>
  <c r="AC480" i="3"/>
  <c r="AA539" i="3"/>
  <c r="AA281" i="3"/>
  <c r="AB281" i="3" s="1"/>
  <c r="AC26" i="3"/>
  <c r="AC262" i="3"/>
  <c r="AC135" i="3"/>
  <c r="AC547" i="3"/>
  <c r="AC420" i="3"/>
  <c r="AC168" i="3"/>
  <c r="AA284" i="3"/>
  <c r="AA444" i="3"/>
  <c r="AB444" i="3" s="1"/>
  <c r="AA316" i="3"/>
  <c r="AB316" i="3" s="1"/>
  <c r="AA501" i="3"/>
  <c r="AB501" i="3" s="1"/>
  <c r="AA555" i="3"/>
  <c r="AA302" i="3"/>
  <c r="AA340" i="3"/>
  <c r="AA212" i="3"/>
  <c r="AC86" i="3"/>
  <c r="AC370" i="3"/>
  <c r="AA242" i="3"/>
  <c r="AA802" i="3"/>
  <c r="AB903" i="3"/>
  <c r="AB1236" i="3"/>
  <c r="AC856" i="3"/>
  <c r="AA598" i="3"/>
  <c r="AA1367" i="3"/>
  <c r="AC869" i="3"/>
  <c r="AC994" i="3"/>
  <c r="AC867" i="3"/>
  <c r="AA862" i="3"/>
  <c r="AC1115" i="3"/>
  <c r="AA1126" i="3"/>
  <c r="AB1126" i="3" s="1"/>
  <c r="AC997" i="3"/>
  <c r="AB1202" i="3"/>
  <c r="AC948" i="3"/>
  <c r="AC644" i="3"/>
  <c r="AC1198" i="3"/>
  <c r="AB1198" i="3" s="1"/>
  <c r="AA1071" i="3"/>
  <c r="AC1071" i="3"/>
  <c r="AA795" i="3"/>
  <c r="AC1065" i="3"/>
  <c r="AC937" i="3"/>
  <c r="AA1076" i="3"/>
  <c r="AB1076" i="3" s="1"/>
  <c r="AA946" i="3"/>
  <c r="AB946" i="3" s="1"/>
  <c r="AC722" i="3"/>
  <c r="AC1264" i="3"/>
  <c r="AB1264" i="3" s="1"/>
  <c r="AC1005" i="3"/>
  <c r="AC874" i="3"/>
  <c r="AB874" i="3" s="1"/>
  <c r="AC870" i="3"/>
  <c r="AC1138" i="3"/>
  <c r="AC1010" i="3"/>
  <c r="AB1392" i="3"/>
  <c r="AC1265" i="3"/>
  <c r="AC1134" i="3"/>
  <c r="AB1134" i="3" s="1"/>
  <c r="AB961" i="3"/>
  <c r="AA834" i="3"/>
  <c r="AB834" i="3" s="1"/>
  <c r="AC575" i="3"/>
  <c r="AA785" i="3"/>
  <c r="AC1389" i="3"/>
  <c r="AC1262" i="3"/>
  <c r="AC1003" i="3"/>
  <c r="AC868" i="3"/>
  <c r="AC1132" i="3"/>
  <c r="AB1132" i="3" s="1"/>
  <c r="AA1213" i="3"/>
  <c r="AA783" i="3"/>
  <c r="AA1340" i="3"/>
  <c r="AA1334" i="3"/>
  <c r="AB1334" i="3" s="1"/>
  <c r="AC829" i="3"/>
  <c r="AA1343" i="3"/>
  <c r="AB1343" i="3" s="1"/>
  <c r="AC1082" i="3"/>
  <c r="AC952" i="3"/>
  <c r="AC909" i="3"/>
  <c r="AC789" i="3"/>
  <c r="AA693" i="3"/>
  <c r="AA1363" i="3"/>
  <c r="AA955" i="3"/>
  <c r="AB955" i="3" s="1"/>
  <c r="AA672" i="3"/>
  <c r="AB672" i="3" s="1"/>
  <c r="AC1047" i="3"/>
  <c r="AA654" i="3"/>
  <c r="AB654" i="3" s="1"/>
  <c r="AC918" i="3"/>
  <c r="AA622" i="3"/>
  <c r="AB622" i="3" s="1"/>
  <c r="AA1040" i="3"/>
  <c r="AA606" i="3"/>
  <c r="AB606" i="3" s="1"/>
  <c r="AA1051" i="3"/>
  <c r="AB1051" i="3" s="1"/>
  <c r="AA662" i="3"/>
  <c r="AB662" i="3" s="1"/>
  <c r="AC631" i="3"/>
  <c r="AC1002" i="3"/>
  <c r="AA627" i="3"/>
  <c r="AA377" i="3"/>
  <c r="AC751" i="3"/>
  <c r="AA577" i="3"/>
  <c r="AC402" i="3"/>
  <c r="AC492" i="3"/>
  <c r="AC234" i="3"/>
  <c r="AA76" i="3"/>
  <c r="AC498" i="3"/>
  <c r="AC368" i="3"/>
  <c r="AC70" i="3"/>
  <c r="AA512" i="3"/>
  <c r="AA443" i="3"/>
  <c r="AA315" i="3"/>
  <c r="AC58" i="3"/>
  <c r="AC422" i="3"/>
  <c r="AA296" i="3"/>
  <c r="AC775" i="3"/>
  <c r="AA647" i="3"/>
  <c r="AB647" i="3" s="1"/>
  <c r="AA446" i="3"/>
  <c r="AC477" i="3"/>
  <c r="AC221" i="3"/>
  <c r="AA410" i="3"/>
  <c r="AC151" i="3"/>
  <c r="AA523" i="3"/>
  <c r="AA246" i="3"/>
  <c r="AA120" i="3"/>
  <c r="AC531" i="3"/>
  <c r="AC404" i="3"/>
  <c r="AA428" i="3"/>
  <c r="AB428" i="3" s="1"/>
  <c r="AA299" i="3"/>
  <c r="AC173" i="3"/>
  <c r="AC358" i="3"/>
  <c r="AA228" i="3"/>
  <c r="AC472" i="3"/>
  <c r="AB472" i="3" s="1"/>
  <c r="AA342" i="3"/>
  <c r="AC325" i="3"/>
  <c r="AA197" i="3"/>
  <c r="AC71" i="3"/>
  <c r="AA840" i="3"/>
  <c r="AB840" i="3" s="1"/>
  <c r="AA1208" i="3"/>
  <c r="AC852" i="3"/>
  <c r="AA978" i="3"/>
  <c r="AB978" i="3" s="1"/>
  <c r="AC1234" i="3"/>
  <c r="AB1234" i="3" s="1"/>
  <c r="AA847" i="3"/>
  <c r="AA981" i="3"/>
  <c r="AB981" i="3" s="1"/>
  <c r="AA932" i="3"/>
  <c r="AA1449" i="3"/>
  <c r="AC1190" i="3"/>
  <c r="AC1048" i="3"/>
  <c r="AA921" i="3"/>
  <c r="AA664" i="3"/>
  <c r="AB664" i="3" s="1"/>
  <c r="AC1059" i="3"/>
  <c r="AC931" i="3"/>
  <c r="AA726" i="3"/>
  <c r="AB726" i="3" s="1"/>
  <c r="AC1186" i="3"/>
  <c r="AB1186" i="3" s="1"/>
  <c r="AA692" i="3"/>
  <c r="AA1009" i="3"/>
  <c r="AC706" i="3"/>
  <c r="AC863" i="3"/>
  <c r="AC1248" i="3"/>
  <c r="AB1248" i="3" s="1"/>
  <c r="AC1119" i="3"/>
  <c r="AC859" i="3"/>
  <c r="AB859" i="3" s="1"/>
  <c r="AC1111" i="3"/>
  <c r="AA1122" i="3"/>
  <c r="AB1122" i="3" s="1"/>
  <c r="AC993" i="3"/>
  <c r="AC864" i="3"/>
  <c r="AA1376" i="3"/>
  <c r="AC1249" i="3"/>
  <c r="AB1249" i="3" s="1"/>
  <c r="AA1324" i="3"/>
  <c r="AA807" i="3"/>
  <c r="AA1373" i="3"/>
  <c r="AC1246" i="3"/>
  <c r="AC857" i="3"/>
  <c r="AC1239" i="3"/>
  <c r="AA1109" i="3"/>
  <c r="AC853" i="3"/>
  <c r="AA1120" i="3"/>
  <c r="AC862" i="3"/>
  <c r="AA1196" i="3"/>
  <c r="AC807" i="3"/>
  <c r="AC1303" i="3"/>
  <c r="AB1397" i="3"/>
  <c r="AA1024" i="3"/>
  <c r="AA791" i="3"/>
  <c r="AB791" i="3" s="1"/>
  <c r="AC1324" i="3"/>
  <c r="AA1192" i="3"/>
  <c r="AA1325" i="3"/>
  <c r="AC1194" i="3"/>
  <c r="AC772" i="3"/>
  <c r="AA744" i="3"/>
  <c r="AB744" i="3" s="1"/>
  <c r="AA1326" i="3"/>
  <c r="AB1326" i="3" s="1"/>
  <c r="AA936" i="3"/>
  <c r="AC1019" i="3"/>
  <c r="AC1353" i="3"/>
  <c r="AB1353" i="3" s="1"/>
  <c r="AA939" i="3"/>
  <c r="AB939" i="3" s="1"/>
  <c r="AC1160" i="3"/>
  <c r="AB1160" i="3" s="1"/>
  <c r="AA1031" i="3"/>
  <c r="AB1031" i="3" s="1"/>
  <c r="AC902" i="3"/>
  <c r="AC1152" i="3"/>
  <c r="AC896" i="3"/>
  <c r="AA1036" i="3"/>
  <c r="AB1036" i="3" s="1"/>
  <c r="AA907" i="3"/>
  <c r="AB907" i="3" s="1"/>
  <c r="AC568" i="3"/>
  <c r="AC269" i="3"/>
  <c r="AA11" i="3"/>
  <c r="AC491" i="3"/>
  <c r="AA815" i="3"/>
  <c r="AC386" i="3"/>
  <c r="AC416" i="3"/>
  <c r="AC219" i="3"/>
  <c r="AC333" i="3"/>
  <c r="AC205" i="3"/>
  <c r="AA61" i="3"/>
  <c r="AC342" i="3"/>
  <c r="AC481" i="3"/>
  <c r="AC353" i="3"/>
  <c r="AC223" i="3"/>
  <c r="AA567" i="3"/>
  <c r="AC55" i="3"/>
  <c r="AC497" i="3"/>
  <c r="AA427" i="3"/>
  <c r="AA300" i="3"/>
  <c r="AA309" i="3"/>
  <c r="AA759" i="3"/>
  <c r="AB759" i="3" s="1"/>
  <c r="AA108" i="3"/>
  <c r="AA566" i="3"/>
  <c r="AB566" i="3" s="1"/>
  <c r="AA303" i="3"/>
  <c r="AA518" i="3"/>
  <c r="AA394" i="3"/>
  <c r="AC263" i="3"/>
  <c r="AC573" i="3"/>
  <c r="AA506" i="3"/>
  <c r="AB506" i="3" s="1"/>
  <c r="AC231" i="3"/>
  <c r="AA515" i="3"/>
  <c r="AB515" i="3" s="1"/>
  <c r="AC388" i="3"/>
  <c r="AA809" i="3"/>
  <c r="AA538" i="3"/>
  <c r="AB538" i="3" s="1"/>
  <c r="AA156" i="3"/>
  <c r="AB156" i="3" s="1"/>
  <c r="AC27" i="3"/>
  <c r="AC471" i="3"/>
  <c r="AA341" i="3"/>
  <c r="AB341" i="3" s="1"/>
  <c r="AC327" i="3"/>
  <c r="AC54" i="3"/>
  <c r="AC466" i="3"/>
  <c r="AA336" i="3"/>
  <c r="AB336" i="3" s="1"/>
  <c r="AA492" i="3"/>
  <c r="AA520" i="3"/>
  <c r="AB520" i="3" s="1"/>
  <c r="AA1348" i="3"/>
  <c r="AB1348" i="3" s="1"/>
  <c r="AA831" i="3"/>
  <c r="AC1094" i="3"/>
  <c r="AC964" i="3"/>
  <c r="AB964" i="3" s="1"/>
  <c r="AC837" i="3"/>
  <c r="AB970" i="3"/>
  <c r="AC614" i="3"/>
  <c r="AB614" i="3" s="1"/>
  <c r="AA912" i="3"/>
  <c r="AC1039" i="3"/>
  <c r="AC910" i="3"/>
  <c r="AC1291" i="3"/>
  <c r="AC1044" i="3"/>
  <c r="AA915" i="3"/>
  <c r="AB915" i="3" s="1"/>
  <c r="AC1301" i="3"/>
  <c r="AB1301" i="3" s="1"/>
  <c r="AA994" i="3"/>
  <c r="AA1230" i="3"/>
  <c r="AC1102" i="3"/>
  <c r="AA843" i="3"/>
  <c r="AC1096" i="3"/>
  <c r="AA977" i="3"/>
  <c r="AC849" i="3"/>
  <c r="AC1362" i="3"/>
  <c r="AB1362" i="3" s="1"/>
  <c r="AC1055" i="3"/>
  <c r="AB928" i="3"/>
  <c r="AA738" i="3"/>
  <c r="AA841" i="3"/>
  <c r="AC847" i="3"/>
  <c r="AC1360" i="3"/>
  <c r="AB1360" i="3" s="1"/>
  <c r="AC1053" i="3"/>
  <c r="AA722" i="3"/>
  <c r="AC1367" i="3"/>
  <c r="AA688" i="3"/>
  <c r="AB688" i="3" s="1"/>
  <c r="AA670" i="3"/>
  <c r="AB670" i="3" s="1"/>
  <c r="AC1179" i="3"/>
  <c r="AC1050" i="3"/>
  <c r="AB1050" i="3" s="1"/>
  <c r="AA1053" i="3"/>
  <c r="AA678" i="3"/>
  <c r="AB678" i="3" s="1"/>
  <c r="AC921" i="3"/>
  <c r="AA644" i="3"/>
  <c r="AC1256" i="3"/>
  <c r="AC1409" i="3"/>
  <c r="AA1270" i="3"/>
  <c r="AA610" i="3"/>
  <c r="AB610" i="3" s="1"/>
  <c r="AC878" i="3"/>
  <c r="AC1402" i="3"/>
  <c r="AB1402" i="3" s="1"/>
  <c r="AA1144" i="3"/>
  <c r="AA1265" i="3"/>
  <c r="AA1136" i="3"/>
  <c r="AA1008" i="3"/>
  <c r="AA881" i="3"/>
  <c r="AA1019" i="3"/>
  <c r="AA890" i="3"/>
  <c r="AA886" i="3"/>
  <c r="AB1350" i="3"/>
  <c r="AB1226" i="3"/>
  <c r="AA844" i="3"/>
  <c r="AB844" i="3" s="1"/>
  <c r="AC795" i="3"/>
  <c r="AA799" i="3"/>
  <c r="AC400" i="3"/>
  <c r="AB145" i="3"/>
  <c r="AC202" i="3"/>
  <c r="AC72" i="3"/>
  <c r="AA317" i="3"/>
  <c r="AA298" i="3"/>
  <c r="AA44" i="3"/>
  <c r="AA326" i="3"/>
  <c r="AA766" i="3"/>
  <c r="AC338" i="3"/>
  <c r="AC494" i="3"/>
  <c r="AC552" i="3"/>
  <c r="AC38" i="3"/>
  <c r="AA541" i="3"/>
  <c r="AA155" i="3"/>
  <c r="AC264" i="3"/>
  <c r="AC137" i="3"/>
  <c r="AA10" i="3"/>
  <c r="AB365" i="3"/>
  <c r="AA743" i="3"/>
  <c r="AB743" i="3" s="1"/>
  <c r="AC615" i="3"/>
  <c r="AC808" i="3"/>
  <c r="AA414" i="3"/>
  <c r="AA378" i="3"/>
  <c r="AA247" i="3"/>
  <c r="AB247" i="3" s="1"/>
  <c r="AA557" i="3"/>
  <c r="AA304" i="3"/>
  <c r="AC361" i="3"/>
  <c r="AC88" i="3"/>
  <c r="AC372" i="3"/>
  <c r="AB244" i="3"/>
  <c r="AA522" i="3"/>
  <c r="AB522" i="3" s="1"/>
  <c r="AC140" i="3"/>
  <c r="AC324" i="3"/>
  <c r="AA196" i="3"/>
  <c r="AA292" i="3"/>
  <c r="AC450" i="3"/>
  <c r="AC321" i="3"/>
  <c r="AA505" i="3"/>
  <c r="AB505" i="3" s="1"/>
  <c r="AC362" i="3"/>
  <c r="AA291" i="3"/>
  <c r="AA163" i="3"/>
  <c r="AA348" i="3"/>
  <c r="AB348" i="3" s="1"/>
  <c r="AC222" i="3"/>
  <c r="AA535" i="3"/>
  <c r="AC22" i="3"/>
  <c r="AC543" i="3"/>
  <c r="AB543" i="3" s="1"/>
  <c r="AA416" i="3"/>
  <c r="AA288" i="3"/>
  <c r="AB288" i="3" s="1"/>
  <c r="AC33" i="3"/>
  <c r="AC320" i="3"/>
  <c r="AA476" i="3"/>
  <c r="AB476" i="3" s="1"/>
  <c r="AC409" i="3"/>
  <c r="AC439" i="3"/>
  <c r="AA497" i="3"/>
  <c r="AA551" i="3"/>
  <c r="AC47" i="3"/>
  <c r="AA494" i="3"/>
  <c r="AA238" i="3"/>
  <c r="AB238" i="3" s="1"/>
  <c r="AC111" i="3"/>
  <c r="AA687" i="3"/>
  <c r="AC536" i="3"/>
  <c r="AC707" i="3"/>
  <c r="AC788" i="3"/>
  <c r="AC373" i="3"/>
  <c r="AC517" i="3"/>
  <c r="AA389" i="3"/>
  <c r="AA134" i="3"/>
  <c r="AB134" i="3" s="1"/>
  <c r="AA573" i="3"/>
  <c r="AA60" i="3"/>
  <c r="AC251" i="3"/>
  <c r="AA124" i="3"/>
  <c r="AB124" i="3" s="1"/>
  <c r="AC563" i="3"/>
  <c r="AA434" i="3"/>
  <c r="AC443" i="3"/>
  <c r="AC315" i="3"/>
  <c r="AC190" i="3"/>
  <c r="AC1171" i="3"/>
  <c r="AB1171" i="3" s="1"/>
  <c r="AC1151" i="3"/>
  <c r="AA1377" i="3"/>
  <c r="AB1377" i="3" s="1"/>
  <c r="AA704" i="3"/>
  <c r="AB704" i="3" s="1"/>
  <c r="AC1371" i="3"/>
  <c r="AB1371" i="3" s="1"/>
  <c r="AA1106" i="3"/>
  <c r="AA1206" i="3"/>
  <c r="AA684" i="3"/>
  <c r="AA1283" i="3"/>
  <c r="AB1283" i="3" s="1"/>
  <c r="AA1054" i="3"/>
  <c r="AC1024" i="3"/>
  <c r="AC1183" i="3"/>
  <c r="AC1450" i="3"/>
  <c r="AA870" i="3"/>
  <c r="AC1373" i="3"/>
  <c r="AA1194" i="3"/>
  <c r="AA1381" i="3"/>
  <c r="AB1381" i="3" s="1"/>
  <c r="AA1257" i="3"/>
  <c r="AC1399" i="3"/>
  <c r="AB1399" i="3" s="1"/>
  <c r="AA990" i="3"/>
  <c r="AA1113" i="3"/>
  <c r="AA1438" i="3"/>
  <c r="AA1466" i="3"/>
  <c r="AC1217" i="3"/>
  <c r="AA1461" i="3"/>
  <c r="AA1404" i="3"/>
  <c r="AA1280" i="3"/>
  <c r="AB1280" i="3" s="1"/>
  <c r="AC1466" i="3"/>
  <c r="AA1181" i="3"/>
  <c r="AC1456" i="3"/>
  <c r="AC1425" i="3"/>
  <c r="AC1435" i="3"/>
  <c r="AB1435" i="3" s="1"/>
  <c r="AC1420" i="3"/>
  <c r="AA1269" i="3"/>
  <c r="AB1269" i="3" s="1"/>
  <c r="AA1307" i="3"/>
  <c r="AB1307" i="3" s="1"/>
  <c r="AA1035" i="3"/>
  <c r="AA182" i="3"/>
  <c r="AC473" i="3"/>
  <c r="AA276" i="3"/>
  <c r="AC147" i="3"/>
  <c r="AC17" i="3"/>
  <c r="AC207" i="3"/>
  <c r="AA260" i="3"/>
  <c r="AB260" i="3" s="1"/>
  <c r="AA498" i="3"/>
  <c r="AC527" i="3"/>
  <c r="AA400" i="3"/>
  <c r="AA273" i="3"/>
  <c r="AB273" i="3" s="1"/>
  <c r="AC146" i="3"/>
  <c r="AA640" i="3"/>
  <c r="AA612" i="3"/>
  <c r="AA821" i="3"/>
  <c r="AA561" i="3"/>
  <c r="AC393" i="3"/>
  <c r="AC133" i="3"/>
  <c r="AA550" i="3"/>
  <c r="AC423" i="3"/>
  <c r="AC40" i="3"/>
  <c r="AA482" i="3"/>
  <c r="AB482" i="3" s="1"/>
  <c r="AA354" i="3"/>
  <c r="AA224" i="3"/>
  <c r="AC410" i="3"/>
  <c r="AA283" i="3"/>
  <c r="AC30" i="3"/>
  <c r="AA468" i="3"/>
  <c r="AA94" i="3"/>
  <c r="AA798" i="3"/>
  <c r="AA671" i="3"/>
  <c r="AC421" i="3"/>
  <c r="AC691" i="3"/>
  <c r="AA471" i="3"/>
  <c r="AC212" i="3"/>
  <c r="AA373" i="3"/>
  <c r="AC558" i="3"/>
  <c r="AC303" i="3"/>
  <c r="AA45" i="3"/>
  <c r="AA235" i="3"/>
  <c r="AA547" i="3"/>
  <c r="AC289" i="3"/>
  <c r="AC161" i="3"/>
  <c r="AA33" i="3"/>
  <c r="AC16" i="3"/>
  <c r="AC427" i="3"/>
  <c r="AC300" i="3"/>
  <c r="AA175" i="3"/>
  <c r="AB175" i="3" s="1"/>
  <c r="AC583" i="3"/>
  <c r="AA1342" i="3"/>
  <c r="AB1342" i="3" s="1"/>
  <c r="AC1211" i="3"/>
  <c r="AC553" i="3"/>
  <c r="AA1278" i="3"/>
  <c r="AB1278" i="3" s="1"/>
  <c r="AA1458" i="3"/>
  <c r="AC1095" i="3"/>
  <c r="AA1244" i="3"/>
  <c r="AC1322" i="3"/>
  <c r="AA941" i="3"/>
  <c r="AB941" i="3" s="1"/>
  <c r="AC1441" i="3"/>
  <c r="AB1441" i="3" s="1"/>
  <c r="AC1215" i="3"/>
  <c r="AC1452" i="3"/>
  <c r="AB1452" i="3" s="1"/>
  <c r="AA943" i="3"/>
  <c r="AB943" i="3" s="1"/>
  <c r="AC1365" i="3"/>
  <c r="AB1365" i="3" s="1"/>
  <c r="AA1331" i="3"/>
  <c r="AB1331" i="3" s="1"/>
  <c r="AA853" i="3"/>
  <c r="AC1296" i="3"/>
  <c r="AC938" i="3"/>
  <c r="AA1389" i="3"/>
  <c r="AC1464" i="3"/>
  <c r="AA1383" i="3"/>
  <c r="AC1191" i="3"/>
  <c r="AA1443" i="3"/>
  <c r="AA1259" i="3"/>
  <c r="AC1423" i="3"/>
  <c r="AB1423" i="3" s="1"/>
  <c r="AC1431" i="3"/>
  <c r="AC1064" i="3"/>
  <c r="AC1418" i="3"/>
  <c r="AA1239" i="3"/>
  <c r="AA1003" i="3"/>
  <c r="AC1287" i="3"/>
  <c r="AC1347" i="3"/>
  <c r="AC569" i="3"/>
  <c r="AC245" i="3"/>
  <c r="AA353" i="3"/>
  <c r="AA227" i="3"/>
  <c r="AA384" i="3"/>
  <c r="AC256" i="3"/>
  <c r="AA129" i="3"/>
  <c r="AC66" i="3"/>
  <c r="AA805" i="3"/>
  <c r="AC377" i="3"/>
  <c r="AA534" i="3"/>
  <c r="AB534" i="3" s="1"/>
  <c r="AC407" i="3"/>
  <c r="AA280" i="3"/>
  <c r="AB280" i="3" s="1"/>
  <c r="AC23" i="3"/>
  <c r="AA209" i="3"/>
  <c r="AA79" i="3"/>
  <c r="AC394" i="3"/>
  <c r="AA268" i="3"/>
  <c r="AB268" i="3" s="1"/>
  <c r="AA452" i="3"/>
  <c r="AC304" i="3"/>
  <c r="AC461" i="3"/>
  <c r="AA332" i="3"/>
  <c r="AC783" i="3"/>
  <c r="AA655" i="3"/>
  <c r="AA287" i="3"/>
  <c r="AB287" i="3" s="1"/>
  <c r="AA593" i="3"/>
  <c r="AC675" i="3"/>
  <c r="AA117" i="3"/>
  <c r="AC195" i="3"/>
  <c r="AA417" i="3"/>
  <c r="AC160" i="3"/>
  <c r="AA28" i="3"/>
  <c r="AA218" i="3"/>
  <c r="AC92" i="3"/>
  <c r="AA531" i="3"/>
  <c r="AC272" i="3"/>
  <c r="AA146" i="3"/>
  <c r="AC539" i="3"/>
  <c r="AC159" i="3"/>
  <c r="AC1442" i="3"/>
  <c r="AB1442" i="3" s="1"/>
  <c r="AB1446" i="3"/>
  <c r="AA1425" i="3"/>
  <c r="AA1322" i="3"/>
  <c r="AC1240" i="3"/>
  <c r="AB1240" i="3" s="1"/>
  <c r="AA1016" i="3"/>
  <c r="AC1168" i="3"/>
  <c r="AA1164" i="3"/>
  <c r="AB1164" i="3" s="1"/>
  <c r="AC1306" i="3"/>
  <c r="AA968" i="3"/>
  <c r="AA1369" i="3"/>
  <c r="AB1369" i="3" s="1"/>
  <c r="AC1185" i="3"/>
  <c r="AA1418" i="3"/>
  <c r="AC1106" i="3"/>
  <c r="AC1032" i="3"/>
  <c r="AA926" i="3"/>
  <c r="AC1340" i="3"/>
  <c r="AC1135" i="3"/>
  <c r="AC1112" i="3"/>
  <c r="AA1245" i="3"/>
  <c r="AB1245" i="3" s="1"/>
  <c r="AC1212" i="3"/>
  <c r="AA806" i="3"/>
  <c r="AC1405" i="3"/>
  <c r="AA1427" i="3"/>
  <c r="AA1056" i="3"/>
  <c r="AC1419" i="3"/>
  <c r="AB1419" i="3" s="1"/>
  <c r="AC1230" i="3"/>
  <c r="AA1133" i="3"/>
  <c r="AA1444" i="3"/>
  <c r="AA652" i="3"/>
  <c r="AA1263" i="3"/>
  <c r="AA937" i="3"/>
  <c r="AC1460" i="3"/>
  <c r="AA442" i="3"/>
  <c r="AB442" i="3" s="1"/>
  <c r="AA187" i="3"/>
  <c r="AC59" i="3"/>
  <c r="AA499" i="3"/>
  <c r="AB499" i="3" s="1"/>
  <c r="AA553" i="3"/>
  <c r="AA487" i="3"/>
  <c r="AA357" i="3"/>
  <c r="AA229" i="3"/>
  <c r="AB229" i="3" s="1"/>
  <c r="AA338" i="3"/>
  <c r="AC84" i="3"/>
  <c r="AA496" i="3"/>
  <c r="AB496" i="3" s="1"/>
  <c r="AA240" i="3"/>
  <c r="AC544" i="3"/>
  <c r="AC790" i="3"/>
  <c r="AA490" i="3"/>
  <c r="AB490" i="3" s="1"/>
  <c r="AC391" i="3"/>
  <c r="AC8" i="3"/>
  <c r="AA62" i="3"/>
  <c r="AC378" i="3"/>
  <c r="AC253" i="3"/>
  <c r="AB253" i="3" s="1"/>
  <c r="AC565" i="3"/>
  <c r="AB565" i="3" s="1"/>
  <c r="AA436" i="3"/>
  <c r="AC308" i="3"/>
  <c r="AA177" i="3"/>
  <c r="AA50" i="3"/>
  <c r="AB50" i="3" s="1"/>
  <c r="AC445" i="3"/>
  <c r="AC317" i="3"/>
  <c r="AA638" i="3"/>
  <c r="AC578" i="3"/>
  <c r="AB578" i="3" s="1"/>
  <c r="AC659" i="3"/>
  <c r="AC570" i="3"/>
  <c r="AC311" i="3"/>
  <c r="AA469" i="3"/>
  <c r="AB469" i="3" s="1"/>
  <c r="AA343" i="3"/>
  <c r="AB343" i="3" s="1"/>
  <c r="AA213" i="3"/>
  <c r="AA401" i="3"/>
  <c r="AA13" i="3"/>
  <c r="AC456" i="3"/>
  <c r="AC77" i="3"/>
  <c r="AC514" i="3"/>
  <c r="AA256" i="3"/>
  <c r="AC113" i="3"/>
  <c r="AB113" i="3" s="1"/>
  <c r="AC523" i="3"/>
  <c r="AA142" i="3"/>
  <c r="AB142" i="3" s="1"/>
  <c r="AA668" i="3"/>
  <c r="AA1361" i="3"/>
  <c r="AA1431" i="3"/>
  <c r="AA1210" i="3"/>
  <c r="AA1403" i="3"/>
  <c r="AC1359" i="3"/>
  <c r="AB1359" i="3" s="1"/>
  <c r="AA1291" i="3"/>
  <c r="AA1065" i="3"/>
  <c r="AA1379" i="3"/>
  <c r="AC876" i="3"/>
  <c r="AA1254" i="3"/>
  <c r="AB1254" i="3" s="1"/>
  <c r="AA716" i="3"/>
  <c r="AC371" i="3"/>
  <c r="AA1439" i="3"/>
  <c r="AC1259" i="3"/>
  <c r="AC1337" i="3"/>
  <c r="AA1146" i="3"/>
  <c r="AC1351" i="3"/>
  <c r="AA1185" i="3"/>
  <c r="AA896" i="3"/>
  <c r="AA1335" i="3"/>
  <c r="AA872" i="3"/>
  <c r="AA1388" i="3"/>
  <c r="AC1328" i="3"/>
  <c r="AA1063" i="3"/>
  <c r="AC861" i="3"/>
  <c r="AA974" i="3"/>
  <c r="AC1380" i="3"/>
  <c r="AB1380" i="3" s="1"/>
  <c r="AC395" i="3"/>
  <c r="AA426" i="3"/>
  <c r="AB426" i="3" s="1"/>
  <c r="AC171" i="3"/>
  <c r="AB171" i="3" s="1"/>
  <c r="AC42" i="3"/>
  <c r="AA484" i="3"/>
  <c r="AB484" i="3" s="1"/>
  <c r="AA226" i="3"/>
  <c r="AB226" i="3" s="1"/>
  <c r="AA285" i="3"/>
  <c r="AA448" i="3"/>
  <c r="AC323" i="3"/>
  <c r="AA195" i="3"/>
  <c r="AC69" i="3"/>
  <c r="AA351" i="3"/>
  <c r="AB351" i="3" s="1"/>
  <c r="AA96" i="3"/>
  <c r="AC435" i="3"/>
  <c r="AB435" i="3" s="1"/>
  <c r="AA345" i="3"/>
  <c r="AA215" i="3"/>
  <c r="AA85" i="3"/>
  <c r="AA503" i="3"/>
  <c r="AC375" i="3"/>
  <c r="AA121" i="3"/>
  <c r="AA176" i="3"/>
  <c r="AB176" i="3" s="1"/>
  <c r="AA47" i="3"/>
  <c r="AA489" i="3"/>
  <c r="AA237" i="3"/>
  <c r="AB237" i="3" s="1"/>
  <c r="AA549" i="3"/>
  <c r="AA420" i="3"/>
  <c r="AA144" i="3"/>
  <c r="AB144" i="3" s="1"/>
  <c r="AC18" i="3"/>
  <c r="AC429" i="3"/>
  <c r="AC437" i="3"/>
  <c r="AA751" i="3"/>
  <c r="AC625" i="3"/>
  <c r="AC34" i="3"/>
  <c r="AA770" i="3"/>
  <c r="AC643" i="3"/>
  <c r="AC597" i="3"/>
  <c r="AB597" i="3" s="1"/>
  <c r="AA554" i="3"/>
  <c r="AC294" i="3"/>
  <c r="AA453" i="3"/>
  <c r="AB453" i="3" s="1"/>
  <c r="AC326" i="3"/>
  <c r="AA385" i="3"/>
  <c r="AC125" i="3"/>
  <c r="AC440" i="3"/>
  <c r="AC312" i="3"/>
  <c r="AC60" i="3"/>
  <c r="AA370" i="3"/>
  <c r="AC241" i="3"/>
  <c r="AB241" i="3" s="1"/>
  <c r="AA111" i="3"/>
  <c r="AA223" i="3"/>
  <c r="AC508" i="3"/>
  <c r="AC880" i="3"/>
  <c r="AC920" i="3"/>
  <c r="AC897" i="3"/>
  <c r="AA1179" i="3"/>
  <c r="AA1327" i="3"/>
  <c r="AB1327" i="3" s="1"/>
  <c r="AA1391" i="3"/>
  <c r="AC975" i="3"/>
  <c r="AA1098" i="3"/>
  <c r="AC1429" i="3"/>
  <c r="AC1335" i="3"/>
  <c r="AA1104" i="3"/>
  <c r="AA1227" i="3"/>
  <c r="AB1227" i="3" s="1"/>
  <c r="AC799" i="3"/>
  <c r="AC1401" i="3"/>
  <c r="AB1401" i="3" s="1"/>
  <c r="AC1408" i="3"/>
  <c r="AA1216" i="3"/>
  <c r="AC1293" i="3"/>
  <c r="AA1180" i="3"/>
  <c r="AA889" i="3"/>
  <c r="AC1297" i="3"/>
  <c r="AC1056" i="3"/>
  <c r="AA1464" i="3"/>
  <c r="AC1376" i="3"/>
  <c r="AC936" i="3"/>
  <c r="AC1361" i="3"/>
  <c r="AA1067" i="3"/>
  <c r="AB1067" i="3" s="1"/>
  <c r="AC1415" i="3"/>
  <c r="AB1415" i="3" s="1"/>
  <c r="AC1213" i="3"/>
  <c r="AC1426" i="3"/>
  <c r="AA1412" i="3"/>
  <c r="AC1137" i="3"/>
  <c r="AC379" i="3"/>
  <c r="AC118" i="3"/>
  <c r="AA536" i="3"/>
  <c r="AA282" i="3"/>
  <c r="AC25" i="3"/>
  <c r="AA339" i="3"/>
  <c r="AB339" i="3" s="1"/>
  <c r="AA211" i="3"/>
  <c r="AA81" i="3"/>
  <c r="AA16" i="3"/>
  <c r="AA432" i="3"/>
  <c r="AC306" i="3"/>
  <c r="AC179" i="3"/>
  <c r="AC52" i="3"/>
  <c r="AA334" i="3"/>
  <c r="AB334" i="3" s="1"/>
  <c r="AA132" i="3"/>
  <c r="AC197" i="3"/>
  <c r="AA68" i="3"/>
  <c r="AA486" i="3"/>
  <c r="AB486" i="3" s="1"/>
  <c r="AA419" i="3"/>
  <c r="AA30" i="3"/>
  <c r="AA346" i="3"/>
  <c r="AB346" i="3" s="1"/>
  <c r="AA220" i="3"/>
  <c r="AA533" i="3"/>
  <c r="AA404" i="3"/>
  <c r="AC274" i="3"/>
  <c r="AC20" i="3"/>
  <c r="AC541" i="3"/>
  <c r="AC413" i="3"/>
  <c r="AA286" i="3"/>
  <c r="AC31" i="3"/>
  <c r="AA735" i="3"/>
  <c r="AA607" i="3"/>
  <c r="AC800" i="3"/>
  <c r="AC755" i="3"/>
  <c r="AA629" i="3"/>
  <c r="AA581" i="3"/>
  <c r="AC277" i="3"/>
  <c r="AA147" i="3"/>
  <c r="AA19" i="3"/>
  <c r="AA437" i="3"/>
  <c r="AC309" i="3"/>
  <c r="AC184" i="3"/>
  <c r="AC424" i="3"/>
  <c r="AC297" i="3"/>
  <c r="AC45" i="3"/>
  <c r="AC352" i="3"/>
  <c r="AC95" i="3"/>
  <c r="AB95" i="3" s="1"/>
  <c r="AA206" i="3"/>
  <c r="AA80" i="3"/>
  <c r="AB80" i="3" s="1"/>
  <c r="AA364" i="3"/>
  <c r="AC1133" i="3"/>
  <c r="AA1293" i="3"/>
  <c r="AC990" i="3"/>
  <c r="AA1422" i="3"/>
  <c r="AC1243" i="3"/>
  <c r="AB1243" i="3" s="1"/>
  <c r="AC819" i="3"/>
  <c r="AA1375" i="3"/>
  <c r="AB1375" i="3" s="1"/>
  <c r="AA1222" i="3"/>
  <c r="AC1181" i="3"/>
  <c r="AA1166" i="3"/>
  <c r="AB1166" i="3" s="1"/>
  <c r="AC1250" i="3"/>
  <c r="AC1457" i="3"/>
  <c r="AA1272" i="3"/>
  <c r="AB1272" i="3" s="1"/>
  <c r="AC922" i="3"/>
  <c r="AA1289" i="3"/>
  <c r="AC1225" i="3"/>
  <c r="AC1461" i="3"/>
  <c r="AC959" i="3"/>
  <c r="AA1372" i="3"/>
  <c r="AC1356" i="3"/>
  <c r="AC1276" i="3"/>
  <c r="AA1426" i="3"/>
  <c r="AA1420" i="3"/>
  <c r="AC1410" i="3"/>
  <c r="AA1405" i="3"/>
  <c r="AC888" i="3"/>
  <c r="AC1315" i="3"/>
  <c r="AA1096" i="3"/>
  <c r="AA1429" i="3"/>
  <c r="AA1187" i="3"/>
  <c r="AA1450" i="3"/>
  <c r="AA64" i="3"/>
  <c r="AC37" i="3"/>
  <c r="AC319" i="3"/>
  <c r="AB319" i="3" s="1"/>
  <c r="AA193" i="3"/>
  <c r="AC389" i="3"/>
  <c r="AC616" i="3"/>
  <c r="AC572" i="3"/>
  <c r="AC313" i="3"/>
  <c r="AA180" i="3"/>
  <c r="AA53" i="3"/>
  <c r="AC89" i="3"/>
  <c r="AA403" i="3"/>
  <c r="AB403" i="3" s="1"/>
  <c r="AC79" i="3"/>
  <c r="AC516" i="3"/>
  <c r="AB516" i="3" s="1"/>
  <c r="AA388" i="3"/>
  <c r="AA258" i="3"/>
  <c r="AC525" i="3"/>
  <c r="AC397" i="3"/>
  <c r="AB397" i="3" s="1"/>
  <c r="AA271" i="3"/>
  <c r="AB271" i="3" s="1"/>
  <c r="AA719" i="3"/>
  <c r="AA331" i="3"/>
  <c r="AB739" i="3"/>
  <c r="AA819" i="3"/>
  <c r="AA548" i="3"/>
  <c r="AA421" i="3"/>
  <c r="AA480" i="3"/>
  <c r="AA222" i="3"/>
  <c r="AA92" i="3"/>
  <c r="AC28" i="3"/>
  <c r="AA466" i="3"/>
  <c r="AC337" i="3"/>
  <c r="AC192" i="3"/>
  <c r="AA65" i="3"/>
  <c r="AB65" i="3" s="1"/>
  <c r="AA477" i="3"/>
  <c r="AA221" i="3"/>
  <c r="AC93" i="3"/>
  <c r="AA1281" i="3"/>
  <c r="AB1281" i="3" s="1"/>
  <c r="AA1152" i="3"/>
  <c r="AC971" i="3"/>
  <c r="AC1330" i="3"/>
  <c r="AC1000" i="3"/>
  <c r="AC1097" i="3"/>
  <c r="AA720" i="3"/>
  <c r="AB720" i="3" s="1"/>
  <c r="AA1414" i="3"/>
  <c r="AA1220" i="3"/>
  <c r="AA1137" i="3"/>
  <c r="AA789" i="3"/>
  <c r="AC1085" i="3"/>
  <c r="AA1337" i="3"/>
  <c r="AA1175" i="3"/>
  <c r="AA1320" i="3"/>
  <c r="AA1292" i="3"/>
  <c r="AC984" i="3"/>
  <c r="AC1421" i="3"/>
  <c r="AB1421" i="3" s="1"/>
  <c r="AC1238" i="3"/>
  <c r="AC1411" i="3"/>
  <c r="AC1413" i="3"/>
  <c r="AC1439" i="3"/>
  <c r="AC1277" i="3"/>
  <c r="AB1277" i="3" s="1"/>
  <c r="AA810" i="3"/>
  <c r="AA1390" i="3"/>
  <c r="AA880" i="3"/>
  <c r="AC1310" i="3"/>
  <c r="AC1066" i="3"/>
  <c r="AA1448" i="3"/>
  <c r="AA1108" i="3"/>
  <c r="AC1355" i="3"/>
  <c r="AC1153" i="3"/>
  <c r="AA1135" i="3"/>
  <c r="AA1332" i="3"/>
  <c r="AB1332" i="3" s="1"/>
  <c r="AC1465" i="3"/>
  <c r="AA491" i="3"/>
  <c r="AC451" i="3"/>
  <c r="AA626" i="3"/>
  <c r="AA556" i="3"/>
  <c r="AB556" i="3" s="1"/>
  <c r="AC164" i="3"/>
  <c r="AA36" i="3"/>
  <c r="AC455" i="3"/>
  <c r="AC328" i="3"/>
  <c r="AB328" i="3" s="1"/>
  <c r="AA200" i="3"/>
  <c r="AB200" i="3" s="1"/>
  <c r="AA387" i="3"/>
  <c r="AB387" i="3" s="1"/>
  <c r="AC567" i="3"/>
  <c r="AC314" i="3"/>
  <c r="AC62" i="3"/>
  <c r="AA372" i="3"/>
  <c r="AC243" i="3"/>
  <c r="AA225" i="3"/>
  <c r="AC510" i="3"/>
  <c r="AC381" i="3"/>
  <c r="AC254" i="3"/>
  <c r="AB254" i="3" s="1"/>
  <c r="AA127" i="3"/>
  <c r="AC51" i="3"/>
  <c r="AA703" i="3"/>
  <c r="AC769" i="3"/>
  <c r="AC640" i="3"/>
  <c r="AA194" i="3"/>
  <c r="AC723" i="3"/>
  <c r="AA803" i="3"/>
  <c r="AA532" i="3"/>
  <c r="AB532" i="3" s="1"/>
  <c r="AA405" i="3"/>
  <c r="AA278" i="3"/>
  <c r="AC21" i="3"/>
  <c r="AA207" i="3"/>
  <c r="AA77" i="3"/>
  <c r="AC518" i="3"/>
  <c r="AA266" i="3"/>
  <c r="AC13" i="3"/>
  <c r="AA450" i="3"/>
  <c r="AA321" i="3"/>
  <c r="AC302" i="3"/>
  <c r="AA48" i="3"/>
  <c r="AC459" i="3"/>
  <c r="AA330" i="3"/>
  <c r="AC1416" i="3"/>
  <c r="AB1416" i="3" s="1"/>
  <c r="AC1325" i="3"/>
  <c r="AA984" i="3"/>
  <c r="AA1111" i="3"/>
  <c r="AC1197" i="3"/>
  <c r="AC1454" i="3"/>
  <c r="AB1454" i="3" s="1"/>
  <c r="AC973" i="3"/>
  <c r="AC1372" i="3"/>
  <c r="AC1176" i="3"/>
  <c r="AB1176" i="3" s="1"/>
  <c r="AA1400" i="3"/>
  <c r="AB1400" i="3" s="1"/>
  <c r="AA1460" i="3"/>
  <c r="AA1453" i="3"/>
  <c r="AC1433" i="3"/>
  <c r="AB1433" i="3" s="1"/>
  <c r="AA1284" i="3"/>
  <c r="AC1220" i="3"/>
  <c r="AA920" i="3"/>
  <c r="AA1346" i="3"/>
  <c r="AA1410" i="3"/>
  <c r="AA1424" i="3"/>
  <c r="AB1424" i="3" s="1"/>
  <c r="AA1386" i="3"/>
  <c r="AA868" i="3"/>
  <c r="AA1305" i="3"/>
  <c r="AB1305" i="3" s="1"/>
  <c r="AC1081" i="3"/>
  <c r="AC969" i="3"/>
  <c r="AA1177" i="3"/>
  <c r="AB1177" i="3" s="1"/>
  <c r="AC1445" i="3"/>
  <c r="AC1101" i="3"/>
  <c r="AC942" i="3"/>
  <c r="AA1150" i="3"/>
  <c r="AB1150" i="3" s="1"/>
  <c r="AC1222" i="3"/>
  <c r="AA1406" i="3"/>
  <c r="AC1391" i="3"/>
  <c r="AA1298" i="3"/>
  <c r="AB1298" i="3" s="1"/>
  <c r="AC1201" i="3"/>
  <c r="AC1187" i="3"/>
  <c r="AA700" i="3"/>
  <c r="U180" i="3"/>
  <c r="U47" i="3"/>
  <c r="U434" i="3"/>
  <c r="U417" i="3"/>
  <c r="U222" i="3"/>
  <c r="U563" i="3"/>
  <c r="U33" i="3"/>
  <c r="U367" i="3"/>
  <c r="U474" i="3"/>
  <c r="U459" i="3"/>
  <c r="U314" i="3"/>
  <c r="U361" i="3"/>
  <c r="U51" i="3"/>
  <c r="U510" i="3"/>
  <c r="U381" i="3"/>
  <c r="R3" i="5"/>
  <c r="R1" i="5"/>
  <c r="U1246" i="3"/>
  <c r="U807" i="3"/>
  <c r="R18" i="5"/>
  <c r="R17" i="5"/>
  <c r="R4" i="5"/>
  <c r="U443" i="3"/>
  <c r="U315" i="3"/>
  <c r="U517" i="3"/>
  <c r="U920" i="3"/>
  <c r="U420" i="3"/>
  <c r="U370" i="3"/>
  <c r="U60" i="3"/>
  <c r="U171" i="3"/>
  <c r="U382" i="3"/>
  <c r="U36" i="3"/>
  <c r="U435" i="3"/>
  <c r="U326" i="3"/>
  <c r="U1270" i="3"/>
  <c r="U1189" i="3"/>
  <c r="AC7" i="3"/>
  <c r="AA7" i="3"/>
  <c r="D4" i="3"/>
  <c r="V1222" i="3"/>
  <c r="V1304" i="3"/>
  <c r="V497" i="3"/>
  <c r="AK497" i="3" s="1"/>
  <c r="V1379" i="3"/>
  <c r="V1254" i="3"/>
  <c r="V228" i="3"/>
  <c r="AK228" i="3" s="1"/>
  <c r="V663" i="3"/>
  <c r="AK663" i="3" s="1"/>
  <c r="V1410" i="3"/>
  <c r="V819" i="3"/>
  <c r="AK819" i="3" s="1"/>
  <c r="V1208" i="3"/>
  <c r="V1032" i="3"/>
  <c r="AK1032" i="3" s="1"/>
  <c r="V1009" i="3"/>
  <c r="AK1009" i="3" s="1"/>
  <c r="V1320" i="3"/>
  <c r="V766" i="3"/>
  <c r="AK766" i="3" s="1"/>
  <c r="V1305" i="3"/>
  <c r="V744" i="3"/>
  <c r="AK744" i="3" s="1"/>
  <c r="V9" i="3"/>
  <c r="AK9" i="3" s="1"/>
  <c r="V1414" i="3"/>
  <c r="V1431" i="3"/>
  <c r="V1192" i="3"/>
  <c r="V1289" i="3"/>
  <c r="V1292" i="3"/>
  <c r="V728" i="3"/>
  <c r="AK728" i="3" s="1"/>
  <c r="V600" i="3"/>
  <c r="AK600" i="3" s="1"/>
  <c r="V1220" i="3"/>
  <c r="V1352" i="3"/>
  <c r="V1033" i="3"/>
  <c r="AK1033" i="3" s="1"/>
  <c r="V1400" i="3"/>
  <c r="V1196" i="3"/>
  <c r="V1383" i="3"/>
  <c r="V696" i="3"/>
  <c r="AK696" i="3" s="1"/>
  <c r="V679" i="3"/>
  <c r="AK679" i="3" s="1"/>
  <c r="V1411" i="3"/>
  <c r="V1460" i="3"/>
  <c r="W1460" i="3" s="1"/>
  <c r="V1108" i="3"/>
  <c r="AK1108" i="3" s="1"/>
  <c r="V1239" i="3"/>
  <c r="V1369" i="3"/>
  <c r="V1064" i="3"/>
  <c r="AK1064" i="3" s="1"/>
  <c r="V508" i="3"/>
  <c r="AK508" i="3" s="1"/>
  <c r="V811" i="3"/>
  <c r="AK811" i="3" s="1"/>
  <c r="V1331" i="3"/>
  <c r="V943" i="3"/>
  <c r="AK943" i="3" s="1"/>
  <c r="V704" i="3"/>
  <c r="AK704" i="3" s="1"/>
  <c r="V711" i="3"/>
  <c r="AK711" i="3" s="1"/>
  <c r="V417" i="3"/>
  <c r="AK417" i="3" s="1"/>
  <c r="V872" i="3"/>
  <c r="AK872" i="3" s="1"/>
  <c r="V1390" i="3"/>
  <c r="V1263" i="3"/>
  <c r="V291" i="3"/>
  <c r="AK291" i="3" s="1"/>
  <c r="V403" i="3"/>
  <c r="AK403" i="3" s="1"/>
  <c r="V955" i="3"/>
  <c r="AK955" i="3" s="1"/>
  <c r="V652" i="3"/>
  <c r="AK652" i="3" s="1"/>
  <c r="V293" i="3"/>
  <c r="AK293" i="3" s="1"/>
  <c r="V1307" i="3"/>
  <c r="V1177" i="3"/>
  <c r="V719" i="3"/>
  <c r="AK719" i="3" s="1"/>
  <c r="V193" i="3"/>
  <c r="AK193" i="3" s="1"/>
  <c r="V16" i="3"/>
  <c r="AK16" i="3" s="1"/>
  <c r="V60" i="3"/>
  <c r="AK60" i="3" s="1"/>
  <c r="V273" i="3"/>
  <c r="AK273" i="3" s="1"/>
  <c r="V180" i="3"/>
  <c r="AK180" i="3" s="1"/>
  <c r="V348" i="3"/>
  <c r="AK348" i="3" s="1"/>
  <c r="V238" i="3"/>
  <c r="AK238" i="3" s="1"/>
  <c r="V200" i="3"/>
  <c r="AK200" i="3" s="1"/>
  <c r="V1272" i="3"/>
  <c r="V791" i="3"/>
  <c r="AK791" i="3" s="1"/>
  <c r="V367" i="3"/>
  <c r="AK367" i="3" s="1"/>
  <c r="V1179" i="3"/>
  <c r="V1104" i="3"/>
  <c r="AK1104" i="3" s="1"/>
  <c r="V768" i="3"/>
  <c r="AK768" i="3" s="1"/>
  <c r="V484" i="3"/>
  <c r="AK484" i="3" s="1"/>
  <c r="V599" i="3"/>
  <c r="AK599" i="3" s="1"/>
  <c r="V1056" i="3"/>
  <c r="AK1056" i="3" s="1"/>
  <c r="V539" i="3"/>
  <c r="AK539" i="3" s="1"/>
  <c r="V185" i="3"/>
  <c r="AK185" i="3" s="1"/>
  <c r="V531" i="3"/>
  <c r="AK531" i="3" s="1"/>
  <c r="V81" i="3"/>
  <c r="AK81" i="3" s="1"/>
  <c r="V1065" i="3"/>
  <c r="AK1065" i="3" s="1"/>
  <c r="V937" i="3"/>
  <c r="AK937" i="3" s="1"/>
  <c r="V1425" i="3"/>
  <c r="V1291" i="3"/>
  <c r="V703" i="3"/>
  <c r="AK703" i="3" s="1"/>
  <c r="V612" i="3"/>
  <c r="AK612" i="3" s="1"/>
  <c r="V309" i="3"/>
  <c r="AK309" i="3" s="1"/>
  <c r="V175" i="3"/>
  <c r="AK175" i="3" s="1"/>
  <c r="V85" i="3"/>
  <c r="AK85" i="3" s="1"/>
  <c r="V111" i="3"/>
  <c r="AK111" i="3" s="1"/>
  <c r="V127" i="3"/>
  <c r="AK127" i="3" s="1"/>
  <c r="V1265" i="3"/>
  <c r="V1381" i="3"/>
  <c r="V119" i="3"/>
  <c r="AK119" i="3" s="1"/>
  <c r="V1219" i="3"/>
  <c r="V354" i="3"/>
  <c r="AK354" i="3" s="1"/>
  <c r="V581" i="3"/>
  <c r="AK581" i="3" s="1"/>
  <c r="V1298" i="3"/>
  <c r="V456" i="3"/>
  <c r="AK456" i="3" s="1"/>
  <c r="V738" i="3"/>
  <c r="AK738" i="3" s="1"/>
  <c r="V610" i="3"/>
  <c r="AK610" i="3" s="1"/>
  <c r="V440" i="3"/>
  <c r="AK440" i="3" s="1"/>
  <c r="V670" i="3"/>
  <c r="AK670" i="3" s="1"/>
  <c r="V1444" i="3"/>
  <c r="V1180" i="3"/>
  <c r="V1016" i="3"/>
  <c r="AK1016" i="3" s="1"/>
  <c r="V687" i="3"/>
  <c r="AK687" i="3" s="1"/>
  <c r="V535" i="3"/>
  <c r="AK535" i="3" s="1"/>
  <c r="V207" i="3"/>
  <c r="AK207" i="3" s="1"/>
  <c r="V240" i="3"/>
  <c r="AK240" i="3" s="1"/>
  <c r="V1458" i="3"/>
  <c r="V1106" i="3"/>
  <c r="AK1106" i="3" s="1"/>
  <c r="V499" i="3"/>
  <c r="AK499" i="3" s="1"/>
  <c r="V1404" i="3"/>
  <c r="V803" i="3"/>
  <c r="AK803" i="3" s="1"/>
  <c r="V295" i="3"/>
  <c r="AK295" i="3" s="1"/>
  <c r="V1152" i="3"/>
  <c r="AK1152" i="3" s="1"/>
  <c r="V224" i="3"/>
  <c r="AK224" i="3" s="1"/>
  <c r="V1427" i="3"/>
  <c r="V1293" i="3"/>
  <c r="V385" i="3"/>
  <c r="AK385" i="3" s="1"/>
  <c r="V101" i="3"/>
  <c r="AK101" i="3" s="1"/>
  <c r="V310" i="3"/>
  <c r="AK310" i="3" s="1"/>
  <c r="V79" i="3"/>
  <c r="AK79" i="3" s="1"/>
  <c r="V1257" i="3"/>
  <c r="V1386" i="3"/>
  <c r="V798" i="3"/>
  <c r="AK798" i="3" s="1"/>
  <c r="V671" i="3"/>
  <c r="AK671" i="3" s="1"/>
  <c r="V182" i="3"/>
  <c r="AK182" i="3" s="1"/>
  <c r="V53" i="3"/>
  <c r="AK53" i="3" s="1"/>
  <c r="V43" i="3"/>
  <c r="AK43" i="3" s="1"/>
  <c r="V810" i="3"/>
  <c r="AK810" i="3" s="1"/>
  <c r="V47" i="3"/>
  <c r="AK47" i="3" s="1"/>
  <c r="V1185" i="3"/>
  <c r="V756" i="3"/>
  <c r="AK756" i="3" s="1"/>
  <c r="V1391" i="3"/>
  <c r="V880" i="3"/>
  <c r="AK880" i="3" s="1"/>
  <c r="V941" i="3"/>
  <c r="AK941" i="3" s="1"/>
  <c r="V792" i="3"/>
  <c r="AK792" i="3" s="1"/>
  <c r="V1067" i="3"/>
  <c r="AK1067" i="3" s="1"/>
  <c r="V1146" i="3"/>
  <c r="AK1146" i="3" s="1"/>
  <c r="V1403" i="3"/>
  <c r="V716" i="3"/>
  <c r="AK716" i="3" s="1"/>
  <c r="V759" i="3"/>
  <c r="AK759" i="3" s="1"/>
  <c r="V1194" i="3"/>
  <c r="V1113" i="3"/>
  <c r="AK1113" i="3" s="1"/>
  <c r="V853" i="3"/>
  <c r="AK853" i="3" s="1"/>
  <c r="V626" i="3"/>
  <c r="AK626" i="3" s="1"/>
  <c r="V655" i="3"/>
  <c r="AK655" i="3" s="1"/>
  <c r="V129" i="3"/>
  <c r="AK129" i="3" s="1"/>
  <c r="V36" i="3"/>
  <c r="AK36" i="3" s="1"/>
  <c r="V378" i="3"/>
  <c r="AK378" i="3" s="1"/>
  <c r="V285" i="3"/>
  <c r="AK285" i="3" s="1"/>
  <c r="V969" i="3"/>
  <c r="AK969" i="3" s="1"/>
  <c r="V743" i="3"/>
  <c r="AK743" i="3" s="1"/>
  <c r="V815" i="3"/>
  <c r="AK815" i="3" s="1"/>
  <c r="V809" i="3"/>
  <c r="AK809" i="3" s="1"/>
  <c r="V1206" i="3"/>
  <c r="V247" i="3"/>
  <c r="AK247" i="3" s="1"/>
  <c r="V1251" i="3"/>
  <c r="V1377" i="3"/>
  <c r="V690" i="3"/>
  <c r="AK690" i="3" s="1"/>
  <c r="V547" i="3"/>
  <c r="AK547" i="3" s="1"/>
  <c r="V1261" i="3"/>
  <c r="V582" i="3"/>
  <c r="AK582" i="3" s="1"/>
  <c r="V1259" i="3"/>
  <c r="V1388" i="3"/>
  <c r="V700" i="3"/>
  <c r="AK700" i="3" s="1"/>
  <c r="V276" i="3"/>
  <c r="AK276" i="3" s="1"/>
  <c r="V695" i="3"/>
  <c r="AK695" i="3" s="1"/>
  <c r="V1096" i="3"/>
  <c r="AK1096" i="3" s="1"/>
  <c r="V638" i="3"/>
  <c r="AK638" i="3" s="1"/>
  <c r="V242" i="3"/>
  <c r="AK242" i="3" s="1"/>
  <c r="V147" i="3"/>
  <c r="AK147" i="3" s="1"/>
  <c r="V19" i="3"/>
  <c r="AK19" i="3" s="1"/>
  <c r="V268" i="3"/>
  <c r="AK268" i="3" s="1"/>
  <c r="V416" i="3"/>
  <c r="AK416" i="3" s="1"/>
  <c r="V288" i="3"/>
  <c r="AK288" i="3" s="1"/>
  <c r="V505" i="3"/>
  <c r="AK505" i="3" s="1"/>
  <c r="V1187" i="3"/>
  <c r="V896" i="3"/>
  <c r="AK896" i="3" s="1"/>
  <c r="V482" i="3"/>
  <c r="AK482" i="3" s="1"/>
  <c r="V341" i="3"/>
  <c r="AK341" i="3" s="1"/>
  <c r="V211" i="3"/>
  <c r="AK211" i="3" s="1"/>
  <c r="V501" i="3"/>
  <c r="AK501" i="3" s="1"/>
  <c r="V196" i="3"/>
  <c r="AK196" i="3" s="1"/>
  <c r="V1244" i="3"/>
  <c r="V1245" i="3"/>
  <c r="V684" i="3"/>
  <c r="AK684" i="3" s="1"/>
  <c r="V1210" i="3"/>
  <c r="V751" i="3"/>
  <c r="AK751" i="3" s="1"/>
  <c r="V96" i="3"/>
  <c r="AK96" i="3" s="1"/>
  <c r="V316" i="3"/>
  <c r="AK316" i="3" s="1"/>
  <c r="V187" i="3"/>
  <c r="AK187" i="3" s="1"/>
  <c r="V304" i="3"/>
  <c r="AK304" i="3" s="1"/>
  <c r="V307" i="3"/>
  <c r="AK307" i="3" s="1"/>
  <c r="V522" i="3"/>
  <c r="AK522" i="3" s="1"/>
  <c r="V124" i="3"/>
  <c r="AK124" i="3" s="1"/>
  <c r="V45" i="3"/>
  <c r="AK45" i="3" s="1"/>
  <c r="V271" i="3"/>
  <c r="AK271" i="3" s="1"/>
  <c r="V142" i="3"/>
  <c r="AK142" i="3" s="1"/>
  <c r="V575" i="3"/>
  <c r="AK575" i="3" s="1"/>
  <c r="V556" i="3"/>
  <c r="AK556" i="3" s="1"/>
  <c r="V1266" i="3"/>
  <c r="V1137" i="3"/>
  <c r="AK1137" i="3" s="1"/>
  <c r="V1269" i="3"/>
  <c r="V789" i="3"/>
  <c r="AK789" i="3" s="1"/>
  <c r="V727" i="3"/>
  <c r="AK727" i="3" s="1"/>
  <c r="V1346" i="3"/>
  <c r="V1216" i="3"/>
  <c r="V339" i="3"/>
  <c r="AK339" i="3" s="1"/>
  <c r="V1280" i="3"/>
  <c r="V1283" i="3"/>
  <c r="V720" i="3"/>
  <c r="AK720" i="3" s="1"/>
  <c r="V1278" i="3"/>
  <c r="V889" i="3"/>
  <c r="AK889" i="3" s="1"/>
  <c r="V1281" i="3"/>
  <c r="V424" i="3"/>
  <c r="AK424" i="3" s="1"/>
  <c r="V1438" i="3"/>
  <c r="V1098" i="3"/>
  <c r="AK1098" i="3" s="1"/>
  <c r="V668" i="3"/>
  <c r="AK668" i="3" s="1"/>
  <c r="V1322" i="3"/>
  <c r="V762" i="3"/>
  <c r="AK762" i="3" s="1"/>
  <c r="V735" i="3"/>
  <c r="AK735" i="3" s="1"/>
  <c r="V607" i="3"/>
  <c r="AK607" i="3" s="1"/>
  <c r="V549" i="3"/>
  <c r="AK549" i="3" s="1"/>
  <c r="V770" i="3"/>
  <c r="AK770" i="3" s="1"/>
  <c r="V301" i="3"/>
  <c r="AK301" i="3" s="1"/>
  <c r="V290" i="3"/>
  <c r="AK290" i="3" s="1"/>
  <c r="V507" i="3"/>
  <c r="AK507" i="3" s="1"/>
  <c r="V121" i="3"/>
  <c r="AK121" i="3" s="1"/>
  <c r="V237" i="3"/>
  <c r="AK237" i="3" s="1"/>
  <c r="V384" i="3"/>
  <c r="AK384" i="3" s="1"/>
  <c r="V28" i="3"/>
  <c r="AK28" i="3" s="1"/>
  <c r="V372" i="3"/>
  <c r="AK372" i="3" s="1"/>
  <c r="V450" i="3"/>
  <c r="AK450" i="3" s="1"/>
  <c r="V1448" i="3"/>
  <c r="V1420" i="3"/>
  <c r="V1450" i="3"/>
  <c r="V134" i="3"/>
  <c r="AK134" i="3" s="1"/>
  <c r="V434" i="3"/>
  <c r="AK434" i="3" s="1"/>
  <c r="V283" i="3"/>
  <c r="AK283" i="3" s="1"/>
  <c r="V491" i="3"/>
  <c r="AK491" i="3" s="1"/>
  <c r="V468" i="3"/>
  <c r="AK468" i="3" s="1"/>
  <c r="V266" i="3"/>
  <c r="AK266" i="3" s="1"/>
  <c r="V573" i="3"/>
  <c r="AK573" i="3" s="1"/>
  <c r="V488" i="3"/>
  <c r="AK488" i="3" s="1"/>
  <c r="V218" i="3"/>
  <c r="AK218" i="3" s="1"/>
  <c r="V477" i="3"/>
  <c r="AK477" i="3" s="1"/>
  <c r="V421" i="3"/>
  <c r="AK421" i="3" s="1"/>
  <c r="V476" i="3"/>
  <c r="AK476" i="3" s="1"/>
  <c r="V343" i="3"/>
  <c r="AK343" i="3" s="1"/>
  <c r="V548" i="3"/>
  <c r="AK548" i="3" s="1"/>
  <c r="V260" i="3"/>
  <c r="AK260" i="3" s="1"/>
  <c r="V1443" i="3"/>
  <c r="V235" i="3"/>
  <c r="AK235" i="3" s="1"/>
  <c r="V532" i="3"/>
  <c r="AK532" i="3" s="1"/>
  <c r="V278" i="3"/>
  <c r="AK278" i="3" s="1"/>
  <c r="V209" i="3"/>
  <c r="AK209" i="3" s="1"/>
  <c r="V221" i="3"/>
  <c r="AK221" i="3" s="1"/>
  <c r="V194" i="3"/>
  <c r="AK194" i="3" s="1"/>
  <c r="V229" i="3"/>
  <c r="AK229" i="3" s="1"/>
  <c r="V340" i="3"/>
  <c r="AK340" i="3" s="1"/>
  <c r="V176" i="3"/>
  <c r="AK176" i="3" s="1"/>
  <c r="V550" i="3"/>
  <c r="AK550" i="3" s="1"/>
  <c r="V489" i="3"/>
  <c r="AK489" i="3" s="1"/>
  <c r="V466" i="3"/>
  <c r="AK466" i="3" s="1"/>
  <c r="V1412" i="3"/>
  <c r="V389" i="3"/>
  <c r="AK389" i="3" s="1"/>
  <c r="V1181" i="3"/>
  <c r="U362" i="3"/>
  <c r="U543" i="3"/>
  <c r="V1200" i="3"/>
  <c r="V648" i="3"/>
  <c r="AK648" i="3" s="1"/>
  <c r="V710" i="3"/>
  <c r="AK710" i="3" s="1"/>
  <c r="V1313" i="3"/>
  <c r="U574" i="3"/>
  <c r="U634" i="3"/>
  <c r="V694" i="3"/>
  <c r="AK694" i="3" s="1"/>
  <c r="V1000" i="3"/>
  <c r="AK1000" i="3" s="1"/>
  <c r="V1237" i="3"/>
  <c r="U408" i="3"/>
  <c r="U539" i="3"/>
  <c r="U1052" i="3"/>
  <c r="V1355" i="3"/>
  <c r="W1355" i="3" s="1"/>
  <c r="V400" i="3"/>
  <c r="AK400" i="3" s="1"/>
  <c r="V117" i="3"/>
  <c r="AK117" i="3" s="1"/>
  <c r="V873" i="3"/>
  <c r="AK873" i="3" s="1"/>
  <c r="U1129" i="3"/>
  <c r="V405" i="3"/>
  <c r="AK405" i="3" s="1"/>
  <c r="U518" i="3"/>
  <c r="U1385" i="3"/>
  <c r="U1179" i="3"/>
  <c r="U1050" i="3"/>
  <c r="U401" i="3"/>
  <c r="U364" i="3"/>
  <c r="U478" i="3"/>
  <c r="V457" i="3"/>
  <c r="AK457" i="3" s="1"/>
  <c r="V165" i="3"/>
  <c r="AK165" i="3" s="1"/>
  <c r="U902" i="3"/>
  <c r="U468" i="3"/>
  <c r="V330" i="3"/>
  <c r="AK330" i="3" s="1"/>
  <c r="V1406" i="3"/>
  <c r="V321" i="3"/>
  <c r="AK321" i="3" s="1"/>
  <c r="U302" i="3"/>
  <c r="U1101" i="3"/>
  <c r="U863" i="3"/>
  <c r="U1248" i="3"/>
  <c r="U1119" i="3"/>
  <c r="V506" i="3"/>
  <c r="AK506" i="3" s="1"/>
  <c r="U319" i="3"/>
  <c r="U527" i="3"/>
  <c r="U397" i="3"/>
  <c r="U303" i="3"/>
  <c r="U1303" i="3"/>
  <c r="U17" i="3"/>
  <c r="V373" i="3"/>
  <c r="AK373" i="3" s="1"/>
  <c r="V108" i="3"/>
  <c r="AK108" i="3" s="1"/>
  <c r="V394" i="3"/>
  <c r="AK394" i="3" s="1"/>
  <c r="V388" i="3"/>
  <c r="AK388" i="3" s="1"/>
  <c r="U525" i="3"/>
  <c r="V279" i="3"/>
  <c r="AK279" i="3" s="1"/>
  <c r="U152" i="3"/>
  <c r="U289" i="3"/>
  <c r="U161" i="3"/>
  <c r="U545" i="3"/>
  <c r="V311" i="3"/>
  <c r="AK311" i="3" s="1"/>
  <c r="U1160" i="3"/>
  <c r="U896" i="3"/>
  <c r="V460" i="3"/>
  <c r="AK460" i="3" s="1"/>
  <c r="V678" i="3"/>
  <c r="AK678" i="3" s="1"/>
  <c r="V644" i="3"/>
  <c r="AK644" i="3" s="1"/>
  <c r="V1144" i="3"/>
  <c r="AK1144" i="3" s="1"/>
  <c r="V1270" i="3"/>
  <c r="V213" i="3"/>
  <c r="AK213" i="3" s="1"/>
  <c r="V401" i="3"/>
  <c r="AK401" i="3" s="1"/>
  <c r="V436" i="3"/>
  <c r="AK436" i="3" s="1"/>
  <c r="V496" i="3"/>
  <c r="AK496" i="3" s="1"/>
  <c r="V1250" i="3"/>
  <c r="V567" i="3"/>
  <c r="AK567" i="3" s="1"/>
  <c r="V1199" i="3"/>
  <c r="V154" i="3"/>
  <c r="AK154" i="3" s="1"/>
  <c r="V871" i="3"/>
  <c r="AK871" i="3" s="1"/>
  <c r="V538" i="3"/>
  <c r="AK538" i="3" s="1"/>
  <c r="V156" i="3"/>
  <c r="AK156" i="3" s="1"/>
  <c r="V163" i="3"/>
  <c r="AK163" i="3" s="1"/>
  <c r="V493" i="3"/>
  <c r="AK493" i="3" s="1"/>
  <c r="V1031" i="3"/>
  <c r="AK1031" i="3" s="1"/>
  <c r="V1036" i="3"/>
  <c r="AK1036" i="3" s="1"/>
  <c r="V1328" i="3"/>
  <c r="U1412" i="3"/>
  <c r="V540" i="3"/>
  <c r="AK540" i="3" s="1"/>
  <c r="U286" i="3"/>
  <c r="V158" i="3"/>
  <c r="AK158" i="3" s="1"/>
  <c r="U1241" i="3"/>
  <c r="U982" i="3"/>
  <c r="V858" i="3"/>
  <c r="AK858" i="3" s="1"/>
  <c r="U265" i="3"/>
  <c r="V517" i="3"/>
  <c r="AK517" i="3" s="1"/>
  <c r="V760" i="3"/>
  <c r="AK760" i="3" s="1"/>
  <c r="V1330" i="3"/>
  <c r="U797" i="3"/>
  <c r="U584" i="3"/>
  <c r="U1021" i="3"/>
  <c r="U1145" i="3"/>
  <c r="V817" i="3"/>
  <c r="AK817" i="3" s="1"/>
  <c r="U1404" i="3"/>
  <c r="V1344" i="3"/>
  <c r="V793" i="3"/>
  <c r="AK793" i="3" s="1"/>
  <c r="V1197" i="3"/>
  <c r="W1197" i="3" s="1"/>
  <c r="U1370" i="3"/>
  <c r="V797" i="3"/>
  <c r="AK797" i="3" s="1"/>
  <c r="U1318" i="3"/>
  <c r="V888" i="3"/>
  <c r="AK888" i="3" s="1"/>
  <c r="V611" i="3"/>
  <c r="AK611" i="3" s="1"/>
  <c r="U1018" i="3"/>
  <c r="V891" i="3"/>
  <c r="AK891" i="3" s="1"/>
  <c r="V1018" i="3"/>
  <c r="AK1018" i="3" s="1"/>
  <c r="U795" i="3"/>
  <c r="U494" i="3"/>
  <c r="V155" i="3"/>
  <c r="AK155" i="3" s="1"/>
  <c r="V1212" i="3"/>
  <c r="W1212" i="3" s="1"/>
  <c r="U1033" i="3"/>
  <c r="U904" i="3"/>
  <c r="V258" i="3"/>
  <c r="AK258" i="3" s="1"/>
  <c r="U337" i="3"/>
  <c r="V331" i="3"/>
  <c r="AK331" i="3" s="1"/>
  <c r="U1465" i="3"/>
  <c r="V1394" i="3"/>
  <c r="U1007" i="3"/>
  <c r="U1012" i="3"/>
  <c r="U872" i="3"/>
  <c r="U1063" i="3"/>
  <c r="U1233" i="3"/>
  <c r="V92" i="3"/>
  <c r="AK92" i="3" s="1"/>
  <c r="V65" i="3"/>
  <c r="AK65" i="3" s="1"/>
  <c r="U1140" i="3"/>
  <c r="U883" i="3"/>
  <c r="U56" i="3"/>
  <c r="U1267" i="3"/>
  <c r="V779" i="3"/>
  <c r="AK779" i="3" s="1"/>
  <c r="V1004" i="3"/>
  <c r="AK1004" i="3" s="1"/>
  <c r="V382" i="3"/>
  <c r="AK382" i="3" s="1"/>
  <c r="V799" i="3"/>
  <c r="AK799" i="3" s="1"/>
  <c r="V1035" i="3"/>
  <c r="AK1035" i="3" s="1"/>
  <c r="U34" i="3"/>
  <c r="U508" i="3"/>
  <c r="V426" i="3"/>
  <c r="AK426" i="3" s="1"/>
  <c r="V503" i="3"/>
  <c r="AK503" i="3" s="1"/>
  <c r="U440" i="3"/>
  <c r="U480" i="3"/>
  <c r="V444" i="3"/>
  <c r="AK444" i="3" s="1"/>
  <c r="V302" i="3"/>
  <c r="AK302" i="3" s="1"/>
  <c r="V420" i="3"/>
  <c r="AK420" i="3" s="1"/>
  <c r="V370" i="3"/>
  <c r="AK370" i="3" s="1"/>
  <c r="V351" i="3"/>
  <c r="AK351" i="3" s="1"/>
  <c r="U429" i="3"/>
  <c r="V664" i="3"/>
  <c r="AK664" i="3" s="1"/>
  <c r="V1385" i="3"/>
  <c r="V1325" i="3"/>
  <c r="U1194" i="3"/>
  <c r="V458" i="3"/>
  <c r="AK458" i="3" s="1"/>
  <c r="V280" i="3"/>
  <c r="AK280" i="3" s="1"/>
  <c r="U394" i="3"/>
  <c r="V287" i="3"/>
  <c r="AK287" i="3" s="1"/>
  <c r="V524" i="3"/>
  <c r="AK524" i="3" s="1"/>
  <c r="U385" i="3"/>
  <c r="V441" i="3"/>
  <c r="AK441" i="3" s="1"/>
  <c r="V146" i="3"/>
  <c r="AK146" i="3" s="1"/>
  <c r="V781" i="3"/>
  <c r="AK781" i="3" s="1"/>
  <c r="U529" i="3"/>
  <c r="V452" i="3"/>
  <c r="AK452" i="3" s="1"/>
  <c r="V332" i="3"/>
  <c r="AK332" i="3" s="1"/>
  <c r="U1387" i="3"/>
  <c r="U1001" i="3"/>
  <c r="V939" i="3"/>
  <c r="AK939" i="3" s="1"/>
  <c r="V801" i="3"/>
  <c r="AK801" i="3" s="1"/>
  <c r="U1059" i="3"/>
  <c r="U66" i="3"/>
  <c r="V226" i="3"/>
  <c r="AK226" i="3" s="1"/>
  <c r="V453" i="3"/>
  <c r="AK453" i="3" s="1"/>
  <c r="U1426" i="3"/>
  <c r="V459" i="3"/>
  <c r="AK459" i="3" s="1"/>
  <c r="U18" i="3"/>
  <c r="V1466" i="3"/>
  <c r="V1461" i="3"/>
  <c r="U1363" i="3"/>
  <c r="V1139" i="3"/>
  <c r="AK1139" i="3" s="1"/>
  <c r="U345" i="3"/>
  <c r="V281" i="3"/>
  <c r="AK281" i="3" s="1"/>
  <c r="V1130" i="3"/>
  <c r="AK1130" i="3" s="1"/>
  <c r="U1406" i="3"/>
  <c r="U891" i="3"/>
  <c r="V1155" i="3"/>
  <c r="AK1155" i="3" s="1"/>
  <c r="U1025" i="3"/>
  <c r="V313" i="3"/>
  <c r="AK313" i="3" s="1"/>
  <c r="V741" i="3"/>
  <c r="AK741" i="3" s="1"/>
  <c r="U746" i="3"/>
  <c r="V752" i="3"/>
  <c r="AK752" i="3" s="1"/>
  <c r="U747" i="3"/>
  <c r="V745" i="3"/>
  <c r="AK745" i="3" s="1"/>
  <c r="U497" i="3"/>
  <c r="V427" i="3"/>
  <c r="AK427" i="3" s="1"/>
  <c r="V300" i="3"/>
  <c r="AK300" i="3" s="1"/>
  <c r="U931" i="3"/>
  <c r="V907" i="3"/>
  <c r="AK907" i="3" s="1"/>
  <c r="V61" i="3"/>
  <c r="AK61" i="3" s="1"/>
  <c r="V566" i="3"/>
  <c r="AK566" i="3" s="1"/>
  <c r="U1152" i="3"/>
  <c r="U342" i="3"/>
  <c r="V515" i="3"/>
  <c r="AK515" i="3" s="1"/>
  <c r="V492" i="3"/>
  <c r="AK492" i="3" s="1"/>
  <c r="U1450" i="3"/>
  <c r="U149" i="3"/>
  <c r="U475" i="3"/>
  <c r="V1088" i="3"/>
  <c r="AK1088" i="3" s="1"/>
  <c r="U1301" i="3"/>
  <c r="U1087" i="3"/>
  <c r="U1020" i="3"/>
  <c r="U1362" i="3"/>
  <c r="V881" i="3"/>
  <c r="AK881" i="3" s="1"/>
  <c r="V1003" i="3"/>
  <c r="AK1003" i="3" s="1"/>
  <c r="V1082" i="3"/>
  <c r="AK1082" i="3" s="1"/>
  <c r="U887" i="3"/>
  <c r="V1347" i="3"/>
  <c r="W1347" i="3" s="1"/>
  <c r="U1357" i="3"/>
  <c r="U1022" i="3"/>
  <c r="V1214" i="3"/>
  <c r="U1096" i="3"/>
  <c r="V706" i="3"/>
  <c r="AK706" i="3" s="1"/>
  <c r="V935" i="3"/>
  <c r="AK935" i="3" s="1"/>
  <c r="U243" i="3"/>
  <c r="V1231" i="3"/>
  <c r="U1407" i="3"/>
  <c r="U1349" i="3"/>
  <c r="U1427" i="3"/>
  <c r="V1080" i="3"/>
  <c r="AK1080" i="3" s="1"/>
  <c r="U822" i="3"/>
  <c r="U1038" i="3"/>
  <c r="U547" i="3"/>
  <c r="U323" i="3"/>
  <c r="U1431" i="3"/>
  <c r="V785" i="3"/>
  <c r="AK785" i="3" s="1"/>
  <c r="U1262" i="3"/>
  <c r="V1363" i="3"/>
  <c r="U789" i="3"/>
  <c r="V647" i="3"/>
  <c r="AK647" i="3" s="1"/>
  <c r="V512" i="3"/>
  <c r="AK512" i="3" s="1"/>
  <c r="U477" i="3"/>
  <c r="U184" i="3"/>
  <c r="U1410" i="3"/>
  <c r="U1061" i="3"/>
  <c r="U933" i="3"/>
  <c r="V1105" i="3"/>
  <c r="AK1105" i="3" s="1"/>
  <c r="U197" i="3"/>
  <c r="V68" i="3"/>
  <c r="AK68" i="3" s="1"/>
  <c r="V286" i="3"/>
  <c r="AK286" i="3" s="1"/>
  <c r="V364" i="3"/>
  <c r="AK364" i="3" s="1"/>
  <c r="V437" i="3"/>
  <c r="AK437" i="3" s="1"/>
  <c r="V1372" i="3"/>
  <c r="V1213" i="3"/>
  <c r="U404" i="3"/>
  <c r="U45" i="3"/>
  <c r="V536" i="3"/>
  <c r="AK536" i="3" s="1"/>
  <c r="V282" i="3"/>
  <c r="AK282" i="3" s="1"/>
  <c r="V30" i="3"/>
  <c r="AK30" i="3" s="1"/>
  <c r="U309" i="3"/>
  <c r="U424" i="3"/>
  <c r="U909" i="3"/>
  <c r="V662" i="3"/>
  <c r="AK662" i="3" s="1"/>
  <c r="U492" i="3"/>
  <c r="U1047" i="3"/>
  <c r="U631" i="3"/>
  <c r="V410" i="3"/>
  <c r="AK410" i="3" s="1"/>
  <c r="U221" i="3"/>
  <c r="V428" i="3"/>
  <c r="AK428" i="3" s="1"/>
  <c r="V299" i="3"/>
  <c r="AK299" i="3" s="1"/>
  <c r="V533" i="3"/>
  <c r="AK533" i="3" s="1"/>
  <c r="U1264" i="3"/>
  <c r="V783" i="3"/>
  <c r="AK783" i="3" s="1"/>
  <c r="V627" i="3"/>
  <c r="AK627" i="3" s="1"/>
  <c r="U70" i="3"/>
  <c r="U25" i="3"/>
  <c r="V246" i="3"/>
  <c r="AK246" i="3" s="1"/>
  <c r="V132" i="3"/>
  <c r="AK132" i="3" s="1"/>
  <c r="V1426" i="3"/>
  <c r="U952" i="3"/>
  <c r="U1002" i="3"/>
  <c r="V523" i="3"/>
  <c r="AK523" i="3" s="1"/>
  <c r="U358" i="3"/>
  <c r="V419" i="3"/>
  <c r="AK419" i="3" s="1"/>
  <c r="V346" i="3"/>
  <c r="AK346" i="3" s="1"/>
  <c r="V220" i="3"/>
  <c r="AK220" i="3" s="1"/>
  <c r="U297" i="3"/>
  <c r="V404" i="3"/>
  <c r="AK404" i="3" s="1"/>
  <c r="U775" i="3"/>
  <c r="U118" i="3"/>
  <c r="U173" i="3"/>
  <c r="U31" i="3"/>
  <c r="U1285" i="3"/>
  <c r="U1016" i="3"/>
  <c r="V1409" i="3"/>
  <c r="U889" i="3"/>
  <c r="V1453" i="3"/>
  <c r="V76" i="3"/>
  <c r="AK76" i="3" s="1"/>
  <c r="U867" i="3"/>
  <c r="U1071" i="3"/>
  <c r="U1005" i="3"/>
  <c r="U1010" i="3"/>
  <c r="V795" i="3"/>
  <c r="AK795" i="3" s="1"/>
  <c r="V1076" i="3"/>
  <c r="AK1076" i="3" s="1"/>
  <c r="V946" i="3"/>
  <c r="AK946" i="3" s="1"/>
  <c r="U918" i="3"/>
  <c r="V1051" i="3"/>
  <c r="AK1051" i="3" s="1"/>
  <c r="U1142" i="3"/>
  <c r="V1300" i="3"/>
  <c r="V1136" i="3"/>
  <c r="AK1136" i="3" s="1"/>
  <c r="V1008" i="3"/>
  <c r="AK1008" i="3" s="1"/>
  <c r="U627" i="3"/>
  <c r="U988" i="3"/>
  <c r="U26" i="3"/>
  <c r="U977" i="3"/>
  <c r="V1225" i="3"/>
  <c r="V839" i="3"/>
  <c r="AK839" i="3" s="1"/>
  <c r="U845" i="3"/>
  <c r="V1145" i="3"/>
  <c r="AK1145" i="3" s="1"/>
  <c r="U1358" i="3"/>
  <c r="V1163" i="3"/>
  <c r="AK1163" i="3" s="1"/>
  <c r="U658" i="3"/>
  <c r="U780" i="3"/>
  <c r="U359" i="3"/>
  <c r="U233" i="3"/>
  <c r="U393" i="3"/>
  <c r="V471" i="3"/>
  <c r="AK471" i="3" s="1"/>
  <c r="V412" i="3"/>
  <c r="AK412" i="3" s="1"/>
  <c r="V840" i="3"/>
  <c r="AK840" i="3" s="1"/>
  <c r="U340" i="3"/>
  <c r="U400" i="3"/>
  <c r="U266" i="3"/>
  <c r="U1098" i="3"/>
  <c r="U968" i="3"/>
  <c r="V469" i="3"/>
  <c r="AK469" i="3" s="1"/>
  <c r="V1439" i="3"/>
  <c r="W1439" i="3" s="1"/>
  <c r="U848" i="3"/>
  <c r="V1456" i="3"/>
  <c r="U926" i="3"/>
  <c r="U855" i="3"/>
  <c r="V442" i="3"/>
  <c r="AK442" i="3" s="1"/>
  <c r="U308" i="3"/>
  <c r="V425" i="3"/>
  <c r="AK425" i="3" s="1"/>
  <c r="U311" i="3"/>
  <c r="U1328" i="3"/>
  <c r="V1102" i="3"/>
  <c r="AK1102" i="3" s="1"/>
  <c r="V1299" i="3"/>
  <c r="V487" i="3"/>
  <c r="AK487" i="3" s="1"/>
  <c r="V513" i="3"/>
  <c r="AK513" i="3" s="1"/>
  <c r="V338" i="3"/>
  <c r="AK338" i="3" s="1"/>
  <c r="V490" i="3"/>
  <c r="AK490" i="3" s="1"/>
  <c r="U523" i="3"/>
  <c r="U1146" i="3"/>
  <c r="U1035" i="3"/>
  <c r="U906" i="3"/>
  <c r="U398" i="3"/>
  <c r="U778" i="3"/>
  <c r="U137" i="3"/>
  <c r="V1019" i="3"/>
  <c r="AK1019" i="3" s="1"/>
  <c r="V890" i="3"/>
  <c r="AK890" i="3" s="1"/>
  <c r="V326" i="3"/>
  <c r="AK326" i="3" s="1"/>
  <c r="V557" i="3"/>
  <c r="AK557" i="3" s="1"/>
  <c r="V396" i="3"/>
  <c r="AK396" i="3" s="1"/>
  <c r="V999" i="3"/>
  <c r="AK999" i="3" s="1"/>
  <c r="V305" i="3"/>
  <c r="AK305" i="3" s="1"/>
  <c r="V1078" i="3"/>
  <c r="AK1078" i="3" s="1"/>
  <c r="V948" i="3"/>
  <c r="AK948" i="3" s="1"/>
  <c r="V676" i="3"/>
  <c r="AK676" i="3" s="1"/>
  <c r="V1055" i="3"/>
  <c r="AK1055" i="3" s="1"/>
  <c r="V850" i="3"/>
  <c r="AK850" i="3" s="1"/>
  <c r="V1164" i="3"/>
  <c r="AK1164" i="3" s="1"/>
  <c r="V303" i="3"/>
  <c r="AK303" i="3" s="1"/>
  <c r="U1371" i="3"/>
  <c r="U409" i="3"/>
  <c r="V551" i="3"/>
  <c r="AK551" i="3" s="1"/>
  <c r="G7" i="1"/>
  <c r="D9" i="1"/>
  <c r="V225" i="3"/>
  <c r="AK225" i="3" s="1"/>
  <c r="V1424" i="3"/>
  <c r="V1072" i="3"/>
  <c r="AK1072" i="3" s="1"/>
  <c r="V256" i="3"/>
  <c r="AK256" i="3" s="1"/>
  <c r="V357" i="3"/>
  <c r="AK357" i="3" s="1"/>
  <c r="V317" i="3"/>
  <c r="AK317" i="3" s="1"/>
  <c r="D10" i="1"/>
  <c r="U660" i="3"/>
  <c r="U1092" i="3"/>
  <c r="U962" i="3"/>
  <c r="U835" i="3"/>
  <c r="U1382" i="3"/>
  <c r="U338" i="3"/>
  <c r="U329" i="3"/>
  <c r="U231" i="3"/>
  <c r="U24" i="3"/>
  <c r="U313" i="3"/>
  <c r="U192" i="3"/>
  <c r="U37" i="3"/>
  <c r="U1219" i="3"/>
  <c r="U558" i="3"/>
  <c r="U1441" i="3"/>
  <c r="U147" i="3"/>
  <c r="U402" i="3"/>
  <c r="U481" i="3"/>
  <c r="U1401" i="3"/>
  <c r="U1213" i="3"/>
  <c r="V1296" i="3"/>
  <c r="W1296" i="3" s="1"/>
  <c r="U1037" i="3"/>
  <c r="U908" i="3"/>
  <c r="U1042" i="3"/>
  <c r="U786" i="3"/>
  <c r="U557" i="3"/>
  <c r="V1297" i="3"/>
  <c r="U951" i="3"/>
  <c r="U827" i="3"/>
  <c r="V387" i="3"/>
  <c r="AK387" i="3" s="1"/>
  <c r="V77" i="3"/>
  <c r="AK77" i="3" s="1"/>
  <c r="V336" i="3"/>
  <c r="AK336" i="3" s="1"/>
  <c r="V726" i="3"/>
  <c r="AK726" i="3" s="1"/>
  <c r="V1373" i="3"/>
  <c r="U859" i="3"/>
  <c r="V1122" i="3"/>
  <c r="AK1122" i="3" s="1"/>
  <c r="U993" i="3"/>
  <c r="U864" i="3"/>
  <c r="U416" i="3"/>
  <c r="U573" i="3"/>
  <c r="V168" i="3"/>
  <c r="AK168" i="3" s="1"/>
  <c r="V921" i="3"/>
  <c r="AK921" i="3" s="1"/>
  <c r="V1024" i="3"/>
  <c r="AK1024" i="3" s="1"/>
  <c r="U1444" i="3"/>
  <c r="U772" i="3"/>
  <c r="V1338" i="3"/>
  <c r="V1157" i="3"/>
  <c r="AK1157" i="3" s="1"/>
  <c r="U1027" i="3"/>
  <c r="V899" i="3"/>
  <c r="AK899" i="3" s="1"/>
  <c r="V875" i="3"/>
  <c r="AK875" i="3" s="1"/>
  <c r="U1414" i="3"/>
  <c r="U776" i="3"/>
  <c r="V827" i="3"/>
  <c r="AK827" i="3" s="1"/>
  <c r="U1090" i="3"/>
  <c r="U960" i="3"/>
  <c r="U833" i="3"/>
  <c r="U122" i="3"/>
  <c r="U172" i="3"/>
  <c r="V909" i="3"/>
  <c r="AK909" i="3" s="1"/>
  <c r="V825" i="3"/>
  <c r="AK825" i="3" s="1"/>
  <c r="U1088" i="3"/>
  <c r="U831" i="3"/>
  <c r="V248" i="3"/>
  <c r="AK248" i="3" s="1"/>
  <c r="V828" i="3"/>
  <c r="AK828" i="3" s="1"/>
  <c r="U533" i="3"/>
  <c r="V398" i="3"/>
  <c r="AK398" i="3" s="1"/>
  <c r="V199" i="3"/>
  <c r="AK199" i="3" s="1"/>
  <c r="U73" i="3"/>
  <c r="V353" i="3"/>
  <c r="AK353" i="3" s="1"/>
  <c r="V227" i="3"/>
  <c r="AK227" i="3" s="1"/>
  <c r="V1117" i="3"/>
  <c r="AK1117" i="3" s="1"/>
  <c r="U405" i="3"/>
  <c r="U384" i="3"/>
  <c r="U139" i="3"/>
  <c r="V344" i="3"/>
  <c r="AK344" i="3" s="1"/>
  <c r="U1360" i="3"/>
  <c r="V841" i="3"/>
  <c r="AK841" i="3" s="1"/>
  <c r="U847" i="3"/>
  <c r="V915" i="3"/>
  <c r="AK915" i="3" s="1"/>
  <c r="U1402" i="3"/>
  <c r="V831" i="3"/>
  <c r="AK831" i="3" s="1"/>
  <c r="U1094" i="3"/>
  <c r="U964" i="3"/>
  <c r="U837" i="3"/>
  <c r="U1055" i="3"/>
  <c r="U1078" i="3"/>
  <c r="V1123" i="3"/>
  <c r="AK1123" i="3" s="1"/>
  <c r="V1230" i="3"/>
  <c r="W1230" i="3" s="1"/>
  <c r="V843" i="3"/>
  <c r="AK843" i="3" s="1"/>
  <c r="V977" i="3"/>
  <c r="AK977" i="3" s="1"/>
  <c r="U849" i="3"/>
  <c r="V688" i="3"/>
  <c r="AK688" i="3" s="1"/>
  <c r="U1039" i="3"/>
  <c r="U910" i="3"/>
  <c r="U1044" i="3"/>
  <c r="U1102" i="3"/>
  <c r="U1409" i="3"/>
  <c r="V722" i="3"/>
  <c r="AK722" i="3" s="1"/>
  <c r="V1348" i="3"/>
  <c r="V994" i="3"/>
  <c r="AK994" i="3" s="1"/>
  <c r="U568" i="3"/>
  <c r="U857" i="3"/>
  <c r="V1120" i="3"/>
  <c r="AK1120" i="3" s="1"/>
  <c r="U862" i="3"/>
  <c r="U1026" i="3"/>
  <c r="V1039" i="3"/>
  <c r="AK1039" i="3" s="1"/>
  <c r="U871" i="3"/>
  <c r="U386" i="3"/>
  <c r="U411" i="3"/>
  <c r="U201" i="3"/>
  <c r="U235" i="3"/>
  <c r="U479" i="3"/>
  <c r="V355" i="3"/>
  <c r="AK355" i="3" s="1"/>
  <c r="U1131" i="3"/>
  <c r="V380" i="3"/>
  <c r="AK380" i="3" s="1"/>
  <c r="U571" i="3"/>
  <c r="D4" i="1"/>
  <c r="G8" i="1"/>
  <c r="V861" i="3"/>
  <c r="AK861" i="3" s="1"/>
  <c r="V911" i="3"/>
  <c r="AK911" i="3" s="1"/>
  <c r="V1107" i="3"/>
  <c r="AK1107" i="3" s="1"/>
  <c r="U854" i="3"/>
  <c r="V1232" i="3"/>
  <c r="V979" i="3"/>
  <c r="AK979" i="3" s="1"/>
  <c r="U851" i="3"/>
  <c r="V908" i="3"/>
  <c r="AK908" i="3" s="1"/>
  <c r="U932" i="3"/>
  <c r="U1029" i="3"/>
  <c r="V901" i="3"/>
  <c r="AK901" i="3" s="1"/>
  <c r="U1199" i="3"/>
  <c r="V913" i="3"/>
  <c r="AK913" i="3" s="1"/>
  <c r="V867" i="3"/>
  <c r="AK867" i="3" s="1"/>
  <c r="U1242" i="3"/>
  <c r="V1349" i="3"/>
  <c r="V635" i="3"/>
  <c r="AK635" i="3" s="1"/>
  <c r="U628" i="3"/>
  <c r="V621" i="3"/>
  <c r="AK621" i="3" s="1"/>
  <c r="V555" i="3"/>
  <c r="AK555" i="3" s="1"/>
  <c r="U625" i="3"/>
  <c r="U1447" i="3"/>
  <c r="U331" i="3"/>
  <c r="U203" i="3"/>
  <c r="U1398" i="3"/>
  <c r="U629" i="3"/>
  <c r="V393" i="3"/>
  <c r="AK393" i="3" s="1"/>
  <c r="U241" i="3"/>
  <c r="V1393" i="3"/>
  <c r="U395" i="3"/>
  <c r="V195" i="3"/>
  <c r="AK195" i="3" s="1"/>
  <c r="U69" i="3"/>
  <c r="U1043" i="3"/>
  <c r="V1023" i="3"/>
  <c r="AK1023" i="3" s="1"/>
  <c r="V186" i="3"/>
  <c r="AK186" i="3" s="1"/>
  <c r="U418" i="3"/>
  <c r="U262" i="3"/>
  <c r="U135" i="3"/>
  <c r="U86" i="3"/>
  <c r="V223" i="3"/>
  <c r="AK223" i="3" s="1"/>
  <c r="U1421" i="3"/>
  <c r="V1312" i="3"/>
  <c r="U865" i="3"/>
  <c r="V1109" i="3"/>
  <c r="AK1109" i="3" s="1"/>
  <c r="V1040" i="3"/>
  <c r="AK1040" i="3" s="1"/>
  <c r="V606" i="3"/>
  <c r="AK606" i="3" s="1"/>
  <c r="U815" i="3"/>
  <c r="U531" i="3"/>
  <c r="U541" i="3"/>
  <c r="V1451" i="3"/>
  <c r="U856" i="3"/>
  <c r="U1234" i="3"/>
  <c r="V847" i="3"/>
  <c r="AK847" i="3" s="1"/>
  <c r="U1115" i="3"/>
  <c r="V985" i="3"/>
  <c r="AK985" i="3" s="1"/>
  <c r="V981" i="3"/>
  <c r="AK981" i="3" s="1"/>
  <c r="V680" i="3"/>
  <c r="AK680" i="3" s="1"/>
  <c r="U745" i="3"/>
  <c r="U1048" i="3"/>
  <c r="U1251" i="3"/>
  <c r="U722" i="3"/>
  <c r="V1376" i="3"/>
  <c r="W1376" i="3" s="1"/>
  <c r="U1389" i="3"/>
  <c r="V1260" i="3"/>
  <c r="U1003" i="3"/>
  <c r="U874" i="3"/>
  <c r="U1138" i="3"/>
  <c r="V834" i="3"/>
  <c r="AK834" i="3" s="1"/>
  <c r="V1021" i="3"/>
  <c r="AK1021" i="3" s="1"/>
  <c r="V1356" i="3"/>
  <c r="W1356" i="3" s="1"/>
  <c r="U498" i="3"/>
  <c r="U141" i="3"/>
  <c r="V298" i="3"/>
  <c r="AK298" i="3" s="1"/>
  <c r="V44" i="3"/>
  <c r="AK44" i="3" s="1"/>
  <c r="U472" i="3"/>
  <c r="V120" i="3"/>
  <c r="AK120" i="3" s="1"/>
  <c r="V414" i="3"/>
  <c r="AK414" i="3" s="1"/>
  <c r="U88" i="3"/>
  <c r="V292" i="3"/>
  <c r="AK292" i="3" s="1"/>
  <c r="U413" i="3"/>
  <c r="V498" i="3"/>
  <c r="AK498" i="3" s="1"/>
  <c r="V1133" i="3"/>
  <c r="AK1133" i="3" s="1"/>
  <c r="U1110" i="3"/>
  <c r="U363" i="3"/>
  <c r="V315" i="3"/>
  <c r="AK315" i="3" s="1"/>
  <c r="U84" i="3"/>
  <c r="U567" i="3"/>
  <c r="V1418" i="3"/>
  <c r="W1418" i="3" s="1"/>
  <c r="U1054" i="3"/>
  <c r="U1065" i="3"/>
  <c r="U937" i="3"/>
  <c r="U870" i="3"/>
  <c r="V1124" i="3"/>
  <c r="AK1124" i="3" s="1"/>
  <c r="U995" i="3"/>
  <c r="U866" i="3"/>
  <c r="V660" i="3"/>
  <c r="AK660" i="3" s="1"/>
  <c r="V672" i="3"/>
  <c r="AK672" i="3" s="1"/>
  <c r="V1223" i="3"/>
  <c r="W1223" i="3" s="1"/>
  <c r="U843" i="3"/>
  <c r="U274" i="3"/>
  <c r="U20" i="3"/>
  <c r="U352" i="3"/>
  <c r="U948" i="3"/>
  <c r="U994" i="3"/>
  <c r="V917" i="3"/>
  <c r="AK917" i="3" s="1"/>
  <c r="V1449" i="3"/>
  <c r="U1113" i="3"/>
  <c r="V1315" i="3"/>
  <c r="W1315" i="3" s="1"/>
  <c r="U729" i="3"/>
  <c r="V1074" i="3"/>
  <c r="AK1074" i="3" s="1"/>
  <c r="V807" i="3"/>
  <c r="AK807" i="3" s="1"/>
  <c r="U829" i="3"/>
  <c r="V654" i="3"/>
  <c r="AK654" i="3" s="1"/>
  <c r="U234" i="3"/>
  <c r="U535" i="3"/>
  <c r="U379" i="3"/>
  <c r="U306" i="3"/>
  <c r="U52" i="3"/>
  <c r="U1057" i="3"/>
  <c r="U929" i="3"/>
  <c r="V443" i="3"/>
  <c r="AK443" i="3" s="1"/>
  <c r="V296" i="3"/>
  <c r="AK296" i="3" s="1"/>
  <c r="V334" i="3"/>
  <c r="AK334" i="3" s="1"/>
  <c r="U536" i="3"/>
  <c r="V197" i="3"/>
  <c r="AK197" i="3" s="1"/>
  <c r="U71" i="3"/>
  <c r="U1395" i="3"/>
  <c r="U1190" i="3"/>
  <c r="U1184" i="3"/>
  <c r="U1228" i="3"/>
  <c r="V742" i="3"/>
  <c r="AK742" i="3" s="1"/>
  <c r="U1188" i="3"/>
  <c r="U1461" i="3"/>
  <c r="V294" i="3"/>
  <c r="AK294" i="3" s="1"/>
  <c r="V500" i="3"/>
  <c r="AK500" i="3" s="1"/>
  <c r="U569" i="3"/>
  <c r="U377" i="3"/>
  <c r="V1203" i="3"/>
  <c r="U54" i="3"/>
  <c r="U205" i="3"/>
  <c r="V1422" i="3"/>
  <c r="U890" i="3"/>
  <c r="U997" i="3"/>
  <c r="U805" i="3"/>
  <c r="U1099" i="3"/>
  <c r="U1136" i="3"/>
  <c r="U577" i="3"/>
  <c r="U869" i="3"/>
  <c r="V527" i="3"/>
  <c r="AK527" i="3" s="1"/>
  <c r="V1378" i="3"/>
  <c r="V754" i="3"/>
  <c r="AK754" i="3" s="1"/>
  <c r="V324" i="3"/>
  <c r="AK324" i="3" s="1"/>
  <c r="V58" i="3"/>
  <c r="AK58" i="3" s="1"/>
  <c r="V250" i="3"/>
  <c r="AK250" i="3" s="1"/>
  <c r="V692" i="3"/>
  <c r="AK692" i="3" s="1"/>
  <c r="V1256" i="3"/>
  <c r="V622" i="3"/>
  <c r="AK622" i="3" s="1"/>
  <c r="U327" i="3"/>
  <c r="V541" i="3"/>
  <c r="AK541" i="3" s="1"/>
  <c r="V1153" i="3"/>
  <c r="AK1153" i="3" s="1"/>
  <c r="U483" i="3"/>
  <c r="V1238" i="3"/>
  <c r="W1238" i="3" s="1"/>
  <c r="U1200" i="3"/>
  <c r="V222" i="3"/>
  <c r="AK222" i="3" s="1"/>
  <c r="V932" i="3"/>
  <c r="AK932" i="3" s="1"/>
  <c r="U766" i="3"/>
  <c r="V1147" i="3"/>
  <c r="AK1147" i="3" s="1"/>
  <c r="V1112" i="3"/>
  <c r="AK1112" i="3" s="1"/>
  <c r="V75" i="3"/>
  <c r="AK75" i="3" s="1"/>
  <c r="V1125" i="3"/>
  <c r="AK1125" i="3" s="1"/>
  <c r="U965" i="3"/>
  <c r="G15" i="1"/>
  <c r="U575" i="3"/>
  <c r="U644" i="3"/>
  <c r="V31" i="3"/>
  <c r="AK31" i="3" s="1"/>
  <c r="V594" i="3"/>
  <c r="AK594" i="3" s="1"/>
  <c r="V1215" i="3"/>
  <c r="W1215" i="3" s="1"/>
  <c r="G13" i="1"/>
  <c r="V1252" i="3"/>
  <c r="V598" i="3"/>
  <c r="AK598" i="3" s="1"/>
  <c r="U581" i="3"/>
  <c r="U635" i="3"/>
  <c r="V173" i="3"/>
  <c r="AK173" i="3" s="1"/>
  <c r="V519" i="3"/>
  <c r="AK519" i="3" s="1"/>
  <c r="U432" i="3"/>
  <c r="U75" i="3"/>
  <c r="U183" i="3"/>
  <c r="U168" i="3"/>
  <c r="V386" i="3"/>
  <c r="AK386" i="3" s="1"/>
  <c r="V368" i="3"/>
  <c r="AK368" i="3" s="1"/>
  <c r="V35" i="3"/>
  <c r="AK35" i="3" s="1"/>
  <c r="V395" i="3"/>
  <c r="AK395" i="3" s="1"/>
  <c r="V1191" i="3"/>
  <c r="W1191" i="3" s="1"/>
  <c r="V1173" i="3"/>
  <c r="W1173" i="3" s="1"/>
  <c r="U58" i="3"/>
  <c r="U470" i="3"/>
  <c r="U216" i="3"/>
  <c r="U366" i="3"/>
  <c r="V379" i="3"/>
  <c r="AK379" i="3" s="1"/>
  <c r="U1443" i="3"/>
  <c r="V1246" i="3"/>
  <c r="U618" i="3"/>
  <c r="U7" i="3"/>
  <c r="D11" i="1"/>
  <c r="V1162" i="3"/>
  <c r="AK1162" i="3" s="1"/>
  <c r="U1320" i="3"/>
  <c r="U1182" i="3"/>
  <c r="U624" i="3"/>
  <c r="V1309" i="3"/>
  <c r="U1130" i="3"/>
  <c r="U1275" i="3"/>
  <c r="V563" i="3"/>
  <c r="AK563" i="3" s="1"/>
  <c r="V377" i="3"/>
  <c r="AK377" i="3" s="1"/>
  <c r="U368" i="3"/>
  <c r="U422" i="3"/>
  <c r="V446" i="3"/>
  <c r="AK446" i="3" s="1"/>
  <c r="U39" i="3"/>
  <c r="V432" i="3"/>
  <c r="AK432" i="3" s="1"/>
  <c r="U179" i="3"/>
  <c r="V206" i="3"/>
  <c r="AK206" i="3" s="1"/>
  <c r="G10" i="1"/>
  <c r="U852" i="3"/>
  <c r="U1467" i="3"/>
  <c r="U579" i="3"/>
  <c r="V1217" i="3"/>
  <c r="G4" i="1"/>
  <c r="V1079" i="3"/>
  <c r="AK1079" i="3" s="1"/>
  <c r="V1445" i="3"/>
  <c r="W1445" i="3" s="1"/>
  <c r="V1366" i="3"/>
  <c r="V982" i="3"/>
  <c r="AK982" i="3" s="1"/>
  <c r="V1103" i="3"/>
  <c r="AK1103" i="3" s="1"/>
  <c r="V852" i="3"/>
  <c r="AK852" i="3" s="1"/>
  <c r="V1156" i="3"/>
  <c r="AK1156" i="3" s="1"/>
  <c r="V1303" i="3"/>
  <c r="V1174" i="3"/>
  <c r="V998" i="3"/>
  <c r="AK998" i="3" s="1"/>
  <c r="U823" i="3"/>
  <c r="U1396" i="3"/>
  <c r="V838" i="3"/>
  <c r="AK838" i="3" s="1"/>
  <c r="V708" i="3"/>
  <c r="AK708" i="3" s="1"/>
  <c r="U1286" i="3"/>
  <c r="U1440" i="3"/>
  <c r="V829" i="3"/>
  <c r="AK829" i="3" s="1"/>
  <c r="V952" i="3"/>
  <c r="AK952" i="3" s="1"/>
  <c r="V1295" i="3"/>
  <c r="U1169" i="3"/>
  <c r="V658" i="3"/>
  <c r="AK658" i="3" s="1"/>
  <c r="V1022" i="3"/>
  <c r="AK1022" i="3" s="1"/>
  <c r="U895" i="3"/>
  <c r="U1271" i="3"/>
  <c r="V1151" i="3"/>
  <c r="AK1151" i="3" s="1"/>
  <c r="U1103" i="3"/>
  <c r="U801" i="3"/>
  <c r="V628" i="3"/>
  <c r="AK628" i="3" s="1"/>
  <c r="V1148" i="3"/>
  <c r="AK1148" i="3" s="1"/>
  <c r="V1140" i="3"/>
  <c r="AK1140" i="3" s="1"/>
  <c r="V1012" i="3"/>
  <c r="AK1012" i="3" s="1"/>
  <c r="U894" i="3"/>
  <c r="U1273" i="3"/>
  <c r="V1353" i="3"/>
  <c r="V958" i="3"/>
  <c r="AK958" i="3" s="1"/>
  <c r="V1421" i="3"/>
  <c r="V878" i="3"/>
  <c r="AK878" i="3" s="1"/>
  <c r="V1287" i="3"/>
  <c r="W1287" i="3" s="1"/>
  <c r="U1109" i="3"/>
  <c r="V1367" i="3"/>
  <c r="W1367" i="3" s="1"/>
  <c r="U1378" i="3"/>
  <c r="V1253" i="3"/>
  <c r="V862" i="3"/>
  <c r="AK862" i="3" s="1"/>
  <c r="U1244" i="3"/>
  <c r="V1126" i="3"/>
  <c r="AK1126" i="3" s="1"/>
  <c r="V820" i="3"/>
  <c r="AK820" i="3" s="1"/>
  <c r="U1198" i="3"/>
  <c r="V1071" i="3"/>
  <c r="AK1071" i="3" s="1"/>
  <c r="V942" i="3"/>
  <c r="AK942" i="3" s="1"/>
  <c r="V642" i="3"/>
  <c r="AK642" i="3" s="1"/>
  <c r="U806" i="3"/>
  <c r="U1255" i="3"/>
  <c r="U1127" i="3"/>
  <c r="U1265" i="3"/>
  <c r="V1087" i="3"/>
  <c r="AK1087" i="3" s="1"/>
  <c r="U1125" i="3"/>
  <c r="V997" i="3"/>
  <c r="AK997" i="3" s="1"/>
  <c r="V879" i="3"/>
  <c r="AK879" i="3" s="1"/>
  <c r="V1002" i="3"/>
  <c r="AK1002" i="3" s="1"/>
  <c r="U1338" i="3"/>
  <c r="U1346" i="3"/>
  <c r="U1257" i="3"/>
  <c r="V1077" i="3"/>
  <c r="AK1077" i="3" s="1"/>
  <c r="V814" i="3"/>
  <c r="AK814" i="3" s="1"/>
  <c r="V677" i="3"/>
  <c r="AK677" i="3" s="1"/>
  <c r="U824" i="3"/>
  <c r="U1304" i="3"/>
  <c r="U1268" i="3"/>
  <c r="V1093" i="3"/>
  <c r="AK1093" i="3" s="1"/>
  <c r="V894" i="3"/>
  <c r="AK894" i="3" s="1"/>
  <c r="V1447" i="3"/>
  <c r="V1314" i="3"/>
  <c r="V1317" i="3"/>
  <c r="U596" i="3"/>
  <c r="U1368" i="3"/>
  <c r="U1249" i="3"/>
  <c r="V1324" i="3"/>
  <c r="V812" i="3"/>
  <c r="AK812" i="3" s="1"/>
  <c r="U768" i="3"/>
  <c r="U986" i="3"/>
  <c r="U1366" i="3"/>
  <c r="U980" i="3"/>
  <c r="V991" i="3"/>
  <c r="AK991" i="3" s="1"/>
  <c r="V1247" i="3"/>
  <c r="U1323" i="3"/>
  <c r="V1070" i="3"/>
  <c r="AK1070" i="3" s="1"/>
  <c r="V686" i="3"/>
  <c r="AK686" i="3" s="1"/>
  <c r="V1224" i="3"/>
  <c r="W1224" i="3" s="1"/>
  <c r="V1397" i="3"/>
  <c r="V1417" i="3"/>
  <c r="G11" i="1"/>
  <c r="U1369" i="3"/>
  <c r="U1260" i="3"/>
  <c r="V1189" i="3"/>
  <c r="V1061" i="3"/>
  <c r="AK1061" i="3" s="1"/>
  <c r="V1143" i="3"/>
  <c r="AK1143" i="3" s="1"/>
  <c r="U1252" i="3"/>
  <c r="V860" i="3"/>
  <c r="AK860" i="3" s="1"/>
  <c r="U1124" i="3"/>
  <c r="U1348" i="3"/>
  <c r="V1218" i="3"/>
  <c r="W1218" i="3" s="1"/>
  <c r="V960" i="3"/>
  <c r="AK960" i="3" s="1"/>
  <c r="U1141" i="3"/>
  <c r="U614" i="3"/>
  <c r="U1299" i="3"/>
  <c r="V912" i="3"/>
  <c r="AK912" i="3" s="1"/>
  <c r="V869" i="3"/>
  <c r="AK869" i="3" s="1"/>
  <c r="U706" i="3"/>
  <c r="V972" i="3"/>
  <c r="AK972" i="3" s="1"/>
  <c r="U1232" i="3"/>
  <c r="U1308" i="3"/>
  <c r="V928" i="3"/>
  <c r="AK928" i="3" s="1"/>
  <c r="V1100" i="3"/>
  <c r="AK1100" i="3" s="1"/>
  <c r="V970" i="3"/>
  <c r="AK970" i="3" s="1"/>
  <c r="V1094" i="3"/>
  <c r="AK1094" i="3" s="1"/>
  <c r="V964" i="3"/>
  <c r="AK964" i="3" s="1"/>
  <c r="U974" i="3"/>
  <c r="V1306" i="3"/>
  <c r="U927" i="3"/>
  <c r="U622" i="3"/>
  <c r="D8" i="1"/>
  <c r="D12" i="1"/>
  <c r="U1229" i="3"/>
  <c r="U1386" i="3"/>
  <c r="V918" i="3"/>
  <c r="AK918" i="3" s="1"/>
  <c r="V1046" i="3"/>
  <c r="AK1046" i="3" s="1"/>
  <c r="U1298" i="3"/>
  <c r="V1167" i="3"/>
  <c r="AK1167" i="3" s="1"/>
  <c r="V1308" i="3"/>
  <c r="V617" i="3"/>
  <c r="AK617" i="3" s="1"/>
  <c r="V1184" i="3"/>
  <c r="U1236" i="3"/>
  <c r="V1358" i="3"/>
  <c r="V854" i="3"/>
  <c r="AK854" i="3" s="1"/>
  <c r="V934" i="3"/>
  <c r="AK934" i="3" s="1"/>
  <c r="V802" i="3"/>
  <c r="AK802" i="3" s="1"/>
  <c r="U613" i="3"/>
  <c r="V1062" i="3"/>
  <c r="AK1062" i="3" s="1"/>
  <c r="V1204" i="3"/>
  <c r="U1281" i="3"/>
  <c r="V596" i="3"/>
  <c r="AK596" i="3" s="1"/>
  <c r="V661" i="3"/>
  <c r="AK661" i="3" s="1"/>
  <c r="U1290" i="3"/>
  <c r="U850" i="3"/>
  <c r="V1333" i="3"/>
  <c r="V1408" i="3"/>
  <c r="W1408" i="3" s="1"/>
  <c r="U1282" i="3"/>
  <c r="V1233" i="3"/>
  <c r="U1105" i="3"/>
  <c r="U803" i="3"/>
  <c r="V959" i="3"/>
  <c r="AK959" i="3" s="1"/>
  <c r="U957" i="3"/>
  <c r="U1207" i="3"/>
  <c r="U1292" i="3"/>
  <c r="U1167" i="3"/>
  <c r="U1040" i="3"/>
  <c r="V656" i="3"/>
  <c r="AK656" i="3" s="1"/>
  <c r="V709" i="3"/>
  <c r="AK709" i="3" s="1"/>
  <c r="V957" i="3"/>
  <c r="AK957" i="3" s="1"/>
  <c r="U1083" i="3"/>
  <c r="U955" i="3"/>
  <c r="U1205" i="3"/>
  <c r="U1077" i="3"/>
  <c r="D5" i="1"/>
  <c r="D13" i="1"/>
  <c r="D15" i="1"/>
  <c r="U280" i="3"/>
  <c r="V902" i="3"/>
  <c r="AK902" i="3" s="1"/>
  <c r="V1029" i="3"/>
  <c r="AK1029" i="3" s="1"/>
  <c r="V1351" i="3"/>
  <c r="W1351" i="3" s="1"/>
  <c r="U1221" i="3"/>
  <c r="V1045" i="3"/>
  <c r="AK1045" i="3" s="1"/>
  <c r="V1382" i="3"/>
  <c r="V1316" i="3"/>
  <c r="U1316" i="3"/>
  <c r="V99" i="3"/>
  <c r="AK99" i="3" s="1"/>
  <c r="U1011" i="3"/>
  <c r="U1394" i="3"/>
  <c r="V836" i="3"/>
  <c r="AK836" i="3" s="1"/>
  <c r="V787" i="3"/>
  <c r="AK787" i="3" s="1"/>
  <c r="V725" i="3"/>
  <c r="AK725" i="3" s="1"/>
  <c r="V1329" i="3"/>
  <c r="V944" i="3"/>
  <c r="AK944" i="3" s="1"/>
  <c r="V897" i="3"/>
  <c r="AK897" i="3" s="1"/>
  <c r="U641" i="3"/>
  <c r="V592" i="3"/>
  <c r="AK592" i="3" s="1"/>
  <c r="V777" i="3"/>
  <c r="AK777" i="3" s="1"/>
  <c r="V645" i="3"/>
  <c r="AK645" i="3" s="1"/>
  <c r="U940" i="3"/>
  <c r="V1321" i="3"/>
  <c r="V1190" i="3"/>
  <c r="V933" i="3"/>
  <c r="AK933" i="3" s="1"/>
  <c r="U943" i="3"/>
  <c r="V1359" i="3"/>
  <c r="W1359" i="3" s="1"/>
  <c r="U1266" i="3"/>
  <c r="V1271" i="3"/>
  <c r="U886" i="3"/>
  <c r="V1142" i="3"/>
  <c r="AK1142" i="3" s="1"/>
  <c r="V1014" i="3"/>
  <c r="AK1014" i="3" s="1"/>
  <c r="V1134" i="3"/>
  <c r="AK1134" i="3" s="1"/>
  <c r="U1274" i="3"/>
  <c r="V884" i="3"/>
  <c r="AK884" i="3" s="1"/>
  <c r="V712" i="3"/>
  <c r="AK712" i="3" s="1"/>
  <c r="V950" i="3"/>
  <c r="AK950" i="3" s="1"/>
  <c r="V1030" i="3"/>
  <c r="AK1030" i="3" s="1"/>
  <c r="V646" i="3"/>
  <c r="AK646" i="3" s="1"/>
  <c r="U1344" i="3"/>
  <c r="V978" i="3"/>
  <c r="AK978" i="3" s="1"/>
  <c r="V1168" i="3"/>
  <c r="AK1168" i="3" s="1"/>
  <c r="U1300" i="3"/>
  <c r="V740" i="3"/>
  <c r="AK740" i="3" s="1"/>
  <c r="U612" i="3"/>
  <c r="U708" i="3"/>
  <c r="U1364" i="3"/>
  <c r="V949" i="3"/>
  <c r="AK949" i="3" s="1"/>
  <c r="V1119" i="3"/>
  <c r="AK1119" i="3" s="1"/>
  <c r="U642" i="3"/>
  <c r="U924" i="3"/>
  <c r="U1305" i="3"/>
  <c r="U1134" i="3"/>
  <c r="U1008" i="3"/>
  <c r="U756" i="3"/>
  <c r="V924" i="3"/>
  <c r="AK924" i="3" s="1"/>
  <c r="V1310" i="3"/>
  <c r="W1310" i="3" s="1"/>
  <c r="V1044" i="3"/>
  <c r="AK1044" i="3" s="1"/>
  <c r="U916" i="3"/>
  <c r="V927" i="3"/>
  <c r="AK927" i="3" s="1"/>
  <c r="U1132" i="3"/>
  <c r="U1258" i="3"/>
  <c r="U1332" i="3"/>
  <c r="U1206" i="3"/>
  <c r="V350" i="3"/>
  <c r="AK350" i="3" s="1"/>
  <c r="V1182" i="3"/>
  <c r="V758" i="3"/>
  <c r="AK758" i="3" s="1"/>
  <c r="V632" i="3"/>
  <c r="AK632" i="3" s="1"/>
  <c r="U1295" i="3"/>
  <c r="V916" i="3"/>
  <c r="AK916" i="3" s="1"/>
  <c r="V1159" i="3"/>
  <c r="AK1159" i="3" s="1"/>
  <c r="U1235" i="3"/>
  <c r="U1107" i="3"/>
  <c r="V724" i="3"/>
  <c r="AK724" i="3" s="1"/>
  <c r="V976" i="3"/>
  <c r="AK976" i="3" s="1"/>
  <c r="U1104" i="3"/>
  <c r="V845" i="3"/>
  <c r="AK845" i="3" s="1"/>
  <c r="V1311" i="3"/>
  <c r="V674" i="3"/>
  <c r="AK674" i="3" s="1"/>
  <c r="V1037" i="3"/>
  <c r="AK1037" i="3" s="1"/>
  <c r="V910" i="3"/>
  <c r="AK910" i="3" s="1"/>
  <c r="U1166" i="3"/>
  <c r="U1289" i="3"/>
  <c r="U1158" i="3"/>
  <c r="U1245" i="3"/>
  <c r="V992" i="3"/>
  <c r="AK992" i="3" s="1"/>
  <c r="V736" i="3"/>
  <c r="AK736" i="3" s="1"/>
  <c r="V608" i="3"/>
  <c r="AK608" i="3" s="1"/>
  <c r="U817" i="3"/>
  <c r="U692" i="3"/>
  <c r="V1294" i="3"/>
  <c r="U1164" i="3"/>
  <c r="U1156" i="3"/>
  <c r="U900" i="3"/>
  <c r="V1034" i="3"/>
  <c r="AK1034" i="3" s="1"/>
  <c r="V1116" i="3"/>
  <c r="AK1116" i="3" s="1"/>
  <c r="U991" i="3"/>
  <c r="V734" i="3"/>
  <c r="AK734" i="3" s="1"/>
  <c r="U690" i="3"/>
  <c r="V986" i="3"/>
  <c r="AK986" i="3" s="1"/>
  <c r="V1101" i="3"/>
  <c r="AK1101" i="3" s="1"/>
  <c r="V975" i="3"/>
  <c r="AK975" i="3" s="1"/>
  <c r="V718" i="3"/>
  <c r="AK718" i="3" s="1"/>
  <c r="U589" i="3"/>
  <c r="V625" i="3"/>
  <c r="AK625" i="3" s="1"/>
  <c r="U773" i="3"/>
  <c r="U836" i="3"/>
  <c r="U1155" i="3"/>
  <c r="V1092" i="3"/>
  <c r="AK1092" i="3" s="1"/>
  <c r="V962" i="3"/>
  <c r="AK962" i="3" s="1"/>
  <c r="V835" i="3"/>
  <c r="AK835" i="3" s="1"/>
  <c r="U972" i="3"/>
  <c r="V1228" i="3"/>
  <c r="U841" i="3"/>
  <c r="U925" i="3"/>
  <c r="U1284" i="3"/>
  <c r="V1069" i="3"/>
  <c r="AK1069" i="3" s="1"/>
  <c r="U784" i="3"/>
  <c r="U1192" i="3"/>
  <c r="V1057" i="3"/>
  <c r="AK1057" i="3" s="1"/>
  <c r="V929" i="3"/>
  <c r="AK929" i="3" s="1"/>
  <c r="U1067" i="3"/>
  <c r="U939" i="3"/>
  <c r="V1193" i="3"/>
  <c r="U935" i="3"/>
  <c r="U892" i="3"/>
  <c r="V771" i="3"/>
  <c r="AK771" i="3" s="1"/>
  <c r="U716" i="3"/>
  <c r="V588" i="3"/>
  <c r="AK588" i="3" s="1"/>
  <c r="V669" i="3"/>
  <c r="AK669" i="3" s="1"/>
  <c r="U816" i="3"/>
  <c r="U210" i="3"/>
  <c r="V371" i="3"/>
  <c r="AK371" i="3" s="1"/>
  <c r="U244" i="3"/>
  <c r="U486" i="3"/>
  <c r="V545" i="3"/>
  <c r="AK545" i="3" s="1"/>
  <c r="U666" i="3"/>
  <c r="U767" i="3"/>
  <c r="U721" i="3"/>
  <c r="U549" i="3"/>
  <c r="V308" i="3"/>
  <c r="AK308" i="3" s="1"/>
  <c r="V56" i="3"/>
  <c r="AK56" i="3" s="1"/>
  <c r="U218" i="3"/>
  <c r="V93" i="3"/>
  <c r="AK93" i="3" s="1"/>
  <c r="U760" i="3"/>
  <c r="U779" i="3"/>
  <c r="V651" i="3"/>
  <c r="AK651" i="3" s="1"/>
  <c r="V813" i="3"/>
  <c r="AK813" i="3" s="1"/>
  <c r="U687" i="3"/>
  <c r="V542" i="3"/>
  <c r="AK542" i="3" s="1"/>
  <c r="U288" i="3"/>
  <c r="V160" i="3"/>
  <c r="AK160" i="3" s="1"/>
  <c r="V32" i="3"/>
  <c r="AK32" i="3" s="1"/>
  <c r="U528" i="3"/>
  <c r="V22" i="3"/>
  <c r="AK22" i="3" s="1"/>
  <c r="U710" i="3"/>
  <c r="U791" i="3"/>
  <c r="U349" i="3"/>
  <c r="V729" i="3"/>
  <c r="AK729" i="3" s="1"/>
  <c r="U810" i="3"/>
  <c r="U636" i="3"/>
  <c r="V204" i="3"/>
  <c r="AK204" i="3" s="1"/>
  <c r="V74" i="3"/>
  <c r="AK74" i="3" s="1"/>
  <c r="V352" i="3"/>
  <c r="AK352" i="3" s="1"/>
  <c r="U154" i="3"/>
  <c r="U715" i="3"/>
  <c r="V587" i="3"/>
  <c r="AK587" i="3" s="1"/>
  <c r="V25" i="3"/>
  <c r="AK25" i="3" s="1"/>
  <c r="U61" i="3"/>
  <c r="U114" i="3"/>
  <c r="V431" i="3"/>
  <c r="AK431" i="3" s="1"/>
  <c r="V359" i="3"/>
  <c r="AK359" i="3" s="1"/>
  <c r="V231" i="3"/>
  <c r="AK231" i="3" s="1"/>
  <c r="U101" i="3"/>
  <c r="U697" i="3"/>
  <c r="V552" i="3"/>
  <c r="AK552" i="3" s="1"/>
  <c r="U298" i="3"/>
  <c r="V356" i="3"/>
  <c r="AK356" i="3" s="1"/>
  <c r="U538" i="3"/>
  <c r="U412" i="3"/>
  <c r="V161" i="3"/>
  <c r="AK161" i="3" s="1"/>
  <c r="U32" i="3"/>
  <c r="U341" i="3"/>
  <c r="V214" i="3"/>
  <c r="AK214" i="3" s="1"/>
  <c r="V84" i="3"/>
  <c r="AK84" i="3" s="1"/>
  <c r="V481" i="3"/>
  <c r="AK481" i="3" s="1"/>
  <c r="U720" i="3"/>
  <c r="V800" i="3"/>
  <c r="AK800" i="3" s="1"/>
  <c r="V739" i="3"/>
  <c r="AK739" i="3" s="1"/>
  <c r="U820" i="3"/>
  <c r="V558" i="3"/>
  <c r="AK558" i="3" s="1"/>
  <c r="V774" i="3"/>
  <c r="AK774" i="3" s="1"/>
  <c r="U647" i="3"/>
  <c r="U267" i="3"/>
  <c r="V473" i="3"/>
  <c r="AK473" i="3" s="1"/>
  <c r="U560" i="3"/>
  <c r="V435" i="3"/>
  <c r="AK435" i="3" s="1"/>
  <c r="U112" i="3"/>
  <c r="U291" i="3"/>
  <c r="U163" i="3"/>
  <c r="V397" i="3"/>
  <c r="AK397" i="3" s="1"/>
  <c r="U670" i="3"/>
  <c r="V689" i="3"/>
  <c r="AK689" i="3" s="1"/>
  <c r="V543" i="3"/>
  <c r="AK543" i="3" s="1"/>
  <c r="U725" i="3"/>
  <c r="V423" i="3"/>
  <c r="AK423" i="3" s="1"/>
  <c r="V162" i="3"/>
  <c r="AK162" i="3" s="1"/>
  <c r="U35" i="3"/>
  <c r="U199" i="3"/>
  <c r="V511" i="3"/>
  <c r="AK511" i="3" s="1"/>
  <c r="V255" i="3"/>
  <c r="AK255" i="3" s="1"/>
  <c r="V565" i="3"/>
  <c r="AK565" i="3" s="1"/>
  <c r="U312" i="3"/>
  <c r="U189" i="3"/>
  <c r="U499" i="3"/>
  <c r="U476" i="3"/>
  <c r="U350" i="3"/>
  <c r="V252" i="3"/>
  <c r="AK252" i="3" s="1"/>
  <c r="V1198" i="3"/>
  <c r="V1205" i="3"/>
  <c r="U1030" i="3"/>
  <c r="U1400" i="3"/>
  <c r="V863" i="3"/>
  <c r="AK863" i="3" s="1"/>
  <c r="U1263" i="3"/>
  <c r="V1362" i="3"/>
  <c r="W1362" i="3" s="1"/>
  <c r="V906" i="3"/>
  <c r="AK906" i="3" s="1"/>
  <c r="U1116" i="3"/>
  <c r="U913" i="3"/>
  <c r="U1045" i="3"/>
  <c r="V1407" i="3"/>
  <c r="U1261" i="3"/>
  <c r="V1413" i="3"/>
  <c r="W1413" i="3" s="1"/>
  <c r="U1375" i="3"/>
  <c r="V1073" i="3"/>
  <c r="AK1073" i="3" s="1"/>
  <c r="U1424" i="3"/>
  <c r="U1051" i="3"/>
  <c r="V1172" i="3"/>
  <c r="V1389" i="3"/>
  <c r="U1247" i="3"/>
  <c r="V996" i="3"/>
  <c r="AK996" i="3" s="1"/>
  <c r="V1255" i="3"/>
  <c r="V961" i="3"/>
  <c r="AK961" i="3" s="1"/>
  <c r="U1177" i="3"/>
  <c r="V1430" i="3"/>
  <c r="V1241" i="3"/>
  <c r="V1226" i="3"/>
  <c r="V859" i="3"/>
  <c r="AK859" i="3" s="1"/>
  <c r="V900" i="3"/>
  <c r="AK900" i="3" s="1"/>
  <c r="V1141" i="3"/>
  <c r="AK1141" i="3" s="1"/>
  <c r="U1448" i="3"/>
  <c r="U774" i="3"/>
  <c r="V1465" i="3"/>
  <c r="V1268" i="3"/>
  <c r="V945" i="3"/>
  <c r="AK945" i="3" s="1"/>
  <c r="U1086" i="3"/>
  <c r="U958" i="3"/>
  <c r="V702" i="3"/>
  <c r="AK702" i="3" s="1"/>
  <c r="V572" i="3"/>
  <c r="AK572" i="3" s="1"/>
  <c r="V1434" i="3"/>
  <c r="U1139" i="3"/>
  <c r="V1081" i="3"/>
  <c r="AK1081" i="3" s="1"/>
  <c r="V1340" i="3"/>
  <c r="U953" i="3"/>
  <c r="V822" i="3"/>
  <c r="AK822" i="3" s="1"/>
  <c r="V1334" i="3"/>
  <c r="U1075" i="3"/>
  <c r="U947" i="3"/>
  <c r="V1086" i="3"/>
  <c r="AK1086" i="3" s="1"/>
  <c r="V956" i="3"/>
  <c r="AK956" i="3" s="1"/>
  <c r="V1343" i="3"/>
  <c r="U825" i="3"/>
  <c r="U1163" i="3"/>
  <c r="V693" i="3"/>
  <c r="AK693" i="3" s="1"/>
  <c r="V1442" i="3"/>
  <c r="W1442" i="3" s="1"/>
  <c r="U1170" i="3"/>
  <c r="U1390" i="3"/>
  <c r="V1001" i="3"/>
  <c r="AK1001" i="3" s="1"/>
  <c r="U1174" i="3"/>
  <c r="V1048" i="3"/>
  <c r="AK1048" i="3" s="1"/>
  <c r="U912" i="3"/>
  <c r="V923" i="3"/>
  <c r="AK923" i="3" s="1"/>
  <c r="V1178" i="3"/>
  <c r="U1046" i="3"/>
  <c r="V919" i="3"/>
  <c r="AK919" i="3" s="1"/>
  <c r="U877" i="3"/>
  <c r="V746" i="3"/>
  <c r="AK746" i="3" s="1"/>
  <c r="V620" i="3"/>
  <c r="AK620" i="3" s="1"/>
  <c r="V24" i="3"/>
  <c r="AK24" i="3" s="1"/>
  <c r="U738" i="3"/>
  <c r="U551" i="3"/>
  <c r="U700" i="3"/>
  <c r="V653" i="3"/>
  <c r="AK653" i="3" s="1"/>
  <c r="U227" i="3"/>
  <c r="V470" i="3"/>
  <c r="AK470" i="3" s="1"/>
  <c r="V529" i="3"/>
  <c r="AK529" i="3" s="1"/>
  <c r="U126" i="3"/>
  <c r="V409" i="3"/>
  <c r="AK409" i="3" s="1"/>
  <c r="U283" i="3"/>
  <c r="U650" i="3"/>
  <c r="V796" i="3"/>
  <c r="AK796" i="3" s="1"/>
  <c r="U705" i="3"/>
  <c r="V577" i="3"/>
  <c r="AK577" i="3" s="1"/>
  <c r="V103" i="3"/>
  <c r="AK103" i="3" s="1"/>
  <c r="U546" i="3"/>
  <c r="U293" i="3"/>
  <c r="V41" i="3"/>
  <c r="AK41" i="3" s="1"/>
  <c r="U489" i="3"/>
  <c r="U744" i="3"/>
  <c r="V615" i="3"/>
  <c r="AK615" i="3" s="1"/>
  <c r="V824" i="3"/>
  <c r="AK824" i="3" s="1"/>
  <c r="V633" i="3"/>
  <c r="AK633" i="3" s="1"/>
  <c r="U798" i="3"/>
  <c r="U671" i="3"/>
  <c r="V107" i="3"/>
  <c r="AK107" i="3" s="1"/>
  <c r="V526" i="3"/>
  <c r="AK526" i="3" s="1"/>
  <c r="U144" i="3"/>
  <c r="U261" i="3"/>
  <c r="U134" i="3"/>
  <c r="U185" i="3"/>
  <c r="U43" i="3"/>
  <c r="U454" i="3"/>
  <c r="U694" i="3"/>
  <c r="U556" i="3"/>
  <c r="V713" i="3"/>
  <c r="AK713" i="3" s="1"/>
  <c r="U586" i="3"/>
  <c r="U749" i="3"/>
  <c r="U623" i="3"/>
  <c r="V59" i="3"/>
  <c r="AK59" i="3" s="1"/>
  <c r="U96" i="3"/>
  <c r="U465" i="3"/>
  <c r="V335" i="3"/>
  <c r="AK335" i="3" s="1"/>
  <c r="V264" i="3"/>
  <c r="AK264" i="3" s="1"/>
  <c r="U9" i="3"/>
  <c r="V277" i="3"/>
  <c r="AK277" i="3" s="1"/>
  <c r="U150" i="3"/>
  <c r="V21" i="3"/>
  <c r="AK21" i="3" s="1"/>
  <c r="U699" i="3"/>
  <c r="V8" i="3"/>
  <c r="AK8" i="3" s="1"/>
  <c r="U44" i="3"/>
  <c r="U98" i="3"/>
  <c r="U540" i="3"/>
  <c r="V415" i="3"/>
  <c r="AK415" i="3" s="1"/>
  <c r="V342" i="3"/>
  <c r="AK342" i="3" s="1"/>
  <c r="V216" i="3"/>
  <c r="AK216" i="3" s="1"/>
  <c r="V483" i="3"/>
  <c r="AK483" i="3" s="1"/>
  <c r="U681" i="3"/>
  <c r="U248" i="3"/>
  <c r="U153" i="3"/>
  <c r="U522" i="3"/>
  <c r="U396" i="3"/>
  <c r="V270" i="3"/>
  <c r="AK270" i="3" s="1"/>
  <c r="V143" i="3"/>
  <c r="AK143" i="3" s="1"/>
  <c r="V454" i="3"/>
  <c r="AK454" i="3" s="1"/>
  <c r="V325" i="3"/>
  <c r="AK325" i="3" s="1"/>
  <c r="U196" i="3"/>
  <c r="V69" i="3"/>
  <c r="AK69" i="3" s="1"/>
  <c r="V464" i="3"/>
  <c r="AK464" i="3" s="1"/>
  <c r="V210" i="3"/>
  <c r="AK210" i="3" s="1"/>
  <c r="U704" i="3"/>
  <c r="V723" i="3"/>
  <c r="AK723" i="3" s="1"/>
  <c r="U804" i="3"/>
  <c r="U759" i="3"/>
  <c r="V631" i="3"/>
  <c r="AK631" i="3" s="1"/>
  <c r="U457" i="3"/>
  <c r="V486" i="3"/>
  <c r="AK486" i="3" s="1"/>
  <c r="V360" i="3"/>
  <c r="AK360" i="3" s="1"/>
  <c r="V232" i="3"/>
  <c r="AK232" i="3" s="1"/>
  <c r="V544" i="3"/>
  <c r="AK544" i="3" s="1"/>
  <c r="U290" i="3"/>
  <c r="U162" i="3"/>
  <c r="V474" i="3"/>
  <c r="AK474" i="3" s="1"/>
  <c r="V95" i="3"/>
  <c r="AK95" i="3" s="1"/>
  <c r="V148" i="3"/>
  <c r="AK148" i="3" s="1"/>
  <c r="V381" i="3"/>
  <c r="AK381" i="3" s="1"/>
  <c r="U130" i="3"/>
  <c r="U654" i="3"/>
  <c r="U305" i="3"/>
  <c r="V673" i="3"/>
  <c r="AK673" i="3" s="1"/>
  <c r="U462" i="3"/>
  <c r="V90" i="3"/>
  <c r="AK90" i="3" s="1"/>
  <c r="U709" i="3"/>
  <c r="U537" i="3"/>
  <c r="V407" i="3"/>
  <c r="AK407" i="3" s="1"/>
  <c r="V55" i="3"/>
  <c r="AK55" i="3" s="1"/>
  <c r="U496" i="3"/>
  <c r="V369" i="3"/>
  <c r="AK369" i="3" s="1"/>
  <c r="U238" i="3"/>
  <c r="U107" i="3"/>
  <c r="U550" i="3"/>
  <c r="V174" i="3"/>
  <c r="AK174" i="3" s="1"/>
  <c r="U482" i="3"/>
  <c r="U226" i="3"/>
  <c r="V461" i="3"/>
  <c r="AK461" i="3" s="1"/>
  <c r="U335" i="3"/>
  <c r="V80" i="3"/>
  <c r="AK80" i="3" s="1"/>
  <c r="U493" i="3"/>
  <c r="U237" i="3"/>
  <c r="V109" i="3"/>
  <c r="AK109" i="3" s="1"/>
  <c r="V1243" i="3"/>
  <c r="W1243" i="3" s="1"/>
  <c r="U1388" i="3"/>
  <c r="V967" i="3"/>
  <c r="AK967" i="3" s="1"/>
  <c r="V1380" i="3"/>
  <c r="W1380" i="3" s="1"/>
  <c r="U1091" i="3"/>
  <c r="V1435" i="3"/>
  <c r="V855" i="3"/>
  <c r="AK855" i="3" s="1"/>
  <c r="U782" i="3"/>
  <c r="U1283" i="3"/>
  <c r="V968" i="3"/>
  <c r="AK968" i="3" s="1"/>
  <c r="V1357" i="3"/>
  <c r="U1253" i="3"/>
  <c r="V1384" i="3"/>
  <c r="V1005" i="3"/>
  <c r="AK1005" i="3" s="1"/>
  <c r="V1395" i="3"/>
  <c r="U983" i="3"/>
  <c r="U1326" i="3"/>
  <c r="V926" i="3"/>
  <c r="AK926" i="3" s="1"/>
  <c r="U1340" i="3"/>
  <c r="V1060" i="3"/>
  <c r="AK1060" i="3" s="1"/>
  <c r="V1455" i="3"/>
  <c r="V806" i="3"/>
  <c r="AK806" i="3" s="1"/>
  <c r="V1416" i="3"/>
  <c r="V1221" i="3"/>
  <c r="U844" i="3"/>
  <c r="V988" i="3"/>
  <c r="AK988" i="3" s="1"/>
  <c r="U893" i="3"/>
  <c r="U1430" i="3"/>
  <c r="V1464" i="3"/>
  <c r="W1464" i="3" s="1"/>
  <c r="V1282" i="3"/>
  <c r="W1282" i="3" s="1"/>
  <c r="U1451" i="3"/>
  <c r="U1342" i="3"/>
  <c r="V1154" i="3"/>
  <c r="AK1154" i="3" s="1"/>
  <c r="U1392" i="3"/>
  <c r="V1195" i="3"/>
  <c r="V1433" i="3"/>
  <c r="W1433" i="3" s="1"/>
  <c r="U1341" i="3"/>
  <c r="V882" i="3"/>
  <c r="AK882" i="3" s="1"/>
  <c r="U1307" i="3"/>
  <c r="U1015" i="3"/>
  <c r="V1392" i="3"/>
  <c r="U1324" i="3"/>
  <c r="V1319" i="3"/>
  <c r="V1188" i="3"/>
  <c r="V1059" i="3"/>
  <c r="AK1059" i="3" s="1"/>
  <c r="V931" i="3"/>
  <c r="AK931" i="3" s="1"/>
  <c r="U1069" i="3"/>
  <c r="U941" i="3"/>
  <c r="V1326" i="3"/>
  <c r="V936" i="3"/>
  <c r="AK936" i="3" s="1"/>
  <c r="U770" i="3"/>
  <c r="V637" i="3"/>
  <c r="AK637" i="3" s="1"/>
  <c r="V773" i="3"/>
  <c r="AK773" i="3" s="1"/>
  <c r="U630" i="3"/>
  <c r="U1314" i="3"/>
  <c r="V893" i="3"/>
  <c r="AK893" i="3" s="1"/>
  <c r="U1353" i="3"/>
  <c r="V1158" i="3"/>
  <c r="AK1158" i="3" s="1"/>
  <c r="V904" i="3"/>
  <c r="AK904" i="3" s="1"/>
  <c r="V1025" i="3"/>
  <c r="AK1025" i="3" s="1"/>
  <c r="V1165" i="3"/>
  <c r="AK1165" i="3" s="1"/>
  <c r="V203" i="3"/>
  <c r="AK203" i="3" s="1"/>
  <c r="U1294" i="3"/>
  <c r="V1161" i="3"/>
  <c r="AK1161" i="3" s="1"/>
  <c r="U1031" i="3"/>
  <c r="V903" i="3"/>
  <c r="AK903" i="3" s="1"/>
  <c r="V1240" i="3"/>
  <c r="U987" i="3"/>
  <c r="U860" i="3"/>
  <c r="V730" i="3"/>
  <c r="AK730" i="3" s="1"/>
  <c r="V602" i="3"/>
  <c r="AK602" i="3" s="1"/>
  <c r="U811" i="3"/>
  <c r="U674" i="3"/>
  <c r="U684" i="3"/>
  <c r="V765" i="3"/>
  <c r="AK765" i="3" s="1"/>
  <c r="V11" i="3"/>
  <c r="AK11" i="3" s="1"/>
  <c r="V201" i="3"/>
  <c r="AK201" i="3" s="1"/>
  <c r="U781" i="3"/>
  <c r="U689" i="3"/>
  <c r="U530" i="3"/>
  <c r="U278" i="3"/>
  <c r="V152" i="3"/>
  <c r="AK152" i="3" s="1"/>
  <c r="U333" i="3"/>
  <c r="V188" i="3"/>
  <c r="AK188" i="3" s="1"/>
  <c r="U728" i="3"/>
  <c r="U600" i="3"/>
  <c r="V808" i="3"/>
  <c r="AK808" i="3" s="1"/>
  <c r="V747" i="3"/>
  <c r="AK747" i="3" s="1"/>
  <c r="V782" i="3"/>
  <c r="AK782" i="3" s="1"/>
  <c r="U655" i="3"/>
  <c r="V245" i="3"/>
  <c r="AK245" i="3" s="1"/>
  <c r="U119" i="3"/>
  <c r="V170" i="3"/>
  <c r="AK170" i="3" s="1"/>
  <c r="U438" i="3"/>
  <c r="U678" i="3"/>
  <c r="U632" i="3"/>
  <c r="V697" i="3"/>
  <c r="AK697" i="3" s="1"/>
  <c r="U733" i="3"/>
  <c r="U605" i="3"/>
  <c r="V562" i="3"/>
  <c r="AK562" i="3" s="1"/>
  <c r="V42" i="3"/>
  <c r="AK42" i="3" s="1"/>
  <c r="V462" i="3"/>
  <c r="AK462" i="3" s="1"/>
  <c r="U206" i="3"/>
  <c r="U78" i="3"/>
  <c r="V518" i="3"/>
  <c r="AK518" i="3" s="1"/>
  <c r="U449" i="3"/>
  <c r="U249" i="3"/>
  <c r="U106" i="3"/>
  <c r="U683" i="3"/>
  <c r="V525" i="3"/>
  <c r="AK525" i="3" s="1"/>
  <c r="V284" i="3"/>
  <c r="AK284" i="3" s="1"/>
  <c r="V83" i="3"/>
  <c r="AK83" i="3" s="1"/>
  <c r="U524" i="3"/>
  <c r="V399" i="3"/>
  <c r="AK399" i="3" s="1"/>
  <c r="V272" i="3"/>
  <c r="AK272" i="3" s="1"/>
  <c r="U145" i="3"/>
  <c r="U198" i="3"/>
  <c r="V71" i="3"/>
  <c r="AK71" i="3" s="1"/>
  <c r="V212" i="3"/>
  <c r="AK212" i="3" s="1"/>
  <c r="U665" i="3"/>
  <c r="V362" i="3"/>
  <c r="AK362" i="3" s="1"/>
  <c r="U102" i="3"/>
  <c r="V520" i="3"/>
  <c r="AK520" i="3" s="1"/>
  <c r="V267" i="3"/>
  <c r="AK267" i="3" s="1"/>
  <c r="V138" i="3"/>
  <c r="AK138" i="3" s="1"/>
  <c r="U10" i="3"/>
  <c r="V322" i="3"/>
  <c r="AK322" i="3" s="1"/>
  <c r="U193" i="3"/>
  <c r="V64" i="3"/>
  <c r="AK64" i="3" s="1"/>
  <c r="U507" i="3"/>
  <c r="U380" i="3"/>
  <c r="U255" i="3"/>
  <c r="V128" i="3"/>
  <c r="AK128" i="3" s="1"/>
  <c r="V438" i="3"/>
  <c r="AK438" i="3" s="1"/>
  <c r="U310" i="3"/>
  <c r="V179" i="3"/>
  <c r="AK179" i="3" s="1"/>
  <c r="V52" i="3"/>
  <c r="AK52" i="3" s="1"/>
  <c r="U415" i="3"/>
  <c r="V448" i="3"/>
  <c r="AK448" i="3" s="1"/>
  <c r="U688" i="3"/>
  <c r="V769" i="3"/>
  <c r="AK769" i="3" s="1"/>
  <c r="U182" i="3"/>
  <c r="V707" i="3"/>
  <c r="AK707" i="3" s="1"/>
  <c r="V788" i="3"/>
  <c r="AK788" i="3" s="1"/>
  <c r="U743" i="3"/>
  <c r="U441" i="3"/>
  <c r="V345" i="3"/>
  <c r="AK345" i="3" s="1"/>
  <c r="V215" i="3"/>
  <c r="AK215" i="3" s="1"/>
  <c r="V528" i="3"/>
  <c r="AK528" i="3" s="1"/>
  <c r="U273" i="3"/>
  <c r="V145" i="3"/>
  <c r="AK145" i="3" s="1"/>
  <c r="V15" i="3"/>
  <c r="AK15" i="3" s="1"/>
  <c r="U458" i="3"/>
  <c r="V329" i="3"/>
  <c r="AK329" i="3" s="1"/>
  <c r="V205" i="3"/>
  <c r="AK205" i="3" s="1"/>
  <c r="U495" i="3"/>
  <c r="V366" i="3"/>
  <c r="AK366" i="3" s="1"/>
  <c r="U115" i="3"/>
  <c r="V144" i="3"/>
  <c r="AK144" i="3" s="1"/>
  <c r="V14" i="3"/>
  <c r="AK14" i="3" s="1"/>
  <c r="U639" i="3"/>
  <c r="U169" i="3"/>
  <c r="U592" i="3"/>
  <c r="U785" i="3"/>
  <c r="V657" i="3"/>
  <c r="AK657" i="3" s="1"/>
  <c r="U611" i="3"/>
  <c r="U693" i="3"/>
  <c r="U521" i="3"/>
  <c r="V391" i="3"/>
  <c r="AK391" i="3" s="1"/>
  <c r="U260" i="3"/>
  <c r="V131" i="3"/>
  <c r="AK131" i="3" s="1"/>
  <c r="U294" i="3"/>
  <c r="U166" i="3"/>
  <c r="V38" i="3"/>
  <c r="AK38" i="3" s="1"/>
  <c r="V480" i="3"/>
  <c r="AK480" i="3" s="1"/>
  <c r="U351" i="3"/>
  <c r="U534" i="3"/>
  <c r="V408" i="3"/>
  <c r="AK408" i="3" s="1"/>
  <c r="U282" i="3"/>
  <c r="U156" i="3"/>
  <c r="U209" i="3"/>
  <c r="U81" i="3"/>
  <c r="V445" i="3"/>
  <c r="AK445" i="3" s="1"/>
  <c r="V319" i="3"/>
  <c r="AK319" i="3" s="1"/>
  <c r="U346" i="3"/>
  <c r="U1453" i="3"/>
  <c r="V764" i="3"/>
  <c r="AK764" i="3" s="1"/>
  <c r="V1050" i="3"/>
  <c r="AK1050" i="3" s="1"/>
  <c r="V1028" i="3"/>
  <c r="AK1028" i="3" s="1"/>
  <c r="U899" i="3"/>
  <c r="V1437" i="3"/>
  <c r="U1114" i="3"/>
  <c r="U934" i="3"/>
  <c r="V1446" i="3"/>
  <c r="U928" i="3"/>
  <c r="V1360" i="3"/>
  <c r="U905" i="3"/>
  <c r="U838" i="3"/>
  <c r="V1043" i="3"/>
  <c r="AK1043" i="3" s="1"/>
  <c r="U915" i="3"/>
  <c r="V1441" i="3"/>
  <c r="V1242" i="3"/>
  <c r="V1462" i="3"/>
  <c r="V1236" i="3"/>
  <c r="V1186" i="3"/>
  <c r="W1186" i="3" s="1"/>
  <c r="U1172" i="3"/>
  <c r="U1126" i="3"/>
  <c r="V1277" i="3"/>
  <c r="W1277" i="3" s="1"/>
  <c r="U930" i="3"/>
  <c r="V1083" i="3"/>
  <c r="AK1083" i="3" s="1"/>
  <c r="V1454" i="3"/>
  <c r="V1335" i="3"/>
  <c r="W1335" i="3" s="1"/>
  <c r="U1302" i="3"/>
  <c r="V1007" i="3"/>
  <c r="AK1007" i="3" s="1"/>
  <c r="U1149" i="3"/>
  <c r="V1063" i="3"/>
  <c r="AK1063" i="3" s="1"/>
  <c r="V1234" i="3"/>
  <c r="V974" i="3"/>
  <c r="AK974" i="3" s="1"/>
  <c r="U944" i="3"/>
  <c r="V1365" i="3"/>
  <c r="W1365" i="3" s="1"/>
  <c r="V1075" i="3"/>
  <c r="AK1075" i="3" s="1"/>
  <c r="U1417" i="3"/>
  <c r="U1175" i="3"/>
  <c r="V963" i="3"/>
  <c r="AK963" i="3" s="1"/>
  <c r="U1009" i="3"/>
  <c r="V922" i="3"/>
  <c r="AK922" i="3" s="1"/>
  <c r="U1309" i="3"/>
  <c r="V1171" i="3"/>
  <c r="V1042" i="3"/>
  <c r="AK1042" i="3" s="1"/>
  <c r="U914" i="3"/>
  <c r="V1053" i="3"/>
  <c r="AK1053" i="3" s="1"/>
  <c r="V925" i="3"/>
  <c r="AK925" i="3" s="1"/>
  <c r="U1312" i="3"/>
  <c r="V1049" i="3"/>
  <c r="AK1049" i="3" s="1"/>
  <c r="U879" i="3"/>
  <c r="V748" i="3"/>
  <c r="AK748" i="3" s="1"/>
  <c r="U740" i="3"/>
  <c r="U1041" i="3"/>
  <c r="U1313" i="3"/>
  <c r="V1273" i="3"/>
  <c r="V885" i="3"/>
  <c r="AK885" i="3" s="1"/>
  <c r="V1396" i="3"/>
  <c r="U1148" i="3"/>
  <c r="V1401" i="3"/>
  <c r="U1144" i="3"/>
  <c r="U1014" i="3"/>
  <c r="V886" i="3"/>
  <c r="AK886" i="3" s="1"/>
  <c r="V1350" i="3"/>
  <c r="V1097" i="3"/>
  <c r="AK1097" i="3" s="1"/>
  <c r="V971" i="3"/>
  <c r="AK971" i="3" s="1"/>
  <c r="V844" i="3"/>
  <c r="AK844" i="3" s="1"/>
  <c r="V714" i="3"/>
  <c r="AK714" i="3" s="1"/>
  <c r="U585" i="3"/>
  <c r="U610" i="3"/>
  <c r="V757" i="3"/>
  <c r="AK757" i="3" s="1"/>
  <c r="U668" i="3"/>
  <c r="U187" i="3"/>
  <c r="U108" i="3"/>
  <c r="U617" i="3"/>
  <c r="V636" i="3"/>
  <c r="AK636" i="3" s="1"/>
  <c r="V591" i="3"/>
  <c r="AK591" i="3" s="1"/>
  <c r="U673" i="3"/>
  <c r="U275" i="3"/>
  <c r="V17" i="3"/>
  <c r="AK17" i="3" s="1"/>
  <c r="V514" i="3"/>
  <c r="AK514" i="3" s="1"/>
  <c r="U712" i="3"/>
  <c r="V584" i="3"/>
  <c r="AK584" i="3" s="1"/>
  <c r="U793" i="3"/>
  <c r="V363" i="3"/>
  <c r="AK363" i="3" s="1"/>
  <c r="V731" i="3"/>
  <c r="AK731" i="3" s="1"/>
  <c r="V603" i="3"/>
  <c r="AK603" i="3" s="1"/>
  <c r="U812" i="3"/>
  <c r="U240" i="3"/>
  <c r="U103" i="3"/>
  <c r="U264" i="3"/>
  <c r="V10" i="3"/>
  <c r="AK10" i="3" s="1"/>
  <c r="U170" i="3"/>
  <c r="V40" i="3"/>
  <c r="AK40" i="3" s="1"/>
  <c r="U662" i="3"/>
  <c r="V681" i="3"/>
  <c r="AK681" i="3" s="1"/>
  <c r="U763" i="3"/>
  <c r="U717" i="3"/>
  <c r="V589" i="3"/>
  <c r="AK589" i="3" s="1"/>
  <c r="U155" i="3"/>
  <c r="V27" i="3"/>
  <c r="AK27" i="3" s="1"/>
  <c r="U63" i="3"/>
  <c r="U433" i="3"/>
  <c r="V233" i="3"/>
  <c r="AK233" i="3" s="1"/>
  <c r="V102" i="3"/>
  <c r="AK102" i="3" s="1"/>
  <c r="U794" i="3"/>
  <c r="U667" i="3"/>
  <c r="U104" i="3"/>
  <c r="V269" i="3"/>
  <c r="AK269" i="3" s="1"/>
  <c r="U12" i="3"/>
  <c r="V66" i="3"/>
  <c r="AK66" i="3" s="1"/>
  <c r="U509" i="3"/>
  <c r="V383" i="3"/>
  <c r="AK383" i="3" s="1"/>
  <c r="U257" i="3"/>
  <c r="V130" i="3"/>
  <c r="AK130" i="3" s="1"/>
  <c r="V181" i="3"/>
  <c r="AK181" i="3" s="1"/>
  <c r="U649" i="3"/>
  <c r="V475" i="3"/>
  <c r="AK475" i="3" s="1"/>
  <c r="V347" i="3"/>
  <c r="AK347" i="3" s="1"/>
  <c r="U250" i="3"/>
  <c r="V123" i="3"/>
  <c r="AK123" i="3" s="1"/>
  <c r="U562" i="3"/>
  <c r="U307" i="3"/>
  <c r="V178" i="3"/>
  <c r="AK178" i="3" s="1"/>
  <c r="V365" i="3"/>
  <c r="AK365" i="3" s="1"/>
  <c r="V239" i="3"/>
  <c r="AK239" i="3" s="1"/>
  <c r="V422" i="3"/>
  <c r="AK422" i="3" s="1"/>
  <c r="U165" i="3"/>
  <c r="U399" i="3"/>
  <c r="U672" i="3"/>
  <c r="V753" i="3"/>
  <c r="AK753" i="3" s="1"/>
  <c r="V49" i="3"/>
  <c r="AK49" i="3" s="1"/>
  <c r="V691" i="3"/>
  <c r="AK691" i="3" s="1"/>
  <c r="V253" i="3"/>
  <c r="AK253" i="3" s="1"/>
  <c r="U727" i="3"/>
  <c r="U599" i="3"/>
  <c r="U425" i="3"/>
  <c r="U296" i="3"/>
  <c r="U328" i="3"/>
  <c r="U513" i="3"/>
  <c r="V257" i="3"/>
  <c r="AK257" i="3" s="1"/>
  <c r="U442" i="3"/>
  <c r="U191" i="3"/>
  <c r="U501" i="3"/>
  <c r="V113" i="3"/>
  <c r="AK113" i="3" s="1"/>
  <c r="U99" i="3"/>
  <c r="U750" i="3"/>
  <c r="U620" i="3"/>
  <c r="V576" i="3"/>
  <c r="AK576" i="3" s="1"/>
  <c r="V595" i="3"/>
  <c r="AK595" i="3" s="1"/>
  <c r="U677" i="3"/>
  <c r="U504" i="3"/>
  <c r="V375" i="3"/>
  <c r="AK375" i="3" s="1"/>
  <c r="V244" i="3"/>
  <c r="AK244" i="3" s="1"/>
  <c r="V114" i="3"/>
  <c r="AK114" i="3" s="1"/>
  <c r="V149" i="3"/>
  <c r="AK149" i="3" s="1"/>
  <c r="V465" i="3"/>
  <c r="AK465" i="3" s="1"/>
  <c r="U334" i="3"/>
  <c r="V392" i="3"/>
  <c r="AK392" i="3" s="1"/>
  <c r="V139" i="3"/>
  <c r="AK139" i="3" s="1"/>
  <c r="V192" i="3"/>
  <c r="AK192" i="3" s="1"/>
  <c r="U64" i="3"/>
  <c r="V429" i="3"/>
  <c r="AK429" i="3" s="1"/>
  <c r="U174" i="3"/>
  <c r="V48" i="3"/>
  <c r="AK48" i="3" s="1"/>
  <c r="U917" i="3"/>
  <c r="U903" i="3"/>
  <c r="V984" i="3"/>
  <c r="AK984" i="3" s="1"/>
  <c r="V1111" i="3"/>
  <c r="AK1111" i="3" s="1"/>
  <c r="V1089" i="3"/>
  <c r="AK1089" i="3" s="1"/>
  <c r="U1161" i="3"/>
  <c r="U1180" i="3"/>
  <c r="V1327" i="3"/>
  <c r="V1248" i="3"/>
  <c r="V1341" i="3"/>
  <c r="U998" i="3"/>
  <c r="U979" i="3"/>
  <c r="U919" i="3"/>
  <c r="V1227" i="3"/>
  <c r="V1207" i="3"/>
  <c r="U1458" i="3"/>
  <c r="U1422" i="3"/>
  <c r="U1049" i="3"/>
  <c r="U1226" i="3"/>
  <c r="U1178" i="3"/>
  <c r="U828" i="3"/>
  <c r="U1070" i="3"/>
  <c r="U1093" i="3"/>
  <c r="U1331" i="3"/>
  <c r="V857" i="3"/>
  <c r="AK857" i="3" s="1"/>
  <c r="U1297" i="3"/>
  <c r="U992" i="3"/>
  <c r="U1381" i="3"/>
  <c r="U1147" i="3"/>
  <c r="V1323" i="3"/>
  <c r="V1229" i="3"/>
  <c r="U967" i="3"/>
  <c r="U1361" i="3"/>
  <c r="V249" i="3"/>
  <c r="AK249" i="3" s="1"/>
  <c r="U1272" i="3"/>
  <c r="V1013" i="3"/>
  <c r="AK1013" i="3" s="1"/>
  <c r="U1463" i="3"/>
  <c r="U1434" i="3"/>
  <c r="U949" i="3"/>
  <c r="V1345" i="3"/>
  <c r="U1214" i="3"/>
  <c r="V1290" i="3"/>
  <c r="W1290" i="3" s="1"/>
  <c r="U1165" i="3"/>
  <c r="V1318" i="3"/>
  <c r="U901" i="3"/>
  <c r="V947" i="3"/>
  <c r="AK947" i="3" s="1"/>
  <c r="U1162" i="3"/>
  <c r="U1154" i="3"/>
  <c r="V1027" i="3"/>
  <c r="AK1027" i="3" s="1"/>
  <c r="U898" i="3"/>
  <c r="V1038" i="3"/>
  <c r="AK1038" i="3" s="1"/>
  <c r="V905" i="3"/>
  <c r="AK905" i="3" s="1"/>
  <c r="V1114" i="3"/>
  <c r="AK1114" i="3" s="1"/>
  <c r="U989" i="3"/>
  <c r="V732" i="3"/>
  <c r="AK732" i="3" s="1"/>
  <c r="V604" i="3"/>
  <c r="AK604" i="3" s="1"/>
  <c r="U813" i="3"/>
  <c r="U676" i="3"/>
  <c r="V980" i="3"/>
  <c r="AK980" i="3" s="1"/>
  <c r="U875" i="3"/>
  <c r="U1384" i="3"/>
  <c r="V1127" i="3"/>
  <c r="AK1127" i="3" s="1"/>
  <c r="U873" i="3"/>
  <c r="U1121" i="3"/>
  <c r="V993" i="3"/>
  <c r="AK993" i="3" s="1"/>
  <c r="V864" i="3"/>
  <c r="AK864" i="3" s="1"/>
  <c r="V1132" i="3"/>
  <c r="AK1132" i="3" s="1"/>
  <c r="V1128" i="3"/>
  <c r="AK1128" i="3" s="1"/>
  <c r="U999" i="3"/>
  <c r="U1334" i="3"/>
  <c r="U1082" i="3"/>
  <c r="U954" i="3"/>
  <c r="V698" i="3"/>
  <c r="AK698" i="3" s="1"/>
  <c r="U269" i="3"/>
  <c r="U652" i="3"/>
  <c r="U236" i="3"/>
  <c r="U105" i="3"/>
  <c r="U548" i="3"/>
  <c r="V172" i="3"/>
  <c r="AK172" i="3" s="1"/>
  <c r="V78" i="3"/>
  <c r="AK78" i="3" s="1"/>
  <c r="U491" i="3"/>
  <c r="U730" i="3"/>
  <c r="U602" i="3"/>
  <c r="V749" i="3"/>
  <c r="AK749" i="3" s="1"/>
  <c r="U576" i="3"/>
  <c r="V784" i="3"/>
  <c r="AK784" i="3" s="1"/>
  <c r="U657" i="3"/>
  <c r="V569" i="3"/>
  <c r="AK569" i="3" s="1"/>
  <c r="U121" i="3"/>
  <c r="V29" i="3"/>
  <c r="AK29" i="3" s="1"/>
  <c r="U696" i="3"/>
  <c r="V715" i="3"/>
  <c r="AK715" i="3" s="1"/>
  <c r="U588" i="3"/>
  <c r="U446" i="3"/>
  <c r="U751" i="3"/>
  <c r="V624" i="3"/>
  <c r="AK624" i="3" s="1"/>
  <c r="U188" i="3"/>
  <c r="U353" i="3"/>
  <c r="U223" i="3"/>
  <c r="U467" i="3"/>
  <c r="V337" i="3"/>
  <c r="AK337" i="3" s="1"/>
  <c r="U213" i="3"/>
  <c r="V86" i="3"/>
  <c r="AK86" i="3" s="1"/>
  <c r="U11" i="3"/>
  <c r="U406" i="3"/>
  <c r="V153" i="3"/>
  <c r="AK153" i="3" s="1"/>
  <c r="U646" i="3"/>
  <c r="V665" i="3"/>
  <c r="AK665" i="3" s="1"/>
  <c r="V619" i="3"/>
  <c r="AK619" i="3" s="1"/>
  <c r="U701" i="3"/>
  <c r="V140" i="3"/>
  <c r="AK140" i="3" s="1"/>
  <c r="V430" i="3"/>
  <c r="AK430" i="3" s="1"/>
  <c r="U46" i="3"/>
  <c r="U542" i="3"/>
  <c r="V289" i="3"/>
  <c r="AK289" i="3" s="1"/>
  <c r="V37" i="3"/>
  <c r="AK37" i="3" s="1"/>
  <c r="V88" i="3"/>
  <c r="AK88" i="3" s="1"/>
  <c r="V485" i="3"/>
  <c r="AK485" i="3" s="1"/>
  <c r="V778" i="3"/>
  <c r="AK778" i="3" s="1"/>
  <c r="U651" i="3"/>
  <c r="V297" i="3"/>
  <c r="AK297" i="3" s="1"/>
  <c r="V89" i="3"/>
  <c r="AK89" i="3" s="1"/>
  <c r="V125" i="3"/>
  <c r="AK125" i="3" s="1"/>
  <c r="U564" i="3"/>
  <c r="V51" i="3"/>
  <c r="AK51" i="3" s="1"/>
  <c r="V241" i="3"/>
  <c r="AK241" i="3" s="1"/>
  <c r="V115" i="3"/>
  <c r="AK115" i="3" s="1"/>
  <c r="U295" i="3"/>
  <c r="U167" i="3"/>
  <c r="U181" i="3"/>
  <c r="U633" i="3"/>
  <c r="V70" i="3"/>
  <c r="AK70" i="3" s="1"/>
  <c r="V234" i="3"/>
  <c r="AK234" i="3" s="1"/>
  <c r="U109" i="3"/>
  <c r="V546" i="3"/>
  <c r="AK546" i="3" s="1"/>
  <c r="V97" i="3"/>
  <c r="AK97" i="3" s="1"/>
  <c r="V406" i="3"/>
  <c r="AK406" i="3" s="1"/>
  <c r="U276" i="3"/>
  <c r="V150" i="3"/>
  <c r="AK150" i="3" s="1"/>
  <c r="U383" i="3"/>
  <c r="U132" i="3"/>
  <c r="V164" i="3"/>
  <c r="AK164" i="3" s="1"/>
  <c r="U656" i="3"/>
  <c r="U320" i="3"/>
  <c r="V737" i="3"/>
  <c r="AK737" i="3" s="1"/>
  <c r="V609" i="3"/>
  <c r="AK609" i="3" s="1"/>
  <c r="V675" i="3"/>
  <c r="AK675" i="3" s="1"/>
  <c r="U711" i="3"/>
  <c r="V583" i="3"/>
  <c r="AK583" i="3" s="1"/>
  <c r="U279" i="3"/>
  <c r="U186" i="3"/>
  <c r="V57" i="3"/>
  <c r="AK57" i="3" s="1"/>
  <c r="U426" i="3"/>
  <c r="U299" i="3"/>
  <c r="U484" i="3"/>
  <c r="U354" i="3"/>
  <c r="U228" i="3"/>
  <c r="U97" i="3"/>
  <c r="U463" i="3"/>
  <c r="V82" i="3"/>
  <c r="AK82" i="3" s="1"/>
  <c r="V494" i="3"/>
  <c r="AK494" i="3" s="1"/>
  <c r="U734" i="3"/>
  <c r="U606" i="3"/>
  <c r="V623" i="3"/>
  <c r="AK623" i="3" s="1"/>
  <c r="U580" i="3"/>
  <c r="U661" i="3"/>
  <c r="U487" i="3"/>
  <c r="V358" i="3"/>
  <c r="AK358" i="3" s="1"/>
  <c r="U229" i="3"/>
  <c r="V98" i="3"/>
  <c r="AK98" i="3" s="1"/>
  <c r="V263" i="3"/>
  <c r="AK263" i="3" s="1"/>
  <c r="V449" i="3"/>
  <c r="AK449" i="3" s="1"/>
  <c r="V318" i="3"/>
  <c r="AK318" i="3" s="1"/>
  <c r="V189" i="3"/>
  <c r="AK189" i="3" s="1"/>
  <c r="U503" i="3"/>
  <c r="V376" i="3"/>
  <c r="AK376" i="3" s="1"/>
  <c r="V306" i="3"/>
  <c r="AK306" i="3" s="1"/>
  <c r="U176" i="3"/>
  <c r="U49" i="3"/>
  <c r="V157" i="3"/>
  <c r="AK157" i="3" s="1"/>
  <c r="V33" i="3"/>
  <c r="AK33" i="3" s="1"/>
  <c r="V63" i="3"/>
  <c r="AK63" i="3" s="1"/>
  <c r="V1169" i="3"/>
  <c r="AK1169" i="3" s="1"/>
  <c r="V965" i="3"/>
  <c r="AK965" i="3" s="1"/>
  <c r="V1368" i="3"/>
  <c r="V1354" i="3"/>
  <c r="W1354" i="3" s="1"/>
  <c r="U1058" i="3"/>
  <c r="U1036" i="3"/>
  <c r="U907" i="3"/>
  <c r="V1160" i="3"/>
  <c r="AK1160" i="3" s="1"/>
  <c r="U1374" i="3"/>
  <c r="V1209" i="3"/>
  <c r="U1459" i="3"/>
  <c r="U981" i="3"/>
  <c r="V1375" i="3"/>
  <c r="V1166" i="3"/>
  <c r="AK1166" i="3" s="1"/>
  <c r="V1415" i="3"/>
  <c r="W1415" i="3" s="1"/>
  <c r="U1250" i="3"/>
  <c r="U595" i="3"/>
  <c r="U1118" i="3"/>
  <c r="U1437" i="3"/>
  <c r="U1254" i="3"/>
  <c r="U1225" i="3"/>
  <c r="U1060" i="3"/>
  <c r="V1211" i="3"/>
  <c r="V1436" i="3"/>
  <c r="W1436" i="3" s="1"/>
  <c r="U1276" i="3"/>
  <c r="V1267" i="3"/>
  <c r="U1028" i="3"/>
  <c r="U1006" i="3"/>
  <c r="V1129" i="3"/>
  <c r="AK1129" i="3" s="1"/>
  <c r="U1432" i="3"/>
  <c r="U1279" i="3"/>
  <c r="U834" i="3"/>
  <c r="V1405" i="3"/>
  <c r="W1405" i="3" s="1"/>
  <c r="V930" i="3"/>
  <c r="AK930" i="3" s="1"/>
  <c r="V1429" i="3"/>
  <c r="W1429" i="3" s="1"/>
  <c r="U1074" i="3"/>
  <c r="V1149" i="3"/>
  <c r="AK1149" i="3" s="1"/>
  <c r="V895" i="3"/>
  <c r="AK895" i="3" s="1"/>
  <c r="V639" i="3"/>
  <c r="AK639" i="3" s="1"/>
  <c r="V775" i="3"/>
  <c r="AK775" i="3" s="1"/>
  <c r="V790" i="3"/>
  <c r="AK790" i="3" s="1"/>
  <c r="V1275" i="3"/>
  <c r="V1276" i="3"/>
  <c r="V887" i="3"/>
  <c r="AK887" i="3" s="1"/>
  <c r="V1398" i="3"/>
  <c r="V1138" i="3"/>
  <c r="AK1138" i="3" s="1"/>
  <c r="V1010" i="3"/>
  <c r="AK1010" i="3" s="1"/>
  <c r="V883" i="3"/>
  <c r="AK883" i="3" s="1"/>
  <c r="U1150" i="3"/>
  <c r="V892" i="3"/>
  <c r="AK892" i="3" s="1"/>
  <c r="V1279" i="3"/>
  <c r="V1017" i="3"/>
  <c r="AK1017" i="3" s="1"/>
  <c r="V1099" i="3"/>
  <c r="AK1099" i="3" s="1"/>
  <c r="V973" i="3"/>
  <c r="AK973" i="3" s="1"/>
  <c r="V846" i="3"/>
  <c r="AK846" i="3" s="1"/>
  <c r="U587" i="3"/>
  <c r="V585" i="3"/>
  <c r="AK585" i="3" s="1"/>
  <c r="U1462" i="3"/>
  <c r="U858" i="3"/>
  <c r="V1235" i="3"/>
  <c r="U976" i="3"/>
  <c r="V849" i="3"/>
  <c r="AK849" i="3" s="1"/>
  <c r="U1117" i="3"/>
  <c r="V987" i="3"/>
  <c r="AK987" i="3" s="1"/>
  <c r="V1371" i="3"/>
  <c r="V983" i="3"/>
  <c r="AK983" i="3" s="1"/>
  <c r="U1319" i="3"/>
  <c r="U1193" i="3"/>
  <c r="V1066" i="3"/>
  <c r="AK1066" i="3" s="1"/>
  <c r="V938" i="3"/>
  <c r="AK938" i="3" s="1"/>
  <c r="U792" i="3"/>
  <c r="V682" i="3"/>
  <c r="AK682" i="3" s="1"/>
  <c r="U762" i="3"/>
  <c r="V126" i="3"/>
  <c r="AK126" i="3" s="1"/>
  <c r="V818" i="3"/>
  <c r="AK818" i="3" s="1"/>
  <c r="U761" i="3"/>
  <c r="U637" i="3"/>
  <c r="V717" i="3"/>
  <c r="AK717" i="3" s="1"/>
  <c r="U292" i="3"/>
  <c r="V478" i="3"/>
  <c r="AK478" i="3" s="1"/>
  <c r="U532" i="3"/>
  <c r="V26" i="3"/>
  <c r="AK26" i="3" s="1"/>
  <c r="V190" i="3"/>
  <c r="AK190" i="3" s="1"/>
  <c r="U220" i="3"/>
  <c r="U714" i="3"/>
  <c r="V586" i="3"/>
  <c r="AK586" i="3" s="1"/>
  <c r="V733" i="3"/>
  <c r="AK733" i="3" s="1"/>
  <c r="V605" i="3"/>
  <c r="AK605" i="3" s="1"/>
  <c r="U814" i="3"/>
  <c r="V641" i="3"/>
  <c r="AK641" i="3" s="1"/>
  <c r="U208" i="3"/>
  <c r="U116" i="3"/>
  <c r="U356" i="3"/>
  <c r="V106" i="3"/>
  <c r="AK106" i="3" s="1"/>
  <c r="V12" i="3"/>
  <c r="AK12" i="3" s="1"/>
  <c r="U680" i="3"/>
  <c r="U123" i="3"/>
  <c r="V699" i="3"/>
  <c r="AK699" i="3" s="1"/>
  <c r="V570" i="3"/>
  <c r="AK570" i="3" s="1"/>
  <c r="V314" i="3"/>
  <c r="AK314" i="3" s="1"/>
  <c r="U735" i="3"/>
  <c r="U607" i="3"/>
  <c r="V564" i="3"/>
  <c r="AK564" i="3" s="1"/>
  <c r="V171" i="3"/>
  <c r="AK171" i="3" s="1"/>
  <c r="U464" i="3"/>
  <c r="U336" i="3"/>
  <c r="U80" i="3"/>
  <c r="U136" i="3"/>
  <c r="U322" i="3"/>
  <c r="V122" i="3"/>
  <c r="AK122" i="3" s="1"/>
  <c r="U390" i="3"/>
  <c r="U758" i="3"/>
  <c r="V630" i="3"/>
  <c r="AK630" i="3" s="1"/>
  <c r="U777" i="3"/>
  <c r="V649" i="3"/>
  <c r="AK649" i="3" s="1"/>
  <c r="U685" i="3"/>
  <c r="U252" i="3"/>
  <c r="U29" i="3"/>
  <c r="U526" i="3"/>
  <c r="V274" i="3"/>
  <c r="AK274" i="3" s="1"/>
  <c r="V20" i="3"/>
  <c r="AK20" i="3" s="1"/>
  <c r="V73" i="3"/>
  <c r="AK73" i="3" s="1"/>
  <c r="U214" i="3"/>
  <c r="V634" i="3"/>
  <c r="AK634" i="3" s="1"/>
  <c r="V202" i="3"/>
  <c r="AK202" i="3" s="1"/>
  <c r="V72" i="3"/>
  <c r="AK72" i="3" s="1"/>
  <c r="V236" i="3"/>
  <c r="AK236" i="3" s="1"/>
  <c r="V110" i="3"/>
  <c r="AK110" i="3" s="1"/>
  <c r="V34" i="3"/>
  <c r="AK34" i="3" s="1"/>
  <c r="U224" i="3"/>
  <c r="V537" i="3"/>
  <c r="AK537" i="3" s="1"/>
  <c r="V133" i="3"/>
  <c r="AK133" i="3" s="1"/>
  <c r="V418" i="3"/>
  <c r="AK418" i="3" s="1"/>
  <c r="V166" i="3"/>
  <c r="AK166" i="3" s="1"/>
  <c r="V217" i="3"/>
  <c r="AK217" i="3" s="1"/>
  <c r="U91" i="3"/>
  <c r="V530" i="3"/>
  <c r="AK530" i="3" s="1"/>
  <c r="U460" i="3"/>
  <c r="V390" i="3"/>
  <c r="AK390" i="3" s="1"/>
  <c r="U117" i="3"/>
  <c r="V640" i="3"/>
  <c r="AK640" i="3" s="1"/>
  <c r="V198" i="3"/>
  <c r="AK198" i="3" s="1"/>
  <c r="U594" i="3"/>
  <c r="V659" i="3"/>
  <c r="AK659" i="3" s="1"/>
  <c r="U347" i="3"/>
  <c r="V821" i="3"/>
  <c r="AK821" i="3" s="1"/>
  <c r="U695" i="3"/>
  <c r="V561" i="3"/>
  <c r="AK561" i="3" s="1"/>
  <c r="V169" i="3"/>
  <c r="AK169" i="3" s="1"/>
  <c r="U94" i="3"/>
  <c r="U158" i="3"/>
  <c r="U339" i="3"/>
  <c r="U211" i="3"/>
  <c r="U447" i="3"/>
  <c r="U194" i="3"/>
  <c r="V67" i="3"/>
  <c r="AK67" i="3" s="1"/>
  <c r="V479" i="3"/>
  <c r="AK479" i="3" s="1"/>
  <c r="U348" i="3"/>
  <c r="V94" i="3"/>
  <c r="AK94" i="3" s="1"/>
  <c r="U718" i="3"/>
  <c r="V590" i="3"/>
  <c r="AK590" i="3" s="1"/>
  <c r="U818" i="3"/>
  <c r="V554" i="3"/>
  <c r="AK554" i="3" s="1"/>
  <c r="V772" i="3"/>
  <c r="AK772" i="3" s="1"/>
  <c r="U645" i="3"/>
  <c r="V251" i="3"/>
  <c r="AK251" i="3" s="1"/>
  <c r="U344" i="3"/>
  <c r="U82" i="3"/>
  <c r="U500" i="3"/>
  <c r="U246" i="3"/>
  <c r="U120" i="3"/>
  <c r="V433" i="3"/>
  <c r="AK433" i="3" s="1"/>
  <c r="U175" i="3"/>
  <c r="U488" i="3"/>
  <c r="V361" i="3"/>
  <c r="AK361" i="3" s="1"/>
  <c r="U110" i="3"/>
  <c r="U419" i="3"/>
  <c r="U270" i="3"/>
  <c r="U143" i="3"/>
  <c r="U1329" i="3"/>
  <c r="V1026" i="3"/>
  <c r="AK1026" i="3" s="1"/>
  <c r="V1402" i="3"/>
  <c r="V1342" i="3"/>
  <c r="U1076" i="3"/>
  <c r="U1202" i="3"/>
  <c r="U830" i="3"/>
  <c r="V1423" i="3"/>
  <c r="W1423" i="3" s="1"/>
  <c r="U911" i="3"/>
  <c r="V1202" i="3"/>
  <c r="V1374" i="3"/>
  <c r="V1041" i="3"/>
  <c r="AK1041" i="3" s="1"/>
  <c r="V1288" i="3"/>
  <c r="U1068" i="3"/>
  <c r="V1337" i="3"/>
  <c r="W1337" i="3" s="1"/>
  <c r="V1459" i="3"/>
  <c r="V1175" i="3"/>
  <c r="U882" i="3"/>
  <c r="U842" i="3"/>
  <c r="U1377" i="3"/>
  <c r="V1262" i="3"/>
  <c r="V1020" i="3"/>
  <c r="AK1020" i="3" s="1"/>
  <c r="U1403" i="3"/>
  <c r="V1121" i="3"/>
  <c r="AK1121" i="3" s="1"/>
  <c r="U846" i="3"/>
  <c r="U1089" i="3"/>
  <c r="U1428" i="3"/>
  <c r="V1015" i="3"/>
  <c r="AK1015" i="3" s="1"/>
  <c r="U1345" i="3"/>
  <c r="U1446" i="3"/>
  <c r="U950" i="3"/>
  <c r="V1336" i="3"/>
  <c r="V1135" i="3"/>
  <c r="AK1135" i="3" s="1"/>
  <c r="V1332" i="3"/>
  <c r="U1227" i="3"/>
  <c r="U881" i="3"/>
  <c r="V750" i="3"/>
  <c r="AK750" i="3" s="1"/>
  <c r="U754" i="3"/>
  <c r="V580" i="3"/>
  <c r="AK580" i="3" s="1"/>
  <c r="U1383" i="3"/>
  <c r="U1393" i="3"/>
  <c r="U1280" i="3"/>
  <c r="V876" i="3"/>
  <c r="AK876" i="3" s="1"/>
  <c r="U1123" i="3"/>
  <c r="V995" i="3"/>
  <c r="AK995" i="3" s="1"/>
  <c r="V866" i="3"/>
  <c r="AK866" i="3" s="1"/>
  <c r="V1006" i="3"/>
  <c r="AK1006" i="3" s="1"/>
  <c r="V877" i="3"/>
  <c r="AK877" i="3" s="1"/>
  <c r="U1336" i="3"/>
  <c r="U1084" i="3"/>
  <c r="U956" i="3"/>
  <c r="V830" i="3"/>
  <c r="AK830" i="3" s="1"/>
  <c r="V568" i="3"/>
  <c r="AK568" i="3" s="1"/>
  <c r="V1183" i="3"/>
  <c r="V842" i="3"/>
  <c r="AK842" i="3" s="1"/>
  <c r="V966" i="3"/>
  <c r="AK966" i="3" s="1"/>
  <c r="V837" i="3"/>
  <c r="AK837" i="3" s="1"/>
  <c r="V1090" i="3"/>
  <c r="AK1090" i="3" s="1"/>
  <c r="V833" i="3"/>
  <c r="AK833" i="3" s="1"/>
  <c r="U1100" i="3"/>
  <c r="U970" i="3"/>
  <c r="V1095" i="3"/>
  <c r="AK1095" i="3" s="1"/>
  <c r="U966" i="3"/>
  <c r="U839" i="3"/>
  <c r="V1302" i="3"/>
  <c r="V1176" i="3"/>
  <c r="W1176" i="3" s="1"/>
  <c r="U923" i="3"/>
  <c r="V666" i="3"/>
  <c r="AK666" i="3" s="1"/>
  <c r="V804" i="3"/>
  <c r="AK804" i="3" s="1"/>
  <c r="U555" i="3"/>
  <c r="U748" i="3"/>
  <c r="V618" i="3"/>
  <c r="AK618" i="3" s="1"/>
  <c r="V701" i="3"/>
  <c r="AK701" i="3" s="1"/>
  <c r="V472" i="3"/>
  <c r="AK472" i="3" s="1"/>
  <c r="V516" i="3"/>
  <c r="AK516" i="3" s="1"/>
  <c r="V137" i="3"/>
  <c r="AK137" i="3" s="1"/>
  <c r="V46" i="3"/>
  <c r="AK46" i="3" s="1"/>
  <c r="U698" i="3"/>
  <c r="U590" i="3"/>
  <c r="U753" i="3"/>
  <c r="U626" i="3"/>
  <c r="U355" i="3"/>
  <c r="U225" i="3"/>
  <c r="U100" i="3"/>
  <c r="U469" i="3"/>
  <c r="U124" i="3"/>
  <c r="U664" i="3"/>
  <c r="V683" i="3"/>
  <c r="AK683" i="3" s="1"/>
  <c r="U765" i="3"/>
  <c r="U638" i="3"/>
  <c r="U719" i="3"/>
  <c r="U157" i="3"/>
  <c r="U448" i="3"/>
  <c r="U65" i="3"/>
  <c r="V559" i="3"/>
  <c r="AK559" i="3" s="1"/>
  <c r="V54" i="3"/>
  <c r="AK54" i="3" s="1"/>
  <c r="V91" i="3"/>
  <c r="AK91" i="3" s="1"/>
  <c r="U374" i="3"/>
  <c r="U742" i="3"/>
  <c r="V613" i="3"/>
  <c r="AK613" i="3" s="1"/>
  <c r="U559" i="3"/>
  <c r="V761" i="3"/>
  <c r="AK761" i="3" s="1"/>
  <c r="U796" i="3"/>
  <c r="U669" i="3"/>
  <c r="U430" i="3"/>
  <c r="U14" i="3"/>
  <c r="U511" i="3"/>
  <c r="U259" i="3"/>
  <c r="V183" i="3"/>
  <c r="AK183" i="3" s="1"/>
  <c r="U41" i="3"/>
  <c r="U621" i="3"/>
  <c r="V184" i="3"/>
  <c r="AK184" i="3" s="1"/>
  <c r="V349" i="3"/>
  <c r="AK349" i="3" s="1"/>
  <c r="V219" i="3"/>
  <c r="AK219" i="3" s="1"/>
  <c r="V463" i="3"/>
  <c r="AK463" i="3" s="1"/>
  <c r="V333" i="3"/>
  <c r="AK333" i="3" s="1"/>
  <c r="U83" i="3"/>
  <c r="V521" i="3"/>
  <c r="AK521" i="3" s="1"/>
  <c r="V262" i="3"/>
  <c r="AK262" i="3" s="1"/>
  <c r="V135" i="3"/>
  <c r="AK135" i="3" s="1"/>
  <c r="V118" i="3"/>
  <c r="AK118" i="3" s="1"/>
  <c r="V402" i="3"/>
  <c r="AK402" i="3" s="1"/>
  <c r="V275" i="3"/>
  <c r="AK275" i="3" s="1"/>
  <c r="U148" i="3"/>
  <c r="U601" i="3"/>
  <c r="U515" i="3"/>
  <c r="V259" i="3"/>
  <c r="AK259" i="3" s="1"/>
  <c r="U129" i="3"/>
  <c r="U444" i="3"/>
  <c r="U316" i="3"/>
  <c r="V502" i="3"/>
  <c r="AK502" i="3" s="1"/>
  <c r="V374" i="3"/>
  <c r="AK374" i="3" s="1"/>
  <c r="U512" i="3"/>
  <c r="U256" i="3"/>
  <c r="U752" i="3"/>
  <c r="V578" i="3"/>
  <c r="AK578" i="3" s="1"/>
  <c r="U771" i="3"/>
  <c r="V643" i="3"/>
  <c r="AK643" i="3" s="1"/>
  <c r="V597" i="3"/>
  <c r="AK597" i="3" s="1"/>
  <c r="V805" i="3"/>
  <c r="AK805" i="3" s="1"/>
  <c r="U679" i="3"/>
  <c r="U506" i="3"/>
  <c r="V116" i="3"/>
  <c r="AK116" i="3" s="1"/>
  <c r="V534" i="3"/>
  <c r="AK534" i="3" s="1"/>
  <c r="V151" i="3"/>
  <c r="AK151" i="3" s="1"/>
  <c r="V467" i="3"/>
  <c r="AK467" i="3" s="1"/>
  <c r="U520" i="3"/>
  <c r="V141" i="3"/>
  <c r="AK141" i="3" s="1"/>
  <c r="U15" i="3"/>
  <c r="V323" i="3"/>
  <c r="AK323" i="3" s="1"/>
  <c r="U431" i="3"/>
  <c r="U304" i="3"/>
  <c r="V177" i="3"/>
  <c r="AK177" i="3" s="1"/>
  <c r="V50" i="3"/>
  <c r="AK50" i="3" s="1"/>
  <c r="V208" i="3"/>
  <c r="AK208" i="3" s="1"/>
  <c r="U702" i="3"/>
  <c r="V571" i="3"/>
  <c r="AK571" i="3" s="1"/>
  <c r="V721" i="3"/>
  <c r="AK721" i="3" s="1"/>
  <c r="V593" i="3"/>
  <c r="AK593" i="3" s="1"/>
  <c r="U802" i="3"/>
  <c r="U490" i="3"/>
  <c r="U757" i="3"/>
  <c r="V629" i="3"/>
  <c r="AK629" i="3" s="1"/>
  <c r="V455" i="3"/>
  <c r="AK455" i="3" s="1"/>
  <c r="V328" i="3"/>
  <c r="AK328" i="3" s="1"/>
  <c r="U67" i="3"/>
  <c r="U485" i="3"/>
  <c r="V230" i="3"/>
  <c r="AK230" i="3" s="1"/>
  <c r="V105" i="3"/>
  <c r="AK105" i="3" s="1"/>
  <c r="U343" i="3"/>
  <c r="U403" i="3"/>
  <c r="U272" i="3"/>
  <c r="V18" i="3"/>
  <c r="AK18" i="3" s="1"/>
  <c r="V254" i="3"/>
  <c r="AK254" i="3" s="1"/>
  <c r="V411" i="3"/>
  <c r="AK411" i="3" s="1"/>
  <c r="U285" i="3"/>
  <c r="V848" i="3"/>
  <c r="AK848" i="3" s="1"/>
  <c r="U1449" i="3"/>
  <c r="V1258" i="3"/>
  <c r="V898" i="3"/>
  <c r="AK898" i="3" s="1"/>
  <c r="U1317" i="3"/>
  <c r="U1204" i="3"/>
  <c r="U1455" i="3"/>
  <c r="U1372" i="3"/>
  <c r="U1203" i="3"/>
  <c r="U1159" i="3"/>
  <c r="V865" i="3"/>
  <c r="AK865" i="3" s="1"/>
  <c r="V1110" i="3"/>
  <c r="AK1110" i="3" s="1"/>
  <c r="V1467" i="3"/>
  <c r="U1397" i="3"/>
  <c r="V1249" i="3"/>
  <c r="V914" i="3"/>
  <c r="AK914" i="3" s="1"/>
  <c r="U1327" i="3"/>
  <c r="V1131" i="3"/>
  <c r="AK1131" i="3" s="1"/>
  <c r="V1284" i="3"/>
  <c r="U996" i="3"/>
  <c r="V1452" i="3"/>
  <c r="W1452" i="3" s="1"/>
  <c r="V1457" i="3"/>
  <c r="V951" i="3"/>
  <c r="AK951" i="3" s="1"/>
  <c r="V920" i="3"/>
  <c r="AK920" i="3" s="1"/>
  <c r="V1052" i="3"/>
  <c r="AK1052" i="3" s="1"/>
  <c r="V868" i="3"/>
  <c r="AK868" i="3" s="1"/>
  <c r="V1058" i="3"/>
  <c r="AK1058" i="3" s="1"/>
  <c r="U1343" i="3"/>
  <c r="V1440" i="3"/>
  <c r="U1350" i="3"/>
  <c r="U1122" i="3"/>
  <c r="V1150" i="3"/>
  <c r="AK1150" i="3" s="1"/>
  <c r="U1128" i="3"/>
  <c r="V1285" i="3"/>
  <c r="V1011" i="3"/>
  <c r="AK1011" i="3" s="1"/>
  <c r="U1201" i="3"/>
  <c r="U1023" i="3"/>
  <c r="V1463" i="3"/>
  <c r="U1269" i="3"/>
  <c r="V1115" i="3"/>
  <c r="AK1115" i="3" s="1"/>
  <c r="V1364" i="3"/>
  <c r="U1237" i="3"/>
  <c r="U978" i="3"/>
  <c r="V851" i="3"/>
  <c r="AK851" i="3" s="1"/>
  <c r="V1118" i="3"/>
  <c r="AK1118" i="3" s="1"/>
  <c r="V989" i="3"/>
  <c r="AK989" i="3" s="1"/>
  <c r="V856" i="3"/>
  <c r="AK856" i="3" s="1"/>
  <c r="U1321" i="3"/>
  <c r="U1195" i="3"/>
  <c r="V1068" i="3"/>
  <c r="AK1068" i="3" s="1"/>
  <c r="V940" i="3"/>
  <c r="AK940" i="3" s="1"/>
  <c r="U764" i="3"/>
  <c r="V776" i="3"/>
  <c r="AK776" i="3" s="1"/>
  <c r="V1085" i="3"/>
  <c r="AK1085" i="3" s="1"/>
  <c r="V1432" i="3"/>
  <c r="V826" i="3"/>
  <c r="AK826" i="3" s="1"/>
  <c r="V1339" i="3"/>
  <c r="V953" i="3"/>
  <c r="AK953" i="3" s="1"/>
  <c r="V823" i="3"/>
  <c r="AK823" i="3" s="1"/>
  <c r="U1339" i="3"/>
  <c r="U1209" i="3"/>
  <c r="U1079" i="3"/>
  <c r="U1333" i="3"/>
  <c r="V1201" i="3"/>
  <c r="U1073" i="3"/>
  <c r="U945" i="3"/>
  <c r="V1084" i="3"/>
  <c r="AK1084" i="3" s="1"/>
  <c r="V954" i="3"/>
  <c r="AK954" i="3" s="1"/>
  <c r="V1286" i="3"/>
  <c r="V650" i="3"/>
  <c r="AK650" i="3" s="1"/>
  <c r="U732" i="3"/>
  <c r="U604" i="3"/>
  <c r="V685" i="3"/>
  <c r="AK685" i="3" s="1"/>
  <c r="U682" i="3"/>
  <c r="V763" i="3"/>
  <c r="AK763" i="3" s="1"/>
  <c r="V574" i="3"/>
  <c r="AK574" i="3" s="1"/>
  <c r="U737" i="3"/>
  <c r="U609" i="3"/>
  <c r="U453" i="3"/>
  <c r="U200" i="3"/>
  <c r="V510" i="3"/>
  <c r="AK510" i="3" s="1"/>
  <c r="U648" i="3"/>
  <c r="V601" i="3"/>
  <c r="AK601" i="3" s="1"/>
  <c r="V794" i="3"/>
  <c r="AK794" i="3" s="1"/>
  <c r="V667" i="3"/>
  <c r="AK667" i="3" s="1"/>
  <c r="U703" i="3"/>
  <c r="U48" i="3"/>
  <c r="U232" i="3"/>
  <c r="V39" i="3"/>
  <c r="AK39" i="3" s="1"/>
  <c r="U90" i="3"/>
  <c r="U726" i="3"/>
  <c r="V616" i="3"/>
  <c r="AK616" i="3" s="1"/>
  <c r="V780" i="3"/>
  <c r="AK780" i="3" s="1"/>
  <c r="U653" i="3"/>
  <c r="V312" i="3"/>
  <c r="AK312" i="3" s="1"/>
  <c r="V509" i="3"/>
  <c r="AK509" i="3" s="1"/>
  <c r="U127" i="3"/>
  <c r="U566" i="3"/>
  <c r="V495" i="3"/>
  <c r="AK495" i="3" s="1"/>
  <c r="U369" i="3"/>
  <c r="V243" i="3"/>
  <c r="AK243" i="3" s="1"/>
  <c r="U731" i="3"/>
  <c r="U603" i="3"/>
  <c r="V560" i="3"/>
  <c r="AK560" i="3" s="1"/>
  <c r="U76" i="3"/>
  <c r="V261" i="3"/>
  <c r="AK261" i="3" s="1"/>
  <c r="U131" i="3"/>
  <c r="V447" i="3"/>
  <c r="AK447" i="3" s="1"/>
  <c r="U318" i="3"/>
  <c r="V504" i="3"/>
  <c r="AK504" i="3" s="1"/>
  <c r="U247" i="3"/>
  <c r="V104" i="3"/>
  <c r="AK104" i="3" s="1"/>
  <c r="U713" i="3"/>
  <c r="U281" i="3"/>
  <c r="V23" i="3"/>
  <c r="AK23" i="3" s="1"/>
  <c r="U242" i="3"/>
  <c r="V112" i="3"/>
  <c r="AK112" i="3" s="1"/>
  <c r="V553" i="3"/>
  <c r="AK553" i="3" s="1"/>
  <c r="U428" i="3"/>
  <c r="U301" i="3"/>
  <c r="U178" i="3"/>
  <c r="U736" i="3"/>
  <c r="U608" i="3"/>
  <c r="V816" i="3"/>
  <c r="AK816" i="3" s="1"/>
  <c r="V755" i="3"/>
  <c r="AK755" i="3" s="1"/>
  <c r="U582" i="3"/>
  <c r="U663" i="3"/>
  <c r="V100" i="3"/>
  <c r="AK100" i="3" s="1"/>
  <c r="U519" i="3"/>
  <c r="V265" i="3"/>
  <c r="AK265" i="3" s="1"/>
  <c r="V136" i="3"/>
  <c r="AK136" i="3" s="1"/>
  <c r="V451" i="3"/>
  <c r="AK451" i="3" s="1"/>
  <c r="V320" i="3"/>
  <c r="AK320" i="3" s="1"/>
  <c r="V191" i="3"/>
  <c r="AK191" i="3" s="1"/>
  <c r="V62" i="3"/>
  <c r="AK62" i="3" s="1"/>
  <c r="U505" i="3"/>
  <c r="V413" i="3"/>
  <c r="AK413" i="3" s="1"/>
  <c r="U287" i="3"/>
  <c r="V159" i="3"/>
  <c r="AK159" i="3" s="1"/>
  <c r="U317" i="3"/>
  <c r="U686" i="3"/>
  <c r="V767" i="3"/>
  <c r="AK767" i="3" s="1"/>
  <c r="V167" i="3"/>
  <c r="AK167" i="3" s="1"/>
  <c r="V705" i="3"/>
  <c r="AK705" i="3" s="1"/>
  <c r="V786" i="3"/>
  <c r="AK786" i="3" s="1"/>
  <c r="U360" i="3"/>
  <c r="U741" i="3"/>
  <c r="V614" i="3"/>
  <c r="AK614" i="3" s="1"/>
  <c r="V439" i="3"/>
  <c r="AK439" i="3" s="1"/>
  <c r="U177" i="3"/>
  <c r="U50" i="3"/>
  <c r="V87" i="3"/>
  <c r="AK87" i="3" s="1"/>
  <c r="U271" i="3"/>
  <c r="U142" i="3"/>
  <c r="V13" i="3"/>
  <c r="AK13" i="3" s="1"/>
  <c r="V327" i="3"/>
  <c r="AK327" i="3" s="1"/>
  <c r="U387" i="3"/>
  <c r="U128" i="3"/>
  <c r="U365" i="3"/>
  <c r="U239" i="3"/>
  <c r="U113" i="3"/>
  <c r="U268" i="3"/>
  <c r="U963" i="3"/>
  <c r="U946" i="3"/>
  <c r="U1157" i="3"/>
  <c r="U840" i="3"/>
  <c r="V1301" i="3"/>
  <c r="U1278" i="3"/>
  <c r="U961" i="3"/>
  <c r="V1361" i="3"/>
  <c r="U1034" i="3"/>
  <c r="V1370" i="3"/>
  <c r="U1216" i="3"/>
  <c r="V1054" i="3"/>
  <c r="AK1054" i="3" s="1"/>
  <c r="V1170" i="3"/>
  <c r="AK1170" i="3" s="1"/>
  <c r="V870" i="3"/>
  <c r="AK870" i="3" s="1"/>
  <c r="U1311" i="3"/>
  <c r="U826" i="3"/>
  <c r="U1288" i="3"/>
  <c r="V1419" i="3"/>
  <c r="W1419" i="3" s="1"/>
  <c r="V1399" i="3"/>
  <c r="U1013" i="3"/>
  <c r="V990" i="3"/>
  <c r="AK990" i="3" s="1"/>
  <c r="V1428" i="3"/>
  <c r="V1047" i="3"/>
  <c r="AK1047" i="3" s="1"/>
  <c r="V1091" i="3"/>
  <c r="AK1091" i="3" s="1"/>
  <c r="U1143" i="3"/>
  <c r="U1120" i="3"/>
  <c r="V1274" i="3"/>
  <c r="U1217" i="3"/>
  <c r="U1004" i="3"/>
  <c r="V1387" i="3"/>
  <c r="U1196" i="3"/>
  <c r="V1264" i="3"/>
  <c r="V579" i="3"/>
  <c r="AK579" i="3" s="1"/>
  <c r="V832" i="3"/>
  <c r="AK832" i="3" s="1"/>
  <c r="U1072" i="3"/>
  <c r="U1438" i="3"/>
  <c r="U1231" i="3"/>
  <c r="V874" i="3"/>
  <c r="AK874" i="3" s="1"/>
  <c r="G12" i="1"/>
  <c r="D6" i="1"/>
  <c r="D14" i="1"/>
  <c r="G6" i="1"/>
  <c r="G5" i="1"/>
  <c r="D7" i="1"/>
  <c r="G9" i="1"/>
  <c r="G14" i="1"/>
  <c r="V7" i="3"/>
  <c r="AK7" i="3" s="1"/>
  <c r="AB183" i="3" l="1"/>
  <c r="AB1141" i="3"/>
  <c r="AB1158" i="3"/>
  <c r="AB1086" i="3"/>
  <c r="AB956" i="3"/>
  <c r="AB951" i="3"/>
  <c r="AB429" i="3"/>
  <c r="AB289" i="3"/>
  <c r="AB855" i="3"/>
  <c r="AB1037" i="3"/>
  <c r="AB474" i="3"/>
  <c r="AB1129" i="3"/>
  <c r="AB602" i="3"/>
  <c r="AB1011" i="3"/>
  <c r="AB1005" i="3"/>
  <c r="AB1142" i="3"/>
  <c r="AB1110" i="3"/>
  <c r="AB181" i="3"/>
  <c r="AB857" i="3"/>
  <c r="AB1119" i="3"/>
  <c r="AB1047" i="3"/>
  <c r="AB392" i="3"/>
  <c r="AB618" i="3"/>
  <c r="AB1170" i="3"/>
  <c r="AB129" i="3"/>
  <c r="AB980" i="3"/>
  <c r="AB707" i="3"/>
  <c r="AB1090" i="3"/>
  <c r="AB347" i="3"/>
  <c r="AB325" i="3"/>
  <c r="AB666" i="3"/>
  <c r="AB1043" i="3"/>
  <c r="AB216" i="3"/>
  <c r="AB730" i="3"/>
  <c r="AB770" i="3"/>
  <c r="AB361" i="3"/>
  <c r="AB552" i="3"/>
  <c r="AB764" i="3"/>
  <c r="AB447" i="3"/>
  <c r="AB976" i="3"/>
  <c r="AB467" i="3"/>
  <c r="AB455" i="3"/>
  <c r="AB29" i="3"/>
  <c r="AB408" i="3"/>
  <c r="AB960" i="3"/>
  <c r="AB1041" i="3"/>
  <c r="AB512" i="3"/>
  <c r="AB914" i="3"/>
  <c r="AB630" i="3"/>
  <c r="W1170" i="3"/>
  <c r="AB579" i="3"/>
  <c r="AB323" i="3"/>
  <c r="AB569" i="3"/>
  <c r="AB835" i="3"/>
  <c r="AB1057" i="3"/>
  <c r="AB866" i="3"/>
  <c r="AB128" i="3"/>
  <c r="AB291" i="3"/>
  <c r="AB1115" i="3"/>
  <c r="AB962" i="3"/>
  <c r="AB356" i="3"/>
  <c r="AB419" i="3"/>
  <c r="AB240" i="3"/>
  <c r="AB454" i="3"/>
  <c r="AB986" i="3"/>
  <c r="AB423" i="3"/>
  <c r="AB14" i="3"/>
  <c r="AB211" i="3"/>
  <c r="AB108" i="3"/>
  <c r="AP1118" i="3"/>
  <c r="AP605" i="3"/>
  <c r="AP775" i="3"/>
  <c r="AP99" i="3"/>
  <c r="AP331" i="3"/>
  <c r="AP46" i="3"/>
  <c r="AP828" i="3"/>
  <c r="AP832" i="3"/>
  <c r="AP816" i="3"/>
  <c r="AP374" i="3"/>
  <c r="AP613" i="3"/>
  <c r="AP361" i="3"/>
  <c r="AP12" i="3"/>
  <c r="AP639" i="3"/>
  <c r="AP51" i="3"/>
  <c r="AP399" i="3"/>
  <c r="AP903" i="3"/>
  <c r="AP216" i="3"/>
  <c r="AP25" i="3"/>
  <c r="AP1116" i="3"/>
  <c r="AP949" i="3"/>
  <c r="AP957" i="3"/>
  <c r="AP1087" i="3"/>
  <c r="AP58" i="3"/>
  <c r="AP1120" i="3"/>
  <c r="AP425" i="3"/>
  <c r="AP795" i="3"/>
  <c r="AP1004" i="3"/>
  <c r="AP163" i="3"/>
  <c r="AP549" i="3"/>
  <c r="AP690" i="3"/>
  <c r="AP53" i="3"/>
  <c r="AP508" i="3"/>
  <c r="AP32" i="3"/>
  <c r="AP814" i="3"/>
  <c r="AP556" i="3"/>
  <c r="AP629" i="3"/>
  <c r="AP64" i="3"/>
  <c r="AP960" i="3"/>
  <c r="AP852" i="3"/>
  <c r="AP981" i="3"/>
  <c r="AP338" i="3"/>
  <c r="AP287" i="3"/>
  <c r="AP793" i="3"/>
  <c r="AP316" i="3"/>
  <c r="AP285" i="3"/>
  <c r="AP385" i="3"/>
  <c r="AP844" i="3"/>
  <c r="AP412" i="3"/>
  <c r="AP687" i="3"/>
  <c r="AP479" i="3"/>
  <c r="AP150" i="3"/>
  <c r="AP139" i="3"/>
  <c r="AP925" i="3"/>
  <c r="AP1161" i="3"/>
  <c r="AP360" i="3"/>
  <c r="AP746" i="3"/>
  <c r="AP962" i="3"/>
  <c r="AP918" i="3"/>
  <c r="AP379" i="3"/>
  <c r="AP500" i="3"/>
  <c r="AP841" i="3"/>
  <c r="AP839" i="3"/>
  <c r="AP313" i="3"/>
  <c r="AP351" i="3"/>
  <c r="AP321" i="3"/>
  <c r="AP218" i="3"/>
  <c r="AP96" i="3"/>
  <c r="AP378" i="3"/>
  <c r="AP175" i="3"/>
  <c r="AP776" i="3"/>
  <c r="AP910" i="3"/>
  <c r="AP404" i="3"/>
  <c r="AP127" i="3"/>
  <c r="AP1166" i="3"/>
  <c r="AP1154" i="3"/>
  <c r="AP587" i="3"/>
  <c r="AP91" i="3"/>
  <c r="AP314" i="3"/>
  <c r="AP609" i="3"/>
  <c r="AP249" i="3"/>
  <c r="AP886" i="3"/>
  <c r="AP602" i="3"/>
  <c r="AP161" i="3"/>
  <c r="AP1045" i="3"/>
  <c r="AP294" i="3"/>
  <c r="AP487" i="3"/>
  <c r="AP515" i="3"/>
  <c r="AP341" i="3"/>
  <c r="AP247" i="3"/>
  <c r="AP36" i="3"/>
  <c r="AP798" i="3"/>
  <c r="AP309" i="3"/>
  <c r="AP485" i="3"/>
  <c r="AP763" i="3"/>
  <c r="AP449" i="3"/>
  <c r="AP920" i="3"/>
  <c r="AP135" i="3"/>
  <c r="AP537" i="3"/>
  <c r="AP297" i="3"/>
  <c r="AP857" i="3"/>
  <c r="AP438" i="3"/>
  <c r="AP931" i="3"/>
  <c r="AP813" i="3"/>
  <c r="AP740" i="3"/>
  <c r="AP847" i="3"/>
  <c r="AP913" i="3"/>
  <c r="AP199" i="3"/>
  <c r="AP909" i="3"/>
  <c r="AP260" i="3"/>
  <c r="AP1033" i="3"/>
  <c r="AP589" i="3"/>
  <c r="AP44" i="3"/>
  <c r="AP623" i="3"/>
  <c r="AP782" i="3"/>
  <c r="AP559" i="3"/>
  <c r="AP1006" i="3"/>
  <c r="AP126" i="3"/>
  <c r="AP97" i="3"/>
  <c r="AP465" i="3"/>
  <c r="AP1042" i="3"/>
  <c r="AP128" i="3"/>
  <c r="AP170" i="3"/>
  <c r="AP631" i="3"/>
  <c r="AP255" i="3"/>
  <c r="AP431" i="3"/>
  <c r="AP617" i="3"/>
  <c r="AP642" i="3"/>
  <c r="AP222" i="3"/>
  <c r="AP523" i="3"/>
  <c r="AP801" i="3"/>
  <c r="AP684" i="3"/>
  <c r="AP403" i="3"/>
  <c r="AP885" i="3"/>
  <c r="AP529" i="3"/>
  <c r="AP1068" i="3"/>
  <c r="AP989" i="3"/>
  <c r="AP34" i="3"/>
  <c r="AP20" i="3"/>
  <c r="AP172" i="3"/>
  <c r="AP149" i="3"/>
  <c r="AP961" i="3"/>
  <c r="AP356" i="3"/>
  <c r="AP1100" i="3"/>
  <c r="AP1088" i="3"/>
  <c r="AP450" i="3"/>
  <c r="AB740" i="3"/>
  <c r="AB26" i="3"/>
  <c r="AB883" i="3"/>
  <c r="AB1085" i="3"/>
  <c r="AB120" i="3"/>
  <c r="AB205" i="3"/>
  <c r="AB822" i="3"/>
  <c r="AB391" i="3"/>
  <c r="AB438" i="3"/>
  <c r="AB460" i="3"/>
  <c r="AB1007" i="3"/>
  <c r="AB542" i="3"/>
  <c r="AB46" i="3"/>
  <c r="AB91" i="3"/>
  <c r="AB363" i="3"/>
  <c r="AB333" i="3"/>
  <c r="AB865" i="3"/>
  <c r="AB329" i="3"/>
  <c r="AB659" i="3"/>
  <c r="AB487" i="3"/>
  <c r="AB461" i="3"/>
  <c r="AB35" i="3"/>
  <c r="AB94" i="3"/>
  <c r="AB808" i="3"/>
  <c r="AB615" i="3"/>
  <c r="AB995" i="3"/>
  <c r="AB814" i="3"/>
  <c r="AB922" i="3"/>
  <c r="AP413" i="3"/>
  <c r="AP510" i="3"/>
  <c r="AP433" i="3"/>
  <c r="AP887" i="3"/>
  <c r="AP66" i="3"/>
  <c r="W808" i="3"/>
  <c r="W579" i="3"/>
  <c r="W13" i="3"/>
  <c r="W159" i="3"/>
  <c r="W23" i="3"/>
  <c r="AP1084" i="3"/>
  <c r="AP823" i="3"/>
  <c r="AP1058" i="3"/>
  <c r="AP865" i="3"/>
  <c r="AP208" i="3"/>
  <c r="W597" i="3"/>
  <c r="W502" i="3"/>
  <c r="AP275" i="3"/>
  <c r="W516" i="3"/>
  <c r="W876" i="3"/>
  <c r="W251" i="3"/>
  <c r="AP198" i="3"/>
  <c r="AP166" i="3"/>
  <c r="W72" i="3"/>
  <c r="AP122" i="3"/>
  <c r="AP717" i="3"/>
  <c r="W938" i="3"/>
  <c r="AP849" i="3"/>
  <c r="W973" i="3"/>
  <c r="AP1138" i="3"/>
  <c r="AP895" i="3"/>
  <c r="AP157" i="3"/>
  <c r="AP70" i="3"/>
  <c r="AP37" i="3"/>
  <c r="AP665" i="3"/>
  <c r="AP749" i="3"/>
  <c r="AP1128" i="3"/>
  <c r="AP905" i="3"/>
  <c r="AP1013" i="3"/>
  <c r="W375" i="3"/>
  <c r="AP123" i="3"/>
  <c r="AP383" i="3"/>
  <c r="AP102" i="3"/>
  <c r="W514" i="3"/>
  <c r="W1097" i="3"/>
  <c r="W391" i="3"/>
  <c r="AP518" i="3"/>
  <c r="AP697" i="3"/>
  <c r="W407" i="3"/>
  <c r="AP232" i="3"/>
  <c r="AP270" i="3"/>
  <c r="AP342" i="3"/>
  <c r="AP1048" i="3"/>
  <c r="AP863" i="3"/>
  <c r="AP558" i="3"/>
  <c r="AP729" i="3"/>
  <c r="AP771" i="3"/>
  <c r="AP835" i="3"/>
  <c r="AP718" i="3"/>
  <c r="AP1034" i="3"/>
  <c r="AP674" i="3"/>
  <c r="AP1159" i="3"/>
  <c r="AP646" i="3"/>
  <c r="AP854" i="3"/>
  <c r="AP1046" i="3"/>
  <c r="AP1070" i="3"/>
  <c r="AP812" i="3"/>
  <c r="AP1140" i="3"/>
  <c r="AP446" i="3"/>
  <c r="AP395" i="3"/>
  <c r="AP519" i="3"/>
  <c r="W1112" i="3"/>
  <c r="W1153" i="3"/>
  <c r="W324" i="3"/>
  <c r="AP660" i="3"/>
  <c r="AP908" i="3"/>
  <c r="W357" i="3"/>
  <c r="AP1078" i="3"/>
  <c r="AP1136" i="3"/>
  <c r="AP220" i="3"/>
  <c r="AP299" i="3"/>
  <c r="W1080" i="3"/>
  <c r="AP881" i="3"/>
  <c r="AP741" i="3"/>
  <c r="W332" i="3"/>
  <c r="AP779" i="3"/>
  <c r="W258" i="3"/>
  <c r="AP891" i="3"/>
  <c r="W436" i="3"/>
  <c r="AP550" i="3"/>
  <c r="AP532" i="3"/>
  <c r="AP477" i="3"/>
  <c r="AP434" i="3"/>
  <c r="AP384" i="3"/>
  <c r="AP607" i="3"/>
  <c r="AP501" i="3"/>
  <c r="W880" i="3"/>
  <c r="AP499" i="3"/>
  <c r="AP581" i="3"/>
  <c r="AP1065" i="3"/>
  <c r="AP768" i="3"/>
  <c r="AP348" i="3"/>
  <c r="AP872" i="3"/>
  <c r="AP1064" i="3"/>
  <c r="AP766" i="3"/>
  <c r="AP228" i="3"/>
  <c r="W151" i="3"/>
  <c r="AP701" i="3"/>
  <c r="AP634" i="3"/>
  <c r="AP1091" i="3"/>
  <c r="AP261" i="3"/>
  <c r="AP953" i="3"/>
  <c r="AP868" i="3"/>
  <c r="AP1131" i="3"/>
  <c r="AP50" i="3"/>
  <c r="W643" i="3"/>
  <c r="AP402" i="3"/>
  <c r="W219" i="3"/>
  <c r="AP1090" i="3"/>
  <c r="AP1026" i="3"/>
  <c r="W640" i="3"/>
  <c r="W202" i="3"/>
  <c r="W1066" i="3"/>
  <c r="AP1099" i="3"/>
  <c r="AP1149" i="3"/>
  <c r="AP1129" i="3"/>
  <c r="W263" i="3"/>
  <c r="W675" i="3"/>
  <c r="W125" i="3"/>
  <c r="AP289" i="3"/>
  <c r="AP1132" i="3"/>
  <c r="AP980" i="3"/>
  <c r="W984" i="3"/>
  <c r="AP17" i="3"/>
  <c r="AP963" i="3"/>
  <c r="AP319" i="3"/>
  <c r="AP14" i="3"/>
  <c r="AP15" i="3"/>
  <c r="W788" i="3"/>
  <c r="AP179" i="3"/>
  <c r="AP747" i="3"/>
  <c r="AP893" i="3"/>
  <c r="AP109" i="3"/>
  <c r="AP381" i="3"/>
  <c r="W277" i="3"/>
  <c r="AP824" i="3"/>
  <c r="AP577" i="3"/>
  <c r="AP470" i="3"/>
  <c r="AP945" i="3"/>
  <c r="W423" i="3"/>
  <c r="W975" i="3"/>
  <c r="AP992" i="3"/>
  <c r="AP916" i="3"/>
  <c r="AP725" i="3"/>
  <c r="AP656" i="3"/>
  <c r="AP596" i="3"/>
  <c r="AP972" i="3"/>
  <c r="AP1093" i="3"/>
  <c r="AP1126" i="3"/>
  <c r="AP1148" i="3"/>
  <c r="AP658" i="3"/>
  <c r="AP1103" i="3"/>
  <c r="AP173" i="3"/>
  <c r="AP31" i="3"/>
  <c r="AP541" i="3"/>
  <c r="AP754" i="3"/>
  <c r="AP807" i="3"/>
  <c r="W985" i="3"/>
  <c r="W195" i="3"/>
  <c r="AP353" i="3"/>
  <c r="W827" i="3"/>
  <c r="AP513" i="3"/>
  <c r="AP442" i="3"/>
  <c r="AP346" i="3"/>
  <c r="AP428" i="3"/>
  <c r="AP300" i="3"/>
  <c r="AP1139" i="3"/>
  <c r="W452" i="3"/>
  <c r="AP426" i="3"/>
  <c r="AP760" i="3"/>
  <c r="AP538" i="3"/>
  <c r="W388" i="3"/>
  <c r="W1000" i="3"/>
  <c r="AP235" i="3"/>
  <c r="AP134" i="3"/>
  <c r="AP237" i="3"/>
  <c r="AP735" i="3"/>
  <c r="AP889" i="3"/>
  <c r="AP727" i="3"/>
  <c r="AP211" i="3"/>
  <c r="AP759" i="3"/>
  <c r="AP1106" i="3"/>
  <c r="AP81" i="3"/>
  <c r="AP1104" i="3"/>
  <c r="AP180" i="3"/>
  <c r="AP293" i="3"/>
  <c r="AP417" i="3"/>
  <c r="AP848" i="3"/>
  <c r="W133" i="3"/>
  <c r="W1017" i="3"/>
  <c r="W392" i="3"/>
  <c r="AP1043" i="3"/>
  <c r="W445" i="3"/>
  <c r="AP144" i="3"/>
  <c r="AP145" i="3"/>
  <c r="W707" i="3"/>
  <c r="AP322" i="3"/>
  <c r="W212" i="3"/>
  <c r="W284" i="3"/>
  <c r="AP855" i="3"/>
  <c r="AP148" i="3"/>
  <c r="AP486" i="3"/>
  <c r="W615" i="3"/>
  <c r="AP1001" i="3"/>
  <c r="AP956" i="3"/>
  <c r="W1081" i="3"/>
  <c r="W739" i="3"/>
  <c r="AP231" i="3"/>
  <c r="W371" i="3"/>
  <c r="AP1092" i="3"/>
  <c r="AP1101" i="3"/>
  <c r="AP950" i="3"/>
  <c r="W787" i="3"/>
  <c r="AP964" i="3"/>
  <c r="AP368" i="3"/>
  <c r="AP867" i="3"/>
  <c r="AP979" i="3"/>
  <c r="AP994" i="3"/>
  <c r="AP688" i="3"/>
  <c r="AP825" i="3"/>
  <c r="AP1122" i="3"/>
  <c r="AP1072" i="3"/>
  <c r="AP303" i="3"/>
  <c r="AP999" i="3"/>
  <c r="AP419" i="3"/>
  <c r="W437" i="3"/>
  <c r="W427" i="3"/>
  <c r="AP370" i="3"/>
  <c r="AP517" i="3"/>
  <c r="AP871" i="3"/>
  <c r="AP213" i="3"/>
  <c r="AP394" i="3"/>
  <c r="AP117" i="3"/>
  <c r="AP121" i="3"/>
  <c r="AP762" i="3"/>
  <c r="AP789" i="3"/>
  <c r="AP45" i="3"/>
  <c r="AP273" i="3"/>
  <c r="AP711" i="3"/>
  <c r="AP1009" i="3"/>
  <c r="AP120" i="3"/>
  <c r="AP472" i="3"/>
  <c r="AP349" i="3"/>
  <c r="AP864" i="3"/>
  <c r="AP422" i="3"/>
  <c r="W87" i="3"/>
  <c r="AP705" i="3"/>
  <c r="AP100" i="3"/>
  <c r="AP104" i="3"/>
  <c r="W560" i="3"/>
  <c r="AP826" i="3"/>
  <c r="AP1115" i="3"/>
  <c r="W230" i="3"/>
  <c r="AP534" i="3"/>
  <c r="W578" i="3"/>
  <c r="AP184" i="3"/>
  <c r="AP54" i="3"/>
  <c r="AP683" i="3"/>
  <c r="AP877" i="3"/>
  <c r="AP1121" i="3"/>
  <c r="W554" i="3"/>
  <c r="AP390" i="3"/>
  <c r="W570" i="3"/>
  <c r="W190" i="3"/>
  <c r="AP306" i="3"/>
  <c r="AP494" i="3"/>
  <c r="AP737" i="3"/>
  <c r="AP406" i="3"/>
  <c r="AP993" i="3"/>
  <c r="AP1027" i="3"/>
  <c r="W253" i="3"/>
  <c r="AP239" i="3"/>
  <c r="AP475" i="3"/>
  <c r="W40" i="3"/>
  <c r="AP1007" i="3"/>
  <c r="W38" i="3"/>
  <c r="AP462" i="3"/>
  <c r="W806" i="3"/>
  <c r="AP90" i="3"/>
  <c r="W95" i="3"/>
  <c r="AP69" i="3"/>
  <c r="AP713" i="3"/>
  <c r="AP796" i="3"/>
  <c r="AP919" i="3"/>
  <c r="AP1086" i="3"/>
  <c r="W565" i="3"/>
  <c r="AP543" i="3"/>
  <c r="W800" i="3"/>
  <c r="AP359" i="3"/>
  <c r="AP986" i="3"/>
  <c r="AP927" i="3"/>
  <c r="AP712" i="3"/>
  <c r="AP836" i="3"/>
  <c r="AP1094" i="3"/>
  <c r="AP869" i="3"/>
  <c r="AP1002" i="3"/>
  <c r="AP958" i="3"/>
  <c r="AP1162" i="3"/>
  <c r="AP386" i="3"/>
  <c r="AP932" i="3"/>
  <c r="AP622" i="3"/>
  <c r="AP527" i="3"/>
  <c r="AP197" i="3"/>
  <c r="AP1124" i="3"/>
  <c r="W414" i="3"/>
  <c r="AP1021" i="3"/>
  <c r="W1024" i="3"/>
  <c r="AP1164" i="3"/>
  <c r="AP396" i="3"/>
  <c r="AP1051" i="3"/>
  <c r="W410" i="3"/>
  <c r="W30" i="3"/>
  <c r="AP364" i="3"/>
  <c r="AP1155" i="3"/>
  <c r="AP781" i="3"/>
  <c r="AP458" i="3"/>
  <c r="W888" i="3"/>
  <c r="AP154" i="3"/>
  <c r="AP506" i="3"/>
  <c r="W330" i="3"/>
  <c r="AP400" i="3"/>
  <c r="AP229" i="3"/>
  <c r="AP573" i="3"/>
  <c r="AP507" i="3"/>
  <c r="AP720" i="3"/>
  <c r="AP124" i="3"/>
  <c r="AP482" i="3"/>
  <c r="AP129" i="3"/>
  <c r="AP224" i="3"/>
  <c r="AP240" i="3"/>
  <c r="AP440" i="3"/>
  <c r="AP119" i="3"/>
  <c r="AP612" i="3"/>
  <c r="AP185" i="3"/>
  <c r="AP60" i="3"/>
  <c r="AP955" i="3"/>
  <c r="AP704" i="3"/>
  <c r="AP1108" i="3"/>
  <c r="W1032" i="3"/>
  <c r="AP497" i="3"/>
  <c r="W1135" i="3"/>
  <c r="AP772" i="3"/>
  <c r="AP874" i="3"/>
  <c r="W990" i="3"/>
  <c r="W62" i="3"/>
  <c r="AP312" i="3"/>
  <c r="AP856" i="3"/>
  <c r="AP951" i="3"/>
  <c r="AP411" i="3"/>
  <c r="W593" i="3"/>
  <c r="AP259" i="3"/>
  <c r="AP262" i="3"/>
  <c r="AP842" i="3"/>
  <c r="AP580" i="3"/>
  <c r="W821" i="3"/>
  <c r="AP699" i="3"/>
  <c r="AP641" i="3"/>
  <c r="AP930" i="3"/>
  <c r="W376" i="3"/>
  <c r="AP358" i="3"/>
  <c r="AP82" i="3"/>
  <c r="W57" i="3"/>
  <c r="AP624" i="3"/>
  <c r="AP569" i="3"/>
  <c r="AP48" i="3"/>
  <c r="W691" i="3"/>
  <c r="AP365" i="3"/>
  <c r="W27" i="3"/>
  <c r="AP363" i="3"/>
  <c r="W591" i="3"/>
  <c r="AP657" i="3"/>
  <c r="AP366" i="3"/>
  <c r="AP528" i="3"/>
  <c r="W769" i="3"/>
  <c r="W138" i="3"/>
  <c r="W42" i="3"/>
  <c r="AP201" i="3"/>
  <c r="AP1165" i="3"/>
  <c r="AP1059" i="3"/>
  <c r="AP80" i="3"/>
  <c r="AP474" i="3"/>
  <c r="AP526" i="3"/>
  <c r="AP689" i="3"/>
  <c r="W473" i="3"/>
  <c r="W74" i="3"/>
  <c r="W22" i="3"/>
  <c r="AP651" i="3"/>
  <c r="AP976" i="3"/>
  <c r="W884" i="3"/>
  <c r="AP592" i="3"/>
  <c r="AP970" i="3"/>
  <c r="AP912" i="3"/>
  <c r="AP879" i="3"/>
  <c r="AP998" i="3"/>
  <c r="AP206" i="3"/>
  <c r="AP563" i="3"/>
  <c r="W598" i="3"/>
  <c r="AP834" i="3"/>
  <c r="AP1109" i="3"/>
  <c r="AP555" i="3"/>
  <c r="AP1039" i="3"/>
  <c r="AP722" i="3"/>
  <c r="AP977" i="3"/>
  <c r="AP398" i="3"/>
  <c r="AP875" i="3"/>
  <c r="W921" i="3"/>
  <c r="AP850" i="3"/>
  <c r="AP557" i="3"/>
  <c r="AP1102" i="3"/>
  <c r="AP76" i="3"/>
  <c r="AP627" i="3"/>
  <c r="AP282" i="3"/>
  <c r="AP286" i="3"/>
  <c r="AP745" i="3"/>
  <c r="W146" i="3"/>
  <c r="AP302" i="3"/>
  <c r="AP1035" i="3"/>
  <c r="AP858" i="3"/>
  <c r="AP1036" i="3"/>
  <c r="W373" i="3"/>
  <c r="W389" i="3"/>
  <c r="AP194" i="3"/>
  <c r="AP548" i="3"/>
  <c r="AP522" i="3"/>
  <c r="AP896" i="3"/>
  <c r="AP242" i="3"/>
  <c r="AP582" i="3"/>
  <c r="AP809" i="3"/>
  <c r="AP655" i="3"/>
  <c r="AP1152" i="3"/>
  <c r="AP610" i="3"/>
  <c r="AP703" i="3"/>
  <c r="AP539" i="3"/>
  <c r="AP16" i="3"/>
  <c r="AP628" i="3"/>
  <c r="AP1047" i="3"/>
  <c r="AP105" i="3"/>
  <c r="AP1054" i="3"/>
  <c r="W767" i="3"/>
  <c r="AP191" i="3"/>
  <c r="W553" i="3"/>
  <c r="AP650" i="3"/>
  <c r="W1085" i="3"/>
  <c r="W254" i="3"/>
  <c r="AP323" i="3"/>
  <c r="AP521" i="3"/>
  <c r="W1095" i="3"/>
  <c r="AP866" i="3"/>
  <c r="AP1020" i="3"/>
  <c r="AP590" i="3"/>
  <c r="AP530" i="3"/>
  <c r="AP630" i="3"/>
  <c r="W790" i="3"/>
  <c r="AP546" i="3"/>
  <c r="AP115" i="3"/>
  <c r="AP778" i="3"/>
  <c r="W140" i="3"/>
  <c r="AP86" i="3"/>
  <c r="AP178" i="3"/>
  <c r="AP181" i="3"/>
  <c r="AP10" i="3"/>
  <c r="AP636" i="3"/>
  <c r="AP714" i="3"/>
  <c r="AP748" i="3"/>
  <c r="AP1050" i="3"/>
  <c r="W215" i="3"/>
  <c r="W267" i="3"/>
  <c r="AP562" i="3"/>
  <c r="AP188" i="3"/>
  <c r="AP1025" i="3"/>
  <c r="AP637" i="3"/>
  <c r="AP1060" i="3"/>
  <c r="AP369" i="3"/>
  <c r="W325" i="3"/>
  <c r="W8" i="3"/>
  <c r="W572" i="3"/>
  <c r="AP1073" i="3"/>
  <c r="AP252" i="3"/>
  <c r="AP511" i="3"/>
  <c r="AP481" i="3"/>
  <c r="W204" i="3"/>
  <c r="AP669" i="3"/>
  <c r="AP1044" i="3"/>
  <c r="W1168" i="3"/>
  <c r="AP997" i="3"/>
  <c r="W942" i="3"/>
  <c r="W1151" i="3"/>
  <c r="AP829" i="3"/>
  <c r="AP334" i="3"/>
  <c r="AP186" i="3"/>
  <c r="AP393" i="3"/>
  <c r="AP621" i="3"/>
  <c r="AP1107" i="3"/>
  <c r="AP355" i="3"/>
  <c r="AP843" i="3"/>
  <c r="AP831" i="3"/>
  <c r="AP899" i="3"/>
  <c r="AP168" i="3"/>
  <c r="AP726" i="3"/>
  <c r="AP1055" i="3"/>
  <c r="AP326" i="3"/>
  <c r="AP1163" i="3"/>
  <c r="AP946" i="3"/>
  <c r="W783" i="3"/>
  <c r="AP536" i="3"/>
  <c r="W68" i="3"/>
  <c r="AP566" i="3"/>
  <c r="AP939" i="3"/>
  <c r="AP444" i="3"/>
  <c r="W799" i="3"/>
  <c r="AP65" i="3"/>
  <c r="AP797" i="3"/>
  <c r="AP1031" i="3"/>
  <c r="AP567" i="3"/>
  <c r="AP644" i="3"/>
  <c r="AP221" i="3"/>
  <c r="AP301" i="3"/>
  <c r="AP1098" i="3"/>
  <c r="AP307" i="3"/>
  <c r="AP638" i="3"/>
  <c r="AP815" i="3"/>
  <c r="AP626" i="3"/>
  <c r="AP1067" i="3"/>
  <c r="AP810" i="3"/>
  <c r="AP295" i="3"/>
  <c r="AP738" i="3"/>
  <c r="AP1056" i="3"/>
  <c r="AP291" i="3"/>
  <c r="AP9" i="3"/>
  <c r="AP819" i="3"/>
  <c r="AP468" i="3"/>
  <c r="AP347" i="3"/>
  <c r="W1053" i="3"/>
  <c r="W439" i="3"/>
  <c r="AP320" i="3"/>
  <c r="W755" i="3"/>
  <c r="AP112" i="3"/>
  <c r="AP243" i="3"/>
  <c r="AP571" i="3"/>
  <c r="AP183" i="3"/>
  <c r="AP804" i="3"/>
  <c r="AP568" i="3"/>
  <c r="AP995" i="3"/>
  <c r="AP750" i="3"/>
  <c r="W659" i="3"/>
  <c r="AP110" i="3"/>
  <c r="AP274" i="3"/>
  <c r="AP171" i="3"/>
  <c r="AP682" i="3"/>
  <c r="AP987" i="3"/>
  <c r="AP1160" i="3"/>
  <c r="AP63" i="3"/>
  <c r="AP189" i="3"/>
  <c r="W164" i="3"/>
  <c r="AP784" i="3"/>
  <c r="AP947" i="3"/>
  <c r="AP429" i="3"/>
  <c r="AP114" i="3"/>
  <c r="AP753" i="3"/>
  <c r="AP584" i="3"/>
  <c r="AP131" i="3"/>
  <c r="AP345" i="3"/>
  <c r="AP448" i="3"/>
  <c r="AP520" i="3"/>
  <c r="AP272" i="3"/>
  <c r="W245" i="3"/>
  <c r="AP765" i="3"/>
  <c r="AP904" i="3"/>
  <c r="AP967" i="3"/>
  <c r="W461" i="3"/>
  <c r="AP454" i="3"/>
  <c r="AP483" i="3"/>
  <c r="AP923" i="3"/>
  <c r="AP693" i="3"/>
  <c r="AP702" i="3"/>
  <c r="AP1141" i="3"/>
  <c r="AP397" i="3"/>
  <c r="AP84" i="3"/>
  <c r="AP588" i="3"/>
  <c r="AP929" i="3"/>
  <c r="AP978" i="3"/>
  <c r="AP933" i="3"/>
  <c r="W897" i="3"/>
  <c r="AP802" i="3"/>
  <c r="AP928" i="3"/>
  <c r="AP1143" i="3"/>
  <c r="AP1071" i="3"/>
  <c r="AP432" i="3"/>
  <c r="AP1125" i="3"/>
  <c r="W1133" i="3"/>
  <c r="AP1023" i="3"/>
  <c r="AP911" i="3"/>
  <c r="AP676" i="3"/>
  <c r="AP890" i="3"/>
  <c r="AP647" i="3"/>
  <c r="AP752" i="3"/>
  <c r="AP1130" i="3"/>
  <c r="AP459" i="3"/>
  <c r="AP382" i="3"/>
  <c r="W92" i="3"/>
  <c r="AP493" i="3"/>
  <c r="AP678" i="3"/>
  <c r="AP710" i="3"/>
  <c r="AP209" i="3"/>
  <c r="AP372" i="3"/>
  <c r="AP339" i="3"/>
  <c r="AP304" i="3"/>
  <c r="AP505" i="3"/>
  <c r="AP1096" i="3"/>
  <c r="AP743" i="3"/>
  <c r="AP853" i="3"/>
  <c r="AP792" i="3"/>
  <c r="AP43" i="3"/>
  <c r="AP310" i="3"/>
  <c r="AP803" i="3"/>
  <c r="AP456" i="3"/>
  <c r="AP599" i="3"/>
  <c r="AP719" i="3"/>
  <c r="AP811" i="3"/>
  <c r="AP679" i="3"/>
  <c r="AP600" i="3"/>
  <c r="AP744" i="3"/>
  <c r="AP692" i="3"/>
  <c r="AP685" i="3"/>
  <c r="AP943" i="3"/>
  <c r="AP786" i="3"/>
  <c r="AP118" i="3"/>
  <c r="W561" i="3"/>
  <c r="W89" i="3"/>
  <c r="AP614" i="3"/>
  <c r="W616" i="3"/>
  <c r="AP794" i="3"/>
  <c r="AP954" i="3"/>
  <c r="AP851" i="3"/>
  <c r="AP1110" i="3"/>
  <c r="AP898" i="3"/>
  <c r="W455" i="3"/>
  <c r="AP141" i="3"/>
  <c r="AP805" i="3"/>
  <c r="AP830" i="3"/>
  <c r="AP1015" i="3"/>
  <c r="AP1041" i="3"/>
  <c r="W217" i="3"/>
  <c r="AP236" i="3"/>
  <c r="AP733" i="3"/>
  <c r="AP846" i="3"/>
  <c r="AP318" i="3"/>
  <c r="W583" i="3"/>
  <c r="W619" i="3"/>
  <c r="AP337" i="3"/>
  <c r="AP1089" i="3"/>
  <c r="AP244" i="3"/>
  <c r="W971" i="3"/>
  <c r="AP1049" i="3"/>
  <c r="W922" i="3"/>
  <c r="AP974" i="3"/>
  <c r="AP1083" i="3"/>
  <c r="AP408" i="3"/>
  <c r="AP329" i="3"/>
  <c r="W936" i="3"/>
  <c r="AP988" i="3"/>
  <c r="AP968" i="3"/>
  <c r="W55" i="3"/>
  <c r="W544" i="3"/>
  <c r="W723" i="3"/>
  <c r="AP143" i="3"/>
  <c r="W21" i="3"/>
  <c r="W59" i="3"/>
  <c r="AP24" i="3"/>
  <c r="AP900" i="3"/>
  <c r="AP996" i="3"/>
  <c r="AP774" i="3"/>
  <c r="W552" i="3"/>
  <c r="W160" i="3"/>
  <c r="W93" i="3"/>
  <c r="AP1057" i="3"/>
  <c r="AP924" i="3"/>
  <c r="W959" i="3"/>
  <c r="AP934" i="3"/>
  <c r="AP1061" i="3"/>
  <c r="AP686" i="3"/>
  <c r="AP1156" i="3"/>
  <c r="AP917" i="3"/>
  <c r="AP672" i="3"/>
  <c r="AP498" i="3"/>
  <c r="AP298" i="3"/>
  <c r="AP680" i="3"/>
  <c r="AP635" i="3"/>
  <c r="W861" i="3"/>
  <c r="AP1123" i="3"/>
  <c r="AP915" i="3"/>
  <c r="AP1117" i="3"/>
  <c r="AP248" i="3"/>
  <c r="AP1157" i="3"/>
  <c r="W77" i="3"/>
  <c r="AP317" i="3"/>
  <c r="AP948" i="3"/>
  <c r="W1019" i="3"/>
  <c r="AP490" i="3"/>
  <c r="AP469" i="3"/>
  <c r="W471" i="3"/>
  <c r="AP533" i="3"/>
  <c r="AP662" i="3"/>
  <c r="AP1003" i="3"/>
  <c r="AP907" i="3"/>
  <c r="AP281" i="3"/>
  <c r="AP524" i="3"/>
  <c r="AP664" i="3"/>
  <c r="AP158" i="3"/>
  <c r="AP496" i="3"/>
  <c r="AP460" i="3"/>
  <c r="AP279" i="3"/>
  <c r="AP457" i="3"/>
  <c r="AP405" i="3"/>
  <c r="AP648" i="3"/>
  <c r="AP489" i="3"/>
  <c r="AP278" i="3"/>
  <c r="AP421" i="3"/>
  <c r="AP575" i="3"/>
  <c r="AP187" i="3"/>
  <c r="AP288" i="3"/>
  <c r="AP695" i="3"/>
  <c r="AP1113" i="3"/>
  <c r="AP941" i="3"/>
  <c r="AP101" i="3"/>
  <c r="AP1016" i="3"/>
  <c r="AP111" i="3"/>
  <c r="AP238" i="3"/>
  <c r="AP696" i="3"/>
  <c r="AP728" i="3"/>
  <c r="AP663" i="3"/>
  <c r="AP1012" i="3"/>
  <c r="W1111" i="3"/>
  <c r="AB1118" i="3"/>
  <c r="W1131" i="3"/>
  <c r="AB352" i="3"/>
  <c r="AB308" i="3"/>
  <c r="AB354" i="3"/>
  <c r="W1145" i="3"/>
  <c r="AB251" i="3"/>
  <c r="AB141" i="3"/>
  <c r="W1138" i="3"/>
  <c r="AB929" i="3"/>
  <c r="AB390" i="3"/>
  <c r="AB723" i="3"/>
  <c r="AB213" i="3"/>
  <c r="AB41" i="3"/>
  <c r="AB445" i="3"/>
  <c r="AB947" i="3"/>
  <c r="AB711" i="3"/>
  <c r="AB833" i="3"/>
  <c r="W878" i="3"/>
  <c r="AB1094" i="3"/>
  <c r="AB590" i="3"/>
  <c r="AB641" i="3"/>
  <c r="AB109" i="3"/>
  <c r="AB788" i="3"/>
  <c r="AB999" i="3"/>
  <c r="AB252" i="3"/>
  <c r="AB178" i="3"/>
  <c r="AB918" i="3"/>
  <c r="AB407" i="3"/>
  <c r="AB299" i="3"/>
  <c r="AB643" i="3"/>
  <c r="AB528" i="3"/>
  <c r="AB800" i="3"/>
  <c r="AB245" i="3"/>
  <c r="AB863" i="3"/>
  <c r="AB548" i="3"/>
  <c r="AB374" i="3"/>
  <c r="AB906" i="3"/>
  <c r="W1062" i="3"/>
  <c r="AB769" i="3"/>
  <c r="AB1017" i="3"/>
  <c r="AB362" i="3"/>
  <c r="AB231" i="3"/>
  <c r="AB571" i="3"/>
  <c r="AB613" i="3"/>
  <c r="AB544" i="3"/>
  <c r="AB873" i="3"/>
  <c r="AB1121" i="3"/>
  <c r="AB99" i="3"/>
  <c r="AB259" i="3"/>
  <c r="AB1025" i="3"/>
  <c r="AB974" i="3"/>
  <c r="AB228" i="3"/>
  <c r="AB32" i="3"/>
  <c r="AB811" i="3"/>
  <c r="AB895" i="3"/>
  <c r="AB22" i="3"/>
  <c r="AB430" i="3"/>
  <c r="AB383" i="3"/>
  <c r="AB154" i="3"/>
  <c r="AB894" i="3"/>
  <c r="W868" i="3"/>
  <c r="AB9" i="3"/>
  <c r="AB924" i="3"/>
  <c r="AB841" i="3"/>
  <c r="AB564" i="3"/>
  <c r="AB349" i="3"/>
  <c r="S10" i="3"/>
  <c r="S32" i="3"/>
  <c r="S23" i="3"/>
  <c r="S38" i="3"/>
  <c r="S37" i="3"/>
  <c r="S94" i="3"/>
  <c r="S102" i="3"/>
  <c r="S110" i="3"/>
  <c r="S118" i="3"/>
  <c r="S126" i="3"/>
  <c r="S134" i="3"/>
  <c r="S36" i="3"/>
  <c r="S43" i="3"/>
  <c r="S34" i="3"/>
  <c r="S33" i="3"/>
  <c r="S90" i="3"/>
  <c r="S91" i="3"/>
  <c r="S144" i="3"/>
  <c r="S191" i="3"/>
  <c r="S198" i="3"/>
  <c r="S140" i="3"/>
  <c r="S139" i="3"/>
  <c r="S146" i="3"/>
  <c r="S207" i="3"/>
  <c r="S271" i="3"/>
  <c r="S199" i="3"/>
  <c r="S262" i="3"/>
  <c r="S184" i="3"/>
  <c r="S261" i="3"/>
  <c r="S160" i="3"/>
  <c r="S260" i="3"/>
  <c r="S324" i="3"/>
  <c r="S243" i="3"/>
  <c r="S202" i="3"/>
  <c r="S266" i="3"/>
  <c r="S330" i="3"/>
  <c r="S257" i="3"/>
  <c r="S321" i="3"/>
  <c r="S224" i="3"/>
  <c r="S288" i="3"/>
  <c r="S378" i="3"/>
  <c r="S369" i="3"/>
  <c r="S334" i="3"/>
  <c r="S392" i="3"/>
  <c r="S383" i="3"/>
  <c r="S358" i="3"/>
  <c r="S357" i="3"/>
  <c r="S326" i="3"/>
  <c r="S396" i="3"/>
  <c r="S379" i="3"/>
  <c r="S8" i="3"/>
  <c r="S24" i="3"/>
  <c r="S31" i="3"/>
  <c r="S54" i="3"/>
  <c r="S61" i="3"/>
  <c r="S98" i="3"/>
  <c r="S107" i="3"/>
  <c r="S116" i="3"/>
  <c r="S125" i="3"/>
  <c r="S135" i="3"/>
  <c r="S52" i="3"/>
  <c r="S67" i="3"/>
  <c r="S66" i="3"/>
  <c r="S73" i="3"/>
  <c r="S84" i="3"/>
  <c r="S193" i="3"/>
  <c r="S142" i="3"/>
  <c r="S149" i="3"/>
  <c r="S164" i="3"/>
  <c r="S171" i="3"/>
  <c r="S186" i="3"/>
  <c r="S255" i="3"/>
  <c r="S327" i="3"/>
  <c r="S270" i="3"/>
  <c r="S213" i="3"/>
  <c r="S285" i="3"/>
  <c r="S228" i="3"/>
  <c r="S300" i="3"/>
  <c r="S227" i="3"/>
  <c r="S176" i="3"/>
  <c r="S274" i="3"/>
  <c r="S209" i="3"/>
  <c r="S281" i="3"/>
  <c r="S197" i="3"/>
  <c r="S264" i="3"/>
  <c r="S362" i="3"/>
  <c r="S361" i="3"/>
  <c r="S339" i="3"/>
  <c r="S304" i="3"/>
  <c r="S299" i="3"/>
  <c r="S390" i="3"/>
  <c r="S397" i="3"/>
  <c r="S380" i="3"/>
  <c r="S371" i="3"/>
  <c r="S11" i="3"/>
  <c r="S48" i="3"/>
  <c r="S47" i="3"/>
  <c r="S70" i="3"/>
  <c r="S77" i="3"/>
  <c r="S100" i="3"/>
  <c r="S109" i="3"/>
  <c r="S119" i="3"/>
  <c r="S128" i="3"/>
  <c r="S137" i="3"/>
  <c r="S68" i="3"/>
  <c r="S83" i="3"/>
  <c r="S82" i="3"/>
  <c r="S86" i="3"/>
  <c r="S145" i="3"/>
  <c r="S143" i="3"/>
  <c r="S158" i="3"/>
  <c r="S165" i="3"/>
  <c r="S180" i="3"/>
  <c r="S187" i="3"/>
  <c r="S168" i="3"/>
  <c r="S279" i="3"/>
  <c r="S214" i="3"/>
  <c r="S286" i="3"/>
  <c r="S229" i="3"/>
  <c r="S301" i="3"/>
  <c r="S244" i="3"/>
  <c r="S316" i="3"/>
  <c r="S251" i="3"/>
  <c r="S218" i="3"/>
  <c r="S290" i="3"/>
  <c r="S225" i="3"/>
  <c r="S297" i="3"/>
  <c r="S208" i="3"/>
  <c r="S280" i="3"/>
  <c r="S386" i="3"/>
  <c r="S385" i="3"/>
  <c r="S352" i="3"/>
  <c r="S351" i="3"/>
  <c r="S338" i="3"/>
  <c r="S296" i="3"/>
  <c r="S323" i="3"/>
  <c r="S404" i="3"/>
  <c r="S395" i="3"/>
  <c r="S7" i="3"/>
  <c r="S15" i="3"/>
  <c r="S39" i="3"/>
  <c r="S21" i="3"/>
  <c r="S96" i="3"/>
  <c r="S108" i="3"/>
  <c r="S121" i="3"/>
  <c r="S132" i="3"/>
  <c r="S60" i="3"/>
  <c r="S26" i="3"/>
  <c r="S57" i="3"/>
  <c r="S87" i="3"/>
  <c r="S159" i="3"/>
  <c r="S190" i="3"/>
  <c r="S172" i="3"/>
  <c r="S154" i="3"/>
  <c r="S239" i="3"/>
  <c r="S206" i="3"/>
  <c r="S302" i="3"/>
  <c r="S269" i="3"/>
  <c r="S236" i="3"/>
  <c r="S340" i="3"/>
  <c r="S283" i="3"/>
  <c r="S282" i="3"/>
  <c r="S241" i="3"/>
  <c r="S337" i="3"/>
  <c r="S272" i="3"/>
  <c r="S402" i="3"/>
  <c r="S328" i="3"/>
  <c r="S343" i="3"/>
  <c r="S350" i="3"/>
  <c r="S381" i="3"/>
  <c r="S388" i="3"/>
  <c r="S18" i="3"/>
  <c r="S55" i="3"/>
  <c r="S29" i="3"/>
  <c r="S97" i="3"/>
  <c r="S111" i="3"/>
  <c r="S122" i="3"/>
  <c r="S133" i="3"/>
  <c r="S76" i="3"/>
  <c r="S42" i="3"/>
  <c r="S65" i="3"/>
  <c r="S153" i="3"/>
  <c r="S167" i="3"/>
  <c r="S141" i="3"/>
  <c r="S188" i="3"/>
  <c r="S162" i="3"/>
  <c r="S247" i="3"/>
  <c r="S222" i="3"/>
  <c r="S310" i="3"/>
  <c r="S277" i="3"/>
  <c r="S252" i="3"/>
  <c r="S203" i="3"/>
  <c r="S291" i="3"/>
  <c r="S298" i="3"/>
  <c r="S249" i="3"/>
  <c r="S192" i="3"/>
  <c r="S315" i="3"/>
  <c r="S312" i="3"/>
  <c r="S331" i="3"/>
  <c r="S359" i="3"/>
  <c r="S366" i="3"/>
  <c r="S389" i="3"/>
  <c r="S320" i="3"/>
  <c r="S40" i="3"/>
  <c r="S17" i="3"/>
  <c r="S45" i="3"/>
  <c r="S99" i="3"/>
  <c r="S112" i="3"/>
  <c r="S123" i="3"/>
  <c r="S136" i="3"/>
  <c r="S27" i="3"/>
  <c r="S50" i="3"/>
  <c r="S71" i="3"/>
  <c r="S161" i="3"/>
  <c r="S175" i="3"/>
  <c r="S157" i="3"/>
  <c r="S196" i="3"/>
  <c r="S170" i="3"/>
  <c r="S263" i="3"/>
  <c r="S230" i="3"/>
  <c r="S318" i="3"/>
  <c r="S293" i="3"/>
  <c r="S268" i="3"/>
  <c r="S211" i="3"/>
  <c r="S210" i="3"/>
  <c r="S306" i="3"/>
  <c r="S265" i="3"/>
  <c r="S200" i="3"/>
  <c r="S325" i="3"/>
  <c r="S345" i="3"/>
  <c r="S344" i="3"/>
  <c r="S367" i="3"/>
  <c r="S374" i="3"/>
  <c r="S405" i="3"/>
  <c r="S336" i="3"/>
  <c r="S56" i="3"/>
  <c r="S22" i="3"/>
  <c r="S53" i="3"/>
  <c r="S101" i="3"/>
  <c r="S113" i="3"/>
  <c r="S124" i="3"/>
  <c r="S138" i="3"/>
  <c r="S35" i="3"/>
  <c r="S58" i="3"/>
  <c r="S89" i="3"/>
  <c r="S169" i="3"/>
  <c r="S183" i="3"/>
  <c r="S173" i="3"/>
  <c r="S147" i="3"/>
  <c r="S178" i="3"/>
  <c r="S287" i="3"/>
  <c r="S238" i="3"/>
  <c r="S205" i="3"/>
  <c r="S309" i="3"/>
  <c r="S276" i="3"/>
  <c r="S219" i="3"/>
  <c r="S226" i="3"/>
  <c r="S314" i="3"/>
  <c r="S273" i="3"/>
  <c r="S216" i="3"/>
  <c r="S335" i="3"/>
  <c r="S353" i="3"/>
  <c r="S360" i="3"/>
  <c r="S375" i="3"/>
  <c r="S382" i="3"/>
  <c r="S341" i="3"/>
  <c r="S347" i="3"/>
  <c r="S9" i="3"/>
  <c r="S64" i="3"/>
  <c r="S30" i="3"/>
  <c r="S69" i="3"/>
  <c r="S103" i="3"/>
  <c r="S114" i="3"/>
  <c r="S127" i="3"/>
  <c r="S16" i="3"/>
  <c r="S51" i="3"/>
  <c r="S74" i="3"/>
  <c r="S63" i="3"/>
  <c r="S177" i="3"/>
  <c r="S150" i="3"/>
  <c r="S181" i="3"/>
  <c r="S155" i="3"/>
  <c r="S194" i="3"/>
  <c r="S295" i="3"/>
  <c r="S246" i="3"/>
  <c r="S221" i="3"/>
  <c r="S317" i="3"/>
  <c r="S284" i="3"/>
  <c r="S235" i="3"/>
  <c r="S234" i="3"/>
  <c r="S322" i="3"/>
  <c r="S289" i="3"/>
  <c r="S232" i="3"/>
  <c r="S346" i="3"/>
  <c r="S377" i="3"/>
  <c r="S368" i="3"/>
  <c r="S391" i="3"/>
  <c r="S398" i="3"/>
  <c r="S348" i="3"/>
  <c r="S355" i="3"/>
  <c r="S12" i="3"/>
  <c r="S72" i="3"/>
  <c r="S46" i="3"/>
  <c r="S85" i="3"/>
  <c r="S104" i="3"/>
  <c r="S115" i="3"/>
  <c r="S129" i="3"/>
  <c r="S20" i="3"/>
  <c r="S59" i="3"/>
  <c r="S25" i="3"/>
  <c r="S79" i="3"/>
  <c r="S185" i="3"/>
  <c r="S166" i="3"/>
  <c r="S189" i="3"/>
  <c r="S163" i="3"/>
  <c r="S215" i="3"/>
  <c r="S303" i="3"/>
  <c r="S254" i="3"/>
  <c r="S237" i="3"/>
  <c r="S204" i="3"/>
  <c r="S292" i="3"/>
  <c r="S259" i="3"/>
  <c r="S242" i="3"/>
  <c r="S201" i="3"/>
  <c r="S305" i="3"/>
  <c r="S240" i="3"/>
  <c r="S354" i="3"/>
  <c r="S393" i="3"/>
  <c r="S376" i="3"/>
  <c r="S399" i="3"/>
  <c r="S349" i="3"/>
  <c r="S356" i="3"/>
  <c r="S363" i="3"/>
  <c r="S13" i="3"/>
  <c r="S80" i="3"/>
  <c r="S62" i="3"/>
  <c r="S93" i="3"/>
  <c r="S105" i="3"/>
  <c r="S117" i="3"/>
  <c r="S130" i="3"/>
  <c r="S28" i="3"/>
  <c r="S75" i="3"/>
  <c r="S41" i="3"/>
  <c r="S92" i="3"/>
  <c r="S152" i="3"/>
  <c r="S174" i="3"/>
  <c r="S148" i="3"/>
  <c r="S179" i="3"/>
  <c r="S223" i="3"/>
  <c r="S311" i="3"/>
  <c r="S278" i="3"/>
  <c r="S245" i="3"/>
  <c r="S212" i="3"/>
  <c r="S308" i="3"/>
  <c r="S267" i="3"/>
  <c r="S250" i="3"/>
  <c r="S217" i="3"/>
  <c r="S313" i="3"/>
  <c r="S248" i="3"/>
  <c r="S370" i="3"/>
  <c r="S401" i="3"/>
  <c r="S384" i="3"/>
  <c r="S333" i="3"/>
  <c r="S365" i="3"/>
  <c r="S364" i="3"/>
  <c r="S387" i="3"/>
  <c r="S14" i="3"/>
  <c r="S88" i="3"/>
  <c r="S78" i="3"/>
  <c r="S95" i="3"/>
  <c r="S106" i="3"/>
  <c r="S120" i="3"/>
  <c r="S131" i="3"/>
  <c r="S44" i="3"/>
  <c r="S19" i="3"/>
  <c r="S49" i="3"/>
  <c r="S81" i="3"/>
  <c r="S151" i="3"/>
  <c r="S182" i="3"/>
  <c r="S156" i="3"/>
  <c r="S195" i="3"/>
  <c r="S231" i="3"/>
  <c r="S319" i="3"/>
  <c r="S294" i="3"/>
  <c r="S253" i="3"/>
  <c r="S220" i="3"/>
  <c r="S332" i="3"/>
  <c r="S275" i="3"/>
  <c r="S258" i="3"/>
  <c r="S233" i="3"/>
  <c r="S329" i="3"/>
  <c r="S256" i="3"/>
  <c r="S394" i="3"/>
  <c r="S307" i="3"/>
  <c r="S400" i="3"/>
  <c r="S342" i="3"/>
  <c r="S373" i="3"/>
  <c r="S372" i="3"/>
  <c r="S403" i="3"/>
  <c r="T12" i="3"/>
  <c r="T25" i="3"/>
  <c r="T89" i="3"/>
  <c r="T39" i="3"/>
  <c r="T38" i="3"/>
  <c r="AD38" i="3" s="1"/>
  <c r="T29" i="3"/>
  <c r="T28" i="3"/>
  <c r="T27" i="3"/>
  <c r="T26" i="3"/>
  <c r="T91" i="3"/>
  <c r="AD91" i="3" s="1"/>
  <c r="T121" i="3"/>
  <c r="T120" i="3"/>
  <c r="T110" i="3"/>
  <c r="T125" i="3"/>
  <c r="T99" i="3"/>
  <c r="T154" i="3"/>
  <c r="T119" i="3"/>
  <c r="T184" i="3"/>
  <c r="T183" i="3"/>
  <c r="T182" i="3"/>
  <c r="AD182" i="3" s="1"/>
  <c r="T181" i="3"/>
  <c r="T164" i="3"/>
  <c r="AD164" i="3" s="1"/>
  <c r="T155" i="3"/>
  <c r="T208" i="3"/>
  <c r="T272" i="3"/>
  <c r="T161" i="3"/>
  <c r="T263" i="3"/>
  <c r="T206" i="3"/>
  <c r="T270" i="3"/>
  <c r="T205" i="3"/>
  <c r="AD205" i="3" s="1"/>
  <c r="T269" i="3"/>
  <c r="AD269" i="3" s="1"/>
  <c r="T333" i="3"/>
  <c r="T244" i="3"/>
  <c r="T203" i="3"/>
  <c r="T267" i="3"/>
  <c r="T13" i="3"/>
  <c r="T41" i="3"/>
  <c r="T40" i="3"/>
  <c r="T71" i="3"/>
  <c r="T78" i="3"/>
  <c r="T77" i="3"/>
  <c r="T84" i="3"/>
  <c r="AD84" i="3" s="1"/>
  <c r="T34" i="3"/>
  <c r="T106" i="3"/>
  <c r="AD106" i="3" s="1"/>
  <c r="T80" i="3"/>
  <c r="T103" i="3"/>
  <c r="T101" i="3"/>
  <c r="T124" i="3"/>
  <c r="T146" i="3"/>
  <c r="T126" i="3"/>
  <c r="T132" i="3"/>
  <c r="AD132" i="3" s="1"/>
  <c r="T142" i="3"/>
  <c r="AD142" i="3" s="1"/>
  <c r="T149" i="3"/>
  <c r="AD149" i="3" s="1"/>
  <c r="T140" i="3"/>
  <c r="AD140" i="3" s="1"/>
  <c r="T139" i="3"/>
  <c r="AD139" i="3" s="1"/>
  <c r="T200" i="3"/>
  <c r="T280" i="3"/>
  <c r="T215" i="3"/>
  <c r="T287" i="3"/>
  <c r="T238" i="3"/>
  <c r="T310" i="3"/>
  <c r="T253" i="3"/>
  <c r="T325" i="3"/>
  <c r="T252" i="3"/>
  <c r="AD252" i="3" s="1"/>
  <c r="T219" i="3"/>
  <c r="AD219" i="3" s="1"/>
  <c r="T291" i="3"/>
  <c r="AD291" i="3" s="1"/>
  <c r="T210" i="3"/>
  <c r="T274" i="3"/>
  <c r="T338" i="3"/>
  <c r="T257" i="3"/>
  <c r="AD257" i="3" s="1"/>
  <c r="T340" i="3"/>
  <c r="T403" i="3"/>
  <c r="AD403" i="3" s="1"/>
  <c r="T386" i="3"/>
  <c r="T377" i="3"/>
  <c r="T352" i="3"/>
  <c r="T327" i="3"/>
  <c r="T15" i="3"/>
  <c r="AD15" i="3" s="1"/>
  <c r="T57" i="3"/>
  <c r="AD57" i="3" s="1"/>
  <c r="T56" i="3"/>
  <c r="T22" i="3"/>
  <c r="T21" i="3"/>
  <c r="T36" i="3"/>
  <c r="T43" i="3"/>
  <c r="T50" i="3"/>
  <c r="T122" i="3"/>
  <c r="T96" i="3"/>
  <c r="T94" i="3"/>
  <c r="AD94" i="3" s="1"/>
  <c r="T117" i="3"/>
  <c r="T107" i="3"/>
  <c r="T170" i="3"/>
  <c r="T144" i="3"/>
  <c r="AD144" i="3" s="1"/>
  <c r="T151" i="3"/>
  <c r="T158" i="3"/>
  <c r="T165" i="3"/>
  <c r="T156" i="3"/>
  <c r="T163" i="3"/>
  <c r="T224" i="3"/>
  <c r="T296" i="3"/>
  <c r="T231" i="3"/>
  <c r="T303" i="3"/>
  <c r="T254" i="3"/>
  <c r="T177" i="3"/>
  <c r="T277" i="3"/>
  <c r="AD277" i="3" s="1"/>
  <c r="T198" i="3"/>
  <c r="T268" i="3"/>
  <c r="T235" i="3"/>
  <c r="AD235" i="3" s="1"/>
  <c r="T307" i="3"/>
  <c r="AD307" i="3" s="1"/>
  <c r="T226" i="3"/>
  <c r="T290" i="3"/>
  <c r="T209" i="3"/>
  <c r="T273" i="3"/>
  <c r="T355" i="3"/>
  <c r="T335" i="3"/>
  <c r="T402" i="3"/>
  <c r="T393" i="3"/>
  <c r="T368" i="3"/>
  <c r="T351" i="3"/>
  <c r="T342" i="3"/>
  <c r="T313" i="3"/>
  <c r="AD313" i="3" s="1"/>
  <c r="T397" i="3"/>
  <c r="T372" i="3"/>
  <c r="T8" i="3"/>
  <c r="T19" i="3"/>
  <c r="T48" i="3"/>
  <c r="T46" i="3"/>
  <c r="T61" i="3"/>
  <c r="T35" i="3"/>
  <c r="T66" i="3"/>
  <c r="AD66" i="3" s="1"/>
  <c r="T129" i="3"/>
  <c r="T85" i="3"/>
  <c r="T72" i="3"/>
  <c r="T134" i="3"/>
  <c r="AD134" i="3" s="1"/>
  <c r="T137" i="3"/>
  <c r="T167" i="3"/>
  <c r="T131" i="3"/>
  <c r="T148" i="3"/>
  <c r="T179" i="3"/>
  <c r="T256" i="3"/>
  <c r="T223" i="3"/>
  <c r="T319" i="3"/>
  <c r="T294" i="3"/>
  <c r="T261" i="3"/>
  <c r="AD261" i="3" s="1"/>
  <c r="T212" i="3"/>
  <c r="T193" i="3"/>
  <c r="T299" i="3"/>
  <c r="T242" i="3"/>
  <c r="T322" i="3"/>
  <c r="T265" i="3"/>
  <c r="AD265" i="3" s="1"/>
  <c r="T371" i="3"/>
  <c r="T370" i="3"/>
  <c r="T385" i="3"/>
  <c r="T384" i="3"/>
  <c r="T383" i="3"/>
  <c r="T382" i="3"/>
  <c r="AD382" i="3" s="1"/>
  <c r="T381" i="3"/>
  <c r="AD381" i="3" s="1"/>
  <c r="T364" i="3"/>
  <c r="T9" i="3"/>
  <c r="AD9" i="3" s="1"/>
  <c r="T33" i="3"/>
  <c r="T23" i="3"/>
  <c r="T54" i="3"/>
  <c r="T69" i="3"/>
  <c r="T51" i="3"/>
  <c r="T74" i="3"/>
  <c r="T64" i="3"/>
  <c r="T102" i="3"/>
  <c r="T100" i="3"/>
  <c r="T138" i="3"/>
  <c r="T152" i="3"/>
  <c r="T175" i="3"/>
  <c r="T141" i="3"/>
  <c r="T172" i="3"/>
  <c r="T187" i="3"/>
  <c r="T264" i="3"/>
  <c r="T239" i="3"/>
  <c r="T214" i="3"/>
  <c r="T302" i="3"/>
  <c r="T285" i="3"/>
  <c r="T220" i="3"/>
  <c r="T211" i="3"/>
  <c r="T315" i="3"/>
  <c r="T250" i="3"/>
  <c r="AD250" i="3" s="1"/>
  <c r="T330" i="3"/>
  <c r="T281" i="3"/>
  <c r="T379" i="3"/>
  <c r="T378" i="3"/>
  <c r="T401" i="3"/>
  <c r="AD401" i="3" s="1"/>
  <c r="T392" i="3"/>
  <c r="T391" i="3"/>
  <c r="T390" i="3"/>
  <c r="T389" i="3"/>
  <c r="T380" i="3"/>
  <c r="T10" i="3"/>
  <c r="T49" i="3"/>
  <c r="AD49" i="3" s="1"/>
  <c r="T31" i="3"/>
  <c r="AD31" i="3" s="1"/>
  <c r="T62" i="3"/>
  <c r="T20" i="3"/>
  <c r="T59" i="3"/>
  <c r="T87" i="3"/>
  <c r="T90" i="3"/>
  <c r="T118" i="3"/>
  <c r="T108" i="3"/>
  <c r="AD108" i="3" s="1"/>
  <c r="T162" i="3"/>
  <c r="T160" i="3"/>
  <c r="T191" i="3"/>
  <c r="AD191" i="3" s="1"/>
  <c r="T157" i="3"/>
  <c r="T180" i="3"/>
  <c r="T195" i="3"/>
  <c r="T288" i="3"/>
  <c r="T247" i="3"/>
  <c r="T222" i="3"/>
  <c r="T318" i="3"/>
  <c r="T293" i="3"/>
  <c r="T228" i="3"/>
  <c r="T227" i="3"/>
  <c r="T323" i="3"/>
  <c r="T258" i="3"/>
  <c r="T201" i="3"/>
  <c r="T289" i="3"/>
  <c r="T387" i="3"/>
  <c r="T394" i="3"/>
  <c r="T324" i="3"/>
  <c r="AD324" i="3" s="1"/>
  <c r="T400" i="3"/>
  <c r="T399" i="3"/>
  <c r="T398" i="3"/>
  <c r="T405" i="3"/>
  <c r="T388" i="3"/>
  <c r="T11" i="3"/>
  <c r="T65" i="3"/>
  <c r="T47" i="3"/>
  <c r="T70" i="3"/>
  <c r="T44" i="3"/>
  <c r="AD44" i="3" s="1"/>
  <c r="T67" i="3"/>
  <c r="T98" i="3"/>
  <c r="AD98" i="3" s="1"/>
  <c r="T104" i="3"/>
  <c r="AD104" i="3" s="1"/>
  <c r="T82" i="3"/>
  <c r="T116" i="3"/>
  <c r="T178" i="3"/>
  <c r="T168" i="3"/>
  <c r="T199" i="3"/>
  <c r="T173" i="3"/>
  <c r="T188" i="3"/>
  <c r="T185" i="3"/>
  <c r="T304" i="3"/>
  <c r="T255" i="3"/>
  <c r="T230" i="3"/>
  <c r="AD230" i="3" s="1"/>
  <c r="T213" i="3"/>
  <c r="T301" i="3"/>
  <c r="T236" i="3"/>
  <c r="AD236" i="3" s="1"/>
  <c r="T243" i="3"/>
  <c r="T331" i="3"/>
  <c r="T266" i="3"/>
  <c r="T217" i="3"/>
  <c r="T305" i="3"/>
  <c r="T395" i="3"/>
  <c r="T297" i="3"/>
  <c r="T334" i="3"/>
  <c r="T321" i="3"/>
  <c r="T316" i="3"/>
  <c r="T337" i="3"/>
  <c r="T308" i="3"/>
  <c r="T396" i="3"/>
  <c r="T14" i="3"/>
  <c r="T73" i="3"/>
  <c r="T55" i="3"/>
  <c r="T86" i="3"/>
  <c r="T52" i="3"/>
  <c r="AD52" i="3" s="1"/>
  <c r="T75" i="3"/>
  <c r="T114" i="3"/>
  <c r="T112" i="3"/>
  <c r="T88" i="3"/>
  <c r="T92" i="3"/>
  <c r="T186" i="3"/>
  <c r="AD186" i="3" s="1"/>
  <c r="T176" i="3"/>
  <c r="AD176" i="3" s="1"/>
  <c r="T150" i="3"/>
  <c r="T189" i="3"/>
  <c r="AD189" i="3" s="1"/>
  <c r="T196" i="3"/>
  <c r="T216" i="3"/>
  <c r="AD216" i="3" s="1"/>
  <c r="T312" i="3"/>
  <c r="T271" i="3"/>
  <c r="T246" i="3"/>
  <c r="T221" i="3"/>
  <c r="T309" i="3"/>
  <c r="T260" i="3"/>
  <c r="T251" i="3"/>
  <c r="AD251" i="3" s="1"/>
  <c r="T169" i="3"/>
  <c r="T282" i="3"/>
  <c r="T225" i="3"/>
  <c r="AD225" i="3" s="1"/>
  <c r="T329" i="3"/>
  <c r="AD329" i="3" s="1"/>
  <c r="T300" i="3"/>
  <c r="T345" i="3"/>
  <c r="T339" i="3"/>
  <c r="T343" i="3"/>
  <c r="T350" i="3"/>
  <c r="T349" i="3"/>
  <c r="T326" i="3"/>
  <c r="T404" i="3"/>
  <c r="T16" i="3"/>
  <c r="T81" i="3"/>
  <c r="AD81" i="3" s="1"/>
  <c r="T63" i="3"/>
  <c r="T37" i="3"/>
  <c r="T60" i="3"/>
  <c r="T83" i="3"/>
  <c r="T97" i="3"/>
  <c r="T128" i="3"/>
  <c r="AD128" i="3" s="1"/>
  <c r="T93" i="3"/>
  <c r="T115" i="3"/>
  <c r="T194" i="3"/>
  <c r="T192" i="3"/>
  <c r="T166" i="3"/>
  <c r="T197" i="3"/>
  <c r="T127" i="3"/>
  <c r="T232" i="3"/>
  <c r="T320" i="3"/>
  <c r="T279" i="3"/>
  <c r="T262" i="3"/>
  <c r="T229" i="3"/>
  <c r="AD229" i="3" s="1"/>
  <c r="T317" i="3"/>
  <c r="T276" i="3"/>
  <c r="T259" i="3"/>
  <c r="T202" i="3"/>
  <c r="T298" i="3"/>
  <c r="T233" i="3"/>
  <c r="T336" i="3"/>
  <c r="T346" i="3"/>
  <c r="T353" i="3"/>
  <c r="T344" i="3"/>
  <c r="T359" i="3"/>
  <c r="T358" i="3"/>
  <c r="T357" i="3"/>
  <c r="T332" i="3"/>
  <c r="T17" i="3"/>
  <c r="T24" i="3"/>
  <c r="T79" i="3"/>
  <c r="T45" i="3"/>
  <c r="T68" i="3"/>
  <c r="T42" i="3"/>
  <c r="T105" i="3"/>
  <c r="T136" i="3"/>
  <c r="T109" i="3"/>
  <c r="T123" i="3"/>
  <c r="T145" i="3"/>
  <c r="T143" i="3"/>
  <c r="T174" i="3"/>
  <c r="T111" i="3"/>
  <c r="T147" i="3"/>
  <c r="T240" i="3"/>
  <c r="T328" i="3"/>
  <c r="T295" i="3"/>
  <c r="T278" i="3"/>
  <c r="T237" i="3"/>
  <c r="T341" i="3"/>
  <c r="T284" i="3"/>
  <c r="T275" i="3"/>
  <c r="T218" i="3"/>
  <c r="T306" i="3"/>
  <c r="AD306" i="3" s="1"/>
  <c r="T241" i="3"/>
  <c r="AD241" i="3" s="1"/>
  <c r="T347" i="3"/>
  <c r="T354" i="3"/>
  <c r="T361" i="3"/>
  <c r="T360" i="3"/>
  <c r="AD360" i="3" s="1"/>
  <c r="T367" i="3"/>
  <c r="AD367" i="3" s="1"/>
  <c r="T366" i="3"/>
  <c r="AD366" i="3" s="1"/>
  <c r="T365" i="3"/>
  <c r="T348" i="3"/>
  <c r="AD348" i="3" s="1"/>
  <c r="T18" i="3"/>
  <c r="AD18" i="3" s="1"/>
  <c r="T32" i="3"/>
  <c r="T30" i="3"/>
  <c r="AD30" i="3" s="1"/>
  <c r="T53" i="3"/>
  <c r="T76" i="3"/>
  <c r="T58" i="3"/>
  <c r="T113" i="3"/>
  <c r="T95" i="3"/>
  <c r="T133" i="3"/>
  <c r="T130" i="3"/>
  <c r="T153" i="3"/>
  <c r="AD153" i="3" s="1"/>
  <c r="T159" i="3"/>
  <c r="AD159" i="3" s="1"/>
  <c r="T190" i="3"/>
  <c r="AD190" i="3" s="1"/>
  <c r="T135" i="3"/>
  <c r="T171" i="3"/>
  <c r="T248" i="3"/>
  <c r="T207" i="3"/>
  <c r="AD207" i="3" s="1"/>
  <c r="T311" i="3"/>
  <c r="T286" i="3"/>
  <c r="AD286" i="3" s="1"/>
  <c r="T245" i="3"/>
  <c r="T204" i="3"/>
  <c r="AD204" i="3" s="1"/>
  <c r="T292" i="3"/>
  <c r="AD292" i="3" s="1"/>
  <c r="T283" i="3"/>
  <c r="T234" i="3"/>
  <c r="T314" i="3"/>
  <c r="T249" i="3"/>
  <c r="T363" i="3"/>
  <c r="T362" i="3"/>
  <c r="T369" i="3"/>
  <c r="T376" i="3"/>
  <c r="AD376" i="3" s="1"/>
  <c r="T375" i="3"/>
  <c r="T374" i="3"/>
  <c r="T373" i="3"/>
  <c r="T356" i="3"/>
  <c r="T7" i="3"/>
  <c r="AB825" i="3"/>
  <c r="AB1014" i="3"/>
  <c r="AB892" i="3"/>
  <c r="W697" i="3"/>
  <c r="AB67" i="3"/>
  <c r="AB196" i="3"/>
  <c r="AB242" i="3"/>
  <c r="AB901" i="3"/>
  <c r="AB165" i="3"/>
  <c r="AB193" i="3"/>
  <c r="AB81" i="3"/>
  <c r="AB550" i="3"/>
  <c r="AB954" i="3"/>
  <c r="AB182" i="3"/>
  <c r="AB1059" i="3"/>
  <c r="AB628" i="3"/>
  <c r="AB1012" i="3"/>
  <c r="AB987" i="3"/>
  <c r="E3" i="3"/>
  <c r="K4" i="1"/>
  <c r="J4" i="1"/>
  <c r="W885" i="3"/>
  <c r="AB714" i="3"/>
  <c r="AB860" i="3"/>
  <c r="J11" i="1"/>
  <c r="J15" i="1"/>
  <c r="K15" i="1"/>
  <c r="J7" i="1"/>
  <c r="J9" i="1"/>
  <c r="K7" i="1"/>
  <c r="K13" i="1"/>
  <c r="J6" i="1"/>
  <c r="K10" i="1"/>
  <c r="T1468" i="3"/>
  <c r="T1469" i="3"/>
  <c r="T411" i="3"/>
  <c r="T475" i="3"/>
  <c r="T410" i="3"/>
  <c r="T474" i="3"/>
  <c r="T433" i="3"/>
  <c r="T497" i="3"/>
  <c r="T416" i="3"/>
  <c r="T480" i="3"/>
  <c r="T415" i="3"/>
  <c r="T479" i="3"/>
  <c r="T438" i="3"/>
  <c r="T461" i="3"/>
  <c r="T460" i="3"/>
  <c r="T537" i="3"/>
  <c r="T601" i="3"/>
  <c r="T560" i="3"/>
  <c r="T543" i="3"/>
  <c r="T520" i="3"/>
  <c r="T582" i="3"/>
  <c r="T533" i="3"/>
  <c r="T597" i="3"/>
  <c r="T556" i="3"/>
  <c r="T523" i="3"/>
  <c r="T587" i="3"/>
  <c r="T570" i="3"/>
  <c r="T613" i="3"/>
  <c r="T621" i="3"/>
  <c r="T629" i="3"/>
  <c r="T637" i="3"/>
  <c r="T609" i="3"/>
  <c r="T677" i="3"/>
  <c r="T741" i="3"/>
  <c r="T644" i="3"/>
  <c r="T708" i="3"/>
  <c r="T772" i="3"/>
  <c r="T691" i="3"/>
  <c r="T755" i="3"/>
  <c r="T666" i="3"/>
  <c r="T730" i="3"/>
  <c r="T794" i="3"/>
  <c r="T705" i="3"/>
  <c r="T769" i="3"/>
  <c r="T680" i="3"/>
  <c r="T744" i="3"/>
  <c r="T655" i="3"/>
  <c r="T719" i="3"/>
  <c r="T783" i="3"/>
  <c r="T694" i="3"/>
  <c r="T758" i="3"/>
  <c r="T824" i="3"/>
  <c r="T799" i="3"/>
  <c r="T863" i="3"/>
  <c r="T822" i="3"/>
  <c r="T886" i="3"/>
  <c r="T853" i="3"/>
  <c r="T820" i="3"/>
  <c r="T884" i="3"/>
  <c r="T859" i="3"/>
  <c r="T818" i="3"/>
  <c r="T882" i="3"/>
  <c r="T857" i="3"/>
  <c r="T912" i="3"/>
  <c r="T976" i="3"/>
  <c r="T1040" i="3"/>
  <c r="T943" i="3"/>
  <c r="T1007" i="3"/>
  <c r="T902" i="3"/>
  <c r="T966" i="3"/>
  <c r="T1030" i="3"/>
  <c r="T925" i="3"/>
  <c r="T989" i="3"/>
  <c r="T1053" i="3"/>
  <c r="T956" i="3"/>
  <c r="T1020" i="3"/>
  <c r="T923" i="3"/>
  <c r="T987" i="3"/>
  <c r="T1051" i="3"/>
  <c r="T938" i="3"/>
  <c r="T1002" i="3"/>
  <c r="T905" i="3"/>
  <c r="T969" i="3"/>
  <c r="T1033" i="3"/>
  <c r="T1092" i="3"/>
  <c r="T427" i="3"/>
  <c r="T491" i="3"/>
  <c r="T426" i="3"/>
  <c r="T490" i="3"/>
  <c r="T449" i="3"/>
  <c r="T513" i="3"/>
  <c r="T432" i="3"/>
  <c r="T496" i="3"/>
  <c r="T431" i="3"/>
  <c r="T495" i="3"/>
  <c r="T454" i="3"/>
  <c r="T413" i="3"/>
  <c r="T477" i="3"/>
  <c r="T412" i="3"/>
  <c r="T476" i="3"/>
  <c r="T553" i="3"/>
  <c r="T506" i="3"/>
  <c r="T576" i="3"/>
  <c r="T559" i="3"/>
  <c r="T534" i="3"/>
  <c r="T598" i="3"/>
  <c r="T549" i="3"/>
  <c r="T514" i="3"/>
  <c r="T572" i="3"/>
  <c r="T539" i="3"/>
  <c r="T517" i="3"/>
  <c r="T586" i="3"/>
  <c r="T615" i="3"/>
  <c r="T623" i="3"/>
  <c r="T631" i="3"/>
  <c r="T639" i="3"/>
  <c r="T607" i="3"/>
  <c r="T693" i="3"/>
  <c r="T757" i="3"/>
  <c r="T660" i="3"/>
  <c r="T724" i="3"/>
  <c r="T788" i="3"/>
  <c r="T707" i="3"/>
  <c r="T771" i="3"/>
  <c r="T682" i="3"/>
  <c r="T746" i="3"/>
  <c r="T657" i="3"/>
  <c r="T721" i="3"/>
  <c r="T785" i="3"/>
  <c r="T696" i="3"/>
  <c r="T760" i="3"/>
  <c r="T671" i="3"/>
  <c r="T735" i="3"/>
  <c r="T646" i="3"/>
  <c r="T710" i="3"/>
  <c r="T774" i="3"/>
  <c r="T840" i="3"/>
  <c r="T815" i="3"/>
  <c r="T879" i="3"/>
  <c r="T838" i="3"/>
  <c r="T805" i="3"/>
  <c r="T869" i="3"/>
  <c r="T836" i="3"/>
  <c r="T811" i="3"/>
  <c r="T875" i="3"/>
  <c r="T834" i="3"/>
  <c r="T809" i="3"/>
  <c r="T873" i="3"/>
  <c r="T928" i="3"/>
  <c r="T992" i="3"/>
  <c r="T1056" i="3"/>
  <c r="T959" i="3"/>
  <c r="T1023" i="3"/>
  <c r="T918" i="3"/>
  <c r="T982" i="3"/>
  <c r="T1046" i="3"/>
  <c r="T941" i="3"/>
  <c r="T1005" i="3"/>
  <c r="T908" i="3"/>
  <c r="T972" i="3"/>
  <c r="T1036" i="3"/>
  <c r="T939" i="3"/>
  <c r="T1003" i="3"/>
  <c r="T892" i="3"/>
  <c r="T954" i="3"/>
  <c r="T1018" i="3"/>
  <c r="T921" i="3"/>
  <c r="T985" i="3"/>
  <c r="T1049" i="3"/>
  <c r="T1108" i="3"/>
  <c r="T1172" i="3"/>
  <c r="T1115" i="3"/>
  <c r="T1179" i="3"/>
  <c r="AD1179" i="3" s="1"/>
  <c r="T1114" i="3"/>
  <c r="T1178" i="3"/>
  <c r="T1113" i="3"/>
  <c r="T1177" i="3"/>
  <c r="T1112" i="3"/>
  <c r="T1071" i="3"/>
  <c r="T1135" i="3"/>
  <c r="T1070" i="3"/>
  <c r="T1134" i="3"/>
  <c r="T1069" i="3"/>
  <c r="T1133" i="3"/>
  <c r="T1197" i="3"/>
  <c r="AD1197" i="3" s="1"/>
  <c r="T1188" i="3"/>
  <c r="AD1188" i="3" s="1"/>
  <c r="T1230" i="3"/>
  <c r="AD1230" i="3" s="1"/>
  <c r="T1238" i="3"/>
  <c r="AD1238" i="3" s="1"/>
  <c r="T1246" i="3"/>
  <c r="AD1246" i="3" s="1"/>
  <c r="T1254" i="3"/>
  <c r="AD1254" i="3" s="1"/>
  <c r="T1262" i="3"/>
  <c r="AD1262" i="3" s="1"/>
  <c r="T1270" i="3"/>
  <c r="AD1270" i="3" s="1"/>
  <c r="T1278" i="3"/>
  <c r="AD1278" i="3" s="1"/>
  <c r="T1286" i="3"/>
  <c r="AD1286" i="3" s="1"/>
  <c r="T1294" i="3"/>
  <c r="AD1294" i="3" s="1"/>
  <c r="T1302" i="3"/>
  <c r="AD1302" i="3" s="1"/>
  <c r="T1310" i="3"/>
  <c r="AD1310" i="3" s="1"/>
  <c r="T1318" i="3"/>
  <c r="AD1318" i="3" s="1"/>
  <c r="T1326" i="3"/>
  <c r="AD1326" i="3" s="1"/>
  <c r="T1334" i="3"/>
  <c r="AD1334" i="3" s="1"/>
  <c r="T1342" i="3"/>
  <c r="AD1342" i="3" s="1"/>
  <c r="T1350" i="3"/>
  <c r="AD1350" i="3" s="1"/>
  <c r="T1358" i="3"/>
  <c r="AD1358" i="3" s="1"/>
  <c r="T1366" i="3"/>
  <c r="AD1366" i="3" s="1"/>
  <c r="T1374" i="3"/>
  <c r="AD1374" i="3" s="1"/>
  <c r="T1209" i="3"/>
  <c r="AD1209" i="3" s="1"/>
  <c r="T1191" i="3"/>
  <c r="AD1191" i="3" s="1"/>
  <c r="T1214" i="3"/>
  <c r="AD1214" i="3" s="1"/>
  <c r="T1388" i="3"/>
  <c r="AD1388" i="3" s="1"/>
  <c r="T1452" i="3"/>
  <c r="AD1452" i="3" s="1"/>
  <c r="T1377" i="3"/>
  <c r="T1434" i="3"/>
  <c r="AD1434" i="3" s="1"/>
  <c r="T1401" i="3"/>
  <c r="AD1401" i="3" s="1"/>
  <c r="T1465" i="3"/>
  <c r="AD1465" i="3" s="1"/>
  <c r="T1408" i="3"/>
  <c r="T1391" i="3"/>
  <c r="AD1391" i="3" s="1"/>
  <c r="T1455" i="3"/>
  <c r="AD1455" i="3" s="1"/>
  <c r="T1406" i="3"/>
  <c r="AD1406" i="3" s="1"/>
  <c r="T1389" i="3"/>
  <c r="AD1389" i="3" s="1"/>
  <c r="T435" i="3"/>
  <c r="T499" i="3"/>
  <c r="T434" i="3"/>
  <c r="T498" i="3"/>
  <c r="T457" i="3"/>
  <c r="T521" i="3"/>
  <c r="T440" i="3"/>
  <c r="T504" i="3"/>
  <c r="T439" i="3"/>
  <c r="T462" i="3"/>
  <c r="T421" i="3"/>
  <c r="T485" i="3"/>
  <c r="T420" i="3"/>
  <c r="T484" i="3"/>
  <c r="T561" i="3"/>
  <c r="T516" i="3"/>
  <c r="T584" i="3"/>
  <c r="T567" i="3"/>
  <c r="T542" i="3"/>
  <c r="T606" i="3"/>
  <c r="T557" i="3"/>
  <c r="T519" i="3"/>
  <c r="T580" i="3"/>
  <c r="T547" i="3"/>
  <c r="T530" i="3"/>
  <c r="T594" i="3"/>
  <c r="T616" i="3"/>
  <c r="T624" i="3"/>
  <c r="T632" i="3"/>
  <c r="T640" i="3"/>
  <c r="T603" i="3"/>
  <c r="T701" i="3"/>
  <c r="T765" i="3"/>
  <c r="T668" i="3"/>
  <c r="T732" i="3"/>
  <c r="T651" i="3"/>
  <c r="T715" i="3"/>
  <c r="T779" i="3"/>
  <c r="T690" i="3"/>
  <c r="T754" i="3"/>
  <c r="T665" i="3"/>
  <c r="T729" i="3"/>
  <c r="T793" i="3"/>
  <c r="T704" i="3"/>
  <c r="T768" i="3"/>
  <c r="T679" i="3"/>
  <c r="T743" i="3"/>
  <c r="T654" i="3"/>
  <c r="T718" i="3"/>
  <c r="T782" i="3"/>
  <c r="T848" i="3"/>
  <c r="T823" i="3"/>
  <c r="T887" i="3"/>
  <c r="T846" i="3"/>
  <c r="T813" i="3"/>
  <c r="T877" i="3"/>
  <c r="T844" i="3"/>
  <c r="T819" i="3"/>
  <c r="T883" i="3"/>
  <c r="T842" i="3"/>
  <c r="T817" i="3"/>
  <c r="T881" i="3"/>
  <c r="T936" i="3"/>
  <c r="T1000" i="3"/>
  <c r="T903" i="3"/>
  <c r="T967" i="3"/>
  <c r="T1031" i="3"/>
  <c r="T926" i="3"/>
  <c r="T990" i="3"/>
  <c r="T1054" i="3"/>
  <c r="T949" i="3"/>
  <c r="T1013" i="3"/>
  <c r="T916" i="3"/>
  <c r="T980" i="3"/>
  <c r="T1044" i="3"/>
  <c r="T947" i="3"/>
  <c r="T1011" i="3"/>
  <c r="T898" i="3"/>
  <c r="T962" i="3"/>
  <c r="T1026" i="3"/>
  <c r="T929" i="3"/>
  <c r="T993" i="3"/>
  <c r="T1057" i="3"/>
  <c r="T1116" i="3"/>
  <c r="T1180" i="3"/>
  <c r="AD1180" i="3" s="1"/>
  <c r="T1123" i="3"/>
  <c r="T1187" i="3"/>
  <c r="AD1187" i="3" s="1"/>
  <c r="T1122" i="3"/>
  <c r="T1186" i="3"/>
  <c r="T1121" i="3"/>
  <c r="T1185" i="3"/>
  <c r="AD1185" i="3" s="1"/>
  <c r="T1120" i="3"/>
  <c r="T1079" i="3"/>
  <c r="T1143" i="3"/>
  <c r="T1078" i="3"/>
  <c r="T1142" i="3"/>
  <c r="T1077" i="3"/>
  <c r="T1141" i="3"/>
  <c r="T1205" i="3"/>
  <c r="T1195" i="3"/>
  <c r="T443" i="3"/>
  <c r="T507" i="3"/>
  <c r="T442" i="3"/>
  <c r="T465" i="3"/>
  <c r="T448" i="3"/>
  <c r="T512" i="3"/>
  <c r="T447" i="3"/>
  <c r="T406" i="3"/>
  <c r="T470" i="3"/>
  <c r="T429" i="3"/>
  <c r="T493" i="3"/>
  <c r="T428" i="3"/>
  <c r="T500" i="3"/>
  <c r="T569" i="3"/>
  <c r="T528" i="3"/>
  <c r="T592" i="3"/>
  <c r="T575" i="3"/>
  <c r="T550" i="3"/>
  <c r="T492" i="3"/>
  <c r="T565" i="3"/>
  <c r="T524" i="3"/>
  <c r="T588" i="3"/>
  <c r="T555" i="3"/>
  <c r="T538" i="3"/>
  <c r="T602" i="3"/>
  <c r="T617" i="3"/>
  <c r="T625" i="3"/>
  <c r="T633" i="3"/>
  <c r="T641" i="3"/>
  <c r="T645" i="3"/>
  <c r="T709" i="3"/>
  <c r="T773" i="3"/>
  <c r="T676" i="3"/>
  <c r="T740" i="3"/>
  <c r="T659" i="3"/>
  <c r="T723" i="3"/>
  <c r="T787" i="3"/>
  <c r="T698" i="3"/>
  <c r="T762" i="3"/>
  <c r="T673" i="3"/>
  <c r="T737" i="3"/>
  <c r="T451" i="3"/>
  <c r="T515" i="3"/>
  <c r="T450" i="3"/>
  <c r="T409" i="3"/>
  <c r="T473" i="3"/>
  <c r="T456" i="3"/>
  <c r="T455" i="3"/>
  <c r="T414" i="3"/>
  <c r="T478" i="3"/>
  <c r="T437" i="3"/>
  <c r="T501" i="3"/>
  <c r="T436" i="3"/>
  <c r="T510" i="3"/>
  <c r="T577" i="3"/>
  <c r="T536" i="3"/>
  <c r="T600" i="3"/>
  <c r="T583" i="3"/>
  <c r="T558" i="3"/>
  <c r="T502" i="3"/>
  <c r="T573" i="3"/>
  <c r="T532" i="3"/>
  <c r="T596" i="3"/>
  <c r="T563" i="3"/>
  <c r="T546" i="3"/>
  <c r="T610" i="3"/>
  <c r="T618" i="3"/>
  <c r="T626" i="3"/>
  <c r="T634" i="3"/>
  <c r="T642" i="3"/>
  <c r="T653" i="3"/>
  <c r="T717" i="3"/>
  <c r="T781" i="3"/>
  <c r="T684" i="3"/>
  <c r="T748" i="3"/>
  <c r="T667" i="3"/>
  <c r="T731" i="3"/>
  <c r="T795" i="3"/>
  <c r="T706" i="3"/>
  <c r="T770" i="3"/>
  <c r="T681" i="3"/>
  <c r="T745" i="3"/>
  <c r="T656" i="3"/>
  <c r="T720" i="3"/>
  <c r="T784" i="3"/>
  <c r="T695" i="3"/>
  <c r="T759" i="3"/>
  <c r="T670" i="3"/>
  <c r="T734" i="3"/>
  <c r="T800" i="3"/>
  <c r="T864" i="3"/>
  <c r="T839" i="3"/>
  <c r="T798" i="3"/>
  <c r="T862" i="3"/>
  <c r="T829" i="3"/>
  <c r="T893" i="3"/>
  <c r="T860" i="3"/>
  <c r="T835" i="3"/>
  <c r="T796" i="3"/>
  <c r="T858" i="3"/>
  <c r="T833" i="3"/>
  <c r="T897" i="3"/>
  <c r="T952" i="3"/>
  <c r="T1016" i="3"/>
  <c r="T919" i="3"/>
  <c r="T983" i="3"/>
  <c r="T1047" i="3"/>
  <c r="T942" i="3"/>
  <c r="T1006" i="3"/>
  <c r="T901" i="3"/>
  <c r="T965" i="3"/>
  <c r="T1029" i="3"/>
  <c r="T932" i="3"/>
  <c r="T996" i="3"/>
  <c r="T899" i="3"/>
  <c r="T963" i="3"/>
  <c r="T1027" i="3"/>
  <c r="T914" i="3"/>
  <c r="T978" i="3"/>
  <c r="T1042" i="3"/>
  <c r="T945" i="3"/>
  <c r="T1009" i="3"/>
  <c r="T1068" i="3"/>
  <c r="T1132" i="3"/>
  <c r="T459" i="3"/>
  <c r="T458" i="3"/>
  <c r="T417" i="3"/>
  <c r="T481" i="3"/>
  <c r="T464" i="3"/>
  <c r="T463" i="3"/>
  <c r="T422" i="3"/>
  <c r="T486" i="3"/>
  <c r="T445" i="3"/>
  <c r="T509" i="3"/>
  <c r="T444" i="3"/>
  <c r="T522" i="3"/>
  <c r="T585" i="3"/>
  <c r="T544" i="3"/>
  <c r="T527" i="3"/>
  <c r="T591" i="3"/>
  <c r="T566" i="3"/>
  <c r="T508" i="3"/>
  <c r="T581" i="3"/>
  <c r="T540" i="3"/>
  <c r="T604" i="3"/>
  <c r="T571" i="3"/>
  <c r="T554" i="3"/>
  <c r="T611" i="3"/>
  <c r="T619" i="3"/>
  <c r="T627" i="3"/>
  <c r="T635" i="3"/>
  <c r="T643" i="3"/>
  <c r="T661" i="3"/>
  <c r="T725" i="3"/>
  <c r="T789" i="3"/>
  <c r="T692" i="3"/>
  <c r="T756" i="3"/>
  <c r="T675" i="3"/>
  <c r="T739" i="3"/>
  <c r="T650" i="3"/>
  <c r="T714" i="3"/>
  <c r="T778" i="3"/>
  <c r="T689" i="3"/>
  <c r="T753" i="3"/>
  <c r="T664" i="3"/>
  <c r="T728" i="3"/>
  <c r="T792" i="3"/>
  <c r="T703" i="3"/>
  <c r="T767" i="3"/>
  <c r="T678" i="3"/>
  <c r="T742" i="3"/>
  <c r="T808" i="3"/>
  <c r="T872" i="3"/>
  <c r="T847" i="3"/>
  <c r="T806" i="3"/>
  <c r="T870" i="3"/>
  <c r="T837" i="3"/>
  <c r="T804" i="3"/>
  <c r="T868" i="3"/>
  <c r="T843" i="3"/>
  <c r="T802" i="3"/>
  <c r="T866" i="3"/>
  <c r="T841" i="3"/>
  <c r="T888" i="3"/>
  <c r="T960" i="3"/>
  <c r="T1024" i="3"/>
  <c r="T927" i="3"/>
  <c r="T991" i="3"/>
  <c r="T1055" i="3"/>
  <c r="T950" i="3"/>
  <c r="T1014" i="3"/>
  <c r="T909" i="3"/>
  <c r="T973" i="3"/>
  <c r="T1037" i="3"/>
  <c r="T940" i="3"/>
  <c r="T1004" i="3"/>
  <c r="T907" i="3"/>
  <c r="T971" i="3"/>
  <c r="T1035" i="3"/>
  <c r="T922" i="3"/>
  <c r="T986" i="3"/>
  <c r="T1050" i="3"/>
  <c r="T953" i="3"/>
  <c r="T1017" i="3"/>
  <c r="T467" i="3"/>
  <c r="T466" i="3"/>
  <c r="T425" i="3"/>
  <c r="T489" i="3"/>
  <c r="T408" i="3"/>
  <c r="T472" i="3"/>
  <c r="T407" i="3"/>
  <c r="T471" i="3"/>
  <c r="T441" i="3"/>
  <c r="T529" i="3"/>
  <c r="T599" i="3"/>
  <c r="T548" i="3"/>
  <c r="T612" i="3"/>
  <c r="T605" i="3"/>
  <c r="T700" i="3"/>
  <c r="T658" i="3"/>
  <c r="T761" i="3"/>
  <c r="T776" i="3"/>
  <c r="T791" i="3"/>
  <c r="T816" i="3"/>
  <c r="T895" i="3"/>
  <c r="T861" i="3"/>
  <c r="T851" i="3"/>
  <c r="T825" i="3"/>
  <c r="T984" i="3"/>
  <c r="T999" i="3"/>
  <c r="T998" i="3"/>
  <c r="T997" i="3"/>
  <c r="T1012" i="3"/>
  <c r="T1019" i="3"/>
  <c r="T1010" i="3"/>
  <c r="T1025" i="3"/>
  <c r="T1148" i="3"/>
  <c r="T1107" i="3"/>
  <c r="T1074" i="3"/>
  <c r="T1154" i="3"/>
  <c r="T1105" i="3"/>
  <c r="T1072" i="3"/>
  <c r="T1152" i="3"/>
  <c r="T1127" i="3"/>
  <c r="T1094" i="3"/>
  <c r="T1174" i="3"/>
  <c r="T1125" i="3"/>
  <c r="T1196" i="3"/>
  <c r="AD1196" i="3" s="1"/>
  <c r="T1227" i="3"/>
  <c r="AD1227" i="3" s="1"/>
  <c r="T1236" i="3"/>
  <c r="T1245" i="3"/>
  <c r="AD1245" i="3" s="1"/>
  <c r="T1255" i="3"/>
  <c r="T1264" i="3"/>
  <c r="AD1264" i="3" s="1"/>
  <c r="T1273" i="3"/>
  <c r="AD1273" i="3" s="1"/>
  <c r="T1282" i="3"/>
  <c r="AD1282" i="3" s="1"/>
  <c r="T1291" i="3"/>
  <c r="AD1291" i="3" s="1"/>
  <c r="T1300" i="3"/>
  <c r="AD1300" i="3" s="1"/>
  <c r="T1309" i="3"/>
  <c r="AD1309" i="3" s="1"/>
  <c r="T1319" i="3"/>
  <c r="AD1319" i="3" s="1"/>
  <c r="T1328" i="3"/>
  <c r="AD1328" i="3" s="1"/>
  <c r="T1337" i="3"/>
  <c r="AD1337" i="3" s="1"/>
  <c r="T1346" i="3"/>
  <c r="AD1346" i="3" s="1"/>
  <c r="T1355" i="3"/>
  <c r="AD1355" i="3" s="1"/>
  <c r="T1364" i="3"/>
  <c r="AD1364" i="3" s="1"/>
  <c r="T1373" i="3"/>
  <c r="AD1373" i="3" s="1"/>
  <c r="T1217" i="3"/>
  <c r="AD1217" i="3" s="1"/>
  <c r="T1207" i="3"/>
  <c r="AD1207" i="3" s="1"/>
  <c r="T1221" i="3"/>
  <c r="AD1221" i="3" s="1"/>
  <c r="T1420" i="3"/>
  <c r="AD1420" i="3" s="1"/>
  <c r="T1395" i="3"/>
  <c r="T1418" i="3"/>
  <c r="AD1418" i="3" s="1"/>
  <c r="T1393" i="3"/>
  <c r="AD1393" i="3" s="1"/>
  <c r="T1427" i="3"/>
  <c r="AD1427" i="3" s="1"/>
  <c r="T1424" i="3"/>
  <c r="T1415" i="3"/>
  <c r="AD1415" i="3" s="1"/>
  <c r="T1379" i="3"/>
  <c r="T1446" i="3"/>
  <c r="AD1446" i="3" s="1"/>
  <c r="T1437" i="3"/>
  <c r="AD1437" i="3" s="1"/>
  <c r="T419" i="3"/>
  <c r="T505" i="3"/>
  <c r="T423" i="3"/>
  <c r="T453" i="3"/>
  <c r="T545" i="3"/>
  <c r="T526" i="3"/>
  <c r="T564" i="3"/>
  <c r="T614" i="3"/>
  <c r="T608" i="3"/>
  <c r="T716" i="3"/>
  <c r="T674" i="3"/>
  <c r="T777" i="3"/>
  <c r="T647" i="3"/>
  <c r="T662" i="3"/>
  <c r="T832" i="3"/>
  <c r="T814" i="3"/>
  <c r="T885" i="3"/>
  <c r="T867" i="3"/>
  <c r="T849" i="3"/>
  <c r="T1008" i="3"/>
  <c r="T1015" i="3"/>
  <c r="T1022" i="3"/>
  <c r="T1021" i="3"/>
  <c r="T1028" i="3"/>
  <c r="T1043" i="3"/>
  <c r="T1034" i="3"/>
  <c r="T1041" i="3"/>
  <c r="T1156" i="3"/>
  <c r="T1131" i="3"/>
  <c r="T1082" i="3"/>
  <c r="T1162" i="3"/>
  <c r="T1129" i="3"/>
  <c r="T1080" i="3"/>
  <c r="T1160" i="3"/>
  <c r="T1151" i="3"/>
  <c r="T1102" i="3"/>
  <c r="T1182" i="3"/>
  <c r="AD1182" i="3" s="1"/>
  <c r="T1149" i="3"/>
  <c r="T1204" i="3"/>
  <c r="AD1204" i="3" s="1"/>
  <c r="T1228" i="3"/>
  <c r="AD1228" i="3" s="1"/>
  <c r="T1237" i="3"/>
  <c r="AD1237" i="3" s="1"/>
  <c r="T1247" i="3"/>
  <c r="T1256" i="3"/>
  <c r="T1265" i="3"/>
  <c r="T1274" i="3"/>
  <c r="T1283" i="3"/>
  <c r="T1292" i="3"/>
  <c r="AD1292" i="3" s="1"/>
  <c r="T1301" i="3"/>
  <c r="AD1301" i="3" s="1"/>
  <c r="T1311" i="3"/>
  <c r="T1320" i="3"/>
  <c r="T1329" i="3"/>
  <c r="T1338" i="3"/>
  <c r="T1347" i="3"/>
  <c r="T1356" i="3"/>
  <c r="AD1356" i="3" s="1"/>
  <c r="T1365" i="3"/>
  <c r="AD1365" i="3" s="1"/>
  <c r="T1375" i="3"/>
  <c r="T1192" i="3"/>
  <c r="T1215" i="3"/>
  <c r="T1224" i="3"/>
  <c r="AD1224" i="3" s="1"/>
  <c r="T1428" i="3"/>
  <c r="T1403" i="3"/>
  <c r="AD1403" i="3" s="1"/>
  <c r="T1426" i="3"/>
  <c r="AD1426" i="3" s="1"/>
  <c r="T1409" i="3"/>
  <c r="AD1409" i="3" s="1"/>
  <c r="T1451" i="3"/>
  <c r="AD1451" i="3" s="1"/>
  <c r="T1432" i="3"/>
  <c r="AD1432" i="3" s="1"/>
  <c r="T1423" i="3"/>
  <c r="AD1423" i="3" s="1"/>
  <c r="T1383" i="3"/>
  <c r="AD1383" i="3" s="1"/>
  <c r="T1454" i="3"/>
  <c r="T1445" i="3"/>
  <c r="AD1445" i="3" s="1"/>
  <c r="K5" i="1"/>
  <c r="T483" i="3"/>
  <c r="T487" i="3"/>
  <c r="T469" i="3"/>
  <c r="T593" i="3"/>
  <c r="T574" i="3"/>
  <c r="T518" i="3"/>
  <c r="T620" i="3"/>
  <c r="T669" i="3"/>
  <c r="T764" i="3"/>
  <c r="T722" i="3"/>
  <c r="T648" i="3"/>
  <c r="T663" i="3"/>
  <c r="T686" i="3"/>
  <c r="T856" i="3"/>
  <c r="T830" i="3"/>
  <c r="T812" i="3"/>
  <c r="T891" i="3"/>
  <c r="T865" i="3"/>
  <c r="T1032" i="3"/>
  <c r="T1039" i="3"/>
  <c r="T1038" i="3"/>
  <c r="T1045" i="3"/>
  <c r="T1052" i="3"/>
  <c r="T1059" i="3"/>
  <c r="T1058" i="3"/>
  <c r="T1060" i="3"/>
  <c r="T1164" i="3"/>
  <c r="T1139" i="3"/>
  <c r="T1090" i="3"/>
  <c r="T1170" i="3"/>
  <c r="T1137" i="3"/>
  <c r="T1088" i="3"/>
  <c r="T1063" i="3"/>
  <c r="T1159" i="3"/>
  <c r="T1110" i="3"/>
  <c r="T1061" i="3"/>
  <c r="T1157" i="3"/>
  <c r="T1212" i="3"/>
  <c r="AD1212" i="3" s="1"/>
  <c r="T1229" i="3"/>
  <c r="AD1229" i="3" s="1"/>
  <c r="T1239" i="3"/>
  <c r="AD1239" i="3" s="1"/>
  <c r="T1248" i="3"/>
  <c r="T1257" i="3"/>
  <c r="AD1257" i="3" s="1"/>
  <c r="T1266" i="3"/>
  <c r="AD1266" i="3" s="1"/>
  <c r="T1275" i="3"/>
  <c r="AD1275" i="3" s="1"/>
  <c r="T1284" i="3"/>
  <c r="AD1284" i="3" s="1"/>
  <c r="T1293" i="3"/>
  <c r="AD1293" i="3" s="1"/>
  <c r="T1303" i="3"/>
  <c r="AD1303" i="3" s="1"/>
  <c r="T1312" i="3"/>
  <c r="T1321" i="3"/>
  <c r="AD1321" i="3" s="1"/>
  <c r="T1330" i="3"/>
  <c r="AD1330" i="3" s="1"/>
  <c r="T1339" i="3"/>
  <c r="AD1339" i="3" s="1"/>
  <c r="T1348" i="3"/>
  <c r="AD1348" i="3" s="1"/>
  <c r="T1357" i="3"/>
  <c r="AD1357" i="3" s="1"/>
  <c r="T1367" i="3"/>
  <c r="AD1367" i="3" s="1"/>
  <c r="T1194" i="3"/>
  <c r="AD1194" i="3" s="1"/>
  <c r="T1200" i="3"/>
  <c r="AD1200" i="3" s="1"/>
  <c r="T1223" i="3"/>
  <c r="AD1223" i="3" s="1"/>
  <c r="T1226" i="3"/>
  <c r="AD1226" i="3" s="1"/>
  <c r="T1436" i="3"/>
  <c r="AD1436" i="3" s="1"/>
  <c r="T1411" i="3"/>
  <c r="AD1411" i="3" s="1"/>
  <c r="T1442" i="3"/>
  <c r="AD1442" i="3" s="1"/>
  <c r="T1417" i="3"/>
  <c r="AD1417" i="3" s="1"/>
  <c r="T1376" i="3"/>
  <c r="AD1376" i="3" s="1"/>
  <c r="T1440" i="3"/>
  <c r="AD1440" i="3" s="1"/>
  <c r="T1431" i="3"/>
  <c r="T1390" i="3"/>
  <c r="T1462" i="3"/>
  <c r="AD1462" i="3" s="1"/>
  <c r="T1453" i="3"/>
  <c r="AD1453" i="3" s="1"/>
  <c r="T503" i="3"/>
  <c r="T590" i="3"/>
  <c r="T531" i="3"/>
  <c r="T622" i="3"/>
  <c r="T685" i="3"/>
  <c r="T780" i="3"/>
  <c r="T738" i="3"/>
  <c r="T672" i="3"/>
  <c r="T687" i="3"/>
  <c r="T702" i="3"/>
  <c r="T880" i="3"/>
  <c r="T854" i="3"/>
  <c r="T828" i="3"/>
  <c r="T810" i="3"/>
  <c r="T889" i="3"/>
  <c r="T1048" i="3"/>
  <c r="T896" i="3"/>
  <c r="T890" i="3"/>
  <c r="T900" i="3"/>
  <c r="T915" i="3"/>
  <c r="T906" i="3"/>
  <c r="T913" i="3"/>
  <c r="T1076" i="3"/>
  <c r="T1067" i="3"/>
  <c r="T1147" i="3"/>
  <c r="T1098" i="3"/>
  <c r="T1065" i="3"/>
  <c r="T1145" i="3"/>
  <c r="T1096" i="3"/>
  <c r="T1087" i="3"/>
  <c r="T1167" i="3"/>
  <c r="T1118" i="3"/>
  <c r="T1085" i="3"/>
  <c r="T1165" i="3"/>
  <c r="T1220" i="3"/>
  <c r="T1231" i="3"/>
  <c r="AD1231" i="3" s="1"/>
  <c r="T1240" i="3"/>
  <c r="T1249" i="3"/>
  <c r="AD1249" i="3" s="1"/>
  <c r="T1258" i="3"/>
  <c r="AD1258" i="3" s="1"/>
  <c r="T1267" i="3"/>
  <c r="AD1267" i="3" s="1"/>
  <c r="T1276" i="3"/>
  <c r="T1285" i="3"/>
  <c r="AD1285" i="3" s="1"/>
  <c r="T1295" i="3"/>
  <c r="AD1295" i="3" s="1"/>
  <c r="T1304" i="3"/>
  <c r="T1313" i="3"/>
  <c r="AD1313" i="3" s="1"/>
  <c r="T1322" i="3"/>
  <c r="AD1322" i="3" s="1"/>
  <c r="T1331" i="3"/>
  <c r="AD1331" i="3" s="1"/>
  <c r="T1340" i="3"/>
  <c r="T1349" i="3"/>
  <c r="AD1349" i="3" s="1"/>
  <c r="T1359" i="3"/>
  <c r="AD1359" i="3" s="1"/>
  <c r="T1368" i="3"/>
  <c r="T1202" i="3"/>
  <c r="AD1202" i="3" s="1"/>
  <c r="T1208" i="3"/>
  <c r="AD1208" i="3" s="1"/>
  <c r="T1190" i="3"/>
  <c r="AD1190" i="3" s="1"/>
  <c r="T1378" i="3"/>
  <c r="AD1378" i="3" s="1"/>
  <c r="T1444" i="3"/>
  <c r="AD1444" i="3" s="1"/>
  <c r="T1381" i="3"/>
  <c r="T1450" i="3"/>
  <c r="AD1450" i="3" s="1"/>
  <c r="T1425" i="3"/>
  <c r="AD1425" i="3" s="1"/>
  <c r="T1380" i="3"/>
  <c r="AD1380" i="3" s="1"/>
  <c r="T1448" i="3"/>
  <c r="T1439" i="3"/>
  <c r="T1398" i="3"/>
  <c r="AD1398" i="3" s="1"/>
  <c r="T1397" i="3"/>
  <c r="AD1397" i="3" s="1"/>
  <c r="T1461" i="3"/>
  <c r="AD1461" i="3" s="1"/>
  <c r="T430" i="3"/>
  <c r="T552" i="3"/>
  <c r="T525" i="3"/>
  <c r="T579" i="3"/>
  <c r="T628" i="3"/>
  <c r="T733" i="3"/>
  <c r="T683" i="3"/>
  <c r="T786" i="3"/>
  <c r="T688" i="3"/>
  <c r="T711" i="3"/>
  <c r="T726" i="3"/>
  <c r="T807" i="3"/>
  <c r="T878" i="3"/>
  <c r="T852" i="3"/>
  <c r="T826" i="3"/>
  <c r="T904" i="3"/>
  <c r="T911" i="3"/>
  <c r="T910" i="3"/>
  <c r="T917" i="3"/>
  <c r="T924" i="3"/>
  <c r="T931" i="3"/>
  <c r="T930" i="3"/>
  <c r="T937" i="3"/>
  <c r="T1084" i="3"/>
  <c r="T1075" i="3"/>
  <c r="T1155" i="3"/>
  <c r="T1106" i="3"/>
  <c r="T1073" i="3"/>
  <c r="T1153" i="3"/>
  <c r="T1104" i="3"/>
  <c r="T1095" i="3"/>
  <c r="T1175" i="3"/>
  <c r="T1126" i="3"/>
  <c r="T1093" i="3"/>
  <c r="T1173" i="3"/>
  <c r="T1176" i="3"/>
  <c r="T1232" i="3"/>
  <c r="AD1232" i="3" s="1"/>
  <c r="T1241" i="3"/>
  <c r="AD1241" i="3" s="1"/>
  <c r="T1250" i="3"/>
  <c r="AD1250" i="3" s="1"/>
  <c r="T1259" i="3"/>
  <c r="AD1259" i="3" s="1"/>
  <c r="T1268" i="3"/>
  <c r="AD1268" i="3" s="1"/>
  <c r="T1277" i="3"/>
  <c r="T1287" i="3"/>
  <c r="T1296" i="3"/>
  <c r="AD1296" i="3" s="1"/>
  <c r="T1305" i="3"/>
  <c r="AD1305" i="3" s="1"/>
  <c r="T1314" i="3"/>
  <c r="AD1314" i="3" s="1"/>
  <c r="T1323" i="3"/>
  <c r="AD1323" i="3" s="1"/>
  <c r="T1332" i="3"/>
  <c r="AD1332" i="3" s="1"/>
  <c r="T1341" i="3"/>
  <c r="T1351" i="3"/>
  <c r="T1360" i="3"/>
  <c r="AD1360" i="3" s="1"/>
  <c r="T1369" i="3"/>
  <c r="AD1369" i="3" s="1"/>
  <c r="T1210" i="3"/>
  <c r="T1216" i="3"/>
  <c r="AD1216" i="3" s="1"/>
  <c r="T1198" i="3"/>
  <c r="T1382" i="3"/>
  <c r="AD1382" i="3" s="1"/>
  <c r="T1460" i="3"/>
  <c r="T1386" i="3"/>
  <c r="AD1386" i="3" s="1"/>
  <c r="T1458" i="3"/>
  <c r="AD1458" i="3" s="1"/>
  <c r="T1433" i="3"/>
  <c r="AD1433" i="3" s="1"/>
  <c r="T1384" i="3"/>
  <c r="T1456" i="3"/>
  <c r="T1447" i="3"/>
  <c r="AD1447" i="3" s="1"/>
  <c r="T1414" i="3"/>
  <c r="AD1414" i="3" s="1"/>
  <c r="T1405" i="3"/>
  <c r="T418" i="3"/>
  <c r="T424" i="3"/>
  <c r="T446" i="3"/>
  <c r="T568" i="3"/>
  <c r="T541" i="3"/>
  <c r="T595" i="3"/>
  <c r="T630" i="3"/>
  <c r="T749" i="3"/>
  <c r="T699" i="3"/>
  <c r="T649" i="3"/>
  <c r="T712" i="3"/>
  <c r="T727" i="3"/>
  <c r="T750" i="3"/>
  <c r="T831" i="3"/>
  <c r="T894" i="3"/>
  <c r="T876" i="3"/>
  <c r="T850" i="3"/>
  <c r="T920" i="3"/>
  <c r="T935" i="3"/>
  <c r="T934" i="3"/>
  <c r="T933" i="3"/>
  <c r="T948" i="3"/>
  <c r="T955" i="3"/>
  <c r="T946" i="3"/>
  <c r="T961" i="3"/>
  <c r="T1100" i="3"/>
  <c r="T1083" i="3"/>
  <c r="T1163" i="3"/>
  <c r="T1130" i="3"/>
  <c r="T1081" i="3"/>
  <c r="T1161" i="3"/>
  <c r="T1128" i="3"/>
  <c r="T1103" i="3"/>
  <c r="T1183" i="3"/>
  <c r="AD1183" i="3" s="1"/>
  <c r="T1150" i="3"/>
  <c r="T1101" i="3"/>
  <c r="T1181" i="3"/>
  <c r="AD1181" i="3" s="1"/>
  <c r="T1203" i="3"/>
  <c r="AD1203" i="3" s="1"/>
  <c r="T1233" i="3"/>
  <c r="AD1233" i="3" s="1"/>
  <c r="T1242" i="3"/>
  <c r="AD1242" i="3" s="1"/>
  <c r="T1251" i="3"/>
  <c r="AD1251" i="3" s="1"/>
  <c r="T1260" i="3"/>
  <c r="AD1260" i="3" s="1"/>
  <c r="T1269" i="3"/>
  <c r="AD1269" i="3" s="1"/>
  <c r="T1279" i="3"/>
  <c r="T1288" i="3"/>
  <c r="T1297" i="3"/>
  <c r="AD1297" i="3" s="1"/>
  <c r="T1306" i="3"/>
  <c r="AD1306" i="3" s="1"/>
  <c r="T1315" i="3"/>
  <c r="AD1315" i="3" s="1"/>
  <c r="T1324" i="3"/>
  <c r="AD1324" i="3" s="1"/>
  <c r="T1333" i="3"/>
  <c r="AD1333" i="3" s="1"/>
  <c r="T1343" i="3"/>
  <c r="T1352" i="3"/>
  <c r="T1361" i="3"/>
  <c r="AD1361" i="3" s="1"/>
  <c r="T1370" i="3"/>
  <c r="AD1370" i="3" s="1"/>
  <c r="T1218" i="3"/>
  <c r="AD1218" i="3" s="1"/>
  <c r="T1168" i="3"/>
  <c r="T1206" i="3"/>
  <c r="AD1206" i="3" s="1"/>
  <c r="T1396" i="3"/>
  <c r="T1419" i="3"/>
  <c r="AD1419" i="3" s="1"/>
  <c r="T1394" i="3"/>
  <c r="T1466" i="3"/>
  <c r="AD1466" i="3" s="1"/>
  <c r="T1441" i="3"/>
  <c r="AD1441" i="3" s="1"/>
  <c r="T1392" i="3"/>
  <c r="T1464" i="3"/>
  <c r="AD1464" i="3" s="1"/>
  <c r="T1463" i="3"/>
  <c r="AD1463" i="3" s="1"/>
  <c r="T1422" i="3"/>
  <c r="AD1422" i="3" s="1"/>
  <c r="T1413" i="3"/>
  <c r="T482" i="3"/>
  <c r="T488" i="3"/>
  <c r="T494" i="3"/>
  <c r="T452" i="3"/>
  <c r="T535" i="3"/>
  <c r="T589" i="3"/>
  <c r="T562" i="3"/>
  <c r="T636" i="3"/>
  <c r="T797" i="3"/>
  <c r="T747" i="3"/>
  <c r="T697" i="3"/>
  <c r="T736" i="3"/>
  <c r="T751" i="3"/>
  <c r="T766" i="3"/>
  <c r="T855" i="3"/>
  <c r="T821" i="3"/>
  <c r="T803" i="3"/>
  <c r="T874" i="3"/>
  <c r="T944" i="3"/>
  <c r="T951" i="3"/>
  <c r="T958" i="3"/>
  <c r="T957" i="3"/>
  <c r="T964" i="3"/>
  <c r="T979" i="3"/>
  <c r="T970" i="3"/>
  <c r="T977" i="3"/>
  <c r="T1124" i="3"/>
  <c r="T1091" i="3"/>
  <c r="T1171" i="3"/>
  <c r="T1138" i="3"/>
  <c r="T1089" i="3"/>
  <c r="T1169" i="3"/>
  <c r="T1136" i="3"/>
  <c r="T1111" i="3"/>
  <c r="T1062" i="3"/>
  <c r="T1158" i="3"/>
  <c r="T1109" i="3"/>
  <c r="T1189" i="3"/>
  <c r="AD1189" i="3" s="1"/>
  <c r="T1211" i="3"/>
  <c r="AD1211" i="3" s="1"/>
  <c r="T1234" i="3"/>
  <c r="AD1234" i="3" s="1"/>
  <c r="T1243" i="3"/>
  <c r="T1252" i="3"/>
  <c r="AD1252" i="3" s="1"/>
  <c r="T1261" i="3"/>
  <c r="AD1261" i="3" s="1"/>
  <c r="T1271" i="3"/>
  <c r="T1280" i="3"/>
  <c r="T1289" i="3"/>
  <c r="AD1289" i="3" s="1"/>
  <c r="T1298" i="3"/>
  <c r="AD1298" i="3" s="1"/>
  <c r="T1307" i="3"/>
  <c r="AD1307" i="3" s="1"/>
  <c r="T1316" i="3"/>
  <c r="AD1316" i="3" s="1"/>
  <c r="T1325" i="3"/>
  <c r="AD1325" i="3" s="1"/>
  <c r="T1335" i="3"/>
  <c r="T1344" i="3"/>
  <c r="T1353" i="3"/>
  <c r="AD1353" i="3" s="1"/>
  <c r="T1362" i="3"/>
  <c r="AD1362" i="3" s="1"/>
  <c r="T1371" i="3"/>
  <c r="AD1371" i="3" s="1"/>
  <c r="T1193" i="3"/>
  <c r="AD1193" i="3" s="1"/>
  <c r="T1184" i="3"/>
  <c r="AD1184" i="3" s="1"/>
  <c r="T1222" i="3"/>
  <c r="T1404" i="3"/>
  <c r="AD1404" i="3" s="1"/>
  <c r="T1443" i="3"/>
  <c r="T1402" i="3"/>
  <c r="AD1402" i="3" s="1"/>
  <c r="T1467" i="3"/>
  <c r="AD1467" i="3" s="1"/>
  <c r="T1449" i="3"/>
  <c r="AD1449" i="3" s="1"/>
  <c r="T1400" i="3"/>
  <c r="AD1400" i="3" s="1"/>
  <c r="T1399" i="3"/>
  <c r="AD1399" i="3" s="1"/>
  <c r="T1435" i="3"/>
  <c r="AD1435" i="3" s="1"/>
  <c r="T1430" i="3"/>
  <c r="AD1430" i="3" s="1"/>
  <c r="T1421" i="3"/>
  <c r="AD1421" i="3" s="1"/>
  <c r="T468" i="3"/>
  <c r="T551" i="3"/>
  <c r="T511" i="3"/>
  <c r="T578" i="3"/>
  <c r="T638" i="3"/>
  <c r="T652" i="3"/>
  <c r="T763" i="3"/>
  <c r="T713" i="3"/>
  <c r="T752" i="3"/>
  <c r="T775" i="3"/>
  <c r="T790" i="3"/>
  <c r="T871" i="3"/>
  <c r="T845" i="3"/>
  <c r="T827" i="3"/>
  <c r="T801" i="3"/>
  <c r="T968" i="3"/>
  <c r="T975" i="3"/>
  <c r="T974" i="3"/>
  <c r="T981" i="3"/>
  <c r="T988" i="3"/>
  <c r="T995" i="3"/>
  <c r="T994" i="3"/>
  <c r="T1001" i="3"/>
  <c r="T1140" i="3"/>
  <c r="T1099" i="3"/>
  <c r="T1066" i="3"/>
  <c r="T1146" i="3"/>
  <c r="T1097" i="3"/>
  <c r="T1064" i="3"/>
  <c r="T1144" i="3"/>
  <c r="T1119" i="3"/>
  <c r="T1086" i="3"/>
  <c r="T1166" i="3"/>
  <c r="T1117" i="3"/>
  <c r="T1213" i="3"/>
  <c r="T1219" i="3"/>
  <c r="AD1219" i="3" s="1"/>
  <c r="T1235" i="3"/>
  <c r="T1244" i="3"/>
  <c r="AD1244" i="3" s="1"/>
  <c r="T1253" i="3"/>
  <c r="AD1253" i="3" s="1"/>
  <c r="T1263" i="3"/>
  <c r="AD1263" i="3" s="1"/>
  <c r="T1272" i="3"/>
  <c r="AD1272" i="3" s="1"/>
  <c r="T1281" i="3"/>
  <c r="AD1281" i="3" s="1"/>
  <c r="T1290" i="3"/>
  <c r="AD1290" i="3" s="1"/>
  <c r="T1299" i="3"/>
  <c r="T1308" i="3"/>
  <c r="AD1308" i="3" s="1"/>
  <c r="T1317" i="3"/>
  <c r="AD1317" i="3" s="1"/>
  <c r="T1327" i="3"/>
  <c r="AD1327" i="3" s="1"/>
  <c r="T1336" i="3"/>
  <c r="AD1336" i="3" s="1"/>
  <c r="T1345" i="3"/>
  <c r="AD1345" i="3" s="1"/>
  <c r="T1354" i="3"/>
  <c r="AD1354" i="3" s="1"/>
  <c r="T1363" i="3"/>
  <c r="T1372" i="3"/>
  <c r="T1201" i="3"/>
  <c r="AD1201" i="3" s="1"/>
  <c r="T1199" i="3"/>
  <c r="AD1199" i="3" s="1"/>
  <c r="T1225" i="3"/>
  <c r="T1412" i="3"/>
  <c r="T1387" i="3"/>
  <c r="AD1387" i="3" s="1"/>
  <c r="T1410" i="3"/>
  <c r="T1385" i="3"/>
  <c r="AD1385" i="3" s="1"/>
  <c r="T1457" i="3"/>
  <c r="AD1457" i="3" s="1"/>
  <c r="T1416" i="3"/>
  <c r="AD1416" i="3" s="1"/>
  <c r="T1407" i="3"/>
  <c r="AD1407" i="3" s="1"/>
  <c r="T1459" i="3"/>
  <c r="AD1459" i="3" s="1"/>
  <c r="T1438" i="3"/>
  <c r="T1429" i="3"/>
  <c r="AD1429" i="3" s="1"/>
  <c r="K9" i="1"/>
  <c r="J8" i="1"/>
  <c r="J10" i="1"/>
  <c r="S442" i="3"/>
  <c r="S506" i="3"/>
  <c r="AJ506" i="3" s="1"/>
  <c r="Y506" i="3" s="1"/>
  <c r="S449" i="3"/>
  <c r="S440" i="3"/>
  <c r="S504" i="3"/>
  <c r="S439" i="3"/>
  <c r="S503" i="3"/>
  <c r="S430" i="3"/>
  <c r="S494" i="3"/>
  <c r="S461" i="3"/>
  <c r="AJ461" i="3" s="1"/>
  <c r="Y461" i="3" s="1"/>
  <c r="S412" i="3"/>
  <c r="S476" i="3"/>
  <c r="S419" i="3"/>
  <c r="S483" i="3"/>
  <c r="S568" i="3"/>
  <c r="S535" i="3"/>
  <c r="S599" i="3"/>
  <c r="S574" i="3"/>
  <c r="S541" i="3"/>
  <c r="S605" i="3"/>
  <c r="S564" i="3"/>
  <c r="S531" i="3"/>
  <c r="AJ531" i="3" s="1"/>
  <c r="Y531" i="3" s="1"/>
  <c r="S595" i="3"/>
  <c r="S562" i="3"/>
  <c r="S529" i="3"/>
  <c r="AJ529" i="3" s="1"/>
  <c r="Y529" i="3" s="1"/>
  <c r="S593" i="3"/>
  <c r="S624" i="3"/>
  <c r="AJ624" i="3" s="1"/>
  <c r="Y624" i="3" s="1"/>
  <c r="S622" i="3"/>
  <c r="S612" i="3"/>
  <c r="S635" i="3"/>
  <c r="S660" i="3"/>
  <c r="S724" i="3"/>
  <c r="S788" i="3"/>
  <c r="S691" i="3"/>
  <c r="AJ691" i="3" s="1"/>
  <c r="Y691" i="3" s="1"/>
  <c r="S755" i="3"/>
  <c r="AJ755" i="3" s="1"/>
  <c r="Y755" i="3" s="1"/>
  <c r="S666" i="3"/>
  <c r="AJ666" i="3" s="1"/>
  <c r="Y666" i="3" s="1"/>
  <c r="S730" i="3"/>
  <c r="AJ730" i="3" s="1"/>
  <c r="Y730" i="3" s="1"/>
  <c r="S794" i="3"/>
  <c r="AJ794" i="3" s="1"/>
  <c r="Y794" i="3" s="1"/>
  <c r="S705" i="3"/>
  <c r="AJ705" i="3" s="1"/>
  <c r="Y705" i="3" s="1"/>
  <c r="S769" i="3"/>
  <c r="AJ769" i="3" s="1"/>
  <c r="Y769" i="3" s="1"/>
  <c r="S680" i="3"/>
  <c r="AJ680" i="3" s="1"/>
  <c r="Y680" i="3" s="1"/>
  <c r="S744" i="3"/>
  <c r="AJ744" i="3" s="1"/>
  <c r="Y744" i="3" s="1"/>
  <c r="S647" i="3"/>
  <c r="S711" i="3"/>
  <c r="S775" i="3"/>
  <c r="S686" i="3"/>
  <c r="S750" i="3"/>
  <c r="S653" i="3"/>
  <c r="S717" i="3"/>
  <c r="S781" i="3"/>
  <c r="S847" i="3"/>
  <c r="S814" i="3"/>
  <c r="S878" i="3"/>
  <c r="S845" i="3"/>
  <c r="S804" i="3"/>
  <c r="S868" i="3"/>
  <c r="S835" i="3"/>
  <c r="S810" i="3"/>
  <c r="S1468" i="3"/>
  <c r="S450" i="3"/>
  <c r="S514" i="3"/>
  <c r="S457" i="3"/>
  <c r="S448" i="3"/>
  <c r="S512" i="3"/>
  <c r="S447" i="3"/>
  <c r="S511" i="3"/>
  <c r="S438" i="3"/>
  <c r="S469" i="3"/>
  <c r="S420" i="3"/>
  <c r="S484" i="3"/>
  <c r="S427" i="3"/>
  <c r="S513" i="3"/>
  <c r="S576" i="3"/>
  <c r="S543" i="3"/>
  <c r="S515" i="3"/>
  <c r="S582" i="3"/>
  <c r="S549" i="3"/>
  <c r="S505" i="3"/>
  <c r="S572" i="3"/>
  <c r="S539" i="3"/>
  <c r="S603" i="3"/>
  <c r="S570" i="3"/>
  <c r="S537" i="3"/>
  <c r="S601" i="3"/>
  <c r="S632" i="3"/>
  <c r="S630" i="3"/>
  <c r="S620" i="3"/>
  <c r="S610" i="3"/>
  <c r="S668" i="3"/>
  <c r="AJ668" i="3" s="1"/>
  <c r="Y668" i="3" s="1"/>
  <c r="S732" i="3"/>
  <c r="AJ732" i="3" s="1"/>
  <c r="Y732" i="3" s="1"/>
  <c r="S796" i="3"/>
  <c r="S699" i="3"/>
  <c r="S763" i="3"/>
  <c r="S674" i="3"/>
  <c r="S738" i="3"/>
  <c r="S649" i="3"/>
  <c r="S713" i="3"/>
  <c r="S777" i="3"/>
  <c r="S688" i="3"/>
  <c r="S752" i="3"/>
  <c r="S655" i="3"/>
  <c r="S719" i="3"/>
  <c r="S783" i="3"/>
  <c r="S694" i="3"/>
  <c r="S758" i="3"/>
  <c r="S661" i="3"/>
  <c r="S725" i="3"/>
  <c r="S789" i="3"/>
  <c r="S855" i="3"/>
  <c r="S822" i="3"/>
  <c r="S886" i="3"/>
  <c r="S853" i="3"/>
  <c r="S812" i="3"/>
  <c r="S876" i="3"/>
  <c r="S843" i="3"/>
  <c r="S818" i="3"/>
  <c r="S882" i="3"/>
  <c r="S849" i="3"/>
  <c r="S824" i="3"/>
  <c r="S888" i="3"/>
  <c r="S943" i="3"/>
  <c r="S1007" i="3"/>
  <c r="S910" i="3"/>
  <c r="S974" i="3"/>
  <c r="S1038" i="3"/>
  <c r="S466" i="3"/>
  <c r="S409" i="3"/>
  <c r="S473" i="3"/>
  <c r="S1469" i="3"/>
  <c r="S418" i="3"/>
  <c r="S482" i="3"/>
  <c r="S425" i="3"/>
  <c r="S489" i="3"/>
  <c r="S416" i="3"/>
  <c r="S480" i="3"/>
  <c r="S415" i="3"/>
  <c r="S479" i="3"/>
  <c r="S406" i="3"/>
  <c r="S470" i="3"/>
  <c r="S437" i="3"/>
  <c r="S452" i="3"/>
  <c r="S459" i="3"/>
  <c r="S544" i="3"/>
  <c r="S509" i="3"/>
  <c r="S575" i="3"/>
  <c r="S550" i="3"/>
  <c r="S502" i="3"/>
  <c r="S581" i="3"/>
  <c r="S540" i="3"/>
  <c r="S501" i="3"/>
  <c r="S571" i="3"/>
  <c r="S538" i="3"/>
  <c r="S491" i="3"/>
  <c r="S569" i="3"/>
  <c r="S633" i="3"/>
  <c r="S631" i="3"/>
  <c r="S621" i="3"/>
  <c r="S611" i="3"/>
  <c r="S642" i="3"/>
  <c r="S700" i="3"/>
  <c r="S764" i="3"/>
  <c r="S667" i="3"/>
  <c r="S731" i="3"/>
  <c r="S643" i="3"/>
  <c r="S706" i="3"/>
  <c r="S770" i="3"/>
  <c r="S681" i="3"/>
  <c r="S745" i="3"/>
  <c r="S656" i="3"/>
  <c r="S720" i="3"/>
  <c r="S784" i="3"/>
  <c r="S687" i="3"/>
  <c r="AJ687" i="3" s="1"/>
  <c r="Y687" i="3" s="1"/>
  <c r="S751" i="3"/>
  <c r="AJ751" i="3" s="1"/>
  <c r="Y751" i="3" s="1"/>
  <c r="S662" i="3"/>
  <c r="S726" i="3"/>
  <c r="AJ726" i="3" s="1"/>
  <c r="Y726" i="3" s="1"/>
  <c r="S790" i="3"/>
  <c r="S693" i="3"/>
  <c r="S757" i="3"/>
  <c r="S823" i="3"/>
  <c r="AJ823" i="3" s="1"/>
  <c r="Y823" i="3" s="1"/>
  <c r="S795" i="3"/>
  <c r="S854" i="3"/>
  <c r="S821" i="3"/>
  <c r="S885" i="3"/>
  <c r="S844" i="3"/>
  <c r="AJ844" i="3" s="1"/>
  <c r="Y844" i="3" s="1"/>
  <c r="S811" i="3"/>
  <c r="S875" i="3"/>
  <c r="S850" i="3"/>
  <c r="S426" i="3"/>
  <c r="AJ426" i="3" s="1"/>
  <c r="Y426" i="3" s="1"/>
  <c r="S490" i="3"/>
  <c r="AJ490" i="3" s="1"/>
  <c r="Y490" i="3" s="1"/>
  <c r="S433" i="3"/>
  <c r="S497" i="3"/>
  <c r="S424" i="3"/>
  <c r="S488" i="3"/>
  <c r="S423" i="3"/>
  <c r="S487" i="3"/>
  <c r="S414" i="3"/>
  <c r="AJ414" i="3" s="1"/>
  <c r="Y414" i="3" s="1"/>
  <c r="S478" i="3"/>
  <c r="AJ478" i="3" s="1"/>
  <c r="Y478" i="3" s="1"/>
  <c r="S445" i="3"/>
  <c r="S460" i="3"/>
  <c r="S441" i="3"/>
  <c r="AJ441" i="3" s="1"/>
  <c r="Y441" i="3" s="1"/>
  <c r="S408" i="3"/>
  <c r="S407" i="3"/>
  <c r="S421" i="3"/>
  <c r="S516" i="3"/>
  <c r="S521" i="3"/>
  <c r="AJ521" i="3" s="1"/>
  <c r="Y521" i="3" s="1"/>
  <c r="S534" i="3"/>
  <c r="S533" i="3"/>
  <c r="AJ533" i="3" s="1"/>
  <c r="Y533" i="3" s="1"/>
  <c r="S532" i="3"/>
  <c r="S547" i="3"/>
  <c r="S546" i="3"/>
  <c r="S553" i="3"/>
  <c r="S616" i="3"/>
  <c r="S613" i="3"/>
  <c r="S618" i="3"/>
  <c r="AJ618" i="3" s="1"/>
  <c r="Y618" i="3" s="1"/>
  <c r="S708" i="3"/>
  <c r="S651" i="3"/>
  <c r="S747" i="3"/>
  <c r="S698" i="3"/>
  <c r="S657" i="3"/>
  <c r="AJ657" i="3" s="1"/>
  <c r="Y657" i="3" s="1"/>
  <c r="S753" i="3"/>
  <c r="S704" i="3"/>
  <c r="S641" i="3"/>
  <c r="S743" i="3"/>
  <c r="S702" i="3"/>
  <c r="S640" i="3"/>
  <c r="S741" i="3"/>
  <c r="S839" i="3"/>
  <c r="S846" i="3"/>
  <c r="S861" i="3"/>
  <c r="AJ861" i="3" s="1"/>
  <c r="Y861" i="3" s="1"/>
  <c r="S852" i="3"/>
  <c r="S859" i="3"/>
  <c r="S866" i="3"/>
  <c r="S841" i="3"/>
  <c r="S832" i="3"/>
  <c r="S891" i="3"/>
  <c r="S434" i="3"/>
  <c r="S481" i="3"/>
  <c r="S456" i="3"/>
  <c r="AJ456" i="3" s="1"/>
  <c r="Y456" i="3" s="1"/>
  <c r="S455" i="3"/>
  <c r="S446" i="3"/>
  <c r="AJ446" i="3" s="1"/>
  <c r="Y446" i="3" s="1"/>
  <c r="S453" i="3"/>
  <c r="S436" i="3"/>
  <c r="S411" i="3"/>
  <c r="AJ411" i="3" s="1"/>
  <c r="Y411" i="3" s="1"/>
  <c r="S536" i="3"/>
  <c r="S551" i="3"/>
  <c r="S558" i="3"/>
  <c r="AJ558" i="3" s="1"/>
  <c r="Y558" i="3" s="1"/>
  <c r="S565" i="3"/>
  <c r="AJ565" i="3" s="1"/>
  <c r="Y565" i="3" s="1"/>
  <c r="S556" i="3"/>
  <c r="AJ556" i="3" s="1"/>
  <c r="Y556" i="3" s="1"/>
  <c r="S563" i="3"/>
  <c r="S578" i="3"/>
  <c r="S577" i="3"/>
  <c r="S615" i="3"/>
  <c r="S637" i="3"/>
  <c r="S634" i="3"/>
  <c r="S740" i="3"/>
  <c r="S675" i="3"/>
  <c r="S779" i="3"/>
  <c r="S722" i="3"/>
  <c r="S673" i="3"/>
  <c r="AJ673" i="3" s="1"/>
  <c r="Y673" i="3" s="1"/>
  <c r="S785" i="3"/>
  <c r="S728" i="3"/>
  <c r="S671" i="3"/>
  <c r="S767" i="3"/>
  <c r="S718" i="3"/>
  <c r="AJ718" i="3" s="1"/>
  <c r="Y718" i="3" s="1"/>
  <c r="S669" i="3"/>
  <c r="S765" i="3"/>
  <c r="S871" i="3"/>
  <c r="S870" i="3"/>
  <c r="S877" i="3"/>
  <c r="S884" i="3"/>
  <c r="S883" i="3"/>
  <c r="S890" i="3"/>
  <c r="S865" i="3"/>
  <c r="AJ865" i="3" s="1"/>
  <c r="Y865" i="3" s="1"/>
  <c r="S848" i="3"/>
  <c r="AJ848" i="3" s="1"/>
  <c r="Y848" i="3" s="1"/>
  <c r="S911" i="3"/>
  <c r="S983" i="3"/>
  <c r="S1055" i="3"/>
  <c r="S966" i="3"/>
  <c r="AJ966" i="3" s="1"/>
  <c r="Y966" i="3" s="1"/>
  <c r="S1046" i="3"/>
  <c r="S949" i="3"/>
  <c r="S1013" i="3"/>
  <c r="S908" i="3"/>
  <c r="S972" i="3"/>
  <c r="S1036" i="3"/>
  <c r="S939" i="3"/>
  <c r="S1003" i="3"/>
  <c r="S895" i="3"/>
  <c r="S954" i="3"/>
  <c r="S1018" i="3"/>
  <c r="S921" i="3"/>
  <c r="S985" i="3"/>
  <c r="S1049" i="3"/>
  <c r="S944" i="3"/>
  <c r="S1008" i="3"/>
  <c r="S1075" i="3"/>
  <c r="S1139" i="3"/>
  <c r="S1082" i="3"/>
  <c r="S1146" i="3"/>
  <c r="S1073" i="3"/>
  <c r="S1137" i="3"/>
  <c r="S1072" i="3"/>
  <c r="AJ1072" i="3" s="1"/>
  <c r="Y1072" i="3" s="1"/>
  <c r="S1136" i="3"/>
  <c r="S1071" i="3"/>
  <c r="AJ1071" i="3" s="1"/>
  <c r="Y1071" i="3" s="1"/>
  <c r="S1135" i="3"/>
  <c r="AJ1135" i="3" s="1"/>
  <c r="Y1135" i="3" s="1"/>
  <c r="S1094" i="3"/>
  <c r="S1158" i="3"/>
  <c r="S1093" i="3"/>
  <c r="S1157" i="3"/>
  <c r="AJ1157" i="3" s="1"/>
  <c r="Y1157" i="3" s="1"/>
  <c r="S1092" i="3"/>
  <c r="S1156" i="3"/>
  <c r="S1183" i="3"/>
  <c r="AJ1183" i="3" s="1"/>
  <c r="S1210" i="3"/>
  <c r="S1192" i="3"/>
  <c r="S1215" i="3"/>
  <c r="S1205" i="3"/>
  <c r="S1271" i="3"/>
  <c r="AJ1271" i="3" s="1"/>
  <c r="S1335" i="3"/>
  <c r="S1246" i="3"/>
  <c r="S1310" i="3"/>
  <c r="S1374" i="3"/>
  <c r="S1277" i="3"/>
  <c r="S1341" i="3"/>
  <c r="S1260" i="3"/>
  <c r="S1324" i="3"/>
  <c r="S1235" i="3"/>
  <c r="S1299" i="3"/>
  <c r="S1363" i="3"/>
  <c r="AJ1363" i="3" s="1"/>
  <c r="S1274" i="3"/>
  <c r="S458" i="3"/>
  <c r="AJ458" i="3" s="1"/>
  <c r="Y458" i="3" s="1"/>
  <c r="S464" i="3"/>
  <c r="S463" i="3"/>
  <c r="S454" i="3"/>
  <c r="AJ454" i="3" s="1"/>
  <c r="Y454" i="3" s="1"/>
  <c r="S477" i="3"/>
  <c r="S444" i="3"/>
  <c r="AJ444" i="3" s="1"/>
  <c r="Y444" i="3" s="1"/>
  <c r="S435" i="3"/>
  <c r="S552" i="3"/>
  <c r="S559" i="3"/>
  <c r="S566" i="3"/>
  <c r="S573" i="3"/>
  <c r="S580" i="3"/>
  <c r="S579" i="3"/>
  <c r="S586" i="3"/>
  <c r="S585" i="3"/>
  <c r="S623" i="3"/>
  <c r="S628" i="3"/>
  <c r="AJ628" i="3" s="1"/>
  <c r="Y628" i="3" s="1"/>
  <c r="S644" i="3"/>
  <c r="S748" i="3"/>
  <c r="S683" i="3"/>
  <c r="S787" i="3"/>
  <c r="S746" i="3"/>
  <c r="AJ746" i="3" s="1"/>
  <c r="Y746" i="3" s="1"/>
  <c r="S689" i="3"/>
  <c r="S793" i="3"/>
  <c r="S736" i="3"/>
  <c r="S679" i="3"/>
  <c r="S791" i="3"/>
  <c r="S734" i="3"/>
  <c r="AJ734" i="3" s="1"/>
  <c r="Y734" i="3" s="1"/>
  <c r="S677" i="3"/>
  <c r="AJ677" i="3" s="1"/>
  <c r="Y677" i="3" s="1"/>
  <c r="S773" i="3"/>
  <c r="S879" i="3"/>
  <c r="AJ879" i="3" s="1"/>
  <c r="Y879" i="3" s="1"/>
  <c r="S894" i="3"/>
  <c r="S893" i="3"/>
  <c r="S892" i="3"/>
  <c r="S802" i="3"/>
  <c r="S801" i="3"/>
  <c r="S873" i="3"/>
  <c r="S856" i="3"/>
  <c r="S919" i="3"/>
  <c r="S991" i="3"/>
  <c r="S902" i="3"/>
  <c r="AJ902" i="3" s="1"/>
  <c r="Y902" i="3" s="1"/>
  <c r="S982" i="3"/>
  <c r="S1054" i="3"/>
  <c r="S957" i="3"/>
  <c r="S1021" i="3"/>
  <c r="S916" i="3"/>
  <c r="S980" i="3"/>
  <c r="S1044" i="3"/>
  <c r="S947" i="3"/>
  <c r="S1011" i="3"/>
  <c r="S898" i="3"/>
  <c r="S962" i="3"/>
  <c r="S1026" i="3"/>
  <c r="S498" i="3"/>
  <c r="S496" i="3"/>
  <c r="S495" i="3"/>
  <c r="S486" i="3"/>
  <c r="S493" i="3"/>
  <c r="S492" i="3"/>
  <c r="S451" i="3"/>
  <c r="S584" i="3"/>
  <c r="S583" i="3"/>
  <c r="S598" i="3"/>
  <c r="S597" i="3"/>
  <c r="S596" i="3"/>
  <c r="S507" i="3"/>
  <c r="S510" i="3"/>
  <c r="S617" i="3"/>
  <c r="S614" i="3"/>
  <c r="S606" i="3"/>
  <c r="S676" i="3"/>
  <c r="S772" i="3"/>
  <c r="S715" i="3"/>
  <c r="S658" i="3"/>
  <c r="S762" i="3"/>
  <c r="S721" i="3"/>
  <c r="AJ721" i="3" s="1"/>
  <c r="Y721" i="3" s="1"/>
  <c r="S664" i="3"/>
  <c r="S768" i="3"/>
  <c r="S703" i="3"/>
  <c r="S654" i="3"/>
  <c r="S766" i="3"/>
  <c r="S701" i="3"/>
  <c r="S807" i="3"/>
  <c r="S806" i="3"/>
  <c r="S813" i="3"/>
  <c r="S820" i="3"/>
  <c r="AJ820" i="3" s="1"/>
  <c r="Y820" i="3" s="1"/>
  <c r="S819" i="3"/>
  <c r="S834" i="3"/>
  <c r="S817" i="3"/>
  <c r="S800" i="3"/>
  <c r="S872" i="3"/>
  <c r="S935" i="3"/>
  <c r="S1015" i="3"/>
  <c r="S926" i="3"/>
  <c r="S998" i="3"/>
  <c r="S909" i="3"/>
  <c r="S973" i="3"/>
  <c r="S1037" i="3"/>
  <c r="S932" i="3"/>
  <c r="S996" i="3"/>
  <c r="S899" i="3"/>
  <c r="S963" i="3"/>
  <c r="S1027" i="3"/>
  <c r="S914" i="3"/>
  <c r="S978" i="3"/>
  <c r="S1042" i="3"/>
  <c r="S945" i="3"/>
  <c r="S1009" i="3"/>
  <c r="S904" i="3"/>
  <c r="S968" i="3"/>
  <c r="S1032" i="3"/>
  <c r="S1099" i="3"/>
  <c r="S1163" i="3"/>
  <c r="AJ1163" i="3" s="1"/>
  <c r="Y1163" i="3" s="1"/>
  <c r="S1106" i="3"/>
  <c r="S1170" i="3"/>
  <c r="S1097" i="3"/>
  <c r="S1161" i="3"/>
  <c r="S1096" i="3"/>
  <c r="S1160" i="3"/>
  <c r="S1095" i="3"/>
  <c r="S1159" i="3"/>
  <c r="AJ1159" i="3" s="1"/>
  <c r="Y1159" i="3" s="1"/>
  <c r="S1118" i="3"/>
  <c r="S1182" i="3"/>
  <c r="S1117" i="3"/>
  <c r="S1181" i="3"/>
  <c r="S1116" i="3"/>
  <c r="S1180" i="3"/>
  <c r="S1203" i="3"/>
  <c r="S1193" i="3"/>
  <c r="S1216" i="3"/>
  <c r="AJ1216" i="3" s="1"/>
  <c r="S1206" i="3"/>
  <c r="S1231" i="3"/>
  <c r="S1295" i="3"/>
  <c r="S1359" i="3"/>
  <c r="S1270" i="3"/>
  <c r="S1334" i="3"/>
  <c r="AJ1334" i="3" s="1"/>
  <c r="S1237" i="3"/>
  <c r="S1301" i="3"/>
  <c r="S520" i="3"/>
  <c r="S500" i="3"/>
  <c r="S467" i="3"/>
  <c r="S592" i="3"/>
  <c r="S591" i="3"/>
  <c r="AJ591" i="3" s="1"/>
  <c r="Y591" i="3" s="1"/>
  <c r="S499" i="3"/>
  <c r="S519" i="3"/>
  <c r="AJ519" i="3" s="1"/>
  <c r="Y519" i="3" s="1"/>
  <c r="S518" i="3"/>
  <c r="S517" i="3"/>
  <c r="AJ517" i="3" s="1"/>
  <c r="Y517" i="3" s="1"/>
  <c r="S522" i="3"/>
  <c r="S625" i="3"/>
  <c r="S638" i="3"/>
  <c r="S619" i="3"/>
  <c r="S684" i="3"/>
  <c r="S780" i="3"/>
  <c r="AJ780" i="3" s="1"/>
  <c r="Y780" i="3" s="1"/>
  <c r="S723" i="3"/>
  <c r="S682" i="3"/>
  <c r="S778" i="3"/>
  <c r="S729" i="3"/>
  <c r="S672" i="3"/>
  <c r="S776" i="3"/>
  <c r="S727" i="3"/>
  <c r="S670" i="3"/>
  <c r="S774" i="3"/>
  <c r="S709" i="3"/>
  <c r="AJ709" i="3" s="1"/>
  <c r="Y709" i="3" s="1"/>
  <c r="S815" i="3"/>
  <c r="S830" i="3"/>
  <c r="S829" i="3"/>
  <c r="AJ829" i="3" s="1"/>
  <c r="Y829" i="3" s="1"/>
  <c r="S828" i="3"/>
  <c r="S827" i="3"/>
  <c r="S842" i="3"/>
  <c r="S825" i="3"/>
  <c r="S808" i="3"/>
  <c r="S880" i="3"/>
  <c r="S951" i="3"/>
  <c r="S1023" i="3"/>
  <c r="S934" i="3"/>
  <c r="S1006" i="3"/>
  <c r="AJ1006" i="3" s="1"/>
  <c r="Y1006" i="3" s="1"/>
  <c r="S917" i="3"/>
  <c r="S485" i="3"/>
  <c r="S526" i="3"/>
  <c r="S588" i="3"/>
  <c r="S561" i="3"/>
  <c r="S627" i="3"/>
  <c r="S707" i="3"/>
  <c r="AJ707" i="3" s="1"/>
  <c r="Y707" i="3" s="1"/>
  <c r="S665" i="3"/>
  <c r="AJ665" i="3" s="1"/>
  <c r="Y665" i="3" s="1"/>
  <c r="S792" i="3"/>
  <c r="S742" i="3"/>
  <c r="S863" i="3"/>
  <c r="AJ863" i="3" s="1"/>
  <c r="Y863" i="3" s="1"/>
  <c r="S836" i="3"/>
  <c r="S809" i="3"/>
  <c r="S903" i="3"/>
  <c r="S1047" i="3"/>
  <c r="S1030" i="3"/>
  <c r="S997" i="3"/>
  <c r="S940" i="3"/>
  <c r="S1028" i="3"/>
  <c r="S979" i="3"/>
  <c r="S906" i="3"/>
  <c r="S1002" i="3"/>
  <c r="S937" i="3"/>
  <c r="S1025" i="3"/>
  <c r="S936" i="3"/>
  <c r="S1024" i="3"/>
  <c r="S1115" i="3"/>
  <c r="S1074" i="3"/>
  <c r="S1162" i="3"/>
  <c r="S1113" i="3"/>
  <c r="S1064" i="3"/>
  <c r="S1152" i="3"/>
  <c r="S1111" i="3"/>
  <c r="S1086" i="3"/>
  <c r="S1174" i="3"/>
  <c r="S1133" i="3"/>
  <c r="AJ1133" i="3" s="1"/>
  <c r="Y1133" i="3" s="1"/>
  <c r="S1084" i="3"/>
  <c r="S1172" i="3"/>
  <c r="S1219" i="3"/>
  <c r="S1187" i="3"/>
  <c r="S1198" i="3"/>
  <c r="S1247" i="3"/>
  <c r="S1327" i="3"/>
  <c r="AJ1327" i="3" s="1"/>
  <c r="S1262" i="3"/>
  <c r="S1350" i="3"/>
  <c r="S1269" i="3"/>
  <c r="S1357" i="3"/>
  <c r="S1284" i="3"/>
  <c r="S1356" i="3"/>
  <c r="S1275" i="3"/>
  <c r="S1347" i="3"/>
  <c r="S1266" i="3"/>
  <c r="S1338" i="3"/>
  <c r="AJ1338" i="3" s="1"/>
  <c r="S1265" i="3"/>
  <c r="S1329" i="3"/>
  <c r="S1240" i="3"/>
  <c r="AJ1240" i="3" s="1"/>
  <c r="S1304" i="3"/>
  <c r="S1368" i="3"/>
  <c r="S1443" i="3"/>
  <c r="S1394" i="3"/>
  <c r="S1425" i="3"/>
  <c r="S1376" i="3"/>
  <c r="AJ1376" i="3" s="1"/>
  <c r="S1432" i="3"/>
  <c r="S1391" i="3"/>
  <c r="AJ1391" i="3" s="1"/>
  <c r="S1455" i="3"/>
  <c r="AJ1455" i="3" s="1"/>
  <c r="S1422" i="3"/>
  <c r="S1372" i="3"/>
  <c r="S1437" i="3"/>
  <c r="S1404" i="3"/>
  <c r="S410" i="3"/>
  <c r="S443" i="3"/>
  <c r="S542" i="3"/>
  <c r="S523" i="3"/>
  <c r="AJ523" i="3" s="1"/>
  <c r="Y523" i="3" s="1"/>
  <c r="S609" i="3"/>
  <c r="S626" i="3"/>
  <c r="AJ626" i="3" s="1"/>
  <c r="Y626" i="3" s="1"/>
  <c r="S739" i="3"/>
  <c r="S697" i="3"/>
  <c r="S663" i="3"/>
  <c r="S782" i="3"/>
  <c r="S798" i="3"/>
  <c r="AJ798" i="3" s="1"/>
  <c r="Y798" i="3" s="1"/>
  <c r="S860" i="3"/>
  <c r="S833" i="3"/>
  <c r="S927" i="3"/>
  <c r="S918" i="3"/>
  <c r="S901" i="3"/>
  <c r="S1005" i="3"/>
  <c r="AJ1005" i="3" s="1"/>
  <c r="Y1005" i="3" s="1"/>
  <c r="S948" i="3"/>
  <c r="S1052" i="3"/>
  <c r="S987" i="3"/>
  <c r="AJ987" i="3" s="1"/>
  <c r="Y987" i="3" s="1"/>
  <c r="S922" i="3"/>
  <c r="S1010" i="3"/>
  <c r="S953" i="3"/>
  <c r="S1033" i="3"/>
  <c r="S952" i="3"/>
  <c r="AJ952" i="3" s="1"/>
  <c r="Y952" i="3" s="1"/>
  <c r="S1040" i="3"/>
  <c r="AJ1040" i="3" s="1"/>
  <c r="Y1040" i="3" s="1"/>
  <c r="S1123" i="3"/>
  <c r="S1090" i="3"/>
  <c r="S1178" i="3"/>
  <c r="S1121" i="3"/>
  <c r="S1080" i="3"/>
  <c r="S1168" i="3"/>
  <c r="AJ1168" i="3" s="1"/>
  <c r="Y1168" i="3" s="1"/>
  <c r="S1119" i="3"/>
  <c r="S1102" i="3"/>
  <c r="S1061" i="3"/>
  <c r="S1141" i="3"/>
  <c r="AJ1141" i="3" s="1"/>
  <c r="Y1141" i="3" s="1"/>
  <c r="S1100" i="3"/>
  <c r="S1196" i="3"/>
  <c r="AJ1196" i="3" s="1"/>
  <c r="S1194" i="3"/>
  <c r="S1200" i="3"/>
  <c r="S1214" i="3"/>
  <c r="S1255" i="3"/>
  <c r="AJ1255" i="3" s="1"/>
  <c r="S1343" i="3"/>
  <c r="AJ1343" i="3" s="1"/>
  <c r="S1278" i="3"/>
  <c r="AJ1278" i="3" s="1"/>
  <c r="S1358" i="3"/>
  <c r="S1285" i="3"/>
  <c r="S1365" i="3"/>
  <c r="S1292" i="3"/>
  <c r="S1364" i="3"/>
  <c r="S1283" i="3"/>
  <c r="AJ1283" i="3" s="1"/>
  <c r="S1355" i="3"/>
  <c r="S1282" i="3"/>
  <c r="S1346" i="3"/>
  <c r="S1273" i="3"/>
  <c r="S1337" i="3"/>
  <c r="S1248" i="3"/>
  <c r="S1312" i="3"/>
  <c r="S1387" i="3"/>
  <c r="S1451" i="3"/>
  <c r="S1402" i="3"/>
  <c r="S1433" i="3"/>
  <c r="S1380" i="3"/>
  <c r="S1440" i="3"/>
  <c r="S1399" i="3"/>
  <c r="S1463" i="3"/>
  <c r="AJ1463" i="3" s="1"/>
  <c r="S1430" i="3"/>
  <c r="S1375" i="3"/>
  <c r="S1445" i="3"/>
  <c r="S1412" i="3"/>
  <c r="S474" i="3"/>
  <c r="AJ474" i="3" s="1"/>
  <c r="Y474" i="3" s="1"/>
  <c r="S475" i="3"/>
  <c r="S590" i="3"/>
  <c r="AJ590" i="3" s="1"/>
  <c r="Y590" i="3" s="1"/>
  <c r="S555" i="3"/>
  <c r="AJ555" i="3" s="1"/>
  <c r="Y555" i="3" s="1"/>
  <c r="S602" i="3"/>
  <c r="S652" i="3"/>
  <c r="S771" i="3"/>
  <c r="S737" i="3"/>
  <c r="S695" i="3"/>
  <c r="S645" i="3"/>
  <c r="S838" i="3"/>
  <c r="S803" i="3"/>
  <c r="S857" i="3"/>
  <c r="AJ857" i="3" s="1"/>
  <c r="Y857" i="3" s="1"/>
  <c r="S959" i="3"/>
  <c r="AJ959" i="3" s="1"/>
  <c r="Y959" i="3" s="1"/>
  <c r="S942" i="3"/>
  <c r="S925" i="3"/>
  <c r="S1029" i="3"/>
  <c r="AJ1029" i="3" s="1"/>
  <c r="Y1029" i="3" s="1"/>
  <c r="S956" i="3"/>
  <c r="S907" i="3"/>
  <c r="S995" i="3"/>
  <c r="S930" i="3"/>
  <c r="S1034" i="3"/>
  <c r="S961" i="3"/>
  <c r="S1041" i="3"/>
  <c r="S960" i="3"/>
  <c r="S1048" i="3"/>
  <c r="S1131" i="3"/>
  <c r="S1098" i="3"/>
  <c r="S1186" i="3"/>
  <c r="S1129" i="3"/>
  <c r="S1088" i="3"/>
  <c r="S1176" i="3"/>
  <c r="S1127" i="3"/>
  <c r="S1110" i="3"/>
  <c r="S1069" i="3"/>
  <c r="S1149" i="3"/>
  <c r="S1108" i="3"/>
  <c r="AJ1108" i="3" s="1"/>
  <c r="Y1108" i="3" s="1"/>
  <c r="S1204" i="3"/>
  <c r="AJ1204" i="3" s="1"/>
  <c r="S1202" i="3"/>
  <c r="S1208" i="3"/>
  <c r="S1222" i="3"/>
  <c r="S1263" i="3"/>
  <c r="AJ1263" i="3" s="1"/>
  <c r="S1351" i="3"/>
  <c r="S1286" i="3"/>
  <c r="AJ1286" i="3" s="1"/>
  <c r="S1366" i="3"/>
  <c r="S1293" i="3"/>
  <c r="S1228" i="3"/>
  <c r="AJ1228" i="3" s="1"/>
  <c r="S1300" i="3"/>
  <c r="S1223" i="3"/>
  <c r="S1291" i="3"/>
  <c r="S1371" i="3"/>
  <c r="S1290" i="3"/>
  <c r="S1354" i="3"/>
  <c r="S1281" i="3"/>
  <c r="S1345" i="3"/>
  <c r="S1256" i="3"/>
  <c r="S1320" i="3"/>
  <c r="AJ1320" i="3" s="1"/>
  <c r="S1395" i="3"/>
  <c r="S1459" i="3"/>
  <c r="S1410" i="3"/>
  <c r="AJ1410" i="3" s="1"/>
  <c r="S1441" i="3"/>
  <c r="S1384" i="3"/>
  <c r="S1448" i="3"/>
  <c r="S1407" i="3"/>
  <c r="AJ1407" i="3" s="1"/>
  <c r="S1379" i="3"/>
  <c r="S1438" i="3"/>
  <c r="AJ1438" i="3" s="1"/>
  <c r="S1389" i="3"/>
  <c r="S1453" i="3"/>
  <c r="S1420" i="3"/>
  <c r="S432" i="3"/>
  <c r="AJ432" i="3" s="1"/>
  <c r="Y432" i="3" s="1"/>
  <c r="S422" i="3"/>
  <c r="S528" i="3"/>
  <c r="AJ528" i="3" s="1"/>
  <c r="Y528" i="3" s="1"/>
  <c r="S525" i="3"/>
  <c r="S587" i="3"/>
  <c r="S608" i="3"/>
  <c r="S692" i="3"/>
  <c r="S650" i="3"/>
  <c r="AJ650" i="3" s="1"/>
  <c r="Y650" i="3" s="1"/>
  <c r="S761" i="3"/>
  <c r="AJ761" i="3" s="1"/>
  <c r="Y761" i="3" s="1"/>
  <c r="S735" i="3"/>
  <c r="AJ735" i="3" s="1"/>
  <c r="Y735" i="3" s="1"/>
  <c r="S685" i="3"/>
  <c r="S862" i="3"/>
  <c r="S851" i="3"/>
  <c r="S881" i="3"/>
  <c r="AJ881" i="3" s="1"/>
  <c r="Y881" i="3" s="1"/>
  <c r="S967" i="3"/>
  <c r="S950" i="3"/>
  <c r="S933" i="3"/>
  <c r="S1045" i="3"/>
  <c r="S964" i="3"/>
  <c r="S915" i="3"/>
  <c r="S1019" i="3"/>
  <c r="S938" i="3"/>
  <c r="S1050" i="3"/>
  <c r="S969" i="3"/>
  <c r="AJ969" i="3" s="1"/>
  <c r="Y969" i="3" s="1"/>
  <c r="S1057" i="3"/>
  <c r="S976" i="3"/>
  <c r="AJ976" i="3" s="1"/>
  <c r="Y976" i="3" s="1"/>
  <c r="S1056" i="3"/>
  <c r="S1147" i="3"/>
  <c r="S1114" i="3"/>
  <c r="S1059" i="3"/>
  <c r="S1145" i="3"/>
  <c r="S1104" i="3"/>
  <c r="S1184" i="3"/>
  <c r="S1143" i="3"/>
  <c r="AJ1143" i="3" s="1"/>
  <c r="Y1143" i="3" s="1"/>
  <c r="S1126" i="3"/>
  <c r="S1077" i="3"/>
  <c r="S1165" i="3"/>
  <c r="S1124" i="3"/>
  <c r="S1212" i="3"/>
  <c r="S1218" i="3"/>
  <c r="S1175" i="3"/>
  <c r="AJ1175" i="3" s="1"/>
  <c r="Y1175" i="3" s="1"/>
  <c r="S1189" i="3"/>
  <c r="S1279" i="3"/>
  <c r="S1367" i="3"/>
  <c r="S1294" i="3"/>
  <c r="S1373" i="3"/>
  <c r="S1309" i="3"/>
  <c r="S1236" i="3"/>
  <c r="S1308" i="3"/>
  <c r="S1227" i="3"/>
  <c r="S1307" i="3"/>
  <c r="S1220" i="3"/>
  <c r="S1298" i="3"/>
  <c r="S1362" i="3"/>
  <c r="S1289" i="3"/>
  <c r="AJ1289" i="3" s="1"/>
  <c r="S1353" i="3"/>
  <c r="S1264" i="3"/>
  <c r="AJ1264" i="3" s="1"/>
  <c r="S1328" i="3"/>
  <c r="S1403" i="3"/>
  <c r="S1467" i="3"/>
  <c r="S1385" i="3"/>
  <c r="S1449" i="3"/>
  <c r="S1392" i="3"/>
  <c r="S1456" i="3"/>
  <c r="S1415" i="3"/>
  <c r="S1383" i="3"/>
  <c r="S1446" i="3"/>
  <c r="S1397" i="3"/>
  <c r="AJ1397" i="3" s="1"/>
  <c r="S1461" i="3"/>
  <c r="AJ1461" i="3" s="1"/>
  <c r="S1428" i="3"/>
  <c r="AJ1428" i="3" s="1"/>
  <c r="S417" i="3"/>
  <c r="AJ417" i="3" s="1"/>
  <c r="Y417" i="3" s="1"/>
  <c r="S472" i="3"/>
  <c r="S462" i="3"/>
  <c r="S428" i="3"/>
  <c r="S560" i="3"/>
  <c r="AJ560" i="3" s="1"/>
  <c r="Y560" i="3" s="1"/>
  <c r="S557" i="3"/>
  <c r="S530" i="3"/>
  <c r="S604" i="3"/>
  <c r="S716" i="3"/>
  <c r="S690" i="3"/>
  <c r="AJ690" i="3" s="1"/>
  <c r="Y690" i="3" s="1"/>
  <c r="S648" i="3"/>
  <c r="S759" i="3"/>
  <c r="S733" i="3"/>
  <c r="AJ733" i="3" s="1"/>
  <c r="Y733" i="3" s="1"/>
  <c r="S805" i="3"/>
  <c r="S867" i="3"/>
  <c r="S816" i="3"/>
  <c r="S975" i="3"/>
  <c r="S958" i="3"/>
  <c r="S941" i="3"/>
  <c r="S1053" i="3"/>
  <c r="S988" i="3"/>
  <c r="S923" i="3"/>
  <c r="S1035" i="3"/>
  <c r="S946" i="3"/>
  <c r="AJ946" i="3" s="1"/>
  <c r="Y946" i="3" s="1"/>
  <c r="S1058" i="3"/>
  <c r="S977" i="3"/>
  <c r="S897" i="3"/>
  <c r="S984" i="3"/>
  <c r="S1067" i="3"/>
  <c r="S1155" i="3"/>
  <c r="S1122" i="3"/>
  <c r="S1065" i="3"/>
  <c r="S1153" i="3"/>
  <c r="S1112" i="3"/>
  <c r="AJ1112" i="3" s="1"/>
  <c r="Y1112" i="3" s="1"/>
  <c r="S1063" i="3"/>
  <c r="AJ1063" i="3" s="1"/>
  <c r="Y1063" i="3" s="1"/>
  <c r="S1151" i="3"/>
  <c r="S1134" i="3"/>
  <c r="AJ1134" i="3" s="1"/>
  <c r="Y1134" i="3" s="1"/>
  <c r="S1085" i="3"/>
  <c r="S1173" i="3"/>
  <c r="S1132" i="3"/>
  <c r="S1167" i="3"/>
  <c r="AJ1167" i="3" s="1"/>
  <c r="Y1167" i="3" s="1"/>
  <c r="S1226" i="3"/>
  <c r="S1191" i="3"/>
  <c r="S1197" i="3"/>
  <c r="AJ1197" i="3" s="1"/>
  <c r="S1287" i="3"/>
  <c r="S1224" i="3"/>
  <c r="S1302" i="3"/>
  <c r="S1229" i="3"/>
  <c r="S1317" i="3"/>
  <c r="AJ1317" i="3" s="1"/>
  <c r="S1244" i="3"/>
  <c r="S1316" i="3"/>
  <c r="S1243" i="3"/>
  <c r="AJ1243" i="3" s="1"/>
  <c r="S1315" i="3"/>
  <c r="S1234" i="3"/>
  <c r="S1306" i="3"/>
  <c r="AJ1306" i="3" s="1"/>
  <c r="S1233" i="3"/>
  <c r="S1297" i="3"/>
  <c r="S1361" i="3"/>
  <c r="S1272" i="3"/>
  <c r="S1336" i="3"/>
  <c r="S1411" i="3"/>
  <c r="S1442" i="3"/>
  <c r="S1393" i="3"/>
  <c r="S1457" i="3"/>
  <c r="S1400" i="3"/>
  <c r="S1464" i="3"/>
  <c r="S1423" i="3"/>
  <c r="S1390" i="3"/>
  <c r="AJ1390" i="3" s="1"/>
  <c r="S1454" i="3"/>
  <c r="S1405" i="3"/>
  <c r="S1378" i="3"/>
  <c r="S1436" i="3"/>
  <c r="S465" i="3"/>
  <c r="S468" i="3"/>
  <c r="S600" i="3"/>
  <c r="AJ600" i="3" s="1"/>
  <c r="Y600" i="3" s="1"/>
  <c r="S589" i="3"/>
  <c r="S554" i="3"/>
  <c r="AJ554" i="3" s="1"/>
  <c r="Y554" i="3" s="1"/>
  <c r="S607" i="3"/>
  <c r="S756" i="3"/>
  <c r="S714" i="3"/>
  <c r="S696" i="3"/>
  <c r="AJ696" i="3" s="1"/>
  <c r="Y696" i="3" s="1"/>
  <c r="S646" i="3"/>
  <c r="AJ646" i="3" s="1"/>
  <c r="Y646" i="3" s="1"/>
  <c r="S749" i="3"/>
  <c r="S837" i="3"/>
  <c r="S826" i="3"/>
  <c r="S840" i="3"/>
  <c r="S999" i="3"/>
  <c r="S990" i="3"/>
  <c r="S965" i="3"/>
  <c r="AJ965" i="3" s="1"/>
  <c r="Y965" i="3" s="1"/>
  <c r="S887" i="3"/>
  <c r="S1004" i="3"/>
  <c r="S931" i="3"/>
  <c r="AJ931" i="3" s="1"/>
  <c r="Y931" i="3" s="1"/>
  <c r="S1043" i="3"/>
  <c r="AJ1043" i="3" s="1"/>
  <c r="Y1043" i="3" s="1"/>
  <c r="S970" i="3"/>
  <c r="S905" i="3"/>
  <c r="S993" i="3"/>
  <c r="S912" i="3"/>
  <c r="S992" i="3"/>
  <c r="AJ992" i="3" s="1"/>
  <c r="Y992" i="3" s="1"/>
  <c r="S1083" i="3"/>
  <c r="AJ1083" i="3" s="1"/>
  <c r="Y1083" i="3" s="1"/>
  <c r="S1171" i="3"/>
  <c r="S1130" i="3"/>
  <c r="AJ1130" i="3" s="1"/>
  <c r="Y1130" i="3" s="1"/>
  <c r="S1081" i="3"/>
  <c r="AJ1081" i="3" s="1"/>
  <c r="Y1081" i="3" s="1"/>
  <c r="S1169" i="3"/>
  <c r="S1120" i="3"/>
  <c r="S1079" i="3"/>
  <c r="S1062" i="3"/>
  <c r="S1142" i="3"/>
  <c r="S1101" i="3"/>
  <c r="AJ1101" i="3" s="1"/>
  <c r="Y1101" i="3" s="1"/>
  <c r="S1060" i="3"/>
  <c r="S1140" i="3"/>
  <c r="S1188" i="3"/>
  <c r="S1201" i="3"/>
  <c r="S1199" i="3"/>
  <c r="AJ1199" i="3" s="1"/>
  <c r="S1213" i="3"/>
  <c r="AJ1213" i="3" s="1"/>
  <c r="S1303" i="3"/>
  <c r="S1230" i="3"/>
  <c r="S1318" i="3"/>
  <c r="AJ1318" i="3" s="1"/>
  <c r="S1245" i="3"/>
  <c r="S1325" i="3"/>
  <c r="S1252" i="3"/>
  <c r="S1332" i="3"/>
  <c r="S1251" i="3"/>
  <c r="S1323" i="3"/>
  <c r="S1242" i="3"/>
  <c r="S1314" i="3"/>
  <c r="AJ1314" i="3" s="1"/>
  <c r="S1241" i="3"/>
  <c r="AJ1241" i="3" s="1"/>
  <c r="S1305" i="3"/>
  <c r="S1369" i="3"/>
  <c r="S1280" i="3"/>
  <c r="S1344" i="3"/>
  <c r="S1419" i="3"/>
  <c r="AJ1419" i="3" s="1"/>
  <c r="S1377" i="3"/>
  <c r="S1401" i="3"/>
  <c r="S1465" i="3"/>
  <c r="AJ1465" i="3" s="1"/>
  <c r="S1408" i="3"/>
  <c r="S1426" i="3"/>
  <c r="S1431" i="3"/>
  <c r="S1398" i="3"/>
  <c r="AJ1398" i="3" s="1"/>
  <c r="S1462" i="3"/>
  <c r="S1413" i="3"/>
  <c r="S1382" i="3"/>
  <c r="S1444" i="3"/>
  <c r="AJ1444" i="3" s="1"/>
  <c r="S431" i="3"/>
  <c r="AJ431" i="3" s="1"/>
  <c r="Y431" i="3" s="1"/>
  <c r="S413" i="3"/>
  <c r="AJ413" i="3" s="1"/>
  <c r="Y413" i="3" s="1"/>
  <c r="S508" i="3"/>
  <c r="S527" i="3"/>
  <c r="AJ527" i="3" s="1"/>
  <c r="Y527" i="3" s="1"/>
  <c r="S524" i="3"/>
  <c r="AJ524" i="3" s="1"/>
  <c r="Y524" i="3" s="1"/>
  <c r="S594" i="3"/>
  <c r="AJ594" i="3" s="1"/>
  <c r="Y594" i="3" s="1"/>
  <c r="S629" i="3"/>
  <c r="AJ629" i="3" s="1"/>
  <c r="Y629" i="3" s="1"/>
  <c r="S639" i="3"/>
  <c r="S754" i="3"/>
  <c r="S712" i="3"/>
  <c r="S678" i="3"/>
  <c r="AJ678" i="3" s="1"/>
  <c r="Y678" i="3" s="1"/>
  <c r="S799" i="3"/>
  <c r="S869" i="3"/>
  <c r="AJ869" i="3" s="1"/>
  <c r="Y869" i="3" s="1"/>
  <c r="S858" i="3"/>
  <c r="S864" i="3"/>
  <c r="AJ864" i="3" s="1"/>
  <c r="Y864" i="3" s="1"/>
  <c r="S1031" i="3"/>
  <c r="AJ1031" i="3" s="1"/>
  <c r="Y1031" i="3" s="1"/>
  <c r="S1014" i="3"/>
  <c r="S981" i="3"/>
  <c r="S900" i="3"/>
  <c r="AJ900" i="3" s="1"/>
  <c r="Y900" i="3" s="1"/>
  <c r="S1012" i="3"/>
  <c r="S955" i="3"/>
  <c r="AJ955" i="3" s="1"/>
  <c r="Y955" i="3" s="1"/>
  <c r="S1051" i="3"/>
  <c r="S986" i="3"/>
  <c r="S913" i="3"/>
  <c r="S1001" i="3"/>
  <c r="S920" i="3"/>
  <c r="S1000" i="3"/>
  <c r="S1091" i="3"/>
  <c r="S1179" i="3"/>
  <c r="AJ1179" i="3" s="1"/>
  <c r="S1138" i="3"/>
  <c r="S1089" i="3"/>
  <c r="S1177" i="3"/>
  <c r="S1128" i="3"/>
  <c r="S1087" i="3"/>
  <c r="S1070" i="3"/>
  <c r="S1150" i="3"/>
  <c r="S1109" i="3"/>
  <c r="S1068" i="3"/>
  <c r="S1148" i="3"/>
  <c r="S1195" i="3"/>
  <c r="AJ1195" i="3" s="1"/>
  <c r="S1209" i="3"/>
  <c r="AJ1209" i="3" s="1"/>
  <c r="S1207" i="3"/>
  <c r="S1221" i="3"/>
  <c r="S1311" i="3"/>
  <c r="AJ1311" i="3" s="1"/>
  <c r="S1238" i="3"/>
  <c r="AJ1238" i="3" s="1"/>
  <c r="S1326" i="3"/>
  <c r="S1253" i="3"/>
  <c r="S1333" i="3"/>
  <c r="S1268" i="3"/>
  <c r="S1340" i="3"/>
  <c r="S1259" i="3"/>
  <c r="S1331" i="3"/>
  <c r="AJ1331" i="3" s="1"/>
  <c r="S1250" i="3"/>
  <c r="S1322" i="3"/>
  <c r="AJ1322" i="3" s="1"/>
  <c r="S1249" i="3"/>
  <c r="S1313" i="3"/>
  <c r="S1225" i="3"/>
  <c r="S1288" i="3"/>
  <c r="S1352" i="3"/>
  <c r="S1427" i="3"/>
  <c r="S1381" i="3"/>
  <c r="AJ1381" i="3" s="1"/>
  <c r="S1409" i="3"/>
  <c r="S1418" i="3"/>
  <c r="AJ1418" i="3" s="1"/>
  <c r="S1416" i="3"/>
  <c r="S1450" i="3"/>
  <c r="S1439" i="3"/>
  <c r="S1406" i="3"/>
  <c r="AJ1406" i="3" s="1"/>
  <c r="S1434" i="3"/>
  <c r="S1421" i="3"/>
  <c r="AJ1421" i="3" s="1"/>
  <c r="S1388" i="3"/>
  <c r="AJ1388" i="3" s="1"/>
  <c r="S1452" i="3"/>
  <c r="AJ1452" i="3" s="1"/>
  <c r="S471" i="3"/>
  <c r="AJ471" i="3" s="1"/>
  <c r="Y471" i="3" s="1"/>
  <c r="S429" i="3"/>
  <c r="AJ429" i="3" s="1"/>
  <c r="Y429" i="3" s="1"/>
  <c r="S567" i="3"/>
  <c r="S548" i="3"/>
  <c r="S545" i="3"/>
  <c r="AJ545" i="3" s="1"/>
  <c r="Y545" i="3" s="1"/>
  <c r="S636" i="3"/>
  <c r="AJ636" i="3" s="1"/>
  <c r="Y636" i="3" s="1"/>
  <c r="S659" i="3"/>
  <c r="S786" i="3"/>
  <c r="S760" i="3"/>
  <c r="AJ760" i="3" s="1"/>
  <c r="Y760" i="3" s="1"/>
  <c r="S710" i="3"/>
  <c r="S831" i="3"/>
  <c r="S797" i="3"/>
  <c r="S874" i="3"/>
  <c r="AJ874" i="3" s="1"/>
  <c r="Y874" i="3" s="1"/>
  <c r="S896" i="3"/>
  <c r="AJ896" i="3" s="1"/>
  <c r="Y896" i="3" s="1"/>
  <c r="S1039" i="3"/>
  <c r="S1022" i="3"/>
  <c r="S989" i="3"/>
  <c r="S924" i="3"/>
  <c r="S1020" i="3"/>
  <c r="S971" i="3"/>
  <c r="S889" i="3"/>
  <c r="AJ889" i="3" s="1"/>
  <c r="Y889" i="3" s="1"/>
  <c r="S994" i="3"/>
  <c r="S929" i="3"/>
  <c r="S1017" i="3"/>
  <c r="S928" i="3"/>
  <c r="S1016" i="3"/>
  <c r="S1107" i="3"/>
  <c r="S1066" i="3"/>
  <c r="AJ1066" i="3" s="1"/>
  <c r="Y1066" i="3" s="1"/>
  <c r="S1154" i="3"/>
  <c r="AJ1154" i="3" s="1"/>
  <c r="Y1154" i="3" s="1"/>
  <c r="S1105" i="3"/>
  <c r="AJ1105" i="3" s="1"/>
  <c r="Y1105" i="3" s="1"/>
  <c r="S1185" i="3"/>
  <c r="S1144" i="3"/>
  <c r="AJ1144" i="3" s="1"/>
  <c r="Y1144" i="3" s="1"/>
  <c r="S1103" i="3"/>
  <c r="S1078" i="3"/>
  <c r="S1166" i="3"/>
  <c r="AJ1166" i="3" s="1"/>
  <c r="Y1166" i="3" s="1"/>
  <c r="S1125" i="3"/>
  <c r="AJ1125" i="3" s="1"/>
  <c r="Y1125" i="3" s="1"/>
  <c r="S1076" i="3"/>
  <c r="AJ1076" i="3" s="1"/>
  <c r="Y1076" i="3" s="1"/>
  <c r="S1164" i="3"/>
  <c r="S1211" i="3"/>
  <c r="S1217" i="3"/>
  <c r="AJ1217" i="3" s="1"/>
  <c r="S1190" i="3"/>
  <c r="S1239" i="3"/>
  <c r="S1319" i="3"/>
  <c r="S1254" i="3"/>
  <c r="AJ1254" i="3" s="1"/>
  <c r="S1342" i="3"/>
  <c r="S1261" i="3"/>
  <c r="S1349" i="3"/>
  <c r="S1276" i="3"/>
  <c r="S1348" i="3"/>
  <c r="AJ1348" i="3" s="1"/>
  <c r="S1267" i="3"/>
  <c r="S1339" i="3"/>
  <c r="S1258" i="3"/>
  <c r="AJ1258" i="3" s="1"/>
  <c r="S1330" i="3"/>
  <c r="S1257" i="3"/>
  <c r="S1321" i="3"/>
  <c r="S1232" i="3"/>
  <c r="S1296" i="3"/>
  <c r="S1360" i="3"/>
  <c r="S1435" i="3"/>
  <c r="S1386" i="3"/>
  <c r="AJ1386" i="3" s="1"/>
  <c r="S1417" i="3"/>
  <c r="S1466" i="3"/>
  <c r="S1424" i="3"/>
  <c r="AJ1424" i="3" s="1"/>
  <c r="S1370" i="3"/>
  <c r="S1447" i="3"/>
  <c r="AJ1447" i="3" s="1"/>
  <c r="S1414" i="3"/>
  <c r="AJ1414" i="3" s="1"/>
  <c r="S1458" i="3"/>
  <c r="S1429" i="3"/>
  <c r="S1396" i="3"/>
  <c r="AJ1396" i="3" s="1"/>
  <c r="S1460" i="3"/>
  <c r="J5" i="1"/>
  <c r="K12" i="1"/>
  <c r="K8" i="1"/>
  <c r="J13" i="1"/>
  <c r="K6" i="1"/>
  <c r="J12" i="1"/>
  <c r="K11" i="1"/>
  <c r="L11" i="1" s="1"/>
  <c r="M11" i="1" s="1"/>
  <c r="N11" i="1" s="1"/>
  <c r="K14" i="1"/>
  <c r="AB927" i="3"/>
  <c r="J14" i="1"/>
  <c r="AB691" i="3"/>
  <c r="AB637" i="3"/>
  <c r="AB529" i="3"/>
  <c r="AB187" i="3"/>
  <c r="AB908" i="3"/>
  <c r="W634" i="3"/>
  <c r="W699" i="3"/>
  <c r="W918" i="3"/>
  <c r="AB102" i="3"/>
  <c r="AB1081" i="3"/>
  <c r="AB878" i="3"/>
  <c r="AB44" i="3"/>
  <c r="AB849" i="3"/>
  <c r="W104" i="3"/>
  <c r="AB777" i="3"/>
  <c r="W724" i="3"/>
  <c r="AB551" i="3"/>
  <c r="AB246" i="3"/>
  <c r="AB869" i="3"/>
  <c r="AB48" i="3"/>
  <c r="AB422" i="3"/>
  <c r="AB475" i="3"/>
  <c r="AB98" i="3"/>
  <c r="W321" i="3"/>
  <c r="AB64" i="3"/>
  <c r="AB375" i="3"/>
  <c r="AB931" i="3"/>
  <c r="AB773" i="3"/>
  <c r="AB645" i="3"/>
  <c r="W451" i="3"/>
  <c r="AB127" i="3"/>
  <c r="AB971" i="3"/>
  <c r="AB991" i="3"/>
  <c r="AB87" i="3"/>
  <c r="W456" i="3"/>
  <c r="AB97" i="3"/>
  <c r="AB674" i="3"/>
  <c r="AB123" i="3"/>
  <c r="AB37" i="3"/>
  <c r="AB209" i="3"/>
  <c r="AB63" i="3"/>
  <c r="AB192" i="3"/>
  <c r="AB748" i="3"/>
  <c r="AB54" i="3"/>
  <c r="AB233" i="3"/>
  <c r="AB130" i="3"/>
  <c r="AB1042" i="3"/>
  <c r="AB854" i="3"/>
  <c r="AB272" i="3"/>
  <c r="AB86" i="3"/>
  <c r="AB724" i="3"/>
  <c r="AB114" i="3"/>
  <c r="W406" i="3"/>
  <c r="W701" i="3"/>
  <c r="W56" i="3"/>
  <c r="AB755" i="3"/>
  <c r="W1083" i="3"/>
  <c r="W658" i="3"/>
  <c r="W1020" i="3"/>
  <c r="W832" i="3"/>
  <c r="AB104" i="3"/>
  <c r="AB12" i="3"/>
  <c r="AB851" i="3"/>
  <c r="AB568" i="3"/>
  <c r="AB40" i="3"/>
  <c r="AB126" i="3"/>
  <c r="AB938" i="3"/>
  <c r="AB763" i="3"/>
  <c r="AB682" i="3"/>
  <c r="AB439" i="3"/>
  <c r="W862" i="3"/>
  <c r="W902" i="3"/>
  <c r="W874" i="3"/>
  <c r="W479" i="3"/>
  <c r="W1047" i="3"/>
  <c r="W438" i="3"/>
  <c r="W402" i="3"/>
  <c r="W472" i="3"/>
  <c r="W577" i="3"/>
  <c r="W786" i="3"/>
  <c r="W122" i="3"/>
  <c r="AB988" i="3"/>
  <c r="AB478" i="3"/>
  <c r="AB933" i="3"/>
  <c r="AB887" i="3"/>
  <c r="AB823" i="3"/>
  <c r="AB451" i="3"/>
  <c r="AB203" i="3"/>
  <c r="AB812" i="3"/>
  <c r="W683" i="3"/>
  <c r="W571" i="3"/>
  <c r="W995" i="3"/>
  <c r="W866" i="3"/>
  <c r="AB790" i="3"/>
  <c r="AB413" i="3"/>
  <c r="W1063" i="3"/>
  <c r="W25" i="3"/>
  <c r="AB116" i="3"/>
  <c r="AB585" i="3"/>
  <c r="W1447" i="3"/>
  <c r="AB526" i="3"/>
  <c r="AB1339" i="3"/>
  <c r="AB1084" i="3"/>
  <c r="W859" i="3"/>
  <c r="W729" i="3"/>
  <c r="W932" i="3"/>
  <c r="AB1190" i="3"/>
  <c r="AB802" i="3"/>
  <c r="AB248" i="3"/>
  <c r="W1169" i="3"/>
  <c r="W10" i="3"/>
  <c r="AB39" i="3"/>
  <c r="W345" i="3"/>
  <c r="AB159" i="3"/>
  <c r="AB100" i="3"/>
  <c r="W78" i="3"/>
  <c r="W1015" i="3"/>
  <c r="W1041" i="3"/>
  <c r="W1342" i="3"/>
  <c r="W12" i="3"/>
  <c r="W1258" i="3"/>
  <c r="AB856" i="3"/>
  <c r="AB1061" i="3"/>
  <c r="AB650" i="3"/>
  <c r="AB27" i="3"/>
  <c r="AB1287" i="3"/>
  <c r="AB135" i="3"/>
  <c r="AB167" i="3"/>
  <c r="AB320" i="3"/>
  <c r="W1454" i="3"/>
  <c r="AB1010" i="3"/>
  <c r="AB775" i="3"/>
  <c r="AB1138" i="3"/>
  <c r="AB327" i="3"/>
  <c r="AB989" i="3"/>
  <c r="AB1029" i="3"/>
  <c r="AB1351" i="3"/>
  <c r="AB1201" i="3"/>
  <c r="AB1398" i="3"/>
  <c r="AB56" i="3"/>
  <c r="AB1148" i="3"/>
  <c r="AB23" i="3"/>
  <c r="AB76" i="3"/>
  <c r="AB1040" i="3"/>
  <c r="AB757" i="3"/>
  <c r="AB745" i="3"/>
  <c r="AB559" i="3"/>
  <c r="AB942" i="3"/>
  <c r="AB66" i="3"/>
  <c r="AB525" i="3"/>
  <c r="AB10" i="3"/>
  <c r="AB1437" i="3"/>
  <c r="AB262" i="3"/>
  <c r="AB1368" i="3"/>
  <c r="AB735" i="3"/>
  <c r="AB230" i="3"/>
  <c r="AB163" i="3"/>
  <c r="AB792" i="3"/>
  <c r="AB18" i="3"/>
  <c r="AB693" i="3"/>
  <c r="W1416" i="3"/>
  <c r="AB201" i="3"/>
  <c r="AB719" i="3"/>
  <c r="AB701" i="3"/>
  <c r="AB166" i="3"/>
  <c r="AB34" i="3"/>
  <c r="AB881" i="3"/>
  <c r="AB198" i="3"/>
  <c r="AB186" i="3"/>
  <c r="AB1204" i="3"/>
  <c r="AB1309" i="3"/>
  <c r="AB1144" i="3"/>
  <c r="AB1312" i="3"/>
  <c r="W1256" i="3"/>
  <c r="AB1465" i="3"/>
  <c r="AB381" i="3"/>
  <c r="AB1052" i="3"/>
  <c r="AB1155" i="3"/>
  <c r="AB558" i="3"/>
  <c r="AB264" i="3"/>
  <c r="AB580" i="3"/>
  <c r="AB93" i="3"/>
  <c r="AB8" i="3"/>
  <c r="AB38" i="3"/>
  <c r="AB376" i="3"/>
  <c r="AB574" i="3"/>
  <c r="AB609" i="3"/>
  <c r="AB737" i="3"/>
  <c r="AB796" i="3"/>
  <c r="AB1180" i="3"/>
  <c r="AB20" i="3"/>
  <c r="AB785" i="3"/>
  <c r="AB1313" i="3"/>
  <c r="AB255" i="3"/>
  <c r="AB605" i="3"/>
  <c r="AB52" i="3"/>
  <c r="AB282" i="3"/>
  <c r="AB1306" i="3"/>
  <c r="AB1009" i="3"/>
  <c r="AB583" i="3"/>
  <c r="W306" i="3"/>
  <c r="AB733" i="3"/>
  <c r="AB1449" i="3"/>
  <c r="AB70" i="3"/>
  <c r="AB184" i="3"/>
  <c r="AB772" i="3"/>
  <c r="AB1303" i="3"/>
  <c r="AB1203" i="3"/>
  <c r="AB1403" i="3"/>
  <c r="AB1169" i="3"/>
  <c r="AB106" i="3"/>
  <c r="AB1263" i="3"/>
  <c r="AB1044" i="3"/>
  <c r="AB71" i="3"/>
  <c r="AB607" i="3"/>
  <c r="AB669" i="3"/>
  <c r="AB747" i="3"/>
  <c r="AB199" i="3"/>
  <c r="AB589" i="3"/>
  <c r="AB1027" i="3"/>
  <c r="AB470" i="3"/>
  <c r="AB1455" i="3"/>
  <c r="W1440" i="3"/>
  <c r="W1268" i="3"/>
  <c r="AB592" i="3"/>
  <c r="W1211" i="3"/>
  <c r="AB73" i="3"/>
  <c r="AB1345" i="3"/>
  <c r="AB96" i="3"/>
  <c r="AB1048" i="3"/>
  <c r="AB42" i="3"/>
  <c r="AB115" i="3"/>
  <c r="AB611" i="3"/>
  <c r="AB278" i="3"/>
  <c r="AB1279" i="3"/>
  <c r="AB1139" i="3"/>
  <c r="AB1123" i="3"/>
  <c r="AB725" i="3"/>
  <c r="AB371" i="3"/>
  <c r="AB25" i="3"/>
  <c r="AB864" i="3"/>
  <c r="AB604" i="3"/>
  <c r="AB160" i="3"/>
  <c r="AB753" i="3"/>
  <c r="AB510" i="3"/>
  <c r="AB406" i="3"/>
  <c r="AB1447" i="3"/>
  <c r="AB473" i="3"/>
  <c r="AB1260" i="3"/>
  <c r="AB676" i="3"/>
  <c r="AB204" i="3"/>
  <c r="AB884" i="3"/>
  <c r="AB958" i="3"/>
  <c r="AB957" i="3"/>
  <c r="AB586" i="3"/>
  <c r="AB689" i="3"/>
  <c r="AB675" i="3"/>
  <c r="AB657" i="3"/>
  <c r="AB1188" i="3"/>
  <c r="AB274" i="3"/>
  <c r="AB997" i="3"/>
  <c r="AB51" i="3"/>
  <c r="AB1211" i="3"/>
  <c r="AB55" i="3"/>
  <c r="AB122" i="3"/>
  <c r="AB959" i="3"/>
  <c r="AB151" i="3"/>
  <c r="AB306" i="3"/>
  <c r="AB1393" i="3"/>
  <c r="AB337" i="3"/>
  <c r="AB993" i="3"/>
  <c r="AB1338" i="3"/>
  <c r="AB157" i="3"/>
  <c r="AB698" i="3"/>
  <c r="AB72" i="3"/>
  <c r="AB84" i="3"/>
  <c r="AB148" i="3"/>
  <c r="AB137" i="3"/>
  <c r="AB24" i="3"/>
  <c r="AB1390" i="3"/>
  <c r="W1457" i="3"/>
  <c r="AB69" i="3"/>
  <c r="AB140" i="3"/>
  <c r="AB1002" i="3"/>
  <c r="AB721" i="3"/>
  <c r="AB276" i="3"/>
  <c r="AB1388" i="3"/>
  <c r="AB1125" i="3"/>
  <c r="AB89" i="3"/>
  <c r="AB150" i="3"/>
  <c r="AB673" i="3"/>
  <c r="AB232" i="3"/>
  <c r="AB879" i="3"/>
  <c r="AB314" i="3"/>
  <c r="AB626" i="3"/>
  <c r="AB655" i="3"/>
  <c r="AB11" i="3"/>
  <c r="AB1413" i="3"/>
  <c r="W563" i="3"/>
  <c r="W300" i="3"/>
  <c r="AB121" i="3"/>
  <c r="W1171" i="3"/>
  <c r="AB1120" i="3"/>
  <c r="W1435" i="3"/>
  <c r="W1466" i="3"/>
  <c r="AB596" i="3"/>
  <c r="AB817" i="3"/>
  <c r="AB684" i="3"/>
  <c r="AB21" i="3"/>
  <c r="AB155" i="3"/>
  <c r="AB1266" i="3"/>
  <c r="AB683" i="3"/>
  <c r="AB738" i="3"/>
  <c r="AB1216" i="3"/>
  <c r="W1240" i="3"/>
  <c r="AB1294" i="3"/>
  <c r="W1326" i="3"/>
  <c r="AB1244" i="3"/>
  <c r="W1330" i="3"/>
  <c r="AB1231" i="3"/>
  <c r="AB1290" i="3"/>
  <c r="AB798" i="3"/>
  <c r="AB202" i="3"/>
  <c r="AB265" i="3"/>
  <c r="W1183" i="3"/>
  <c r="AB1448" i="3"/>
  <c r="AB88" i="3"/>
  <c r="W1306" i="3"/>
  <c r="W1456" i="3"/>
  <c r="AB125" i="3"/>
  <c r="AB806" i="3"/>
  <c r="AB671" i="3"/>
  <c r="AB57" i="3"/>
  <c r="AB59" i="3"/>
  <c r="AB1232" i="3"/>
  <c r="AB136" i="3"/>
  <c r="W1246" i="3"/>
  <c r="W1399" i="3"/>
  <c r="W222" i="3"/>
  <c r="AB1453" i="3"/>
  <c r="W1373" i="3"/>
  <c r="AB1174" i="3"/>
  <c r="AB188" i="3"/>
  <c r="AB446" i="3"/>
  <c r="AB709" i="3"/>
  <c r="W829" i="3"/>
  <c r="AB1143" i="3"/>
  <c r="AB206" i="3"/>
  <c r="W1325" i="3"/>
  <c r="AB1300" i="3"/>
  <c r="AB185" i="3"/>
  <c r="AB1162" i="3"/>
  <c r="AB912" i="3"/>
  <c r="W586" i="3"/>
  <c r="AB658" i="3"/>
  <c r="AB786" i="3"/>
  <c r="AB74" i="3"/>
  <c r="AB803" i="3"/>
  <c r="AB975" i="3"/>
  <c r="AB708" i="3"/>
  <c r="AB1104" i="3"/>
  <c r="AB705" i="3"/>
  <c r="AB741" i="3"/>
  <c r="AB625" i="3"/>
  <c r="AB852" i="3"/>
  <c r="AB801" i="3"/>
  <c r="AB810" i="3"/>
  <c r="AB395" i="3"/>
  <c r="AB729" i="3"/>
  <c r="AB221" i="3"/>
  <c r="AB297" i="3"/>
  <c r="AB687" i="3"/>
  <c r="AB716" i="3"/>
  <c r="AB778" i="3"/>
  <c r="AB1289" i="3"/>
  <c r="AB831" i="3"/>
  <c r="AB581" i="3"/>
  <c r="AB488" i="3"/>
  <c r="AB779" i="3"/>
  <c r="AB305" i="3"/>
  <c r="AB692" i="3"/>
  <c r="AB685" i="3"/>
  <c r="AB1066" i="3"/>
  <c r="AB61" i="3"/>
  <c r="AB1156" i="3"/>
  <c r="AB749" i="3"/>
  <c r="W1235" i="3"/>
  <c r="W88" i="3"/>
  <c r="W429" i="3"/>
  <c r="W504" i="3"/>
  <c r="W559" i="3"/>
  <c r="W1459" i="3"/>
  <c r="W951" i="3"/>
  <c r="W135" i="3"/>
  <c r="W314" i="3"/>
  <c r="W337" i="3"/>
  <c r="W37" i="3"/>
  <c r="W1360" i="3"/>
  <c r="AB1001" i="3"/>
  <c r="AB661" i="3"/>
  <c r="AB1467" i="3"/>
  <c r="AB699" i="3"/>
  <c r="AB1101" i="3"/>
  <c r="AB1109" i="3"/>
  <c r="AB1175" i="3"/>
  <c r="AB179" i="3"/>
  <c r="AB690" i="3"/>
  <c r="AB1214" i="3"/>
  <c r="AB603" i="3"/>
  <c r="AB177" i="3"/>
  <c r="AB1457" i="3"/>
  <c r="AB1262" i="3"/>
  <c r="AB161" i="3"/>
  <c r="AB164" i="3"/>
  <c r="AB1295" i="3"/>
  <c r="AB703" i="3"/>
  <c r="AB1105" i="3"/>
  <c r="AB897" i="3"/>
  <c r="AB781" i="3"/>
  <c r="AB298" i="3"/>
  <c r="AB653" i="3"/>
  <c r="W589" i="3"/>
  <c r="W1198" i="3"/>
  <c r="W970" i="3"/>
  <c r="W912" i="3"/>
  <c r="W998" i="3"/>
  <c r="W386" i="3"/>
  <c r="AB405" i="3"/>
  <c r="AB220" i="3"/>
  <c r="W1276" i="3"/>
  <c r="W449" i="3"/>
  <c r="W369" i="3"/>
  <c r="W1308" i="3"/>
  <c r="AB1445" i="3"/>
  <c r="W51" i="3"/>
  <c r="AB138" i="3"/>
  <c r="AB498" i="3"/>
  <c r="AB452" i="3"/>
  <c r="AB754" i="3"/>
  <c r="AB1252" i="3"/>
  <c r="AB1270" i="3"/>
  <c r="AB717" i="3"/>
  <c r="AB896" i="3"/>
  <c r="AB776" i="3"/>
  <c r="AB358" i="3"/>
  <c r="AB588" i="3"/>
  <c r="AB236" i="3"/>
  <c r="AB263" i="3"/>
  <c r="AB756" i="3"/>
  <c r="AB1218" i="3"/>
  <c r="AB1153" i="3"/>
  <c r="AB1292" i="3"/>
  <c r="AB1422" i="3"/>
  <c r="AB503" i="3"/>
  <c r="AB1107" i="3"/>
  <c r="AB368" i="3"/>
  <c r="AB75" i="3"/>
  <c r="AB1304" i="3"/>
  <c r="AB850" i="3"/>
  <c r="AB794" i="3"/>
  <c r="AB651" i="3"/>
  <c r="AB1108" i="3"/>
  <c r="AB1427" i="3"/>
  <c r="AB283" i="3"/>
  <c r="AB492" i="3"/>
  <c r="AB631" i="3"/>
  <c r="AB787" i="3"/>
  <c r="AB292" i="3"/>
  <c r="AB53" i="3"/>
  <c r="AB889" i="3"/>
  <c r="AB1387" i="3"/>
  <c r="AB401" i="3"/>
  <c r="AB190" i="3"/>
  <c r="AB1080" i="3"/>
  <c r="AB418" i="3"/>
  <c r="AB1184" i="3"/>
  <c r="AB313" i="3"/>
  <c r="AB312" i="3"/>
  <c r="AB1212" i="3"/>
  <c r="AB479" i="3"/>
  <c r="AB715" i="3"/>
  <c r="AB1239" i="3"/>
  <c r="AB1438" i="3"/>
  <c r="AB234" i="3"/>
  <c r="AB466" i="3"/>
  <c r="AB1082" i="3"/>
  <c r="AB111" i="3"/>
  <c r="AB973" i="3"/>
  <c r="AB222" i="3"/>
  <c r="AB780" i="3"/>
  <c r="W454" i="3"/>
  <c r="AB243" i="3"/>
  <c r="AB1111" i="3"/>
  <c r="AB210" i="3"/>
  <c r="W618" i="3"/>
  <c r="W772" i="3"/>
  <c r="W67" i="3"/>
  <c r="W584" i="3"/>
  <c r="AB388" i="3"/>
  <c r="AB572" i="3"/>
  <c r="AB652" i="3"/>
  <c r="AB1196" i="3"/>
  <c r="W411" i="3"/>
  <c r="W1375" i="3"/>
  <c r="AB1152" i="3"/>
  <c r="AB117" i="3"/>
  <c r="AB1019" i="3"/>
  <c r="AB172" i="3"/>
  <c r="W443" i="3"/>
  <c r="W382" i="3"/>
  <c r="W952" i="3"/>
  <c r="W1038" i="3"/>
  <c r="W1228" i="3"/>
  <c r="W234" i="3"/>
  <c r="W976" i="3"/>
  <c r="W327" i="3"/>
  <c r="W630" i="3"/>
  <c r="W98" i="3"/>
  <c r="W153" i="3"/>
  <c r="W1158" i="3"/>
  <c r="W545" i="3"/>
  <c r="W366" i="3"/>
  <c r="W107" i="3"/>
  <c r="W1029" i="3"/>
  <c r="W823" i="3"/>
  <c r="W1284" i="3"/>
  <c r="W1368" i="3"/>
  <c r="W1027" i="3"/>
  <c r="W362" i="3"/>
  <c r="W1140" i="3"/>
  <c r="W197" i="3"/>
  <c r="W33" i="3"/>
  <c r="W1434" i="3"/>
  <c r="W1264" i="3"/>
  <c r="W265" i="3"/>
  <c r="W629" i="3"/>
  <c r="W833" i="3"/>
  <c r="W1007" i="3"/>
  <c r="W319" i="3"/>
  <c r="W747" i="3"/>
  <c r="W1221" i="3"/>
  <c r="W381" i="3"/>
  <c r="W210" i="3"/>
  <c r="W1358" i="3"/>
  <c r="AB570" i="3"/>
  <c r="W1402" i="3"/>
  <c r="W115" i="3"/>
  <c r="W1229" i="3"/>
  <c r="W1042" i="3"/>
  <c r="W144" i="3"/>
  <c r="W231" i="3"/>
  <c r="W1336" i="3"/>
  <c r="W989" i="3"/>
  <c r="W1089" i="3"/>
  <c r="W356" i="3"/>
  <c r="AB795" i="3"/>
  <c r="AB284" i="3"/>
  <c r="W252" i="3"/>
  <c r="AB394" i="3"/>
  <c r="W637" i="3"/>
  <c r="AB258" i="3"/>
  <c r="AB417" i="3"/>
  <c r="W1160" i="3"/>
  <c r="W172" i="3"/>
  <c r="W363" i="3"/>
  <c r="W435" i="3"/>
  <c r="W628" i="3"/>
  <c r="AB1146" i="3"/>
  <c r="AB353" i="3"/>
  <c r="AB885" i="3"/>
  <c r="AB1382" i="3"/>
  <c r="W870" i="3"/>
  <c r="W118" i="3"/>
  <c r="W349" i="3"/>
  <c r="W418" i="3"/>
  <c r="W1129" i="3"/>
  <c r="W241" i="3"/>
  <c r="W1127" i="3"/>
  <c r="W525" i="3"/>
  <c r="AB180" i="3"/>
  <c r="AB514" i="3"/>
  <c r="AB555" i="3"/>
  <c r="W1114" i="3"/>
  <c r="W474" i="3"/>
  <c r="W631" i="3"/>
  <c r="W526" i="3"/>
  <c r="W651" i="3"/>
  <c r="W1417" i="3"/>
  <c r="AB379" i="3"/>
  <c r="W390" i="3"/>
  <c r="W1279" i="3"/>
  <c r="W749" i="3"/>
  <c r="W974" i="3"/>
  <c r="W11" i="3"/>
  <c r="W1188" i="3"/>
  <c r="W511" i="3"/>
  <c r="W1182" i="3"/>
  <c r="W112" i="3"/>
  <c r="W1467" i="3"/>
  <c r="W323" i="3"/>
  <c r="W521" i="3"/>
  <c r="W26" i="3"/>
  <c r="W892" i="3"/>
  <c r="W1234" i="3"/>
  <c r="W205" i="3"/>
  <c r="W904" i="3"/>
  <c r="W397" i="3"/>
  <c r="AB533" i="3"/>
  <c r="W1301" i="3"/>
  <c r="W1323" i="3"/>
  <c r="W1121" i="3"/>
  <c r="W537" i="3"/>
  <c r="W665" i="3"/>
  <c r="W715" i="3"/>
  <c r="W244" i="3"/>
  <c r="W673" i="3"/>
  <c r="W481" i="3"/>
  <c r="W1174" i="3"/>
  <c r="W139" i="3"/>
  <c r="AB1003" i="3"/>
  <c r="AB994" i="3"/>
  <c r="W940" i="3"/>
  <c r="W274" i="3"/>
  <c r="W478" i="3"/>
  <c r="W422" i="3"/>
  <c r="W66" i="3"/>
  <c r="W342" i="3"/>
  <c r="W529" i="3"/>
  <c r="AB1464" i="3"/>
  <c r="AB386" i="3"/>
  <c r="AB464" i="3"/>
  <c r="AB364" i="3"/>
  <c r="AB85" i="3"/>
  <c r="AB409" i="3"/>
  <c r="AB932" i="3"/>
  <c r="W1432" i="3"/>
  <c r="AB1099" i="3"/>
  <c r="W1059" i="3"/>
  <c r="W689" i="3"/>
  <c r="W1294" i="3"/>
  <c r="AB668" i="3"/>
  <c r="AB1008" i="3"/>
  <c r="AB1039" i="3"/>
  <c r="W54" i="3"/>
  <c r="W877" i="3"/>
  <c r="W887" i="3"/>
  <c r="W657" i="3"/>
  <c r="W1236" i="3"/>
  <c r="AB493" i="3"/>
  <c r="W312" i="3"/>
  <c r="W856" i="3"/>
  <c r="W1249" i="3"/>
  <c r="W1227" i="3"/>
  <c r="W170" i="3"/>
  <c r="W206" i="3"/>
  <c r="W1396" i="3"/>
  <c r="W243" i="3"/>
  <c r="AB1208" i="3"/>
  <c r="AB250" i="3"/>
  <c r="AB385" i="3"/>
  <c r="AB68" i="3"/>
  <c r="AB370" i="3"/>
  <c r="AB414" i="3"/>
  <c r="AB598" i="3"/>
  <c r="AB1210" i="3"/>
  <c r="AB416" i="3"/>
  <c r="AB1136" i="3"/>
  <c r="AB1363" i="3"/>
  <c r="AB677" i="3"/>
  <c r="AB331" i="3"/>
  <c r="AB19" i="3"/>
  <c r="AB227" i="3"/>
  <c r="AB1265" i="3"/>
  <c r="AB545" i="3"/>
  <c r="AB722" i="3"/>
  <c r="AB342" i="3"/>
  <c r="AB173" i="3"/>
  <c r="AB700" i="3"/>
  <c r="AB1412" i="3"/>
  <c r="AB357" i="3"/>
  <c r="AB223" i="3"/>
  <c r="AB638" i="3"/>
  <c r="AB977" i="3"/>
  <c r="AB332" i="3"/>
  <c r="W1167" i="3"/>
  <c r="T15" i="5"/>
  <c r="W574" i="3"/>
  <c r="AB17" i="3"/>
  <c r="AB1217" i="3"/>
  <c r="AB1151" i="3"/>
  <c r="AB269" i="3"/>
  <c r="AB862" i="3"/>
  <c r="AB1173" i="3"/>
  <c r="AB642" i="3"/>
  <c r="W1010" i="3"/>
  <c r="W857" i="3"/>
  <c r="AB1097" i="3"/>
  <c r="AB411" i="3"/>
  <c r="AB732" i="3"/>
  <c r="AB1187" i="3"/>
  <c r="AB480" i="3"/>
  <c r="AB1458" i="3"/>
  <c r="W966" i="3"/>
  <c r="W1166" i="3"/>
  <c r="W114" i="3"/>
  <c r="W528" i="3"/>
  <c r="W201" i="3"/>
  <c r="W773" i="3"/>
  <c r="AB483" i="3"/>
  <c r="AB731" i="3"/>
  <c r="AB1284" i="3"/>
  <c r="AB43" i="3"/>
  <c r="AB1130" i="3"/>
  <c r="AB36" i="3"/>
  <c r="AB789" i="3"/>
  <c r="AB420" i="3"/>
  <c r="AB149" i="3"/>
  <c r="AB1378" i="3"/>
  <c r="AB576" i="3"/>
  <c r="W1260" i="3"/>
  <c r="AB667" i="3"/>
  <c r="AB481" i="3"/>
  <c r="AB591" i="3"/>
  <c r="AB1246" i="3"/>
  <c r="AB1311" i="3"/>
  <c r="AB92" i="3"/>
  <c r="AB277" i="3"/>
  <c r="AB448" i="3"/>
  <c r="AB1113" i="3"/>
  <c r="AB275" i="3"/>
  <c r="AB821" i="3"/>
  <c r="W1175" i="3"/>
  <c r="W844" i="3"/>
  <c r="AB372" i="3"/>
  <c r="AB421" i="3"/>
  <c r="AB1016" i="3"/>
  <c r="AB33" i="3"/>
  <c r="AB612" i="3"/>
  <c r="W184" i="3"/>
  <c r="W433" i="3"/>
  <c r="W262" i="3"/>
  <c r="AB1219" i="3"/>
  <c r="W70" i="3"/>
  <c r="AB1135" i="3"/>
  <c r="AB471" i="3"/>
  <c r="W167" i="3"/>
  <c r="W534" i="3"/>
  <c r="W130" i="3"/>
  <c r="AB1194" i="3"/>
  <c r="W954" i="3"/>
  <c r="W530" i="3"/>
  <c r="W320" i="3"/>
  <c r="W141" i="3"/>
  <c r="W805" i="3"/>
  <c r="W137" i="3"/>
  <c r="W494" i="3"/>
  <c r="W886" i="3"/>
  <c r="W782" i="3"/>
  <c r="W854" i="3"/>
  <c r="W413" i="3"/>
  <c r="W1090" i="3"/>
  <c r="W1374" i="3"/>
  <c r="W480" i="3"/>
  <c r="W1001" i="3"/>
  <c r="W308" i="3"/>
  <c r="W1092" i="3"/>
  <c r="W845" i="3"/>
  <c r="W982" i="3"/>
  <c r="W379" i="3"/>
  <c r="W393" i="3"/>
  <c r="W536" i="3"/>
  <c r="W517" i="3"/>
  <c r="W508" i="3"/>
  <c r="W914" i="3"/>
  <c r="W63" i="3"/>
  <c r="W189" i="3"/>
  <c r="W784" i="3"/>
  <c r="W149" i="3"/>
  <c r="W1094" i="3"/>
  <c r="W180" i="3"/>
  <c r="W983" i="3"/>
  <c r="W289" i="3"/>
  <c r="W32" i="3"/>
  <c r="AB366" i="3"/>
  <c r="AB217" i="3"/>
  <c r="AB636" i="3"/>
  <c r="W191" i="3"/>
  <c r="W157" i="3"/>
  <c r="W188" i="3"/>
  <c r="W1025" i="3"/>
  <c r="W1100" i="3"/>
  <c r="W677" i="3"/>
  <c r="W780" i="3"/>
  <c r="W1267" i="3"/>
  <c r="W150" i="3"/>
  <c r="W192" i="3"/>
  <c r="W1357" i="3"/>
  <c r="W483" i="3"/>
  <c r="AB1444" i="3"/>
  <c r="AB494" i="3"/>
  <c r="AB535" i="3"/>
  <c r="W623" i="3"/>
  <c r="W1049" i="3"/>
  <c r="W20" i="3"/>
  <c r="W408" i="3"/>
  <c r="W926" i="3"/>
  <c r="W303" i="3"/>
  <c r="AB1054" i="3"/>
  <c r="AB557" i="3"/>
  <c r="W953" i="3"/>
  <c r="W358" i="3"/>
  <c r="W624" i="3"/>
  <c r="W1407" i="3"/>
  <c r="W401" i="3"/>
  <c r="AB225" i="3"/>
  <c r="AB968" i="3"/>
  <c r="AB1191" i="3"/>
  <c r="W1364" i="3"/>
  <c r="W849" i="3"/>
  <c r="W486" i="3"/>
  <c r="W1101" i="3"/>
  <c r="W964" i="3"/>
  <c r="W173" i="3"/>
  <c r="W326" i="3"/>
  <c r="W745" i="3"/>
  <c r="W311" i="3"/>
  <c r="AB868" i="3"/>
  <c r="AB147" i="3"/>
  <c r="AB489" i="3"/>
  <c r="AB400" i="3"/>
  <c r="W920" i="3"/>
  <c r="W1332" i="3"/>
  <c r="W1401" i="3"/>
  <c r="W758" i="3"/>
  <c r="W1353" i="3"/>
  <c r="W635" i="3"/>
  <c r="AB443" i="3"/>
  <c r="W259" i="3"/>
  <c r="W906" i="3"/>
  <c r="W459" i="3"/>
  <c r="W1370" i="3"/>
  <c r="W614" i="3"/>
  <c r="W851" i="3"/>
  <c r="W183" i="3"/>
  <c r="W568" i="3"/>
  <c r="W1371" i="3"/>
  <c r="W233" i="3"/>
  <c r="W17" i="3"/>
  <c r="W1242" i="3"/>
  <c r="W152" i="3"/>
  <c r="AB920" i="3"/>
  <c r="AB1450" i="3"/>
  <c r="AB553" i="3"/>
  <c r="W763" i="3"/>
  <c r="W333" i="3"/>
  <c r="W666" i="3"/>
  <c r="W1262" i="3"/>
  <c r="W605" i="3"/>
  <c r="W993" i="3"/>
  <c r="W1189" i="3"/>
  <c r="AB194" i="3"/>
  <c r="W1285" i="3"/>
  <c r="W361" i="3"/>
  <c r="W965" i="3"/>
  <c r="W1248" i="3"/>
  <c r="AB1431" i="3"/>
  <c r="W1052" i="3"/>
  <c r="W778" i="3"/>
  <c r="W86" i="3"/>
  <c r="W1395" i="3"/>
  <c r="W1241" i="3"/>
  <c r="W1271" i="3"/>
  <c r="W1233" i="3"/>
  <c r="AB549" i="3"/>
  <c r="AB338" i="3"/>
  <c r="AB1443" i="3"/>
  <c r="AB1192" i="3"/>
  <c r="AB296" i="3"/>
  <c r="AB1021" i="3"/>
  <c r="W1387" i="3"/>
  <c r="W931" i="3"/>
  <c r="AB1466" i="3"/>
  <c r="AB644" i="3"/>
  <c r="W318" i="3"/>
  <c r="W1028" i="3"/>
  <c r="W128" i="3"/>
  <c r="W1165" i="3"/>
  <c r="W1455" i="3"/>
  <c r="W80" i="3"/>
  <c r="W335" i="3"/>
  <c r="W255" i="3"/>
  <c r="W592" i="3"/>
  <c r="W642" i="3"/>
  <c r="AB984" i="3"/>
  <c r="AB218" i="3"/>
  <c r="AB1383" i="3"/>
  <c r="AB1206" i="3"/>
  <c r="AB497" i="3"/>
  <c r="AB1163" i="3"/>
  <c r="W818" i="3"/>
  <c r="W41" i="3"/>
  <c r="W1178" i="3"/>
  <c r="W997" i="3"/>
  <c r="W1385" i="3"/>
  <c r="AB1410" i="3"/>
  <c r="AB1238" i="3"/>
  <c r="AB1405" i="3"/>
  <c r="AB16" i="3"/>
  <c r="AB554" i="3"/>
  <c r="W302" i="3"/>
  <c r="AB1185" i="3"/>
  <c r="AB436" i="3"/>
  <c r="AB531" i="3"/>
  <c r="AB635" i="3"/>
  <c r="AB1385" i="3"/>
  <c r="AB224" i="3"/>
  <c r="W649" i="3"/>
  <c r="W409" i="3"/>
  <c r="W929" i="3"/>
  <c r="W910" i="3"/>
  <c r="W1119" i="3"/>
  <c r="W933" i="3"/>
  <c r="AB286" i="3"/>
  <c r="AB627" i="3"/>
  <c r="W864" i="3"/>
  <c r="W900" i="3"/>
  <c r="AB30" i="3"/>
  <c r="AB1389" i="3"/>
  <c r="W865" i="3"/>
  <c r="W883" i="3"/>
  <c r="W775" i="3"/>
  <c r="W558" i="3"/>
  <c r="W1021" i="3"/>
  <c r="AB77" i="3"/>
  <c r="AB256" i="3"/>
  <c r="AB1344" i="3"/>
  <c r="W569" i="3"/>
  <c r="AB1235" i="3"/>
  <c r="W601" i="3"/>
  <c r="W898" i="3"/>
  <c r="W682" i="3"/>
  <c r="W347" i="3"/>
  <c r="W52" i="3"/>
  <c r="W518" i="3"/>
  <c r="W1392" i="3"/>
  <c r="W1154" i="3"/>
  <c r="W620" i="3"/>
  <c r="W863" i="3"/>
  <c r="W835" i="3"/>
  <c r="W1142" i="3"/>
  <c r="W1316" i="3"/>
  <c r="W820" i="3"/>
  <c r="W1022" i="3"/>
  <c r="W708" i="3"/>
  <c r="W75" i="3"/>
  <c r="W1124" i="3"/>
  <c r="W913" i="3"/>
  <c r="W1164" i="3"/>
  <c r="AB926" i="3"/>
  <c r="W1068" i="3"/>
  <c r="W733" i="3"/>
  <c r="W395" i="3"/>
  <c r="W398" i="3"/>
  <c r="AB1168" i="3"/>
  <c r="AB1064" i="3"/>
  <c r="W39" i="3"/>
  <c r="W1339" i="3"/>
  <c r="W895" i="3"/>
  <c r="W546" i="3"/>
  <c r="W269" i="3"/>
  <c r="W322" i="3"/>
  <c r="W855" i="3"/>
  <c r="W464" i="3"/>
  <c r="W1172" i="3"/>
  <c r="W35" i="3"/>
  <c r="W31" i="3"/>
  <c r="W1163" i="3"/>
  <c r="W420" i="3"/>
  <c r="W434" i="3"/>
  <c r="W509" i="3"/>
  <c r="W1201" i="3"/>
  <c r="W1115" i="3"/>
  <c r="W1150" i="3"/>
  <c r="W837" i="3"/>
  <c r="W169" i="3"/>
  <c r="W71" i="3"/>
  <c r="W359" i="3"/>
  <c r="W352" i="3"/>
  <c r="W927" i="3"/>
  <c r="W1270" i="3"/>
  <c r="AB437" i="3"/>
  <c r="AB146" i="3"/>
  <c r="AB886" i="3"/>
  <c r="AB340" i="3"/>
  <c r="W431" i="3"/>
  <c r="W1253" i="3"/>
  <c r="W654" i="3"/>
  <c r="W917" i="3"/>
  <c r="W498" i="3"/>
  <c r="W298" i="3"/>
  <c r="W915" i="3"/>
  <c r="W948" i="3"/>
  <c r="W1008" i="3"/>
  <c r="W795" i="3"/>
  <c r="W1426" i="3"/>
  <c r="W1105" i="3"/>
  <c r="W1130" i="3"/>
  <c r="W441" i="3"/>
  <c r="W1199" i="3"/>
  <c r="W417" i="3"/>
  <c r="AB404" i="3"/>
  <c r="AB1056" i="3"/>
  <c r="AB890" i="3"/>
  <c r="W1349" i="3"/>
  <c r="W1213" i="3"/>
  <c r="W797" i="3"/>
  <c r="AB1460" i="3"/>
  <c r="AB132" i="3"/>
  <c r="AB853" i="3"/>
  <c r="AB577" i="3"/>
  <c r="AB1352" i="3"/>
  <c r="W734" i="3"/>
  <c r="W1317" i="3"/>
  <c r="W1286" i="3"/>
  <c r="W776" i="3"/>
  <c r="W1118" i="3"/>
  <c r="W73" i="3"/>
  <c r="W126" i="3"/>
  <c r="W930" i="3"/>
  <c r="W102" i="3"/>
  <c r="W1141" i="3"/>
  <c r="W84" i="3"/>
  <c r="W1071" i="3"/>
  <c r="W1303" i="3"/>
  <c r="W807" i="3"/>
  <c r="W266" i="3"/>
  <c r="AB477" i="3"/>
  <c r="AB432" i="3"/>
  <c r="AB1291" i="3"/>
  <c r="AB1425" i="3"/>
  <c r="AB593" i="3"/>
  <c r="AB468" i="3"/>
  <c r="W1050" i="3"/>
  <c r="AB536" i="3"/>
  <c r="AB1213" i="3"/>
  <c r="AB384" i="3"/>
  <c r="AB1038" i="3"/>
  <c r="W1054" i="3"/>
  <c r="W1044" i="3"/>
  <c r="W18" i="3"/>
  <c r="W968" i="3"/>
  <c r="AB1346" i="3"/>
  <c r="AB1257" i="3"/>
  <c r="AB219" i="3"/>
  <c r="AB1145" i="3"/>
  <c r="W297" i="3"/>
  <c r="W1441" i="3"/>
  <c r="W171" i="3"/>
  <c r="W746" i="3"/>
  <c r="AB1225" i="3"/>
  <c r="AB1181" i="3"/>
  <c r="AB285" i="3"/>
  <c r="AB1251" i="3"/>
  <c r="AB871" i="3"/>
  <c r="W1318" i="3"/>
  <c r="W1043" i="3"/>
  <c r="W161" i="3"/>
  <c r="W831" i="3"/>
  <c r="AB819" i="3"/>
  <c r="AB1379" i="3"/>
  <c r="AB1349" i="3"/>
  <c r="AB355" i="3"/>
  <c r="W510" i="3"/>
  <c r="W1005" i="3"/>
  <c r="W1465" i="3"/>
  <c r="AB1386" i="3"/>
  <c r="AB1426" i="3"/>
  <c r="AB1215" i="3"/>
  <c r="AB870" i="3"/>
  <c r="W705" i="3"/>
  <c r="W848" i="3"/>
  <c r="W1026" i="3"/>
  <c r="W543" i="3"/>
  <c r="AB402" i="3"/>
  <c r="W1117" i="3"/>
  <c r="W1409" i="3"/>
  <c r="W533" i="3"/>
  <c r="W706" i="3"/>
  <c r="W155" i="3"/>
  <c r="W36" i="3"/>
  <c r="W309" i="3"/>
  <c r="AB1429" i="3"/>
  <c r="AB1233" i="3"/>
  <c r="W660" i="3"/>
  <c r="W1363" i="3"/>
  <c r="W644" i="3"/>
  <c r="AB1337" i="3"/>
  <c r="AB1418" i="3"/>
  <c r="AB373" i="3"/>
  <c r="AB573" i="3"/>
  <c r="AB1200" i="3"/>
  <c r="W961" i="3"/>
  <c r="W1132" i="3"/>
  <c r="W123" i="3"/>
  <c r="W764" i="3"/>
  <c r="W448" i="3"/>
  <c r="W520" i="3"/>
  <c r="W765" i="3"/>
  <c r="W967" i="3"/>
  <c r="W923" i="3"/>
  <c r="W1334" i="3"/>
  <c r="W1255" i="3"/>
  <c r="W625" i="3"/>
  <c r="W1134" i="3"/>
  <c r="W432" i="3"/>
  <c r="W896" i="3"/>
  <c r="W367" i="3"/>
  <c r="AB491" i="3"/>
  <c r="AB799" i="3"/>
  <c r="AB1035" i="3"/>
  <c r="AB843" i="3"/>
  <c r="AB807" i="3"/>
  <c r="W1060" i="3"/>
  <c r="W1073" i="3"/>
  <c r="W1110" i="3"/>
  <c r="W34" i="3"/>
  <c r="W988" i="3"/>
  <c r="AB266" i="3"/>
  <c r="AB45" i="3"/>
  <c r="AB195" i="3"/>
  <c r="AB1183" i="3"/>
  <c r="AB1018" i="3"/>
  <c r="W1084" i="3"/>
  <c r="W1048" i="3"/>
  <c r="W315" i="3"/>
  <c r="AB880" i="3"/>
  <c r="AB1293" i="3"/>
  <c r="AB861" i="3"/>
  <c r="W842" i="3"/>
  <c r="W1128" i="3"/>
  <c r="W261" i="3"/>
  <c r="AB1137" i="3"/>
  <c r="AB629" i="3"/>
  <c r="AB47" i="3"/>
  <c r="AB235" i="3"/>
  <c r="AB1055" i="3"/>
  <c r="AB1022" i="3"/>
  <c r="AB1033" i="3"/>
  <c r="W672" i="3"/>
  <c r="W680" i="3"/>
  <c r="W1120" i="3"/>
  <c r="W1123" i="3"/>
  <c r="W248" i="3"/>
  <c r="W1157" i="3"/>
  <c r="W317" i="3"/>
  <c r="W551" i="3"/>
  <c r="W490" i="3"/>
  <c r="W425" i="3"/>
  <c r="W469" i="3"/>
  <c r="W662" i="3"/>
  <c r="W1003" i="3"/>
  <c r="W61" i="3"/>
  <c r="W752" i="3"/>
  <c r="W939" i="3"/>
  <c r="W444" i="3"/>
  <c r="W65" i="3"/>
  <c r="W1394" i="3"/>
  <c r="W858" i="3"/>
  <c r="W1036" i="3"/>
  <c r="W1144" i="3"/>
  <c r="W108" i="3"/>
  <c r="W506" i="3"/>
  <c r="W400" i="3"/>
  <c r="W340" i="3"/>
  <c r="W1443" i="3"/>
  <c r="W488" i="3"/>
  <c r="W1450" i="3"/>
  <c r="W121" i="3"/>
  <c r="W762" i="3"/>
  <c r="W1278" i="3"/>
  <c r="W789" i="3"/>
  <c r="W45" i="3"/>
  <c r="W751" i="3"/>
  <c r="W341" i="3"/>
  <c r="W19" i="3"/>
  <c r="W1388" i="3"/>
  <c r="W247" i="3"/>
  <c r="W716" i="3"/>
  <c r="W756" i="3"/>
  <c r="W798" i="3"/>
  <c r="W1427" i="3"/>
  <c r="W1458" i="3"/>
  <c r="W670" i="3"/>
  <c r="W1219" i="3"/>
  <c r="W81" i="3"/>
  <c r="W1104" i="3"/>
  <c r="W293" i="3"/>
  <c r="W1369" i="3"/>
  <c r="W1196" i="3"/>
  <c r="W1289" i="3"/>
  <c r="W766" i="3"/>
  <c r="W228" i="3"/>
  <c r="W754" i="3"/>
  <c r="W981" i="3"/>
  <c r="W223" i="3"/>
  <c r="W908" i="3"/>
  <c r="W227" i="3"/>
  <c r="W1338" i="3"/>
  <c r="W387" i="3"/>
  <c r="W1078" i="3"/>
  <c r="W338" i="3"/>
  <c r="W1136" i="3"/>
  <c r="W220" i="3"/>
  <c r="W132" i="3"/>
  <c r="W299" i="3"/>
  <c r="W881" i="3"/>
  <c r="W907" i="3"/>
  <c r="W281" i="3"/>
  <c r="W1031" i="3"/>
  <c r="W567" i="3"/>
  <c r="W1181" i="3"/>
  <c r="W229" i="3"/>
  <c r="W260" i="3"/>
  <c r="W573" i="3"/>
  <c r="W1420" i="3"/>
  <c r="W507" i="3"/>
  <c r="W1322" i="3"/>
  <c r="W720" i="3"/>
  <c r="W1269" i="3"/>
  <c r="W124" i="3"/>
  <c r="W1210" i="3"/>
  <c r="W482" i="3"/>
  <c r="W147" i="3"/>
  <c r="W1259" i="3"/>
  <c r="W1206" i="3"/>
  <c r="W129" i="3"/>
  <c r="W1403" i="3"/>
  <c r="W1185" i="3"/>
  <c r="W1386" i="3"/>
  <c r="W224" i="3"/>
  <c r="W240" i="3"/>
  <c r="W440" i="3"/>
  <c r="W119" i="3"/>
  <c r="W612" i="3"/>
  <c r="W531" i="3"/>
  <c r="W1179" i="3"/>
  <c r="W273" i="3"/>
  <c r="W652" i="3"/>
  <c r="W711" i="3"/>
  <c r="W1239" i="3"/>
  <c r="W1400" i="3"/>
  <c r="W1192" i="3"/>
  <c r="W1320" i="3"/>
  <c r="W1254" i="3"/>
  <c r="W617" i="3"/>
  <c r="W879" i="3"/>
  <c r="W650" i="3"/>
  <c r="W667" i="3"/>
  <c r="W721" i="3"/>
  <c r="W113" i="3"/>
  <c r="W383" i="3"/>
  <c r="W1462" i="3"/>
  <c r="W131" i="3"/>
  <c r="W272" i="3"/>
  <c r="W1319" i="3"/>
  <c r="W1195" i="3"/>
  <c r="W693" i="3"/>
  <c r="W702" i="3"/>
  <c r="W588" i="3"/>
  <c r="W350" i="3"/>
  <c r="W978" i="3"/>
  <c r="W99" i="3"/>
  <c r="W802" i="3"/>
  <c r="W928" i="3"/>
  <c r="W1143" i="3"/>
  <c r="W1314" i="3"/>
  <c r="W814" i="3"/>
  <c r="W1252" i="3"/>
  <c r="W622" i="3"/>
  <c r="W1378" i="3"/>
  <c r="W500" i="3"/>
  <c r="W292" i="3"/>
  <c r="W841" i="3"/>
  <c r="W353" i="3"/>
  <c r="W256" i="3"/>
  <c r="W305" i="3"/>
  <c r="W513" i="3"/>
  <c r="W442" i="3"/>
  <c r="W839" i="3"/>
  <c r="W1300" i="3"/>
  <c r="W346" i="3"/>
  <c r="W246" i="3"/>
  <c r="W428" i="3"/>
  <c r="W1372" i="3"/>
  <c r="W1214" i="3"/>
  <c r="W741" i="3"/>
  <c r="W524" i="3"/>
  <c r="W664" i="3"/>
  <c r="W1004" i="3"/>
  <c r="W331" i="3"/>
  <c r="W493" i="3"/>
  <c r="W1250" i="3"/>
  <c r="W678" i="3"/>
  <c r="W1313" i="3"/>
  <c r="W194" i="3"/>
  <c r="W548" i="3"/>
  <c r="W1448" i="3"/>
  <c r="W290" i="3"/>
  <c r="W668" i="3"/>
  <c r="W1283" i="3"/>
  <c r="W1137" i="3"/>
  <c r="W522" i="3"/>
  <c r="W684" i="3"/>
  <c r="W242" i="3"/>
  <c r="W582" i="3"/>
  <c r="W809" i="3"/>
  <c r="W655" i="3"/>
  <c r="W1146" i="3"/>
  <c r="W47" i="3"/>
  <c r="W1257" i="3"/>
  <c r="W1152" i="3"/>
  <c r="W207" i="3"/>
  <c r="W610" i="3"/>
  <c r="W1381" i="3"/>
  <c r="W703" i="3"/>
  <c r="W185" i="3"/>
  <c r="W60" i="3"/>
  <c r="W955" i="3"/>
  <c r="W704" i="3"/>
  <c r="W1108" i="3"/>
  <c r="W1033" i="3"/>
  <c r="W1431" i="3"/>
  <c r="W1009" i="3"/>
  <c r="W1379" i="3"/>
  <c r="W1397" i="3"/>
  <c r="W761" i="3"/>
  <c r="W580" i="3"/>
  <c r="W641" i="3"/>
  <c r="W1275" i="3"/>
  <c r="W980" i="3"/>
  <c r="W816" i="3"/>
  <c r="W447" i="3"/>
  <c r="W794" i="3"/>
  <c r="W328" i="3"/>
  <c r="W46" i="3"/>
  <c r="W804" i="3"/>
  <c r="W590" i="3"/>
  <c r="W585" i="3"/>
  <c r="W609" i="3"/>
  <c r="W29" i="3"/>
  <c r="W249" i="3"/>
  <c r="W681" i="3"/>
  <c r="W1350" i="3"/>
  <c r="W1273" i="3"/>
  <c r="W925" i="3"/>
  <c r="W963" i="3"/>
  <c r="W1446" i="3"/>
  <c r="W329" i="3"/>
  <c r="W399" i="3"/>
  <c r="W903" i="3"/>
  <c r="W143" i="3"/>
  <c r="W216" i="3"/>
  <c r="W24" i="3"/>
  <c r="W822" i="3"/>
  <c r="W996" i="3"/>
  <c r="W774" i="3"/>
  <c r="W214" i="3"/>
  <c r="W1057" i="3"/>
  <c r="W1116" i="3"/>
  <c r="W608" i="3"/>
  <c r="W1037" i="3"/>
  <c r="W924" i="3"/>
  <c r="W949" i="3"/>
  <c r="W1014" i="3"/>
  <c r="W1190" i="3"/>
  <c r="W944" i="3"/>
  <c r="W957" i="3"/>
  <c r="W934" i="3"/>
  <c r="W1061" i="3"/>
  <c r="W686" i="3"/>
  <c r="W1077" i="3"/>
  <c r="W1087" i="3"/>
  <c r="W1012" i="3"/>
  <c r="W1156" i="3"/>
  <c r="W1217" i="3"/>
  <c r="W1309" i="3"/>
  <c r="W1125" i="3"/>
  <c r="W527" i="3"/>
  <c r="W294" i="3"/>
  <c r="W1074" i="3"/>
  <c r="W606" i="3"/>
  <c r="W867" i="3"/>
  <c r="W979" i="3"/>
  <c r="W994" i="3"/>
  <c r="W688" i="3"/>
  <c r="W825" i="3"/>
  <c r="W1122" i="3"/>
  <c r="W1072" i="3"/>
  <c r="W999" i="3"/>
  <c r="W487" i="3"/>
  <c r="W1225" i="3"/>
  <c r="W419" i="3"/>
  <c r="W785" i="3"/>
  <c r="W492" i="3"/>
  <c r="W313" i="3"/>
  <c r="W1139" i="3"/>
  <c r="W453" i="3"/>
  <c r="W287" i="3"/>
  <c r="W503" i="3"/>
  <c r="W779" i="3"/>
  <c r="W1018" i="3"/>
  <c r="W158" i="3"/>
  <c r="W163" i="3"/>
  <c r="W496" i="3"/>
  <c r="W460" i="3"/>
  <c r="W279" i="3"/>
  <c r="W165" i="3"/>
  <c r="W710" i="3"/>
  <c r="W1412" i="3"/>
  <c r="W221" i="3"/>
  <c r="W343" i="3"/>
  <c r="W468" i="3"/>
  <c r="W450" i="3"/>
  <c r="W301" i="3"/>
  <c r="W1098" i="3"/>
  <c r="W1280" i="3"/>
  <c r="W1266" i="3"/>
  <c r="W307" i="3"/>
  <c r="W1245" i="3"/>
  <c r="W1187" i="3"/>
  <c r="W638" i="3"/>
  <c r="W1261" i="3"/>
  <c r="W815" i="3"/>
  <c r="W626" i="3"/>
  <c r="W1067" i="3"/>
  <c r="W810" i="3"/>
  <c r="W79" i="3"/>
  <c r="W295" i="3"/>
  <c r="W535" i="3"/>
  <c r="W738" i="3"/>
  <c r="W1265" i="3"/>
  <c r="W1291" i="3"/>
  <c r="W539" i="3"/>
  <c r="W791" i="3"/>
  <c r="W16" i="3"/>
  <c r="W403" i="3"/>
  <c r="W943" i="3"/>
  <c r="W1352" i="3"/>
  <c r="W1414" i="3"/>
  <c r="W497" i="3"/>
  <c r="W860" i="3"/>
  <c r="W1013" i="3"/>
  <c r="W562" i="3"/>
  <c r="W1333" i="3"/>
  <c r="W136" i="3"/>
  <c r="W1011" i="3"/>
  <c r="W374" i="3"/>
  <c r="W830" i="3"/>
  <c r="W110" i="3"/>
  <c r="W737" i="3"/>
  <c r="W698" i="3"/>
  <c r="W1341" i="3"/>
  <c r="W603" i="3"/>
  <c r="W757" i="3"/>
  <c r="W64" i="3"/>
  <c r="W232" i="3"/>
  <c r="W270" i="3"/>
  <c r="W633" i="3"/>
  <c r="W103" i="3"/>
  <c r="W162" i="3"/>
  <c r="W587" i="3"/>
  <c r="W771" i="3"/>
  <c r="W718" i="3"/>
  <c r="W1034" i="3"/>
  <c r="W736" i="3"/>
  <c r="W674" i="3"/>
  <c r="W1159" i="3"/>
  <c r="W646" i="3"/>
  <c r="W1321" i="3"/>
  <c r="W1329" i="3"/>
  <c r="W709" i="3"/>
  <c r="W661" i="3"/>
  <c r="W1046" i="3"/>
  <c r="W960" i="3"/>
  <c r="W1070" i="3"/>
  <c r="W812" i="3"/>
  <c r="W894" i="3"/>
  <c r="W852" i="3"/>
  <c r="W446" i="3"/>
  <c r="W692" i="3"/>
  <c r="W1422" i="3"/>
  <c r="W847" i="3"/>
  <c r="W1040" i="3"/>
  <c r="W1393" i="3"/>
  <c r="W1232" i="3"/>
  <c r="W380" i="3"/>
  <c r="W1348" i="3"/>
  <c r="W344" i="3"/>
  <c r="W199" i="3"/>
  <c r="W909" i="3"/>
  <c r="W1297" i="3"/>
  <c r="W1424" i="3"/>
  <c r="W396" i="3"/>
  <c r="W1299" i="3"/>
  <c r="W1051" i="3"/>
  <c r="W364" i="3"/>
  <c r="W515" i="3"/>
  <c r="W226" i="3"/>
  <c r="W351" i="3"/>
  <c r="W426" i="3"/>
  <c r="W891" i="3"/>
  <c r="W793" i="3"/>
  <c r="W156" i="3"/>
  <c r="W457" i="3"/>
  <c r="W405" i="3"/>
  <c r="W648" i="3"/>
  <c r="W466" i="3"/>
  <c r="W209" i="3"/>
  <c r="W476" i="3"/>
  <c r="W491" i="3"/>
  <c r="W372" i="3"/>
  <c r="W770" i="3"/>
  <c r="W1438" i="3"/>
  <c r="W339" i="3"/>
  <c r="W556" i="3"/>
  <c r="W304" i="3"/>
  <c r="W1244" i="3"/>
  <c r="W505" i="3"/>
  <c r="W1096" i="3"/>
  <c r="W547" i="3"/>
  <c r="W743" i="3"/>
  <c r="W853" i="3"/>
  <c r="W792" i="3"/>
  <c r="W43" i="3"/>
  <c r="W310" i="3"/>
  <c r="W803" i="3"/>
  <c r="W687" i="3"/>
  <c r="W127" i="3"/>
  <c r="W1056" i="3"/>
  <c r="W1272" i="3"/>
  <c r="W193" i="3"/>
  <c r="W291" i="3"/>
  <c r="W1331" i="3"/>
  <c r="W1411" i="3"/>
  <c r="W1220" i="3"/>
  <c r="W9" i="3"/>
  <c r="W1208" i="3"/>
  <c r="W1304" i="3"/>
  <c r="W1463" i="3"/>
  <c r="W1079" i="3"/>
  <c r="W495" i="3"/>
  <c r="W1058" i="3"/>
  <c r="W613" i="3"/>
  <c r="W750" i="3"/>
  <c r="W1288" i="3"/>
  <c r="W987" i="3"/>
  <c r="W1209" i="3"/>
  <c r="W1091" i="3"/>
  <c r="W1361" i="3"/>
  <c r="W208" i="3"/>
  <c r="W275" i="3"/>
  <c r="W463" i="3"/>
  <c r="W94" i="3"/>
  <c r="W236" i="3"/>
  <c r="W564" i="3"/>
  <c r="W846" i="3"/>
  <c r="W639" i="3"/>
  <c r="W82" i="3"/>
  <c r="W97" i="3"/>
  <c r="W430" i="3"/>
  <c r="W604" i="3"/>
  <c r="W1345" i="3"/>
  <c r="W595" i="3"/>
  <c r="W239" i="3"/>
  <c r="W475" i="3"/>
  <c r="W731" i="3"/>
  <c r="W14" i="3"/>
  <c r="W15" i="3"/>
  <c r="W179" i="3"/>
  <c r="W83" i="3"/>
  <c r="W1161" i="3"/>
  <c r="W893" i="3"/>
  <c r="W109" i="3"/>
  <c r="W174" i="3"/>
  <c r="W360" i="3"/>
  <c r="W415" i="3"/>
  <c r="W824" i="3"/>
  <c r="W470" i="3"/>
  <c r="W1343" i="3"/>
  <c r="W1340" i="3"/>
  <c r="W945" i="3"/>
  <c r="W1226" i="3"/>
  <c r="W1389" i="3"/>
  <c r="W542" i="3"/>
  <c r="W962" i="3"/>
  <c r="W992" i="3"/>
  <c r="W1311" i="3"/>
  <c r="W916" i="3"/>
  <c r="W1030" i="3"/>
  <c r="W725" i="3"/>
  <c r="W1382" i="3"/>
  <c r="W656" i="3"/>
  <c r="W596" i="3"/>
  <c r="W972" i="3"/>
  <c r="W1324" i="3"/>
  <c r="W1093" i="3"/>
  <c r="W1126" i="3"/>
  <c r="W1148" i="3"/>
  <c r="W838" i="3"/>
  <c r="W1103" i="3"/>
  <c r="W519" i="3"/>
  <c r="W594" i="3"/>
  <c r="W120" i="3"/>
  <c r="W834" i="3"/>
  <c r="W1109" i="3"/>
  <c r="W555" i="3"/>
  <c r="W1039" i="3"/>
  <c r="W722" i="3"/>
  <c r="W977" i="3"/>
  <c r="W875" i="3"/>
  <c r="W225" i="3"/>
  <c r="W850" i="3"/>
  <c r="W557" i="3"/>
  <c r="W1102" i="3"/>
  <c r="W76" i="3"/>
  <c r="W523" i="3"/>
  <c r="W627" i="3"/>
  <c r="W282" i="3"/>
  <c r="W286" i="3"/>
  <c r="W1231" i="3"/>
  <c r="W1155" i="3"/>
  <c r="W1461" i="3"/>
  <c r="W280" i="3"/>
  <c r="W370" i="3"/>
  <c r="W1344" i="3"/>
  <c r="W760" i="3"/>
  <c r="W540" i="3"/>
  <c r="W538" i="3"/>
  <c r="W1237" i="3"/>
  <c r="W1200" i="3"/>
  <c r="W489" i="3"/>
  <c r="W278" i="3"/>
  <c r="W421" i="3"/>
  <c r="W283" i="3"/>
  <c r="W28" i="3"/>
  <c r="W549" i="3"/>
  <c r="W424" i="3"/>
  <c r="W1216" i="3"/>
  <c r="W575" i="3"/>
  <c r="W187" i="3"/>
  <c r="W196" i="3"/>
  <c r="W288" i="3"/>
  <c r="W695" i="3"/>
  <c r="W690" i="3"/>
  <c r="W969" i="3"/>
  <c r="W1113" i="3"/>
  <c r="W941" i="3"/>
  <c r="W53" i="3"/>
  <c r="W101" i="3"/>
  <c r="W1404" i="3"/>
  <c r="W1016" i="3"/>
  <c r="W1298" i="3"/>
  <c r="W111" i="3"/>
  <c r="W1425" i="3"/>
  <c r="W599" i="3"/>
  <c r="W200" i="3"/>
  <c r="W719" i="3"/>
  <c r="W1263" i="3"/>
  <c r="W811" i="3"/>
  <c r="W679" i="3"/>
  <c r="W600" i="3"/>
  <c r="W744" i="3"/>
  <c r="W819" i="3"/>
  <c r="W1222" i="3"/>
  <c r="W753" i="3"/>
  <c r="W1384" i="3"/>
  <c r="W905" i="3"/>
  <c r="W669" i="3"/>
  <c r="W467" i="3"/>
  <c r="W198" i="3"/>
  <c r="W106" i="3"/>
  <c r="W717" i="3"/>
  <c r="W732" i="3"/>
  <c r="W1327" i="3"/>
  <c r="W48" i="3"/>
  <c r="W465" i="3"/>
  <c r="W576" i="3"/>
  <c r="W365" i="3"/>
  <c r="W1075" i="3"/>
  <c r="W1437" i="3"/>
  <c r="W145" i="3"/>
  <c r="W602" i="3"/>
  <c r="W148" i="3"/>
  <c r="W956" i="3"/>
  <c r="W1069" i="3"/>
  <c r="W950" i="3"/>
  <c r="W645" i="3"/>
  <c r="W1045" i="3"/>
  <c r="W1247" i="3"/>
  <c r="W1421" i="3"/>
  <c r="W1147" i="3"/>
  <c r="W541" i="3"/>
  <c r="W250" i="3"/>
  <c r="W742" i="3"/>
  <c r="W334" i="3"/>
  <c r="W186" i="3"/>
  <c r="W621" i="3"/>
  <c r="W901" i="3"/>
  <c r="W1107" i="3"/>
  <c r="W355" i="3"/>
  <c r="W843" i="3"/>
  <c r="W899" i="3"/>
  <c r="W168" i="3"/>
  <c r="W726" i="3"/>
  <c r="W1055" i="3"/>
  <c r="W840" i="3"/>
  <c r="W946" i="3"/>
  <c r="W1453" i="3"/>
  <c r="W512" i="3"/>
  <c r="W1088" i="3"/>
  <c r="W781" i="3"/>
  <c r="W458" i="3"/>
  <c r="W611" i="3"/>
  <c r="W871" i="3"/>
  <c r="W213" i="3"/>
  <c r="W873" i="3"/>
  <c r="W550" i="3"/>
  <c r="W532" i="3"/>
  <c r="W477" i="3"/>
  <c r="W384" i="3"/>
  <c r="W607" i="3"/>
  <c r="W1281" i="3"/>
  <c r="W1346" i="3"/>
  <c r="W142" i="3"/>
  <c r="W316" i="3"/>
  <c r="W501" i="3"/>
  <c r="W416" i="3"/>
  <c r="W276" i="3"/>
  <c r="W1377" i="3"/>
  <c r="W285" i="3"/>
  <c r="W1194" i="3"/>
  <c r="W182" i="3"/>
  <c r="W385" i="3"/>
  <c r="W499" i="3"/>
  <c r="W1180" i="3"/>
  <c r="W581" i="3"/>
  <c r="W85" i="3"/>
  <c r="W937" i="3"/>
  <c r="W484" i="3"/>
  <c r="W238" i="3"/>
  <c r="W1177" i="3"/>
  <c r="W1390" i="3"/>
  <c r="W696" i="3"/>
  <c r="W728" i="3"/>
  <c r="W1305" i="3"/>
  <c r="W1410" i="3"/>
  <c r="W116" i="3"/>
  <c r="W1006" i="3"/>
  <c r="W1274" i="3"/>
  <c r="W685" i="3"/>
  <c r="W50" i="3"/>
  <c r="W166" i="3"/>
  <c r="W257" i="3"/>
  <c r="W1428" i="3"/>
  <c r="W100" i="3"/>
  <c r="W826" i="3"/>
  <c r="W105" i="3"/>
  <c r="W177" i="3"/>
  <c r="W91" i="3"/>
  <c r="W1302" i="3"/>
  <c r="W1202" i="3"/>
  <c r="W1099" i="3"/>
  <c r="W1398" i="3"/>
  <c r="W1149" i="3"/>
  <c r="W485" i="3"/>
  <c r="W947" i="3"/>
  <c r="W1207" i="3"/>
  <c r="W49" i="3"/>
  <c r="W178" i="3"/>
  <c r="W181" i="3"/>
  <c r="W636" i="3"/>
  <c r="W714" i="3"/>
  <c r="W748" i="3"/>
  <c r="W462" i="3"/>
  <c r="W730" i="3"/>
  <c r="W203" i="3"/>
  <c r="W882" i="3"/>
  <c r="W90" i="3"/>
  <c r="W69" i="3"/>
  <c r="W264" i="3"/>
  <c r="W713" i="3"/>
  <c r="W796" i="3"/>
  <c r="W653" i="3"/>
  <c r="W919" i="3"/>
  <c r="W1086" i="3"/>
  <c r="W1430" i="3"/>
  <c r="W1205" i="3"/>
  <c r="W813" i="3"/>
  <c r="W1193" i="3"/>
  <c r="W986" i="3"/>
  <c r="W632" i="3"/>
  <c r="W740" i="3"/>
  <c r="W712" i="3"/>
  <c r="W777" i="3"/>
  <c r="W836" i="3"/>
  <c r="W1204" i="3"/>
  <c r="W1184" i="3"/>
  <c r="W869" i="3"/>
  <c r="W991" i="3"/>
  <c r="W1002" i="3"/>
  <c r="W958" i="3"/>
  <c r="W1295" i="3"/>
  <c r="W1366" i="3"/>
  <c r="W377" i="3"/>
  <c r="W1162" i="3"/>
  <c r="W368" i="3"/>
  <c r="W58" i="3"/>
  <c r="W1203" i="3"/>
  <c r="W296" i="3"/>
  <c r="W1449" i="3"/>
  <c r="W44" i="3"/>
  <c r="W1451" i="3"/>
  <c r="W1312" i="3"/>
  <c r="W1023" i="3"/>
  <c r="W911" i="3"/>
  <c r="W828" i="3"/>
  <c r="W336" i="3"/>
  <c r="W676" i="3"/>
  <c r="W890" i="3"/>
  <c r="W412" i="3"/>
  <c r="W1076" i="3"/>
  <c r="W404" i="3"/>
  <c r="W647" i="3"/>
  <c r="W935" i="3"/>
  <c r="W1082" i="3"/>
  <c r="W566" i="3"/>
  <c r="W801" i="3"/>
  <c r="W1035" i="3"/>
  <c r="W817" i="3"/>
  <c r="W1328" i="3"/>
  <c r="W154" i="3"/>
  <c r="W394" i="3"/>
  <c r="W1406" i="3"/>
  <c r="W117" i="3"/>
  <c r="W694" i="3"/>
  <c r="W176" i="3"/>
  <c r="W235" i="3"/>
  <c r="W218" i="3"/>
  <c r="W134" i="3"/>
  <c r="W237" i="3"/>
  <c r="W735" i="3"/>
  <c r="W889" i="3"/>
  <c r="W727" i="3"/>
  <c r="W271" i="3"/>
  <c r="W96" i="3"/>
  <c r="W211" i="3"/>
  <c r="W268" i="3"/>
  <c r="W700" i="3"/>
  <c r="W1251" i="3"/>
  <c r="W378" i="3"/>
  <c r="W759" i="3"/>
  <c r="W1391" i="3"/>
  <c r="W671" i="3"/>
  <c r="W1293" i="3"/>
  <c r="W1106" i="3"/>
  <c r="W1444" i="3"/>
  <c r="W354" i="3"/>
  <c r="W175" i="3"/>
  <c r="W1065" i="3"/>
  <c r="W768" i="3"/>
  <c r="W348" i="3"/>
  <c r="W1307" i="3"/>
  <c r="W872" i="3"/>
  <c r="W1064" i="3"/>
  <c r="W1383" i="3"/>
  <c r="W1292" i="3"/>
  <c r="W663" i="3"/>
  <c r="Y1213" i="3"/>
  <c r="Y1268" i="3"/>
  <c r="Y1337" i="3"/>
  <c r="Y1416" i="3"/>
  <c r="Y1351" i="3"/>
  <c r="Y1251" i="3"/>
  <c r="Y1320" i="3"/>
  <c r="Y1439" i="3"/>
  <c r="Y1180" i="3"/>
  <c r="Y1270" i="3"/>
  <c r="Y1323" i="3"/>
  <c r="Y1403" i="3"/>
  <c r="Y1414" i="3"/>
  <c r="Y1303" i="3"/>
  <c r="Y1356" i="3"/>
  <c r="Y1272" i="3"/>
  <c r="Y1391" i="3"/>
  <c r="Y1311" i="3"/>
  <c r="Y1364" i="3"/>
  <c r="Y1280" i="3"/>
  <c r="Y1399" i="3"/>
  <c r="Y1194" i="3"/>
  <c r="Y1358" i="3"/>
  <c r="Y1258" i="3"/>
  <c r="Y1381" i="3"/>
  <c r="Y1375" i="3"/>
  <c r="Y1207" i="3"/>
  <c r="Y1333" i="3"/>
  <c r="Y1257" i="3"/>
  <c r="Y1404" i="3"/>
  <c r="Y1183" i="3"/>
  <c r="Y1310" i="3"/>
  <c r="Y1363" i="3"/>
  <c r="Y1443" i="3"/>
  <c r="Y1454" i="3"/>
  <c r="AB13" i="3"/>
  <c r="AB1259" i="3"/>
  <c r="AB1322" i="3"/>
  <c r="AB990" i="3"/>
  <c r="AB427" i="3"/>
  <c r="AB1324" i="3"/>
  <c r="AB302" i="3"/>
  <c r="AB952" i="3"/>
  <c r="AB168" i="3"/>
  <c r="AB575" i="3"/>
  <c r="AB1102" i="3"/>
  <c r="AB1355" i="3"/>
  <c r="AB660" i="3"/>
  <c r="AB1310" i="3"/>
  <c r="AB382" i="3"/>
  <c r="AB508" i="3"/>
  <c r="AB766" i="3"/>
  <c r="AB872" i="3"/>
  <c r="AB1250" i="3"/>
  <c r="AB1318" i="3"/>
  <c r="AB982" i="3"/>
  <c r="AB902" i="3"/>
  <c r="Y1279" i="3"/>
  <c r="Y1332" i="3"/>
  <c r="Y1248" i="3"/>
  <c r="Y1426" i="3"/>
  <c r="Y1262" i="3"/>
  <c r="Y1315" i="3"/>
  <c r="Y1395" i="3"/>
  <c r="Y1406" i="3"/>
  <c r="Y1203" i="3"/>
  <c r="Y1334" i="3"/>
  <c r="Y1234" i="3"/>
  <c r="Y1467" i="3"/>
  <c r="Y1434" i="3"/>
  <c r="Y1367" i="3"/>
  <c r="Y1267" i="3"/>
  <c r="Y1336" i="3"/>
  <c r="Y1455" i="3"/>
  <c r="Y1224" i="3"/>
  <c r="Y1275" i="3"/>
  <c r="Y1344" i="3"/>
  <c r="Y1463" i="3"/>
  <c r="Y1217" i="3"/>
  <c r="Y1261" i="3"/>
  <c r="Y1322" i="3"/>
  <c r="Y1409" i="3"/>
  <c r="Y1445" i="3"/>
  <c r="Y1197" i="3"/>
  <c r="Y1252" i="3"/>
  <c r="Y1321" i="3"/>
  <c r="Y1400" i="3"/>
  <c r="Y1210" i="3"/>
  <c r="Y1374" i="3"/>
  <c r="Y1274" i="3"/>
  <c r="Y1394" i="3"/>
  <c r="Y1397" i="3"/>
  <c r="AB1220" i="3"/>
  <c r="AB1222" i="3"/>
  <c r="AB640" i="3"/>
  <c r="AB207" i="3"/>
  <c r="AB321" i="3"/>
  <c r="AB1325" i="3"/>
  <c r="AB523" i="3"/>
  <c r="AB547" i="3"/>
  <c r="AB616" i="3"/>
  <c r="AB561" i="3"/>
  <c r="AB456" i="3"/>
  <c r="AB563" i="3"/>
  <c r="AB1095" i="3"/>
  <c r="AB1197" i="3"/>
  <c r="AB1063" i="3"/>
  <c r="AB1408" i="3"/>
  <c r="AB827" i="3"/>
  <c r="Y1343" i="3"/>
  <c r="Y1243" i="3"/>
  <c r="Y1312" i="3"/>
  <c r="Y1431" i="3"/>
  <c r="Y1195" i="3"/>
  <c r="Y1326" i="3"/>
  <c r="Y1220" i="3"/>
  <c r="Y1459" i="3"/>
  <c r="Y1193" i="3"/>
  <c r="Y1237" i="3"/>
  <c r="Y1298" i="3"/>
  <c r="Y1385" i="3"/>
  <c r="Y1421" i="3"/>
  <c r="Y1196" i="3"/>
  <c r="Y1278" i="3"/>
  <c r="Y1331" i="3"/>
  <c r="Y1411" i="3"/>
  <c r="Y1422" i="3"/>
  <c r="Y1204" i="3"/>
  <c r="Y1286" i="3"/>
  <c r="Y1339" i="3"/>
  <c r="Y1419" i="3"/>
  <c r="Y1430" i="3"/>
  <c r="Y1199" i="3"/>
  <c r="Y1325" i="3"/>
  <c r="Y1249" i="3"/>
  <c r="Y1396" i="3"/>
  <c r="Y1263" i="3"/>
  <c r="Y1316" i="3"/>
  <c r="Y1232" i="3"/>
  <c r="Y1464" i="3"/>
  <c r="Y1192" i="3"/>
  <c r="Y1277" i="3"/>
  <c r="Y1338" i="3"/>
  <c r="Y1425" i="3"/>
  <c r="Y1461" i="3"/>
  <c r="AB389" i="3"/>
  <c r="AB450" i="3"/>
  <c r="AB1096" i="3"/>
  <c r="AB197" i="3"/>
  <c r="AB377" i="3"/>
  <c r="AB1071" i="3"/>
  <c r="AB345" i="3"/>
  <c r="AB969" i="3"/>
  <c r="AB829" i="3"/>
  <c r="AB527" i="3"/>
  <c r="AB1356" i="3"/>
  <c r="AB1000" i="3"/>
  <c r="AB133" i="3"/>
  <c r="AB762" i="3"/>
  <c r="AB215" i="3"/>
  <c r="AB1112" i="3"/>
  <c r="AB1199" i="3"/>
  <c r="AB1088" i="3"/>
  <c r="AB1347" i="3"/>
  <c r="Y1254" i="3"/>
  <c r="Y1307" i="3"/>
  <c r="Y1387" i="3"/>
  <c r="Y1398" i="3"/>
  <c r="Y1226" i="3"/>
  <c r="Y1229" i="3"/>
  <c r="Y1290" i="3"/>
  <c r="Y1410" i="3"/>
  <c r="Y1413" i="3"/>
  <c r="Y1216" i="3"/>
  <c r="Y1301" i="3"/>
  <c r="Y1362" i="3"/>
  <c r="Y1449" i="3"/>
  <c r="Y1378" i="3"/>
  <c r="Y1211" i="3"/>
  <c r="Y1342" i="3"/>
  <c r="Y1242" i="3"/>
  <c r="Y1442" i="3"/>
  <c r="Y1458" i="3"/>
  <c r="Y1219" i="3"/>
  <c r="Y1350" i="3"/>
  <c r="Y1250" i="3"/>
  <c r="Y1377" i="3"/>
  <c r="Y1372" i="3"/>
  <c r="Y1189" i="3"/>
  <c r="Y1244" i="3"/>
  <c r="Y1313" i="3"/>
  <c r="Y1392" i="3"/>
  <c r="Y1460" i="3"/>
  <c r="Y1327" i="3"/>
  <c r="Y1227" i="3"/>
  <c r="Y1296" i="3"/>
  <c r="Y1415" i="3"/>
  <c r="Y1215" i="3"/>
  <c r="Y1341" i="3"/>
  <c r="Y1265" i="3"/>
  <c r="Y1412" i="3"/>
  <c r="AB62" i="3"/>
  <c r="AB28" i="3"/>
  <c r="AB1420" i="3"/>
  <c r="AB1461" i="3"/>
  <c r="AB304" i="3"/>
  <c r="AB317" i="3"/>
  <c r="AB1376" i="3"/>
  <c r="AB424" i="3"/>
  <c r="AB1406" i="3"/>
  <c r="AB867" i="3"/>
  <c r="AB1098" i="3"/>
  <c r="AB118" i="3"/>
  <c r="AB797" i="3"/>
  <c r="AB434" i="3"/>
  <c r="AB1189" i="3"/>
  <c r="AB1358" i="3"/>
  <c r="Y1188" i="3"/>
  <c r="Y1318" i="3"/>
  <c r="Y1371" i="3"/>
  <c r="Y1451" i="3"/>
  <c r="Y1462" i="3"/>
  <c r="Y1208" i="3"/>
  <c r="Y1293" i="3"/>
  <c r="Y1354" i="3"/>
  <c r="Y1441" i="3"/>
  <c r="Y1182" i="3"/>
  <c r="Y1206" i="3"/>
  <c r="Y1365" i="3"/>
  <c r="Y1289" i="3"/>
  <c r="Y1376" i="3"/>
  <c r="Y1436" i="3"/>
  <c r="Y1201" i="3"/>
  <c r="Y1245" i="3"/>
  <c r="Y1306" i="3"/>
  <c r="Y1393" i="3"/>
  <c r="Y1429" i="3"/>
  <c r="Y1179" i="3"/>
  <c r="Y1209" i="3"/>
  <c r="Y1253" i="3"/>
  <c r="Y1314" i="3"/>
  <c r="Y1401" i="3"/>
  <c r="Y1437" i="3"/>
  <c r="Y1255" i="3"/>
  <c r="Y1308" i="3"/>
  <c r="Y1225" i="3"/>
  <c r="Y1456" i="3"/>
  <c r="Y1238" i="3"/>
  <c r="Y1291" i="3"/>
  <c r="Y1360" i="3"/>
  <c r="Y1383" i="3"/>
  <c r="Y1205" i="3"/>
  <c r="Y1260" i="3"/>
  <c r="Y1329" i="3"/>
  <c r="Y1408" i="3"/>
  <c r="AB1439" i="3"/>
  <c r="AB79" i="3"/>
  <c r="AB541" i="3"/>
  <c r="AB1053" i="3"/>
  <c r="AB518" i="3"/>
  <c r="AB567" i="3"/>
  <c r="AB936" i="3"/>
  <c r="AB1373" i="3"/>
  <c r="AB410" i="3"/>
  <c r="AB1367" i="3"/>
  <c r="AB393" i="3"/>
  <c r="AB1256" i="3"/>
  <c r="AB440" i="3"/>
  <c r="AB809" i="3"/>
  <c r="AB1297" i="3"/>
  <c r="AB845" i="3"/>
  <c r="AB294" i="3"/>
  <c r="AB876" i="3"/>
  <c r="AB517" i="3"/>
  <c r="AB1328" i="3"/>
  <c r="AB805" i="3"/>
  <c r="AB1409" i="3"/>
  <c r="AB1320" i="3"/>
  <c r="Y1218" i="3"/>
  <c r="Y1373" i="3"/>
  <c r="Y1282" i="3"/>
  <c r="Y1402" i="3"/>
  <c r="Y1405" i="3"/>
  <c r="Y1198" i="3"/>
  <c r="Y1357" i="3"/>
  <c r="Y1281" i="3"/>
  <c r="Y1466" i="3"/>
  <c r="Y1428" i="3"/>
  <c r="Y1231" i="3"/>
  <c r="Y1284" i="3"/>
  <c r="Y1353" i="3"/>
  <c r="Y1432" i="3"/>
  <c r="Y1309" i="3"/>
  <c r="Y1233" i="3"/>
  <c r="Y1457" i="3"/>
  <c r="Y1382" i="3"/>
  <c r="Y1191" i="3"/>
  <c r="Y1317" i="3"/>
  <c r="Y1241" i="3"/>
  <c r="Y1465" i="3"/>
  <c r="Y1388" i="3"/>
  <c r="Y1185" i="3"/>
  <c r="Y1319" i="3"/>
  <c r="Y1223" i="3"/>
  <c r="Y1288" i="3"/>
  <c r="Y1407" i="3"/>
  <c r="Y1302" i="3"/>
  <c r="Y1355" i="3"/>
  <c r="Y1435" i="3"/>
  <c r="Y1446" i="3"/>
  <c r="Y1271" i="3"/>
  <c r="Y1324" i="3"/>
  <c r="Y1240" i="3"/>
  <c r="AB1372" i="3"/>
  <c r="AB1391" i="3"/>
  <c r="AB1335" i="3"/>
  <c r="AB1230" i="3"/>
  <c r="AB1024" i="3"/>
  <c r="AB921" i="3"/>
  <c r="AB847" i="3"/>
  <c r="AB1340" i="3"/>
  <c r="AB937" i="3"/>
  <c r="AB212" i="3"/>
  <c r="AB31" i="3"/>
  <c r="AB1296" i="3"/>
  <c r="AB837" i="3"/>
  <c r="AB815" i="3"/>
  <c r="AB1124" i="3"/>
  <c r="AB311" i="3"/>
  <c r="AB1223" i="3"/>
  <c r="AB1276" i="3"/>
  <c r="AB398" i="3"/>
  <c r="AB624" i="3"/>
  <c r="AB1032" i="3"/>
  <c r="AB1414" i="3"/>
  <c r="Y1200" i="3"/>
  <c r="Y1285" i="3"/>
  <c r="Y1346" i="3"/>
  <c r="Y1433" i="3"/>
  <c r="Y1221" i="3"/>
  <c r="Y1276" i="3"/>
  <c r="Y1345" i="3"/>
  <c r="Y1424" i="3"/>
  <c r="Y1181" i="3"/>
  <c r="Y1295" i="3"/>
  <c r="Y1348" i="3"/>
  <c r="Y1264" i="3"/>
  <c r="Y1370" i="3"/>
  <c r="Y1214" i="3"/>
  <c r="Y1228" i="3"/>
  <c r="Y1297" i="3"/>
  <c r="Y1380" i="3"/>
  <c r="Y1444" i="3"/>
  <c r="Y1186" i="3"/>
  <c r="Y1222" i="3"/>
  <c r="Y1236" i="3"/>
  <c r="Y1305" i="3"/>
  <c r="Y1384" i="3"/>
  <c r="Y1452" i="3"/>
  <c r="Y1230" i="3"/>
  <c r="Y1283" i="3"/>
  <c r="Y1352" i="3"/>
  <c r="Y1379" i="3"/>
  <c r="Y1202" i="3"/>
  <c r="Y1366" i="3"/>
  <c r="Y1266" i="3"/>
  <c r="Y1386" i="3"/>
  <c r="Y1389" i="3"/>
  <c r="Y1335" i="3"/>
  <c r="Y1235" i="3"/>
  <c r="Y1304" i="3"/>
  <c r="Y1423" i="3"/>
  <c r="AB1133" i="3"/>
  <c r="AB378" i="3"/>
  <c r="AB326" i="3"/>
  <c r="AB303" i="3"/>
  <c r="AB309" i="3"/>
  <c r="AB1065" i="3"/>
  <c r="AB539" i="3"/>
  <c r="AB706" i="3"/>
  <c r="AB1299" i="3"/>
  <c r="AB1411" i="3"/>
  <c r="AB330" i="3"/>
  <c r="AB324" i="3"/>
  <c r="AB1315" i="3"/>
  <c r="AB985" i="3"/>
  <c r="AB1404" i="3"/>
  <c r="AB1330" i="3"/>
  <c r="Y1190" i="3"/>
  <c r="Y1349" i="3"/>
  <c r="Y1273" i="3"/>
  <c r="Y1418" i="3"/>
  <c r="Y1420" i="3"/>
  <c r="Y1287" i="3"/>
  <c r="Y1340" i="3"/>
  <c r="Y1256" i="3"/>
  <c r="Y1450" i="3"/>
  <c r="Y1359" i="3"/>
  <c r="Y1259" i="3"/>
  <c r="Y1328" i="3"/>
  <c r="Y1447" i="3"/>
  <c r="Y1239" i="3"/>
  <c r="Y1292" i="3"/>
  <c r="Y1361" i="3"/>
  <c r="Y1440" i="3"/>
  <c r="Y1247" i="3"/>
  <c r="Y1300" i="3"/>
  <c r="Y1369" i="3"/>
  <c r="Y1448" i="3"/>
  <c r="Y1184" i="3"/>
  <c r="Y1212" i="3"/>
  <c r="Y1294" i="3"/>
  <c r="Y1347" i="3"/>
  <c r="Y1427" i="3"/>
  <c r="Y1438" i="3"/>
  <c r="Y1187" i="3"/>
  <c r="Y1269" i="3"/>
  <c r="Y1330" i="3"/>
  <c r="Y1417" i="3"/>
  <c r="Y1453" i="3"/>
  <c r="Y1246" i="3"/>
  <c r="Y1299" i="3"/>
  <c r="Y1368" i="3"/>
  <c r="Y1390" i="3"/>
  <c r="AB1361" i="3"/>
  <c r="AB1106" i="3"/>
  <c r="AB60" i="3"/>
  <c r="AB1179" i="3"/>
  <c r="AB300" i="3"/>
  <c r="AB315" i="3"/>
  <c r="AB751" i="3"/>
  <c r="AB783" i="3"/>
  <c r="AB459" i="3"/>
  <c r="AB1456" i="3"/>
  <c r="AB910" i="3"/>
  <c r="AB58" i="3"/>
  <c r="AB888" i="3"/>
  <c r="AB891" i="3"/>
  <c r="AB367" i="3"/>
  <c r="AB909" i="3"/>
  <c r="AB948" i="3"/>
  <c r="AB1078" i="3"/>
  <c r="AB7" i="3"/>
  <c r="H4" i="1"/>
  <c r="I4" i="1" s="1"/>
  <c r="H8" i="1"/>
  <c r="I8" i="1" s="1"/>
  <c r="H7" i="1"/>
  <c r="I7" i="1" s="1"/>
  <c r="H9" i="1"/>
  <c r="I9" i="1" s="1"/>
  <c r="H10" i="1"/>
  <c r="I10" i="1" s="1"/>
  <c r="H12" i="1"/>
  <c r="I12" i="1" s="1"/>
  <c r="H5" i="1"/>
  <c r="I5" i="1" s="1"/>
  <c r="H13" i="1"/>
  <c r="I13" i="1" s="1"/>
  <c r="H14" i="1"/>
  <c r="I14" i="1" s="1"/>
  <c r="H11" i="1"/>
  <c r="I11" i="1" s="1"/>
  <c r="H15" i="1"/>
  <c r="I15" i="1" s="1"/>
  <c r="H6" i="1"/>
  <c r="I6" i="1" s="1"/>
  <c r="AD1178" i="3" l="1"/>
  <c r="AD1177" i="3"/>
  <c r="AD1176" i="3"/>
  <c r="AD1175" i="3"/>
  <c r="L4" i="1"/>
  <c r="M4" i="1" s="1"/>
  <c r="N4" i="1" s="1"/>
  <c r="AJ1185" i="3"/>
  <c r="AJ759" i="3"/>
  <c r="Y759" i="3" s="1"/>
  <c r="AJ1350" i="3"/>
  <c r="AJ561" i="3"/>
  <c r="Y561" i="3" s="1"/>
  <c r="AJ477" i="3"/>
  <c r="Y477" i="3" s="1"/>
  <c r="AD1174" i="3"/>
  <c r="AJ557" i="3"/>
  <c r="Y557" i="3" s="1"/>
  <c r="AJ887" i="3"/>
  <c r="Y887" i="3" s="1"/>
  <c r="AJ497" i="3"/>
  <c r="Y497" i="3" s="1"/>
  <c r="AD1173" i="3"/>
  <c r="AJ1435" i="3"/>
  <c r="AJ1339" i="3"/>
  <c r="AJ1288" i="3"/>
  <c r="AJ1436" i="3"/>
  <c r="AJ608" i="3"/>
  <c r="Y608" i="3" s="1"/>
  <c r="AJ1282" i="3"/>
  <c r="AJ792" i="3"/>
  <c r="Y792" i="3" s="1"/>
  <c r="AJ1237" i="3"/>
  <c r="AJ978" i="3"/>
  <c r="Y978" i="3" s="1"/>
  <c r="AJ596" i="3"/>
  <c r="Y596" i="3" s="1"/>
  <c r="AJ1192" i="3"/>
  <c r="AJ1018" i="3"/>
  <c r="Y1018" i="3" s="1"/>
  <c r="AJ939" i="3"/>
  <c r="Y939" i="3" s="1"/>
  <c r="AJ841" i="3"/>
  <c r="Y841" i="3" s="1"/>
  <c r="AJ693" i="3"/>
  <c r="Y693" i="3" s="1"/>
  <c r="AJ882" i="3"/>
  <c r="Y882" i="3" s="1"/>
  <c r="AJ447" i="3"/>
  <c r="Y447" i="3" s="1"/>
  <c r="AD1172" i="3"/>
  <c r="AJ548" i="3"/>
  <c r="Y548" i="3" s="1"/>
  <c r="AJ1221" i="3"/>
  <c r="AJ1000" i="3"/>
  <c r="Y1000" i="3" s="1"/>
  <c r="AJ465" i="3"/>
  <c r="Y465" i="3" s="1"/>
  <c r="AJ716" i="3"/>
  <c r="Y716" i="3" s="1"/>
  <c r="AJ692" i="3"/>
  <c r="Y692" i="3" s="1"/>
  <c r="AJ1358" i="3"/>
  <c r="AJ1178" i="3"/>
  <c r="Y1178" i="3" s="1"/>
  <c r="AJ1172" i="3"/>
  <c r="Y1172" i="3" s="1"/>
  <c r="AJ485" i="3"/>
  <c r="Y485" i="3" s="1"/>
  <c r="AJ982" i="3"/>
  <c r="Y982" i="3" s="1"/>
  <c r="AJ644" i="3"/>
  <c r="Y644" i="3" s="1"/>
  <c r="AJ884" i="3"/>
  <c r="Y884" i="3" s="1"/>
  <c r="AJ1017" i="3"/>
  <c r="Y1017" i="3" s="1"/>
  <c r="AJ1022" i="3"/>
  <c r="Y1022" i="3" s="1"/>
  <c r="AJ1056" i="3"/>
  <c r="Y1056" i="3" s="1"/>
  <c r="L6" i="1"/>
  <c r="M6" i="1" s="1"/>
  <c r="N6" i="1" s="1"/>
  <c r="AJ1458" i="3"/>
  <c r="AJ1039" i="3"/>
  <c r="Y1039" i="3" s="1"/>
  <c r="AJ1326" i="3"/>
  <c r="AJ1051" i="3"/>
  <c r="Y1051" i="3" s="1"/>
  <c r="AJ858" i="3"/>
  <c r="Y858" i="3" s="1"/>
  <c r="AJ1426" i="3"/>
  <c r="AJ1377" i="3"/>
  <c r="AJ1230" i="3"/>
  <c r="AJ1120" i="3"/>
  <c r="Y1120" i="3" s="1"/>
  <c r="AJ1132" i="3"/>
  <c r="Y1132" i="3" s="1"/>
  <c r="AJ816" i="3"/>
  <c r="Y816" i="3" s="1"/>
  <c r="AJ428" i="3"/>
  <c r="Y428" i="3" s="1"/>
  <c r="AJ1328" i="3"/>
  <c r="AJ1389" i="3"/>
  <c r="AJ1069" i="3"/>
  <c r="Y1069" i="3" s="1"/>
  <c r="AJ942" i="3"/>
  <c r="Y942" i="3" s="1"/>
  <c r="AJ809" i="3"/>
  <c r="Y809" i="3" s="1"/>
  <c r="AJ842" i="3"/>
  <c r="Y842" i="3" s="1"/>
  <c r="AJ637" i="3"/>
  <c r="Y637" i="3" s="1"/>
  <c r="AJ758" i="3"/>
  <c r="Y758" i="3" s="1"/>
  <c r="AJ1016" i="3"/>
  <c r="Y1016" i="3" s="1"/>
  <c r="AJ710" i="3"/>
  <c r="Y710" i="3" s="1"/>
  <c r="AJ754" i="3"/>
  <c r="Y754" i="3" s="1"/>
  <c r="AJ1408" i="3"/>
  <c r="AJ1142" i="3"/>
  <c r="Y1142" i="3" s="1"/>
  <c r="AJ1191" i="3"/>
  <c r="AJ1294" i="3"/>
  <c r="AJ956" i="3"/>
  <c r="Y956" i="3" s="1"/>
  <c r="AJ1262" i="3"/>
  <c r="AJ1030" i="3"/>
  <c r="Y1030" i="3" s="1"/>
  <c r="AJ836" i="3"/>
  <c r="Y836" i="3" s="1"/>
  <c r="AJ597" i="3"/>
  <c r="Y597" i="3" s="1"/>
  <c r="AJ495" i="3"/>
  <c r="Y495" i="3" s="1"/>
  <c r="AJ516" i="3"/>
  <c r="Y516" i="3" s="1"/>
  <c r="AJ631" i="3"/>
  <c r="Y631" i="3" s="1"/>
  <c r="AJ415" i="3"/>
  <c r="Y415" i="3" s="1"/>
  <c r="AJ1466" i="3"/>
  <c r="AJ1360" i="3"/>
  <c r="AJ1267" i="3"/>
  <c r="AJ1239" i="3"/>
  <c r="AJ1164" i="3"/>
  <c r="Y1164" i="3" s="1"/>
  <c r="AJ994" i="3"/>
  <c r="Y994" i="3" s="1"/>
  <c r="AJ1014" i="3"/>
  <c r="Y1014" i="3" s="1"/>
  <c r="AJ1462" i="3"/>
  <c r="AJ1325" i="3"/>
  <c r="AJ1004" i="3"/>
  <c r="Y1004" i="3" s="1"/>
  <c r="AJ1378" i="3"/>
  <c r="AJ1173" i="3"/>
  <c r="Y1173" i="3" s="1"/>
  <c r="AJ1122" i="3"/>
  <c r="Y1122" i="3" s="1"/>
  <c r="AJ1035" i="3"/>
  <c r="Y1035" i="3" s="1"/>
  <c r="AJ648" i="3"/>
  <c r="Y648" i="3" s="1"/>
  <c r="AJ1114" i="3"/>
  <c r="Y1114" i="3" s="1"/>
  <c r="AJ1057" i="3"/>
  <c r="Y1057" i="3" s="1"/>
  <c r="AJ933" i="3"/>
  <c r="Y933" i="3" s="1"/>
  <c r="AJ1110" i="3"/>
  <c r="Y1110" i="3" s="1"/>
  <c r="AJ1440" i="3"/>
  <c r="AJ1355" i="3"/>
  <c r="AJ1080" i="3"/>
  <c r="Y1080" i="3" s="1"/>
  <c r="AJ739" i="3"/>
  <c r="Y739" i="3" s="1"/>
  <c r="AJ542" i="3"/>
  <c r="Y542" i="3" s="1"/>
  <c r="AJ1074" i="3"/>
  <c r="Y1074" i="3" s="1"/>
  <c r="AJ806" i="3"/>
  <c r="Y806" i="3" s="1"/>
  <c r="AJ1044" i="3"/>
  <c r="Y1044" i="3" s="1"/>
  <c r="AJ793" i="3"/>
  <c r="Y793" i="3" s="1"/>
  <c r="AJ434" i="3"/>
  <c r="Y434" i="3" s="1"/>
  <c r="AJ616" i="3"/>
  <c r="Y616" i="3" s="1"/>
  <c r="AJ539" i="3"/>
  <c r="Y539" i="3" s="1"/>
  <c r="AD1171" i="3"/>
  <c r="AD37" i="3"/>
  <c r="AJ1284" i="3"/>
  <c r="AJ1211" i="3"/>
  <c r="AJ943" i="3"/>
  <c r="Y943" i="3" s="1"/>
  <c r="AJ1025" i="3"/>
  <c r="Y1025" i="3" s="1"/>
  <c r="AJ654" i="3"/>
  <c r="Y654" i="3" s="1"/>
  <c r="AJ991" i="3"/>
  <c r="Y991" i="3" s="1"/>
  <c r="AJ513" i="3"/>
  <c r="Y513" i="3" s="1"/>
  <c r="AJ920" i="3"/>
  <c r="Y920" i="3" s="1"/>
  <c r="AJ1059" i="3"/>
  <c r="Y1059" i="3" s="1"/>
  <c r="AJ1026" i="3"/>
  <c r="Y1026" i="3" s="1"/>
  <c r="AJ877" i="3"/>
  <c r="Y877" i="3" s="1"/>
  <c r="AJ549" i="3"/>
  <c r="Y549" i="3" s="1"/>
  <c r="L8" i="1"/>
  <c r="M8" i="1" s="1"/>
  <c r="N8" i="1" s="1"/>
  <c r="AJ1333" i="3"/>
  <c r="AJ915" i="3"/>
  <c r="Y915" i="3" s="1"/>
  <c r="AJ525" i="3"/>
  <c r="Y525" i="3" s="1"/>
  <c r="AJ1379" i="3"/>
  <c r="AJ1127" i="3"/>
  <c r="Y1127" i="3" s="1"/>
  <c r="AJ526" i="3"/>
  <c r="Y526" i="3" s="1"/>
  <c r="AJ808" i="3"/>
  <c r="Y808" i="3" s="1"/>
  <c r="AJ412" i="3"/>
  <c r="Y412" i="3" s="1"/>
  <c r="AJ1434" i="3"/>
  <c r="AJ1366" i="3"/>
  <c r="AJ859" i="3"/>
  <c r="Y859" i="3" s="1"/>
  <c r="AJ708" i="3"/>
  <c r="Y708" i="3" s="1"/>
  <c r="AJ1020" i="3"/>
  <c r="Y1020" i="3" s="1"/>
  <c r="AJ756" i="3"/>
  <c r="Y756" i="3" s="1"/>
  <c r="AJ1302" i="3"/>
  <c r="AJ530" i="3"/>
  <c r="Y530" i="3" s="1"/>
  <c r="AJ475" i="3"/>
  <c r="Y475" i="3" s="1"/>
  <c r="AJ1337" i="3"/>
  <c r="AJ500" i="3"/>
  <c r="Y500" i="3" s="1"/>
  <c r="AJ924" i="3"/>
  <c r="Y924" i="3" s="1"/>
  <c r="AJ639" i="3"/>
  <c r="Y639" i="3" s="1"/>
  <c r="AJ1077" i="3"/>
  <c r="Y1077" i="3" s="1"/>
  <c r="AJ520" i="3"/>
  <c r="Y520" i="3" s="1"/>
  <c r="AJ1340" i="3"/>
  <c r="AJ1393" i="3"/>
  <c r="AJ867" i="3"/>
  <c r="Y867" i="3" s="1"/>
  <c r="AJ1291" i="3"/>
  <c r="AJ1252" i="3"/>
  <c r="AJ706" i="3"/>
  <c r="Y706" i="3" s="1"/>
  <c r="AJ1266" i="3"/>
  <c r="AD118" i="3"/>
  <c r="AD10" i="3"/>
  <c r="AJ941" i="3"/>
  <c r="Y941" i="3" s="1"/>
  <c r="AJ462" i="3"/>
  <c r="Y462" i="3" s="1"/>
  <c r="AJ772" i="3"/>
  <c r="Y772" i="3" s="1"/>
  <c r="AJ1013" i="3"/>
  <c r="Y1013" i="3" s="1"/>
  <c r="AJ547" i="3"/>
  <c r="Y547" i="3" s="1"/>
  <c r="AJ1380" i="3"/>
  <c r="AJ839" i="3"/>
  <c r="Y839" i="3" s="1"/>
  <c r="AJ633" i="3"/>
  <c r="Y633" i="3" s="1"/>
  <c r="AJ502" i="3"/>
  <c r="Y502" i="3" s="1"/>
  <c r="AJ843" i="3"/>
  <c r="Y843" i="3" s="1"/>
  <c r="AP367" i="3"/>
  <c r="AP130" i="3"/>
  <c r="AP435" i="3"/>
  <c r="AP926" i="3"/>
  <c r="AP709" i="3"/>
  <c r="AP344" i="3"/>
  <c r="AP75" i="3"/>
  <c r="AP29" i="3"/>
  <c r="AP633" i="3"/>
  <c r="AP28" i="3"/>
  <c r="AP305" i="3"/>
  <c r="AP666" i="3"/>
  <c r="AP724" i="3"/>
  <c r="AP192" i="3"/>
  <c r="AP463" i="3"/>
  <c r="AP162" i="3"/>
  <c r="AP495" i="3"/>
  <c r="AP838" i="3"/>
  <c r="AP661" i="3"/>
  <c r="AP758" i="3"/>
  <c r="AP991" i="3"/>
  <c r="AP652" i="3"/>
  <c r="AP336" i="3"/>
  <c r="AP1145" i="3"/>
  <c r="AP966" i="3"/>
  <c r="AP1137" i="3"/>
  <c r="AP177" i="3"/>
  <c r="AP731" i="3"/>
  <c r="AP1005" i="3"/>
  <c r="AP451" i="3"/>
  <c r="AP1075" i="3"/>
  <c r="AP73" i="3"/>
  <c r="AP601" i="3"/>
  <c r="AP466" i="3"/>
  <c r="AP668" i="3"/>
  <c r="AP103" i="3"/>
  <c r="AP901" i="3"/>
  <c r="AP113" i="3"/>
  <c r="AP49" i="3"/>
  <c r="AP761" i="3"/>
  <c r="AP491" i="3"/>
  <c r="AP611" i="3"/>
  <c r="AP681" i="3"/>
  <c r="AP840" i="3"/>
  <c r="AP430" i="3"/>
  <c r="AP734" i="3"/>
  <c r="AP721" i="3"/>
  <c r="AP415" i="3"/>
  <c r="AP535" i="3"/>
  <c r="AP1028" i="3"/>
  <c r="AP484" i="3"/>
  <c r="AP1008" i="3"/>
  <c r="AP401" i="3"/>
  <c r="AP18" i="3"/>
  <c r="AP11" i="3"/>
  <c r="AP225" i="3"/>
  <c r="AP234" i="3"/>
  <c r="AP1037" i="3"/>
  <c r="AP700" i="3"/>
  <c r="AP142" i="3"/>
  <c r="AP387" i="3"/>
  <c r="AP78" i="3"/>
  <c r="AP982" i="3"/>
  <c r="AP1011" i="3"/>
  <c r="AP169" i="3"/>
  <c r="AP603" i="3"/>
  <c r="AP447" i="3"/>
  <c r="AP667" i="3"/>
  <c r="AP586" i="3"/>
  <c r="AP1076" i="3"/>
  <c r="AP1022" i="3"/>
  <c r="AP443" i="3"/>
  <c r="AP837" i="3"/>
  <c r="AP71" i="3"/>
  <c r="AP246" i="3"/>
  <c r="AP1127" i="3"/>
  <c r="AP625" i="3"/>
  <c r="AP716" i="3"/>
  <c r="AP1074" i="3"/>
  <c r="AP944" i="3"/>
  <c r="AP52" i="3"/>
  <c r="AP862" i="3"/>
  <c r="AP196" i="3"/>
  <c r="AP418" i="3"/>
  <c r="AP1062" i="3"/>
  <c r="AP818" i="3"/>
  <c r="AP983" i="3"/>
  <c r="AP756" i="3"/>
  <c r="AP870" i="3"/>
  <c r="AP604" i="3"/>
  <c r="AP606" i="3"/>
  <c r="AP492" i="3"/>
  <c r="AP26" i="3"/>
  <c r="AP820" i="3"/>
  <c r="AP311" i="3"/>
  <c r="AP241" i="3"/>
  <c r="AP264" i="3"/>
  <c r="AP266" i="3"/>
  <c r="AP1167" i="3"/>
  <c r="AP542" i="3"/>
  <c r="AP88" i="3"/>
  <c r="AP653" i="3"/>
  <c r="AP67" i="3"/>
  <c r="AP94" i="3"/>
  <c r="AP654" i="3"/>
  <c r="AP935" i="3"/>
  <c r="AP83" i="3"/>
  <c r="AP214" i="3"/>
  <c r="AP706" i="3"/>
  <c r="AP791" i="3"/>
  <c r="AP757" i="3"/>
  <c r="AP906" i="3"/>
  <c r="AP1069" i="3"/>
  <c r="AP732" i="3"/>
  <c r="AP564" i="3"/>
  <c r="AP176" i="3"/>
  <c r="AP576" i="3"/>
  <c r="AP1119" i="3"/>
  <c r="AP694" i="3"/>
  <c r="AP308" i="3"/>
  <c r="AP205" i="3"/>
  <c r="AP453" i="3"/>
  <c r="AP56" i="3"/>
  <c r="AP764" i="3"/>
  <c r="AP354" i="3"/>
  <c r="AP35" i="3"/>
  <c r="AP1114" i="3"/>
  <c r="AP1105" i="3"/>
  <c r="AP509" i="3"/>
  <c r="AP1134" i="3"/>
  <c r="AP1063" i="3"/>
  <c r="AP377" i="3"/>
  <c r="AP649" i="3"/>
  <c r="AP547" i="3"/>
  <c r="AP352" i="3"/>
  <c r="AP1150" i="3"/>
  <c r="AP822" i="3"/>
  <c r="AP276" i="3"/>
  <c r="AP883" i="3"/>
  <c r="AP340" i="3"/>
  <c r="AP708" i="3"/>
  <c r="AP574" i="3"/>
  <c r="AP420" i="3"/>
  <c r="AP873" i="3"/>
  <c r="AP409" i="3"/>
  <c r="AP424" i="3"/>
  <c r="AP416" i="3"/>
  <c r="AP1147" i="3"/>
  <c r="AP671" i="3"/>
  <c r="AP940" i="3"/>
  <c r="AP1014" i="3"/>
  <c r="AP250" i="3"/>
  <c r="AP265" i="3"/>
  <c r="AP525" i="3"/>
  <c r="AP315" i="3"/>
  <c r="AP132" i="3"/>
  <c r="AP467" i="3"/>
  <c r="AP1079" i="3"/>
  <c r="AP343" i="3"/>
  <c r="AP730" i="3"/>
  <c r="AP817" i="3"/>
  <c r="AP488" i="3"/>
  <c r="AP845" i="3"/>
  <c r="AP7" i="3"/>
  <c r="AP207" i="3"/>
  <c r="AP269" i="3"/>
  <c r="AP504" i="3"/>
  <c r="AP335" i="3"/>
  <c r="AD1170" i="3"/>
  <c r="AP585" i="3"/>
  <c r="AP167" i="3"/>
  <c r="AP47" i="3"/>
  <c r="AP41" i="3"/>
  <c r="AP892" i="3"/>
  <c r="AP441" i="3"/>
  <c r="AP203" i="3"/>
  <c r="AP677" i="3"/>
  <c r="AP223" i="3"/>
  <c r="AP1111" i="3"/>
  <c r="AP233" i="3"/>
  <c r="AP283" i="3"/>
  <c r="AP33" i="3"/>
  <c r="AP531" i="3"/>
  <c r="AP137" i="3"/>
  <c r="AP165" i="3"/>
  <c r="AP540" i="3"/>
  <c r="AP257" i="3"/>
  <c r="AP512" i="3"/>
  <c r="AP156" i="3"/>
  <c r="AP147" i="3"/>
  <c r="AP715" i="3"/>
  <c r="AP608" i="3"/>
  <c r="AP882" i="3"/>
  <c r="AP965" i="3"/>
  <c r="AP1052" i="3"/>
  <c r="AP937" i="3"/>
  <c r="AP773" i="3"/>
  <c r="AP256" i="3"/>
  <c r="AP464" i="3"/>
  <c r="AP327" i="3"/>
  <c r="AP878" i="3"/>
  <c r="AP227" i="3"/>
  <c r="AP595" i="3"/>
  <c r="AP193" i="3"/>
  <c r="AP153" i="3"/>
  <c r="AP380" i="3"/>
  <c r="AP155" i="3"/>
  <c r="AP362" i="3"/>
  <c r="AP296" i="3"/>
  <c r="AP860" i="3"/>
  <c r="AP777" i="3"/>
  <c r="AP85" i="3"/>
  <c r="AP210" i="3"/>
  <c r="AP1158" i="3"/>
  <c r="AP478" i="3"/>
  <c r="AP742" i="3"/>
  <c r="AP1142" i="3"/>
  <c r="AP268" i="3"/>
  <c r="AP736" i="3"/>
  <c r="AP328" i="3"/>
  <c r="AP200" i="3"/>
  <c r="AP618" i="3"/>
  <c r="AP280" i="3"/>
  <c r="AP107" i="3"/>
  <c r="AP136" i="3"/>
  <c r="AP19" i="3"/>
  <c r="AP1029" i="3"/>
  <c r="AP271" i="3"/>
  <c r="AP1144" i="3"/>
  <c r="AP152" i="3"/>
  <c r="AP79" i="3"/>
  <c r="AP785" i="3"/>
  <c r="AP952" i="3"/>
  <c r="AP106" i="3"/>
  <c r="AP894" i="3"/>
  <c r="AP333" i="3"/>
  <c r="AP673" i="3"/>
  <c r="AP594" i="3"/>
  <c r="AP290" i="3"/>
  <c r="AP1146" i="3"/>
  <c r="AP1018" i="3"/>
  <c r="AP116" i="3"/>
  <c r="AP833" i="3"/>
  <c r="AP545" i="3"/>
  <c r="AP292" i="3"/>
  <c r="AP902" i="3"/>
  <c r="AP61" i="3"/>
  <c r="AP350" i="3"/>
  <c r="AP751" i="3"/>
  <c r="AP182" i="3"/>
  <c r="AP1077" i="3"/>
  <c r="AP503" i="3"/>
  <c r="AP645" i="3"/>
  <c r="AP780" i="3"/>
  <c r="AP859" i="3"/>
  <c r="AP39" i="3"/>
  <c r="AP108" i="3"/>
  <c r="AP969" i="3"/>
  <c r="AP670" i="3"/>
  <c r="AP698" i="3"/>
  <c r="AP1040" i="3"/>
  <c r="AP476" i="3"/>
  <c r="AP98" i="3"/>
  <c r="AP620" i="3"/>
  <c r="AP1082" i="3"/>
  <c r="AP770" i="3"/>
  <c r="AP1010" i="3"/>
  <c r="AP226" i="3"/>
  <c r="AP1030" i="3"/>
  <c r="AP1038" i="3"/>
  <c r="AP174" i="3"/>
  <c r="AP914" i="3"/>
  <c r="AP632" i="3"/>
  <c r="AP480" i="3"/>
  <c r="AP551" i="3"/>
  <c r="AD1169" i="3"/>
  <c r="AP59" i="3"/>
  <c r="AP544" i="3"/>
  <c r="AP936" i="3"/>
  <c r="AP583" i="3"/>
  <c r="AP561" i="3"/>
  <c r="AP1151" i="3"/>
  <c r="AP8" i="3"/>
  <c r="AP267" i="3"/>
  <c r="AP1095" i="3"/>
  <c r="AP1085" i="3"/>
  <c r="AP767" i="3"/>
  <c r="AP888" i="3"/>
  <c r="AP414" i="3"/>
  <c r="AP554" i="3"/>
  <c r="AP230" i="3"/>
  <c r="AP1112" i="3"/>
  <c r="AP514" i="3"/>
  <c r="AP375" i="3"/>
  <c r="AP72" i="3"/>
  <c r="AP876" i="3"/>
  <c r="AP597" i="3"/>
  <c r="AP13" i="3"/>
  <c r="AP659" i="3"/>
  <c r="AP1053" i="3"/>
  <c r="AP146" i="3"/>
  <c r="AP138" i="3"/>
  <c r="AP376" i="3"/>
  <c r="AP821" i="3"/>
  <c r="AP707" i="3"/>
  <c r="AP195" i="3"/>
  <c r="AP277" i="3"/>
  <c r="AP984" i="3"/>
  <c r="AP125" i="3"/>
  <c r="AP640" i="3"/>
  <c r="AP77" i="3"/>
  <c r="AP93" i="3"/>
  <c r="AP21" i="3"/>
  <c r="AP55" i="3"/>
  <c r="AP922" i="3"/>
  <c r="AP217" i="3"/>
  <c r="AP616" i="3"/>
  <c r="AP799" i="3"/>
  <c r="AP68" i="3"/>
  <c r="AP942" i="3"/>
  <c r="AP325" i="3"/>
  <c r="AP215" i="3"/>
  <c r="AP330" i="3"/>
  <c r="AP30" i="3"/>
  <c r="AP800" i="3"/>
  <c r="AP95" i="3"/>
  <c r="AP38" i="3"/>
  <c r="AP190" i="3"/>
  <c r="AP258" i="3"/>
  <c r="AP938" i="3"/>
  <c r="AP516" i="3"/>
  <c r="AP579" i="3"/>
  <c r="AP92" i="3"/>
  <c r="AP755" i="3"/>
  <c r="AP921" i="3"/>
  <c r="AP22" i="3"/>
  <c r="AP769" i="3"/>
  <c r="AP591" i="3"/>
  <c r="AP691" i="3"/>
  <c r="AP57" i="3"/>
  <c r="AP593" i="3"/>
  <c r="AP427" i="3"/>
  <c r="AP739" i="3"/>
  <c r="AP615" i="3"/>
  <c r="AP284" i="3"/>
  <c r="AP392" i="3"/>
  <c r="AP985" i="3"/>
  <c r="AP675" i="3"/>
  <c r="AP643" i="3"/>
  <c r="AP1019" i="3"/>
  <c r="AP959" i="3"/>
  <c r="AP160" i="3"/>
  <c r="AP204" i="3"/>
  <c r="AP140" i="3"/>
  <c r="AP790" i="3"/>
  <c r="AP553" i="3"/>
  <c r="AP1032" i="3"/>
  <c r="AP410" i="3"/>
  <c r="AP1024" i="3"/>
  <c r="AP253" i="3"/>
  <c r="AP570" i="3"/>
  <c r="AP578" i="3"/>
  <c r="AP1080" i="3"/>
  <c r="AP324" i="3"/>
  <c r="AP391" i="3"/>
  <c r="AP23" i="3"/>
  <c r="AP808" i="3"/>
  <c r="AP897" i="3"/>
  <c r="AP389" i="3"/>
  <c r="AP598" i="3"/>
  <c r="AP884" i="3"/>
  <c r="AP74" i="3"/>
  <c r="AP62" i="3"/>
  <c r="AP1135" i="3"/>
  <c r="AP437" i="3"/>
  <c r="AP1081" i="3"/>
  <c r="AP212" i="3"/>
  <c r="AP1017" i="3"/>
  <c r="AP1000" i="3"/>
  <c r="AP827" i="3"/>
  <c r="AP975" i="3"/>
  <c r="AP788" i="3"/>
  <c r="AP263" i="3"/>
  <c r="AP1066" i="3"/>
  <c r="AP151" i="3"/>
  <c r="AP471" i="3"/>
  <c r="AP861" i="3"/>
  <c r="AP552" i="3"/>
  <c r="AP723" i="3"/>
  <c r="AP971" i="3"/>
  <c r="AP619" i="3"/>
  <c r="AP455" i="3"/>
  <c r="AP89" i="3"/>
  <c r="AP783" i="3"/>
  <c r="AP1168" i="3"/>
  <c r="AP572" i="3"/>
  <c r="AP254" i="3"/>
  <c r="AP565" i="3"/>
  <c r="AP806" i="3"/>
  <c r="AP40" i="3"/>
  <c r="AP560" i="3"/>
  <c r="AP87" i="3"/>
  <c r="AP880" i="3"/>
  <c r="AP436" i="3"/>
  <c r="AP332" i="3"/>
  <c r="AP357" i="3"/>
  <c r="AP1153" i="3"/>
  <c r="AP407" i="3"/>
  <c r="AP1097" i="3"/>
  <c r="AP973" i="3"/>
  <c r="AP251" i="3"/>
  <c r="AP502" i="3"/>
  <c r="AP159" i="3"/>
  <c r="AP1133" i="3"/>
  <c r="AP461" i="3"/>
  <c r="AP245" i="3"/>
  <c r="AP164" i="3"/>
  <c r="AP439" i="3"/>
  <c r="AP373" i="3"/>
  <c r="AP473" i="3"/>
  <c r="AP42" i="3"/>
  <c r="AP27" i="3"/>
  <c r="AP990" i="3"/>
  <c r="AP787" i="3"/>
  <c r="AP371" i="3"/>
  <c r="AP445" i="3"/>
  <c r="AP133" i="3"/>
  <c r="AP388" i="3"/>
  <c r="AP452" i="3"/>
  <c r="AP423" i="3"/>
  <c r="AP202" i="3"/>
  <c r="AP219" i="3"/>
  <c r="AD248" i="3"/>
  <c r="AJ971" i="3"/>
  <c r="Y971" i="3" s="1"/>
  <c r="AJ1070" i="3"/>
  <c r="Y1070" i="3" s="1"/>
  <c r="AJ508" i="3"/>
  <c r="Y508" i="3" s="1"/>
  <c r="AJ410" i="3"/>
  <c r="Y410" i="3" s="1"/>
  <c r="AJ1107" i="3"/>
  <c r="Y1107" i="3" s="1"/>
  <c r="AJ567" i="3"/>
  <c r="Y567" i="3" s="1"/>
  <c r="AJ993" i="3"/>
  <c r="Y993" i="3" s="1"/>
  <c r="AJ729" i="3"/>
  <c r="Y729" i="3" s="1"/>
  <c r="AJ1092" i="3"/>
  <c r="Y1092" i="3" s="1"/>
  <c r="AJ621" i="3"/>
  <c r="Y621" i="3" s="1"/>
  <c r="AJ1401" i="3"/>
  <c r="AD275" i="3"/>
  <c r="AD86" i="3"/>
  <c r="AD201" i="3"/>
  <c r="AD285" i="3"/>
  <c r="AD26" i="3"/>
  <c r="AD180" i="3"/>
  <c r="AD404" i="3"/>
  <c r="AD319" i="3"/>
  <c r="AD1166" i="3"/>
  <c r="AD1168" i="3"/>
  <c r="AD1165" i="3"/>
  <c r="AD1156" i="3"/>
  <c r="AD1143" i="3"/>
  <c r="AD1140" i="3"/>
  <c r="AD1158" i="3"/>
  <c r="AD1161" i="3"/>
  <c r="AD1147" i="3"/>
  <c r="AD1157" i="3"/>
  <c r="AD1151" i="3"/>
  <c r="AD1139" i="3"/>
  <c r="AD1160" i="3"/>
  <c r="AD1154" i="3"/>
  <c r="AD1144" i="3"/>
  <c r="AD1167" i="3"/>
  <c r="AD1164" i="3"/>
  <c r="AD1134" i="3"/>
  <c r="AD1136" i="3"/>
  <c r="AD1163" i="3"/>
  <c r="AD1153" i="3"/>
  <c r="AD1159" i="3"/>
  <c r="AD1141" i="3"/>
  <c r="AD1150" i="3"/>
  <c r="AD1162" i="3"/>
  <c r="AD1148" i="3"/>
  <c r="AD1135" i="3"/>
  <c r="AD1146" i="3"/>
  <c r="AD1145" i="3"/>
  <c r="AD1149" i="3"/>
  <c r="AD1142" i="3"/>
  <c r="AD1138" i="3"/>
  <c r="AD1155" i="3"/>
  <c r="AD1137" i="3"/>
  <c r="AD1152" i="3"/>
  <c r="AD1133" i="3"/>
  <c r="AD1132" i="3"/>
  <c r="AJ670" i="3"/>
  <c r="Y670" i="3" s="1"/>
  <c r="AJ947" i="3"/>
  <c r="Y947" i="3" s="1"/>
  <c r="AJ491" i="3"/>
  <c r="Y491" i="3" s="1"/>
  <c r="AJ576" i="3"/>
  <c r="Y576" i="3" s="1"/>
  <c r="AJ1261" i="3"/>
  <c r="AJ1250" i="3"/>
  <c r="AJ1323" i="3"/>
  <c r="AJ1423" i="3"/>
  <c r="AJ1034" i="3"/>
  <c r="Y1034" i="3" s="1"/>
  <c r="AJ1061" i="3"/>
  <c r="Y1061" i="3" s="1"/>
  <c r="AJ909" i="3"/>
  <c r="Y909" i="3" s="1"/>
  <c r="AJ651" i="3"/>
  <c r="Y651" i="3" s="1"/>
  <c r="AJ1062" i="3"/>
  <c r="Y1062" i="3" s="1"/>
  <c r="AJ1441" i="3"/>
  <c r="AJ1430" i="3"/>
  <c r="AJ948" i="3"/>
  <c r="Y948" i="3" s="1"/>
  <c r="AJ937" i="3"/>
  <c r="Y937" i="3" s="1"/>
  <c r="AJ1160" i="3"/>
  <c r="Y1160" i="3" s="1"/>
  <c r="AJ703" i="3"/>
  <c r="Y703" i="3" s="1"/>
  <c r="AJ455" i="3"/>
  <c r="Y455" i="3" s="1"/>
  <c r="AJ460" i="3"/>
  <c r="Y460" i="3" s="1"/>
  <c r="AD171" i="3"/>
  <c r="AD63" i="3"/>
  <c r="AD75" i="3"/>
  <c r="AD160" i="3"/>
  <c r="AD34" i="3"/>
  <c r="AJ433" i="3"/>
  <c r="Y433" i="3" s="1"/>
  <c r="AD1131" i="3"/>
  <c r="AJ831" i="3"/>
  <c r="Y831" i="3" s="1"/>
  <c r="AJ704" i="3"/>
  <c r="Y704" i="3" s="1"/>
  <c r="AJ655" i="3"/>
  <c r="Y655" i="3" s="1"/>
  <c r="AJ1225" i="3"/>
  <c r="AJ1001" i="3"/>
  <c r="Y1001" i="3" s="1"/>
  <c r="AJ1048" i="3"/>
  <c r="Y1048" i="3" s="1"/>
  <c r="AJ522" i="3"/>
  <c r="Y522" i="3" s="1"/>
  <c r="AJ536" i="3"/>
  <c r="Y536" i="3" s="1"/>
  <c r="AD1130" i="3"/>
  <c r="AD1129" i="3"/>
  <c r="AD387" i="3"/>
  <c r="AD72" i="3"/>
  <c r="AD231" i="3"/>
  <c r="AD1127" i="3"/>
  <c r="AJ1385" i="3"/>
  <c r="AJ1298" i="3"/>
  <c r="AJ1231" i="3"/>
  <c r="AJ1095" i="3"/>
  <c r="Y1095" i="3" s="1"/>
  <c r="AJ1139" i="3"/>
  <c r="Y1139" i="3" s="1"/>
  <c r="AJ870" i="3"/>
  <c r="Y870" i="3" s="1"/>
  <c r="AJ753" i="3"/>
  <c r="Y753" i="3" s="1"/>
  <c r="AJ643" i="3"/>
  <c r="Y643" i="3" s="1"/>
  <c r="AJ538" i="3"/>
  <c r="Y538" i="3" s="1"/>
  <c r="AJ888" i="3"/>
  <c r="Y888" i="3" s="1"/>
  <c r="AJ450" i="3"/>
  <c r="Y450" i="3" s="1"/>
  <c r="AD362" i="3"/>
  <c r="AD53" i="3"/>
  <c r="AD358" i="3"/>
  <c r="AD202" i="3"/>
  <c r="AD67" i="3"/>
  <c r="AD54" i="3"/>
  <c r="AD327" i="3"/>
  <c r="AD274" i="3"/>
  <c r="AD1126" i="3"/>
  <c r="AD369" i="3"/>
  <c r="AJ1370" i="3"/>
  <c r="AJ1253" i="3"/>
  <c r="AJ1089" i="3"/>
  <c r="Y1089" i="3" s="1"/>
  <c r="AJ826" i="3"/>
  <c r="Y826" i="3" s="1"/>
  <c r="AJ1411" i="3"/>
  <c r="AJ1297" i="3"/>
  <c r="AJ1287" i="3"/>
  <c r="AJ1067" i="3"/>
  <c r="Y1067" i="3" s="1"/>
  <c r="AJ1145" i="3"/>
  <c r="Y1145" i="3" s="1"/>
  <c r="AJ1453" i="3"/>
  <c r="AJ1149" i="3"/>
  <c r="Y1149" i="3" s="1"/>
  <c r="AJ1312" i="3"/>
  <c r="AJ1364" i="3"/>
  <c r="AJ922" i="3"/>
  <c r="Y922" i="3" s="1"/>
  <c r="AJ663" i="3"/>
  <c r="Y663" i="3" s="1"/>
  <c r="AJ1247" i="3"/>
  <c r="AJ825" i="3"/>
  <c r="Y825" i="3" s="1"/>
  <c r="AJ723" i="3"/>
  <c r="Y723" i="3" s="1"/>
  <c r="AJ592" i="3"/>
  <c r="Y592" i="3" s="1"/>
  <c r="AJ1116" i="3"/>
  <c r="Y1116" i="3" s="1"/>
  <c r="AJ1042" i="3"/>
  <c r="Y1042" i="3" s="1"/>
  <c r="AJ963" i="3"/>
  <c r="Y963" i="3" s="1"/>
  <c r="AJ926" i="3"/>
  <c r="Y926" i="3" s="1"/>
  <c r="AJ701" i="3"/>
  <c r="Y701" i="3" s="1"/>
  <c r="AJ606" i="3"/>
  <c r="Y606" i="3" s="1"/>
  <c r="AJ498" i="3"/>
  <c r="Y498" i="3" s="1"/>
  <c r="AJ773" i="3"/>
  <c r="Y773" i="3" s="1"/>
  <c r="AJ921" i="3"/>
  <c r="Y921" i="3" s="1"/>
  <c r="AJ1003" i="3"/>
  <c r="Y1003" i="3" s="1"/>
  <c r="AJ908" i="3"/>
  <c r="Y908" i="3" s="1"/>
  <c r="AJ757" i="3"/>
  <c r="Y757" i="3" s="1"/>
  <c r="AJ822" i="3"/>
  <c r="Y822" i="3" s="1"/>
  <c r="AJ570" i="3"/>
  <c r="Y570" i="3" s="1"/>
  <c r="AJ543" i="3"/>
  <c r="Y543" i="3" s="1"/>
  <c r="AD1125" i="3"/>
  <c r="AD32" i="3"/>
  <c r="AJ1321" i="3"/>
  <c r="AJ1349" i="3"/>
  <c r="AJ929" i="3"/>
  <c r="Y929" i="3" s="1"/>
  <c r="AJ1409" i="3"/>
  <c r="AJ981" i="3"/>
  <c r="Y981" i="3" s="1"/>
  <c r="AJ990" i="3"/>
  <c r="Y990" i="3" s="1"/>
  <c r="AJ837" i="3"/>
  <c r="Y837" i="3" s="1"/>
  <c r="AJ714" i="3"/>
  <c r="Y714" i="3" s="1"/>
  <c r="AJ1449" i="3"/>
  <c r="AJ1124" i="3"/>
  <c r="Y1124" i="3" s="1"/>
  <c r="AJ938" i="3"/>
  <c r="Y938" i="3" s="1"/>
  <c r="AJ1371" i="3"/>
  <c r="AJ1202" i="3"/>
  <c r="AJ1088" i="3"/>
  <c r="Y1088" i="3" s="1"/>
  <c r="AJ838" i="3"/>
  <c r="Y838" i="3" s="1"/>
  <c r="AJ771" i="3"/>
  <c r="Y771" i="3" s="1"/>
  <c r="AJ1200" i="3"/>
  <c r="AJ1033" i="3"/>
  <c r="Y1033" i="3" s="1"/>
  <c r="AJ1304" i="3"/>
  <c r="AJ1356" i="3"/>
  <c r="AJ997" i="3"/>
  <c r="Y997" i="3" s="1"/>
  <c r="AJ486" i="3"/>
  <c r="Y486" i="3" s="1"/>
  <c r="AJ893" i="3"/>
  <c r="Y893" i="3" s="1"/>
  <c r="AJ563" i="3"/>
  <c r="Y563" i="3" s="1"/>
  <c r="AJ481" i="3"/>
  <c r="Y481" i="3" s="1"/>
  <c r="AJ504" i="3"/>
  <c r="Y504" i="3" s="1"/>
  <c r="AD133" i="3"/>
  <c r="AD353" i="3"/>
  <c r="AD300" i="3"/>
  <c r="AD169" i="3"/>
  <c r="AD321" i="3"/>
  <c r="AD371" i="3"/>
  <c r="AD1124" i="3"/>
  <c r="AD1123" i="3"/>
  <c r="AD221" i="3"/>
  <c r="AD346" i="3"/>
  <c r="AD293" i="3"/>
  <c r="AD1122" i="3"/>
  <c r="AJ964" i="3"/>
  <c r="Y964" i="3" s="1"/>
  <c r="AJ1275" i="3"/>
  <c r="AJ658" i="3"/>
  <c r="Y658" i="3" s="1"/>
  <c r="AJ406" i="3"/>
  <c r="Y406" i="3" s="1"/>
  <c r="AD143" i="3"/>
  <c r="AD45" i="3"/>
  <c r="AD345" i="3"/>
  <c r="AD312" i="3"/>
  <c r="AD87" i="3"/>
  <c r="AJ912" i="3"/>
  <c r="Y912" i="3" s="1"/>
  <c r="AJ501" i="3"/>
  <c r="Y501" i="3" s="1"/>
  <c r="AD311" i="3"/>
  <c r="AD240" i="3"/>
  <c r="AD309" i="3"/>
  <c r="AD402" i="3"/>
  <c r="AJ712" i="3"/>
  <c r="Y712" i="3" s="1"/>
  <c r="AJ1413" i="3"/>
  <c r="AJ1369" i="3"/>
  <c r="AJ1233" i="3"/>
  <c r="AJ1151" i="3"/>
  <c r="Y1151" i="3" s="1"/>
  <c r="AJ984" i="3"/>
  <c r="Y984" i="3" s="1"/>
  <c r="AJ604" i="3"/>
  <c r="Y604" i="3" s="1"/>
  <c r="AJ1383" i="3"/>
  <c r="AJ1227" i="3"/>
  <c r="AJ1373" i="3"/>
  <c r="AJ1448" i="3"/>
  <c r="AJ907" i="3"/>
  <c r="Y907" i="3" s="1"/>
  <c r="AJ1248" i="3"/>
  <c r="AJ1292" i="3"/>
  <c r="AJ1090" i="3"/>
  <c r="Y1090" i="3" s="1"/>
  <c r="AJ860" i="3"/>
  <c r="Y860" i="3" s="1"/>
  <c r="AJ1162" i="3"/>
  <c r="Y1162" i="3" s="1"/>
  <c r="AJ467" i="3"/>
  <c r="Y467" i="3" s="1"/>
  <c r="AJ973" i="3"/>
  <c r="Y973" i="3" s="1"/>
  <c r="AJ817" i="3"/>
  <c r="Y817" i="3" s="1"/>
  <c r="AJ664" i="3"/>
  <c r="Y664" i="3" s="1"/>
  <c r="AJ715" i="3"/>
  <c r="Y715" i="3" s="1"/>
  <c r="AJ584" i="3"/>
  <c r="Y584" i="3" s="1"/>
  <c r="AJ873" i="3"/>
  <c r="Y873" i="3" s="1"/>
  <c r="AJ787" i="3"/>
  <c r="Y787" i="3" s="1"/>
  <c r="AJ559" i="3"/>
  <c r="Y559" i="3" s="1"/>
  <c r="AJ613" i="3"/>
  <c r="Y613" i="3" s="1"/>
  <c r="AJ811" i="3"/>
  <c r="Y811" i="3" s="1"/>
  <c r="AJ479" i="3"/>
  <c r="Y479" i="3" s="1"/>
  <c r="AJ632" i="3"/>
  <c r="Y632" i="3" s="1"/>
  <c r="AJ420" i="3"/>
  <c r="Y420" i="3" s="1"/>
  <c r="AJ514" i="3"/>
  <c r="Y514" i="3" s="1"/>
  <c r="AD1121" i="3"/>
  <c r="AD254" i="3"/>
  <c r="AD21" i="3"/>
  <c r="AD338" i="3"/>
  <c r="AD119" i="3"/>
  <c r="AJ1427" i="3"/>
  <c r="AJ1313" i="3"/>
  <c r="AJ1012" i="3"/>
  <c r="Y1012" i="3" s="1"/>
  <c r="AJ1442" i="3"/>
  <c r="AJ1361" i="3"/>
  <c r="AJ1224" i="3"/>
  <c r="AJ977" i="3"/>
  <c r="Y977" i="3" s="1"/>
  <c r="AJ1456" i="3"/>
  <c r="AJ1104" i="3"/>
  <c r="Y1104" i="3" s="1"/>
  <c r="AJ1420" i="3"/>
  <c r="AJ1186" i="3"/>
  <c r="AJ960" i="3"/>
  <c r="Y960" i="3" s="1"/>
  <c r="AJ602" i="3"/>
  <c r="Y602" i="3" s="1"/>
  <c r="AJ443" i="3"/>
  <c r="Y443" i="3" s="1"/>
  <c r="AJ1432" i="3"/>
  <c r="AJ1115" i="3"/>
  <c r="Y1115" i="3" s="1"/>
  <c r="AJ1270" i="3"/>
  <c r="AJ1180" i="3"/>
  <c r="AJ998" i="3"/>
  <c r="Y998" i="3" s="1"/>
  <c r="AJ762" i="3"/>
  <c r="Y762" i="3" s="1"/>
  <c r="AJ1205" i="3"/>
  <c r="AJ985" i="3"/>
  <c r="Y985" i="3" s="1"/>
  <c r="AJ972" i="3"/>
  <c r="Y972" i="3" s="1"/>
  <c r="AJ1046" i="3"/>
  <c r="Y1046" i="3" s="1"/>
  <c r="AJ883" i="3"/>
  <c r="Y883" i="3" s="1"/>
  <c r="AJ421" i="3"/>
  <c r="Y421" i="3" s="1"/>
  <c r="AD1120" i="3"/>
  <c r="AD1119" i="3"/>
  <c r="AD283" i="3"/>
  <c r="AD109" i="3"/>
  <c r="AD68" i="3"/>
  <c r="AD271" i="3"/>
  <c r="AD304" i="3"/>
  <c r="AD380" i="3"/>
  <c r="AD43" i="3"/>
  <c r="AJ1336" i="3"/>
  <c r="AJ1111" i="3"/>
  <c r="Y1111" i="3" s="1"/>
  <c r="AJ1181" i="3"/>
  <c r="AJ575" i="3"/>
  <c r="Y575" i="3" s="1"/>
  <c r="AD145" i="3"/>
  <c r="AD357" i="3"/>
  <c r="AD350" i="3"/>
  <c r="AD396" i="3"/>
  <c r="AD243" i="3"/>
  <c r="AD188" i="3"/>
  <c r="AD47" i="3"/>
  <c r="AD228" i="3"/>
  <c r="AD378" i="3"/>
  <c r="AD264" i="3"/>
  <c r="AD102" i="3"/>
  <c r="AD383" i="3"/>
  <c r="AD351" i="3"/>
  <c r="AD290" i="3"/>
  <c r="AD224" i="3"/>
  <c r="AD107" i="3"/>
  <c r="AD280" i="3"/>
  <c r="AD244" i="3"/>
  <c r="AD122" i="3"/>
  <c r="AD310" i="3"/>
  <c r="AD272" i="3"/>
  <c r="AJ652" i="3"/>
  <c r="Y652" i="3" s="1"/>
  <c r="AJ581" i="3"/>
  <c r="Y581" i="3" s="1"/>
  <c r="AJ425" i="3"/>
  <c r="Y425" i="3" s="1"/>
  <c r="AJ653" i="3"/>
  <c r="Y653" i="3" s="1"/>
  <c r="AD374" i="3"/>
  <c r="AD123" i="3"/>
  <c r="AD232" i="3"/>
  <c r="AD246" i="3"/>
  <c r="AD196" i="3"/>
  <c r="AD114" i="3"/>
  <c r="AD55" i="3"/>
  <c r="AD217" i="3"/>
  <c r="AD65" i="3"/>
  <c r="AD315" i="3"/>
  <c r="AD302" i="3"/>
  <c r="AD64" i="3"/>
  <c r="AD1118" i="3"/>
  <c r="AJ1459" i="3"/>
  <c r="AJ697" i="3"/>
  <c r="Y697" i="3" s="1"/>
  <c r="AJ1198" i="3"/>
  <c r="AJ917" i="3"/>
  <c r="Y917" i="3" s="1"/>
  <c r="AJ1082" i="3"/>
  <c r="Y1082" i="3" s="1"/>
  <c r="AJ669" i="3"/>
  <c r="Y669" i="3" s="1"/>
  <c r="AJ540" i="3"/>
  <c r="Y540" i="3" s="1"/>
  <c r="AJ489" i="3"/>
  <c r="Y489" i="3" s="1"/>
  <c r="AJ717" i="3"/>
  <c r="Y717" i="3" s="1"/>
  <c r="AD373" i="3"/>
  <c r="AD147" i="3"/>
  <c r="AD166" i="3"/>
  <c r="AD93" i="3"/>
  <c r="AD305" i="3"/>
  <c r="AD335" i="3"/>
  <c r="AD1117" i="3"/>
  <c r="AJ827" i="3"/>
  <c r="Y827" i="3" s="1"/>
  <c r="AD1116" i="3"/>
  <c r="AD146" i="3"/>
  <c r="AD1115" i="3"/>
  <c r="AJ619" i="3"/>
  <c r="Y619" i="3" s="1"/>
  <c r="AJ945" i="3"/>
  <c r="Y945" i="3" s="1"/>
  <c r="AJ1027" i="3"/>
  <c r="Y1027" i="3" s="1"/>
  <c r="AJ932" i="3"/>
  <c r="Y932" i="3" s="1"/>
  <c r="AJ676" i="3"/>
  <c r="Y676" i="3" s="1"/>
  <c r="AJ919" i="3"/>
  <c r="Y919" i="3" s="1"/>
  <c r="AJ585" i="3"/>
  <c r="Y585" i="3" s="1"/>
  <c r="AJ435" i="3"/>
  <c r="Y435" i="3" s="1"/>
  <c r="AJ577" i="3"/>
  <c r="Y577" i="3" s="1"/>
  <c r="AJ824" i="3"/>
  <c r="Y824" i="3" s="1"/>
  <c r="AJ886" i="3"/>
  <c r="Y886" i="3" s="1"/>
  <c r="AJ537" i="3"/>
  <c r="Y537" i="3" s="1"/>
  <c r="AJ427" i="3"/>
  <c r="Y427" i="3" s="1"/>
  <c r="AD1114" i="3"/>
  <c r="AD1113" i="3"/>
  <c r="AD1112" i="3"/>
  <c r="AD1111" i="3"/>
  <c r="AD1110" i="3"/>
  <c r="AD1109" i="3"/>
  <c r="AJ1244" i="3"/>
  <c r="AJ1222" i="3"/>
  <c r="AJ930" i="3"/>
  <c r="Y930" i="3" s="1"/>
  <c r="AJ1032" i="3"/>
  <c r="Y1032" i="3" s="1"/>
  <c r="AJ791" i="3"/>
  <c r="Y791" i="3" s="1"/>
  <c r="AD17" i="3"/>
  <c r="AJ897" i="3"/>
  <c r="Y897" i="3" s="1"/>
  <c r="AJ1019" i="3"/>
  <c r="Y1019" i="3" s="1"/>
  <c r="AJ645" i="3"/>
  <c r="Y645" i="3" s="1"/>
  <c r="AJ499" i="3"/>
  <c r="Y499" i="3" s="1"/>
  <c r="AJ1257" i="3"/>
  <c r="AJ999" i="3"/>
  <c r="Y999" i="3" s="1"/>
  <c r="AJ1123" i="3"/>
  <c r="Y1123" i="3" s="1"/>
  <c r="AJ1342" i="3"/>
  <c r="AJ928" i="3"/>
  <c r="Y928" i="3" s="1"/>
  <c r="AJ989" i="3"/>
  <c r="Y989" i="3" s="1"/>
  <c r="AJ1177" i="3"/>
  <c r="Y1177" i="3" s="1"/>
  <c r="AJ799" i="3"/>
  <c r="Y799" i="3" s="1"/>
  <c r="AJ840" i="3"/>
  <c r="Y840" i="3" s="1"/>
  <c r="AJ607" i="3"/>
  <c r="Y607" i="3" s="1"/>
  <c r="AJ923" i="3"/>
  <c r="Y923" i="3" s="1"/>
  <c r="AJ805" i="3"/>
  <c r="Y805" i="3" s="1"/>
  <c r="AJ682" i="3"/>
  <c r="Y682" i="3" s="1"/>
  <c r="AJ470" i="3"/>
  <c r="Y470" i="3" s="1"/>
  <c r="AJ660" i="3"/>
  <c r="Y660" i="3" s="1"/>
  <c r="AD262" i="3"/>
  <c r="AD260" i="3"/>
  <c r="AD266" i="3"/>
  <c r="AJ1429" i="3"/>
  <c r="AJ797" i="3"/>
  <c r="Y797" i="3" s="1"/>
  <c r="AJ1352" i="3"/>
  <c r="AJ1280" i="3"/>
  <c r="AJ1454" i="3"/>
  <c r="AJ1315" i="3"/>
  <c r="AJ1309" i="3"/>
  <c r="AJ1212" i="3"/>
  <c r="AJ1126" i="3"/>
  <c r="Y1126" i="3" s="1"/>
  <c r="AJ1050" i="3"/>
  <c r="Y1050" i="3" s="1"/>
  <c r="AJ967" i="3"/>
  <c r="Y967" i="3" s="1"/>
  <c r="AJ1098" i="3"/>
  <c r="Y1098" i="3" s="1"/>
  <c r="AJ1265" i="3"/>
  <c r="AJ1024" i="3"/>
  <c r="Y1024" i="3" s="1"/>
  <c r="AJ1002" i="3"/>
  <c r="Y1002" i="3" s="1"/>
  <c r="AJ1023" i="3"/>
  <c r="Y1023" i="3" s="1"/>
  <c r="AJ1037" i="3"/>
  <c r="Y1037" i="3" s="1"/>
  <c r="AJ800" i="3"/>
  <c r="Y800" i="3" s="1"/>
  <c r="AJ507" i="3"/>
  <c r="Y507" i="3" s="1"/>
  <c r="AJ583" i="3"/>
  <c r="Y583" i="3" s="1"/>
  <c r="AJ679" i="3"/>
  <c r="Y679" i="3" s="1"/>
  <c r="AJ1246" i="3"/>
  <c r="AJ698" i="3"/>
  <c r="Y698" i="3" s="1"/>
  <c r="AJ534" i="3"/>
  <c r="Y534" i="3" s="1"/>
  <c r="AJ875" i="3"/>
  <c r="Y875" i="3" s="1"/>
  <c r="AJ416" i="3"/>
  <c r="Y416" i="3" s="1"/>
  <c r="AJ484" i="3"/>
  <c r="Y484" i="3" s="1"/>
  <c r="AD1108" i="3"/>
  <c r="AD1107" i="3"/>
  <c r="AJ1109" i="3"/>
  <c r="Y1109" i="3" s="1"/>
  <c r="AJ749" i="3"/>
  <c r="Y749" i="3" s="1"/>
  <c r="AJ1165" i="3"/>
  <c r="Y1165" i="3" s="1"/>
  <c r="AJ1293" i="3"/>
  <c r="AJ588" i="3"/>
  <c r="Y588" i="3" s="1"/>
  <c r="AJ778" i="3"/>
  <c r="Y778" i="3" s="1"/>
  <c r="AJ684" i="3"/>
  <c r="Y684" i="3" s="1"/>
  <c r="AJ1009" i="3"/>
  <c r="Y1009" i="3" s="1"/>
  <c r="AJ996" i="3"/>
  <c r="Y996" i="3" s="1"/>
  <c r="AJ617" i="3"/>
  <c r="Y617" i="3" s="1"/>
  <c r="AJ451" i="3"/>
  <c r="Y451" i="3" s="1"/>
  <c r="AJ1374" i="3"/>
  <c r="AJ1049" i="3"/>
  <c r="Y1049" i="3" s="1"/>
  <c r="AJ954" i="3"/>
  <c r="Y954" i="3" s="1"/>
  <c r="AJ1036" i="3"/>
  <c r="Y1036" i="3" s="1"/>
  <c r="AJ785" i="3"/>
  <c r="Y785" i="3" s="1"/>
  <c r="AJ615" i="3"/>
  <c r="Y615" i="3" s="1"/>
  <c r="AJ532" i="3"/>
  <c r="Y532" i="3" s="1"/>
  <c r="AJ795" i="3"/>
  <c r="Y795" i="3" s="1"/>
  <c r="AJ473" i="3"/>
  <c r="Y473" i="3" s="1"/>
  <c r="AJ818" i="3"/>
  <c r="Y818" i="3" s="1"/>
  <c r="AJ853" i="3"/>
  <c r="Y853" i="3" s="1"/>
  <c r="AJ601" i="3"/>
  <c r="Y601" i="3" s="1"/>
  <c r="AJ582" i="3"/>
  <c r="Y582" i="3" s="1"/>
  <c r="AJ512" i="3"/>
  <c r="Y512" i="3" s="1"/>
  <c r="AD295" i="3"/>
  <c r="AD111" i="3"/>
  <c r="AD42" i="3"/>
  <c r="AD24" i="3"/>
  <c r="AD192" i="3"/>
  <c r="AD343" i="3"/>
  <c r="AD255" i="3"/>
  <c r="AD288" i="3"/>
  <c r="AD20" i="3"/>
  <c r="AD397" i="3"/>
  <c r="AD198" i="3"/>
  <c r="AD50" i="3"/>
  <c r="AD13" i="3"/>
  <c r="AD206" i="3"/>
  <c r="AJ1460" i="3"/>
  <c r="AJ1450" i="3"/>
  <c r="AJ1268" i="3"/>
  <c r="AJ1128" i="3"/>
  <c r="Y1128" i="3" s="1"/>
  <c r="AJ1417" i="3"/>
  <c r="AJ1330" i="3"/>
  <c r="AJ1190" i="3"/>
  <c r="AJ468" i="3"/>
  <c r="Y468" i="3" s="1"/>
  <c r="AJ1405" i="3"/>
  <c r="AJ1464" i="3"/>
  <c r="AJ958" i="3"/>
  <c r="Y958" i="3" s="1"/>
  <c r="AJ472" i="3"/>
  <c r="Y472" i="3" s="1"/>
  <c r="AJ1353" i="3"/>
  <c r="AJ1236" i="3"/>
  <c r="AJ1367" i="3"/>
  <c r="AJ862" i="3"/>
  <c r="Y862" i="3" s="1"/>
  <c r="AJ1387" i="3"/>
  <c r="AJ1102" i="3"/>
  <c r="Y1102" i="3" s="1"/>
  <c r="AJ1121" i="3"/>
  <c r="Y1121" i="3" s="1"/>
  <c r="AJ782" i="3"/>
  <c r="Y782" i="3" s="1"/>
  <c r="AJ819" i="3"/>
  <c r="Y819" i="3" s="1"/>
  <c r="AJ510" i="3"/>
  <c r="Y510" i="3" s="1"/>
  <c r="AJ496" i="3"/>
  <c r="Y496" i="3" s="1"/>
  <c r="AJ898" i="3"/>
  <c r="Y898" i="3" s="1"/>
  <c r="AJ980" i="3"/>
  <c r="Y980" i="3" s="1"/>
  <c r="AJ1054" i="3"/>
  <c r="Y1054" i="3" s="1"/>
  <c r="AJ1310" i="3"/>
  <c r="AJ553" i="3"/>
  <c r="Y553" i="3" s="1"/>
  <c r="AJ885" i="3"/>
  <c r="Y885" i="3" s="1"/>
  <c r="AJ642" i="3"/>
  <c r="Y642" i="3" s="1"/>
  <c r="AJ783" i="3"/>
  <c r="Y783" i="3" s="1"/>
  <c r="AJ572" i="3"/>
  <c r="Y572" i="3" s="1"/>
  <c r="AJ438" i="3"/>
  <c r="Y438" i="3" s="1"/>
  <c r="AJ1468" i="3"/>
  <c r="AD365" i="3"/>
  <c r="AD359" i="3"/>
  <c r="AD326" i="3"/>
  <c r="AD339" i="3"/>
  <c r="AD73" i="3"/>
  <c r="AD337" i="3"/>
  <c r="AD301" i="3"/>
  <c r="AD323" i="3"/>
  <c r="AD90" i="3"/>
  <c r="AD392" i="3"/>
  <c r="AD56" i="3"/>
  <c r="AD352" i="3"/>
  <c r="AD356" i="3"/>
  <c r="AD135" i="3"/>
  <c r="AD130" i="3"/>
  <c r="AD58" i="3"/>
  <c r="AD218" i="3"/>
  <c r="AD279" i="3"/>
  <c r="AD197" i="3"/>
  <c r="AD289" i="3"/>
  <c r="AD222" i="3"/>
  <c r="AD330" i="3"/>
  <c r="AD100" i="3"/>
  <c r="AD51" i="3"/>
  <c r="AD36" i="3"/>
  <c r="AD40" i="3"/>
  <c r="AD184" i="3"/>
  <c r="AD1106" i="3"/>
  <c r="AJ1084" i="3"/>
  <c r="Y1084" i="3" s="1"/>
  <c r="AJ904" i="3"/>
  <c r="Y904" i="3" s="1"/>
  <c r="AJ408" i="3"/>
  <c r="Y408" i="3" s="1"/>
  <c r="AJ1344" i="3"/>
  <c r="AJ1140" i="3"/>
  <c r="Y1140" i="3" s="1"/>
  <c r="AJ1085" i="3"/>
  <c r="Y1085" i="3" s="1"/>
  <c r="AJ1147" i="3"/>
  <c r="Y1147" i="3" s="1"/>
  <c r="AJ1329" i="3"/>
  <c r="AJ1357" i="3"/>
  <c r="AJ828" i="3"/>
  <c r="Y828" i="3" s="1"/>
  <c r="AJ895" i="3"/>
  <c r="Y895" i="3" s="1"/>
  <c r="AJ767" i="3"/>
  <c r="Y767" i="3" s="1"/>
  <c r="AJ681" i="3"/>
  <c r="Y681" i="3" s="1"/>
  <c r="AJ409" i="3"/>
  <c r="Y409" i="3" s="1"/>
  <c r="AJ1296" i="3"/>
  <c r="AJ1150" i="3"/>
  <c r="Y1150" i="3" s="1"/>
  <c r="AJ1091" i="3"/>
  <c r="Y1091" i="3" s="1"/>
  <c r="AJ1218" i="3"/>
  <c r="AJ1276" i="3"/>
  <c r="AJ786" i="3"/>
  <c r="Y786" i="3" s="1"/>
  <c r="AJ1259" i="3"/>
  <c r="AD278" i="3"/>
  <c r="AD79" i="3"/>
  <c r="AD317" i="3"/>
  <c r="AD175" i="3"/>
  <c r="AD69" i="3"/>
  <c r="AD46" i="3"/>
  <c r="AD372" i="3"/>
  <c r="AD268" i="3"/>
  <c r="AD158" i="3"/>
  <c r="AD80" i="3"/>
  <c r="AD41" i="3"/>
  <c r="AJ448" i="3"/>
  <c r="Y448" i="3" s="1"/>
  <c r="AD7" i="3"/>
  <c r="AD361" i="3"/>
  <c r="AD328" i="3"/>
  <c r="AD97" i="3"/>
  <c r="AD297" i="3"/>
  <c r="AD11" i="3"/>
  <c r="AD101" i="3"/>
  <c r="AD183" i="3"/>
  <c r="AD99" i="3"/>
  <c r="AJ1148" i="3"/>
  <c r="Y1148" i="3" s="1"/>
  <c r="AJ986" i="3"/>
  <c r="Y986" i="3" s="1"/>
  <c r="AJ1382" i="3"/>
  <c r="AJ1431" i="3"/>
  <c r="AJ1332" i="3"/>
  <c r="AJ1079" i="3"/>
  <c r="Y1079" i="3" s="1"/>
  <c r="AJ1058" i="3"/>
  <c r="Y1058" i="3" s="1"/>
  <c r="AJ988" i="3"/>
  <c r="Y988" i="3" s="1"/>
  <c r="AJ975" i="3"/>
  <c r="Y975" i="3" s="1"/>
  <c r="AJ1446" i="3"/>
  <c r="AJ1392" i="3"/>
  <c r="AJ1307" i="3"/>
  <c r="AJ685" i="3"/>
  <c r="Y685" i="3" s="1"/>
  <c r="AJ1256" i="3"/>
  <c r="AJ1290" i="3"/>
  <c r="AJ1300" i="3"/>
  <c r="AJ1208" i="3"/>
  <c r="AJ1176" i="3"/>
  <c r="Y1176" i="3" s="1"/>
  <c r="AJ1041" i="3"/>
  <c r="Y1041" i="3" s="1"/>
  <c r="AJ925" i="3"/>
  <c r="Y925" i="3" s="1"/>
  <c r="AJ737" i="3"/>
  <c r="Y737" i="3" s="1"/>
  <c r="AJ1433" i="3"/>
  <c r="AJ1214" i="3"/>
  <c r="AJ1100" i="3"/>
  <c r="Y1100" i="3" s="1"/>
  <c r="AJ833" i="3"/>
  <c r="Y833" i="3" s="1"/>
  <c r="AJ609" i="3"/>
  <c r="Y609" i="3" s="1"/>
  <c r="AJ1422" i="3"/>
  <c r="AJ1113" i="3"/>
  <c r="Y1113" i="3" s="1"/>
  <c r="AJ903" i="3"/>
  <c r="Y903" i="3" s="1"/>
  <c r="AJ774" i="3"/>
  <c r="Y774" i="3" s="1"/>
  <c r="AJ672" i="3"/>
  <c r="Y672" i="3" s="1"/>
  <c r="AJ518" i="3"/>
  <c r="Y518" i="3" s="1"/>
  <c r="AJ1359" i="3"/>
  <c r="AJ1118" i="3"/>
  <c r="Y1118" i="3" s="1"/>
  <c r="AJ1106" i="3"/>
  <c r="Y1106" i="3" s="1"/>
  <c r="AJ768" i="3"/>
  <c r="Y768" i="3" s="1"/>
  <c r="AJ1011" i="3"/>
  <c r="Y1011" i="3" s="1"/>
  <c r="AJ916" i="3"/>
  <c r="Y916" i="3" s="1"/>
  <c r="AJ856" i="3"/>
  <c r="Y856" i="3" s="1"/>
  <c r="AJ892" i="3"/>
  <c r="Y892" i="3" s="1"/>
  <c r="AJ586" i="3"/>
  <c r="Y586" i="3" s="1"/>
  <c r="AJ566" i="3"/>
  <c r="Y566" i="3" s="1"/>
  <c r="AJ464" i="3"/>
  <c r="Y464" i="3" s="1"/>
  <c r="AJ1341" i="3"/>
  <c r="AJ1215" i="3"/>
  <c r="AJ1156" i="3"/>
  <c r="Y1156" i="3" s="1"/>
  <c r="AJ1008" i="3"/>
  <c r="Y1008" i="3" s="1"/>
  <c r="AJ765" i="3"/>
  <c r="Y765" i="3" s="1"/>
  <c r="AJ671" i="3"/>
  <c r="Y671" i="3" s="1"/>
  <c r="AJ634" i="3"/>
  <c r="Y634" i="3" s="1"/>
  <c r="AJ436" i="3"/>
  <c r="Y436" i="3" s="1"/>
  <c r="AJ832" i="3"/>
  <c r="Y832" i="3" s="1"/>
  <c r="AJ641" i="3"/>
  <c r="Y641" i="3" s="1"/>
  <c r="AJ546" i="3"/>
  <c r="Y546" i="3" s="1"/>
  <c r="AJ720" i="3"/>
  <c r="Y720" i="3" s="1"/>
  <c r="AJ770" i="3"/>
  <c r="Y770" i="3" s="1"/>
  <c r="AJ667" i="3"/>
  <c r="Y667" i="3" s="1"/>
  <c r="AJ611" i="3"/>
  <c r="Y611" i="3" s="1"/>
  <c r="AJ569" i="3"/>
  <c r="Y569" i="3" s="1"/>
  <c r="AJ550" i="3"/>
  <c r="Y550" i="3" s="1"/>
  <c r="AJ1007" i="3"/>
  <c r="Y1007" i="3" s="1"/>
  <c r="AJ661" i="3"/>
  <c r="Y661" i="3" s="1"/>
  <c r="AJ719" i="3"/>
  <c r="Y719" i="3" s="1"/>
  <c r="AJ777" i="3"/>
  <c r="Y777" i="3" s="1"/>
  <c r="AJ457" i="3"/>
  <c r="Y457" i="3" s="1"/>
  <c r="AJ781" i="3"/>
  <c r="Y781" i="3" s="1"/>
  <c r="L9" i="1"/>
  <c r="M9" i="1" s="1"/>
  <c r="N9" i="1" s="1"/>
  <c r="AD354" i="3"/>
  <c r="AD237" i="3"/>
  <c r="AD344" i="3"/>
  <c r="AD233" i="3"/>
  <c r="AD276" i="3"/>
  <c r="AD14" i="3"/>
  <c r="AD331" i="3"/>
  <c r="AD227" i="3"/>
  <c r="AD33" i="3"/>
  <c r="AD167" i="3"/>
  <c r="AD61" i="3"/>
  <c r="AD177" i="3"/>
  <c r="AD296" i="3"/>
  <c r="AD96" i="3"/>
  <c r="AD377" i="3"/>
  <c r="AD161" i="3"/>
  <c r="AD29" i="3"/>
  <c r="AD25" i="3"/>
  <c r="AD1128" i="3"/>
  <c r="AD364" i="3"/>
  <c r="AD303" i="3"/>
  <c r="AD22" i="3"/>
  <c r="AD39" i="3"/>
  <c r="AJ738" i="3"/>
  <c r="Y738" i="3" s="1"/>
  <c r="AD363" i="3"/>
  <c r="AD318" i="3"/>
  <c r="AD214" i="3"/>
  <c r="AD172" i="3"/>
  <c r="AD74" i="3"/>
  <c r="AD223" i="3"/>
  <c r="AD19" i="3"/>
  <c r="AD210" i="3"/>
  <c r="AD325" i="3"/>
  <c r="AD71" i="3"/>
  <c r="AD89" i="3"/>
  <c r="AJ599" i="3"/>
  <c r="Y599" i="3" s="1"/>
  <c r="AD375" i="3"/>
  <c r="AD113" i="3"/>
  <c r="AJ635" i="3"/>
  <c r="Y635" i="3" s="1"/>
  <c r="AD336" i="3"/>
  <c r="AD194" i="3"/>
  <c r="AD82" i="3"/>
  <c r="AD322" i="3"/>
  <c r="AD287" i="3"/>
  <c r="AD263" i="3"/>
  <c r="AD332" i="3"/>
  <c r="AD388" i="3"/>
  <c r="AD242" i="3"/>
  <c r="AD8" i="3"/>
  <c r="AD76" i="3"/>
  <c r="AD320" i="3"/>
  <c r="AD16" i="3"/>
  <c r="AD247" i="3"/>
  <c r="AD129" i="3"/>
  <c r="AD77" i="3"/>
  <c r="AD334" i="3"/>
  <c r="AD148" i="3"/>
  <c r="AD27" i="3"/>
  <c r="AD281" i="3"/>
  <c r="AD23" i="3"/>
  <c r="AD385" i="3"/>
  <c r="AD35" i="3"/>
  <c r="AD273" i="3"/>
  <c r="AD249" i="3"/>
  <c r="AD349" i="3"/>
  <c r="AD213" i="3"/>
  <c r="AD168" i="3"/>
  <c r="AD239" i="3"/>
  <c r="AD125" i="3"/>
  <c r="AD347" i="3"/>
  <c r="AD60" i="3"/>
  <c r="AD390" i="3"/>
  <c r="AD394" i="3"/>
  <c r="AD391" i="3"/>
  <c r="AD226" i="3"/>
  <c r="AD121" i="3"/>
  <c r="AD152" i="3"/>
  <c r="AD124" i="3"/>
  <c r="AJ1400" i="3"/>
  <c r="AJ1269" i="3"/>
  <c r="AJ1096" i="3"/>
  <c r="Y1096" i="3" s="1"/>
  <c r="AJ445" i="3"/>
  <c r="Y445" i="3" s="1"/>
  <c r="AJ459" i="3"/>
  <c r="Y459" i="3" s="1"/>
  <c r="AJ439" i="3"/>
  <c r="Y439" i="3" s="1"/>
  <c r="AJ1457" i="3"/>
  <c r="AJ906" i="3"/>
  <c r="Y906" i="3" s="1"/>
  <c r="AJ1021" i="3"/>
  <c r="Y1021" i="3" s="1"/>
  <c r="AJ579" i="3"/>
  <c r="Y579" i="3" s="1"/>
  <c r="AJ1055" i="3"/>
  <c r="Y1055" i="3" s="1"/>
  <c r="AD12" i="3"/>
  <c r="AJ1169" i="3"/>
  <c r="Y1169" i="3" s="1"/>
  <c r="AJ1365" i="3"/>
  <c r="AJ979" i="3"/>
  <c r="Y979" i="3" s="1"/>
  <c r="AJ935" i="3"/>
  <c r="Y935" i="3" s="1"/>
  <c r="AJ469" i="3"/>
  <c r="Y469" i="3" s="1"/>
  <c r="AJ476" i="3"/>
  <c r="Y476" i="3" s="1"/>
  <c r="AD258" i="3"/>
  <c r="AJ1234" i="3"/>
  <c r="AJ1223" i="3"/>
  <c r="AJ872" i="3"/>
  <c r="Y872" i="3" s="1"/>
  <c r="AJ807" i="3"/>
  <c r="Y807" i="3" s="1"/>
  <c r="AJ802" i="3"/>
  <c r="Y802" i="3" s="1"/>
  <c r="AJ573" i="3"/>
  <c r="Y573" i="3" s="1"/>
  <c r="AJ891" i="3"/>
  <c r="Y891" i="3" s="1"/>
  <c r="AJ784" i="3"/>
  <c r="Y784" i="3" s="1"/>
  <c r="AJ731" i="3"/>
  <c r="Y731" i="3" s="1"/>
  <c r="AD195" i="3"/>
  <c r="AD131" i="3"/>
  <c r="AJ1094" i="3"/>
  <c r="Y1094" i="3" s="1"/>
  <c r="AD59" i="3"/>
  <c r="AD163" i="3"/>
  <c r="AJ1439" i="3"/>
  <c r="AJ1087" i="3"/>
  <c r="Y1087" i="3" s="1"/>
  <c r="AJ1201" i="3"/>
  <c r="AJ901" i="3"/>
  <c r="Y901" i="3" s="1"/>
  <c r="AJ614" i="3"/>
  <c r="Y614" i="3" s="1"/>
  <c r="AJ728" i="3"/>
  <c r="Y728" i="3" s="1"/>
  <c r="AJ1305" i="3"/>
  <c r="AJ1395" i="3"/>
  <c r="AJ1437" i="3"/>
  <c r="AJ1416" i="3"/>
  <c r="AJ913" i="3"/>
  <c r="Y913" i="3" s="1"/>
  <c r="AJ970" i="3"/>
  <c r="Y970" i="3" s="1"/>
  <c r="AJ695" i="3"/>
  <c r="Y695" i="3" s="1"/>
  <c r="AJ1273" i="3"/>
  <c r="AJ1174" i="3"/>
  <c r="Y1174" i="3" s="1"/>
  <c r="AJ1028" i="3"/>
  <c r="Y1028" i="3" s="1"/>
  <c r="AJ847" i="3"/>
  <c r="Y847" i="3" s="1"/>
  <c r="AJ1232" i="3"/>
  <c r="AJ1249" i="3"/>
  <c r="AJ1060" i="3"/>
  <c r="Y1060" i="3" s="1"/>
  <c r="AJ1279" i="3"/>
  <c r="AJ1346" i="3"/>
  <c r="AJ1301" i="3"/>
  <c r="AJ1316" i="3"/>
  <c r="AJ1308" i="3"/>
  <c r="AJ1184" i="3"/>
  <c r="AJ1384" i="3"/>
  <c r="AJ1129" i="3"/>
  <c r="Y1129" i="3" s="1"/>
  <c r="AJ1375" i="3"/>
  <c r="AJ1451" i="3"/>
  <c r="AJ727" i="3"/>
  <c r="Y727" i="3" s="1"/>
  <c r="AJ914" i="3"/>
  <c r="Y914" i="3" s="1"/>
  <c r="AJ675" i="3"/>
  <c r="Y675" i="3" s="1"/>
  <c r="AJ866" i="3"/>
  <c r="Y866" i="3" s="1"/>
  <c r="AJ509" i="3"/>
  <c r="Y509" i="3" s="1"/>
  <c r="AJ1226" i="3"/>
  <c r="AJ950" i="3"/>
  <c r="Y950" i="3" s="1"/>
  <c r="AJ776" i="3"/>
  <c r="Y776" i="3" s="1"/>
  <c r="AJ1153" i="3"/>
  <c r="Y1153" i="3" s="1"/>
  <c r="AJ803" i="3"/>
  <c r="Y803" i="3" s="1"/>
  <c r="AJ627" i="3"/>
  <c r="Y627" i="3" s="1"/>
  <c r="AJ466" i="3"/>
  <c r="Y466" i="3" s="1"/>
  <c r="AD245" i="3"/>
  <c r="AD284" i="3"/>
  <c r="AD173" i="3"/>
  <c r="AD208" i="3"/>
  <c r="AD92" i="3"/>
  <c r="AD340" i="3"/>
  <c r="AD88" i="3"/>
  <c r="AD165" i="3"/>
  <c r="AD112" i="3"/>
  <c r="AD157" i="3"/>
  <c r="AD137" i="3"/>
  <c r="AD110" i="3"/>
  <c r="AD48" i="3"/>
  <c r="AD368" i="3"/>
  <c r="AD62" i="3"/>
  <c r="AD211" i="3"/>
  <c r="AD150" i="3"/>
  <c r="AD185" i="3"/>
  <c r="AD141" i="3"/>
  <c r="AD85" i="3"/>
  <c r="AD203" i="3"/>
  <c r="AD393" i="3"/>
  <c r="AD256" i="3"/>
  <c r="AD370" i="3"/>
  <c r="AD103" i="3"/>
  <c r="AD294" i="3"/>
  <c r="AJ852" i="3"/>
  <c r="Y852" i="3" s="1"/>
  <c r="AJ419" i="3"/>
  <c r="Y419" i="3" s="1"/>
  <c r="AJ747" i="3"/>
  <c r="Y747" i="3" s="1"/>
  <c r="AJ488" i="3"/>
  <c r="Y488" i="3" s="1"/>
  <c r="AJ662" i="3"/>
  <c r="Y662" i="3" s="1"/>
  <c r="AD136" i="3"/>
  <c r="AD115" i="3"/>
  <c r="AD316" i="3"/>
  <c r="AD162" i="3"/>
  <c r="AD170" i="3"/>
  <c r="AD126" i="3"/>
  <c r="AD105" i="3"/>
  <c r="AD298" i="3"/>
  <c r="AD405" i="3"/>
  <c r="AD299" i="3"/>
  <c r="AD386" i="3"/>
  <c r="AD398" i="3"/>
  <c r="AD379" i="3"/>
  <c r="AD193" i="3"/>
  <c r="AD154" i="3"/>
  <c r="AD341" i="3"/>
  <c r="AD174" i="3"/>
  <c r="AD259" i="3"/>
  <c r="AD127" i="3"/>
  <c r="AD199" i="3"/>
  <c r="AD399" i="3"/>
  <c r="AD138" i="3"/>
  <c r="AD83" i="3"/>
  <c r="AD282" i="3"/>
  <c r="AD395" i="3"/>
  <c r="AD70" i="3"/>
  <c r="AD389" i="3"/>
  <c r="AD209" i="3"/>
  <c r="AD314" i="3"/>
  <c r="AD178" i="3"/>
  <c r="AD270" i="3"/>
  <c r="AD234" i="3"/>
  <c r="AD95" i="3"/>
  <c r="AD308" i="3"/>
  <c r="AD116" i="3"/>
  <c r="AD187" i="3"/>
  <c r="AD151" i="3"/>
  <c r="AD220" i="3"/>
  <c r="AD384" i="3"/>
  <c r="AD117" i="3"/>
  <c r="AD155" i="3"/>
  <c r="AJ750" i="3"/>
  <c r="Y750" i="3" s="1"/>
  <c r="AJ541" i="3"/>
  <c r="Y541" i="3" s="1"/>
  <c r="AJ814" i="3"/>
  <c r="Y814" i="3" s="1"/>
  <c r="AD400" i="3"/>
  <c r="AD333" i="3"/>
  <c r="AD267" i="3"/>
  <c r="AD179" i="3"/>
  <c r="AD355" i="3"/>
  <c r="AD200" i="3"/>
  <c r="AD156" i="3"/>
  <c r="AD342" i="3"/>
  <c r="AD238" i="3"/>
  <c r="AD120" i="3"/>
  <c r="AD215" i="3"/>
  <c r="AJ28" i="3"/>
  <c r="Y28" i="3" s="1"/>
  <c r="AJ253" i="3"/>
  <c r="Y253" i="3" s="1"/>
  <c r="AJ78" i="3"/>
  <c r="Y78" i="3" s="1"/>
  <c r="AJ212" i="3"/>
  <c r="Y212" i="3" s="1"/>
  <c r="AJ181" i="3"/>
  <c r="Y181" i="3" s="1"/>
  <c r="AJ256" i="3"/>
  <c r="Y256" i="3" s="1"/>
  <c r="AJ294" i="3"/>
  <c r="Y294" i="3" s="1"/>
  <c r="AJ49" i="3"/>
  <c r="Y49" i="3" s="1"/>
  <c r="AJ88" i="3"/>
  <c r="Y88" i="3" s="1"/>
  <c r="AJ370" i="3"/>
  <c r="Y370" i="3" s="1"/>
  <c r="AJ245" i="3"/>
  <c r="Y245" i="3" s="1"/>
  <c r="AJ92" i="3"/>
  <c r="Y92" i="3" s="1"/>
  <c r="AJ62" i="3"/>
  <c r="Y62" i="3" s="1"/>
  <c r="AJ393" i="3"/>
  <c r="Y393" i="3" s="1"/>
  <c r="AJ204" i="3"/>
  <c r="Y204" i="3" s="1"/>
  <c r="AJ185" i="3"/>
  <c r="Y185" i="3" s="1"/>
  <c r="AJ85" i="3"/>
  <c r="Y85" i="3" s="1"/>
  <c r="AJ368" i="3"/>
  <c r="Y368" i="3" s="1"/>
  <c r="AJ284" i="3"/>
  <c r="Y284" i="3" s="1"/>
  <c r="AJ150" i="3"/>
  <c r="Y150" i="3" s="1"/>
  <c r="AJ103" i="3"/>
  <c r="Y103" i="3" s="1"/>
  <c r="AJ375" i="3"/>
  <c r="Y375" i="3" s="1"/>
  <c r="AJ219" i="3"/>
  <c r="Y219" i="3" s="1"/>
  <c r="AJ173" i="3"/>
  <c r="Y173" i="3" s="1"/>
  <c r="AJ113" i="3"/>
  <c r="Y113" i="3" s="1"/>
  <c r="AJ367" i="3"/>
  <c r="Y367" i="3" s="1"/>
  <c r="AJ211" i="3"/>
  <c r="Y211" i="3" s="1"/>
  <c r="AJ157" i="3"/>
  <c r="Y157" i="3" s="1"/>
  <c r="AJ112" i="3"/>
  <c r="Y112" i="3" s="1"/>
  <c r="AJ359" i="3"/>
  <c r="Y359" i="3" s="1"/>
  <c r="AJ203" i="3"/>
  <c r="Y203" i="3" s="1"/>
  <c r="AJ141" i="3"/>
  <c r="Y141" i="3" s="1"/>
  <c r="AJ111" i="3"/>
  <c r="Y111" i="3" s="1"/>
  <c r="AJ343" i="3"/>
  <c r="Y343" i="3" s="1"/>
  <c r="AJ340" i="3"/>
  <c r="Y340" i="3" s="1"/>
  <c r="AJ190" i="3"/>
  <c r="Y190" i="3" s="1"/>
  <c r="AJ108" i="3"/>
  <c r="Y108" i="3" s="1"/>
  <c r="AJ323" i="3"/>
  <c r="Y323" i="3" s="1"/>
  <c r="AJ208" i="3"/>
  <c r="Y208" i="3" s="1"/>
  <c r="AJ301" i="3"/>
  <c r="Y301" i="3" s="1"/>
  <c r="AJ165" i="3"/>
  <c r="Y165" i="3" s="1"/>
  <c r="AJ137" i="3"/>
  <c r="Y137" i="3" s="1"/>
  <c r="AJ48" i="3"/>
  <c r="Y48" i="3" s="1"/>
  <c r="AJ339" i="3"/>
  <c r="Y339" i="3" s="1"/>
  <c r="AJ176" i="3"/>
  <c r="Y176" i="3" s="1"/>
  <c r="AJ255" i="3"/>
  <c r="Y255" i="3" s="1"/>
  <c r="AJ73" i="3"/>
  <c r="Y73" i="3" s="1"/>
  <c r="AJ98" i="3"/>
  <c r="Y98" i="3" s="1"/>
  <c r="AJ326" i="3"/>
  <c r="Y326" i="3" s="1"/>
  <c r="AJ288" i="3"/>
  <c r="Y288" i="3" s="1"/>
  <c r="AJ324" i="3"/>
  <c r="Y324" i="3" s="1"/>
  <c r="AJ207" i="3"/>
  <c r="Y207" i="3" s="1"/>
  <c r="AJ90" i="3"/>
  <c r="Y90" i="3" s="1"/>
  <c r="AJ110" i="3"/>
  <c r="Y110" i="3" s="1"/>
  <c r="AD78" i="3"/>
  <c r="AJ403" i="3"/>
  <c r="Y403" i="3" s="1"/>
  <c r="AJ329" i="3"/>
  <c r="Y329" i="3" s="1"/>
  <c r="AJ319" i="3"/>
  <c r="Y319" i="3" s="1"/>
  <c r="AJ19" i="3"/>
  <c r="Y19" i="3" s="1"/>
  <c r="AJ14" i="3"/>
  <c r="Y14" i="3" s="1"/>
  <c r="AJ248" i="3"/>
  <c r="Y248" i="3" s="1"/>
  <c r="AJ278" i="3"/>
  <c r="Y278" i="3" s="1"/>
  <c r="AJ41" i="3"/>
  <c r="Y41" i="3" s="1"/>
  <c r="AJ80" i="3"/>
  <c r="Y80" i="3" s="1"/>
  <c r="AJ354" i="3"/>
  <c r="Y354" i="3" s="1"/>
  <c r="AJ237" i="3"/>
  <c r="Y237" i="3" s="1"/>
  <c r="AJ79" i="3"/>
  <c r="Y79" i="3" s="1"/>
  <c r="AJ46" i="3"/>
  <c r="Y46" i="3" s="1"/>
  <c r="AJ377" i="3"/>
  <c r="Y377" i="3" s="1"/>
  <c r="AJ317" i="3"/>
  <c r="Y317" i="3" s="1"/>
  <c r="AJ177" i="3"/>
  <c r="Y177" i="3" s="1"/>
  <c r="AJ69" i="3"/>
  <c r="Y69" i="3" s="1"/>
  <c r="AJ360" i="3"/>
  <c r="Y360" i="3" s="1"/>
  <c r="AJ276" i="3"/>
  <c r="Y276" i="3" s="1"/>
  <c r="AJ183" i="3"/>
  <c r="Y183" i="3" s="1"/>
  <c r="AJ101" i="3"/>
  <c r="Y101" i="3" s="1"/>
  <c r="AJ344" i="3"/>
  <c r="Y344" i="3" s="1"/>
  <c r="AJ268" i="3"/>
  <c r="Y268" i="3" s="1"/>
  <c r="AJ175" i="3"/>
  <c r="Y175" i="3" s="1"/>
  <c r="AJ99" i="3"/>
  <c r="Y99" i="3" s="1"/>
  <c r="AJ331" i="3"/>
  <c r="Y331" i="3" s="1"/>
  <c r="AJ252" i="3"/>
  <c r="Y252" i="3" s="1"/>
  <c r="AJ167" i="3"/>
  <c r="Y167" i="3" s="1"/>
  <c r="AJ97" i="3"/>
  <c r="Y97" i="3" s="1"/>
  <c r="AJ328" i="3"/>
  <c r="Y328" i="3" s="1"/>
  <c r="AJ236" i="3"/>
  <c r="Y236" i="3" s="1"/>
  <c r="AJ159" i="3"/>
  <c r="Y159" i="3" s="1"/>
  <c r="AJ96" i="3"/>
  <c r="Y96" i="3" s="1"/>
  <c r="AJ296" i="3"/>
  <c r="Y296" i="3" s="1"/>
  <c r="AJ297" i="3"/>
  <c r="Y297" i="3" s="1"/>
  <c r="AJ229" i="3"/>
  <c r="Y229" i="3" s="1"/>
  <c r="AJ158" i="3"/>
  <c r="Y158" i="3" s="1"/>
  <c r="AJ128" i="3"/>
  <c r="Y128" i="3" s="1"/>
  <c r="AJ11" i="3"/>
  <c r="Y11" i="3" s="1"/>
  <c r="AJ361" i="3"/>
  <c r="Y361" i="3" s="1"/>
  <c r="AJ227" i="3"/>
  <c r="Y227" i="3" s="1"/>
  <c r="AJ186" i="3"/>
  <c r="Y186" i="3" s="1"/>
  <c r="AJ66" i="3"/>
  <c r="Y66" i="3" s="1"/>
  <c r="AJ61" i="3"/>
  <c r="Y61" i="3" s="1"/>
  <c r="AJ357" i="3"/>
  <c r="Y357" i="3" s="1"/>
  <c r="AJ224" i="3"/>
  <c r="Y224" i="3" s="1"/>
  <c r="AJ260" i="3"/>
  <c r="Y260" i="3" s="1"/>
  <c r="AJ146" i="3"/>
  <c r="Y146" i="3" s="1"/>
  <c r="AJ33" i="3"/>
  <c r="Y33" i="3" s="1"/>
  <c r="AJ102" i="3"/>
  <c r="Y102" i="3" s="1"/>
  <c r="AD212" i="3"/>
  <c r="AD28" i="3"/>
  <c r="AJ372" i="3"/>
  <c r="Y372" i="3" s="1"/>
  <c r="AJ233" i="3"/>
  <c r="Y233" i="3" s="1"/>
  <c r="AJ231" i="3"/>
  <c r="Y231" i="3" s="1"/>
  <c r="AJ44" i="3"/>
  <c r="Y44" i="3" s="1"/>
  <c r="AJ387" i="3"/>
  <c r="Y387" i="3" s="1"/>
  <c r="AJ313" i="3"/>
  <c r="Y313" i="3" s="1"/>
  <c r="AJ311" i="3"/>
  <c r="Y311" i="3" s="1"/>
  <c r="AJ75" i="3"/>
  <c r="Y75" i="3" s="1"/>
  <c r="AJ13" i="3"/>
  <c r="Y13" i="3" s="1"/>
  <c r="AJ240" i="3"/>
  <c r="Y240" i="3" s="1"/>
  <c r="AJ254" i="3"/>
  <c r="Y254" i="3" s="1"/>
  <c r="AJ25" i="3"/>
  <c r="Y25" i="3" s="1"/>
  <c r="AJ72" i="3"/>
  <c r="Y72" i="3" s="1"/>
  <c r="AJ346" i="3"/>
  <c r="Y346" i="3" s="1"/>
  <c r="AJ221" i="3"/>
  <c r="Y221" i="3" s="1"/>
  <c r="AJ63" i="3"/>
  <c r="Y63" i="3" s="1"/>
  <c r="AJ30" i="3"/>
  <c r="Y30" i="3" s="1"/>
  <c r="AJ353" i="3"/>
  <c r="Y353" i="3" s="1"/>
  <c r="AJ309" i="3"/>
  <c r="Y309" i="3" s="1"/>
  <c r="AJ169" i="3"/>
  <c r="Y169" i="3" s="1"/>
  <c r="AJ53" i="3"/>
  <c r="Y53" i="3" s="1"/>
  <c r="AJ345" i="3"/>
  <c r="Y345" i="3" s="1"/>
  <c r="AJ293" i="3"/>
  <c r="Y293" i="3" s="1"/>
  <c r="AJ161" i="3"/>
  <c r="Y161" i="3" s="1"/>
  <c r="AJ45" i="3"/>
  <c r="Y45" i="3" s="1"/>
  <c r="AJ312" i="3"/>
  <c r="Y312" i="3" s="1"/>
  <c r="AJ277" i="3"/>
  <c r="Y277" i="3" s="1"/>
  <c r="AJ153" i="3"/>
  <c r="Y153" i="3" s="1"/>
  <c r="AJ29" i="3"/>
  <c r="Y29" i="3" s="1"/>
  <c r="AJ402" i="3"/>
  <c r="Y402" i="3" s="1"/>
  <c r="AJ269" i="3"/>
  <c r="Y269" i="3" s="1"/>
  <c r="AJ87" i="3"/>
  <c r="Y87" i="3" s="1"/>
  <c r="AJ21" i="3"/>
  <c r="Y21" i="3" s="1"/>
  <c r="AJ338" i="3"/>
  <c r="Y338" i="3" s="1"/>
  <c r="AJ225" i="3"/>
  <c r="Y225" i="3" s="1"/>
  <c r="AJ286" i="3"/>
  <c r="Y286" i="3" s="1"/>
  <c r="AJ143" i="3"/>
  <c r="Y143" i="3" s="1"/>
  <c r="AJ119" i="3"/>
  <c r="Y119" i="3" s="1"/>
  <c r="AJ371" i="3"/>
  <c r="Y371" i="3" s="1"/>
  <c r="AJ362" i="3"/>
  <c r="Y362" i="3" s="1"/>
  <c r="AJ300" i="3"/>
  <c r="Y300" i="3" s="1"/>
  <c r="AJ171" i="3"/>
  <c r="Y171" i="3" s="1"/>
  <c r="AJ67" i="3"/>
  <c r="Y67" i="3" s="1"/>
  <c r="AJ54" i="3"/>
  <c r="Y54" i="3" s="1"/>
  <c r="AJ358" i="3"/>
  <c r="Y358" i="3" s="1"/>
  <c r="AJ321" i="3"/>
  <c r="Y321" i="3" s="1"/>
  <c r="AJ160" i="3"/>
  <c r="Y160" i="3" s="1"/>
  <c r="AJ139" i="3"/>
  <c r="Y139" i="3" s="1"/>
  <c r="AJ34" i="3"/>
  <c r="Y34" i="3" s="1"/>
  <c r="AJ94" i="3"/>
  <c r="Y94" i="3" s="1"/>
  <c r="AD253" i="3"/>
  <c r="AJ373" i="3"/>
  <c r="Y373" i="3" s="1"/>
  <c r="AJ258" i="3"/>
  <c r="Y258" i="3" s="1"/>
  <c r="AJ195" i="3"/>
  <c r="Y195" i="3" s="1"/>
  <c r="AJ131" i="3"/>
  <c r="Y131" i="3" s="1"/>
  <c r="AJ364" i="3"/>
  <c r="Y364" i="3" s="1"/>
  <c r="AJ217" i="3"/>
  <c r="Y217" i="3" s="1"/>
  <c r="AJ223" i="3"/>
  <c r="Y223" i="3" s="1"/>
  <c r="AJ363" i="3"/>
  <c r="Y363" i="3" s="1"/>
  <c r="AJ305" i="3"/>
  <c r="Y305" i="3" s="1"/>
  <c r="AJ303" i="3"/>
  <c r="Y303" i="3" s="1"/>
  <c r="AJ59" i="3"/>
  <c r="Y59" i="3" s="1"/>
  <c r="AJ12" i="3"/>
  <c r="Y12" i="3" s="1"/>
  <c r="AJ232" i="3"/>
  <c r="Y232" i="3" s="1"/>
  <c r="AJ246" i="3"/>
  <c r="Y246" i="3" s="1"/>
  <c r="AJ74" i="3"/>
  <c r="Y74" i="3" s="1"/>
  <c r="AJ64" i="3"/>
  <c r="Y64" i="3" s="1"/>
  <c r="AJ335" i="3"/>
  <c r="Y335" i="3" s="1"/>
  <c r="AJ205" i="3"/>
  <c r="Y205" i="3" s="1"/>
  <c r="AJ89" i="3"/>
  <c r="Y89" i="3" s="1"/>
  <c r="AJ22" i="3"/>
  <c r="Y22" i="3" s="1"/>
  <c r="AJ325" i="3"/>
  <c r="Y325" i="3" s="1"/>
  <c r="AJ318" i="3"/>
  <c r="Y318" i="3" s="1"/>
  <c r="AJ71" i="3"/>
  <c r="Y71" i="3" s="1"/>
  <c r="AJ17" i="3"/>
  <c r="Y17" i="3" s="1"/>
  <c r="AJ315" i="3"/>
  <c r="Y315" i="3" s="1"/>
  <c r="AJ310" i="3"/>
  <c r="Y310" i="3" s="1"/>
  <c r="AJ65" i="3"/>
  <c r="Y65" i="3" s="1"/>
  <c r="AJ55" i="3"/>
  <c r="Y55" i="3" s="1"/>
  <c r="AJ272" i="3"/>
  <c r="Y272" i="3" s="1"/>
  <c r="AJ302" i="3"/>
  <c r="Y302" i="3" s="1"/>
  <c r="AJ57" i="3"/>
  <c r="Y57" i="3" s="1"/>
  <c r="AJ39" i="3"/>
  <c r="Y39" i="3" s="1"/>
  <c r="AJ351" i="3"/>
  <c r="Y351" i="3" s="1"/>
  <c r="AJ290" i="3"/>
  <c r="Y290" i="3" s="1"/>
  <c r="AJ214" i="3"/>
  <c r="Y214" i="3" s="1"/>
  <c r="AJ145" i="3"/>
  <c r="Y145" i="3" s="1"/>
  <c r="AJ109" i="3"/>
  <c r="Y109" i="3" s="1"/>
  <c r="AJ380" i="3"/>
  <c r="Y380" i="3" s="1"/>
  <c r="AJ264" i="3"/>
  <c r="Y264" i="3" s="1"/>
  <c r="AJ228" i="3"/>
  <c r="Y228" i="3" s="1"/>
  <c r="AJ164" i="3"/>
  <c r="Y164" i="3" s="1"/>
  <c r="AJ52" i="3"/>
  <c r="Y52" i="3" s="1"/>
  <c r="AJ31" i="3"/>
  <c r="Y31" i="3" s="1"/>
  <c r="AJ383" i="3"/>
  <c r="Y383" i="3" s="1"/>
  <c r="AJ257" i="3"/>
  <c r="Y257" i="3" s="1"/>
  <c r="AJ261" i="3"/>
  <c r="Y261" i="3" s="1"/>
  <c r="AJ140" i="3"/>
  <c r="Y140" i="3" s="1"/>
  <c r="AJ43" i="3"/>
  <c r="Y43" i="3" s="1"/>
  <c r="AJ37" i="3"/>
  <c r="Y37" i="3" s="1"/>
  <c r="AD181" i="3"/>
  <c r="AJ342" i="3"/>
  <c r="Y342" i="3" s="1"/>
  <c r="AJ275" i="3"/>
  <c r="Y275" i="3" s="1"/>
  <c r="AJ156" i="3"/>
  <c r="Y156" i="3" s="1"/>
  <c r="AJ120" i="3"/>
  <c r="Y120" i="3" s="1"/>
  <c r="AJ365" i="3"/>
  <c r="Y365" i="3" s="1"/>
  <c r="AJ250" i="3"/>
  <c r="Y250" i="3" s="1"/>
  <c r="AJ179" i="3"/>
  <c r="Y179" i="3" s="1"/>
  <c r="AJ130" i="3"/>
  <c r="Y130" i="3" s="1"/>
  <c r="AJ356" i="3"/>
  <c r="Y356" i="3" s="1"/>
  <c r="AJ201" i="3"/>
  <c r="Y201" i="3" s="1"/>
  <c r="AJ215" i="3"/>
  <c r="Y215" i="3" s="1"/>
  <c r="AJ20" i="3"/>
  <c r="Y20" i="3" s="1"/>
  <c r="AJ355" i="3"/>
  <c r="Y355" i="3" s="1"/>
  <c r="AJ289" i="3"/>
  <c r="Y289" i="3" s="1"/>
  <c r="AJ295" i="3"/>
  <c r="Y295" i="3" s="1"/>
  <c r="AJ51" i="3"/>
  <c r="Y51" i="3" s="1"/>
  <c r="AJ9" i="3"/>
  <c r="Y9" i="3" s="1"/>
  <c r="AJ216" i="3"/>
  <c r="Y216" i="3" s="1"/>
  <c r="AJ238" i="3"/>
  <c r="Y238" i="3" s="1"/>
  <c r="AJ58" i="3"/>
  <c r="Y58" i="3" s="1"/>
  <c r="AJ56" i="3"/>
  <c r="Y56" i="3" s="1"/>
  <c r="AJ200" i="3"/>
  <c r="Y200" i="3" s="1"/>
  <c r="AJ230" i="3"/>
  <c r="Y230" i="3" s="1"/>
  <c r="AJ50" i="3"/>
  <c r="Y50" i="3" s="1"/>
  <c r="AJ40" i="3"/>
  <c r="Y40" i="3" s="1"/>
  <c r="AJ192" i="3"/>
  <c r="Y192" i="3" s="1"/>
  <c r="AJ222" i="3"/>
  <c r="Y222" i="3" s="1"/>
  <c r="AJ42" i="3"/>
  <c r="Y42" i="3" s="1"/>
  <c r="AJ18" i="3"/>
  <c r="Y18" i="3" s="1"/>
  <c r="AJ337" i="3"/>
  <c r="Y337" i="3" s="1"/>
  <c r="AJ206" i="3"/>
  <c r="Y206" i="3" s="1"/>
  <c r="AJ26" i="3"/>
  <c r="Y26" i="3" s="1"/>
  <c r="AJ15" i="3"/>
  <c r="Y15" i="3" s="1"/>
  <c r="AJ352" i="3"/>
  <c r="Y352" i="3" s="1"/>
  <c r="AJ218" i="3"/>
  <c r="Y218" i="3" s="1"/>
  <c r="AJ279" i="3"/>
  <c r="Y279" i="3" s="1"/>
  <c r="AJ86" i="3"/>
  <c r="Y86" i="3" s="1"/>
  <c r="AJ100" i="3"/>
  <c r="Y100" i="3" s="1"/>
  <c r="AJ397" i="3"/>
  <c r="Y397" i="3" s="1"/>
  <c r="AJ197" i="3"/>
  <c r="Y197" i="3" s="1"/>
  <c r="AJ285" i="3"/>
  <c r="Y285" i="3" s="1"/>
  <c r="AJ149" i="3"/>
  <c r="Y149" i="3" s="1"/>
  <c r="AJ135" i="3"/>
  <c r="Y135" i="3" s="1"/>
  <c r="AJ24" i="3"/>
  <c r="Y24" i="3" s="1"/>
  <c r="AJ392" i="3"/>
  <c r="Y392" i="3" s="1"/>
  <c r="AJ330" i="3"/>
  <c r="Y330" i="3" s="1"/>
  <c r="AJ184" i="3"/>
  <c r="Y184" i="3" s="1"/>
  <c r="AJ198" i="3"/>
  <c r="Y198" i="3" s="1"/>
  <c r="AJ36" i="3"/>
  <c r="Y36" i="3" s="1"/>
  <c r="AJ38" i="3"/>
  <c r="Y38" i="3" s="1"/>
  <c r="AJ400" i="3"/>
  <c r="Y400" i="3" s="1"/>
  <c r="AJ332" i="3"/>
  <c r="Y332" i="3" s="1"/>
  <c r="AJ182" i="3"/>
  <c r="Y182" i="3" s="1"/>
  <c r="AJ106" i="3"/>
  <c r="Y106" i="3" s="1"/>
  <c r="AJ333" i="3"/>
  <c r="Y333" i="3" s="1"/>
  <c r="AJ267" i="3"/>
  <c r="Y267" i="3" s="1"/>
  <c r="AJ148" i="3"/>
  <c r="Y148" i="3" s="1"/>
  <c r="AJ117" i="3"/>
  <c r="Y117" i="3" s="1"/>
  <c r="AJ349" i="3"/>
  <c r="Y349" i="3" s="1"/>
  <c r="AJ242" i="3"/>
  <c r="Y242" i="3" s="1"/>
  <c r="AJ163" i="3"/>
  <c r="Y163" i="3" s="1"/>
  <c r="AJ129" i="3"/>
  <c r="Y129" i="3" s="1"/>
  <c r="AJ348" i="3"/>
  <c r="Y348" i="3" s="1"/>
  <c r="AJ322" i="3"/>
  <c r="Y322" i="3" s="1"/>
  <c r="AJ194" i="3"/>
  <c r="Y194" i="3" s="1"/>
  <c r="AJ16" i="3"/>
  <c r="Y16" i="3" s="1"/>
  <c r="AJ347" i="3"/>
  <c r="Y347" i="3" s="1"/>
  <c r="AJ273" i="3"/>
  <c r="Y273" i="3" s="1"/>
  <c r="AJ287" i="3"/>
  <c r="Y287" i="3" s="1"/>
  <c r="AJ35" i="3"/>
  <c r="Y35" i="3" s="1"/>
  <c r="AJ336" i="3"/>
  <c r="Y336" i="3" s="1"/>
  <c r="AJ265" i="3"/>
  <c r="Y265" i="3" s="1"/>
  <c r="AJ263" i="3"/>
  <c r="Y263" i="3" s="1"/>
  <c r="AJ27" i="3"/>
  <c r="Y27" i="3" s="1"/>
  <c r="AJ320" i="3"/>
  <c r="Y320" i="3" s="1"/>
  <c r="AJ249" i="3"/>
  <c r="Y249" i="3" s="1"/>
  <c r="AJ247" i="3"/>
  <c r="Y247" i="3" s="1"/>
  <c r="AJ76" i="3"/>
  <c r="Y76" i="3" s="1"/>
  <c r="AJ388" i="3"/>
  <c r="Y388" i="3" s="1"/>
  <c r="AJ241" i="3"/>
  <c r="Y241" i="3" s="1"/>
  <c r="AJ239" i="3"/>
  <c r="Y239" i="3" s="1"/>
  <c r="AJ60" i="3"/>
  <c r="Y60" i="3" s="1"/>
  <c r="AJ7" i="3"/>
  <c r="Y7" i="3" s="1"/>
  <c r="AJ385" i="3"/>
  <c r="Y385" i="3" s="1"/>
  <c r="AJ251" i="3"/>
  <c r="Y251" i="3" s="1"/>
  <c r="AJ168" i="3"/>
  <c r="Y168" i="3" s="1"/>
  <c r="AJ82" i="3"/>
  <c r="Y82" i="3" s="1"/>
  <c r="AJ77" i="3"/>
  <c r="Y77" i="3" s="1"/>
  <c r="AJ390" i="3"/>
  <c r="Y390" i="3" s="1"/>
  <c r="AJ281" i="3"/>
  <c r="Y281" i="3" s="1"/>
  <c r="AJ213" i="3"/>
  <c r="Y213" i="3" s="1"/>
  <c r="AJ142" i="3"/>
  <c r="Y142" i="3" s="1"/>
  <c r="AJ125" i="3"/>
  <c r="Y125" i="3" s="1"/>
  <c r="AJ8" i="3"/>
  <c r="Y8" i="3" s="1"/>
  <c r="AJ334" i="3"/>
  <c r="Y334" i="3" s="1"/>
  <c r="AJ266" i="3"/>
  <c r="Y266" i="3" s="1"/>
  <c r="AJ262" i="3"/>
  <c r="Y262" i="3" s="1"/>
  <c r="AJ191" i="3"/>
  <c r="Y191" i="3" s="1"/>
  <c r="AJ134" i="3"/>
  <c r="Y134" i="3" s="1"/>
  <c r="AJ23" i="3"/>
  <c r="Y23" i="3" s="1"/>
  <c r="AJ307" i="3"/>
  <c r="Y307" i="3" s="1"/>
  <c r="AJ220" i="3"/>
  <c r="Y220" i="3" s="1"/>
  <c r="AJ151" i="3"/>
  <c r="Y151" i="3" s="1"/>
  <c r="AJ95" i="3"/>
  <c r="Y95" i="3" s="1"/>
  <c r="AJ384" i="3"/>
  <c r="Y384" i="3" s="1"/>
  <c r="AJ308" i="3"/>
  <c r="Y308" i="3" s="1"/>
  <c r="AJ174" i="3"/>
  <c r="Y174" i="3" s="1"/>
  <c r="AJ105" i="3"/>
  <c r="Y105" i="3" s="1"/>
  <c r="AJ399" i="3"/>
  <c r="Y399" i="3" s="1"/>
  <c r="AJ259" i="3"/>
  <c r="Y259" i="3" s="1"/>
  <c r="AJ189" i="3"/>
  <c r="Y189" i="3" s="1"/>
  <c r="AJ115" i="3"/>
  <c r="Y115" i="3" s="1"/>
  <c r="AJ398" i="3"/>
  <c r="Y398" i="3" s="1"/>
  <c r="AJ234" i="3"/>
  <c r="Y234" i="3" s="1"/>
  <c r="AJ155" i="3"/>
  <c r="Y155" i="3" s="1"/>
  <c r="AJ127" i="3"/>
  <c r="Y127" i="3" s="1"/>
  <c r="AJ341" i="3"/>
  <c r="Y341" i="3" s="1"/>
  <c r="AJ314" i="3"/>
  <c r="Y314" i="3" s="1"/>
  <c r="AJ178" i="3"/>
  <c r="Y178" i="3" s="1"/>
  <c r="AJ138" i="3"/>
  <c r="Y138" i="3" s="1"/>
  <c r="AJ405" i="3"/>
  <c r="Y405" i="3" s="1"/>
  <c r="AJ306" i="3"/>
  <c r="Y306" i="3" s="1"/>
  <c r="AJ170" i="3"/>
  <c r="Y170" i="3" s="1"/>
  <c r="AJ136" i="3"/>
  <c r="Y136" i="3" s="1"/>
  <c r="AJ389" i="3"/>
  <c r="Y389" i="3" s="1"/>
  <c r="AJ298" i="3"/>
  <c r="Y298" i="3" s="1"/>
  <c r="AJ162" i="3"/>
  <c r="Y162" i="3" s="1"/>
  <c r="AJ133" i="3"/>
  <c r="Y133" i="3" s="1"/>
  <c r="AJ381" i="3"/>
  <c r="Y381" i="3" s="1"/>
  <c r="AJ282" i="3"/>
  <c r="Y282" i="3" s="1"/>
  <c r="AJ154" i="3"/>
  <c r="Y154" i="3" s="1"/>
  <c r="AJ132" i="3"/>
  <c r="Y132" i="3" s="1"/>
  <c r="AJ395" i="3"/>
  <c r="Y395" i="3" s="1"/>
  <c r="AJ386" i="3"/>
  <c r="Y386" i="3" s="1"/>
  <c r="AJ316" i="3"/>
  <c r="Y316" i="3" s="1"/>
  <c r="AJ187" i="3"/>
  <c r="Y187" i="3" s="1"/>
  <c r="AJ83" i="3"/>
  <c r="Y83" i="3" s="1"/>
  <c r="AJ70" i="3"/>
  <c r="Y70" i="3" s="1"/>
  <c r="AJ299" i="3"/>
  <c r="Y299" i="3" s="1"/>
  <c r="AJ209" i="3"/>
  <c r="Y209" i="3" s="1"/>
  <c r="AJ270" i="3"/>
  <c r="Y270" i="3" s="1"/>
  <c r="AJ193" i="3"/>
  <c r="Y193" i="3" s="1"/>
  <c r="AJ116" i="3"/>
  <c r="Y116" i="3" s="1"/>
  <c r="AJ379" i="3"/>
  <c r="Y379" i="3" s="1"/>
  <c r="AJ369" i="3"/>
  <c r="Y369" i="3" s="1"/>
  <c r="AJ202" i="3"/>
  <c r="Y202" i="3" s="1"/>
  <c r="AJ199" i="3"/>
  <c r="Y199" i="3" s="1"/>
  <c r="AJ144" i="3"/>
  <c r="Y144" i="3" s="1"/>
  <c r="AJ126" i="3"/>
  <c r="Y126" i="3" s="1"/>
  <c r="AJ32" i="3"/>
  <c r="Y32" i="3" s="1"/>
  <c r="AJ394" i="3"/>
  <c r="Y394" i="3" s="1"/>
  <c r="AJ81" i="3"/>
  <c r="Y81" i="3" s="1"/>
  <c r="AJ401" i="3"/>
  <c r="Y401" i="3" s="1"/>
  <c r="AJ152" i="3"/>
  <c r="Y152" i="3" s="1"/>
  <c r="AJ93" i="3"/>
  <c r="Y93" i="3" s="1"/>
  <c r="AJ376" i="3"/>
  <c r="Y376" i="3" s="1"/>
  <c r="AJ292" i="3"/>
  <c r="Y292" i="3" s="1"/>
  <c r="AJ166" i="3"/>
  <c r="Y166" i="3" s="1"/>
  <c r="AJ104" i="3"/>
  <c r="Y104" i="3" s="1"/>
  <c r="AJ391" i="3"/>
  <c r="Y391" i="3" s="1"/>
  <c r="AJ235" i="3"/>
  <c r="Y235" i="3" s="1"/>
  <c r="AJ114" i="3"/>
  <c r="Y114" i="3" s="1"/>
  <c r="AJ382" i="3"/>
  <c r="Y382" i="3" s="1"/>
  <c r="AJ226" i="3"/>
  <c r="Y226" i="3" s="1"/>
  <c r="AJ147" i="3"/>
  <c r="Y147" i="3" s="1"/>
  <c r="AJ124" i="3"/>
  <c r="Y124" i="3" s="1"/>
  <c r="AJ374" i="3"/>
  <c r="Y374" i="3" s="1"/>
  <c r="AJ210" i="3"/>
  <c r="Y210" i="3" s="1"/>
  <c r="AJ196" i="3"/>
  <c r="Y196" i="3" s="1"/>
  <c r="AJ123" i="3"/>
  <c r="Y123" i="3" s="1"/>
  <c r="AJ366" i="3"/>
  <c r="Y366" i="3" s="1"/>
  <c r="AJ291" i="3"/>
  <c r="Y291" i="3" s="1"/>
  <c r="AJ188" i="3"/>
  <c r="Y188" i="3" s="1"/>
  <c r="AJ122" i="3"/>
  <c r="Y122" i="3" s="1"/>
  <c r="AJ350" i="3"/>
  <c r="Y350" i="3" s="1"/>
  <c r="AJ283" i="3"/>
  <c r="Y283" i="3" s="1"/>
  <c r="AJ172" i="3"/>
  <c r="Y172" i="3" s="1"/>
  <c r="AJ121" i="3"/>
  <c r="Y121" i="3" s="1"/>
  <c r="AJ404" i="3"/>
  <c r="Y404" i="3" s="1"/>
  <c r="AJ280" i="3"/>
  <c r="Y280" i="3" s="1"/>
  <c r="AJ244" i="3"/>
  <c r="Y244" i="3" s="1"/>
  <c r="AJ180" i="3"/>
  <c r="Y180" i="3" s="1"/>
  <c r="AJ68" i="3"/>
  <c r="Y68" i="3" s="1"/>
  <c r="AJ47" i="3"/>
  <c r="Y47" i="3" s="1"/>
  <c r="AJ304" i="3"/>
  <c r="Y304" i="3" s="1"/>
  <c r="AJ274" i="3"/>
  <c r="Y274" i="3" s="1"/>
  <c r="AJ327" i="3"/>
  <c r="Y327" i="3" s="1"/>
  <c r="AJ84" i="3"/>
  <c r="Y84" i="3" s="1"/>
  <c r="AJ107" i="3"/>
  <c r="Y107" i="3" s="1"/>
  <c r="AJ396" i="3"/>
  <c r="Y396" i="3" s="1"/>
  <c r="AJ378" i="3"/>
  <c r="Y378" i="3" s="1"/>
  <c r="AJ243" i="3"/>
  <c r="Y243" i="3" s="1"/>
  <c r="AJ271" i="3"/>
  <c r="Y271" i="3" s="1"/>
  <c r="AJ91" i="3"/>
  <c r="Y91" i="3" s="1"/>
  <c r="AJ118" i="3"/>
  <c r="Y118" i="3" s="1"/>
  <c r="AJ10" i="3"/>
  <c r="Y10" i="3" s="1"/>
  <c r="AJ593" i="3"/>
  <c r="Y593" i="3" s="1"/>
  <c r="AJ1203" i="3"/>
  <c r="AJ595" i="3"/>
  <c r="Y595" i="3" s="1"/>
  <c r="AJ1119" i="3"/>
  <c r="Y1119" i="3" s="1"/>
  <c r="AJ505" i="3"/>
  <c r="Y505" i="3" s="1"/>
  <c r="AJ1404" i="3"/>
  <c r="AJ1335" i="3"/>
  <c r="AJ944" i="3"/>
  <c r="Y944" i="3" s="1"/>
  <c r="AJ801" i="3"/>
  <c r="Y801" i="3" s="1"/>
  <c r="AJ683" i="3"/>
  <c r="Y683" i="3" s="1"/>
  <c r="AJ763" i="3"/>
  <c r="Y763" i="3" s="1"/>
  <c r="AD1105" i="3"/>
  <c r="AD1104" i="3"/>
  <c r="AD1101" i="3"/>
  <c r="AJ968" i="3"/>
  <c r="Y968" i="3" s="1"/>
  <c r="AJ849" i="3"/>
  <c r="Y849" i="3" s="1"/>
  <c r="AJ674" i="3"/>
  <c r="Y674" i="3" s="1"/>
  <c r="AJ686" i="3"/>
  <c r="Y686" i="3" s="1"/>
  <c r="AJ951" i="3"/>
  <c r="Y951" i="3" s="1"/>
  <c r="AJ1161" i="3"/>
  <c r="Y1161" i="3" s="1"/>
  <c r="AJ1038" i="3"/>
  <c r="Y1038" i="3" s="1"/>
  <c r="AJ612" i="3"/>
  <c r="Y612" i="3" s="1"/>
  <c r="AJ1443" i="3"/>
  <c r="AJ1412" i="3"/>
  <c r="AJ1086" i="3"/>
  <c r="Y1086" i="3" s="1"/>
  <c r="AJ1158" i="3"/>
  <c r="Y1158" i="3" s="1"/>
  <c r="AJ423" i="3"/>
  <c r="Y423" i="3" s="1"/>
  <c r="AJ574" i="3"/>
  <c r="Y574" i="3" s="1"/>
  <c r="AJ736" i="3"/>
  <c r="Y736" i="3" s="1"/>
  <c r="AJ894" i="3"/>
  <c r="Y894" i="3" s="1"/>
  <c r="AJ503" i="3"/>
  <c r="Y503" i="3" s="1"/>
  <c r="AJ876" i="3"/>
  <c r="Y876" i="3" s="1"/>
  <c r="AJ854" i="3"/>
  <c r="Y854" i="3" s="1"/>
  <c r="AJ855" i="3"/>
  <c r="Y855" i="3" s="1"/>
  <c r="AJ622" i="3"/>
  <c r="Y622" i="3" s="1"/>
  <c r="AJ1260" i="3"/>
  <c r="AJ1146" i="3"/>
  <c r="Y1146" i="3" s="1"/>
  <c r="AJ812" i="3"/>
  <c r="Y812" i="3" s="1"/>
  <c r="AJ424" i="3"/>
  <c r="Y424" i="3" s="1"/>
  <c r="AJ790" i="3"/>
  <c r="Y790" i="3" s="1"/>
  <c r="AJ649" i="3"/>
  <c r="Y649" i="3" s="1"/>
  <c r="AJ1064" i="3"/>
  <c r="Y1064" i="3" s="1"/>
  <c r="AJ934" i="3"/>
  <c r="Y934" i="3" s="1"/>
  <c r="AJ568" i="3"/>
  <c r="Y568" i="3" s="1"/>
  <c r="AJ995" i="3"/>
  <c r="Y995" i="3" s="1"/>
  <c r="AJ638" i="3"/>
  <c r="Y638" i="3" s="1"/>
  <c r="AJ1136" i="3"/>
  <c r="Y1136" i="3" s="1"/>
  <c r="AJ845" i="3"/>
  <c r="Y845" i="3" s="1"/>
  <c r="AJ1399" i="3"/>
  <c r="AJ1235" i="3"/>
  <c r="AJ878" i="3"/>
  <c r="Y878" i="3" s="1"/>
  <c r="AJ1394" i="3"/>
  <c r="AJ487" i="3"/>
  <c r="Y487" i="3" s="1"/>
  <c r="AJ482" i="3"/>
  <c r="Y482" i="3" s="1"/>
  <c r="AJ722" i="3"/>
  <c r="Y722" i="3" s="1"/>
  <c r="AJ810" i="3"/>
  <c r="Y810" i="3" s="1"/>
  <c r="AJ1210" i="3"/>
  <c r="AJ511" i="3"/>
  <c r="Y511" i="3" s="1"/>
  <c r="AJ562" i="3"/>
  <c r="Y562" i="3" s="1"/>
  <c r="AJ1207" i="3"/>
  <c r="AJ1362" i="3"/>
  <c r="AJ1131" i="3"/>
  <c r="Y1131" i="3" s="1"/>
  <c r="AJ625" i="3"/>
  <c r="Y625" i="3" s="1"/>
  <c r="AJ1015" i="3"/>
  <c r="Y1015" i="3" s="1"/>
  <c r="AJ551" i="3"/>
  <c r="Y551" i="3" s="1"/>
  <c r="AJ1065" i="3"/>
  <c r="Y1065" i="3" s="1"/>
  <c r="AJ1351" i="3"/>
  <c r="AJ1295" i="3"/>
  <c r="AJ899" i="3"/>
  <c r="Y899" i="3" s="1"/>
  <c r="AJ813" i="3"/>
  <c r="Y813" i="3" s="1"/>
  <c r="AJ1078" i="3"/>
  <c r="Y1078" i="3" s="1"/>
  <c r="AJ1188" i="3"/>
  <c r="AJ905" i="3"/>
  <c r="Y905" i="3" s="1"/>
  <c r="AJ851" i="3"/>
  <c r="Y851" i="3" s="1"/>
  <c r="AJ587" i="3"/>
  <c r="Y587" i="3" s="1"/>
  <c r="AJ1194" i="3"/>
  <c r="AJ953" i="3"/>
  <c r="Y953" i="3" s="1"/>
  <c r="AJ918" i="3"/>
  <c r="Y918" i="3" s="1"/>
  <c r="AJ880" i="3"/>
  <c r="Y880" i="3" s="1"/>
  <c r="AJ815" i="3"/>
  <c r="Y815" i="3" s="1"/>
  <c r="AJ1117" i="3"/>
  <c r="Y1117" i="3" s="1"/>
  <c r="AJ962" i="3"/>
  <c r="Y962" i="3" s="1"/>
  <c r="AJ957" i="3"/>
  <c r="Y957" i="3" s="1"/>
  <c r="AJ580" i="3"/>
  <c r="Y580" i="3" s="1"/>
  <c r="AJ1324" i="3"/>
  <c r="AJ1137" i="3"/>
  <c r="Y1137" i="3" s="1"/>
  <c r="AJ983" i="3"/>
  <c r="Y983" i="3" s="1"/>
  <c r="AJ846" i="3"/>
  <c r="Y846" i="3" s="1"/>
  <c r="AJ437" i="3"/>
  <c r="Y437" i="3" s="1"/>
  <c r="AJ789" i="3"/>
  <c r="Y789" i="3" s="1"/>
  <c r="AJ752" i="3"/>
  <c r="Y752" i="3" s="1"/>
  <c r="AJ699" i="3"/>
  <c r="Y699" i="3" s="1"/>
  <c r="AJ711" i="3"/>
  <c r="Y711" i="3" s="1"/>
  <c r="AJ605" i="3"/>
  <c r="Y605" i="3" s="1"/>
  <c r="AJ440" i="3"/>
  <c r="Y440" i="3" s="1"/>
  <c r="AJ1319" i="3"/>
  <c r="AJ1229" i="3"/>
  <c r="AJ1425" i="3"/>
  <c r="AJ830" i="3"/>
  <c r="Y830" i="3" s="1"/>
  <c r="AJ1103" i="3"/>
  <c r="Y1103" i="3" s="1"/>
  <c r="AJ1245" i="3"/>
  <c r="AJ1155" i="3"/>
  <c r="Y1155" i="3" s="1"/>
  <c r="AJ1467" i="3"/>
  <c r="AJ1220" i="3"/>
  <c r="AJ1285" i="3"/>
  <c r="AJ1010" i="3"/>
  <c r="Y1010" i="3" s="1"/>
  <c r="AJ927" i="3"/>
  <c r="Y927" i="3" s="1"/>
  <c r="AJ1347" i="3"/>
  <c r="AJ1206" i="3"/>
  <c r="AJ1182" i="3"/>
  <c r="AJ1170" i="3"/>
  <c r="Y1170" i="3" s="1"/>
  <c r="AJ492" i="3"/>
  <c r="Y492" i="3" s="1"/>
  <c r="AJ748" i="3"/>
  <c r="Y748" i="3" s="1"/>
  <c r="AJ463" i="3"/>
  <c r="Y463" i="3" s="1"/>
  <c r="AJ1093" i="3"/>
  <c r="Y1093" i="3" s="1"/>
  <c r="AJ911" i="3"/>
  <c r="Y911" i="3" s="1"/>
  <c r="AJ850" i="3"/>
  <c r="Y850" i="3" s="1"/>
  <c r="AJ910" i="3"/>
  <c r="Y910" i="3" s="1"/>
  <c r="AJ725" i="3"/>
  <c r="Y725" i="3" s="1"/>
  <c r="AJ688" i="3"/>
  <c r="Y688" i="3" s="1"/>
  <c r="AJ796" i="3"/>
  <c r="Y796" i="3" s="1"/>
  <c r="AJ515" i="3"/>
  <c r="Y515" i="3" s="1"/>
  <c r="AJ647" i="3"/>
  <c r="Y647" i="3" s="1"/>
  <c r="AJ449" i="3"/>
  <c r="Y449" i="3" s="1"/>
  <c r="AJ1403" i="3"/>
  <c r="AJ1368" i="3"/>
  <c r="AJ940" i="3"/>
  <c r="Y940" i="3" s="1"/>
  <c r="AJ742" i="3"/>
  <c r="Y742" i="3" s="1"/>
  <c r="AJ493" i="3"/>
  <c r="Y493" i="3" s="1"/>
  <c r="AJ741" i="3"/>
  <c r="Y741" i="3" s="1"/>
  <c r="AJ407" i="3"/>
  <c r="Y407" i="3" s="1"/>
  <c r="AJ418" i="3"/>
  <c r="Y418" i="3" s="1"/>
  <c r="AJ659" i="3"/>
  <c r="Y659" i="3" s="1"/>
  <c r="AJ1068" i="3"/>
  <c r="Y1068" i="3" s="1"/>
  <c r="AJ1138" i="3"/>
  <c r="Y1138" i="3" s="1"/>
  <c r="AJ1242" i="3"/>
  <c r="AJ1171" i="3"/>
  <c r="Y1171" i="3" s="1"/>
  <c r="AJ589" i="3"/>
  <c r="Y589" i="3" s="1"/>
  <c r="AJ1053" i="3"/>
  <c r="Y1053" i="3" s="1"/>
  <c r="AJ1189" i="3"/>
  <c r="AJ1045" i="3"/>
  <c r="Y1045" i="3" s="1"/>
  <c r="AJ422" i="3"/>
  <c r="Y422" i="3" s="1"/>
  <c r="AJ1345" i="3"/>
  <c r="AJ961" i="3"/>
  <c r="Y961" i="3" s="1"/>
  <c r="AJ1445" i="3"/>
  <c r="AJ1402" i="3"/>
  <c r="AJ936" i="3"/>
  <c r="Y936" i="3" s="1"/>
  <c r="AJ766" i="3"/>
  <c r="Y766" i="3" s="1"/>
  <c r="AJ1277" i="3"/>
  <c r="AJ779" i="3"/>
  <c r="Y779" i="3" s="1"/>
  <c r="AJ453" i="3"/>
  <c r="Y453" i="3" s="1"/>
  <c r="AJ640" i="3"/>
  <c r="Y640" i="3" s="1"/>
  <c r="AJ656" i="3"/>
  <c r="Y656" i="3" s="1"/>
  <c r="AJ1469" i="3"/>
  <c r="AJ603" i="3"/>
  <c r="Y603" i="3" s="1"/>
  <c r="AJ835" i="3"/>
  <c r="Y835" i="3" s="1"/>
  <c r="AJ788" i="3"/>
  <c r="Y788" i="3" s="1"/>
  <c r="AJ494" i="3"/>
  <c r="Y494" i="3" s="1"/>
  <c r="AJ442" i="3"/>
  <c r="Y442" i="3" s="1"/>
  <c r="AJ1303" i="3"/>
  <c r="AJ1272" i="3"/>
  <c r="AJ1415" i="3"/>
  <c r="AJ1281" i="3"/>
  <c r="AJ1052" i="3"/>
  <c r="Y1052" i="3" s="1"/>
  <c r="AJ1187" i="3"/>
  <c r="AJ1152" i="3"/>
  <c r="Y1152" i="3" s="1"/>
  <c r="AJ1099" i="3"/>
  <c r="Y1099" i="3" s="1"/>
  <c r="AJ834" i="3"/>
  <c r="Y834" i="3" s="1"/>
  <c r="AJ623" i="3"/>
  <c r="Y623" i="3" s="1"/>
  <c r="AJ552" i="3"/>
  <c r="Y552" i="3" s="1"/>
  <c r="AJ1274" i="3"/>
  <c r="AJ949" i="3"/>
  <c r="Y949" i="3" s="1"/>
  <c r="AJ890" i="3"/>
  <c r="Y890" i="3" s="1"/>
  <c r="AJ702" i="3"/>
  <c r="Y702" i="3" s="1"/>
  <c r="AJ745" i="3"/>
  <c r="Y745" i="3" s="1"/>
  <c r="AJ700" i="3"/>
  <c r="Y700" i="3" s="1"/>
  <c r="AJ694" i="3"/>
  <c r="Y694" i="3" s="1"/>
  <c r="AJ610" i="3"/>
  <c r="Y610" i="3" s="1"/>
  <c r="AJ868" i="3"/>
  <c r="Y868" i="3" s="1"/>
  <c r="AJ724" i="3"/>
  <c r="Y724" i="3" s="1"/>
  <c r="AJ535" i="3"/>
  <c r="Y535" i="3" s="1"/>
  <c r="AJ430" i="3"/>
  <c r="Y430" i="3" s="1"/>
  <c r="AJ1251" i="3"/>
  <c r="AJ1354" i="3"/>
  <c r="AJ1047" i="3"/>
  <c r="Y1047" i="3" s="1"/>
  <c r="AJ598" i="3"/>
  <c r="Y598" i="3" s="1"/>
  <c r="AJ689" i="3"/>
  <c r="Y689" i="3" s="1"/>
  <c r="AJ1075" i="3"/>
  <c r="Y1075" i="3" s="1"/>
  <c r="AJ740" i="3"/>
  <c r="Y740" i="3" s="1"/>
  <c r="AJ743" i="3"/>
  <c r="Y743" i="3" s="1"/>
  <c r="AJ571" i="3"/>
  <c r="Y571" i="3" s="1"/>
  <c r="AJ544" i="3"/>
  <c r="Y544" i="3" s="1"/>
  <c r="AJ480" i="3"/>
  <c r="Y480" i="3" s="1"/>
  <c r="AJ620" i="3"/>
  <c r="Y620" i="3" s="1"/>
  <c r="AJ804" i="3"/>
  <c r="Y804" i="3" s="1"/>
  <c r="AJ713" i="3"/>
  <c r="Y713" i="3" s="1"/>
  <c r="AJ630" i="3"/>
  <c r="Y630" i="3" s="1"/>
  <c r="AJ452" i="3"/>
  <c r="Y452" i="3" s="1"/>
  <c r="AJ974" i="3"/>
  <c r="Y974" i="3" s="1"/>
  <c r="AJ775" i="3"/>
  <c r="Y775" i="3" s="1"/>
  <c r="L7" i="1"/>
  <c r="M7" i="1" s="1"/>
  <c r="N7" i="1" s="1"/>
  <c r="AJ1219" i="3"/>
  <c r="AJ1299" i="3"/>
  <c r="AJ821" i="3"/>
  <c r="Y821" i="3" s="1"/>
  <c r="AJ483" i="3"/>
  <c r="Y483" i="3" s="1"/>
  <c r="L15" i="1"/>
  <c r="M15" i="1" s="1"/>
  <c r="N15" i="1" s="1"/>
  <c r="AJ564" i="3"/>
  <c r="Y564" i="3" s="1"/>
  <c r="AJ1097" i="3"/>
  <c r="Y1097" i="3" s="1"/>
  <c r="AJ1372" i="3"/>
  <c r="AJ1073" i="3"/>
  <c r="Y1073" i="3" s="1"/>
  <c r="AJ871" i="3"/>
  <c r="Y871" i="3" s="1"/>
  <c r="L12" i="1"/>
  <c r="M12" i="1" s="1"/>
  <c r="N12" i="1" s="1"/>
  <c r="AJ578" i="3"/>
  <c r="Y578" i="3" s="1"/>
  <c r="AJ1193" i="3"/>
  <c r="AJ764" i="3"/>
  <c r="Y764" i="3" s="1"/>
  <c r="AD1001" i="3"/>
  <c r="AD801" i="3"/>
  <c r="AD763" i="3"/>
  <c r="AD1062" i="3"/>
  <c r="AD944" i="3"/>
  <c r="AD697" i="3"/>
  <c r="AD494" i="3"/>
  <c r="AD1081" i="3"/>
  <c r="AD948" i="3"/>
  <c r="AD831" i="3"/>
  <c r="AD595" i="3"/>
  <c r="AD1095" i="3"/>
  <c r="AD937" i="3"/>
  <c r="AD826" i="3"/>
  <c r="AD683" i="3"/>
  <c r="AD1067" i="3"/>
  <c r="AD1048" i="3"/>
  <c r="AD672" i="3"/>
  <c r="AD1061" i="3"/>
  <c r="AD1039" i="3"/>
  <c r="AD663" i="3"/>
  <c r="AD593" i="3"/>
  <c r="AD1034" i="3"/>
  <c r="AD867" i="3"/>
  <c r="AD716" i="3"/>
  <c r="AD505" i="3"/>
  <c r="AD997" i="3"/>
  <c r="AD816" i="3"/>
  <c r="AD548" i="3"/>
  <c r="AD489" i="3"/>
  <c r="AD922" i="3"/>
  <c r="AD909" i="3"/>
  <c r="AD888" i="3"/>
  <c r="AD870" i="3"/>
  <c r="AD703" i="3"/>
  <c r="AD650" i="3"/>
  <c r="AD643" i="3"/>
  <c r="AD540" i="3"/>
  <c r="AD522" i="3"/>
  <c r="AD481" i="3"/>
  <c r="AD1042" i="3"/>
  <c r="AD1029" i="3"/>
  <c r="AD1016" i="3"/>
  <c r="AD893" i="3"/>
  <c r="AD670" i="3"/>
  <c r="AD770" i="3"/>
  <c r="AD717" i="3"/>
  <c r="AD563" i="3"/>
  <c r="AD536" i="3"/>
  <c r="AD455" i="3"/>
  <c r="AD673" i="3"/>
  <c r="AD773" i="3"/>
  <c r="AD538" i="3"/>
  <c r="AD592" i="3"/>
  <c r="AD406" i="3"/>
  <c r="AD947" i="3"/>
  <c r="AD926" i="3"/>
  <c r="AD842" i="3"/>
  <c r="AD823" i="3"/>
  <c r="AD704" i="3"/>
  <c r="AD651" i="3"/>
  <c r="AD624" i="3"/>
  <c r="AD606" i="3"/>
  <c r="AD485" i="3"/>
  <c r="AD498" i="3"/>
  <c r="AD1069" i="3"/>
  <c r="AD921" i="3"/>
  <c r="AD908" i="3"/>
  <c r="AD1056" i="3"/>
  <c r="AD836" i="3"/>
  <c r="AD710" i="3"/>
  <c r="AD657" i="3"/>
  <c r="AD757" i="3"/>
  <c r="AD517" i="3"/>
  <c r="AD576" i="3"/>
  <c r="AD495" i="3"/>
  <c r="AD491" i="3"/>
  <c r="AD1051" i="3"/>
  <c r="AD1030" i="3"/>
  <c r="AD857" i="3"/>
  <c r="AD822" i="3"/>
  <c r="AD655" i="3"/>
  <c r="AD755" i="3"/>
  <c r="AD637" i="3"/>
  <c r="AD597" i="3"/>
  <c r="AD460" i="3"/>
  <c r="AD433" i="3"/>
  <c r="AD994" i="3"/>
  <c r="AD827" i="3"/>
  <c r="AD652" i="3"/>
  <c r="AD977" i="3"/>
  <c r="AD874" i="3"/>
  <c r="AD747" i="3"/>
  <c r="AD488" i="3"/>
  <c r="AD933" i="3"/>
  <c r="AD750" i="3"/>
  <c r="AD541" i="3"/>
  <c r="AD930" i="3"/>
  <c r="AD852" i="3"/>
  <c r="AD733" i="3"/>
  <c r="AD1076" i="3"/>
  <c r="AD889" i="3"/>
  <c r="AD738" i="3"/>
  <c r="AD1032" i="3"/>
  <c r="AD648" i="3"/>
  <c r="AD469" i="3"/>
  <c r="AD1080" i="3"/>
  <c r="AD1043" i="3"/>
  <c r="AD885" i="3"/>
  <c r="AD608" i="3"/>
  <c r="AD419" i="3"/>
  <c r="AD1074" i="3"/>
  <c r="AD998" i="3"/>
  <c r="AD791" i="3"/>
  <c r="AD599" i="3"/>
  <c r="AD425" i="3"/>
  <c r="AD1035" i="3"/>
  <c r="AD1014" i="3"/>
  <c r="AD841" i="3"/>
  <c r="AD806" i="3"/>
  <c r="AD792" i="3"/>
  <c r="AD739" i="3"/>
  <c r="AD635" i="3"/>
  <c r="AD581" i="3"/>
  <c r="AD444" i="3"/>
  <c r="AD417" i="3"/>
  <c r="AD978" i="3"/>
  <c r="AD965" i="3"/>
  <c r="AD952" i="3"/>
  <c r="AD829" i="3"/>
  <c r="AD759" i="3"/>
  <c r="AD706" i="3"/>
  <c r="AD653" i="3"/>
  <c r="AD596" i="3"/>
  <c r="AD577" i="3"/>
  <c r="AD456" i="3"/>
  <c r="AD762" i="3"/>
  <c r="AD709" i="3"/>
  <c r="AD555" i="3"/>
  <c r="AD528" i="3"/>
  <c r="AD447" i="3"/>
  <c r="AD1057" i="3"/>
  <c r="AD1044" i="3"/>
  <c r="AD1031" i="3"/>
  <c r="AD883" i="3"/>
  <c r="AD848" i="3"/>
  <c r="AD793" i="3"/>
  <c r="AD732" i="3"/>
  <c r="AD616" i="3"/>
  <c r="AD542" i="3"/>
  <c r="AD421" i="3"/>
  <c r="AD434" i="3"/>
  <c r="AD1018" i="3"/>
  <c r="AD1005" i="3"/>
  <c r="AD992" i="3"/>
  <c r="AD869" i="3"/>
  <c r="AD646" i="3"/>
  <c r="AD746" i="3"/>
  <c r="AD693" i="3"/>
  <c r="AD539" i="3"/>
  <c r="AD506" i="3"/>
  <c r="AD431" i="3"/>
  <c r="AD427" i="3"/>
  <c r="AD987" i="3"/>
  <c r="AD966" i="3"/>
  <c r="AD882" i="3"/>
  <c r="AD863" i="3"/>
  <c r="AD744" i="3"/>
  <c r="AD691" i="3"/>
  <c r="AD629" i="3"/>
  <c r="AD533" i="3"/>
  <c r="AD461" i="3"/>
  <c r="AD474" i="3"/>
  <c r="L13" i="1"/>
  <c r="M13" i="1" s="1"/>
  <c r="N13" i="1" s="1"/>
  <c r="AD1064" i="3"/>
  <c r="AD995" i="3"/>
  <c r="AD845" i="3"/>
  <c r="AD638" i="3"/>
  <c r="AD970" i="3"/>
  <c r="AD803" i="3"/>
  <c r="AD797" i="3"/>
  <c r="AD482" i="3"/>
  <c r="AD934" i="3"/>
  <c r="AD727" i="3"/>
  <c r="AD568" i="3"/>
  <c r="AD931" i="3"/>
  <c r="AD878" i="3"/>
  <c r="AD628" i="3"/>
  <c r="AD1087" i="3"/>
  <c r="AD913" i="3"/>
  <c r="AD810" i="3"/>
  <c r="AD780" i="3"/>
  <c r="AD1060" i="3"/>
  <c r="AD865" i="3"/>
  <c r="AD722" i="3"/>
  <c r="AD487" i="3"/>
  <c r="AD1028" i="3"/>
  <c r="AD814" i="3"/>
  <c r="AD614" i="3"/>
  <c r="AD999" i="3"/>
  <c r="AD776" i="3"/>
  <c r="AD529" i="3"/>
  <c r="AD466" i="3"/>
  <c r="AD971" i="3"/>
  <c r="AD950" i="3"/>
  <c r="AD866" i="3"/>
  <c r="AD847" i="3"/>
  <c r="AD728" i="3"/>
  <c r="AD675" i="3"/>
  <c r="AD627" i="3"/>
  <c r="AD508" i="3"/>
  <c r="AD509" i="3"/>
  <c r="AD458" i="3"/>
  <c r="AD914" i="3"/>
  <c r="AD901" i="3"/>
  <c r="AD897" i="3"/>
  <c r="AD862" i="3"/>
  <c r="AD695" i="3"/>
  <c r="AD795" i="3"/>
  <c r="AD642" i="3"/>
  <c r="AD532" i="3"/>
  <c r="AD510" i="3"/>
  <c r="AD473" i="3"/>
  <c r="AD698" i="3"/>
  <c r="AD645" i="3"/>
  <c r="AD588" i="3"/>
  <c r="AD569" i="3"/>
  <c r="AD512" i="3"/>
  <c r="AD993" i="3"/>
  <c r="AD980" i="3"/>
  <c r="AD967" i="3"/>
  <c r="AD819" i="3"/>
  <c r="AD782" i="3"/>
  <c r="AD729" i="3"/>
  <c r="AD668" i="3"/>
  <c r="AD594" i="3"/>
  <c r="AD567" i="3"/>
  <c r="AD462" i="3"/>
  <c r="AD499" i="3"/>
  <c r="AD1070" i="3"/>
  <c r="AD954" i="3"/>
  <c r="AD941" i="3"/>
  <c r="AD928" i="3"/>
  <c r="AD805" i="3"/>
  <c r="AD735" i="3"/>
  <c r="AD682" i="3"/>
  <c r="AD607" i="3"/>
  <c r="AD572" i="3"/>
  <c r="AD553" i="3"/>
  <c r="AD496" i="3"/>
  <c r="AD1092" i="3"/>
  <c r="AD923" i="3"/>
  <c r="AD902" i="3"/>
  <c r="AD818" i="3"/>
  <c r="AD799" i="3"/>
  <c r="AD680" i="3"/>
  <c r="AD772" i="3"/>
  <c r="AD621" i="3"/>
  <c r="AD582" i="3"/>
  <c r="AD438" i="3"/>
  <c r="AD410" i="3"/>
  <c r="AD1097" i="3"/>
  <c r="AD988" i="3"/>
  <c r="AD871" i="3"/>
  <c r="AD578" i="3"/>
  <c r="AD979" i="3"/>
  <c r="AD821" i="3"/>
  <c r="AD636" i="3"/>
  <c r="AD1083" i="3"/>
  <c r="AD935" i="3"/>
  <c r="AD712" i="3"/>
  <c r="AD446" i="3"/>
  <c r="AD1073" i="3"/>
  <c r="AD924" i="3"/>
  <c r="AD807" i="3"/>
  <c r="AD579" i="3"/>
  <c r="AD1096" i="3"/>
  <c r="AD906" i="3"/>
  <c r="AD828" i="3"/>
  <c r="AD685" i="3"/>
  <c r="AD1063" i="3"/>
  <c r="AD1058" i="3"/>
  <c r="AD891" i="3"/>
  <c r="AD764" i="3"/>
  <c r="AD483" i="3"/>
  <c r="AD1021" i="3"/>
  <c r="AD832" i="3"/>
  <c r="AD564" i="3"/>
  <c r="AD1094" i="3"/>
  <c r="AD984" i="3"/>
  <c r="AD761" i="3"/>
  <c r="AD441" i="3"/>
  <c r="AD467" i="3"/>
  <c r="AD907" i="3"/>
  <c r="AD1055" i="3"/>
  <c r="AD802" i="3"/>
  <c r="AD872" i="3"/>
  <c r="AD664" i="3"/>
  <c r="AD756" i="3"/>
  <c r="AD619" i="3"/>
  <c r="AD566" i="3"/>
  <c r="AD445" i="3"/>
  <c r="AD459" i="3"/>
  <c r="AD1027" i="3"/>
  <c r="AD1006" i="3"/>
  <c r="AD833" i="3"/>
  <c r="AD798" i="3"/>
  <c r="AD784" i="3"/>
  <c r="AD731" i="3"/>
  <c r="AD634" i="3"/>
  <c r="AD573" i="3"/>
  <c r="AD436" i="3"/>
  <c r="AD409" i="3"/>
  <c r="AD787" i="3"/>
  <c r="AD641" i="3"/>
  <c r="AD524" i="3"/>
  <c r="AD500" i="3"/>
  <c r="AD448" i="3"/>
  <c r="AD1077" i="3"/>
  <c r="AD929" i="3"/>
  <c r="AD916" i="3"/>
  <c r="AD903" i="3"/>
  <c r="AD844" i="3"/>
  <c r="AD718" i="3"/>
  <c r="AD665" i="3"/>
  <c r="AD765" i="3"/>
  <c r="AD530" i="3"/>
  <c r="AD584" i="3"/>
  <c r="AD439" i="3"/>
  <c r="AD435" i="3"/>
  <c r="AD892" i="3"/>
  <c r="AD1046" i="3"/>
  <c r="AD873" i="3"/>
  <c r="AD838" i="3"/>
  <c r="AD671" i="3"/>
  <c r="AD771" i="3"/>
  <c r="AD639" i="3"/>
  <c r="AD514" i="3"/>
  <c r="AD476" i="3"/>
  <c r="AD432" i="3"/>
  <c r="AD1033" i="3"/>
  <c r="AD1020" i="3"/>
  <c r="AD1007" i="3"/>
  <c r="AD859" i="3"/>
  <c r="AD824" i="3"/>
  <c r="AD769" i="3"/>
  <c r="AD708" i="3"/>
  <c r="AD613" i="3"/>
  <c r="AD520" i="3"/>
  <c r="AD479" i="3"/>
  <c r="AD475" i="3"/>
  <c r="AD981" i="3"/>
  <c r="AD790" i="3"/>
  <c r="AD511" i="3"/>
  <c r="AD1089" i="3"/>
  <c r="AD964" i="3"/>
  <c r="AD855" i="3"/>
  <c r="AD562" i="3"/>
  <c r="AD1100" i="3"/>
  <c r="AD920" i="3"/>
  <c r="AD649" i="3"/>
  <c r="AD424" i="3"/>
  <c r="AD917" i="3"/>
  <c r="AD726" i="3"/>
  <c r="AD525" i="3"/>
  <c r="AD915" i="3"/>
  <c r="AD854" i="3"/>
  <c r="AD622" i="3"/>
  <c r="AD1088" i="3"/>
  <c r="AD1059" i="3"/>
  <c r="AD812" i="3"/>
  <c r="AD669" i="3"/>
  <c r="L5" i="1"/>
  <c r="M5" i="1" s="1"/>
  <c r="N5" i="1" s="1"/>
  <c r="AD1082" i="3"/>
  <c r="AD1022" i="3"/>
  <c r="AD662" i="3"/>
  <c r="AD526" i="3"/>
  <c r="AD1025" i="3"/>
  <c r="AD825" i="3"/>
  <c r="AD658" i="3"/>
  <c r="AD471" i="3"/>
  <c r="AD1017" i="3"/>
  <c r="AD1004" i="3"/>
  <c r="AD991" i="3"/>
  <c r="AD843" i="3"/>
  <c r="AD808" i="3"/>
  <c r="AD753" i="3"/>
  <c r="AD692" i="3"/>
  <c r="AD611" i="3"/>
  <c r="AD591" i="3"/>
  <c r="AD486" i="3"/>
  <c r="AD963" i="3"/>
  <c r="AD942" i="3"/>
  <c r="AD858" i="3"/>
  <c r="AD839" i="3"/>
  <c r="AD720" i="3"/>
  <c r="AD667" i="3"/>
  <c r="AD626" i="3"/>
  <c r="AD502" i="3"/>
  <c r="AD501" i="3"/>
  <c r="AD450" i="3"/>
  <c r="AD723" i="3"/>
  <c r="AD633" i="3"/>
  <c r="AD565" i="3"/>
  <c r="AD428" i="3"/>
  <c r="AD465" i="3"/>
  <c r="AD1026" i="3"/>
  <c r="AD1013" i="3"/>
  <c r="AD1000" i="3"/>
  <c r="AD877" i="3"/>
  <c r="AD654" i="3"/>
  <c r="AD754" i="3"/>
  <c r="AD701" i="3"/>
  <c r="AD547" i="3"/>
  <c r="AD516" i="3"/>
  <c r="AD504" i="3"/>
  <c r="AD1071" i="3"/>
  <c r="AD1003" i="3"/>
  <c r="AD982" i="3"/>
  <c r="AD809" i="3"/>
  <c r="AD879" i="3"/>
  <c r="AD760" i="3"/>
  <c r="AD707" i="3"/>
  <c r="AD631" i="3"/>
  <c r="AD549" i="3"/>
  <c r="AD412" i="3"/>
  <c r="AD513" i="3"/>
  <c r="AD969" i="3"/>
  <c r="AD956" i="3"/>
  <c r="AD943" i="3"/>
  <c r="AD884" i="3"/>
  <c r="AD758" i="3"/>
  <c r="AD705" i="3"/>
  <c r="AD644" i="3"/>
  <c r="AD570" i="3"/>
  <c r="AD543" i="3"/>
  <c r="AD415" i="3"/>
  <c r="AD411" i="3"/>
  <c r="L14" i="1"/>
  <c r="M14" i="1" s="1"/>
  <c r="N14" i="1" s="1"/>
  <c r="AD1066" i="3"/>
  <c r="AD974" i="3"/>
  <c r="AD775" i="3"/>
  <c r="AD551" i="3"/>
  <c r="AD957" i="3"/>
  <c r="AD766" i="3"/>
  <c r="AD589" i="3"/>
  <c r="AD1103" i="3"/>
  <c r="AD961" i="3"/>
  <c r="AD850" i="3"/>
  <c r="AD699" i="3"/>
  <c r="AD418" i="3"/>
  <c r="AD1093" i="3"/>
  <c r="AD910" i="3"/>
  <c r="AD711" i="3"/>
  <c r="AD552" i="3"/>
  <c r="AD1065" i="3"/>
  <c r="AD900" i="3"/>
  <c r="AD880" i="3"/>
  <c r="AD531" i="3"/>
  <c r="AD1052" i="3"/>
  <c r="AD830" i="3"/>
  <c r="AD620" i="3"/>
  <c r="AD1015" i="3"/>
  <c r="AD647" i="3"/>
  <c r="AD545" i="3"/>
  <c r="AD1010" i="3"/>
  <c r="AD851" i="3"/>
  <c r="AD700" i="3"/>
  <c r="AD407" i="3"/>
  <c r="AD953" i="3"/>
  <c r="AD940" i="3"/>
  <c r="AD927" i="3"/>
  <c r="AD868" i="3"/>
  <c r="AD742" i="3"/>
  <c r="AD689" i="3"/>
  <c r="AD789" i="3"/>
  <c r="AD554" i="3"/>
  <c r="AD527" i="3"/>
  <c r="AD422" i="3"/>
  <c r="AD1068" i="3"/>
  <c r="AD899" i="3"/>
  <c r="AD1047" i="3"/>
  <c r="AD796" i="3"/>
  <c r="AD864" i="3"/>
  <c r="AD656" i="3"/>
  <c r="AD748" i="3"/>
  <c r="AD618" i="3"/>
  <c r="AD558" i="3"/>
  <c r="AD437" i="3"/>
  <c r="AD515" i="3"/>
  <c r="AD659" i="3"/>
  <c r="AD625" i="3"/>
  <c r="AD492" i="3"/>
  <c r="AD493" i="3"/>
  <c r="AD442" i="3"/>
  <c r="AD1078" i="3"/>
  <c r="AD962" i="3"/>
  <c r="AD949" i="3"/>
  <c r="AD936" i="3"/>
  <c r="AD813" i="3"/>
  <c r="AD743" i="3"/>
  <c r="AD690" i="3"/>
  <c r="AD603" i="3"/>
  <c r="AD580" i="3"/>
  <c r="AD561" i="3"/>
  <c r="AD440" i="3"/>
  <c r="AD939" i="3"/>
  <c r="AD918" i="3"/>
  <c r="AD834" i="3"/>
  <c r="AD815" i="3"/>
  <c r="AD696" i="3"/>
  <c r="AD788" i="3"/>
  <c r="AD623" i="3"/>
  <c r="AD598" i="3"/>
  <c r="AD477" i="3"/>
  <c r="AD449" i="3"/>
  <c r="AD905" i="3"/>
  <c r="AD1053" i="3"/>
  <c r="AD1040" i="3"/>
  <c r="AD820" i="3"/>
  <c r="AD694" i="3"/>
  <c r="AD794" i="3"/>
  <c r="AD741" i="3"/>
  <c r="AD587" i="3"/>
  <c r="AD560" i="3"/>
  <c r="AD480" i="3"/>
  <c r="AD1099" i="3"/>
  <c r="AD975" i="3"/>
  <c r="AD752" i="3"/>
  <c r="AD468" i="3"/>
  <c r="AD958" i="3"/>
  <c r="AD751" i="3"/>
  <c r="AD535" i="3"/>
  <c r="AD946" i="3"/>
  <c r="AD876" i="3"/>
  <c r="AD749" i="3"/>
  <c r="AD1075" i="3"/>
  <c r="AD911" i="3"/>
  <c r="AD688" i="3"/>
  <c r="AD430" i="3"/>
  <c r="AD1098" i="3"/>
  <c r="AD890" i="3"/>
  <c r="AD702" i="3"/>
  <c r="AD590" i="3"/>
  <c r="AD1045" i="3"/>
  <c r="AD856" i="3"/>
  <c r="AD518" i="3"/>
  <c r="AD1102" i="3"/>
  <c r="AD1008" i="3"/>
  <c r="AD777" i="3"/>
  <c r="AD453" i="3"/>
  <c r="AD1072" i="3"/>
  <c r="AD1019" i="3"/>
  <c r="AD861" i="3"/>
  <c r="AD605" i="3"/>
  <c r="AD472" i="3"/>
  <c r="AD1050" i="3"/>
  <c r="AD1037" i="3"/>
  <c r="AD1024" i="3"/>
  <c r="AD804" i="3"/>
  <c r="AD678" i="3"/>
  <c r="AD778" i="3"/>
  <c r="AD725" i="3"/>
  <c r="AD571" i="3"/>
  <c r="AD544" i="3"/>
  <c r="AD463" i="3"/>
  <c r="AD1009" i="3"/>
  <c r="AD996" i="3"/>
  <c r="AD983" i="3"/>
  <c r="AD835" i="3"/>
  <c r="AD800" i="3"/>
  <c r="AD745" i="3"/>
  <c r="AD684" i="3"/>
  <c r="AD610" i="3"/>
  <c r="AD583" i="3"/>
  <c r="AD478" i="3"/>
  <c r="AD451" i="3"/>
  <c r="AD740" i="3"/>
  <c r="AD617" i="3"/>
  <c r="AD550" i="3"/>
  <c r="AD429" i="3"/>
  <c r="AD507" i="3"/>
  <c r="AD898" i="3"/>
  <c r="AD1054" i="3"/>
  <c r="AD881" i="3"/>
  <c r="AD846" i="3"/>
  <c r="AD679" i="3"/>
  <c r="AD779" i="3"/>
  <c r="AD640" i="3"/>
  <c r="AD519" i="3"/>
  <c r="AD484" i="3"/>
  <c r="AD521" i="3"/>
  <c r="AD1049" i="3"/>
  <c r="AD1036" i="3"/>
  <c r="AD1023" i="3"/>
  <c r="AD875" i="3"/>
  <c r="AD840" i="3"/>
  <c r="AD785" i="3"/>
  <c r="AD724" i="3"/>
  <c r="AD615" i="3"/>
  <c r="AD534" i="3"/>
  <c r="AD413" i="3"/>
  <c r="AD490" i="3"/>
  <c r="AD1002" i="3"/>
  <c r="AD989" i="3"/>
  <c r="AD976" i="3"/>
  <c r="AD853" i="3"/>
  <c r="AD783" i="3"/>
  <c r="AD730" i="3"/>
  <c r="AD677" i="3"/>
  <c r="AD523" i="3"/>
  <c r="AD601" i="3"/>
  <c r="AD416" i="3"/>
  <c r="AD1086" i="3"/>
  <c r="AD968" i="3"/>
  <c r="AD713" i="3"/>
  <c r="AD1091" i="3"/>
  <c r="AD951" i="3"/>
  <c r="AD736" i="3"/>
  <c r="AD452" i="3"/>
  <c r="AD955" i="3"/>
  <c r="AD894" i="3"/>
  <c r="AD630" i="3"/>
  <c r="AD1084" i="3"/>
  <c r="AD904" i="3"/>
  <c r="AD786" i="3"/>
  <c r="AD1085" i="3"/>
  <c r="AD896" i="3"/>
  <c r="AD687" i="3"/>
  <c r="AD503" i="3"/>
  <c r="AD1090" i="3"/>
  <c r="AD1038" i="3"/>
  <c r="AD686" i="3"/>
  <c r="AD574" i="3"/>
  <c r="AD1041" i="3"/>
  <c r="AD849" i="3"/>
  <c r="AD674" i="3"/>
  <c r="AD423" i="3"/>
  <c r="AD1012" i="3"/>
  <c r="AD895" i="3"/>
  <c r="AD612" i="3"/>
  <c r="AD408" i="3"/>
  <c r="AD986" i="3"/>
  <c r="AD973" i="3"/>
  <c r="AD960" i="3"/>
  <c r="AD837" i="3"/>
  <c r="AD767" i="3"/>
  <c r="AD714" i="3"/>
  <c r="AD661" i="3"/>
  <c r="AD604" i="3"/>
  <c r="AD585" i="3"/>
  <c r="AD464" i="3"/>
  <c r="AD945" i="3"/>
  <c r="AD932" i="3"/>
  <c r="AD919" i="3"/>
  <c r="AD860" i="3"/>
  <c r="AD734" i="3"/>
  <c r="AD681" i="3"/>
  <c r="AD781" i="3"/>
  <c r="AD546" i="3"/>
  <c r="AD600" i="3"/>
  <c r="AD414" i="3"/>
  <c r="AD737" i="3"/>
  <c r="AD676" i="3"/>
  <c r="AD602" i="3"/>
  <c r="AD575" i="3"/>
  <c r="AD470" i="3"/>
  <c r="AD443" i="3"/>
  <c r="AD1079" i="3"/>
  <c r="AD1011" i="3"/>
  <c r="AD990" i="3"/>
  <c r="AD817" i="3"/>
  <c r="AD887" i="3"/>
  <c r="AD768" i="3"/>
  <c r="AD715" i="3"/>
  <c r="AD632" i="3"/>
  <c r="AD557" i="3"/>
  <c r="AD420" i="3"/>
  <c r="AD457" i="3"/>
  <c r="AD985" i="3"/>
  <c r="AD972" i="3"/>
  <c r="AD959" i="3"/>
  <c r="AD811" i="3"/>
  <c r="AD774" i="3"/>
  <c r="AD721" i="3"/>
  <c r="AD660" i="3"/>
  <c r="AD586" i="3"/>
  <c r="AD559" i="3"/>
  <c r="AD454" i="3"/>
  <c r="AD426" i="3"/>
  <c r="AD938" i="3"/>
  <c r="AD925" i="3"/>
  <c r="AD912" i="3"/>
  <c r="AD886" i="3"/>
  <c r="AD719" i="3"/>
  <c r="AD666" i="3"/>
  <c r="AD609" i="3"/>
  <c r="AD556" i="3"/>
  <c r="AD537" i="3"/>
  <c r="AD497" i="3"/>
  <c r="L10" i="1"/>
  <c r="M10" i="1" s="1"/>
  <c r="N10" i="1" s="1"/>
  <c r="W7" i="3"/>
  <c r="E4" i="3" l="1"/>
  <c r="D2" i="3" l="1"/>
  <c r="E5" i="3"/>
  <c r="S28" i="5" l="1"/>
  <c r="T28" i="5"/>
  <c r="T18" i="5"/>
  <c r="AC4" i="3" s="1"/>
  <c r="S17" i="5"/>
  <c r="T17" i="5"/>
  <c r="S18" i="5"/>
  <c r="Z4" i="3" s="1"/>
  <c r="U5" i="3"/>
  <c r="W11" i="5" a="1"/>
  <c r="Y11" i="5" a="1"/>
  <c r="S14" i="5" a="1"/>
  <c r="W14" i="5" a="1"/>
  <c r="U10" i="5" a="1"/>
  <c r="W9" i="5" a="1"/>
  <c r="S11" i="5" a="1"/>
  <c r="X11" i="5" a="1"/>
  <c r="Y10" i="5" a="1"/>
  <c r="Y9" i="5" a="1"/>
  <c r="T14" i="5" a="1"/>
  <c r="U11" i="5" a="1"/>
  <c r="X8" i="5" a="1"/>
  <c r="Y12" i="5" a="1"/>
  <c r="X14" i="5" a="1"/>
  <c r="S10" i="5" a="1"/>
  <c r="Y8" i="5" a="1"/>
  <c r="Y14" i="5" a="1"/>
  <c r="W7" i="5" a="1"/>
  <c r="T12" i="5" a="1"/>
  <c r="S12" i="5" a="1"/>
  <c r="T7" i="5" a="1"/>
  <c r="V8" i="5" a="1"/>
  <c r="U9" i="5" a="1"/>
  <c r="X13" i="5" a="1"/>
  <c r="W12" i="5" a="1"/>
  <c r="U7" i="5" a="1"/>
  <c r="X7" i="5" a="1"/>
  <c r="X10" i="5" a="1"/>
  <c r="U8" i="5" a="1"/>
  <c r="T13" i="5" a="1"/>
  <c r="U12" i="5" a="1"/>
  <c r="X9" i="5" a="1"/>
  <c r="T9" i="5" a="1"/>
  <c r="T10" i="5" a="1"/>
  <c r="S9" i="5" a="1"/>
  <c r="W8" i="5" a="1"/>
  <c r="S7" i="5" a="1"/>
  <c r="W13" i="5" a="1"/>
  <c r="U13" i="5" a="1"/>
  <c r="V7" i="5" a="1"/>
  <c r="S13" i="5" a="1"/>
  <c r="S8" i="5" a="1"/>
  <c r="V14" i="5" a="1"/>
  <c r="Y13" i="5" a="1"/>
  <c r="V11" i="5" a="1"/>
  <c r="T8" i="5" a="1"/>
  <c r="W10" i="5" a="1"/>
  <c r="V9" i="5" a="1"/>
  <c r="V13" i="5" a="1"/>
  <c r="V10" i="5" a="1"/>
  <c r="X12" i="5" a="1"/>
  <c r="U14" i="5" a="1"/>
  <c r="Y7" i="5" a="1"/>
  <c r="T11" i="5" a="1"/>
  <c r="V12" i="5" a="1"/>
  <c r="Y8" i="5" l="1"/>
  <c r="S8" i="5"/>
  <c r="X13" i="5"/>
  <c r="V14" i="5"/>
  <c r="V13" i="5"/>
  <c r="X14" i="5"/>
  <c r="U12" i="5"/>
  <c r="Y12" i="5"/>
  <c r="X9" i="5"/>
  <c r="T9" i="5"/>
  <c r="U11" i="5"/>
  <c r="W10" i="5"/>
  <c r="Y11" i="5"/>
  <c r="V7" i="5"/>
  <c r="S9" i="5"/>
  <c r="X8" i="5"/>
  <c r="Y14" i="5"/>
  <c r="Y13" i="5"/>
  <c r="S14" i="5"/>
  <c r="T14" i="5"/>
  <c r="V12" i="5"/>
  <c r="S11" i="5"/>
  <c r="S10" i="5"/>
  <c r="V11" i="5"/>
  <c r="W9" i="5"/>
  <c r="Y9" i="5"/>
  <c r="S7" i="5"/>
  <c r="W7" i="5"/>
  <c r="W8" i="5"/>
  <c r="U8" i="5"/>
  <c r="U13" i="5"/>
  <c r="T13" i="5"/>
  <c r="W14" i="5"/>
  <c r="S12" i="5"/>
  <c r="W12" i="5"/>
  <c r="T11" i="5"/>
  <c r="V10" i="5"/>
  <c r="X11" i="5"/>
  <c r="Y10" i="5"/>
  <c r="U10" i="5"/>
  <c r="T7" i="5"/>
  <c r="X7" i="5"/>
  <c r="V8" i="5"/>
  <c r="T8" i="5"/>
  <c r="U14" i="5"/>
  <c r="W13" i="5"/>
  <c r="S13" i="5"/>
  <c r="T12" i="5"/>
  <c r="X12" i="5"/>
  <c r="V9" i="5"/>
  <c r="X10" i="5"/>
  <c r="T10" i="5"/>
  <c r="T24" i="5" s="1"/>
  <c r="U9" i="5"/>
  <c r="W11" i="5"/>
  <c r="U7" i="5"/>
  <c r="Y7" i="5"/>
  <c r="Z3" i="3"/>
  <c r="Z2" i="3"/>
  <c r="S29" i="5" s="1"/>
  <c r="AC3" i="3"/>
  <c r="AC2" i="3"/>
  <c r="S30" i="5" s="1"/>
  <c r="AQ1171" i="3" s="1"/>
  <c r="R15" i="5"/>
  <c r="S15" i="5"/>
  <c r="AQ1172" i="3" l="1"/>
  <c r="AV1171" i="3"/>
  <c r="AK1171" i="3"/>
  <c r="S25" i="5"/>
  <c r="S22" i="5" s="1"/>
  <c r="T25" i="5"/>
  <c r="T22" i="5" s="1"/>
  <c r="X19" i="5"/>
  <c r="U6" i="5"/>
  <c r="S24" i="5"/>
  <c r="S21" i="5" s="1"/>
  <c r="X25" i="5"/>
  <c r="X22" i="5" s="1"/>
  <c r="W24" i="5"/>
  <c r="W21" i="5" s="1"/>
  <c r="T19" i="5"/>
  <c r="V20" i="5"/>
  <c r="X6" i="5"/>
  <c r="U24" i="5"/>
  <c r="U21" i="5" s="1"/>
  <c r="X20" i="5"/>
  <c r="U20" i="5"/>
  <c r="V5" i="5"/>
  <c r="W20" i="5"/>
  <c r="W6" i="5"/>
  <c r="Y25" i="5"/>
  <c r="Y22" i="5" s="1"/>
  <c r="Y19" i="5"/>
  <c r="Y6" i="5"/>
  <c r="T21" i="5"/>
  <c r="W19" i="5"/>
  <c r="S5" i="5"/>
  <c r="U19" i="5"/>
  <c r="S6" i="5"/>
  <c r="X24" i="5"/>
  <c r="X21" i="5" s="1"/>
  <c r="T20" i="5"/>
  <c r="Y24" i="5"/>
  <c r="Y21" i="5" s="1"/>
  <c r="Y20" i="5"/>
  <c r="W25" i="5"/>
  <c r="W22" i="5" s="1"/>
  <c r="V24" i="5"/>
  <c r="V21" i="5" s="1"/>
  <c r="T5" i="5"/>
  <c r="T6" i="5"/>
  <c r="U5" i="5"/>
  <c r="U25" i="5"/>
  <c r="U22" i="5" s="1"/>
  <c r="S20" i="5"/>
  <c r="W5" i="5"/>
  <c r="Y5" i="5"/>
  <c r="V6" i="5"/>
  <c r="S19" i="5"/>
  <c r="X5" i="5"/>
  <c r="V19" i="5"/>
  <c r="V25" i="5"/>
  <c r="V22" i="5" s="1"/>
  <c r="AV1172" i="3" l="1"/>
  <c r="AQ1173" i="3"/>
  <c r="AK1172" i="3"/>
  <c r="AP1170" i="3"/>
  <c r="AP1169" i="3"/>
  <c r="AP1171" i="3"/>
  <c r="AQ1174" i="3" l="1"/>
  <c r="AV1173" i="3"/>
  <c r="AP1172" i="3"/>
  <c r="AK1173" i="3"/>
  <c r="AQ1175" i="3" l="1"/>
  <c r="AV1174" i="3"/>
  <c r="AK1174" i="3"/>
  <c r="AP1173" i="3"/>
  <c r="AQ1176" i="3" l="1"/>
  <c r="AV1175" i="3"/>
  <c r="AK1175" i="3"/>
  <c r="AP1174" i="3"/>
  <c r="AQ1177" i="3" l="1"/>
  <c r="AV1176" i="3"/>
  <c r="AK1176" i="3"/>
  <c r="AP1175" i="3"/>
  <c r="AV1177" i="3" l="1"/>
  <c r="AQ1178" i="3"/>
  <c r="AK1177" i="3"/>
  <c r="AP1176" i="3"/>
  <c r="AV1178" i="3" l="1"/>
  <c r="AQ1179" i="3"/>
  <c r="AK1178" i="3"/>
  <c r="AP1177" i="3"/>
  <c r="AV1179" i="3" l="1"/>
  <c r="AQ1180" i="3"/>
  <c r="AK1179" i="3"/>
  <c r="AP1178" i="3"/>
  <c r="AV1180" i="3" l="1"/>
  <c r="AQ1181" i="3"/>
  <c r="AK1180" i="3"/>
  <c r="AP1179" i="3"/>
  <c r="AQ1182" i="3" l="1"/>
  <c r="AV1181" i="3"/>
  <c r="AK1181" i="3"/>
  <c r="AP1180" i="3"/>
  <c r="AQ1183" i="3" l="1"/>
  <c r="AV1182" i="3"/>
  <c r="AK1182" i="3"/>
  <c r="AP1181" i="3"/>
  <c r="AQ1184" i="3" l="1"/>
  <c r="AV1183" i="3"/>
  <c r="AK1183" i="3"/>
  <c r="AP1182" i="3"/>
  <c r="AQ1185" i="3" l="1"/>
  <c r="AV1184" i="3"/>
  <c r="AK1184" i="3"/>
  <c r="AP1183" i="3"/>
  <c r="AV1185" i="3" l="1"/>
  <c r="AQ1186" i="3"/>
  <c r="AK1185" i="3"/>
  <c r="AP1184" i="3"/>
  <c r="AQ1187" i="3" l="1"/>
  <c r="AV1186" i="3"/>
  <c r="AK1186" i="3"/>
  <c r="AP1185" i="3"/>
  <c r="AQ1188" i="3" l="1"/>
  <c r="AV1187" i="3"/>
  <c r="AK1187" i="3"/>
  <c r="AP1186" i="3"/>
  <c r="AQ1189" i="3" l="1"/>
  <c r="AV1188" i="3"/>
  <c r="AK1188" i="3"/>
  <c r="AP1187" i="3"/>
  <c r="AQ1190" i="3" l="1"/>
  <c r="AV1189" i="3"/>
  <c r="AK1189" i="3"/>
  <c r="AP1188" i="3"/>
  <c r="AQ1191" i="3" l="1"/>
  <c r="AV1190" i="3"/>
  <c r="AK1190" i="3"/>
  <c r="AP1189" i="3"/>
  <c r="AQ1192" i="3" l="1"/>
  <c r="AV1191" i="3"/>
  <c r="AK1191" i="3"/>
  <c r="AP1190" i="3"/>
  <c r="AV1192" i="3" l="1"/>
  <c r="AQ1193" i="3"/>
  <c r="AK1192" i="3"/>
  <c r="AP1191" i="3"/>
  <c r="AQ1194" i="3" l="1"/>
  <c r="AV1193" i="3"/>
  <c r="AK1193" i="3"/>
  <c r="AP1192" i="3"/>
  <c r="AQ1195" i="3" l="1"/>
  <c r="AV1194" i="3"/>
  <c r="AK1194" i="3"/>
  <c r="AP1193" i="3"/>
  <c r="AQ1196" i="3" l="1"/>
  <c r="AV1195" i="3"/>
  <c r="AK1195" i="3"/>
  <c r="AP1194" i="3"/>
  <c r="AQ1197" i="3" l="1"/>
  <c r="AV1196" i="3"/>
  <c r="AK1196" i="3"/>
  <c r="AP1195" i="3"/>
  <c r="AQ1198" i="3" l="1"/>
  <c r="AV1197" i="3"/>
  <c r="AK1197" i="3"/>
  <c r="AP1196" i="3"/>
  <c r="AQ1199" i="3" l="1"/>
  <c r="AV1198" i="3"/>
  <c r="AK1198" i="3"/>
  <c r="AP1197" i="3"/>
  <c r="AQ1200" i="3" l="1"/>
  <c r="AV1199" i="3"/>
  <c r="AK1199" i="3"/>
  <c r="AP1198" i="3"/>
  <c r="AQ1201" i="3" l="1"/>
  <c r="AV1200" i="3"/>
  <c r="AK1200" i="3"/>
  <c r="AP1199" i="3"/>
  <c r="AQ1202" i="3" l="1"/>
  <c r="AV1201" i="3"/>
  <c r="AK1201" i="3"/>
  <c r="AP1200" i="3"/>
  <c r="AQ1203" i="3" l="1"/>
  <c r="AV1202" i="3"/>
  <c r="AK1202" i="3"/>
  <c r="AP1201" i="3"/>
  <c r="AV1203" i="3" l="1"/>
  <c r="AQ1204" i="3"/>
  <c r="AK1203" i="3"/>
  <c r="AP1202" i="3"/>
  <c r="AQ1205" i="3" l="1"/>
  <c r="AV1204" i="3"/>
  <c r="AK1204" i="3"/>
  <c r="AP1203" i="3"/>
  <c r="AQ1206" i="3" l="1"/>
  <c r="AV1205" i="3"/>
  <c r="AK1205" i="3"/>
  <c r="AP1204" i="3"/>
  <c r="AQ1207" i="3" l="1"/>
  <c r="AV1206" i="3"/>
  <c r="AK1206" i="3"/>
  <c r="AP1205" i="3"/>
  <c r="AQ1208" i="3" l="1"/>
  <c r="AV1207" i="3"/>
  <c r="AK1207" i="3"/>
  <c r="AP1206" i="3"/>
  <c r="AQ1209" i="3" l="1"/>
  <c r="AV1208" i="3"/>
  <c r="AK1208" i="3"/>
  <c r="AP1207" i="3"/>
  <c r="AV1209" i="3" l="1"/>
  <c r="AQ1210" i="3"/>
  <c r="AK1209" i="3"/>
  <c r="AP1208" i="3"/>
  <c r="AV1210" i="3" l="1"/>
  <c r="AQ1211" i="3"/>
  <c r="AK1210" i="3"/>
  <c r="AP1209" i="3"/>
  <c r="AV1211" i="3" l="1"/>
  <c r="AQ1212" i="3"/>
  <c r="AK1211" i="3"/>
  <c r="AP1210" i="3"/>
  <c r="AQ1213" i="3" l="1"/>
  <c r="AV1212" i="3"/>
  <c r="AK1212" i="3"/>
  <c r="AP1211" i="3"/>
  <c r="AV1213" i="3" l="1"/>
  <c r="AQ1214" i="3"/>
  <c r="AK1213" i="3"/>
  <c r="AP1212" i="3"/>
  <c r="AQ1215" i="3" l="1"/>
  <c r="AV1214" i="3"/>
  <c r="AK1214" i="3"/>
  <c r="AP1213" i="3"/>
  <c r="AQ1216" i="3" l="1"/>
  <c r="AV1215" i="3"/>
  <c r="AK1215" i="3"/>
  <c r="AP1214" i="3"/>
  <c r="AQ1217" i="3" l="1"/>
  <c r="AV1216" i="3"/>
  <c r="AK1216" i="3"/>
  <c r="AP1215" i="3"/>
  <c r="AQ1218" i="3" l="1"/>
  <c r="AV1217" i="3"/>
  <c r="AK1217" i="3"/>
  <c r="AP1216" i="3"/>
  <c r="AV1218" i="3" l="1"/>
  <c r="AQ1219" i="3"/>
  <c r="AK1218" i="3"/>
  <c r="AP1217" i="3"/>
  <c r="AV1219" i="3" l="1"/>
  <c r="AQ1220" i="3"/>
  <c r="AK1219" i="3"/>
  <c r="AP1218" i="3"/>
  <c r="AV1220" i="3" l="1"/>
  <c r="AQ1221" i="3"/>
  <c r="AK1220" i="3"/>
  <c r="AP1219" i="3"/>
  <c r="AV1221" i="3" l="1"/>
  <c r="AQ1222" i="3"/>
  <c r="AK1221" i="3"/>
  <c r="AP1220" i="3"/>
  <c r="AQ1223" i="3" l="1"/>
  <c r="AV1222" i="3"/>
  <c r="AK1222" i="3"/>
  <c r="AP1221" i="3"/>
  <c r="AQ1224" i="3" l="1"/>
  <c r="AV1223" i="3"/>
  <c r="AK1223" i="3"/>
  <c r="AP1222" i="3"/>
  <c r="AQ1225" i="3" l="1"/>
  <c r="AV1224" i="3"/>
  <c r="AK1224" i="3"/>
  <c r="AP1223" i="3"/>
  <c r="AQ1226" i="3" l="1"/>
  <c r="AV1225" i="3"/>
  <c r="AK1225" i="3"/>
  <c r="AP1224" i="3"/>
  <c r="AQ1227" i="3" l="1"/>
  <c r="AV1226" i="3"/>
  <c r="AK1226" i="3"/>
  <c r="AP1225" i="3"/>
  <c r="AQ1228" i="3" l="1"/>
  <c r="AV1227" i="3"/>
  <c r="AK1227" i="3"/>
  <c r="AP1226" i="3"/>
  <c r="AV1228" i="3" l="1"/>
  <c r="AQ1229" i="3"/>
  <c r="AK1228" i="3"/>
  <c r="AP1227" i="3"/>
  <c r="AV1229" i="3" l="1"/>
  <c r="AQ1230" i="3"/>
  <c r="AK1229" i="3"/>
  <c r="AP1228" i="3"/>
  <c r="AV1230" i="3" l="1"/>
  <c r="AQ1231" i="3"/>
  <c r="AK1230" i="3"/>
  <c r="AP1229" i="3"/>
  <c r="AV1231" i="3" l="1"/>
  <c r="AQ1232" i="3"/>
  <c r="AK1231" i="3"/>
  <c r="AP1230" i="3"/>
  <c r="AQ1233" i="3" l="1"/>
  <c r="AV1232" i="3"/>
  <c r="AK1232" i="3"/>
  <c r="AP1231" i="3"/>
  <c r="AQ1234" i="3" l="1"/>
  <c r="AV1233" i="3"/>
  <c r="AK1233" i="3"/>
  <c r="AP1232" i="3"/>
  <c r="AQ1235" i="3" l="1"/>
  <c r="AV1234" i="3"/>
  <c r="AK1234" i="3"/>
  <c r="AP1233" i="3"/>
  <c r="AQ1236" i="3" l="1"/>
  <c r="AV1235" i="3"/>
  <c r="AK1235" i="3"/>
  <c r="AP1234" i="3"/>
  <c r="AQ1237" i="3" l="1"/>
  <c r="AV1236" i="3"/>
  <c r="AK1236" i="3"/>
  <c r="AP1235" i="3"/>
  <c r="AV1237" i="3" l="1"/>
  <c r="AQ1238" i="3"/>
  <c r="AK1237" i="3"/>
  <c r="AP1236" i="3"/>
  <c r="AQ1239" i="3" l="1"/>
  <c r="AV1238" i="3"/>
  <c r="AK1238" i="3"/>
  <c r="AP1237" i="3"/>
  <c r="AQ1240" i="3" l="1"/>
  <c r="AV1239" i="3"/>
  <c r="AK1239" i="3"/>
  <c r="AP1238" i="3"/>
  <c r="AV1240" i="3" l="1"/>
  <c r="AQ1241" i="3"/>
  <c r="AK1240" i="3"/>
  <c r="AP1239" i="3"/>
  <c r="AV1241" i="3" l="1"/>
  <c r="AQ1242" i="3"/>
  <c r="AK1241" i="3"/>
  <c r="AP1240" i="3"/>
  <c r="AQ1243" i="3" l="1"/>
  <c r="AV1242" i="3"/>
  <c r="AK1242" i="3"/>
  <c r="AP1241" i="3"/>
  <c r="AV1243" i="3" l="1"/>
  <c r="AQ1244" i="3"/>
  <c r="AK1243" i="3"/>
  <c r="AP1242" i="3"/>
  <c r="AQ1245" i="3" l="1"/>
  <c r="AV1244" i="3"/>
  <c r="AK1244" i="3"/>
  <c r="AP1243" i="3"/>
  <c r="AQ1246" i="3" l="1"/>
  <c r="AV1245" i="3"/>
  <c r="AK1245" i="3"/>
  <c r="AP1244" i="3"/>
  <c r="AQ1247" i="3" l="1"/>
  <c r="AV1246" i="3"/>
  <c r="AK1246" i="3"/>
  <c r="AP1245" i="3"/>
  <c r="AV1247" i="3" l="1"/>
  <c r="AQ1248" i="3"/>
  <c r="AK1247" i="3"/>
  <c r="AP1246" i="3"/>
  <c r="AQ1249" i="3" l="1"/>
  <c r="AV1248" i="3"/>
  <c r="AK1248" i="3"/>
  <c r="AP1247" i="3"/>
  <c r="AV1249" i="3" l="1"/>
  <c r="AQ1250" i="3"/>
  <c r="AK1249" i="3"/>
  <c r="AP1248" i="3"/>
  <c r="AQ1251" i="3" l="1"/>
  <c r="AV1250" i="3"/>
  <c r="AK1250" i="3"/>
  <c r="AP1249" i="3"/>
  <c r="AV1251" i="3" l="1"/>
  <c r="AQ1252" i="3"/>
  <c r="AK1251" i="3"/>
  <c r="AP1250" i="3"/>
  <c r="AQ1253" i="3" l="1"/>
  <c r="AV1252" i="3"/>
  <c r="AK1252" i="3"/>
  <c r="AP1251" i="3"/>
  <c r="AQ1254" i="3" l="1"/>
  <c r="AV1253" i="3"/>
  <c r="AK1253" i="3"/>
  <c r="AP1252" i="3"/>
  <c r="AQ1255" i="3" l="1"/>
  <c r="AV1254" i="3"/>
  <c r="AK1254" i="3"/>
  <c r="AP1253" i="3"/>
  <c r="AV1255" i="3" l="1"/>
  <c r="AQ1256" i="3"/>
  <c r="AK1255" i="3"/>
  <c r="AP1254" i="3"/>
  <c r="AQ1257" i="3" l="1"/>
  <c r="AV1256" i="3"/>
  <c r="AK1256" i="3"/>
  <c r="AP1255" i="3"/>
  <c r="AV1257" i="3" l="1"/>
  <c r="AQ1258" i="3"/>
  <c r="AK1257" i="3"/>
  <c r="AP1256" i="3"/>
  <c r="AQ1259" i="3" l="1"/>
  <c r="AV1258" i="3"/>
  <c r="AK1258" i="3"/>
  <c r="AP1257" i="3"/>
  <c r="AQ1260" i="3" l="1"/>
  <c r="AV1259" i="3"/>
  <c r="AK1259" i="3"/>
  <c r="AP1258" i="3"/>
  <c r="AQ1261" i="3" l="1"/>
  <c r="AV1260" i="3"/>
  <c r="AK1260" i="3"/>
  <c r="AP1259" i="3"/>
  <c r="AV1261" i="3" l="1"/>
  <c r="AQ1262" i="3"/>
  <c r="AK1261" i="3"/>
  <c r="AP1260" i="3"/>
  <c r="AQ1263" i="3" l="1"/>
  <c r="AV1262" i="3"/>
  <c r="AK1262" i="3"/>
  <c r="AP1261" i="3"/>
  <c r="AV1263" i="3" l="1"/>
  <c r="AQ1264" i="3"/>
  <c r="AK1263" i="3"/>
  <c r="AP1262" i="3"/>
  <c r="AV1264" i="3" l="1"/>
  <c r="AQ1265" i="3"/>
  <c r="AK1264" i="3"/>
  <c r="AP1263" i="3"/>
  <c r="AQ1266" i="3" l="1"/>
  <c r="AV1265" i="3"/>
  <c r="AK1265" i="3"/>
  <c r="AP1264" i="3"/>
  <c r="AQ1267" i="3" l="1"/>
  <c r="AV1266" i="3"/>
  <c r="AK1266" i="3"/>
  <c r="AP1265" i="3"/>
  <c r="AQ1268" i="3" l="1"/>
  <c r="AV1267" i="3"/>
  <c r="AK1267" i="3"/>
  <c r="AP1266" i="3"/>
  <c r="AQ1269" i="3" l="1"/>
  <c r="AV1268" i="3"/>
  <c r="AK1268" i="3"/>
  <c r="AP1267" i="3"/>
  <c r="AQ1270" i="3" l="1"/>
  <c r="AV1269" i="3"/>
  <c r="AK1269" i="3"/>
  <c r="AP1268" i="3"/>
  <c r="AQ1271" i="3" l="1"/>
  <c r="AV1270" i="3"/>
  <c r="AK1270" i="3"/>
  <c r="AP1269" i="3"/>
  <c r="AV1271" i="3" l="1"/>
  <c r="AQ1272" i="3"/>
  <c r="AK1271" i="3"/>
  <c r="AP1270" i="3"/>
  <c r="AV1272" i="3" l="1"/>
  <c r="AQ1273" i="3"/>
  <c r="AK1272" i="3"/>
  <c r="AP1271" i="3"/>
  <c r="AV1273" i="3" l="1"/>
  <c r="AQ1274" i="3"/>
  <c r="AK1273" i="3"/>
  <c r="AP1272" i="3"/>
  <c r="AV1274" i="3" l="1"/>
  <c r="AQ1275" i="3"/>
  <c r="AK1274" i="3"/>
  <c r="AP1273" i="3"/>
  <c r="AV1275" i="3" l="1"/>
  <c r="AQ1276" i="3"/>
  <c r="AK1275" i="3"/>
  <c r="AP1274" i="3"/>
  <c r="AQ1277" i="3" l="1"/>
  <c r="AV1276" i="3"/>
  <c r="AK1276" i="3"/>
  <c r="AP1275" i="3"/>
  <c r="AQ1278" i="3" l="1"/>
  <c r="AV1277" i="3"/>
  <c r="AK1277" i="3"/>
  <c r="AP1276" i="3"/>
  <c r="AQ1279" i="3" l="1"/>
  <c r="AV1278" i="3"/>
  <c r="AK1278" i="3"/>
  <c r="AP1277" i="3"/>
  <c r="AV1279" i="3" l="1"/>
  <c r="AQ1280" i="3"/>
  <c r="AK1279" i="3"/>
  <c r="AP1278" i="3"/>
  <c r="AQ1281" i="3" l="1"/>
  <c r="AV1280" i="3"/>
  <c r="AK1280" i="3"/>
  <c r="AP1279" i="3"/>
  <c r="AQ1282" i="3" l="1"/>
  <c r="AV1281" i="3"/>
  <c r="AK1281" i="3"/>
  <c r="AP1280" i="3"/>
  <c r="AV1282" i="3" l="1"/>
  <c r="AQ1283" i="3"/>
  <c r="AK1282" i="3"/>
  <c r="AP1281" i="3"/>
  <c r="AV1283" i="3" l="1"/>
  <c r="AQ1284" i="3"/>
  <c r="AK1283" i="3"/>
  <c r="AP1282" i="3"/>
  <c r="AQ1285" i="3" l="1"/>
  <c r="AV1284" i="3"/>
  <c r="AK1284" i="3"/>
  <c r="AP1283" i="3"/>
  <c r="AV1285" i="3" l="1"/>
  <c r="AQ1286" i="3"/>
  <c r="AK1285" i="3"/>
  <c r="AP1284" i="3"/>
  <c r="AV1286" i="3" l="1"/>
  <c r="AQ1287" i="3"/>
  <c r="AK1286" i="3"/>
  <c r="AP1285" i="3"/>
  <c r="AQ1288" i="3" l="1"/>
  <c r="AV1287" i="3"/>
  <c r="AK1287" i="3"/>
  <c r="AP1286" i="3"/>
  <c r="AQ1289" i="3" l="1"/>
  <c r="AV1288" i="3"/>
  <c r="AK1288" i="3"/>
  <c r="AP1287" i="3"/>
  <c r="AQ1290" i="3" l="1"/>
  <c r="AV1289" i="3"/>
  <c r="AK1289" i="3"/>
  <c r="AP1288" i="3"/>
  <c r="AV1290" i="3" l="1"/>
  <c r="AQ1291" i="3"/>
  <c r="AK1290" i="3"/>
  <c r="AP1289" i="3"/>
  <c r="AQ1292" i="3" l="1"/>
  <c r="AV1291" i="3"/>
  <c r="AK1291" i="3"/>
  <c r="AP1290" i="3"/>
  <c r="AQ1293" i="3" l="1"/>
  <c r="AV1292" i="3"/>
  <c r="AK1292" i="3"/>
  <c r="AP1291" i="3"/>
  <c r="AV1293" i="3" l="1"/>
  <c r="AQ1294" i="3"/>
  <c r="AK1293" i="3"/>
  <c r="AP1292" i="3"/>
  <c r="AV1294" i="3" l="1"/>
  <c r="AQ1295" i="3"/>
  <c r="AK1294" i="3"/>
  <c r="AP1293" i="3"/>
  <c r="AQ1296" i="3" l="1"/>
  <c r="AV1295" i="3"/>
  <c r="AK1295" i="3"/>
  <c r="AP1294" i="3"/>
  <c r="AQ1297" i="3" l="1"/>
  <c r="AV1296" i="3"/>
  <c r="AK1296" i="3"/>
  <c r="AP1295" i="3"/>
  <c r="AQ1298" i="3" l="1"/>
  <c r="AV1297" i="3"/>
  <c r="AK1297" i="3"/>
  <c r="AP1296" i="3"/>
  <c r="AV1298" i="3" l="1"/>
  <c r="AQ1299" i="3"/>
  <c r="AK1298" i="3"/>
  <c r="AP1297" i="3"/>
  <c r="AQ1300" i="3" l="1"/>
  <c r="AV1299" i="3"/>
  <c r="AK1299" i="3"/>
  <c r="AP1298" i="3"/>
  <c r="AV1300" i="3" l="1"/>
  <c r="AQ1301" i="3"/>
  <c r="AK1300" i="3"/>
  <c r="AP1299" i="3"/>
  <c r="AV1301" i="3" l="1"/>
  <c r="AQ1302" i="3"/>
  <c r="AK1301" i="3"/>
  <c r="AP1300" i="3"/>
  <c r="AQ1303" i="3" l="1"/>
  <c r="AV1302" i="3"/>
  <c r="AK1302" i="3"/>
  <c r="AP1301" i="3"/>
  <c r="AQ1304" i="3" l="1"/>
  <c r="AV1303" i="3"/>
  <c r="AK1303" i="3"/>
  <c r="AP1302" i="3"/>
  <c r="AV1304" i="3" l="1"/>
  <c r="AQ1305" i="3"/>
  <c r="AK1304" i="3"/>
  <c r="AP1303" i="3"/>
  <c r="AQ1306" i="3" l="1"/>
  <c r="AV1305" i="3"/>
  <c r="AK1305" i="3"/>
  <c r="AP1304" i="3"/>
  <c r="AQ1307" i="3" l="1"/>
  <c r="AV1306" i="3"/>
  <c r="AK1306" i="3"/>
  <c r="AP1305" i="3"/>
  <c r="AQ1308" i="3" l="1"/>
  <c r="AV1307" i="3"/>
  <c r="AK1307" i="3"/>
  <c r="AP1306" i="3"/>
  <c r="AV1308" i="3" l="1"/>
  <c r="AQ1309" i="3"/>
  <c r="AK1308" i="3"/>
  <c r="AP1307" i="3"/>
  <c r="AQ1310" i="3" l="1"/>
  <c r="AV1309" i="3"/>
  <c r="AK1309" i="3"/>
  <c r="AP1308" i="3"/>
  <c r="AV1310" i="3" l="1"/>
  <c r="AQ1311" i="3"/>
  <c r="AK1310" i="3"/>
  <c r="AP1309" i="3"/>
  <c r="AV1311" i="3" l="1"/>
  <c r="AQ1312" i="3"/>
  <c r="AK1311" i="3"/>
  <c r="AP1310" i="3"/>
  <c r="AQ1313" i="3" l="1"/>
  <c r="AV1312" i="3"/>
  <c r="AK1312" i="3"/>
  <c r="AP1311" i="3"/>
  <c r="AQ1314" i="3" l="1"/>
  <c r="AV1313" i="3"/>
  <c r="AK1313" i="3"/>
  <c r="AP1312" i="3"/>
  <c r="AV1314" i="3" l="1"/>
  <c r="AQ1315" i="3"/>
  <c r="AK1314" i="3"/>
  <c r="AP1313" i="3"/>
  <c r="AV1315" i="3" l="1"/>
  <c r="AQ1316" i="3"/>
  <c r="AK1315" i="3"/>
  <c r="AP1314" i="3"/>
  <c r="AV1316" i="3" l="1"/>
  <c r="AQ1317" i="3"/>
  <c r="AK1316" i="3"/>
  <c r="AP1315" i="3"/>
  <c r="AV1317" i="3" l="1"/>
  <c r="AQ1318" i="3"/>
  <c r="AK1317" i="3"/>
  <c r="AP1316" i="3"/>
  <c r="AV1318" i="3" l="1"/>
  <c r="AQ1319" i="3"/>
  <c r="AK1318" i="3"/>
  <c r="AP1317" i="3"/>
  <c r="AQ1320" i="3" l="1"/>
  <c r="AV1319" i="3"/>
  <c r="AK1319" i="3"/>
  <c r="AP1318" i="3"/>
  <c r="AQ1321" i="3" l="1"/>
  <c r="AV1320" i="3"/>
  <c r="AK1320" i="3"/>
  <c r="AP1319" i="3"/>
  <c r="AQ1322" i="3" l="1"/>
  <c r="AV1321" i="3"/>
  <c r="AK1321" i="3"/>
  <c r="AP1320" i="3"/>
  <c r="AQ1323" i="3" l="1"/>
  <c r="AV1322" i="3"/>
  <c r="AK1322" i="3"/>
  <c r="AP1321" i="3"/>
  <c r="AQ1324" i="3" l="1"/>
  <c r="AV1323" i="3"/>
  <c r="AK1323" i="3"/>
  <c r="AP1322" i="3"/>
  <c r="AV1324" i="3" l="1"/>
  <c r="AQ1325" i="3"/>
  <c r="AK1324" i="3"/>
  <c r="AP1323" i="3"/>
  <c r="AV1325" i="3" l="1"/>
  <c r="AQ1326" i="3"/>
  <c r="AK1325" i="3"/>
  <c r="AP1324" i="3"/>
  <c r="AV1326" i="3" l="1"/>
  <c r="AQ1327" i="3"/>
  <c r="AK1326" i="3"/>
  <c r="AP1325" i="3"/>
  <c r="AV1327" i="3" l="1"/>
  <c r="AQ1328" i="3"/>
  <c r="AK1327" i="3"/>
  <c r="AP1326" i="3"/>
  <c r="AQ1329" i="3" l="1"/>
  <c r="AV1328" i="3"/>
  <c r="AK1328" i="3"/>
  <c r="AP1327" i="3"/>
  <c r="AQ1330" i="3" l="1"/>
  <c r="AV1329" i="3"/>
  <c r="AK1329" i="3"/>
  <c r="AP1328" i="3"/>
  <c r="AQ1331" i="3" l="1"/>
  <c r="AV1330" i="3"/>
  <c r="AK1330" i="3"/>
  <c r="AP1329" i="3"/>
  <c r="AQ1332" i="3" l="1"/>
  <c r="AV1331" i="3"/>
  <c r="AK1331" i="3"/>
  <c r="AP1330" i="3"/>
  <c r="AQ1333" i="3" l="1"/>
  <c r="AV1332" i="3"/>
  <c r="AK1332" i="3"/>
  <c r="AP1331" i="3"/>
  <c r="AV1333" i="3" l="1"/>
  <c r="AQ1334" i="3"/>
  <c r="AK1333" i="3"/>
  <c r="AP1332" i="3"/>
  <c r="AQ1335" i="3" l="1"/>
  <c r="AV1334" i="3"/>
  <c r="AK1334" i="3"/>
  <c r="AP1333" i="3"/>
  <c r="AV1335" i="3" l="1"/>
  <c r="AQ1336" i="3"/>
  <c r="AK1335" i="3"/>
  <c r="AP1334" i="3"/>
  <c r="AV1336" i="3" l="1"/>
  <c r="AQ1337" i="3"/>
  <c r="AK1336" i="3"/>
  <c r="AP1335" i="3"/>
  <c r="AQ1338" i="3" l="1"/>
  <c r="AV1337" i="3"/>
  <c r="AK1337" i="3"/>
  <c r="AP1336" i="3"/>
  <c r="AQ1339" i="3" l="1"/>
  <c r="AV1338" i="3"/>
  <c r="AK1338" i="3"/>
  <c r="AP1337" i="3"/>
  <c r="AV1339" i="3" l="1"/>
  <c r="AQ1340" i="3"/>
  <c r="AK1339" i="3"/>
  <c r="AP1338" i="3"/>
  <c r="AQ1341" i="3" l="1"/>
  <c r="AV1340" i="3"/>
  <c r="AK1340" i="3"/>
  <c r="AP1339" i="3"/>
  <c r="AQ1342" i="3" l="1"/>
  <c r="AV1341" i="3"/>
  <c r="AK1341" i="3"/>
  <c r="AP1340" i="3"/>
  <c r="AV1342" i="3" l="1"/>
  <c r="AQ1343" i="3"/>
  <c r="AK1342" i="3"/>
  <c r="AP1341" i="3"/>
  <c r="AV1343" i="3" l="1"/>
  <c r="AQ1344" i="3"/>
  <c r="AK1343" i="3"/>
  <c r="AP1342" i="3"/>
  <c r="AQ1345" i="3" l="1"/>
  <c r="AV1344" i="3"/>
  <c r="AK1344" i="3"/>
  <c r="AP1343" i="3"/>
  <c r="AQ1346" i="3" l="1"/>
  <c r="AV1345" i="3"/>
  <c r="AK1345" i="3"/>
  <c r="AP1344" i="3"/>
  <c r="AQ1347" i="3" l="1"/>
  <c r="AV1346" i="3"/>
  <c r="AK1346" i="3"/>
  <c r="AP1345" i="3"/>
  <c r="AQ1348" i="3" l="1"/>
  <c r="AV1347" i="3"/>
  <c r="AK1347" i="3"/>
  <c r="AP1346" i="3"/>
  <c r="AQ1349" i="3" l="1"/>
  <c r="AV1348" i="3"/>
  <c r="AK1348" i="3"/>
  <c r="AP1347" i="3"/>
  <c r="AV1349" i="3" l="1"/>
  <c r="AQ1350" i="3"/>
  <c r="AK1349" i="3"/>
  <c r="AP1348" i="3"/>
  <c r="AQ1351" i="3" l="1"/>
  <c r="AV1350" i="3"/>
  <c r="AK1350" i="3"/>
  <c r="AP1349" i="3"/>
  <c r="AQ1352" i="3" l="1"/>
  <c r="AV1351" i="3"/>
  <c r="AK1351" i="3"/>
  <c r="AP1350" i="3"/>
  <c r="AQ1353" i="3" l="1"/>
  <c r="AV1352" i="3"/>
  <c r="AK1352" i="3"/>
  <c r="AP1351" i="3"/>
  <c r="AQ1354" i="3" l="1"/>
  <c r="AV1353" i="3"/>
  <c r="AK1353" i="3"/>
  <c r="AP1352" i="3"/>
  <c r="AQ1355" i="3" l="1"/>
  <c r="AV1354" i="3"/>
  <c r="AK1354" i="3"/>
  <c r="AP1353" i="3"/>
  <c r="AQ1356" i="3" l="1"/>
  <c r="AV1355" i="3"/>
  <c r="AK1355" i="3"/>
  <c r="AP1354" i="3"/>
  <c r="AV1356" i="3" l="1"/>
  <c r="AQ1357" i="3"/>
  <c r="AK1356" i="3"/>
  <c r="AP1355" i="3"/>
  <c r="AQ1358" i="3" l="1"/>
  <c r="AV1357" i="3"/>
  <c r="AK1357" i="3"/>
  <c r="AP1356" i="3"/>
  <c r="AV1358" i="3" l="1"/>
  <c r="AQ1359" i="3"/>
  <c r="AK1358" i="3"/>
  <c r="AP1357" i="3"/>
  <c r="AV1359" i="3" l="1"/>
  <c r="AQ1360" i="3"/>
  <c r="AK1359" i="3"/>
  <c r="AP1358" i="3"/>
  <c r="AQ1361" i="3" l="1"/>
  <c r="AV1360" i="3"/>
  <c r="AK1360" i="3"/>
  <c r="AP1359" i="3"/>
  <c r="AQ1362" i="3" l="1"/>
  <c r="AV1361" i="3"/>
  <c r="AK1361" i="3"/>
  <c r="AP1360" i="3"/>
  <c r="AQ1363" i="3" l="1"/>
  <c r="AV1362" i="3"/>
  <c r="AK1362" i="3"/>
  <c r="AP1361" i="3"/>
  <c r="AQ1364" i="3" l="1"/>
  <c r="AV1363" i="3"/>
  <c r="AK1363" i="3"/>
  <c r="AP1362" i="3"/>
  <c r="AQ1365" i="3" l="1"/>
  <c r="AV1364" i="3"/>
  <c r="AK1364" i="3"/>
  <c r="AP1363" i="3"/>
  <c r="AV1365" i="3" l="1"/>
  <c r="AQ1366" i="3"/>
  <c r="AK1365" i="3"/>
  <c r="AP1364" i="3"/>
  <c r="AV1366" i="3" l="1"/>
  <c r="AQ1367" i="3"/>
  <c r="AK1366" i="3"/>
  <c r="AP1365" i="3"/>
  <c r="AQ1368" i="3" l="1"/>
  <c r="AV1367" i="3"/>
  <c r="AK1367" i="3"/>
  <c r="AP1366" i="3"/>
  <c r="AV1368" i="3" l="1"/>
  <c r="AQ1369" i="3"/>
  <c r="AK1368" i="3"/>
  <c r="AP1367" i="3"/>
  <c r="AQ1370" i="3" l="1"/>
  <c r="AV1369" i="3"/>
  <c r="AK1369" i="3"/>
  <c r="AP1368" i="3"/>
  <c r="AQ1371" i="3" l="1"/>
  <c r="AV1370" i="3"/>
  <c r="AK1370" i="3"/>
  <c r="AP1369" i="3"/>
  <c r="AQ1372" i="3" l="1"/>
  <c r="AV1371" i="3"/>
  <c r="AK1371" i="3"/>
  <c r="AP1370" i="3"/>
  <c r="AQ1373" i="3" l="1"/>
  <c r="AV1372" i="3"/>
  <c r="AK1372" i="3"/>
  <c r="AP1371" i="3"/>
  <c r="AV1373" i="3" l="1"/>
  <c r="AQ1374" i="3"/>
  <c r="AK1373" i="3"/>
  <c r="AP1372" i="3"/>
  <c r="AQ1375" i="3" l="1"/>
  <c r="AV1374" i="3"/>
  <c r="AK1374" i="3"/>
  <c r="AP1373" i="3"/>
  <c r="AQ1376" i="3" l="1"/>
  <c r="AV1375" i="3"/>
  <c r="AK1375" i="3"/>
  <c r="AP1374" i="3"/>
  <c r="AV1376" i="3" l="1"/>
  <c r="AQ1377" i="3"/>
  <c r="AK1376" i="3"/>
  <c r="AP1375" i="3"/>
  <c r="AQ1378" i="3" l="1"/>
  <c r="AV1377" i="3"/>
  <c r="AK1377" i="3"/>
  <c r="AP1376" i="3"/>
  <c r="AQ1379" i="3" l="1"/>
  <c r="AV1378" i="3"/>
  <c r="AK1378" i="3"/>
  <c r="AP1377" i="3"/>
  <c r="AV1379" i="3" l="1"/>
  <c r="AQ1380" i="3"/>
  <c r="AK1379" i="3"/>
  <c r="AP1378" i="3"/>
  <c r="AV1380" i="3" l="1"/>
  <c r="AQ1381" i="3"/>
  <c r="AK1380" i="3"/>
  <c r="AP1379" i="3"/>
  <c r="AQ1382" i="3" l="1"/>
  <c r="AV1381" i="3"/>
  <c r="AK1381" i="3"/>
  <c r="AP1380" i="3"/>
  <c r="AV1382" i="3" l="1"/>
  <c r="AQ1383" i="3"/>
  <c r="AK1382" i="3"/>
  <c r="AP1381" i="3"/>
  <c r="AV1383" i="3" l="1"/>
  <c r="AQ1384" i="3"/>
  <c r="AK1383" i="3"/>
  <c r="AP1382" i="3"/>
  <c r="AQ1385" i="3" l="1"/>
  <c r="AV1384" i="3"/>
  <c r="AK1384" i="3"/>
  <c r="AP1383" i="3"/>
  <c r="AQ1386" i="3" l="1"/>
  <c r="AV1385" i="3"/>
  <c r="AK1385" i="3"/>
  <c r="AP1384" i="3"/>
  <c r="AQ1387" i="3" l="1"/>
  <c r="AV1386" i="3"/>
  <c r="AK1386" i="3"/>
  <c r="AP1385" i="3"/>
  <c r="AQ1388" i="3" l="1"/>
  <c r="AV1387" i="3"/>
  <c r="AK1387" i="3"/>
  <c r="AP1386" i="3"/>
  <c r="AQ1389" i="3" l="1"/>
  <c r="AV1388" i="3"/>
  <c r="AK1388" i="3"/>
  <c r="AP1387" i="3"/>
  <c r="AQ1390" i="3" l="1"/>
  <c r="AV1389" i="3"/>
  <c r="AK1389" i="3"/>
  <c r="AP1388" i="3"/>
  <c r="AQ1391" i="3" l="1"/>
  <c r="AV1390" i="3"/>
  <c r="AK1390" i="3"/>
  <c r="AP1389" i="3"/>
  <c r="AV1391" i="3" l="1"/>
  <c r="AQ1392" i="3"/>
  <c r="AK1391" i="3"/>
  <c r="AP1390" i="3"/>
  <c r="AQ1393" i="3" l="1"/>
  <c r="AV1392" i="3"/>
  <c r="AK1392" i="3"/>
  <c r="AP1391" i="3"/>
  <c r="AV1393" i="3" l="1"/>
  <c r="AQ1394" i="3"/>
  <c r="AK1393" i="3"/>
  <c r="AP1392" i="3"/>
  <c r="AV1394" i="3" l="1"/>
  <c r="AQ1395" i="3"/>
  <c r="AK1394" i="3"/>
  <c r="AP1393" i="3"/>
  <c r="AV1395" i="3" l="1"/>
  <c r="AQ1396" i="3"/>
  <c r="AK1395" i="3"/>
  <c r="AP1394" i="3"/>
  <c r="AQ1397" i="3" l="1"/>
  <c r="AV1396" i="3"/>
  <c r="AK1396" i="3"/>
  <c r="AP1395" i="3"/>
  <c r="AV1397" i="3" l="1"/>
  <c r="AQ1398" i="3"/>
  <c r="AK1397" i="3"/>
  <c r="AP1396" i="3"/>
  <c r="AQ1399" i="3" l="1"/>
  <c r="AV1398" i="3"/>
  <c r="AK1398" i="3"/>
  <c r="AP1397" i="3"/>
  <c r="AQ1400" i="3" l="1"/>
  <c r="AV1399" i="3"/>
  <c r="AK1399" i="3"/>
  <c r="AP1398" i="3"/>
  <c r="AQ1401" i="3" l="1"/>
  <c r="AV1400" i="3"/>
  <c r="AK1400" i="3"/>
  <c r="AP1399" i="3"/>
  <c r="AQ1402" i="3" l="1"/>
  <c r="AV1401" i="3"/>
  <c r="AK1401" i="3"/>
  <c r="AP1400" i="3"/>
  <c r="AQ1403" i="3" l="1"/>
  <c r="AV1402" i="3"/>
  <c r="AK1402" i="3"/>
  <c r="AP1401" i="3"/>
  <c r="AV1403" i="3" l="1"/>
  <c r="AQ1404" i="3"/>
  <c r="AK1403" i="3"/>
  <c r="AP1402" i="3"/>
  <c r="AV1404" i="3" l="1"/>
  <c r="AQ1405" i="3"/>
  <c r="AK1404" i="3"/>
  <c r="AP1403" i="3"/>
  <c r="AQ1406" i="3" l="1"/>
  <c r="AV1405" i="3"/>
  <c r="AK1405" i="3"/>
  <c r="AP1404" i="3"/>
  <c r="AQ1407" i="3" l="1"/>
  <c r="AV1406" i="3"/>
  <c r="AK1406" i="3"/>
  <c r="AP1405" i="3"/>
  <c r="AV1407" i="3" l="1"/>
  <c r="AQ1408" i="3"/>
  <c r="AK1407" i="3"/>
  <c r="AP1406" i="3"/>
  <c r="AQ1409" i="3" l="1"/>
  <c r="AV1408" i="3"/>
  <c r="AK1408" i="3"/>
  <c r="AP1407" i="3"/>
  <c r="AQ1410" i="3" l="1"/>
  <c r="AV1409" i="3"/>
  <c r="AK1409" i="3"/>
  <c r="AP1408" i="3"/>
  <c r="AQ1411" i="3" l="1"/>
  <c r="AV1410" i="3"/>
  <c r="AK1410" i="3"/>
  <c r="AP1409" i="3"/>
  <c r="AQ1412" i="3" l="1"/>
  <c r="AV1411" i="3"/>
  <c r="AK1411" i="3"/>
  <c r="AP1410" i="3"/>
  <c r="AV1412" i="3" l="1"/>
  <c r="AQ1413" i="3"/>
  <c r="AK1412" i="3"/>
  <c r="AP1411" i="3"/>
  <c r="AQ1414" i="3" l="1"/>
  <c r="AV1413" i="3"/>
  <c r="AK1413" i="3"/>
  <c r="AP1412" i="3"/>
  <c r="AQ1415" i="3" l="1"/>
  <c r="AV1414" i="3"/>
  <c r="AK1414" i="3"/>
  <c r="AP1413" i="3"/>
  <c r="AQ1416" i="3" l="1"/>
  <c r="AV1415" i="3"/>
  <c r="AK1415" i="3"/>
  <c r="AP1414" i="3"/>
  <c r="AV1416" i="3" l="1"/>
  <c r="AQ1417" i="3"/>
  <c r="AK1416" i="3"/>
  <c r="AP1415" i="3"/>
  <c r="AQ1418" i="3" l="1"/>
  <c r="AV1417" i="3"/>
  <c r="AK1417" i="3"/>
  <c r="AP1416" i="3"/>
  <c r="AQ1419" i="3" l="1"/>
  <c r="AV1418" i="3"/>
  <c r="AK1418" i="3"/>
  <c r="AP1417" i="3"/>
  <c r="AQ1420" i="3" l="1"/>
  <c r="AV1419" i="3"/>
  <c r="AK1419" i="3"/>
  <c r="AP1418" i="3"/>
  <c r="AQ1421" i="3" l="1"/>
  <c r="AV1420" i="3"/>
  <c r="AK1420" i="3"/>
  <c r="AP1419" i="3"/>
  <c r="AQ1422" i="3" l="1"/>
  <c r="AV1421" i="3"/>
  <c r="AK1421" i="3"/>
  <c r="AP1420" i="3"/>
  <c r="AQ1423" i="3" l="1"/>
  <c r="AV1422" i="3"/>
  <c r="AK1422" i="3"/>
  <c r="AP1421" i="3"/>
  <c r="AQ1424" i="3" l="1"/>
  <c r="AV1423" i="3"/>
  <c r="AK1423" i="3"/>
  <c r="AP1422" i="3"/>
  <c r="AV1424" i="3" l="1"/>
  <c r="AQ1425" i="3"/>
  <c r="AK1424" i="3"/>
  <c r="AP1423" i="3"/>
  <c r="AQ1426" i="3" l="1"/>
  <c r="AV1425" i="3"/>
  <c r="AK1425" i="3"/>
  <c r="AP1424" i="3"/>
  <c r="AQ1427" i="3" l="1"/>
  <c r="AV1426" i="3"/>
  <c r="AK1426" i="3"/>
  <c r="AP1425" i="3"/>
  <c r="AQ1428" i="3" l="1"/>
  <c r="AV1427" i="3"/>
  <c r="AK1427" i="3"/>
  <c r="AP1426" i="3"/>
  <c r="AV1428" i="3" l="1"/>
  <c r="AQ1429" i="3"/>
  <c r="AK1428" i="3"/>
  <c r="AP1427" i="3"/>
  <c r="AQ1430" i="3" l="1"/>
  <c r="AV1429" i="3"/>
  <c r="AK1429" i="3"/>
  <c r="AP1428" i="3"/>
  <c r="AQ1431" i="3" l="1"/>
  <c r="AV1430" i="3"/>
  <c r="AK1430" i="3"/>
  <c r="AP1429" i="3"/>
  <c r="AQ1432" i="3" l="1"/>
  <c r="AV1431" i="3"/>
  <c r="AK1431" i="3"/>
  <c r="AP1430" i="3"/>
  <c r="AQ1433" i="3" l="1"/>
  <c r="AV1432" i="3"/>
  <c r="AK1432" i="3"/>
  <c r="AP1431" i="3"/>
  <c r="AQ1434" i="3" l="1"/>
  <c r="AV1433" i="3"/>
  <c r="AK1433" i="3"/>
  <c r="AP1432" i="3"/>
  <c r="AQ1435" i="3" l="1"/>
  <c r="AV1434" i="3"/>
  <c r="AK1434" i="3"/>
  <c r="AP1433" i="3"/>
  <c r="AV1435" i="3" l="1"/>
  <c r="AQ1436" i="3"/>
  <c r="AK1435" i="3"/>
  <c r="AP1434" i="3"/>
  <c r="AV1436" i="3" l="1"/>
  <c r="AQ1437" i="3"/>
  <c r="AK1436" i="3"/>
  <c r="AP1435" i="3"/>
  <c r="AV1437" i="3" l="1"/>
  <c r="AQ1438" i="3"/>
  <c r="AK1437" i="3"/>
  <c r="AP1436" i="3"/>
  <c r="AV1438" i="3" l="1"/>
  <c r="AQ1439" i="3"/>
  <c r="AK1438" i="3"/>
  <c r="AP1437" i="3"/>
  <c r="AQ1440" i="3" l="1"/>
  <c r="AV1439" i="3"/>
  <c r="AK1439" i="3"/>
  <c r="AP1438" i="3"/>
  <c r="AQ1441" i="3" l="1"/>
  <c r="AV1440" i="3"/>
  <c r="AK1440" i="3"/>
  <c r="AP1439" i="3"/>
  <c r="AQ1442" i="3" l="1"/>
  <c r="AV1441" i="3"/>
  <c r="AK1441" i="3"/>
  <c r="AP1440" i="3"/>
  <c r="AQ1443" i="3" l="1"/>
  <c r="AV1442" i="3"/>
  <c r="AK1442" i="3"/>
  <c r="AP1441" i="3"/>
  <c r="AQ1444" i="3" l="1"/>
  <c r="AV1443" i="3"/>
  <c r="AK1443" i="3"/>
  <c r="AP1442" i="3"/>
  <c r="AQ1445" i="3" l="1"/>
  <c r="AV1444" i="3"/>
  <c r="AK1444" i="3"/>
  <c r="AP1443" i="3"/>
  <c r="AQ1446" i="3" l="1"/>
  <c r="AV1445" i="3"/>
  <c r="AK1445" i="3"/>
  <c r="AP1444" i="3"/>
  <c r="AV1446" i="3" l="1"/>
  <c r="AQ1447" i="3"/>
  <c r="AK1446" i="3"/>
  <c r="AP1445" i="3"/>
  <c r="AQ1448" i="3" l="1"/>
  <c r="AV1447" i="3"/>
  <c r="AK1447" i="3"/>
  <c r="AP1446" i="3"/>
  <c r="AQ1449" i="3" l="1"/>
  <c r="AV1448" i="3"/>
  <c r="AK1448" i="3"/>
  <c r="AP1447" i="3"/>
  <c r="AV1449" i="3" l="1"/>
  <c r="AQ1450" i="3"/>
  <c r="AK1449" i="3"/>
  <c r="AP1448" i="3"/>
  <c r="AQ1451" i="3" l="1"/>
  <c r="AV1450" i="3"/>
  <c r="AK1450" i="3"/>
  <c r="AP1449" i="3"/>
  <c r="AQ1452" i="3" l="1"/>
  <c r="AV1451" i="3"/>
  <c r="AK1451" i="3"/>
  <c r="AP1450" i="3"/>
  <c r="AQ1453" i="3" l="1"/>
  <c r="AV1452" i="3"/>
  <c r="AK1452" i="3"/>
  <c r="AP1451" i="3"/>
  <c r="AQ1454" i="3" l="1"/>
  <c r="AV1453" i="3"/>
  <c r="AK1453" i="3"/>
  <c r="AP1452" i="3"/>
  <c r="AQ1455" i="3" l="1"/>
  <c r="AV1454" i="3"/>
  <c r="AK1454" i="3"/>
  <c r="AP1453" i="3"/>
  <c r="AQ1456" i="3" l="1"/>
  <c r="AV1455" i="3"/>
  <c r="AK1455" i="3"/>
  <c r="AP1454" i="3"/>
  <c r="AV1456" i="3" l="1"/>
  <c r="AQ1457" i="3"/>
  <c r="AK1456" i="3"/>
  <c r="AP1455" i="3"/>
  <c r="AV1457" i="3" l="1"/>
  <c r="AQ1458" i="3"/>
  <c r="AK1457" i="3"/>
  <c r="AP1456" i="3"/>
  <c r="AQ1459" i="3" l="1"/>
  <c r="AV1458" i="3"/>
  <c r="AK1458" i="3"/>
  <c r="AP1457" i="3"/>
  <c r="AQ1460" i="3" l="1"/>
  <c r="AV1459" i="3"/>
  <c r="AK1459" i="3"/>
  <c r="AP1458" i="3"/>
  <c r="AQ1461" i="3" l="1"/>
  <c r="AV1460" i="3"/>
  <c r="AK1460" i="3"/>
  <c r="AP1459" i="3"/>
  <c r="AQ1462" i="3" l="1"/>
  <c r="AV1461" i="3"/>
  <c r="AK1461" i="3"/>
  <c r="AP1460" i="3"/>
  <c r="AQ1463" i="3" l="1"/>
  <c r="AV1462" i="3"/>
  <c r="AK1462" i="3"/>
  <c r="AP1461" i="3"/>
  <c r="AQ1464" i="3" l="1"/>
  <c r="AV1463" i="3"/>
  <c r="AK1463" i="3"/>
  <c r="AP1462" i="3"/>
  <c r="AV1464" i="3" l="1"/>
  <c r="AQ1465" i="3"/>
  <c r="AK1464" i="3"/>
  <c r="AP1463" i="3"/>
  <c r="AV1465" i="3" l="1"/>
  <c r="AQ1466" i="3"/>
  <c r="AK1465" i="3"/>
  <c r="AP1464" i="3"/>
  <c r="AV1466" i="3" l="1"/>
  <c r="AQ1467" i="3"/>
  <c r="AK1466" i="3"/>
  <c r="AP1465" i="3"/>
  <c r="AQ1468" i="3" l="1"/>
  <c r="AV1468" i="3" s="1"/>
  <c r="AV1467" i="3"/>
  <c r="AK1467" i="3"/>
  <c r="AP1466" i="3"/>
  <c r="AQ1469" i="3" l="1"/>
  <c r="AV1469" i="3" s="1"/>
  <c r="AK1468" i="3"/>
  <c r="AP1467" i="3"/>
  <c r="AK1469" i="3" l="1"/>
  <c r="AP1468" i="3"/>
  <c r="AP1469"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<sst xmlns="http://schemas.openxmlformats.org/spreadsheetml/2006/main" count="3100" uniqueCount="130">
  <si>
    <t>README:  If you can see this cell, you must have accidentally deleted the YEAR slicer.  Email bwammack@tsh-spa.com and ask for a fix.</t>
  </si>
  <si>
    <t>SEE FULL CELL:</t>
  </si>
  <si>
    <t>^^DeveloperTools</t>
  </si>
  <si>
    <t>BUDGET</t>
  </si>
  <si>
    <t>ACTUALS</t>
  </si>
  <si>
    <t>LAST YEAR</t>
  </si>
  <si>
    <t>^^ROLL-UP DETAILS</t>
  </si>
  <si>
    <t>SNAPSHOT</t>
  </si>
  <si>
    <t>vs BGT</t>
  </si>
  <si>
    <t>vs LY</t>
  </si>
  <si>
    <t>^^RHS Focus</t>
  </si>
  <si>
    <t>^^^LY DETAILS</t>
  </si>
  <si>
    <t>^^PAYROLL TOOL</t>
  </si>
  <si>
    <t>Overall</t>
  </si>
  <si>
    <t>Admin Pay</t>
  </si>
  <si>
    <t>*Do not include salaried employees</t>
  </si>
  <si>
    <t>Retail</t>
  </si>
  <si>
    <t>Serv</t>
  </si>
  <si>
    <t>Salary Daily</t>
  </si>
  <si>
    <t>Target</t>
  </si>
  <si>
    <t>Ret</t>
  </si>
  <si>
    <t>README:  If you can see this cell, you must have accidentally deleted the MONTH slicer.  Email bwammack@tsh-spa.com and ask for a fix.</t>
  </si>
  <si>
    <t>Prop</t>
  </si>
  <si>
    <t>RowMonth</t>
  </si>
  <si>
    <t>RowYear</t>
  </si>
  <si>
    <t>RowMonthHelp</t>
  </si>
  <si>
    <t>FORM_MATCH_HELPER</t>
  </si>
  <si>
    <t>DOW</t>
  </si>
  <si>
    <t>Date</t>
  </si>
  <si>
    <t>Appts</t>
  </si>
  <si>
    <t>Service-Budgets</t>
  </si>
  <si>
    <t>Service-Actuals</t>
  </si>
  <si>
    <t>Retail-Budgets</t>
  </si>
  <si>
    <t>Retail-Actuals</t>
  </si>
  <si>
    <t>Serv-Bud-RU</t>
  </si>
  <si>
    <t>Ret-Bud-RU</t>
  </si>
  <si>
    <t>Serv-Act-RU</t>
  </si>
  <si>
    <t>Ret-Act-RU</t>
  </si>
  <si>
    <t>Serv-LY-RU</t>
  </si>
  <si>
    <t>Ret-LY-RU</t>
  </si>
  <si>
    <t>Budget-Rollup</t>
  </si>
  <si>
    <t>Actual-Rollup</t>
  </si>
  <si>
    <t>Act-vs-Bud</t>
  </si>
  <si>
    <t>_Space</t>
  </si>
  <si>
    <t>Act-vs-LY</t>
  </si>
  <si>
    <t>_Space2</t>
  </si>
  <si>
    <t>RETPEN-Act</t>
  </si>
  <si>
    <t>_RETFLAG</t>
  </si>
  <si>
    <t>RETPEN-Bud</t>
  </si>
  <si>
    <t>RETPEN-LY</t>
  </si>
  <si>
    <t>DOW-LY</t>
  </si>
  <si>
    <t>LY-Date</t>
  </si>
  <si>
    <t>LY-Apts</t>
  </si>
  <si>
    <t>Service-LY</t>
  </si>
  <si>
    <t>Retail-LY</t>
  </si>
  <si>
    <t>LY-Rollup</t>
  </si>
  <si>
    <t>Simple-Forecast</t>
  </si>
  <si>
    <t>Admin Hours</t>
  </si>
  <si>
    <t>Est-Admin-Payroll</t>
  </si>
  <si>
    <t>Estimated-Payroll-Rollup</t>
  </si>
  <si>
    <t>PR-vs-DAY</t>
  </si>
  <si>
    <t>PR-vs-CUMM</t>
  </si>
  <si>
    <t>Simple-Forecast-Retail</t>
  </si>
  <si>
    <t>Retail Hours</t>
  </si>
  <si>
    <t>Est-Retail-Payroll</t>
  </si>
  <si>
    <t>Est-Retail-PayrollRU</t>
  </si>
  <si>
    <t>PR-vs-DAY2</t>
  </si>
  <si>
    <t>PR-vs-CUMM3</t>
  </si>
  <si>
    <t>January</t>
  </si>
  <si>
    <t>February</t>
  </si>
  <si>
    <t>March</t>
  </si>
  <si>
    <t>April</t>
  </si>
  <si>
    <t>May</t>
  </si>
  <si>
    <t>June</t>
  </si>
  <si>
    <t>July</t>
  </si>
  <si>
    <t>August</t>
  </si>
  <si>
    <t>September</t>
  </si>
  <si>
    <t>October</t>
  </si>
  <si>
    <t>November</t>
  </si>
  <si>
    <t>December</t>
  </si>
  <si>
    <t>Month</t>
  </si>
  <si>
    <t>*select only one year</t>
  </si>
  <si>
    <t>SummaryMonth</t>
  </si>
  <si>
    <t>Overall-Actuals</t>
  </si>
  <si>
    <t>Service-Budget</t>
  </si>
  <si>
    <t>Retail-Budget</t>
  </si>
  <si>
    <t>Overall-Budget</t>
  </si>
  <si>
    <t>Variance to Budget</t>
  </si>
  <si>
    <t>PercentageBudget</t>
  </si>
  <si>
    <t>Overall-LY</t>
  </si>
  <si>
    <t>Variance to LY</t>
  </si>
  <si>
    <t>Percentage to LY</t>
  </si>
  <si>
    <t>Property Input:</t>
  </si>
  <si>
    <t>BudgetMonth</t>
  </si>
  <si>
    <t>BudgetYear</t>
  </si>
  <si>
    <t>MonthAdjustment</t>
  </si>
  <si>
    <t>365 Seasonality</t>
  </si>
  <si>
    <t>UPDATE-DATE</t>
  </si>
  <si>
    <t>Actual Service Revenue</t>
  </si>
  <si>
    <t>Actual Retail Revenue</t>
  </si>
  <si>
    <t>Plan Service</t>
  </si>
  <si>
    <t>Plan Retail</t>
  </si>
  <si>
    <t>UpMonth</t>
  </si>
  <si>
    <t>UpYear</t>
  </si>
  <si>
    <t>TY-ATR</t>
  </si>
  <si>
    <t>LY-ATR</t>
  </si>
  <si>
    <t>TY-Volume</t>
  </si>
  <si>
    <t>LY-Volume</t>
  </si>
  <si>
    <t>TY-PR-DOW</t>
  </si>
  <si>
    <t>TY-SERV-DOW</t>
  </si>
  <si>
    <t>TY-RET-DOW</t>
  </si>
  <si>
    <t>LY-PR-DOW</t>
  </si>
  <si>
    <t>LY-SERV-DOW</t>
  </si>
  <si>
    <t>LY-RET-DOW</t>
  </si>
  <si>
    <t>Actual</t>
  </si>
  <si>
    <t>Budget</t>
  </si>
  <si>
    <t>Last Year</t>
  </si>
  <si>
    <t>LY</t>
  </si>
  <si>
    <t>Bgt</t>
  </si>
  <si>
    <t>TY</t>
  </si>
  <si>
    <t>PR-%-TY</t>
  </si>
  <si>
    <t>PR-%-LY</t>
  </si>
  <si>
    <t>PR-%-Bud</t>
  </si>
  <si>
    <t>Revenues-TY</t>
  </si>
  <si>
    <t>Revenues-LY</t>
  </si>
  <si>
    <t>vsBud</t>
  </si>
  <si>
    <t>vsLY</t>
  </si>
  <si>
    <t>Budget Scaler</t>
  </si>
  <si>
    <t>Last Year Scaler</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</si>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</sst>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_([$$-409]* #,##0.00_);_([$$-409]* \(#,##0.00\);_([$$-409]* &quot;-&quot;??_);_(@_)"/>
    <numFmt numFmtId="166" formatCode="ddd"/>
    <numFmt numFmtId="167" formatCode="_(&quot;$&quot;* #,##0_);_(&quot;$&quot;* \(#,##0\);_(&quot;$&quot;* &quot;-&quot;??_);_(@_)"/>
    <numFmt numFmtId="168" formatCode="m/d/yy"/>
    <numFmt numFmtId="169" formatCode="0.0%"/>
    <numFmt numFmtId="170" formatCode="_(* #,##0.0_);_(* \(#,##0.0\);_(* &quot;-&quot;??_);_(@_)"/>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24"/>
      <color theme="1"/>
      <name val="Calibri"/>
      <family val="2"/>
      <scheme val="minor"/>
    </font>
    <font>
      <sz val="11"/>
      <color indexed="8"/>
      <name val="Calibri"/>
      <family val="2"/>
    </font>
    <font>
      <b/>
      <sz val="9"/>
      <color theme="0"/>
      <name val="Calibri"/>
      <family val="2"/>
    </font>
    <font>
      <b/>
      <sz val="8"/>
      <color theme="1"/>
      <name val="Calibri"/>
      <family val="2"/>
      <scheme val="minor"/>
    </font>
    <font>
      <b/>
      <sz val="8"/>
      <color theme="0" tint="-0.249977111117893"/>
      <name val="Calibri"/>
      <family val="2"/>
      <scheme val="minor"/>
    </font>
    <font>
      <i/>
      <sz val="11"/>
      <color theme="1"/>
      <name val="Calibri"/>
      <family val="2"/>
      <scheme val="minor"/>
    </font>
    <font>
      <sz val="11"/>
      <name val="Calibri"/>
      <family val="2"/>
      <scheme val="minor"/>
    </font>
    <font>
      <b/>
      <sz val="11"/>
      <color theme="0"/>
      <name val="Calibri"/>
      <family val="2"/>
      <scheme val="minor"/>
    </font>
    <font>
      <b/>
      <sz val="10"/>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CCCFF"/>
        <bgColor indexed="64"/>
      </patternFill>
    </fill>
    <fill>
      <patternFill patternType="solid">
        <fgColor theme="1"/>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14">
    <border>
      <left/>
      <right/>
      <top/>
      <bottom/>
      <diagonal/>
    </border>
    <border>
      <left style="thin">
        <color indexed="64"/>
      </left>
      <right style="thin">
        <color indexed="64"/>
      </right>
      <top/>
      <bottom/>
      <diagonal/>
    </border>
    <border>
      <left/>
      <right/>
      <top style="thin">
        <color theme="4" tint="0.39997558519241921"/>
      </top>
      <bottom style="thin">
        <color theme="4" tint="0.39997558519241921"/>
      </bottom>
      <diagonal/>
    </border>
    <border>
      <left style="thin">
        <color indexed="64"/>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medium">
        <color indexed="64"/>
      </top>
      <bottom style="thin">
        <color theme="4" tint="0.39997558519241921"/>
      </bottom>
      <diagonal/>
    </border>
    <border>
      <left style="thin">
        <color indexed="64"/>
      </left>
      <right/>
      <top/>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cellStyleXfs>
  <cellXfs count="106">
    <xf numFmtId="0" fontId="0" fillId="0" borderId="0" xfId="0"/>
    <xf numFmtId="44" fontId="0" fillId="0" borderId="0" xfId="2" applyFont="1"/>
    <xf numFmtId="0" fontId="6" fillId="5" borderId="0" xfId="4" applyFont="1" applyFill="1" applyBorder="1" applyAlignment="1">
      <alignment horizontal="right" vertical="center" wrapText="1"/>
    </xf>
    <xf numFmtId="44" fontId="0" fillId="0" borderId="0" xfId="0" applyNumberFormat="1"/>
    <xf numFmtId="0" fontId="0" fillId="0" borderId="0" xfId="0" applyAlignment="1">
      <alignment horizontal="center" vertical="center" wrapText="1"/>
    </xf>
    <xf numFmtId="9" fontId="2" fillId="0" borderId="0" xfId="3" applyFont="1"/>
    <xf numFmtId="0" fontId="7" fillId="0" borderId="0" xfId="0" applyFont="1"/>
    <xf numFmtId="14" fontId="0" fillId="0" borderId="0" xfId="0" applyNumberFormat="1"/>
    <xf numFmtId="0" fontId="0" fillId="0" borderId="0" xfId="0" applyProtection="1">
      <protection hidden="1"/>
    </xf>
    <xf numFmtId="0" fontId="0" fillId="2" borderId="0" xfId="0" applyFill="1" applyAlignment="1" applyProtection="1">
      <alignment horizontal="center"/>
      <protection hidden="1"/>
    </xf>
    <xf numFmtId="0" fontId="0" fillId="2" borderId="0" xfId="0" applyFill="1" applyProtection="1">
      <protection hidden="1"/>
    </xf>
    <xf numFmtId="0" fontId="8" fillId="0" borderId="0" xfId="0" applyFont="1" applyProtection="1">
      <protection hidden="1"/>
    </xf>
    <xf numFmtId="44" fontId="0" fillId="0" borderId="0" xfId="2" applyFont="1" applyProtection="1">
      <protection hidden="1"/>
    </xf>
    <xf numFmtId="44" fontId="7" fillId="0" borderId="0" xfId="2" applyFont="1" applyProtection="1">
      <protection hidden="1"/>
    </xf>
    <xf numFmtId="1" fontId="0" fillId="0" borderId="0" xfId="2" applyNumberFormat="1" applyFont="1" applyProtection="1">
      <protection hidden="1"/>
    </xf>
    <xf numFmtId="14" fontId="0" fillId="0" borderId="0" xfId="0" applyNumberFormat="1" applyProtection="1">
      <protection hidden="1"/>
    </xf>
    <xf numFmtId="0" fontId="4" fillId="0" borderId="0" xfId="0" applyFont="1" applyAlignment="1" applyProtection="1">
      <alignment vertical="center" wrapText="1"/>
      <protection hidden="1"/>
    </xf>
    <xf numFmtId="0" fontId="4" fillId="0" borderId="6" xfId="0" applyFont="1" applyBorder="1" applyAlignment="1" applyProtection="1">
      <alignment vertical="center" wrapText="1"/>
      <protection hidden="1"/>
    </xf>
    <xf numFmtId="44" fontId="9" fillId="0" borderId="0" xfId="2" applyFont="1" applyProtection="1">
      <protection hidden="1"/>
    </xf>
    <xf numFmtId="0" fontId="0" fillId="0" borderId="4" xfId="0" applyBorder="1" applyAlignment="1" applyProtection="1">
      <alignment horizontal="center" vertical="top" wrapText="1"/>
      <protection hidden="1"/>
    </xf>
    <xf numFmtId="0" fontId="0" fillId="0" borderId="5" xfId="0" applyBorder="1" applyAlignment="1" applyProtection="1">
      <alignment horizontal="center" vertical="top" wrapText="1"/>
      <protection hidden="1"/>
    </xf>
    <xf numFmtId="1" fontId="0" fillId="0" borderId="4" xfId="2" applyNumberFormat="1" applyFont="1" applyBorder="1" applyAlignment="1" applyProtection="1">
      <alignment horizontal="center" vertical="top" wrapText="1"/>
      <protection hidden="1"/>
    </xf>
    <xf numFmtId="168" fontId="0" fillId="0" borderId="4" xfId="0" applyNumberFormat="1" applyBorder="1" applyAlignment="1" applyProtection="1">
      <alignment horizontal="center" vertical="top" wrapText="1"/>
      <protection hidden="1"/>
    </xf>
    <xf numFmtId="44" fontId="0" fillId="0" borderId="4" xfId="2" applyFont="1" applyBorder="1" applyAlignment="1" applyProtection="1">
      <alignment horizontal="center" vertical="top" wrapText="1"/>
      <protection hidden="1"/>
    </xf>
    <xf numFmtId="165" fontId="0" fillId="0" borderId="4" xfId="0" applyNumberFormat="1" applyBorder="1" applyAlignment="1" applyProtection="1">
      <alignment horizontal="center" vertical="top" wrapText="1"/>
      <protection hidden="1"/>
    </xf>
    <xf numFmtId="165" fontId="0" fillId="0" borderId="4" xfId="2" applyNumberFormat="1" applyFont="1" applyBorder="1" applyAlignment="1" applyProtection="1">
      <alignment horizontal="center" vertical="top" wrapText="1"/>
      <protection hidden="1"/>
    </xf>
    <xf numFmtId="0" fontId="0" fillId="0" borderId="3" xfId="0" applyFill="1" applyBorder="1" applyProtection="1">
      <protection hidden="1"/>
    </xf>
    <xf numFmtId="164" fontId="0" fillId="0" borderId="0" xfId="1" applyNumberFormat="1" applyFont="1" applyBorder="1" applyProtection="1">
      <protection hidden="1"/>
    </xf>
    <xf numFmtId="0" fontId="0" fillId="0" borderId="0" xfId="0" applyBorder="1" applyProtection="1">
      <protection hidden="1"/>
    </xf>
    <xf numFmtId="1" fontId="0" fillId="0" borderId="0" xfId="3" applyNumberFormat="1" applyFont="1" applyFill="1" applyBorder="1" applyProtection="1">
      <protection hidden="1"/>
    </xf>
    <xf numFmtId="166" fontId="0" fillId="0" borderId="0" xfId="0" applyNumberFormat="1" applyFill="1" applyBorder="1" applyProtection="1">
      <protection hidden="1"/>
    </xf>
    <xf numFmtId="168" fontId="0" fillId="0" borderId="0" xfId="0" applyNumberFormat="1" applyFill="1" applyBorder="1" applyProtection="1">
      <protection hidden="1"/>
    </xf>
    <xf numFmtId="167" fontId="0" fillId="0" borderId="0" xfId="2" applyNumberFormat="1" applyFont="1" applyFill="1" applyBorder="1" applyProtection="1">
      <protection hidden="1"/>
    </xf>
    <xf numFmtId="167" fontId="0" fillId="6" borderId="0" xfId="2" applyNumberFormat="1" applyFont="1" applyFill="1" applyBorder="1" applyProtection="1">
      <protection hidden="1"/>
    </xf>
    <xf numFmtId="167" fontId="0" fillId="7" borderId="0" xfId="2" applyNumberFormat="1" applyFont="1" applyFill="1" applyBorder="1" applyProtection="1">
      <protection hidden="1"/>
    </xf>
    <xf numFmtId="167" fontId="0" fillId="8" borderId="0" xfId="2" applyNumberFormat="1" applyFont="1" applyFill="1" applyBorder="1" applyProtection="1">
      <protection hidden="1"/>
    </xf>
    <xf numFmtId="9" fontId="0" fillId="3" borderId="0" xfId="3" applyFont="1" applyFill="1" applyBorder="1" applyProtection="1">
      <protection hidden="1"/>
    </xf>
    <xf numFmtId="169" fontId="0" fillId="0" borderId="0" xfId="3" applyNumberFormat="1" applyFont="1" applyProtection="1">
      <protection hidden="1"/>
    </xf>
    <xf numFmtId="168" fontId="0" fillId="0" borderId="0" xfId="3" applyNumberFormat="1" applyFont="1" applyFill="1" applyBorder="1" applyProtection="1">
      <protection hidden="1"/>
    </xf>
    <xf numFmtId="37" fontId="0" fillId="0" borderId="0" xfId="1" applyNumberFormat="1" applyFont="1" applyFill="1" applyBorder="1" applyProtection="1">
      <protection hidden="1"/>
    </xf>
    <xf numFmtId="42" fontId="0" fillId="0" borderId="0" xfId="2" applyNumberFormat="1" applyFont="1" applyFill="1" applyBorder="1" applyProtection="1">
      <protection hidden="1"/>
    </xf>
    <xf numFmtId="169" fontId="0" fillId="0" borderId="0" xfId="3" applyNumberFormat="1" applyFont="1"/>
    <xf numFmtId="0" fontId="7" fillId="0" borderId="0" xfId="0" applyFont="1" applyAlignment="1"/>
    <xf numFmtId="167" fontId="0" fillId="9" borderId="7" xfId="2" applyNumberFormat="1" applyFont="1" applyFill="1" applyBorder="1"/>
    <xf numFmtId="0" fontId="0" fillId="0" borderId="0" xfId="0" applyFont="1" applyAlignment="1"/>
    <xf numFmtId="0" fontId="0" fillId="0" borderId="0" xfId="0" applyBorder="1"/>
    <xf numFmtId="44" fontId="0" fillId="0" borderId="0" xfId="2" applyNumberFormat="1" applyFont="1"/>
    <xf numFmtId="0" fontId="10" fillId="0" borderId="0" xfId="0" applyFont="1"/>
    <xf numFmtId="0" fontId="10" fillId="0" borderId="0" xfId="0" applyFont="1" applyProtection="1">
      <protection hidden="1"/>
    </xf>
    <xf numFmtId="14" fontId="10" fillId="0" borderId="0" xfId="0" applyNumberFormat="1" applyFont="1" applyProtection="1">
      <protection hidden="1"/>
    </xf>
    <xf numFmtId="169" fontId="0" fillId="3" borderId="0" xfId="3" applyNumberFormat="1" applyFont="1" applyFill="1" applyBorder="1" applyProtection="1">
      <protection hidden="1"/>
    </xf>
    <xf numFmtId="164" fontId="4" fillId="0" borderId="0" xfId="0" applyNumberFormat="1" applyFont="1" applyAlignment="1" applyProtection="1">
      <alignment vertical="center" wrapText="1"/>
      <protection hidden="1"/>
    </xf>
    <xf numFmtId="0" fontId="0" fillId="0" borderId="0" xfId="0" applyNumberFormat="1"/>
    <xf numFmtId="166" fontId="0" fillId="0" borderId="0" xfId="0" applyNumberFormat="1"/>
    <xf numFmtId="165" fontId="11" fillId="10" borderId="4" xfId="2" applyNumberFormat="1" applyFont="1" applyFill="1" applyBorder="1" applyAlignment="1">
      <alignment horizontal="center" vertical="top" wrapText="1"/>
    </xf>
    <xf numFmtId="169" fontId="2" fillId="11" borderId="2" xfId="3" applyNumberFormat="1" applyFont="1" applyFill="1" applyBorder="1"/>
    <xf numFmtId="167" fontId="0" fillId="0" borderId="0" xfId="2" applyNumberFormat="1" applyFont="1" applyFill="1" applyProtection="1">
      <protection hidden="1"/>
    </xf>
    <xf numFmtId="167" fontId="0" fillId="6" borderId="0" xfId="2" applyNumberFormat="1" applyFont="1" applyFill="1" applyProtection="1">
      <protection hidden="1"/>
    </xf>
    <xf numFmtId="167" fontId="0" fillId="7" borderId="0" xfId="2" applyNumberFormat="1" applyFont="1" applyFill="1" applyProtection="1">
      <protection hidden="1"/>
    </xf>
    <xf numFmtId="167" fontId="0" fillId="8" borderId="0" xfId="2" applyNumberFormat="1" applyFont="1" applyFill="1" applyProtection="1">
      <protection hidden="1"/>
    </xf>
    <xf numFmtId="9" fontId="0" fillId="3" borderId="0" xfId="3" applyNumberFormat="1" applyFont="1" applyFill="1" applyProtection="1">
      <protection hidden="1"/>
    </xf>
    <xf numFmtId="0" fontId="0" fillId="0" borderId="0" xfId="2" applyNumberFormat="1" applyFont="1" applyProtection="1">
      <protection hidden="1"/>
    </xf>
    <xf numFmtId="169" fontId="0" fillId="3" borderId="0" xfId="3" applyNumberFormat="1" applyFont="1" applyFill="1" applyProtection="1">
      <protection hidden="1"/>
    </xf>
    <xf numFmtId="166" fontId="0" fillId="0" borderId="0" xfId="3" applyNumberFormat="1" applyFont="1" applyFill="1" applyProtection="1">
      <protection hidden="1"/>
    </xf>
    <xf numFmtId="168" fontId="0" fillId="0" borderId="0" xfId="3" applyNumberFormat="1" applyFont="1" applyFill="1" applyProtection="1">
      <protection hidden="1"/>
    </xf>
    <xf numFmtId="37" fontId="0" fillId="0" borderId="0" xfId="1" applyNumberFormat="1" applyFont="1" applyFill="1" applyProtection="1">
      <protection hidden="1"/>
    </xf>
    <xf numFmtId="42" fontId="0" fillId="0" borderId="0" xfId="2" applyNumberFormat="1" applyFont="1" applyFill="1" applyProtection="1">
      <protection hidden="1"/>
    </xf>
    <xf numFmtId="169" fontId="0" fillId="0" borderId="2" xfId="3" applyNumberFormat="1" applyFont="1" applyBorder="1"/>
    <xf numFmtId="169" fontId="0" fillId="11" borderId="2" xfId="3" applyNumberFormat="1" applyFont="1" applyFill="1" applyBorder="1"/>
    <xf numFmtId="9" fontId="0" fillId="0" borderId="0" xfId="3" applyFont="1"/>
    <xf numFmtId="10" fontId="0" fillId="0" borderId="0" xfId="3" applyNumberFormat="1" applyFont="1"/>
    <xf numFmtId="9" fontId="0" fillId="0" borderId="0" xfId="0" applyNumberFormat="1"/>
    <xf numFmtId="165" fontId="11" fillId="10" borderId="10" xfId="2" applyNumberFormat="1" applyFont="1" applyFill="1" applyBorder="1" applyAlignment="1">
      <alignment horizontal="center" vertical="top" wrapText="1"/>
    </xf>
    <xf numFmtId="165" fontId="11" fillId="10" borderId="12" xfId="2" applyNumberFormat="1" applyFont="1" applyFill="1" applyBorder="1" applyAlignment="1">
      <alignment horizontal="center" vertical="top" wrapText="1"/>
    </xf>
    <xf numFmtId="164" fontId="0" fillId="4" borderId="1" xfId="1" applyNumberFormat="1" applyFont="1" applyFill="1" applyBorder="1" applyProtection="1">
      <protection locked="0"/>
    </xf>
    <xf numFmtId="167" fontId="0" fillId="4" borderId="1" xfId="2" applyNumberFormat="1" applyFont="1" applyFill="1" applyBorder="1" applyProtection="1">
      <protection locked="0"/>
    </xf>
    <xf numFmtId="167" fontId="0" fillId="4" borderId="9" xfId="2" applyNumberFormat="1" applyFont="1" applyFill="1" applyBorder="1" applyProtection="1">
      <protection locked="0"/>
    </xf>
    <xf numFmtId="170" fontId="0" fillId="4" borderId="1" xfId="1" applyNumberFormat="1" applyFont="1" applyFill="1" applyBorder="1" applyProtection="1">
      <protection locked="0"/>
    </xf>
    <xf numFmtId="0" fontId="9" fillId="0" borderId="0" xfId="0" applyFont="1"/>
    <xf numFmtId="9" fontId="0" fillId="0" borderId="0" xfId="3" applyFont="1" applyProtection="1">
      <protection locked="0"/>
    </xf>
    <xf numFmtId="44" fontId="0" fillId="4" borderId="13" xfId="2" applyFont="1" applyFill="1" applyBorder="1" applyProtection="1">
      <protection locked="0"/>
    </xf>
    <xf numFmtId="9" fontId="0" fillId="4" borderId="11" xfId="3" applyFont="1" applyFill="1" applyBorder="1" applyProtection="1">
      <protection locked="0"/>
    </xf>
    <xf numFmtId="169" fontId="0" fillId="0" borderId="0" xfId="2" applyNumberFormat="1" applyFont="1" applyProtection="1">
      <protection hidden="1"/>
    </xf>
    <xf numFmtId="165" fontId="0" fillId="0" borderId="6" xfId="2" applyNumberFormat="1" applyFont="1" applyBorder="1" applyAlignment="1" applyProtection="1">
      <alignment horizontal="center" vertical="top" wrapText="1"/>
      <protection hidden="1"/>
    </xf>
    <xf numFmtId="0" fontId="0" fillId="0" borderId="6" xfId="0" applyBorder="1" applyProtection="1">
      <protection hidden="1"/>
    </xf>
    <xf numFmtId="0" fontId="0" fillId="0" borderId="6" xfId="0" applyBorder="1"/>
    <xf numFmtId="167" fontId="0" fillId="4" borderId="1" xfId="2" applyNumberFormat="1" applyFont="1" applyFill="1" applyBorder="1" applyProtection="1">
      <protection hidden="1"/>
    </xf>
    <xf numFmtId="0" fontId="6" fillId="5" borderId="0" xfId="4" applyFont="1" applyFill="1" applyBorder="1" applyAlignment="1">
      <alignment horizontal="center" vertical="center" wrapText="1"/>
    </xf>
    <xf numFmtId="0" fontId="6" fillId="5" borderId="0" xfId="4" applyFont="1" applyFill="1" applyBorder="1" applyAlignment="1">
      <alignment horizontal="center" vertical="center"/>
    </xf>
    <xf numFmtId="0" fontId="0" fillId="0" borderId="0" xfId="0" applyAlignment="1" applyProtection="1">
      <alignment horizontal="center"/>
      <protection hidden="1"/>
    </xf>
    <xf numFmtId="165" fontId="11" fillId="10" borderId="4" xfId="2" applyNumberFormat="1" applyFont="1" applyFill="1" applyBorder="1" applyAlignment="1">
      <alignment vertical="top" wrapText="1"/>
    </xf>
    <xf numFmtId="169" fontId="2" fillId="11" borderId="8" xfId="3" applyNumberFormat="1" applyFont="1" applyFill="1" applyBorder="1" applyAlignment="1"/>
    <xf numFmtId="169" fontId="0" fillId="0" borderId="2" xfId="3" applyNumberFormat="1" applyFont="1" applyBorder="1" applyAlignment="1"/>
    <xf numFmtId="169" fontId="0" fillId="11" borderId="2" xfId="3" applyNumberFormat="1" applyFont="1" applyFill="1" applyBorder="1" applyAlignment="1"/>
    <xf numFmtId="164" fontId="2" fillId="11" borderId="8" xfId="1" applyNumberFormat="1" applyFont="1" applyFill="1" applyBorder="1" applyAlignment="1"/>
    <xf numFmtId="164" fontId="0" fillId="0" borderId="2" xfId="1" applyNumberFormat="1" applyFont="1" applyBorder="1" applyAlignment="1"/>
    <xf numFmtId="164" fontId="0" fillId="11" borderId="2" xfId="1" applyNumberFormat="1" applyFont="1" applyFill="1" applyBorder="1" applyAlignment="1"/>
    <xf numFmtId="0" fontId="12" fillId="0" borderId="0" xfId="0" applyFont="1" applyAlignment="1">
      <alignment horizontal="left" vertical="top" wrapText="1"/>
    </xf>
    <xf numFmtId="44" fontId="0" fillId="6" borderId="0" xfId="2" applyFont="1" applyFill="1" applyAlignment="1" applyProtection="1">
      <alignment horizontal="center"/>
      <protection hidden="1"/>
    </xf>
    <xf numFmtId="167" fontId="0" fillId="7" borderId="0" xfId="2" applyNumberFormat="1" applyFont="1" applyFill="1" applyBorder="1" applyAlignment="1" applyProtection="1">
      <alignment horizontal="center"/>
      <protection hidden="1"/>
    </xf>
    <xf numFmtId="167" fontId="0" fillId="8" borderId="2" xfId="2" applyNumberFormat="1" applyFont="1" applyFill="1" applyBorder="1" applyAlignment="1" applyProtection="1">
      <alignment horizontal="center"/>
      <protection hidden="1"/>
    </xf>
    <xf numFmtId="0" fontId="4" fillId="0" borderId="0" xfId="0" applyFont="1" applyAlignment="1" applyProtection="1">
      <alignment horizontal="center" vertical="center" wrapText="1"/>
      <protection hidden="1"/>
    </xf>
    <xf numFmtId="0" fontId="4" fillId="0" borderId="6" xfId="0" applyFont="1" applyBorder="1" applyAlignment="1" applyProtection="1">
      <alignment horizontal="center" vertical="center" wrapText="1"/>
      <protection hidden="1"/>
    </xf>
    <xf numFmtId="0" fontId="6" fillId="5" borderId="0" xfId="4" applyFont="1" applyFill="1" applyBorder="1" applyAlignment="1">
      <alignment horizontal="center" vertical="center" wrapText="1"/>
    </xf>
    <xf numFmtId="0" fontId="6" fillId="5" borderId="0" xfId="4" applyFont="1" applyFill="1" applyBorder="1" applyAlignment="1">
      <alignment horizontal="center" vertical="center"/>
    </xf>
    <xf numFmtId="0" fontId="2" fillId="0" borderId="0" xfId="0" applyFont="1" applyAlignment="1">
      <alignment horizontal="center"/>
    </xf>
  </cellXfs>
  <cellStyles count="5">
    <cellStyle name="Comma" xfId="1" builtinId="3"/>
    <cellStyle name="Currency" xfId="2" builtinId="4"/>
    <cellStyle name="Normal" xfId="0" builtinId="0"/>
    <cellStyle name="Normal 2" xfId="4" xr:uid="{00000000-0005-0000-0000-000003000000}"/>
    <cellStyle name="Percent" xfId="3" builtinId="5"/>
  </cellStyles>
  <dxfs count="91">
    <dxf>
      <numFmt numFmtId="0" formatCode="General"/>
    </dxf>
    <dxf>
      <numFmt numFmtId="19" formatCode="m/d/yyyy"/>
    </dxf>
    <dxf>
      <numFmt numFmtId="19" formatCode="m/d/yyyy"/>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theme="9" tint="0.79998168889431442"/>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theme="9" tint="0.79998168889431442"/>
        </patternFill>
      </fill>
      <border diagonalUp="0" diagonalDown="0">
        <left style="thin">
          <color auto="1"/>
        </left>
        <right style="thin">
          <color auto="1"/>
        </right>
        <top style="thin">
          <color auto="1"/>
        </top>
        <bottom style="thin">
          <color auto="1"/>
        </bottom>
        <vertical/>
        <horizontal/>
      </border>
    </dxf>
    <dxf>
      <font>
        <b/>
      </font>
    </dxf>
    <dxf>
      <numFmt numFmtId="34" formatCode="_(&quot;$&quot;* #,##0.00_);_(&quot;$&quot;* \(#,##0.00\);_(&quot;$&quot;* &quot;-&quot;??_);_(@_)"/>
    </dxf>
    <dxf>
      <numFmt numFmtId="34" formatCode="_(&quot;$&quot;* #,##0.00_);_(&quot;$&quot;* \(#,##0.00\);_(&quot;$&quot;* &quot;-&quot;??_);_(@_)"/>
    </dxf>
    <dxf>
      <numFmt numFmtId="34" formatCode="_(&quot;$&quot;* #,##0.00_);_(&quot;$&quot;* \(#,##0.00\);_(&quot;$&quot;* &quot;-&quot;??_);_(@_)"/>
    </dxf>
    <dxf>
      <font>
        <b/>
      </font>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scheme val="minor"/>
      </font>
      <numFmt numFmtId="34" formatCode="_(&quot;$&quot;* #,##0.00_);_(&quot;$&quot;* \(#,##0.00\);_(&quot;$&quot;* &quot;-&quot;??_);_(@_)"/>
    </dxf>
    <dxf>
      <border outline="0">
        <top style="thin">
          <color auto="1"/>
        </top>
      </border>
    </dxf>
    <dxf>
      <alignment horizontal="center" vertical="center" textRotation="0" wrapText="1" indent="0" justifyLastLine="0" shrinkToFit="0" readingOrder="0"/>
    </dxf>
    <dxf>
      <numFmt numFmtId="169" formatCode="0.0%"/>
      <protection locked="1" hidden="1"/>
    </dxf>
    <dxf>
      <numFmt numFmtId="169" formatCode="0.0%"/>
      <protection locked="1" hidden="1"/>
    </dxf>
    <dxf>
      <font>
        <b val="0"/>
        <i val="0"/>
        <strike val="0"/>
        <condense val="0"/>
        <extend val="0"/>
        <outline val="0"/>
        <shadow val="0"/>
        <u val="none"/>
        <vertAlign val="baseline"/>
        <sz val="11"/>
        <color theme="1"/>
        <name val="Calibri"/>
        <scheme val="minor"/>
      </font>
      <numFmt numFmtId="32" formatCode="_(&quot;$&quot;* #,##0_);_(&quot;$&quot;* \(#,##0\);_(&quot;$&quot;*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32" formatCode="_(&quot;$&quot;* #,##0_);_(&quot;$&quot;* \(#,##0\);_(&quot;$&quot;* &quot;-&quot;_);_(@_)"/>
      <protection locked="1" hidden="1"/>
    </dxf>
    <dxf>
      <font>
        <b val="0"/>
        <i val="0"/>
        <strike val="0"/>
        <condense val="0"/>
        <extend val="0"/>
        <outline val="0"/>
        <shadow val="0"/>
        <u val="none"/>
        <vertAlign val="baseline"/>
        <sz val="11"/>
        <color theme="1"/>
        <name val="Calibri"/>
        <scheme val="minor"/>
      </font>
      <numFmt numFmtId="170" formatCode="_(* #,##0.0_);_(* \(#,##0.0\);_(* &quot;-&quot;??_);_(@_)"/>
      <fill>
        <patternFill patternType="solid">
          <fgColor indexed="64"/>
          <bgColor rgb="FFCCCCFF"/>
        </patternFill>
      </fill>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34" formatCode="_(&quot;$&quot;* #,##0.00_);_(&quot;$&quot;* \(#,##0.00\);_(&quot;$&quot;* &quot;-&quot;??_);_(@_)"/>
      <protection locked="1" hidden="1"/>
    </dxf>
    <dxf>
      <numFmt numFmtId="169" formatCode="0.0%"/>
    </dxf>
    <dxf>
      <numFmt numFmtId="169" formatCode="0.0%"/>
    </dxf>
    <dxf>
      <font>
        <b val="0"/>
        <i val="0"/>
        <strike val="0"/>
        <condense val="0"/>
        <extend val="0"/>
        <outline val="0"/>
        <shadow val="0"/>
        <u val="none"/>
        <vertAlign val="baseline"/>
        <sz val="11"/>
        <color theme="1"/>
        <name val="Calibri"/>
        <scheme val="minor"/>
      </font>
      <numFmt numFmtId="32" formatCode="_(&quot;$&quot;* #,##0_);_(&quot;$&quot;* \(#,##0\);_(&quot;$&quot;*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32" formatCode="_(&quot;$&quot;* #,##0_);_(&quot;$&quot;* \(#,##0\);_(&quot;$&quot;* &quot;-&quot;_);_(@_)"/>
      <fill>
        <patternFill patternType="none">
          <fgColor indexed="64"/>
          <bgColor indexed="65"/>
        </patternFill>
      </fill>
      <border diagonalUp="0" diagonalDown="0">
        <left style="thin">
          <color indexed="64"/>
        </left>
        <right style="thin">
          <color indexed="64"/>
        </right>
        <top/>
        <bottom/>
      </border>
      <protection locked="1" hidden="1"/>
    </dxf>
    <dxf>
      <font>
        <b val="0"/>
        <i val="0"/>
        <strike val="0"/>
        <condense val="0"/>
        <extend val="0"/>
        <outline val="0"/>
        <shadow val="0"/>
        <u val="none"/>
        <vertAlign val="baseline"/>
        <sz val="11"/>
        <color theme="1"/>
        <name val="Calibri"/>
        <scheme val="minor"/>
      </font>
      <numFmt numFmtId="170" formatCode="_(* #,##0.0_);_(* \(#,##0.0\);_(* &quot;-&quot;??_);_(@_)"/>
      <fill>
        <patternFill patternType="solid">
          <fgColor indexed="64"/>
          <bgColor rgb="FFCCCCFF"/>
        </patternFill>
      </fill>
      <border diagonalUp="0" diagonalDown="0">
        <left style="thin">
          <color indexed="64"/>
        </left>
        <right style="thin">
          <color indexed="64"/>
        </right>
        <top/>
        <bottom/>
      </border>
      <protection locked="0" hidden="0"/>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none">
          <fgColor indexed="64"/>
          <bgColor indexed="65"/>
        </patternFill>
      </fill>
      <border outline="0">
        <right style="thin">
          <color indexed="64"/>
        </right>
      </border>
      <protection locked="1" hidden="1"/>
    </dxf>
    <dxf>
      <font>
        <b val="0"/>
        <i val="0"/>
        <strike val="0"/>
        <condense val="0"/>
        <extend val="0"/>
        <outline val="0"/>
        <shadow val="0"/>
        <u val="none"/>
        <vertAlign val="baseline"/>
        <sz val="11"/>
        <color theme="1"/>
        <name val="Calibri"/>
        <scheme val="minor"/>
      </font>
      <numFmt numFmtId="5" formatCode="#,##0_);\(#,##0\)"/>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5" formatCode="#,##0_);\(#,##0\)"/>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5" formatCode="#,##0_);\(#,##0\)"/>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8" formatCode="m/d/yy"/>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166" formatCode="ddd"/>
      <fill>
        <patternFill patternType="none">
          <fgColor indexed="64"/>
          <bgColor indexed="65"/>
        </patternFill>
      </fill>
      <protection locked="1" hidden="1"/>
    </dxf>
    <dxf>
      <numFmt numFmtId="169" formatCode="0.0%"/>
      <protection locked="1" hidden="1"/>
    </dxf>
    <dxf>
      <numFmt numFmtId="169" formatCode="0.0%"/>
      <protection locked="1" hidden="1"/>
    </dxf>
    <dxf>
      <font>
        <b val="0"/>
        <i val="0"/>
        <strike val="0"/>
        <condense val="0"/>
        <extend val="0"/>
        <outline val="0"/>
        <shadow val="0"/>
        <u val="none"/>
        <vertAlign val="baseline"/>
        <sz val="11"/>
        <color theme="1"/>
        <name val="Calibri"/>
        <scheme val="minor"/>
      </font>
      <numFmt numFmtId="169" formatCode="0.0%"/>
      <fill>
        <patternFill patternType="solid">
          <fgColor indexed="64"/>
          <bgColor theme="0"/>
        </patternFill>
      </fill>
      <protection locked="1" hidden="1"/>
    </dxf>
    <dxf>
      <numFmt numFmtId="169" formatCode="0.0%"/>
      <protection locked="1" hidden="1"/>
    </dxf>
    <dxf>
      <font>
        <b val="0"/>
        <i val="0"/>
        <strike val="0"/>
        <condense val="0"/>
        <extend val="0"/>
        <outline val="0"/>
        <shadow val="0"/>
        <u val="none"/>
        <vertAlign val="baseline"/>
        <sz val="11"/>
        <color theme="1"/>
        <name val="Calibri"/>
        <scheme val="minor"/>
      </font>
      <numFmt numFmtId="13" formatCode="0%"/>
      <fill>
        <patternFill patternType="solid">
          <fgColor indexed="64"/>
          <bgColor theme="0"/>
        </patternFill>
      </fill>
      <protection locked="1" hidden="1"/>
    </dxf>
    <dxf>
      <numFmt numFmtId="0" formatCode="General"/>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3" formatCode="0%"/>
      <fill>
        <patternFill patternType="solid">
          <fgColor indexed="64"/>
          <bgColor theme="0"/>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theme="0" tint="-0.249977111117893"/>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theme="0" tint="-0.249977111117893"/>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rgb="FF00B0F0"/>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rgb="FF00B0F0"/>
        </patternFill>
      </fill>
      <protection locked="1" hidden="1"/>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theme="7" tint="0.59999389629810485"/>
        </patternFill>
      </fill>
      <protection locked="1" hidden="1"/>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theme="7" tint="0.59999389629810485"/>
        </patternFill>
      </fill>
      <protection locked="1" hidden="1"/>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rgb="FFCCCCFF"/>
        </patternFill>
      </fill>
      <border diagonalUp="0" diagonalDown="0">
        <left style="thin">
          <color indexed="64"/>
        </left>
        <right/>
        <top/>
        <bottom/>
      </border>
      <protection locked="0" hidden="0"/>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border diagonalUp="0" diagonalDown="0" outline="0">
        <left/>
        <right/>
        <top/>
        <bottom/>
      </border>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solid">
          <fgColor indexed="64"/>
          <bgColor rgb="FFCCCCFF"/>
        </patternFill>
      </fill>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167" formatCode="_(&quot;$&quot;* #,##0_);_(&quot;$&quot;* \(#,##0\);_(&quot;$&quot;*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64" formatCode="_(* #,##0_);_(* \(#,##0\);_(* &quot;-&quot;??_);_(@_)"/>
      <fill>
        <patternFill patternType="solid">
          <fgColor indexed="64"/>
          <bgColor rgb="FFCCCCFF"/>
        </patternFill>
      </fill>
      <border diagonalUp="0" diagonalDown="0">
        <left style="thin">
          <color indexed="64"/>
        </left>
        <right style="thin">
          <color indexed="64"/>
        </right>
        <top/>
        <bottom/>
        <vertical/>
        <horizontal/>
      </border>
      <protection locked="0" hidden="0"/>
    </dxf>
    <dxf>
      <font>
        <b val="0"/>
        <i val="0"/>
        <strike val="0"/>
        <condense val="0"/>
        <extend val="0"/>
        <outline val="0"/>
        <shadow val="0"/>
        <u val="none"/>
        <vertAlign val="baseline"/>
        <sz val="11"/>
        <color theme="1"/>
        <name val="Calibri"/>
        <scheme val="minor"/>
      </font>
      <numFmt numFmtId="171" formatCode="m/d"/>
      <fill>
        <patternFill patternType="solid">
          <fgColor indexed="64"/>
          <bgColor theme="0"/>
        </patternFill>
      </fill>
      <border diagonalUp="0" diagonalDown="0" outline="0">
        <left style="thin">
          <color indexed="64"/>
        </left>
        <right style="thin">
          <color indexed="64"/>
        </right>
        <top style="thin">
          <color indexed="64"/>
        </top>
        <bottom/>
      </border>
    </dxf>
    <dxf>
      <numFmt numFmtId="168" formatCode="m/d/yy"/>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172" formatCode="dddd"/>
      <fill>
        <patternFill patternType="solid">
          <fgColor indexed="64"/>
          <bgColor theme="0"/>
        </patternFill>
      </fill>
      <border diagonalUp="0" diagonalDown="0" outline="0">
        <left style="thin">
          <color indexed="64"/>
        </left>
        <right style="thin">
          <color indexed="64"/>
        </right>
        <top style="thin">
          <color indexed="64"/>
        </top>
        <bottom/>
      </border>
    </dxf>
    <dxf>
      <numFmt numFmtId="166" formatCode="ddd"/>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numFmt numFmtId="34" formatCode="_(&quot;$&quot;* #,##0.00_);_(&quot;$&quot;* \(#,##0.00\);_(&quot;$&quot;* &quot;-&quot;??_);_(@_)"/>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1" formatCode="0"/>
      <fill>
        <patternFill patternType="none">
          <fgColor indexed="64"/>
          <bgColor indexed="65"/>
        </patternFill>
      </fill>
      <protection locked="1" hidden="1"/>
    </dxf>
    <dxf>
      <numFmt numFmtId="0" formatCode="General"/>
      <border diagonalUp="0" diagonalDown="0" outline="0">
        <left/>
        <right/>
        <top/>
        <bottom/>
      </border>
    </dxf>
    <dxf>
      <numFmt numFmtId="0" formatCode="General"/>
      <protection locked="1" hidden="1"/>
    </dxf>
    <dxf>
      <numFmt numFmtId="0" formatCode="General"/>
      <border diagonalUp="0" diagonalDown="0" outline="0">
        <left/>
        <right/>
        <top/>
        <bottom/>
      </border>
    </dxf>
    <dxf>
      <numFmt numFmtId="164" formatCode="_(* #,##0_);_(* \(#,##0\);_(* &quot;-&quot;??_);_(@_)"/>
      <protection locked="1" hidden="1"/>
    </dxf>
    <dxf>
      <font>
        <b val="0"/>
        <i val="0"/>
        <strike val="0"/>
        <condense val="0"/>
        <extend val="0"/>
        <outline val="0"/>
        <shadow val="0"/>
        <u val="none"/>
        <vertAlign val="baseline"/>
        <sz val="11"/>
        <color theme="1"/>
        <name val="Calibri"/>
        <scheme val="minor"/>
      </font>
      <numFmt numFmtId="164" formatCode="_(* #,##0_);_(* \(#,##0\);_(* &quot;-&quot;??_);_(@_)"/>
      <border diagonalUp="0" diagonalDown="0" outline="0">
        <left/>
        <right/>
        <top/>
        <bottom/>
      </border>
    </dxf>
    <dxf>
      <numFmt numFmtId="164" formatCode="_(* #,##0_);_(* \(#,##0\);_(* &quot;-&quot;??_);_(@_)"/>
      <fill>
        <patternFill patternType="none">
          <fgColor indexed="64"/>
          <bgColor indexed="65"/>
        </patternFill>
      </fill>
      <protection locked="1" hidden="1"/>
    </dxf>
    <dxf>
      <font>
        <b val="0"/>
        <i val="0"/>
        <strike val="0"/>
        <condense val="0"/>
        <extend val="0"/>
        <outline val="0"/>
        <shadow val="0"/>
        <u val="none"/>
        <vertAlign val="baseline"/>
        <sz val="11"/>
        <color theme="1"/>
        <name val="Calibri"/>
        <scheme val="minor"/>
      </font>
      <fill>
        <patternFill patternType="solid">
          <fgColor indexed="64"/>
          <bgColor theme="0"/>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left style="thin">
          <color indexed="64"/>
        </left>
        <right/>
        <top/>
        <bottom style="thin">
          <color indexed="64"/>
        </bottom>
        <vertical/>
        <horizontal/>
      </border>
      <protection locked="1" hidden="1"/>
    </dxf>
    <dxf>
      <protection locked="1" hidden="1"/>
    </dxf>
    <dxf>
      <border>
        <bottom style="medium">
          <color indexed="64"/>
        </bottom>
      </border>
    </dxf>
    <dxf>
      <alignment horizontal="center" vertical="top" textRotation="0" wrapText="1" indent="0" justifyLastLine="0" shrinkToFit="0" readingOrder="0"/>
      <border diagonalUp="0" diagonalDown="0">
        <left/>
        <right/>
        <top/>
        <bottom/>
        <vertical/>
        <horizontal/>
      </border>
      <protection locked="1" hidden="1"/>
    </dxf>
    <dxf>
      <font>
        <color theme="9" tint="-0.499984740745262"/>
      </font>
      <fill>
        <patternFill>
          <bgColor theme="9" tint="-0.499984740745262"/>
        </patternFill>
      </fill>
    </dxf>
    <dxf>
      <font>
        <color rgb="FFFFFF00"/>
      </font>
      <fill>
        <patternFill>
          <bgColor rgb="FFFFFF00"/>
        </patternFill>
      </fill>
    </dxf>
    <dxf>
      <font>
        <color rgb="FFC00000"/>
      </font>
      <fill>
        <patternFill>
          <bgColor rgb="FFC00000"/>
        </patternFill>
      </fill>
    </dxf>
    <dxf>
      <font>
        <color rgb="FF00B050"/>
      </font>
      <fill>
        <patternFill>
          <bgColor rgb="FF00B050"/>
        </patternFill>
      </fill>
    </dxf>
  </dxfs>
  <tableStyles count="0" defaultTableStyle="TableStyleMedium2" defaultPivotStyle="PivotStyleLight16"/>
  <colors>
    <mruColors>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Tools!$R$2</c:f>
          <c:strCache>
            <c:ptCount val="1"/>
            <c:pt idx="0">
              <c:v>Example: Fiscal January</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Service</c:v>
          </c:tx>
          <c:spPr>
            <a:solidFill>
              <a:schemeClr val="accent1"/>
            </a:solidFill>
            <a:ln>
              <a:noFill/>
            </a:ln>
            <a:effectLst/>
          </c:spPr>
          <c:invertIfNegative val="0"/>
          <c:dPt>
            <c:idx val="1"/>
            <c:invertIfNegative val="0"/>
            <c:bubble3D val="0"/>
            <c:spPr>
              <a:solidFill>
                <a:schemeClr val="accent4"/>
              </a:solidFill>
              <a:ln>
                <a:noFill/>
              </a:ln>
              <a:effectLst/>
            </c:spPr>
            <c:extLst>
              <c:ext xmlns:c16="http://schemas.microsoft.com/office/drawing/2014/chart" uri="{C3380CC4-5D6E-409C-BE32-E72D297353CC}">
                <c16:uniqueId val="{00000002-6F33-445A-80DD-99F7034917DC}"/>
              </c:ext>
            </c:extLst>
          </c:dPt>
          <c:dPt>
            <c:idx val="2"/>
            <c:invertIfNegative val="0"/>
            <c:bubble3D val="0"/>
            <c:spPr>
              <a:solidFill>
                <a:schemeClr val="tx1">
                  <a:alpha val="55000"/>
                </a:schemeClr>
              </a:solidFill>
              <a:ln>
                <a:noFill/>
              </a:ln>
              <a:effectLst/>
            </c:spPr>
            <c:extLst>
              <c:ext xmlns:c16="http://schemas.microsoft.com/office/drawing/2014/chart" uri="{C3380CC4-5D6E-409C-BE32-E72D297353CC}">
                <c16:uniqueId val="{00000004-6F33-445A-80DD-99F7034917DC}"/>
              </c:ext>
            </c:extLst>
          </c:dPt>
          <c:cat>
            <c:strRef>
              <c:f>Tools!$R$16:$T$16</c:f>
              <c:strCache>
                <c:ptCount val="3"/>
                <c:pt idx="0">
                  <c:v>Actual</c:v>
                </c:pt>
                <c:pt idx="1">
                  <c:v>Budget</c:v>
                </c:pt>
                <c:pt idx="2">
                  <c:v>Last Year</c:v>
                </c:pt>
              </c:strCache>
            </c:strRef>
          </c:cat>
          <c:val>
            <c:numRef>
              <c:f>Tools!$R$17:$T$17</c:f>
              <c:numCache>
                <c:formatCode>_("$"* #,##0.00_);_("$"* \(#,##0.00\);_("$"* "-"??_);_(@_)</c:formatCode>
                <c:ptCount val="3"/>
                <c:pt idx="0">
                  <c:v>146544.21</c:v>
                </c:pt>
                <c:pt idx="1">
                  <c:v>153091.35134626381</c:v>
                </c:pt>
                <c:pt idx="2">
                  <c:v>135500.49</c:v>
                </c:pt>
              </c:numCache>
            </c:numRef>
          </c:val>
          <c:extLst>
            <c:ext xmlns:c16="http://schemas.microsoft.com/office/drawing/2014/chart" uri="{C3380CC4-5D6E-409C-BE32-E72D297353CC}">
              <c16:uniqueId val="{00000000-C2D1-4238-A247-F3F5DFA1FF83}"/>
            </c:ext>
          </c:extLst>
        </c:ser>
        <c:ser>
          <c:idx val="1"/>
          <c:order val="1"/>
          <c:tx>
            <c:v>Retail</c:v>
          </c:tx>
          <c:spPr>
            <a:solidFill>
              <a:schemeClr val="accent2"/>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6F33-445A-80DD-99F7034917DC}"/>
              </c:ext>
            </c:extLst>
          </c:dPt>
          <c:dPt>
            <c:idx val="1"/>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3-6F33-445A-80DD-99F7034917DC}"/>
              </c:ext>
            </c:extLst>
          </c:dPt>
          <c:dPt>
            <c:idx val="2"/>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05-6F33-445A-80DD-99F7034917DC}"/>
              </c:ext>
            </c:extLst>
          </c:dPt>
          <c:cat>
            <c:strRef>
              <c:f>Tools!$R$16:$T$16</c:f>
              <c:strCache>
                <c:ptCount val="3"/>
                <c:pt idx="0">
                  <c:v>Actual</c:v>
                </c:pt>
                <c:pt idx="1">
                  <c:v>Budget</c:v>
                </c:pt>
                <c:pt idx="2">
                  <c:v>Last Year</c:v>
                </c:pt>
              </c:strCache>
            </c:strRef>
          </c:cat>
          <c:val>
            <c:numRef>
              <c:f>Tools!$R$18:$T$18</c:f>
              <c:numCache>
                <c:formatCode>_("$"* #,##0.00_);_("$"* \(#,##0.00\);_("$"* "-"??_);_(@_)</c:formatCode>
                <c:ptCount val="3"/>
                <c:pt idx="0">
                  <c:v>44244.560000000005</c:v>
                </c:pt>
                <c:pt idx="1">
                  <c:v>37538.269557594322</c:v>
                </c:pt>
                <c:pt idx="2">
                  <c:v>28958.17</c:v>
                </c:pt>
              </c:numCache>
            </c:numRef>
          </c:val>
          <c:extLst>
            <c:ext xmlns:c16="http://schemas.microsoft.com/office/drawing/2014/chart" uri="{C3380CC4-5D6E-409C-BE32-E72D297353CC}">
              <c16:uniqueId val="{00000001-C2D1-4238-A247-F3F5DFA1FF83}"/>
            </c:ext>
          </c:extLst>
        </c:ser>
        <c:dLbls>
          <c:showLegendKey val="0"/>
          <c:showVal val="0"/>
          <c:showCatName val="0"/>
          <c:showSerName val="0"/>
          <c:showPercent val="0"/>
          <c:showBubbleSize val="0"/>
        </c:dLbls>
        <c:gapWidth val="133"/>
        <c:overlap val="100"/>
        <c:axId val="174087168"/>
        <c:axId val="174093056"/>
      </c:barChart>
      <c:catAx>
        <c:axId val="174087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93056"/>
        <c:crosses val="autoZero"/>
        <c:auto val="1"/>
        <c:lblAlgn val="ctr"/>
        <c:lblOffset val="100"/>
        <c:noMultiLvlLbl val="0"/>
      </c:catAx>
      <c:valAx>
        <c:axId val="1740930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8716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Tools!$R$4</c:f>
          <c:strCache>
            <c:ptCount val="1"/>
            <c:pt idx="0">
              <c:v>Example: Fiscal January
Treatment: YOY Volume &amp; ATR
*does not include retail revenues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Tools!$R$7</c:f>
              <c:strCache>
                <c:ptCount val="1"/>
                <c:pt idx="0">
                  <c:v>TY-Volume</c:v>
                </c:pt>
              </c:strCache>
            </c:strRef>
          </c:tx>
          <c:spPr>
            <a:solidFill>
              <a:schemeClr val="accent1">
                <a:alpha val="80000"/>
              </a:schemeClr>
            </a:solidFill>
            <a:ln>
              <a:noFill/>
            </a:ln>
            <a:effectLst/>
          </c:spPr>
          <c:invertIfNegative val="0"/>
          <c:cat>
            <c:numRef>
              <c:f>Tools!$S$4:$Y$4</c:f>
              <c:numCache>
                <c:formatCode>ddd</c:formatCode>
                <c:ptCount val="7"/>
                <c:pt idx="0">
                  <c:v>1</c:v>
                </c:pt>
                <c:pt idx="1">
                  <c:v>2</c:v>
                </c:pt>
                <c:pt idx="2">
                  <c:v>3</c:v>
                </c:pt>
                <c:pt idx="3">
                  <c:v>4</c:v>
                </c:pt>
                <c:pt idx="4">
                  <c:v>5</c:v>
                </c:pt>
                <c:pt idx="5">
                  <c:v>6</c:v>
                </c:pt>
                <c:pt idx="6">
                  <c:v>7</c:v>
                </c:pt>
              </c:numCache>
            </c:numRef>
          </c:cat>
          <c:val>
            <c:numRef>
              <c:f>Tools!$S$7:$Y$7</c:f>
              <c:numCache>
                <c:formatCode>General</c:formatCode>
                <c:ptCount val="7"/>
                <c:pt idx="0">
                  <c:v>168</c:v>
                </c:pt>
                <c:pt idx="1">
                  <c:v>68</c:v>
                </c:pt>
                <c:pt idx="2">
                  <c:v>57</c:v>
                </c:pt>
                <c:pt idx="3">
                  <c:v>87</c:v>
                </c:pt>
                <c:pt idx="4">
                  <c:v>62</c:v>
                </c:pt>
                <c:pt idx="5">
                  <c:v>116</c:v>
                </c:pt>
                <c:pt idx="6">
                  <c:v>203</c:v>
                </c:pt>
              </c:numCache>
            </c:numRef>
          </c:val>
          <c:extLst>
            <c:ext xmlns:c16="http://schemas.microsoft.com/office/drawing/2014/chart" uri="{C3380CC4-5D6E-409C-BE32-E72D297353CC}">
              <c16:uniqueId val="{00000002-9DF0-45F6-A9D8-AAA2555FC9BF}"/>
            </c:ext>
          </c:extLst>
        </c:ser>
        <c:ser>
          <c:idx val="3"/>
          <c:order val="3"/>
          <c:tx>
            <c:strRef>
              <c:f>Tools!$R$8</c:f>
              <c:strCache>
                <c:ptCount val="1"/>
                <c:pt idx="0">
                  <c:v>LY-Volume</c:v>
                </c:pt>
              </c:strCache>
            </c:strRef>
          </c:tx>
          <c:spPr>
            <a:solidFill>
              <a:schemeClr val="tx1">
                <a:alpha val="55000"/>
              </a:schemeClr>
            </a:solidFill>
            <a:ln>
              <a:noFill/>
            </a:ln>
            <a:effectLst/>
          </c:spPr>
          <c:invertIfNegative val="0"/>
          <c:cat>
            <c:numRef>
              <c:f>Tools!$S$4:$Y$4</c:f>
              <c:numCache>
                <c:formatCode>ddd</c:formatCode>
                <c:ptCount val="7"/>
                <c:pt idx="0">
                  <c:v>1</c:v>
                </c:pt>
                <c:pt idx="1">
                  <c:v>2</c:v>
                </c:pt>
                <c:pt idx="2">
                  <c:v>3</c:v>
                </c:pt>
                <c:pt idx="3">
                  <c:v>4</c:v>
                </c:pt>
                <c:pt idx="4">
                  <c:v>5</c:v>
                </c:pt>
                <c:pt idx="5">
                  <c:v>6</c:v>
                </c:pt>
                <c:pt idx="6">
                  <c:v>7</c:v>
                </c:pt>
              </c:numCache>
            </c:numRef>
          </c:cat>
          <c:val>
            <c:numRef>
              <c:f>Tools!$S$8:$Y$8</c:f>
              <c:numCache>
                <c:formatCode>General</c:formatCode>
                <c:ptCount val="7"/>
                <c:pt idx="0">
                  <c:v>117</c:v>
                </c:pt>
                <c:pt idx="1">
                  <c:v>63</c:v>
                </c:pt>
                <c:pt idx="2">
                  <c:v>57</c:v>
                </c:pt>
                <c:pt idx="3">
                  <c:v>87</c:v>
                </c:pt>
                <c:pt idx="4">
                  <c:v>59</c:v>
                </c:pt>
                <c:pt idx="5">
                  <c:v>90</c:v>
                </c:pt>
                <c:pt idx="6">
                  <c:v>150</c:v>
                </c:pt>
              </c:numCache>
            </c:numRef>
          </c:val>
          <c:extLst>
            <c:ext xmlns:c16="http://schemas.microsoft.com/office/drawing/2014/chart" uri="{C3380CC4-5D6E-409C-BE32-E72D297353CC}">
              <c16:uniqueId val="{00000003-9DF0-45F6-A9D8-AAA2555FC9BF}"/>
            </c:ext>
          </c:extLst>
        </c:ser>
        <c:dLbls>
          <c:showLegendKey val="0"/>
          <c:showVal val="0"/>
          <c:showCatName val="0"/>
          <c:showSerName val="0"/>
          <c:showPercent val="0"/>
          <c:showBubbleSize val="0"/>
        </c:dLbls>
        <c:gapWidth val="219"/>
        <c:axId val="174158208"/>
        <c:axId val="174152320"/>
      </c:barChart>
      <c:lineChart>
        <c:grouping val="standard"/>
        <c:varyColors val="0"/>
        <c:ser>
          <c:idx val="0"/>
          <c:order val="0"/>
          <c:tx>
            <c:strRef>
              <c:f>Tools!$R$5</c:f>
              <c:strCache>
                <c:ptCount val="1"/>
                <c:pt idx="0">
                  <c:v>TY-ATR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Tools!$S$4:$Y$4</c:f>
              <c:numCache>
                <c:formatCode>ddd</c:formatCode>
                <c:ptCount val="7"/>
                <c:pt idx="0">
                  <c:v>1</c:v>
                </c:pt>
                <c:pt idx="1">
                  <c:v>2</c:v>
                </c:pt>
                <c:pt idx="2">
                  <c:v>3</c:v>
                </c:pt>
                <c:pt idx="3">
                  <c:v>4</c:v>
                </c:pt>
                <c:pt idx="4">
                  <c:v>5</c:v>
                </c:pt>
                <c:pt idx="5">
                  <c:v>6</c:v>
                </c:pt>
                <c:pt idx="6">
                  <c:v>7</c:v>
                </c:pt>
              </c:numCache>
            </c:numRef>
          </c:cat>
          <c:val>
            <c:numRef>
              <c:f>Tools!$S$5:$Y$5</c:f>
              <c:numCache>
                <c:formatCode>_("$"* #,##0.00_);_("$"* \(#,##0.00\);_("$"* "-"??_);_(@_)</c:formatCode>
                <c:ptCount val="7"/>
                <c:pt idx="0">
                  <c:v>181.90726190476192</c:v>
                </c:pt>
                <c:pt idx="1">
                  <c:v>242.81279411764706</c:v>
                </c:pt>
                <c:pt idx="2">
                  <c:v>178.21929824561403</c:v>
                </c:pt>
                <c:pt idx="3">
                  <c:v>166.76091954022991</c:v>
                </c:pt>
                <c:pt idx="4">
                  <c:v>177.28629032258064</c:v>
                </c:pt>
                <c:pt idx="5">
                  <c:v>181.03034482758622</c:v>
                </c:pt>
                <c:pt idx="6">
                  <c:v>210.90911330049263</c:v>
                </c:pt>
              </c:numCache>
            </c:numRef>
          </c:val>
          <c:smooth val="0"/>
          <c:extLst>
            <c:ext xmlns:c16="http://schemas.microsoft.com/office/drawing/2014/chart" uri="{C3380CC4-5D6E-409C-BE32-E72D297353CC}">
              <c16:uniqueId val="{00000000-9DF0-45F6-A9D8-AAA2555FC9BF}"/>
            </c:ext>
          </c:extLst>
        </c:ser>
        <c:ser>
          <c:idx val="1"/>
          <c:order val="1"/>
          <c:tx>
            <c:strRef>
              <c:f>Tools!$R$6</c:f>
              <c:strCache>
                <c:ptCount val="1"/>
                <c:pt idx="0">
                  <c:v>LY-ATR</c:v>
                </c:pt>
              </c:strCache>
            </c:strRef>
          </c:tx>
          <c:spPr>
            <a:ln w="28575" cap="rnd">
              <a:solidFill>
                <a:schemeClr val="tx1"/>
              </a:solidFill>
              <a:prstDash val="sysDot"/>
              <a:round/>
            </a:ln>
            <a:effectLst/>
          </c:spPr>
          <c:marker>
            <c:symbol val="circle"/>
            <c:size val="5"/>
            <c:spPr>
              <a:solidFill>
                <a:schemeClr val="tx1">
                  <a:alpha val="55000"/>
                </a:schemeClr>
              </a:solidFill>
              <a:ln w="9525">
                <a:solidFill>
                  <a:schemeClr val="tx1"/>
                </a:solidFill>
              </a:ln>
              <a:effectLst/>
            </c:spPr>
          </c:marker>
          <c:cat>
            <c:numRef>
              <c:f>Tools!$S$4:$Y$4</c:f>
              <c:numCache>
                <c:formatCode>ddd</c:formatCode>
                <c:ptCount val="7"/>
                <c:pt idx="0">
                  <c:v>1</c:v>
                </c:pt>
                <c:pt idx="1">
                  <c:v>2</c:v>
                </c:pt>
                <c:pt idx="2">
                  <c:v>3</c:v>
                </c:pt>
                <c:pt idx="3">
                  <c:v>4</c:v>
                </c:pt>
                <c:pt idx="4">
                  <c:v>5</c:v>
                </c:pt>
                <c:pt idx="5">
                  <c:v>6</c:v>
                </c:pt>
                <c:pt idx="6">
                  <c:v>7</c:v>
                </c:pt>
              </c:numCache>
            </c:numRef>
          </c:cat>
          <c:val>
            <c:numRef>
              <c:f>Tools!$S$6:$Y$6</c:f>
              <c:numCache>
                <c:formatCode>_("$"* #,##0.00_);_("$"* \(#,##0.00\);_("$"* "-"??_);_(@_)</c:formatCode>
                <c:ptCount val="7"/>
                <c:pt idx="0">
                  <c:v>222.25094017094017</c:v>
                </c:pt>
                <c:pt idx="1">
                  <c:v>240.01269841269843</c:v>
                </c:pt>
                <c:pt idx="2">
                  <c:v>204.12280701754386</c:v>
                </c:pt>
                <c:pt idx="3">
                  <c:v>192.91827586206895</c:v>
                </c:pt>
                <c:pt idx="4">
                  <c:v>223.11525423728813</c:v>
                </c:pt>
                <c:pt idx="5">
                  <c:v>209.85222222222222</c:v>
                </c:pt>
                <c:pt idx="6">
                  <c:v>226.0462666666667</c:v>
                </c:pt>
              </c:numCache>
            </c:numRef>
          </c:val>
          <c:smooth val="0"/>
          <c:extLst>
            <c:ext xmlns:c16="http://schemas.microsoft.com/office/drawing/2014/chart" uri="{C3380CC4-5D6E-409C-BE32-E72D297353CC}">
              <c16:uniqueId val="{00000001-9DF0-45F6-A9D8-AAA2555FC9BF}"/>
            </c:ext>
          </c:extLst>
        </c:ser>
        <c:dLbls>
          <c:showLegendKey val="0"/>
          <c:showVal val="0"/>
          <c:showCatName val="0"/>
          <c:showSerName val="0"/>
          <c:showPercent val="0"/>
          <c:showBubbleSize val="0"/>
        </c:dLbls>
        <c:marker val="1"/>
        <c:smooth val="0"/>
        <c:axId val="174144512"/>
        <c:axId val="174150784"/>
      </c:lineChart>
      <c:dateAx>
        <c:axId val="174144512"/>
        <c:scaling>
          <c:orientation val="minMax"/>
        </c:scaling>
        <c:delete val="0"/>
        <c:axPos val="b"/>
        <c:numFmt formatCode="d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50784"/>
        <c:crosses val="autoZero"/>
        <c:auto val="1"/>
        <c:lblOffset val="100"/>
        <c:baseTimeUnit val="days"/>
      </c:dateAx>
      <c:valAx>
        <c:axId val="174150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44512"/>
        <c:crosses val="autoZero"/>
        <c:crossBetween val="between"/>
      </c:valAx>
      <c:valAx>
        <c:axId val="1741523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58208"/>
        <c:crosses val="max"/>
        <c:crossBetween val="between"/>
      </c:valAx>
      <c:dateAx>
        <c:axId val="174158208"/>
        <c:scaling>
          <c:orientation val="minMax"/>
        </c:scaling>
        <c:delete val="1"/>
        <c:axPos val="b"/>
        <c:numFmt formatCode="ddd" sourceLinked="1"/>
        <c:majorTickMark val="out"/>
        <c:minorTickMark val="none"/>
        <c:tickLblPos val="nextTo"/>
        <c:crossAx val="174152320"/>
        <c:crosses val="autoZero"/>
        <c:auto val="1"/>
        <c:lblOffset val="100"/>
        <c:baseTimeUnit val="day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Tools!$R$3</c:f>
          <c:strCache>
            <c:ptCount val="1"/>
            <c:pt idx="0">
              <c:v>Example: Fiscal January: Retail Penn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tx1">
                  <a:alpha val="55000"/>
                </a:schemeClr>
              </a:solidFill>
              <a:ln>
                <a:noFill/>
              </a:ln>
              <a:effectLst/>
            </c:spPr>
            <c:extLst>
              <c:ext xmlns:c16="http://schemas.microsoft.com/office/drawing/2014/chart" uri="{C3380CC4-5D6E-409C-BE32-E72D297353CC}">
                <c16:uniqueId val="{00000002-7B21-4D51-A351-893A76C5EB1B}"/>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3-7B21-4D51-A351-893A76C5EB1B}"/>
              </c:ext>
            </c:extLst>
          </c:dPt>
          <c:dLbls>
            <c:dLbl>
              <c:idx val="0"/>
              <c:layout>
                <c:manualLayout>
                  <c:x val="0"/>
                  <c:y val="-7.94701986754966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B21-4D51-A351-893A76C5EB1B}"/>
                </c:ext>
              </c:extLst>
            </c:dLbl>
            <c:dLbl>
              <c:idx val="1"/>
              <c:layout>
                <c:manualLayout>
                  <c:x val="-5.8351554793258601E-3"/>
                  <c:y val="-8.83002207505518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B21-4D51-A351-893A76C5EB1B}"/>
                </c:ext>
              </c:extLst>
            </c:dLbl>
            <c:dLbl>
              <c:idx val="2"/>
              <c:layout>
                <c:manualLayout>
                  <c:x val="5.8351554793258601E-3"/>
                  <c:y val="-7.9470198675496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B21-4D51-A351-893A76C5EB1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Tools!$U$16:$AA$16</c:f>
              <c:strCache>
                <c:ptCount val="3"/>
                <c:pt idx="0">
                  <c:v>LY</c:v>
                </c:pt>
                <c:pt idx="1">
                  <c:v>Bgt</c:v>
                </c:pt>
                <c:pt idx="2">
                  <c:v>TY</c:v>
                </c:pt>
              </c:strCache>
            </c:strRef>
          </c:cat>
          <c:val>
            <c:numRef>
              <c:f>Tools!$R$15:$T$15</c:f>
              <c:numCache>
                <c:formatCode>0.0%</c:formatCode>
                <c:ptCount val="3"/>
                <c:pt idx="0">
                  <c:v>0.21371265889887189</c:v>
                </c:pt>
                <c:pt idx="1">
                  <c:v>0.24520176500819973</c:v>
                </c:pt>
                <c:pt idx="2">
                  <c:v>0.3019195367732373</c:v>
                </c:pt>
              </c:numCache>
            </c:numRef>
          </c:val>
          <c:extLst>
            <c:ext xmlns:c16="http://schemas.microsoft.com/office/drawing/2014/chart" uri="{C3380CC4-5D6E-409C-BE32-E72D297353CC}">
              <c16:uniqueId val="{00000000-7B21-4D51-A351-893A76C5EB1B}"/>
            </c:ext>
          </c:extLst>
        </c:ser>
        <c:dLbls>
          <c:showLegendKey val="0"/>
          <c:showVal val="0"/>
          <c:showCatName val="0"/>
          <c:showSerName val="0"/>
          <c:showPercent val="0"/>
          <c:showBubbleSize val="0"/>
        </c:dLbls>
        <c:gapWidth val="150"/>
        <c:overlap val="100"/>
        <c:axId val="174186880"/>
        <c:axId val="174188416"/>
      </c:barChart>
      <c:catAx>
        <c:axId val="174186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88416"/>
        <c:crosses val="autoZero"/>
        <c:auto val="1"/>
        <c:lblAlgn val="ctr"/>
        <c:lblOffset val="100"/>
        <c:noMultiLvlLbl val="0"/>
      </c:catAx>
      <c:valAx>
        <c:axId val="174188416"/>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8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Tools!$R$1</c:f>
          <c:strCache>
            <c:ptCount val="1"/>
            <c:pt idx="0">
              <c:v>Example: Fiscal January
DOW:  YOY Service and RetPen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v>Service-TY</c:v>
          </c:tx>
          <c:spPr>
            <a:solidFill>
              <a:schemeClr val="accent1">
                <a:alpha val="80000"/>
              </a:schemeClr>
            </a:solidFill>
            <a:ln>
              <a:solidFill>
                <a:schemeClr val="accent1">
                  <a:alpha val="55000"/>
                </a:schemeClr>
              </a:solidFill>
            </a:ln>
            <a:effectLst/>
          </c:spPr>
          <c:invertIfNegative val="0"/>
          <c:val>
            <c:numRef>
              <c:f>Tools!$S$10:$Y$10</c:f>
              <c:numCache>
                <c:formatCode>_("$"* #,##0.00_);_("$"* \(#,##0.00\);_("$"* "-"??_);_(@_)</c:formatCode>
                <c:ptCount val="7"/>
                <c:pt idx="0">
                  <c:v>30560.420000000002</c:v>
                </c:pt>
                <c:pt idx="1">
                  <c:v>16511.27</c:v>
                </c:pt>
                <c:pt idx="2">
                  <c:v>10158.5</c:v>
                </c:pt>
                <c:pt idx="3">
                  <c:v>14508.2</c:v>
                </c:pt>
                <c:pt idx="4">
                  <c:v>10991.75</c:v>
                </c:pt>
                <c:pt idx="5">
                  <c:v>20999.52</c:v>
                </c:pt>
                <c:pt idx="6">
                  <c:v>42814.55</c:v>
                </c:pt>
              </c:numCache>
            </c:numRef>
          </c:val>
          <c:extLst>
            <c:ext xmlns:c16="http://schemas.microsoft.com/office/drawing/2014/chart" uri="{C3380CC4-5D6E-409C-BE32-E72D297353CC}">
              <c16:uniqueId val="{00000000-3D2E-40B7-8D27-D0DE0A53FBD8}"/>
            </c:ext>
          </c:extLst>
        </c:ser>
        <c:ser>
          <c:idx val="4"/>
          <c:order val="4"/>
          <c:tx>
            <c:v>Service-LY</c:v>
          </c:tx>
          <c:spPr>
            <a:solidFill>
              <a:schemeClr val="tx1">
                <a:alpha val="55000"/>
              </a:schemeClr>
            </a:solidFill>
            <a:ln>
              <a:noFill/>
            </a:ln>
            <a:effectLst/>
          </c:spPr>
          <c:invertIfNegative val="0"/>
          <c:val>
            <c:numRef>
              <c:f>Tools!$S$13:$Y$13</c:f>
              <c:numCache>
                <c:formatCode>_("$"* #,##0.00_);_("$"* \(#,##0.00\);_("$"* "-"??_);_(@_)</c:formatCode>
                <c:ptCount val="7"/>
                <c:pt idx="0">
                  <c:v>26003.360000000001</c:v>
                </c:pt>
                <c:pt idx="1">
                  <c:v>15120.800000000001</c:v>
                </c:pt>
                <c:pt idx="2">
                  <c:v>11635</c:v>
                </c:pt>
                <c:pt idx="3">
                  <c:v>16783.89</c:v>
                </c:pt>
                <c:pt idx="4">
                  <c:v>13163.8</c:v>
                </c:pt>
                <c:pt idx="5">
                  <c:v>18886.7</c:v>
                </c:pt>
                <c:pt idx="6">
                  <c:v>33906.94</c:v>
                </c:pt>
              </c:numCache>
            </c:numRef>
          </c:val>
          <c:extLst>
            <c:ext xmlns:c16="http://schemas.microsoft.com/office/drawing/2014/chart" uri="{C3380CC4-5D6E-409C-BE32-E72D297353CC}">
              <c16:uniqueId val="{00000001-3D2E-40B7-8D27-D0DE0A53FBD8}"/>
            </c:ext>
          </c:extLst>
        </c:ser>
        <c:dLbls>
          <c:showLegendKey val="0"/>
          <c:showVal val="0"/>
          <c:showCatName val="0"/>
          <c:showSerName val="0"/>
          <c:showPercent val="0"/>
          <c:showBubbleSize val="0"/>
        </c:dLbls>
        <c:gapWidth val="150"/>
        <c:axId val="174276992"/>
        <c:axId val="174262912"/>
        <c:extLst>
          <c:ext xmlns:c15="http://schemas.microsoft.com/office/drawing/2012/chart" uri="{02D57815-91ED-43cb-92C2-25804820EDAC}">
            <c15:filteredBarSeries>
              <c15:ser>
                <c:idx val="3"/>
                <c:order val="3"/>
                <c:tx>
                  <c:v>Retail-TY</c:v>
                </c:tx>
                <c:spPr>
                  <a:solidFill>
                    <a:schemeClr val="accent4"/>
                  </a:solidFill>
                  <a:ln>
                    <a:noFill/>
                  </a:ln>
                  <a:effectLst/>
                </c:spPr>
                <c:invertIfNegative val="0"/>
                <c:val>
                  <c:numRef>
                    <c:extLst>
                      <c:ext uri="{02D57815-91ED-43cb-92C2-25804820EDAC}">
                        <c15:formulaRef>
                          <c15:sqref>Tools!$S$11:$Y$11</c15:sqref>
                        </c15:formulaRef>
                      </c:ext>
                    </c:extLst>
                    <c:numCache>
                      <c:formatCode>General</c:formatCode>
                      <c:ptCount val="7"/>
                      <c:pt idx="0">
                        <c:v>3928.08</c:v>
                      </c:pt>
                      <c:pt idx="1">
                        <c:v>2125</c:v>
                      </c:pt>
                      <c:pt idx="2">
                        <c:v>1415.55</c:v>
                      </c:pt>
                      <c:pt idx="3">
                        <c:v>2273.75</c:v>
                      </c:pt>
                      <c:pt idx="4">
                        <c:v>14046.15</c:v>
                      </c:pt>
                      <c:pt idx="5">
                        <c:v>10921.33</c:v>
                      </c:pt>
                      <c:pt idx="6">
                        <c:v>9534.7000000000007</c:v>
                      </c:pt>
                    </c:numCache>
                  </c:numRef>
                </c:val>
                <c:extLst>
                  <c:ext xmlns:c16="http://schemas.microsoft.com/office/drawing/2014/chart" uri="{C3380CC4-5D6E-409C-BE32-E72D297353CC}">
                    <c16:uniqueId val="{00000004-3D2E-40B7-8D27-D0DE0A53FBD8}"/>
                  </c:ext>
                </c:extLst>
              </c15:ser>
            </c15:filteredBarSeries>
            <c15:filteredBarSeries>
              <c15:ser>
                <c:idx val="5"/>
                <c:order val="5"/>
                <c:tx>
                  <c:v>Retail-LY</c:v>
                </c:tx>
                <c:spPr>
                  <a:solidFill>
                    <a:schemeClr val="accent6"/>
                  </a:solidFill>
                  <a:ln>
                    <a:noFill/>
                  </a:ln>
                  <a:effectLst/>
                </c:spPr>
                <c:invertIfNegative val="0"/>
                <c:val>
                  <c:numRef>
                    <c:extLst xmlns:c15="http://schemas.microsoft.com/office/drawing/2012/chart">
                      <c:ext xmlns:c15="http://schemas.microsoft.com/office/drawing/2012/chart" uri="{02D57815-91ED-43cb-92C2-25804820EDAC}">
                        <c15:formulaRef>
                          <c15:sqref>Tools!$S$14:$Y$14</c15:sqref>
                        </c15:formulaRef>
                      </c:ext>
                    </c:extLst>
                    <c:numCache>
                      <c:formatCode>General</c:formatCode>
                      <c:ptCount val="7"/>
                      <c:pt idx="0">
                        <c:v>1854.05</c:v>
                      </c:pt>
                      <c:pt idx="1">
                        <c:v>2380</c:v>
                      </c:pt>
                      <c:pt idx="2">
                        <c:v>2845.43</c:v>
                      </c:pt>
                      <c:pt idx="3">
                        <c:v>7626.08</c:v>
                      </c:pt>
                      <c:pt idx="4">
                        <c:v>4801.8599999999997</c:v>
                      </c:pt>
                      <c:pt idx="5">
                        <c:v>2558.5</c:v>
                      </c:pt>
                      <c:pt idx="6">
                        <c:v>6892.25</c:v>
                      </c:pt>
                    </c:numCache>
                  </c:numRef>
                </c:val>
                <c:extLst xmlns:c15="http://schemas.microsoft.com/office/drawing/2012/chart">
                  <c:ext xmlns:c16="http://schemas.microsoft.com/office/drawing/2014/chart" uri="{C3380CC4-5D6E-409C-BE32-E72D297353CC}">
                    <c16:uniqueId val="{00000005-3D2E-40B7-8D27-D0DE0A53FBD8}"/>
                  </c:ext>
                </c:extLst>
              </c15:ser>
            </c15:filteredBarSeries>
          </c:ext>
        </c:extLst>
      </c:barChart>
      <c:lineChart>
        <c:grouping val="standard"/>
        <c:varyColors val="0"/>
        <c:ser>
          <c:idx val="0"/>
          <c:order val="0"/>
          <c:tx>
            <c:v>RetPen-TY</c:v>
          </c:tx>
          <c:spPr>
            <a:ln w="28575" cap="rnd">
              <a:solidFill>
                <a:schemeClr val="accent1"/>
              </a:solidFill>
              <a:round/>
            </a:ln>
            <a:effectLst/>
          </c:spPr>
          <c:marker>
            <c:symbol val="none"/>
          </c:marker>
          <c:cat>
            <c:numRef>
              <c:f>Tools!$S$4:$Y$4</c:f>
              <c:numCache>
                <c:formatCode>ddd</c:formatCode>
                <c:ptCount val="7"/>
                <c:pt idx="0">
                  <c:v>1</c:v>
                </c:pt>
                <c:pt idx="1">
                  <c:v>2</c:v>
                </c:pt>
                <c:pt idx="2">
                  <c:v>3</c:v>
                </c:pt>
                <c:pt idx="3">
                  <c:v>4</c:v>
                </c:pt>
                <c:pt idx="4">
                  <c:v>5</c:v>
                </c:pt>
                <c:pt idx="5">
                  <c:v>6</c:v>
                </c:pt>
                <c:pt idx="6">
                  <c:v>7</c:v>
                </c:pt>
              </c:numCache>
            </c:numRef>
          </c:cat>
          <c:val>
            <c:numRef>
              <c:f>Tools!$S$19:$Y$19</c:f>
              <c:numCache>
                <c:formatCode>0.0%</c:formatCode>
                <c:ptCount val="7"/>
                <c:pt idx="0">
                  <c:v>0.12853488270121941</c:v>
                </c:pt>
                <c:pt idx="1">
                  <c:v>0.12869997280645279</c:v>
                </c:pt>
                <c:pt idx="2">
                  <c:v>0.13934636019097307</c:v>
                </c:pt>
                <c:pt idx="3">
                  <c:v>0.15672171599509241</c:v>
                </c:pt>
                <c:pt idx="4">
                  <c:v>1.277881138126322</c:v>
                </c:pt>
                <c:pt idx="5">
                  <c:v>0.5200752207669509</c:v>
                </c:pt>
                <c:pt idx="6">
                  <c:v>0.22269765768879973</c:v>
                </c:pt>
              </c:numCache>
            </c:numRef>
          </c:val>
          <c:smooth val="0"/>
          <c:extLst>
            <c:ext xmlns:c16="http://schemas.microsoft.com/office/drawing/2014/chart" uri="{C3380CC4-5D6E-409C-BE32-E72D297353CC}">
              <c16:uniqueId val="{00000002-3D2E-40B7-8D27-D0DE0A53FBD8}"/>
            </c:ext>
          </c:extLst>
        </c:ser>
        <c:ser>
          <c:idx val="1"/>
          <c:order val="1"/>
          <c:tx>
            <c:v>RetPen-LY</c:v>
          </c:tx>
          <c:spPr>
            <a:ln w="28575" cap="rnd">
              <a:solidFill>
                <a:schemeClr val="tx1"/>
              </a:solidFill>
              <a:prstDash val="sysDot"/>
              <a:round/>
            </a:ln>
            <a:effectLst/>
          </c:spPr>
          <c:marker>
            <c:symbol val="none"/>
          </c:marker>
          <c:cat>
            <c:numRef>
              <c:f>Tools!$S$4:$Y$4</c:f>
              <c:numCache>
                <c:formatCode>ddd</c:formatCode>
                <c:ptCount val="7"/>
                <c:pt idx="0">
                  <c:v>1</c:v>
                </c:pt>
                <c:pt idx="1">
                  <c:v>2</c:v>
                </c:pt>
                <c:pt idx="2">
                  <c:v>3</c:v>
                </c:pt>
                <c:pt idx="3">
                  <c:v>4</c:v>
                </c:pt>
                <c:pt idx="4">
                  <c:v>5</c:v>
                </c:pt>
                <c:pt idx="5">
                  <c:v>6</c:v>
                </c:pt>
                <c:pt idx="6">
                  <c:v>7</c:v>
                </c:pt>
              </c:numCache>
            </c:numRef>
          </c:cat>
          <c:val>
            <c:numRef>
              <c:f>Tools!$S$20:$Y$20</c:f>
              <c:numCache>
                <c:formatCode>0.0%</c:formatCode>
                <c:ptCount val="7"/>
                <c:pt idx="0">
                  <c:v>7.1300401178924569E-2</c:v>
                </c:pt>
                <c:pt idx="1">
                  <c:v>0.15739907941378761</c:v>
                </c:pt>
                <c:pt idx="2">
                  <c:v>0.24455779974215727</c:v>
                </c:pt>
                <c:pt idx="3">
                  <c:v>0.45436904078851803</c:v>
                </c:pt>
                <c:pt idx="4">
                  <c:v>0.3647776477916711</c:v>
                </c:pt>
                <c:pt idx="5">
                  <c:v>0.13546569808383677</c:v>
                </c:pt>
                <c:pt idx="6">
                  <c:v>0.20326959613577633</c:v>
                </c:pt>
              </c:numCache>
            </c:numRef>
          </c:val>
          <c:smooth val="0"/>
          <c:extLst>
            <c:ext xmlns:c16="http://schemas.microsoft.com/office/drawing/2014/chart" uri="{C3380CC4-5D6E-409C-BE32-E72D297353CC}">
              <c16:uniqueId val="{00000003-3D2E-40B7-8D27-D0DE0A53FBD8}"/>
            </c:ext>
          </c:extLst>
        </c:ser>
        <c:dLbls>
          <c:showLegendKey val="0"/>
          <c:showVal val="0"/>
          <c:showCatName val="0"/>
          <c:showSerName val="0"/>
          <c:showPercent val="0"/>
          <c:showBubbleSize val="0"/>
        </c:dLbls>
        <c:marker val="1"/>
        <c:smooth val="0"/>
        <c:axId val="174255488"/>
        <c:axId val="174261376"/>
      </c:lineChart>
      <c:dateAx>
        <c:axId val="174255488"/>
        <c:scaling>
          <c:orientation val="minMax"/>
        </c:scaling>
        <c:delete val="0"/>
        <c:axPos val="b"/>
        <c:numFmt formatCode="dd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61376"/>
        <c:crosses val="autoZero"/>
        <c:auto val="1"/>
        <c:lblOffset val="100"/>
        <c:baseTimeUnit val="days"/>
      </c:dateAx>
      <c:valAx>
        <c:axId val="17426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55488"/>
        <c:crosses val="autoZero"/>
        <c:crossBetween val="between"/>
      </c:valAx>
      <c:valAx>
        <c:axId val="174262912"/>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76992"/>
        <c:crosses val="max"/>
        <c:crossBetween val="between"/>
      </c:valAx>
      <c:catAx>
        <c:axId val="174276992"/>
        <c:scaling>
          <c:orientation val="minMax"/>
        </c:scaling>
        <c:delete val="1"/>
        <c:axPos val="b"/>
        <c:majorTickMark val="out"/>
        <c:minorTickMark val="none"/>
        <c:tickLblPos val="nextTo"/>
        <c:crossAx val="174262912"/>
        <c:crosses val="autoZero"/>
        <c:auto val="1"/>
        <c:lblAlgn val="ctr"/>
        <c:lblOffset val="100"/>
        <c:tickLblSkip val="1"/>
        <c:tickMarkSkip val="1"/>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Admin Payroll Percentage by DOW</a:t>
            </a:r>
            <a:br>
              <a:rPr lang="en-US"/>
            </a:br>
            <a:r>
              <a:rPr lang="en-US"/>
              <a:t>*</a:t>
            </a:r>
          </a:p>
        </c:rich>
      </c:tx>
      <c:layout>
        <c:manualLayout>
          <c:xMode val="edge"/>
          <c:yMode val="edge"/>
          <c:x val="0.32160900765063943"/>
          <c:y val="2.3598812750543825E-2"/>
        </c:manualLayout>
      </c:layout>
      <c:overlay val="0"/>
      <c:spPr>
        <a:noFill/>
        <a:ln>
          <a:noFill/>
        </a:ln>
        <a:effectLst/>
      </c:spPr>
    </c:title>
    <c:autoTitleDeleted val="0"/>
    <c:plotArea>
      <c:layout/>
      <c:barChart>
        <c:barDir val="col"/>
        <c:grouping val="clustered"/>
        <c:varyColors val="0"/>
        <c:ser>
          <c:idx val="2"/>
          <c:order val="2"/>
          <c:tx>
            <c:strRef>
              <c:f>Tools!$R$24</c:f>
              <c:strCache>
                <c:ptCount val="1"/>
                <c:pt idx="0">
                  <c:v>Revenues-TY</c:v>
                </c:pt>
              </c:strCache>
            </c:strRef>
          </c:tx>
          <c:spPr>
            <a:solidFill>
              <a:schemeClr val="accent1">
                <a:alpha val="80000"/>
              </a:schemeClr>
            </a:solidFill>
            <a:ln>
              <a:noFill/>
            </a:ln>
            <a:effectLst/>
          </c:spPr>
          <c:invertIfNegative val="0"/>
          <c:val>
            <c:numRef>
              <c:f>Tools!$S$24:$Y$24</c:f>
              <c:numCache>
                <c:formatCode>_("$"* #,##0.00_);_("$"* \(#,##0.00\);_("$"* "-"??_);_(@_)</c:formatCode>
                <c:ptCount val="7"/>
                <c:pt idx="0">
                  <c:v>34488.5</c:v>
                </c:pt>
                <c:pt idx="1">
                  <c:v>18636.27</c:v>
                </c:pt>
                <c:pt idx="2">
                  <c:v>11574.05</c:v>
                </c:pt>
                <c:pt idx="3">
                  <c:v>16781.95</c:v>
                </c:pt>
                <c:pt idx="4">
                  <c:v>25037.9</c:v>
                </c:pt>
                <c:pt idx="5">
                  <c:v>31920.85</c:v>
                </c:pt>
                <c:pt idx="6">
                  <c:v>52349.25</c:v>
                </c:pt>
              </c:numCache>
            </c:numRef>
          </c:val>
          <c:extLst>
            <c:ext xmlns:c16="http://schemas.microsoft.com/office/drawing/2014/chart" uri="{C3380CC4-5D6E-409C-BE32-E72D297353CC}">
              <c16:uniqueId val="{00000000-7322-425A-936C-C32EE5329753}"/>
            </c:ext>
          </c:extLst>
        </c:ser>
        <c:ser>
          <c:idx val="3"/>
          <c:order val="3"/>
          <c:tx>
            <c:strRef>
              <c:f>Tools!$R$25</c:f>
              <c:strCache>
                <c:ptCount val="1"/>
                <c:pt idx="0">
                  <c:v>Revenues-LY</c:v>
                </c:pt>
              </c:strCache>
            </c:strRef>
          </c:tx>
          <c:spPr>
            <a:solidFill>
              <a:schemeClr val="tx1">
                <a:alpha val="60000"/>
              </a:schemeClr>
            </a:solidFill>
            <a:ln>
              <a:noFill/>
            </a:ln>
            <a:effectLst/>
          </c:spPr>
          <c:invertIfNegative val="0"/>
          <c:val>
            <c:numRef>
              <c:f>Tools!$S$25:$Y$25</c:f>
              <c:numCache>
                <c:formatCode>_("$"* #,##0.00_);_("$"* \(#,##0.00\);_("$"* "-"??_);_(@_)</c:formatCode>
                <c:ptCount val="7"/>
                <c:pt idx="0">
                  <c:v>27857.41</c:v>
                </c:pt>
                <c:pt idx="1">
                  <c:v>17500.800000000003</c:v>
                </c:pt>
                <c:pt idx="2">
                  <c:v>14480.43</c:v>
                </c:pt>
                <c:pt idx="3">
                  <c:v>24409.97</c:v>
                </c:pt>
                <c:pt idx="4">
                  <c:v>17965.66</c:v>
                </c:pt>
                <c:pt idx="5">
                  <c:v>21445.200000000001</c:v>
                </c:pt>
                <c:pt idx="6">
                  <c:v>40799.19</c:v>
                </c:pt>
              </c:numCache>
            </c:numRef>
          </c:val>
          <c:extLst>
            <c:ext xmlns:c16="http://schemas.microsoft.com/office/drawing/2014/chart" uri="{C3380CC4-5D6E-409C-BE32-E72D297353CC}">
              <c16:uniqueId val="{00000001-7322-425A-936C-C32EE5329753}"/>
            </c:ext>
          </c:extLst>
        </c:ser>
        <c:dLbls>
          <c:showLegendKey val="0"/>
          <c:showVal val="0"/>
          <c:showCatName val="0"/>
          <c:showSerName val="0"/>
          <c:showPercent val="0"/>
          <c:showBubbleSize val="0"/>
        </c:dLbls>
        <c:gapWidth val="150"/>
        <c:axId val="185750272"/>
        <c:axId val="185740288"/>
      </c:barChart>
      <c:lineChart>
        <c:grouping val="standard"/>
        <c:varyColors val="0"/>
        <c:ser>
          <c:idx val="0"/>
          <c:order val="0"/>
          <c:tx>
            <c:strRef>
              <c:f>Tools!$R$21</c:f>
              <c:strCache>
                <c:ptCount val="1"/>
                <c:pt idx="0">
                  <c:v>PR-%-TY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1.7730496453900709E-3"/>
                  <c:y val="-0.157669109701211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962-40F8-81F0-3C393ABE0E79}"/>
                </c:ext>
              </c:extLst>
            </c:dLbl>
            <c:dLbl>
              <c:idx val="1"/>
              <c:layout>
                <c:manualLayout>
                  <c:x val="-5.3191489361702126E-3"/>
                  <c:y val="-9.080587777673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962-40F8-81F0-3C393ABE0E79}"/>
                </c:ext>
              </c:extLst>
            </c:dLbl>
            <c:dLbl>
              <c:idx val="2"/>
              <c:layout>
                <c:manualLayout>
                  <c:x val="3.5460992907801418E-3"/>
                  <c:y val="-7.22625377209368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962-40F8-81F0-3C393ABE0E79}"/>
                </c:ext>
              </c:extLst>
            </c:dLbl>
            <c:dLbl>
              <c:idx val="3"/>
              <c:layout>
                <c:manualLayout>
                  <c:x val="-6.50110693175489E-17"/>
                  <c:y val="-0.102827680239920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62-40F8-81F0-3C393ABE0E79}"/>
                </c:ext>
              </c:extLst>
            </c:dLbl>
            <c:dLbl>
              <c:idx val="4"/>
              <c:layout>
                <c:manualLayout>
                  <c:x val="-3.5460992907801418E-3"/>
                  <c:y val="-0.130248394970565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962-40F8-81F0-3C393ABE0E79}"/>
                </c:ext>
              </c:extLst>
            </c:dLbl>
            <c:dLbl>
              <c:idx val="5"/>
              <c:layout>
                <c:manualLayout>
                  <c:x val="0"/>
                  <c:y val="-7.54069655092750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962-40F8-81F0-3C393ABE0E79}"/>
                </c:ext>
              </c:extLst>
            </c:dLbl>
            <c:dLbl>
              <c:idx val="6"/>
              <c:layout>
                <c:manualLayout>
                  <c:x val="-3.5460992907801418E-3"/>
                  <c:y val="-0.143958752335888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962-40F8-81F0-3C393ABE0E79}"/>
                </c:ext>
              </c:extLst>
            </c:dLbl>
            <c:spPr>
              <a:noFill/>
              <a:ln>
                <a:noFill/>
              </a:ln>
              <a:effectLst/>
            </c:spPr>
            <c:txPr>
              <a:bodyPr rot="0" spcFirstLastPara="1" vertOverflow="ellipsis" wrap="square" lIns="38100" tIns="91440" rIns="38100" bIns="19050" anchor="t" anchorCtr="0">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Tools!$S$4:$Y$4</c:f>
              <c:numCache>
                <c:formatCode>ddd</c:formatCode>
                <c:ptCount val="7"/>
                <c:pt idx="0">
                  <c:v>1</c:v>
                </c:pt>
                <c:pt idx="1">
                  <c:v>2</c:v>
                </c:pt>
                <c:pt idx="2">
                  <c:v>3</c:v>
                </c:pt>
                <c:pt idx="3">
                  <c:v>4</c:v>
                </c:pt>
                <c:pt idx="4">
                  <c:v>5</c:v>
                </c:pt>
                <c:pt idx="5">
                  <c:v>6</c:v>
                </c:pt>
                <c:pt idx="6">
                  <c:v>7</c:v>
                </c:pt>
              </c:numCache>
            </c:numRef>
          </c:cat>
          <c:val>
            <c:numRef>
              <c:f>Tools!$S$21:$Y$21</c:f>
              <c:numCache>
                <c:formatCode>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2-7322-425A-936C-C32EE5329753}"/>
            </c:ext>
          </c:extLst>
        </c:ser>
        <c:ser>
          <c:idx val="1"/>
          <c:order val="1"/>
          <c:tx>
            <c:strRef>
              <c:f>Tools!$R$22</c:f>
              <c:strCache>
                <c:ptCount val="1"/>
                <c:pt idx="0">
                  <c:v>PR-%-LY</c:v>
                </c:pt>
              </c:strCache>
            </c:strRef>
          </c:tx>
          <c:spPr>
            <a:ln w="28575" cap="rnd">
              <a:solidFill>
                <a:schemeClr val="tx1"/>
              </a:solidFill>
              <a:prstDash val="sysDot"/>
              <a:round/>
            </a:ln>
            <a:effectLst/>
          </c:spPr>
          <c:marker>
            <c:symbol val="none"/>
          </c:marker>
          <c:cat>
            <c:numRef>
              <c:f>Tools!$S$4:$Y$4</c:f>
              <c:numCache>
                <c:formatCode>ddd</c:formatCode>
                <c:ptCount val="7"/>
                <c:pt idx="0">
                  <c:v>1</c:v>
                </c:pt>
                <c:pt idx="1">
                  <c:v>2</c:v>
                </c:pt>
                <c:pt idx="2">
                  <c:v>3</c:v>
                </c:pt>
                <c:pt idx="3">
                  <c:v>4</c:v>
                </c:pt>
                <c:pt idx="4">
                  <c:v>5</c:v>
                </c:pt>
                <c:pt idx="5">
                  <c:v>6</c:v>
                </c:pt>
                <c:pt idx="6">
                  <c:v>7</c:v>
                </c:pt>
              </c:numCache>
            </c:numRef>
          </c:cat>
          <c:val>
            <c:numRef>
              <c:f>Tools!$S$22:$Y$22</c:f>
              <c:numCache>
                <c:formatCode>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3-7322-425A-936C-C32EE5329753}"/>
            </c:ext>
          </c:extLst>
        </c:ser>
        <c:ser>
          <c:idx val="4"/>
          <c:order val="4"/>
          <c:tx>
            <c:strRef>
              <c:f>Tools!$R$23</c:f>
              <c:strCache>
                <c:ptCount val="1"/>
                <c:pt idx="0">
                  <c:v>PR-%-Bud</c:v>
                </c:pt>
              </c:strCache>
            </c:strRef>
          </c:tx>
          <c:spPr>
            <a:ln w="31750" cap="rnd">
              <a:solidFill>
                <a:srgbClr val="FFC000"/>
              </a:solidFill>
              <a:prstDash val="solid"/>
              <a:round/>
            </a:ln>
            <a:effectLst/>
          </c:spPr>
          <c:marker>
            <c:symbol val="none"/>
          </c:marker>
          <c:val>
            <c:numRef>
              <c:f>Tools!$S$23:$Y$23</c:f>
              <c:numCache>
                <c:formatCode>0%</c:formatCode>
                <c:ptCount val="7"/>
                <c:pt idx="0">
                  <c:v>0.15</c:v>
                </c:pt>
                <c:pt idx="1">
                  <c:v>0.15</c:v>
                </c:pt>
                <c:pt idx="2">
                  <c:v>0.15</c:v>
                </c:pt>
                <c:pt idx="3">
                  <c:v>0.15</c:v>
                </c:pt>
                <c:pt idx="4">
                  <c:v>0.15</c:v>
                </c:pt>
                <c:pt idx="5">
                  <c:v>0.15</c:v>
                </c:pt>
                <c:pt idx="6">
                  <c:v>0.15</c:v>
                </c:pt>
              </c:numCache>
            </c:numRef>
          </c:val>
          <c:smooth val="0"/>
          <c:extLst>
            <c:ext xmlns:c16="http://schemas.microsoft.com/office/drawing/2014/chart" uri="{C3380CC4-5D6E-409C-BE32-E72D297353CC}">
              <c16:uniqueId val="{00000007-D962-40F8-81F0-3C393ABE0E79}"/>
            </c:ext>
          </c:extLst>
        </c:ser>
        <c:dLbls>
          <c:showLegendKey val="0"/>
          <c:showVal val="0"/>
          <c:showCatName val="0"/>
          <c:showSerName val="0"/>
          <c:showPercent val="0"/>
          <c:showBubbleSize val="0"/>
        </c:dLbls>
        <c:marker val="1"/>
        <c:smooth val="0"/>
        <c:axId val="185737216"/>
        <c:axId val="185738752"/>
      </c:lineChart>
      <c:dateAx>
        <c:axId val="185737216"/>
        <c:scaling>
          <c:orientation val="minMax"/>
        </c:scaling>
        <c:delete val="0"/>
        <c:axPos val="b"/>
        <c:numFmt formatCode="dd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38752"/>
        <c:crosses val="autoZero"/>
        <c:auto val="1"/>
        <c:lblOffset val="100"/>
        <c:baseTimeUnit val="days"/>
      </c:dateAx>
      <c:valAx>
        <c:axId val="18573875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in"/>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37216"/>
        <c:crosses val="autoZero"/>
        <c:crossBetween val="between"/>
      </c:valAx>
      <c:valAx>
        <c:axId val="185740288"/>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50272"/>
        <c:crosses val="max"/>
        <c:crossBetween val="between"/>
      </c:valAx>
      <c:catAx>
        <c:axId val="185750272"/>
        <c:scaling>
          <c:orientation val="minMax"/>
        </c:scaling>
        <c:delete val="1"/>
        <c:axPos val="b"/>
        <c:majorTickMark val="out"/>
        <c:minorTickMark val="none"/>
        <c:tickLblPos val="nextTo"/>
        <c:crossAx val="18574028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a:t>
            </a:r>
          </a:p>
        </c:rich>
      </c:tx>
      <c:layout>
        <c:manualLayout>
          <c:xMode val="edge"/>
          <c:yMode val="edge"/>
          <c:x val="0.46466107794919798"/>
          <c:y val="3.33854817186556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 Page'!$B$3</c:f>
              <c:strCache>
                <c:ptCount val="1"/>
                <c:pt idx="0">
                  <c:v>Service-Actuals</c:v>
                </c:pt>
              </c:strCache>
            </c:strRef>
          </c:tx>
          <c:spPr>
            <a:ln w="28575" cap="rnd">
              <a:solidFill>
                <a:schemeClr val="accent1"/>
              </a:solidFill>
              <a:round/>
            </a:ln>
            <a:effectLst/>
          </c:spPr>
          <c:marker>
            <c:symbol val="none"/>
          </c:marker>
          <c:cat>
            <c:strRef>
              <c:f>'Summary Page'!$A$4:$A$15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 Page'!$B$4:$B$15</c:f>
              <c:numCache>
                <c:formatCode>_("$"* #,##0.00_);_("$"* \(#,##0.00\);_("$"* "-"??_);_(@_)</c:formatCode>
                <c:ptCount val="12"/>
                <c:pt idx="0">
                  <c:v>146544.21</c:v>
                </c:pt>
                <c:pt idx="1">
                  <c:v>177343.84</c:v>
                </c:pt>
                <c:pt idx="2">
                  <c:v>61666.18</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286F-48DA-846E-BF7A9C8AFB12}"/>
            </c:ext>
          </c:extLst>
        </c:ser>
        <c:ser>
          <c:idx val="3"/>
          <c:order val="3"/>
          <c:tx>
            <c:strRef>
              <c:f>'Summary Page'!$E$3</c:f>
              <c:strCache>
                <c:ptCount val="1"/>
                <c:pt idx="0">
                  <c:v>Service-Budget</c:v>
                </c:pt>
              </c:strCache>
            </c:strRef>
          </c:tx>
          <c:spPr>
            <a:ln w="28575" cap="rnd">
              <a:solidFill>
                <a:schemeClr val="accent4"/>
              </a:solidFill>
              <a:round/>
            </a:ln>
            <a:effectLst/>
          </c:spPr>
          <c:marker>
            <c:symbol val="none"/>
          </c:marker>
          <c:cat>
            <c:strRef>
              <c:f>'Summary Page'!$A$4:$A$15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 Page'!$E$4:$E$15</c:f>
              <c:numCache>
                <c:formatCode>_("$"* #,##0.00_);_("$"* \(#,##0.00\);_("$"* "-"??_);_(@_)</c:formatCode>
                <c:ptCount val="12"/>
                <c:pt idx="0">
                  <c:v>153091.35134626381</c:v>
                </c:pt>
                <c:pt idx="1">
                  <c:v>164961.65363206642</c:v>
                </c:pt>
                <c:pt idx="2">
                  <c:v>193885.1864998315</c:v>
                </c:pt>
                <c:pt idx="3">
                  <c:v>141752.46139463346</c:v>
                </c:pt>
                <c:pt idx="4">
                  <c:v>165680.50987941193</c:v>
                </c:pt>
                <c:pt idx="5">
                  <c:v>181912.25843816865</c:v>
                </c:pt>
                <c:pt idx="6">
                  <c:v>144113.40909103252</c:v>
                </c:pt>
                <c:pt idx="7">
                  <c:v>141350.63665418015</c:v>
                </c:pt>
                <c:pt idx="8">
                  <c:v>173258.80698850667</c:v>
                </c:pt>
                <c:pt idx="9">
                  <c:v>154904.77965460948</c:v>
                </c:pt>
                <c:pt idx="10">
                  <c:v>161924.92539112756</c:v>
                </c:pt>
                <c:pt idx="11">
                  <c:v>196877.22981439257</c:v>
                </c:pt>
              </c:numCache>
            </c:numRef>
          </c:val>
          <c:smooth val="0"/>
          <c:extLst>
            <c:ext xmlns:c16="http://schemas.microsoft.com/office/drawing/2014/chart" uri="{C3380CC4-5D6E-409C-BE32-E72D297353CC}">
              <c16:uniqueId val="{00000003-286F-48DA-846E-BF7A9C8AFB12}"/>
            </c:ext>
          </c:extLst>
        </c:ser>
        <c:ser>
          <c:idx val="8"/>
          <c:order val="8"/>
          <c:tx>
            <c:strRef>
              <c:f>'Summary Page'!$J$3</c:f>
              <c:strCache>
                <c:ptCount val="1"/>
                <c:pt idx="0">
                  <c:v>Service-LY</c:v>
                </c:pt>
              </c:strCache>
            </c:strRef>
          </c:tx>
          <c:spPr>
            <a:ln w="28575" cap="rnd">
              <a:solidFill>
                <a:schemeClr val="tx1"/>
              </a:solidFill>
              <a:prstDash val="sysDot"/>
              <a:round/>
            </a:ln>
            <a:effectLst/>
          </c:spPr>
          <c:marker>
            <c:symbol val="none"/>
          </c:marker>
          <c:cat>
            <c:strRef>
              <c:f>'Summary Page'!$A$4:$A$15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 Page'!$J$4:$J$15</c:f>
              <c:numCache>
                <c:formatCode>_("$"* #,##0.00_);_("$"* \(#,##0.00\);_("$"* "-"??_);_(@_)</c:formatCode>
                <c:ptCount val="12"/>
                <c:pt idx="0">
                  <c:v>135500.49</c:v>
                </c:pt>
                <c:pt idx="1">
                  <c:v>157700.47999999998</c:v>
                </c:pt>
                <c:pt idx="2">
                  <c:v>194553.21000000002</c:v>
                </c:pt>
                <c:pt idx="3">
                  <c:v>131807.72</c:v>
                </c:pt>
                <c:pt idx="4">
                  <c:v>151209.31999999998</c:v>
                </c:pt>
                <c:pt idx="5">
                  <c:v>149059.62000000002</c:v>
                </c:pt>
                <c:pt idx="6">
                  <c:v>126118.64099999999</c:v>
                </c:pt>
                <c:pt idx="7">
                  <c:v>119489.51</c:v>
                </c:pt>
                <c:pt idx="8">
                  <c:v>151900.18</c:v>
                </c:pt>
                <c:pt idx="9">
                  <c:v>141410.65</c:v>
                </c:pt>
                <c:pt idx="10">
                  <c:v>141947.88000000003</c:v>
                </c:pt>
                <c:pt idx="11">
                  <c:v>210768.18999999994</c:v>
                </c:pt>
              </c:numCache>
            </c:numRef>
          </c:val>
          <c:smooth val="0"/>
          <c:extLst>
            <c:ext xmlns:c16="http://schemas.microsoft.com/office/drawing/2014/chart" uri="{C3380CC4-5D6E-409C-BE32-E72D297353CC}">
              <c16:uniqueId val="{00000008-286F-48DA-846E-BF7A9C8AFB12}"/>
            </c:ext>
          </c:extLst>
        </c:ser>
        <c:dLbls>
          <c:showLegendKey val="0"/>
          <c:showVal val="0"/>
          <c:showCatName val="0"/>
          <c:showSerName val="0"/>
          <c:showPercent val="0"/>
          <c:showBubbleSize val="0"/>
        </c:dLbls>
        <c:smooth val="0"/>
        <c:axId val="53268864"/>
        <c:axId val="53270400"/>
        <c:extLst>
          <c:ext xmlns:c15="http://schemas.microsoft.com/office/drawing/2012/chart" uri="{02D57815-91ED-43cb-92C2-25804820EDAC}">
            <c15:filteredLineSeries>
              <c15:ser>
                <c:idx val="1"/>
                <c:order val="1"/>
                <c:tx>
                  <c:strRef>
                    <c:extLst>
                      <c:ext uri="{02D57815-91ED-43cb-92C2-25804820EDAC}">
                        <c15:formulaRef>
                          <c15:sqref>'Summary Page'!$C$3</c15:sqref>
                        </c15:formulaRef>
                      </c:ext>
                    </c:extLst>
                    <c:strCache>
                      <c:ptCount val="1"/>
                      <c:pt idx="0">
                        <c:v>Retail-Actuals</c:v>
                      </c:pt>
                    </c:strCache>
                  </c:strRef>
                </c:tx>
                <c:spPr>
                  <a:ln w="28575" cap="rnd">
                    <a:solidFill>
                      <a:schemeClr val="accent2"/>
                    </a:solidFill>
                    <a:round/>
                  </a:ln>
                  <a:effectLst/>
                </c:spPr>
                <c:marker>
                  <c:symbol val="none"/>
                </c:marker>
                <c:cat>
                  <c:strRef>
                    <c:extLst>
                      <c:ex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ormulaRef>
                          <c15:sqref>'Summary Page'!$C$4:$C$15</c15:sqref>
                        </c15:formulaRef>
                      </c:ext>
                    </c:extLst>
                    <c:numCache>
                      <c:formatCode>_("$"* #,##0.00_);_("$"* \(#,##0.00\);_("$"* "-"??_);_(@_)</c:formatCode>
                      <c:ptCount val="12"/>
                      <c:pt idx="0">
                        <c:v>44244.560000000005</c:v>
                      </c:pt>
                      <c:pt idx="1">
                        <c:v>31219.489999999998</c:v>
                      </c:pt>
                      <c:pt idx="2">
                        <c:v>12895.98</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286F-48DA-846E-BF7A9C8AFB12}"/>
                  </c:ext>
                </c:extLst>
              </c15:ser>
            </c15:filteredLineSeries>
            <c15:filteredLineSeries>
              <c15:ser>
                <c:idx val="2"/>
                <c:order val="2"/>
                <c:tx>
                  <c:strRef>
                    <c:extLst>
                      <c:ext xmlns:c15="http://schemas.microsoft.com/office/drawing/2012/chart" uri="{02D57815-91ED-43cb-92C2-25804820EDAC}">
                        <c15:formulaRef>
                          <c15:sqref>'Summary Page'!$D$3</c15:sqref>
                        </c15:formulaRef>
                      </c:ext>
                    </c:extLst>
                    <c:strCache>
                      <c:ptCount val="1"/>
                      <c:pt idx="0">
                        <c:v>Overall-Actuals</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Page'!$D$4:$D$15</c15:sqref>
                        </c15:formulaRef>
                      </c:ext>
                    </c:extLst>
                    <c:numCache>
                      <c:formatCode>_("$"* #,##0.00_);_("$"* \(#,##0.00\);_("$"* "-"??_);_(@_)</c:formatCode>
                      <c:ptCount val="12"/>
                      <c:pt idx="0">
                        <c:v>190788.77</c:v>
                      </c:pt>
                      <c:pt idx="1">
                        <c:v>208563.33</c:v>
                      </c:pt>
                      <c:pt idx="2">
                        <c:v>74562.16</c:v>
                      </c:pt>
                      <c:pt idx="3">
                        <c:v>0</c:v>
                      </c:pt>
                      <c:pt idx="4">
                        <c:v>0</c:v>
                      </c:pt>
                      <c:pt idx="5">
                        <c:v>0</c:v>
                      </c:pt>
                      <c:pt idx="6">
                        <c:v>0</c:v>
                      </c:pt>
                      <c:pt idx="7">
                        <c:v>0</c:v>
                      </c:pt>
                      <c:pt idx="8">
                        <c:v>0</c:v>
                      </c:pt>
                      <c:pt idx="9">
                        <c:v>0</c:v>
                      </c:pt>
                      <c:pt idx="10">
                        <c:v>0</c:v>
                      </c:pt>
                      <c:pt idx="11">
                        <c:v>0</c:v>
                      </c:pt>
                    </c:numCache>
                  </c:numRef>
                </c:val>
                <c:smooth val="0"/>
                <c:extLst xmlns:c15="http://schemas.microsoft.com/office/drawing/2012/chart">
                  <c:ext xmlns:c16="http://schemas.microsoft.com/office/drawing/2014/chart" uri="{C3380CC4-5D6E-409C-BE32-E72D297353CC}">
                    <c16:uniqueId val="{00000002-286F-48DA-846E-BF7A9C8AFB12}"/>
                  </c:ext>
                </c:extLst>
              </c15:ser>
            </c15:filteredLineSeries>
            <c15:filteredLineSeries>
              <c15:ser>
                <c:idx val="4"/>
                <c:order val="4"/>
                <c:tx>
                  <c:strRef>
                    <c:extLst>
                      <c:ext xmlns:c15="http://schemas.microsoft.com/office/drawing/2012/chart" uri="{02D57815-91ED-43cb-92C2-25804820EDAC}">
                        <c15:formulaRef>
                          <c15:sqref>'Summary Page'!$F$3</c15:sqref>
                        </c15:formulaRef>
                      </c:ext>
                    </c:extLst>
                    <c:strCache>
                      <c:ptCount val="1"/>
                      <c:pt idx="0">
                        <c:v>Retail-Budget</c:v>
                      </c:pt>
                    </c:strCache>
                  </c:strRef>
                </c:tx>
                <c:spPr>
                  <a:ln w="28575" cap="rnd">
                    <a:solidFill>
                      <a:schemeClr val="accent5"/>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Page'!$F$4:$F$15</c15:sqref>
                        </c15:formulaRef>
                      </c:ext>
                    </c:extLst>
                    <c:numCache>
                      <c:formatCode>_("$"* #,##0.00_);_("$"* \(#,##0.00\);_("$"* "-"??_);_(@_)</c:formatCode>
                      <c:ptCount val="12"/>
                      <c:pt idx="0">
                        <c:v>37538.269557594322</c:v>
                      </c:pt>
                      <c:pt idx="1">
                        <c:v>39380.964135069764</c:v>
                      </c:pt>
                      <c:pt idx="2">
                        <c:v>47149.20259346949</c:v>
                      </c:pt>
                      <c:pt idx="3">
                        <c:v>37294.077817524718</c:v>
                      </c:pt>
                      <c:pt idx="4">
                        <c:v>43552.160370176949</c:v>
                      </c:pt>
                      <c:pt idx="5">
                        <c:v>46824.894906527283</c:v>
                      </c:pt>
                      <c:pt idx="6">
                        <c:v>35945.815041703594</c:v>
                      </c:pt>
                      <c:pt idx="7">
                        <c:v>34825.48904395826</c:v>
                      </c:pt>
                      <c:pt idx="8">
                        <c:v>54234.536405218321</c:v>
                      </c:pt>
                      <c:pt idx="9">
                        <c:v>39622.428680625824</c:v>
                      </c:pt>
                      <c:pt idx="10">
                        <c:v>59303.967388627287</c:v>
                      </c:pt>
                      <c:pt idx="11">
                        <c:v>57479.235048752431</c:v>
                      </c:pt>
                    </c:numCache>
                  </c:numRef>
                </c:val>
                <c:smooth val="0"/>
                <c:extLst xmlns:c15="http://schemas.microsoft.com/office/drawing/2012/chart">
                  <c:ext xmlns:c16="http://schemas.microsoft.com/office/drawing/2014/chart" uri="{C3380CC4-5D6E-409C-BE32-E72D297353CC}">
                    <c16:uniqueId val="{00000004-286F-48DA-846E-BF7A9C8AFB12}"/>
                  </c:ext>
                </c:extLst>
              </c15:ser>
            </c15:filteredLineSeries>
            <c15:filteredLineSeries>
              <c15:ser>
                <c:idx val="5"/>
                <c:order val="5"/>
                <c:tx>
                  <c:strRef>
                    <c:extLst>
                      <c:ext xmlns:c15="http://schemas.microsoft.com/office/drawing/2012/chart" uri="{02D57815-91ED-43cb-92C2-25804820EDAC}">
                        <c15:formulaRef>
                          <c15:sqref>'Summary Page'!$G$3</c15:sqref>
                        </c15:formulaRef>
                      </c:ext>
                    </c:extLst>
                    <c:strCache>
                      <c:ptCount val="1"/>
                      <c:pt idx="0">
                        <c:v>Overall-Budget</c:v>
                      </c:pt>
                    </c:strCache>
                  </c:strRef>
                </c:tx>
                <c:spPr>
                  <a:ln w="28575" cap="rnd">
                    <a:solidFill>
                      <a:schemeClr val="accent6"/>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Page'!$G$4:$G$15</c15:sqref>
                        </c15:formulaRef>
                      </c:ext>
                    </c:extLst>
                    <c:numCache>
                      <c:formatCode>_("$"* #,##0.00_);_("$"* \(#,##0.00\);_("$"* "-"??_);_(@_)</c:formatCode>
                      <c:ptCount val="12"/>
                      <c:pt idx="0">
                        <c:v>190629.62090385813</c:v>
                      </c:pt>
                      <c:pt idx="1">
                        <c:v>204342.61776713619</c:v>
                      </c:pt>
                      <c:pt idx="2">
                        <c:v>241034.389093301</c:v>
                      </c:pt>
                      <c:pt idx="3">
                        <c:v>179046.53921215818</c:v>
                      </c:pt>
                      <c:pt idx="4">
                        <c:v>209232.67024958887</c:v>
                      </c:pt>
                      <c:pt idx="5">
                        <c:v>228737.15334469592</c:v>
                      </c:pt>
                      <c:pt idx="6">
                        <c:v>180059.2241327361</c:v>
                      </c:pt>
                      <c:pt idx="7">
                        <c:v>176176.12569813841</c:v>
                      </c:pt>
                      <c:pt idx="8">
                        <c:v>227493.34339372499</c:v>
                      </c:pt>
                      <c:pt idx="9">
                        <c:v>194527.20833523531</c:v>
                      </c:pt>
                      <c:pt idx="10">
                        <c:v>221228.89277975485</c:v>
                      </c:pt>
                      <c:pt idx="11">
                        <c:v>254356.464863145</c:v>
                      </c:pt>
                    </c:numCache>
                  </c:numRef>
                </c:val>
                <c:smooth val="0"/>
                <c:extLst xmlns:c15="http://schemas.microsoft.com/office/drawing/2012/chart">
                  <c:ext xmlns:c16="http://schemas.microsoft.com/office/drawing/2014/chart" uri="{C3380CC4-5D6E-409C-BE32-E72D297353CC}">
                    <c16:uniqueId val="{00000005-286F-48DA-846E-BF7A9C8AFB12}"/>
                  </c:ext>
                </c:extLst>
              </c15:ser>
            </c15:filteredLineSeries>
            <c15:filteredLineSeries>
              <c15:ser>
                <c:idx val="6"/>
                <c:order val="6"/>
                <c:tx>
                  <c:strRef>
                    <c:extLst>
                      <c:ext xmlns:c15="http://schemas.microsoft.com/office/drawing/2012/chart" uri="{02D57815-91ED-43cb-92C2-25804820EDAC}">
                        <c15:formulaRef>
                          <c15:sqref>'Summary Page'!$H$3</c15:sqref>
                        </c15:formulaRef>
                      </c:ext>
                    </c:extLst>
                    <c:strCache>
                      <c:ptCount val="1"/>
                      <c:pt idx="0">
                        <c:v>Variance to Budget</c:v>
                      </c:pt>
                    </c:strCache>
                  </c:strRef>
                </c:tx>
                <c:spPr>
                  <a:ln w="28575" cap="rnd">
                    <a:solidFill>
                      <a:schemeClr val="accent1">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Page'!$H$4:$H$15</c15:sqref>
                        </c15:formulaRef>
                      </c:ext>
                    </c:extLst>
                    <c:numCache>
                      <c:formatCode>_("$"* #,##0.00_);_("$"* \(#,##0.00\);_("$"* "-"??_);_(@_)</c:formatCode>
                      <c:ptCount val="12"/>
                      <c:pt idx="0">
                        <c:v>159.14909614186035</c:v>
                      </c:pt>
                      <c:pt idx="1">
                        <c:v>4220.7122328637925</c:v>
                      </c:pt>
                      <c:pt idx="2">
                        <c:v>-166472.22909330099</c:v>
                      </c:pt>
                      <c:pt idx="3">
                        <c:v>-179046.53921215818</c:v>
                      </c:pt>
                      <c:pt idx="4">
                        <c:v>-209232.67024958887</c:v>
                      </c:pt>
                      <c:pt idx="5">
                        <c:v>-228737.15334469592</c:v>
                      </c:pt>
                      <c:pt idx="6">
                        <c:v>-180059.2241327361</c:v>
                      </c:pt>
                      <c:pt idx="7">
                        <c:v>-176176.12569813841</c:v>
                      </c:pt>
                      <c:pt idx="8">
                        <c:v>-227493.34339372499</c:v>
                      </c:pt>
                      <c:pt idx="9">
                        <c:v>-194527.20833523531</c:v>
                      </c:pt>
                      <c:pt idx="10">
                        <c:v>-221228.89277975485</c:v>
                      </c:pt>
                      <c:pt idx="11">
                        <c:v>-254356.464863145</c:v>
                      </c:pt>
                    </c:numCache>
                  </c:numRef>
                </c:val>
                <c:smooth val="0"/>
                <c:extLst xmlns:c15="http://schemas.microsoft.com/office/drawing/2012/chart">
                  <c:ext xmlns:c16="http://schemas.microsoft.com/office/drawing/2014/chart" uri="{C3380CC4-5D6E-409C-BE32-E72D297353CC}">
                    <c16:uniqueId val="{00000006-286F-48DA-846E-BF7A9C8AFB12}"/>
                  </c:ext>
                </c:extLst>
              </c15:ser>
            </c15:filteredLineSeries>
            <c15:filteredLineSeries>
              <c15:ser>
                <c:idx val="7"/>
                <c:order val="7"/>
                <c:tx>
                  <c:strRef>
                    <c:extLst>
                      <c:ext xmlns:c15="http://schemas.microsoft.com/office/drawing/2012/chart" uri="{02D57815-91ED-43cb-92C2-25804820EDAC}">
                        <c15:formulaRef>
                          <c15:sqref>'Summary Page'!$I$3</c15:sqref>
                        </c15:formulaRef>
                      </c:ext>
                    </c:extLst>
                    <c:strCache>
                      <c:ptCount val="1"/>
                      <c:pt idx="0">
                        <c:v>PercentageBudget</c:v>
                      </c:pt>
                    </c:strCache>
                  </c:strRef>
                </c:tx>
                <c:spPr>
                  <a:ln w="28575" cap="rnd">
                    <a:solidFill>
                      <a:schemeClr val="accent2">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Page'!$I$4:$I$15</c15:sqref>
                        </c15:formulaRef>
                      </c:ext>
                    </c:extLst>
                    <c:numCache>
                      <c:formatCode>0%</c:formatCode>
                      <c:ptCount val="12"/>
                      <c:pt idx="0">
                        <c:v>8.3486026666404261E-4</c:v>
                      </c:pt>
                      <c:pt idx="1">
                        <c:v>2.0655075671359029E-2</c:v>
                      </c:pt>
                      <c:pt idx="2">
                        <c:v>-0.6906575850836868</c:v>
                      </c:pt>
                      <c:pt idx="3">
                        <c:v>-1</c:v>
                      </c:pt>
                      <c:pt idx="4">
                        <c:v>-1</c:v>
                      </c:pt>
                      <c:pt idx="5">
                        <c:v>-1</c:v>
                      </c:pt>
                      <c:pt idx="6">
                        <c:v>-1</c:v>
                      </c:pt>
                      <c:pt idx="7">
                        <c:v>-1</c:v>
                      </c:pt>
                      <c:pt idx="8">
                        <c:v>-1</c:v>
                      </c:pt>
                      <c:pt idx="9">
                        <c:v>-1</c:v>
                      </c:pt>
                      <c:pt idx="10">
                        <c:v>-1</c:v>
                      </c:pt>
                      <c:pt idx="11">
                        <c:v>-1</c:v>
                      </c:pt>
                    </c:numCache>
                  </c:numRef>
                </c:val>
                <c:smooth val="0"/>
                <c:extLst xmlns:c15="http://schemas.microsoft.com/office/drawing/2012/chart">
                  <c:ext xmlns:c16="http://schemas.microsoft.com/office/drawing/2014/chart" uri="{C3380CC4-5D6E-409C-BE32-E72D297353CC}">
                    <c16:uniqueId val="{00000007-286F-48DA-846E-BF7A9C8AFB12}"/>
                  </c:ext>
                </c:extLst>
              </c15:ser>
            </c15:filteredLineSeries>
            <c15:filteredLineSeries>
              <c15:ser>
                <c:idx val="9"/>
                <c:order val="9"/>
                <c:tx>
                  <c:strRef>
                    <c:extLst>
                      <c:ext xmlns:c15="http://schemas.microsoft.com/office/drawing/2012/chart" uri="{02D57815-91ED-43cb-92C2-25804820EDAC}">
                        <c15:formulaRef>
                          <c15:sqref>'Summary Page'!$K$3</c15:sqref>
                        </c15:formulaRef>
                      </c:ext>
                    </c:extLst>
                    <c:strCache>
                      <c:ptCount val="1"/>
                      <c:pt idx="0">
                        <c:v>Retail-LY</c:v>
                      </c:pt>
                    </c:strCache>
                  </c:strRef>
                </c:tx>
                <c:spPr>
                  <a:ln w="28575" cap="rnd">
                    <a:solidFill>
                      <a:schemeClr val="accent4">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Page'!$K$4:$K$15</c15:sqref>
                        </c15:formulaRef>
                      </c:ext>
                    </c:extLst>
                    <c:numCache>
                      <c:formatCode>_("$"* #,##0.00_);_("$"* \(#,##0.00\);_("$"* "-"??_);_(@_)</c:formatCode>
                      <c:ptCount val="12"/>
                      <c:pt idx="0">
                        <c:v>28958.17</c:v>
                      </c:pt>
                      <c:pt idx="1">
                        <c:v>34585.689999999995</c:v>
                      </c:pt>
                      <c:pt idx="2">
                        <c:v>43748.979999999996</c:v>
                      </c:pt>
                      <c:pt idx="3">
                        <c:v>33374.199999999997</c:v>
                      </c:pt>
                      <c:pt idx="4">
                        <c:v>43988.86</c:v>
                      </c:pt>
                      <c:pt idx="5">
                        <c:v>39199.160000000003</c:v>
                      </c:pt>
                      <c:pt idx="6">
                        <c:v>26913.299999999996</c:v>
                      </c:pt>
                      <c:pt idx="7">
                        <c:v>28633.06</c:v>
                      </c:pt>
                      <c:pt idx="8">
                        <c:v>43412</c:v>
                      </c:pt>
                      <c:pt idx="9">
                        <c:v>25836.339999999997</c:v>
                      </c:pt>
                      <c:pt idx="10">
                        <c:v>46906.310000000005</c:v>
                      </c:pt>
                      <c:pt idx="11">
                        <c:v>61140.94000000001</c:v>
                      </c:pt>
                    </c:numCache>
                  </c:numRef>
                </c:val>
                <c:smooth val="0"/>
                <c:extLst xmlns:c15="http://schemas.microsoft.com/office/drawing/2012/chart">
                  <c:ext xmlns:c16="http://schemas.microsoft.com/office/drawing/2014/chart" uri="{C3380CC4-5D6E-409C-BE32-E72D297353CC}">
                    <c16:uniqueId val="{00000009-286F-48DA-846E-BF7A9C8AFB12}"/>
                  </c:ext>
                </c:extLst>
              </c15:ser>
            </c15:filteredLineSeries>
            <c15:filteredLineSeries>
              <c15:ser>
                <c:idx val="10"/>
                <c:order val="10"/>
                <c:tx>
                  <c:strRef>
                    <c:extLst>
                      <c:ext xmlns:c15="http://schemas.microsoft.com/office/drawing/2012/chart" uri="{02D57815-91ED-43cb-92C2-25804820EDAC}">
                        <c15:formulaRef>
                          <c15:sqref>'Summary Page'!$L$3</c15:sqref>
                        </c15:formulaRef>
                      </c:ext>
                    </c:extLst>
                    <c:strCache>
                      <c:ptCount val="1"/>
                      <c:pt idx="0">
                        <c:v>Overall-LY</c:v>
                      </c:pt>
                    </c:strCache>
                  </c:strRef>
                </c:tx>
                <c:spPr>
                  <a:ln w="28575" cap="rnd">
                    <a:solidFill>
                      <a:schemeClr val="accent5">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Page'!$L$4:$L$15</c15:sqref>
                        </c15:formulaRef>
                      </c:ext>
                    </c:extLst>
                    <c:numCache>
                      <c:formatCode>_("$"* #,##0.00_);_("$"* \(#,##0.00\);_("$"* "-"??_);_(@_)</c:formatCode>
                      <c:ptCount val="12"/>
                      <c:pt idx="0">
                        <c:v>164458.65999999997</c:v>
                      </c:pt>
                      <c:pt idx="1">
                        <c:v>192286.16999999998</c:v>
                      </c:pt>
                      <c:pt idx="2">
                        <c:v>238302.19</c:v>
                      </c:pt>
                      <c:pt idx="3">
                        <c:v>165181.91999999998</c:v>
                      </c:pt>
                      <c:pt idx="4">
                        <c:v>195198.18</c:v>
                      </c:pt>
                      <c:pt idx="5">
                        <c:v>188258.78000000003</c:v>
                      </c:pt>
                      <c:pt idx="6">
                        <c:v>153031.94099999999</c:v>
                      </c:pt>
                      <c:pt idx="7">
                        <c:v>148122.57</c:v>
                      </c:pt>
                      <c:pt idx="8">
                        <c:v>195312.18</c:v>
                      </c:pt>
                      <c:pt idx="9">
                        <c:v>167246.99</c:v>
                      </c:pt>
                      <c:pt idx="10">
                        <c:v>188854.19000000003</c:v>
                      </c:pt>
                      <c:pt idx="11">
                        <c:v>271909.12999999995</c:v>
                      </c:pt>
                    </c:numCache>
                  </c:numRef>
                </c:val>
                <c:smooth val="0"/>
                <c:extLst xmlns:c15="http://schemas.microsoft.com/office/drawing/2012/chart">
                  <c:ext xmlns:c16="http://schemas.microsoft.com/office/drawing/2014/chart" uri="{C3380CC4-5D6E-409C-BE32-E72D297353CC}">
                    <c16:uniqueId val="{0000000A-286F-48DA-846E-BF7A9C8AFB12}"/>
                  </c:ext>
                </c:extLst>
              </c15:ser>
            </c15:filteredLineSeries>
            <c15:filteredLineSeries>
              <c15:ser>
                <c:idx val="11"/>
                <c:order val="11"/>
                <c:tx>
                  <c:strRef>
                    <c:extLst>
                      <c:ext xmlns:c15="http://schemas.microsoft.com/office/drawing/2012/chart" uri="{02D57815-91ED-43cb-92C2-25804820EDAC}">
                        <c15:formulaRef>
                          <c15:sqref>'Summary Page'!$M$3</c15:sqref>
                        </c15:formulaRef>
                      </c:ext>
                    </c:extLst>
                    <c:strCache>
                      <c:ptCount val="1"/>
                      <c:pt idx="0">
                        <c:v>Variance to LY</c:v>
                      </c:pt>
                    </c:strCache>
                  </c:strRef>
                </c:tx>
                <c:spPr>
                  <a:ln w="28575" cap="rnd">
                    <a:solidFill>
                      <a:schemeClr val="accent6">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Page'!$M$4:$M$15</c15:sqref>
                        </c15:formulaRef>
                      </c:ext>
                    </c:extLst>
                    <c:numCache>
                      <c:formatCode>_("$"* #,##0.00_);_("$"* \(#,##0.00\);_("$"* "-"??_);_(@_)</c:formatCode>
                      <c:ptCount val="12"/>
                      <c:pt idx="0">
                        <c:v>26330.110000000015</c:v>
                      </c:pt>
                      <c:pt idx="1">
                        <c:v>16277.160000000003</c:v>
                      </c:pt>
                      <c:pt idx="2">
                        <c:v>-163740.03</c:v>
                      </c:pt>
                      <c:pt idx="3">
                        <c:v>-165181.91999999998</c:v>
                      </c:pt>
                      <c:pt idx="4">
                        <c:v>-195198.18</c:v>
                      </c:pt>
                      <c:pt idx="5">
                        <c:v>-188258.78000000003</c:v>
                      </c:pt>
                      <c:pt idx="6">
                        <c:v>-153031.94099999999</c:v>
                      </c:pt>
                      <c:pt idx="7">
                        <c:v>-148122.57</c:v>
                      </c:pt>
                      <c:pt idx="8">
                        <c:v>-195312.18</c:v>
                      </c:pt>
                      <c:pt idx="9">
                        <c:v>-167246.99</c:v>
                      </c:pt>
                      <c:pt idx="10">
                        <c:v>-188854.19000000003</c:v>
                      </c:pt>
                      <c:pt idx="11">
                        <c:v>-271909.12999999995</c:v>
                      </c:pt>
                    </c:numCache>
                  </c:numRef>
                </c:val>
                <c:smooth val="0"/>
                <c:extLst xmlns:c15="http://schemas.microsoft.com/office/drawing/2012/chart">
                  <c:ext xmlns:c16="http://schemas.microsoft.com/office/drawing/2014/chart" uri="{C3380CC4-5D6E-409C-BE32-E72D297353CC}">
                    <c16:uniqueId val="{0000000B-286F-48DA-846E-BF7A9C8AFB12}"/>
                  </c:ext>
                </c:extLst>
              </c15:ser>
            </c15:filteredLineSeries>
            <c15:filteredLineSeries>
              <c15:ser>
                <c:idx val="12"/>
                <c:order val="12"/>
                <c:tx>
                  <c:strRef>
                    <c:extLst>
                      <c:ext xmlns:c15="http://schemas.microsoft.com/office/drawing/2012/chart" uri="{02D57815-91ED-43cb-92C2-25804820EDAC}">
                        <c15:formulaRef>
                          <c15:sqref>'Summary Page'!$N$3</c15:sqref>
                        </c15:formulaRef>
                      </c:ext>
                    </c:extLst>
                    <c:strCache>
                      <c:ptCount val="1"/>
                      <c:pt idx="0">
                        <c:v>Percentage to LY</c:v>
                      </c:pt>
                    </c:strCache>
                  </c:strRef>
                </c:tx>
                <c:spPr>
                  <a:ln w="28575" cap="rnd">
                    <a:solidFill>
                      <a:schemeClr val="accent1">
                        <a:lumMod val="80000"/>
                        <a:lumOff val="2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Page'!$N$4:$N$15</c15:sqref>
                        </c15:formulaRef>
                      </c:ext>
                    </c:extLst>
                    <c:numCache>
                      <c:formatCode>0%</c:formatCode>
                      <c:ptCount val="12"/>
                      <c:pt idx="0">
                        <c:v>0.13800660279952545</c:v>
                      </c:pt>
                      <c:pt idx="1">
                        <c:v>7.8044208442586735E-2</c:v>
                      </c:pt>
                      <c:pt idx="2">
                        <c:v>-2.1960204747287362</c:v>
                      </c:pt>
                      <c:pt idx="3">
                        <c:v>0</c:v>
                      </c:pt>
                      <c:pt idx="4">
                        <c:v>0</c:v>
                      </c:pt>
                      <c:pt idx="5">
                        <c:v>0</c:v>
                      </c:pt>
                      <c:pt idx="6">
                        <c:v>0</c:v>
                      </c:pt>
                      <c:pt idx="7">
                        <c:v>0</c:v>
                      </c:pt>
                      <c:pt idx="8">
                        <c:v>0</c:v>
                      </c:pt>
                      <c:pt idx="9">
                        <c:v>0</c:v>
                      </c:pt>
                      <c:pt idx="10">
                        <c:v>0</c:v>
                      </c:pt>
                      <c:pt idx="11">
                        <c:v>0</c:v>
                      </c:pt>
                    </c:numCache>
                  </c:numRef>
                </c:val>
                <c:smooth val="0"/>
                <c:extLst xmlns:c15="http://schemas.microsoft.com/office/drawing/2012/chart">
                  <c:ext xmlns:c16="http://schemas.microsoft.com/office/drawing/2014/chart" uri="{C3380CC4-5D6E-409C-BE32-E72D297353CC}">
                    <c16:uniqueId val="{0000000C-286F-48DA-846E-BF7A9C8AFB12}"/>
                  </c:ext>
                </c:extLst>
              </c15:ser>
            </c15:filteredLineSeries>
          </c:ext>
        </c:extLst>
      </c:lineChart>
      <c:catAx>
        <c:axId val="5326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70400"/>
        <c:crosses val="autoZero"/>
        <c:auto val="1"/>
        <c:lblAlgn val="ctr"/>
        <c:lblOffset val="100"/>
        <c:noMultiLvlLbl val="0"/>
      </c:catAx>
      <c:valAx>
        <c:axId val="532704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68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Retail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'Summary Page'!$C$3</c:f>
              <c:strCache>
                <c:ptCount val="1"/>
                <c:pt idx="0">
                  <c:v>Retail-Actuals</c:v>
                </c:pt>
              </c:strCache>
            </c:strRef>
          </c:tx>
          <c:spPr>
            <a:ln w="28575" cap="rnd">
              <a:solidFill>
                <a:schemeClr val="accent1"/>
              </a:solidFill>
              <a:round/>
            </a:ln>
            <a:effectLst/>
          </c:spPr>
          <c:marker>
            <c:symbol val="none"/>
          </c:marker>
          <c:cat>
            <c:strRef>
              <c:f>'Summary Page'!$A$4:$A$15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 Page'!$C$4:$C$15</c:f>
              <c:numCache>
                <c:formatCode>_("$"* #,##0.00_);_("$"* \(#,##0.00\);_("$"* "-"??_);_(@_)</c:formatCode>
                <c:ptCount val="12"/>
                <c:pt idx="0">
                  <c:v>44244.560000000005</c:v>
                </c:pt>
                <c:pt idx="1">
                  <c:v>31219.489999999998</c:v>
                </c:pt>
                <c:pt idx="2">
                  <c:v>12895.98</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EE7-45E7-AF74-6A2750C90697}"/>
            </c:ext>
          </c:extLst>
        </c:ser>
        <c:ser>
          <c:idx val="4"/>
          <c:order val="4"/>
          <c:tx>
            <c:strRef>
              <c:f>'Summary Page'!$F$3</c:f>
              <c:strCache>
                <c:ptCount val="1"/>
                <c:pt idx="0">
                  <c:v>Retail-Budget</c:v>
                </c:pt>
              </c:strCache>
            </c:strRef>
          </c:tx>
          <c:spPr>
            <a:ln w="28575" cap="rnd">
              <a:solidFill>
                <a:schemeClr val="accent4"/>
              </a:solidFill>
              <a:round/>
            </a:ln>
            <a:effectLst/>
          </c:spPr>
          <c:marker>
            <c:symbol val="none"/>
          </c:marker>
          <c:cat>
            <c:strRef>
              <c:f>'Summary Page'!$A$4:$A$15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 Page'!$F$4:$F$15</c:f>
              <c:numCache>
                <c:formatCode>_("$"* #,##0.00_);_("$"* \(#,##0.00\);_("$"* "-"??_);_(@_)</c:formatCode>
                <c:ptCount val="12"/>
                <c:pt idx="0">
                  <c:v>37538.269557594322</c:v>
                </c:pt>
                <c:pt idx="1">
                  <c:v>39380.964135069764</c:v>
                </c:pt>
                <c:pt idx="2">
                  <c:v>47149.20259346949</c:v>
                </c:pt>
                <c:pt idx="3">
                  <c:v>37294.077817524718</c:v>
                </c:pt>
                <c:pt idx="4">
                  <c:v>43552.160370176949</c:v>
                </c:pt>
                <c:pt idx="5">
                  <c:v>46824.894906527283</c:v>
                </c:pt>
                <c:pt idx="6">
                  <c:v>35945.815041703594</c:v>
                </c:pt>
                <c:pt idx="7">
                  <c:v>34825.48904395826</c:v>
                </c:pt>
                <c:pt idx="8">
                  <c:v>54234.536405218321</c:v>
                </c:pt>
                <c:pt idx="9">
                  <c:v>39622.428680625824</c:v>
                </c:pt>
                <c:pt idx="10">
                  <c:v>59303.967388627287</c:v>
                </c:pt>
                <c:pt idx="11">
                  <c:v>57479.235048752431</c:v>
                </c:pt>
              </c:numCache>
            </c:numRef>
          </c:val>
          <c:smooth val="0"/>
          <c:extLst>
            <c:ext xmlns:c16="http://schemas.microsoft.com/office/drawing/2014/chart" uri="{C3380CC4-5D6E-409C-BE32-E72D297353CC}">
              <c16:uniqueId val="{00000003-6EE7-45E7-AF74-6A2750C90697}"/>
            </c:ext>
          </c:extLst>
        </c:ser>
        <c:ser>
          <c:idx val="9"/>
          <c:order val="9"/>
          <c:tx>
            <c:strRef>
              <c:f>'Summary Page'!$K$3</c:f>
              <c:strCache>
                <c:ptCount val="1"/>
                <c:pt idx="0">
                  <c:v>Retail-LY</c:v>
                </c:pt>
              </c:strCache>
            </c:strRef>
          </c:tx>
          <c:spPr>
            <a:ln w="28575" cap="rnd">
              <a:solidFill>
                <a:schemeClr val="tx1"/>
              </a:solidFill>
              <a:prstDash val="sysDot"/>
              <a:round/>
            </a:ln>
            <a:effectLst/>
          </c:spPr>
          <c:marker>
            <c:symbol val="none"/>
          </c:marker>
          <c:cat>
            <c:strRef>
              <c:f>'Summary Page'!$A$4:$A$15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 Page'!$K$4:$K$15</c:f>
              <c:numCache>
                <c:formatCode>_("$"* #,##0.00_);_("$"* \(#,##0.00\);_("$"* "-"??_);_(@_)</c:formatCode>
                <c:ptCount val="12"/>
                <c:pt idx="0">
                  <c:v>28958.17</c:v>
                </c:pt>
                <c:pt idx="1">
                  <c:v>34585.689999999995</c:v>
                </c:pt>
                <c:pt idx="2">
                  <c:v>43748.979999999996</c:v>
                </c:pt>
                <c:pt idx="3">
                  <c:v>33374.199999999997</c:v>
                </c:pt>
                <c:pt idx="4">
                  <c:v>43988.86</c:v>
                </c:pt>
                <c:pt idx="5">
                  <c:v>39199.160000000003</c:v>
                </c:pt>
                <c:pt idx="6">
                  <c:v>26913.299999999996</c:v>
                </c:pt>
                <c:pt idx="7">
                  <c:v>28633.06</c:v>
                </c:pt>
                <c:pt idx="8">
                  <c:v>43412</c:v>
                </c:pt>
                <c:pt idx="9">
                  <c:v>25836.339999999997</c:v>
                </c:pt>
                <c:pt idx="10">
                  <c:v>46906.310000000005</c:v>
                </c:pt>
                <c:pt idx="11">
                  <c:v>61140.94000000001</c:v>
                </c:pt>
              </c:numCache>
            </c:numRef>
          </c:val>
          <c:smooth val="0"/>
          <c:extLst>
            <c:ext xmlns:c16="http://schemas.microsoft.com/office/drawing/2014/chart" uri="{C3380CC4-5D6E-409C-BE32-E72D297353CC}">
              <c16:uniqueId val="{00000005-6EE7-45E7-AF74-6A2750C90697}"/>
            </c:ext>
          </c:extLst>
        </c:ser>
        <c:dLbls>
          <c:showLegendKey val="0"/>
          <c:showVal val="0"/>
          <c:showCatName val="0"/>
          <c:showSerName val="0"/>
          <c:showPercent val="0"/>
          <c:showBubbleSize val="0"/>
        </c:dLbls>
        <c:smooth val="0"/>
        <c:axId val="186344960"/>
        <c:axId val="186346496"/>
        <c:extLst>
          <c:ext xmlns:c15="http://schemas.microsoft.com/office/drawing/2012/chart" uri="{02D57815-91ED-43cb-92C2-25804820EDAC}">
            <c15:filteredLineSeries>
              <c15:ser>
                <c:idx val="0"/>
                <c:order val="0"/>
                <c:tx>
                  <c:strRef>
                    <c:extLst>
                      <c:ext uri="{02D57815-91ED-43cb-92C2-25804820EDAC}">
                        <c15:formulaRef>
                          <c15:sqref>'Summary Page'!$B$3</c15:sqref>
                        </c15:formulaRef>
                      </c:ext>
                    </c:extLst>
                    <c:strCache>
                      <c:ptCount val="1"/>
                      <c:pt idx="0">
                        <c:v>Service-Actuals</c:v>
                      </c:pt>
                    </c:strCache>
                  </c:strRef>
                </c:tx>
                <c:spPr>
                  <a:ln w="28575" cap="rnd">
                    <a:solidFill>
                      <a:schemeClr val="accent1"/>
                    </a:solidFill>
                    <a:round/>
                  </a:ln>
                  <a:effectLst/>
                </c:spPr>
                <c:marker>
                  <c:symbol val="none"/>
                </c:marker>
                <c:cat>
                  <c:strRef>
                    <c:extLst>
                      <c:ex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uri="{02D57815-91ED-43cb-92C2-25804820EDAC}">
                        <c15:formulaRef>
                          <c15:sqref>'Summary Page'!$B$4:$B$15</c15:sqref>
                        </c15:formulaRef>
                      </c:ext>
                    </c:extLst>
                    <c:numCache>
                      <c:formatCode>_("$"* #,##0.00_);_("$"* \(#,##0.00\);_("$"* "-"??_);_(@_)</c:formatCode>
                      <c:ptCount val="12"/>
                      <c:pt idx="0">
                        <c:v>146544.21</c:v>
                      </c:pt>
                      <c:pt idx="1">
                        <c:v>177343.84</c:v>
                      </c:pt>
                      <c:pt idx="2">
                        <c:v>61666.18</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EE7-45E7-AF74-6A2750C90697}"/>
                  </c:ext>
                </c:extLst>
              </c15:ser>
            </c15:filteredLineSeries>
            <c15:filteredLineSeries>
              <c15:ser>
                <c:idx val="2"/>
                <c:order val="2"/>
                <c:tx>
                  <c:strRef>
                    <c:extLst>
                      <c:ext xmlns:c15="http://schemas.microsoft.com/office/drawing/2012/chart" uri="{02D57815-91ED-43cb-92C2-25804820EDAC}">
                        <c15:formulaRef>
                          <c15:sqref>'Summary Page'!$D$3</c15:sqref>
                        </c15:formulaRef>
                      </c:ext>
                    </c:extLst>
                    <c:strCache>
                      <c:ptCount val="1"/>
                      <c:pt idx="0">
                        <c:v>Overall-Actuals</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Page'!$D$4:$D$15</c15:sqref>
                        </c15:formulaRef>
                      </c:ext>
                    </c:extLst>
                    <c:numCache>
                      <c:formatCode>_("$"* #,##0.00_);_("$"* \(#,##0.00\);_("$"* "-"??_);_(@_)</c:formatCode>
                      <c:ptCount val="12"/>
                      <c:pt idx="0">
                        <c:v>190788.77</c:v>
                      </c:pt>
                      <c:pt idx="1">
                        <c:v>208563.33</c:v>
                      </c:pt>
                      <c:pt idx="2">
                        <c:v>74562.16</c:v>
                      </c:pt>
                      <c:pt idx="3">
                        <c:v>0</c:v>
                      </c:pt>
                      <c:pt idx="4">
                        <c:v>0</c:v>
                      </c:pt>
                      <c:pt idx="5">
                        <c:v>0</c:v>
                      </c:pt>
                      <c:pt idx="6">
                        <c:v>0</c:v>
                      </c:pt>
                      <c:pt idx="7">
                        <c:v>0</c:v>
                      </c:pt>
                      <c:pt idx="8">
                        <c:v>0</c:v>
                      </c:pt>
                      <c:pt idx="9">
                        <c:v>0</c:v>
                      </c:pt>
                      <c:pt idx="10">
                        <c:v>0</c:v>
                      </c:pt>
                      <c:pt idx="11">
                        <c:v>0</c:v>
                      </c:pt>
                    </c:numCache>
                  </c:numRef>
                </c:val>
                <c:smooth val="0"/>
                <c:extLst xmlns:c15="http://schemas.microsoft.com/office/drawing/2012/chart">
                  <c:ext xmlns:c16="http://schemas.microsoft.com/office/drawing/2014/chart" uri="{C3380CC4-5D6E-409C-BE32-E72D297353CC}">
                    <c16:uniqueId val="{00000006-6EE7-45E7-AF74-6A2750C90697}"/>
                  </c:ext>
                </c:extLst>
              </c15:ser>
            </c15:filteredLineSeries>
            <c15:filteredLineSeries>
              <c15:ser>
                <c:idx val="3"/>
                <c:order val="3"/>
                <c:tx>
                  <c:strRef>
                    <c:extLst>
                      <c:ext xmlns:c15="http://schemas.microsoft.com/office/drawing/2012/chart" uri="{02D57815-91ED-43cb-92C2-25804820EDAC}">
                        <c15:formulaRef>
                          <c15:sqref>'Summary Page'!$E$3</c15:sqref>
                        </c15:formulaRef>
                      </c:ext>
                    </c:extLst>
                    <c:strCache>
                      <c:ptCount val="1"/>
                      <c:pt idx="0">
                        <c:v>Service-Budget</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Page'!$E$4:$E$15</c15:sqref>
                        </c15:formulaRef>
                      </c:ext>
                    </c:extLst>
                    <c:numCache>
                      <c:formatCode>_("$"* #,##0.00_);_("$"* \(#,##0.00\);_("$"* "-"??_);_(@_)</c:formatCode>
                      <c:ptCount val="12"/>
                      <c:pt idx="0">
                        <c:v>153091.35134626381</c:v>
                      </c:pt>
                      <c:pt idx="1">
                        <c:v>164961.65363206642</c:v>
                      </c:pt>
                      <c:pt idx="2">
                        <c:v>193885.1864998315</c:v>
                      </c:pt>
                      <c:pt idx="3">
                        <c:v>141752.46139463346</c:v>
                      </c:pt>
                      <c:pt idx="4">
                        <c:v>165680.50987941193</c:v>
                      </c:pt>
                      <c:pt idx="5">
                        <c:v>181912.25843816865</c:v>
                      </c:pt>
                      <c:pt idx="6">
                        <c:v>144113.40909103252</c:v>
                      </c:pt>
                      <c:pt idx="7">
                        <c:v>141350.63665418015</c:v>
                      </c:pt>
                      <c:pt idx="8">
                        <c:v>173258.80698850667</c:v>
                      </c:pt>
                      <c:pt idx="9">
                        <c:v>154904.77965460948</c:v>
                      </c:pt>
                      <c:pt idx="10">
                        <c:v>161924.92539112756</c:v>
                      </c:pt>
                      <c:pt idx="11">
                        <c:v>196877.22981439257</c:v>
                      </c:pt>
                    </c:numCache>
                  </c:numRef>
                </c:val>
                <c:smooth val="0"/>
                <c:extLst xmlns:c15="http://schemas.microsoft.com/office/drawing/2012/chart">
                  <c:ext xmlns:c16="http://schemas.microsoft.com/office/drawing/2014/chart" uri="{C3380CC4-5D6E-409C-BE32-E72D297353CC}">
                    <c16:uniqueId val="{00000002-6EE7-45E7-AF74-6A2750C90697}"/>
                  </c:ext>
                </c:extLst>
              </c15:ser>
            </c15:filteredLineSeries>
            <c15:filteredLineSeries>
              <c15:ser>
                <c:idx val="5"/>
                <c:order val="5"/>
                <c:tx>
                  <c:strRef>
                    <c:extLst>
                      <c:ext xmlns:c15="http://schemas.microsoft.com/office/drawing/2012/chart" uri="{02D57815-91ED-43cb-92C2-25804820EDAC}">
                        <c15:formulaRef>
                          <c15:sqref>'Summary Page'!$G$3</c15:sqref>
                        </c15:formulaRef>
                      </c:ext>
                    </c:extLst>
                    <c:strCache>
                      <c:ptCount val="1"/>
                      <c:pt idx="0">
                        <c:v>Overall-Budget</c:v>
                      </c:pt>
                    </c:strCache>
                  </c:strRef>
                </c:tx>
                <c:spPr>
                  <a:ln w="28575" cap="rnd">
                    <a:solidFill>
                      <a:schemeClr val="accent6"/>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Page'!$G$4:$G$15</c15:sqref>
                        </c15:formulaRef>
                      </c:ext>
                    </c:extLst>
                    <c:numCache>
                      <c:formatCode>_("$"* #,##0.00_);_("$"* \(#,##0.00\);_("$"* "-"??_);_(@_)</c:formatCode>
                      <c:ptCount val="12"/>
                      <c:pt idx="0">
                        <c:v>190629.62090385813</c:v>
                      </c:pt>
                      <c:pt idx="1">
                        <c:v>204342.61776713619</c:v>
                      </c:pt>
                      <c:pt idx="2">
                        <c:v>241034.389093301</c:v>
                      </c:pt>
                      <c:pt idx="3">
                        <c:v>179046.53921215818</c:v>
                      </c:pt>
                      <c:pt idx="4">
                        <c:v>209232.67024958887</c:v>
                      </c:pt>
                      <c:pt idx="5">
                        <c:v>228737.15334469592</c:v>
                      </c:pt>
                      <c:pt idx="6">
                        <c:v>180059.2241327361</c:v>
                      </c:pt>
                      <c:pt idx="7">
                        <c:v>176176.12569813841</c:v>
                      </c:pt>
                      <c:pt idx="8">
                        <c:v>227493.34339372499</c:v>
                      </c:pt>
                      <c:pt idx="9">
                        <c:v>194527.20833523531</c:v>
                      </c:pt>
                      <c:pt idx="10">
                        <c:v>221228.89277975485</c:v>
                      </c:pt>
                      <c:pt idx="11">
                        <c:v>254356.464863145</c:v>
                      </c:pt>
                    </c:numCache>
                  </c:numRef>
                </c:val>
                <c:smooth val="0"/>
                <c:extLst xmlns:c15="http://schemas.microsoft.com/office/drawing/2012/chart">
                  <c:ext xmlns:c16="http://schemas.microsoft.com/office/drawing/2014/chart" uri="{C3380CC4-5D6E-409C-BE32-E72D297353CC}">
                    <c16:uniqueId val="{00000007-6EE7-45E7-AF74-6A2750C90697}"/>
                  </c:ext>
                </c:extLst>
              </c15:ser>
            </c15:filteredLineSeries>
            <c15:filteredLineSeries>
              <c15:ser>
                <c:idx val="6"/>
                <c:order val="6"/>
                <c:tx>
                  <c:strRef>
                    <c:extLst>
                      <c:ext xmlns:c15="http://schemas.microsoft.com/office/drawing/2012/chart" uri="{02D57815-91ED-43cb-92C2-25804820EDAC}">
                        <c15:formulaRef>
                          <c15:sqref>'Summary Page'!$H$3</c15:sqref>
                        </c15:formulaRef>
                      </c:ext>
                    </c:extLst>
                    <c:strCache>
                      <c:ptCount val="1"/>
                      <c:pt idx="0">
                        <c:v>Variance to Budget</c:v>
                      </c:pt>
                    </c:strCache>
                  </c:strRef>
                </c:tx>
                <c:spPr>
                  <a:ln w="28575" cap="rnd">
                    <a:solidFill>
                      <a:schemeClr val="accent1">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Page'!$H$4:$H$15</c15:sqref>
                        </c15:formulaRef>
                      </c:ext>
                    </c:extLst>
                    <c:numCache>
                      <c:formatCode>_("$"* #,##0.00_);_("$"* \(#,##0.00\);_("$"* "-"??_);_(@_)</c:formatCode>
                      <c:ptCount val="12"/>
                      <c:pt idx="0">
                        <c:v>159.14909614186035</c:v>
                      </c:pt>
                      <c:pt idx="1">
                        <c:v>4220.7122328637925</c:v>
                      </c:pt>
                      <c:pt idx="2">
                        <c:v>-166472.22909330099</c:v>
                      </c:pt>
                      <c:pt idx="3">
                        <c:v>-179046.53921215818</c:v>
                      </c:pt>
                      <c:pt idx="4">
                        <c:v>-209232.67024958887</c:v>
                      </c:pt>
                      <c:pt idx="5">
                        <c:v>-228737.15334469592</c:v>
                      </c:pt>
                      <c:pt idx="6">
                        <c:v>-180059.2241327361</c:v>
                      </c:pt>
                      <c:pt idx="7">
                        <c:v>-176176.12569813841</c:v>
                      </c:pt>
                      <c:pt idx="8">
                        <c:v>-227493.34339372499</c:v>
                      </c:pt>
                      <c:pt idx="9">
                        <c:v>-194527.20833523531</c:v>
                      </c:pt>
                      <c:pt idx="10">
                        <c:v>-221228.89277975485</c:v>
                      </c:pt>
                      <c:pt idx="11">
                        <c:v>-254356.464863145</c:v>
                      </c:pt>
                    </c:numCache>
                  </c:numRef>
                </c:val>
                <c:smooth val="0"/>
                <c:extLst xmlns:c15="http://schemas.microsoft.com/office/drawing/2012/chart">
                  <c:ext xmlns:c16="http://schemas.microsoft.com/office/drawing/2014/chart" uri="{C3380CC4-5D6E-409C-BE32-E72D297353CC}">
                    <c16:uniqueId val="{00000008-6EE7-45E7-AF74-6A2750C90697}"/>
                  </c:ext>
                </c:extLst>
              </c15:ser>
            </c15:filteredLineSeries>
            <c15:filteredLineSeries>
              <c15:ser>
                <c:idx val="7"/>
                <c:order val="7"/>
                <c:tx>
                  <c:strRef>
                    <c:extLst>
                      <c:ext xmlns:c15="http://schemas.microsoft.com/office/drawing/2012/chart" uri="{02D57815-91ED-43cb-92C2-25804820EDAC}">
                        <c15:formulaRef>
                          <c15:sqref>'Summary Page'!$I$3</c15:sqref>
                        </c15:formulaRef>
                      </c:ext>
                    </c:extLst>
                    <c:strCache>
                      <c:ptCount val="1"/>
                      <c:pt idx="0">
                        <c:v>PercentageBudget</c:v>
                      </c:pt>
                    </c:strCache>
                  </c:strRef>
                </c:tx>
                <c:spPr>
                  <a:ln w="28575" cap="rnd">
                    <a:solidFill>
                      <a:schemeClr val="accent2">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Page'!$I$4:$I$15</c15:sqref>
                        </c15:formulaRef>
                      </c:ext>
                    </c:extLst>
                    <c:numCache>
                      <c:formatCode>0%</c:formatCode>
                      <c:ptCount val="12"/>
                      <c:pt idx="0">
                        <c:v>8.3486026666404261E-4</c:v>
                      </c:pt>
                      <c:pt idx="1">
                        <c:v>2.0655075671359029E-2</c:v>
                      </c:pt>
                      <c:pt idx="2">
                        <c:v>-0.6906575850836868</c:v>
                      </c:pt>
                      <c:pt idx="3">
                        <c:v>-1</c:v>
                      </c:pt>
                      <c:pt idx="4">
                        <c:v>-1</c:v>
                      </c:pt>
                      <c:pt idx="5">
                        <c:v>-1</c:v>
                      </c:pt>
                      <c:pt idx="6">
                        <c:v>-1</c:v>
                      </c:pt>
                      <c:pt idx="7">
                        <c:v>-1</c:v>
                      </c:pt>
                      <c:pt idx="8">
                        <c:v>-1</c:v>
                      </c:pt>
                      <c:pt idx="9">
                        <c:v>-1</c:v>
                      </c:pt>
                      <c:pt idx="10">
                        <c:v>-1</c:v>
                      </c:pt>
                      <c:pt idx="11">
                        <c:v>-1</c:v>
                      </c:pt>
                    </c:numCache>
                  </c:numRef>
                </c:val>
                <c:smooth val="0"/>
                <c:extLst xmlns:c15="http://schemas.microsoft.com/office/drawing/2012/chart">
                  <c:ext xmlns:c16="http://schemas.microsoft.com/office/drawing/2014/chart" uri="{C3380CC4-5D6E-409C-BE32-E72D297353CC}">
                    <c16:uniqueId val="{00000009-6EE7-45E7-AF74-6A2750C90697}"/>
                  </c:ext>
                </c:extLst>
              </c15:ser>
            </c15:filteredLineSeries>
            <c15:filteredLineSeries>
              <c15:ser>
                <c:idx val="8"/>
                <c:order val="8"/>
                <c:tx>
                  <c:strRef>
                    <c:extLst>
                      <c:ext xmlns:c15="http://schemas.microsoft.com/office/drawing/2012/chart" uri="{02D57815-91ED-43cb-92C2-25804820EDAC}">
                        <c15:formulaRef>
                          <c15:sqref>'Summary Page'!$J$3</c15:sqref>
                        </c15:formulaRef>
                      </c:ext>
                    </c:extLst>
                    <c:strCache>
                      <c:ptCount val="1"/>
                      <c:pt idx="0">
                        <c:v>Service-LY</c:v>
                      </c:pt>
                    </c:strCache>
                  </c:strRef>
                </c:tx>
                <c:spPr>
                  <a:ln w="28575" cap="rnd">
                    <a:solidFill>
                      <a:schemeClr val="accent3">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Page'!$J$4:$J$15</c15:sqref>
                        </c15:formulaRef>
                      </c:ext>
                    </c:extLst>
                    <c:numCache>
                      <c:formatCode>_("$"* #,##0.00_);_("$"* \(#,##0.00\);_("$"* "-"??_);_(@_)</c:formatCode>
                      <c:ptCount val="12"/>
                      <c:pt idx="0">
                        <c:v>135500.49</c:v>
                      </c:pt>
                      <c:pt idx="1">
                        <c:v>157700.47999999998</c:v>
                      </c:pt>
                      <c:pt idx="2">
                        <c:v>194553.21000000002</c:v>
                      </c:pt>
                      <c:pt idx="3">
                        <c:v>131807.72</c:v>
                      </c:pt>
                      <c:pt idx="4">
                        <c:v>151209.31999999998</c:v>
                      </c:pt>
                      <c:pt idx="5">
                        <c:v>149059.62000000002</c:v>
                      </c:pt>
                      <c:pt idx="6">
                        <c:v>126118.64099999999</c:v>
                      </c:pt>
                      <c:pt idx="7">
                        <c:v>119489.51</c:v>
                      </c:pt>
                      <c:pt idx="8">
                        <c:v>151900.18</c:v>
                      </c:pt>
                      <c:pt idx="9">
                        <c:v>141410.65</c:v>
                      </c:pt>
                      <c:pt idx="10">
                        <c:v>141947.88000000003</c:v>
                      </c:pt>
                      <c:pt idx="11">
                        <c:v>210768.18999999994</c:v>
                      </c:pt>
                    </c:numCache>
                  </c:numRef>
                </c:val>
                <c:smooth val="0"/>
                <c:extLst xmlns:c15="http://schemas.microsoft.com/office/drawing/2012/chart">
                  <c:ext xmlns:c16="http://schemas.microsoft.com/office/drawing/2014/chart" uri="{C3380CC4-5D6E-409C-BE32-E72D297353CC}">
                    <c16:uniqueId val="{00000004-6EE7-45E7-AF74-6A2750C90697}"/>
                  </c:ext>
                </c:extLst>
              </c15:ser>
            </c15:filteredLineSeries>
            <c15:filteredLineSeries>
              <c15:ser>
                <c:idx val="10"/>
                <c:order val="10"/>
                <c:tx>
                  <c:strRef>
                    <c:extLst>
                      <c:ext xmlns:c15="http://schemas.microsoft.com/office/drawing/2012/chart" uri="{02D57815-91ED-43cb-92C2-25804820EDAC}">
                        <c15:formulaRef>
                          <c15:sqref>'Summary Page'!$L$3</c15:sqref>
                        </c15:formulaRef>
                      </c:ext>
                    </c:extLst>
                    <c:strCache>
                      <c:ptCount val="1"/>
                      <c:pt idx="0">
                        <c:v>Overall-LY</c:v>
                      </c:pt>
                    </c:strCache>
                  </c:strRef>
                </c:tx>
                <c:spPr>
                  <a:ln w="28575" cap="rnd">
                    <a:solidFill>
                      <a:schemeClr val="accent5">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Page'!$L$4:$L$15</c15:sqref>
                        </c15:formulaRef>
                      </c:ext>
                    </c:extLst>
                    <c:numCache>
                      <c:formatCode>_("$"* #,##0.00_);_("$"* \(#,##0.00\);_("$"* "-"??_);_(@_)</c:formatCode>
                      <c:ptCount val="12"/>
                      <c:pt idx="0">
                        <c:v>164458.65999999997</c:v>
                      </c:pt>
                      <c:pt idx="1">
                        <c:v>192286.16999999998</c:v>
                      </c:pt>
                      <c:pt idx="2">
                        <c:v>238302.19</c:v>
                      </c:pt>
                      <c:pt idx="3">
                        <c:v>165181.91999999998</c:v>
                      </c:pt>
                      <c:pt idx="4">
                        <c:v>195198.18</c:v>
                      </c:pt>
                      <c:pt idx="5">
                        <c:v>188258.78000000003</c:v>
                      </c:pt>
                      <c:pt idx="6">
                        <c:v>153031.94099999999</c:v>
                      </c:pt>
                      <c:pt idx="7">
                        <c:v>148122.57</c:v>
                      </c:pt>
                      <c:pt idx="8">
                        <c:v>195312.18</c:v>
                      </c:pt>
                      <c:pt idx="9">
                        <c:v>167246.99</c:v>
                      </c:pt>
                      <c:pt idx="10">
                        <c:v>188854.19000000003</c:v>
                      </c:pt>
                      <c:pt idx="11">
                        <c:v>271909.12999999995</c:v>
                      </c:pt>
                    </c:numCache>
                  </c:numRef>
                </c:val>
                <c:smooth val="0"/>
                <c:extLst xmlns:c15="http://schemas.microsoft.com/office/drawing/2012/chart">
                  <c:ext xmlns:c16="http://schemas.microsoft.com/office/drawing/2014/chart" uri="{C3380CC4-5D6E-409C-BE32-E72D297353CC}">
                    <c16:uniqueId val="{0000000A-6EE7-45E7-AF74-6A2750C90697}"/>
                  </c:ext>
                </c:extLst>
              </c15:ser>
            </c15:filteredLineSeries>
            <c15:filteredLineSeries>
              <c15:ser>
                <c:idx val="11"/>
                <c:order val="11"/>
                <c:tx>
                  <c:strRef>
                    <c:extLst>
                      <c:ext xmlns:c15="http://schemas.microsoft.com/office/drawing/2012/chart" uri="{02D57815-91ED-43cb-92C2-25804820EDAC}">
                        <c15:formulaRef>
                          <c15:sqref>'Summary Page'!$M$3</c15:sqref>
                        </c15:formulaRef>
                      </c:ext>
                    </c:extLst>
                    <c:strCache>
                      <c:ptCount val="1"/>
                      <c:pt idx="0">
                        <c:v>Variance to LY</c:v>
                      </c:pt>
                    </c:strCache>
                  </c:strRef>
                </c:tx>
                <c:spPr>
                  <a:ln w="28575" cap="rnd">
                    <a:solidFill>
                      <a:schemeClr val="accent6">
                        <a:lumMod val="6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Page'!$M$4:$M$15</c15:sqref>
                        </c15:formulaRef>
                      </c:ext>
                    </c:extLst>
                    <c:numCache>
                      <c:formatCode>_("$"* #,##0.00_);_("$"* \(#,##0.00\);_("$"* "-"??_);_(@_)</c:formatCode>
                      <c:ptCount val="12"/>
                      <c:pt idx="0">
                        <c:v>26330.110000000015</c:v>
                      </c:pt>
                      <c:pt idx="1">
                        <c:v>16277.160000000003</c:v>
                      </c:pt>
                      <c:pt idx="2">
                        <c:v>-163740.03</c:v>
                      </c:pt>
                      <c:pt idx="3">
                        <c:v>-165181.91999999998</c:v>
                      </c:pt>
                      <c:pt idx="4">
                        <c:v>-195198.18</c:v>
                      </c:pt>
                      <c:pt idx="5">
                        <c:v>-188258.78000000003</c:v>
                      </c:pt>
                      <c:pt idx="6">
                        <c:v>-153031.94099999999</c:v>
                      </c:pt>
                      <c:pt idx="7">
                        <c:v>-148122.57</c:v>
                      </c:pt>
                      <c:pt idx="8">
                        <c:v>-195312.18</c:v>
                      </c:pt>
                      <c:pt idx="9">
                        <c:v>-167246.99</c:v>
                      </c:pt>
                      <c:pt idx="10">
                        <c:v>-188854.19000000003</c:v>
                      </c:pt>
                      <c:pt idx="11">
                        <c:v>-271909.12999999995</c:v>
                      </c:pt>
                    </c:numCache>
                  </c:numRef>
                </c:val>
                <c:smooth val="0"/>
                <c:extLst xmlns:c15="http://schemas.microsoft.com/office/drawing/2012/chart">
                  <c:ext xmlns:c16="http://schemas.microsoft.com/office/drawing/2014/chart" uri="{C3380CC4-5D6E-409C-BE32-E72D297353CC}">
                    <c16:uniqueId val="{0000000B-6EE7-45E7-AF74-6A2750C90697}"/>
                  </c:ext>
                </c:extLst>
              </c15:ser>
            </c15:filteredLineSeries>
            <c15:filteredLineSeries>
              <c15:ser>
                <c:idx val="12"/>
                <c:order val="12"/>
                <c:tx>
                  <c:strRef>
                    <c:extLst>
                      <c:ext xmlns:c15="http://schemas.microsoft.com/office/drawing/2012/chart" uri="{02D57815-91ED-43cb-92C2-25804820EDAC}">
                        <c15:formulaRef>
                          <c15:sqref>'Summary Page'!$N$3</c15:sqref>
                        </c15:formulaRef>
                      </c:ext>
                    </c:extLst>
                    <c:strCache>
                      <c:ptCount val="1"/>
                      <c:pt idx="0">
                        <c:v>Percentage to LY</c:v>
                      </c:pt>
                    </c:strCache>
                  </c:strRef>
                </c:tx>
                <c:spPr>
                  <a:ln w="28575" cap="rnd">
                    <a:solidFill>
                      <a:schemeClr val="accent1">
                        <a:lumMod val="80000"/>
                        <a:lumOff val="20000"/>
                      </a:schemeClr>
                    </a:solidFill>
                    <a:round/>
                  </a:ln>
                  <a:effectLst/>
                </c:spPr>
                <c:marker>
                  <c:symbol val="none"/>
                </c:marker>
                <c:cat>
                  <c:strRef>
                    <c:extLst>
                      <c:ext xmlns:c15="http://schemas.microsoft.com/office/drawing/2012/chart" uri="{02D57815-91ED-43cb-92C2-25804820EDAC}">
                        <c15:formulaRef>
                          <c15:sqref>'Summary Page'!$A$4:$A$15</c15:sqref>
                        </c15:formulaRef>
                      </c:ext>
                    </c:extLst>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extLst>
                      <c:ext xmlns:c15="http://schemas.microsoft.com/office/drawing/2012/chart" uri="{02D57815-91ED-43cb-92C2-25804820EDAC}">
                        <c15:formulaRef>
                          <c15:sqref>'Summary Page'!$N$4:$N$15</c15:sqref>
                        </c15:formulaRef>
                      </c:ext>
                    </c:extLst>
                    <c:numCache>
                      <c:formatCode>0%</c:formatCode>
                      <c:ptCount val="12"/>
                      <c:pt idx="0">
                        <c:v>0.13800660279952545</c:v>
                      </c:pt>
                      <c:pt idx="1">
                        <c:v>7.8044208442586735E-2</c:v>
                      </c:pt>
                      <c:pt idx="2">
                        <c:v>-2.1960204747287362</c:v>
                      </c:pt>
                      <c:pt idx="3">
                        <c:v>0</c:v>
                      </c:pt>
                      <c:pt idx="4">
                        <c:v>0</c:v>
                      </c:pt>
                      <c:pt idx="5">
                        <c:v>0</c:v>
                      </c:pt>
                      <c:pt idx="6">
                        <c:v>0</c:v>
                      </c:pt>
                      <c:pt idx="7">
                        <c:v>0</c:v>
                      </c:pt>
                      <c:pt idx="8">
                        <c:v>0</c:v>
                      </c:pt>
                      <c:pt idx="9">
                        <c:v>0</c:v>
                      </c:pt>
                      <c:pt idx="10">
                        <c:v>0</c:v>
                      </c:pt>
                      <c:pt idx="11">
                        <c:v>0</c:v>
                      </c:pt>
                    </c:numCache>
                  </c:numRef>
                </c:val>
                <c:smooth val="0"/>
                <c:extLst xmlns:c15="http://schemas.microsoft.com/office/drawing/2012/chart">
                  <c:ext xmlns:c16="http://schemas.microsoft.com/office/drawing/2014/chart" uri="{C3380CC4-5D6E-409C-BE32-E72D297353CC}">
                    <c16:uniqueId val="{0000000C-6EE7-45E7-AF74-6A2750C90697}"/>
                  </c:ext>
                </c:extLst>
              </c15:ser>
            </c15:filteredLineSeries>
          </c:ext>
        </c:extLst>
      </c:lineChart>
      <c:catAx>
        <c:axId val="186344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46496"/>
        <c:crosses val="autoZero"/>
        <c:auto val="1"/>
        <c:lblAlgn val="ctr"/>
        <c:lblOffset val="100"/>
        <c:noMultiLvlLbl val="0"/>
      </c:catAx>
      <c:valAx>
        <c:axId val="1863464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44960"/>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absolute">
    <xdr:from>
      <xdr:col>0</xdr:col>
      <xdr:colOff>1</xdr:colOff>
      <xdr:row>4</xdr:row>
      <xdr:rowOff>57150</xdr:rowOff>
    </xdr:from>
    <xdr:to>
      <xdr:col>7</xdr:col>
      <xdr:colOff>38100</xdr:colOff>
      <xdr:row>1485</xdr:row>
      <xdr:rowOff>104776</xdr:rowOff>
    </xdr:to>
    <mc:AlternateContent xmlns:mc="http://schemas.openxmlformats.org/markup-compatibility/2006" xmlns:sle15="http://schemas.microsoft.com/office/drawing/2012/slicer">
      <mc:Choice Requires="sle15">
        <xdr:graphicFrame macro="">
          <xdr:nvGraphicFramePr>
            <xdr:cNvPr id="2" name="MonthAll">
              <a:extLst>
                <a:ext uri="{FF2B5EF4-FFF2-40B4-BE49-F238E27FC236}">
                  <a16:creationId xmlns:a16="http://schemas.microsoft.com/office/drawing/2014/main" id="{D38F6CC8-3681-4B8E-B3CD-AD995DB0DBA6}"/>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MonthAll"/>
            </a:graphicData>
          </a:graphic>
        </xdr:graphicFrame>
      </mc:Choice>
      <mc:Fallback xmlns="">
        <xdr:sp macro="" textlink="">
          <xdr:nvSpPr>
            <xdr:cNvPr id="2" name="Rectangle 1"/>
            <xdr:cNvSpPr>
              <a:spLocks noTextEdit="1"/>
            </xdr:cNvSpPr>
          </xdr:nvSpPr>
          <xdr:spPr>
            <a:xfrm>
              <a:off x="1" y="1057275"/>
              <a:ext cx="1019174" cy="91535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absolute">
    <xdr:from>
      <xdr:col>0</xdr:col>
      <xdr:colOff>1</xdr:colOff>
      <xdr:row>0</xdr:row>
      <xdr:rowOff>0</xdr:rowOff>
    </xdr:from>
    <xdr:to>
      <xdr:col>7</xdr:col>
      <xdr:colOff>19050</xdr:colOff>
      <xdr:row>4</xdr:row>
      <xdr:rowOff>66675</xdr:rowOff>
    </xdr:to>
    <mc:AlternateContent xmlns:mc="http://schemas.openxmlformats.org/markup-compatibility/2006" xmlns:sle15="http://schemas.microsoft.com/office/drawing/2012/slicer">
      <mc:Choice Requires="sle15">
        <xdr:graphicFrame macro="">
          <xdr:nvGraphicFramePr>
            <xdr:cNvPr id="5" name="YearAll">
              <a:extLst>
                <a:ext uri="{FF2B5EF4-FFF2-40B4-BE49-F238E27FC236}">
                  <a16:creationId xmlns:a16="http://schemas.microsoft.com/office/drawing/2014/main" id="{B1D9B0BB-14D8-4ED2-8E41-BD70B6B6A14D}"/>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YearAll"/>
            </a:graphicData>
          </a:graphic>
        </xdr:graphicFrame>
      </mc:Choice>
      <mc:Fallback xmlns="">
        <xdr:sp macro="" textlink="">
          <xdr:nvSpPr>
            <xdr:cNvPr id="3" name="Rectangle 2"/>
            <xdr:cNvSpPr>
              <a:spLocks noTextEdit="1"/>
            </xdr:cNvSpPr>
          </xdr:nvSpPr>
          <xdr:spPr>
            <a:xfrm>
              <a:off x="1" y="0"/>
              <a:ext cx="1000124" cy="1066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oneCell">
    <xdr:from>
      <xdr:col>48</xdr:col>
      <xdr:colOff>304800</xdr:colOff>
      <xdr:row>4</xdr:row>
      <xdr:rowOff>123825</xdr:rowOff>
    </xdr:from>
    <xdr:to>
      <xdr:col>59</xdr:col>
      <xdr:colOff>542925</xdr:colOff>
      <xdr:row>1495</xdr:row>
      <xdr:rowOff>66675</xdr:rowOff>
    </xdr:to>
    <xdr:grpSp>
      <xdr:nvGrpSpPr>
        <xdr:cNvPr id="6" name="Group 5">
          <a:extLst>
            <a:ext uri="{FF2B5EF4-FFF2-40B4-BE49-F238E27FC236}">
              <a16:creationId xmlns:a16="http://schemas.microsoft.com/office/drawing/2014/main" id="{9862F74C-64A7-4243-9C48-B3B4231C9D62}"/>
            </a:ext>
          </a:extLst>
        </xdr:cNvPr>
        <xdr:cNvGrpSpPr>
          <a:grpSpLocks noChangeAspect="1"/>
        </xdr:cNvGrpSpPr>
      </xdr:nvGrpSpPr>
      <xdr:grpSpPr>
        <a:xfrm>
          <a:off x="21326475" y="1123950"/>
          <a:ext cx="7248525" cy="10953750"/>
          <a:chOff x="11268075" y="914400"/>
          <a:chExt cx="7248525" cy="10953750"/>
        </a:xfrm>
      </xdr:grpSpPr>
      <xdr:grpSp>
        <xdr:nvGrpSpPr>
          <xdr:cNvPr id="4" name="Group 2">
            <a:extLst>
              <a:ext uri="{FF2B5EF4-FFF2-40B4-BE49-F238E27FC236}">
                <a16:creationId xmlns:a16="http://schemas.microsoft.com/office/drawing/2014/main" id="{FD2B1A59-2C95-4B46-B3BF-C41B4F9A3F68}"/>
              </a:ext>
            </a:extLst>
          </xdr:cNvPr>
          <xdr:cNvGrpSpPr>
            <a:grpSpLocks noChangeAspect="1"/>
          </xdr:cNvGrpSpPr>
        </xdr:nvGrpSpPr>
        <xdr:grpSpPr>
          <a:xfrm>
            <a:off x="11268075" y="914400"/>
            <a:ext cx="7248525" cy="8005763"/>
            <a:chOff x="11353800" y="1152525"/>
            <a:chExt cx="7248525" cy="8005763"/>
          </a:xfrm>
        </xdr:grpSpPr>
        <xdr:grpSp>
          <xdr:nvGrpSpPr>
            <xdr:cNvPr id="10" name="Group 9">
              <a:extLst>
                <a:ext uri="{FF2B5EF4-FFF2-40B4-BE49-F238E27FC236}">
                  <a16:creationId xmlns:a16="http://schemas.microsoft.com/office/drawing/2014/main" id="{181AFB0E-D7EF-4258-B93E-2B963AF57774}"/>
                </a:ext>
              </a:extLst>
            </xdr:cNvPr>
            <xdr:cNvGrpSpPr>
              <a:grpSpLocks noChangeAspect="1"/>
            </xdr:cNvGrpSpPr>
          </xdr:nvGrpSpPr>
          <xdr:grpSpPr>
            <a:xfrm>
              <a:off x="11363325" y="1152525"/>
              <a:ext cx="7210425" cy="6019800"/>
              <a:chOff x="3209925" y="1533525"/>
              <a:chExt cx="7210425" cy="6019800"/>
            </a:xfrm>
          </xdr:grpSpPr>
          <xdr:grpSp>
            <xdr:nvGrpSpPr>
              <xdr:cNvPr id="11" name="Group 10">
                <a:extLst>
                  <a:ext uri="{FF2B5EF4-FFF2-40B4-BE49-F238E27FC236}">
                    <a16:creationId xmlns:a16="http://schemas.microsoft.com/office/drawing/2014/main" id="{F0AAE245-52DF-4C90-A263-99470899E4DE}"/>
                  </a:ext>
                </a:extLst>
              </xdr:cNvPr>
              <xdr:cNvGrpSpPr>
                <a:grpSpLocks noChangeAspect="1"/>
              </xdr:cNvGrpSpPr>
            </xdr:nvGrpSpPr>
            <xdr:grpSpPr>
              <a:xfrm>
                <a:off x="3209925" y="1533525"/>
                <a:ext cx="7210424" cy="6019800"/>
                <a:chOff x="11315700" y="266700"/>
                <a:chExt cx="7210424" cy="6019800"/>
              </a:xfrm>
            </xdr:grpSpPr>
            <xdr:graphicFrame macro="">
              <xdr:nvGraphicFramePr>
                <xdr:cNvPr id="3" name="Chart 3">
                  <a:extLst>
                    <a:ext uri="{FF2B5EF4-FFF2-40B4-BE49-F238E27FC236}">
                      <a16:creationId xmlns:a16="http://schemas.microsoft.com/office/drawing/2014/main" id="{51F8EA20-6E19-4567-A796-4E200650F45F}"/>
                    </a:ext>
                  </a:extLst>
                </xdr:cNvPr>
                <xdr:cNvGraphicFramePr/>
              </xdr:nvGraphicFramePr>
              <xdr:xfrm>
                <a:off x="11315700" y="266700"/>
                <a:ext cx="5019675" cy="28765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8" name="Chart 7">
                  <a:extLst>
                    <a:ext uri="{FF2B5EF4-FFF2-40B4-BE49-F238E27FC236}">
                      <a16:creationId xmlns:a16="http://schemas.microsoft.com/office/drawing/2014/main" id="{912C7E8C-2093-4309-8FAC-B328E3DF7782}"/>
                    </a:ext>
                  </a:extLst>
                </xdr:cNvPr>
                <xdr:cNvGraphicFramePr/>
              </xdr:nvGraphicFramePr>
              <xdr:xfrm>
                <a:off x="11320461" y="3152775"/>
                <a:ext cx="7205663" cy="3133725"/>
              </xdr:xfrm>
              <a:graphic>
                <a:graphicData uri="http://schemas.openxmlformats.org/drawingml/2006/chart">
                  <c:chart xmlns:c="http://schemas.openxmlformats.org/drawingml/2006/chart" xmlns:r="http://schemas.openxmlformats.org/officeDocument/2006/relationships" r:id="rId2"/>
                </a:graphicData>
              </a:graphic>
            </xdr:graphicFrame>
          </xdr:grpSp>
          <xdr:graphicFrame macro="">
            <xdr:nvGraphicFramePr>
              <xdr:cNvPr id="9" name="Chart 8">
                <a:extLst>
                  <a:ext uri="{FF2B5EF4-FFF2-40B4-BE49-F238E27FC236}">
                    <a16:creationId xmlns:a16="http://schemas.microsoft.com/office/drawing/2014/main" id="{5245E91C-2344-44C6-BF62-9F25C6B59226}"/>
                  </a:ext>
                </a:extLst>
              </xdr:cNvPr>
              <xdr:cNvGraphicFramePr/>
            </xdr:nvGraphicFramePr>
            <xdr:xfrm>
              <a:off x="8224837" y="1533525"/>
              <a:ext cx="2195513" cy="2876550"/>
            </xdr:xfrm>
            <a:graphic>
              <a:graphicData uri="http://schemas.openxmlformats.org/drawingml/2006/chart">
                <c:chart xmlns:c="http://schemas.openxmlformats.org/drawingml/2006/chart" xmlns:r="http://schemas.openxmlformats.org/officeDocument/2006/relationships" r:id="rId3"/>
              </a:graphicData>
            </a:graphic>
          </xdr:graphicFrame>
        </xdr:grpSp>
        <xdr:graphicFrame macro="">
          <xdr:nvGraphicFramePr>
            <xdr:cNvPr id="12" name="Chart 11">
              <a:extLst>
                <a:ext uri="{FF2B5EF4-FFF2-40B4-BE49-F238E27FC236}">
                  <a16:creationId xmlns:a16="http://schemas.microsoft.com/office/drawing/2014/main" id="{018B8D6B-820B-45B8-AEB1-F177680B99D9}"/>
                </a:ext>
              </a:extLst>
            </xdr:cNvPr>
            <xdr:cNvGraphicFramePr>
              <a:graphicFrameLocks/>
            </xdr:cNvGraphicFramePr>
          </xdr:nvGraphicFramePr>
          <xdr:xfrm>
            <a:off x="11353800" y="7181850"/>
            <a:ext cx="7248525" cy="1976438"/>
          </xdr:xfrm>
          <a:graphic>
            <a:graphicData uri="http://schemas.openxmlformats.org/drawingml/2006/chart">
              <c:chart xmlns:c="http://schemas.openxmlformats.org/drawingml/2006/chart" xmlns:r="http://schemas.openxmlformats.org/officeDocument/2006/relationships" r:id="rId4"/>
            </a:graphicData>
          </a:graphic>
        </xdr:graphicFrame>
      </xdr:grpSp>
      <xdr:graphicFrame macro="">
        <xdr:nvGraphicFramePr>
          <xdr:cNvPr id="14" name="Chart 13">
            <a:extLst>
              <a:ext uri="{FF2B5EF4-FFF2-40B4-BE49-F238E27FC236}">
                <a16:creationId xmlns:a16="http://schemas.microsoft.com/office/drawing/2014/main" id="{91FF50D8-1201-4A2D-8BCB-0F0BA7E93990}"/>
              </a:ext>
            </a:extLst>
          </xdr:cNvPr>
          <xdr:cNvGraphicFramePr>
            <a:graphicFrameLocks noChangeAspect="1"/>
          </xdr:cNvGraphicFramePr>
        </xdr:nvGraphicFramePr>
        <xdr:xfrm>
          <a:off x="11353800" y="8639174"/>
          <a:ext cx="7162800" cy="3228976"/>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60</xdr:col>
      <xdr:colOff>85725</xdr:colOff>
      <xdr:row>5</xdr:row>
      <xdr:rowOff>85725</xdr:rowOff>
    </xdr:from>
    <xdr:to>
      <xdr:col>61</xdr:col>
      <xdr:colOff>495299</xdr:colOff>
      <xdr:row>1487</xdr:row>
      <xdr:rowOff>85726</xdr:rowOff>
    </xdr:to>
    <mc:AlternateContent xmlns:mc="http://schemas.openxmlformats.org/markup-compatibility/2006" xmlns:sle15="http://schemas.microsoft.com/office/drawing/2012/slicer">
      <mc:Choice Requires="sle15">
        <xdr:graphicFrame macro="">
          <xdr:nvGraphicFramePr>
            <xdr:cNvPr id="13" name="MonthAll 1">
              <a:extLst>
                <a:ext uri="{FF2B5EF4-FFF2-40B4-BE49-F238E27FC236}">
                  <a16:creationId xmlns:a16="http://schemas.microsoft.com/office/drawing/2014/main" id="{DB2397A9-14F1-478C-B3AF-39678674A35C}"/>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MonthAll 1"/>
            </a:graphicData>
          </a:graphic>
        </xdr:graphicFrame>
      </mc:Choice>
      <mc:Fallback xmlns="">
        <xdr:sp macro="" textlink="">
          <xdr:nvSpPr>
            <xdr:cNvPr id="7" name="Rectangle 6"/>
            <xdr:cNvSpPr>
              <a:spLocks noTextEdit="1"/>
            </xdr:cNvSpPr>
          </xdr:nvSpPr>
          <xdr:spPr>
            <a:xfrm>
              <a:off x="19878675" y="1419225"/>
              <a:ext cx="1019174" cy="91535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twoCellAnchor editAs="oneCell">
    <xdr:from>
      <xdr:col>60</xdr:col>
      <xdr:colOff>85725</xdr:colOff>
      <xdr:row>1</xdr:row>
      <xdr:rowOff>123825</xdr:rowOff>
    </xdr:from>
    <xdr:to>
      <xdr:col>61</xdr:col>
      <xdr:colOff>476249</xdr:colOff>
      <xdr:row>5</xdr:row>
      <xdr:rowOff>95250</xdr:rowOff>
    </xdr:to>
    <mc:AlternateContent xmlns:mc="http://schemas.openxmlformats.org/markup-compatibility/2006" xmlns:sle15="http://schemas.microsoft.com/office/drawing/2012/slicer">
      <mc:Choice Requires="sle15">
        <xdr:graphicFrame macro="">
          <xdr:nvGraphicFramePr>
            <xdr:cNvPr id="15" name="YearAll 2">
              <a:extLst>
                <a:ext uri="{FF2B5EF4-FFF2-40B4-BE49-F238E27FC236}">
                  <a16:creationId xmlns:a16="http://schemas.microsoft.com/office/drawing/2014/main" id="{AF0BFD74-B92C-49E6-9AE1-8330570F0E1F}"/>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YearAll 2"/>
            </a:graphicData>
          </a:graphic>
        </xdr:graphicFrame>
      </mc:Choice>
      <mc:Fallback xmlns="">
        <xdr:sp macro="" textlink="">
          <xdr:nvSpPr>
            <xdr:cNvPr id="13" name="Rectangle 12"/>
            <xdr:cNvSpPr>
              <a:spLocks noTextEdit="1"/>
            </xdr:cNvSpPr>
          </xdr:nvSpPr>
          <xdr:spPr>
            <a:xfrm>
              <a:off x="19878675" y="361950"/>
              <a:ext cx="1000124" cy="1066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15</xdr:row>
      <xdr:rowOff>23811</xdr:rowOff>
    </xdr:from>
    <xdr:to>
      <xdr:col>7</xdr:col>
      <xdr:colOff>1133475</xdr:colOff>
      <xdr:row>31</xdr:row>
      <xdr:rowOff>19050</xdr:rowOff>
    </xdr:to>
    <xdr:graphicFrame macro="">
      <xdr:nvGraphicFramePr>
        <xdr:cNvPr id="2" name="Chart 1">
          <a:extLst>
            <a:ext uri="{FF2B5EF4-FFF2-40B4-BE49-F238E27FC236}">
              <a16:creationId xmlns:a16="http://schemas.microsoft.com/office/drawing/2014/main" id="{6EEA6FC8-4827-432A-982F-689FD88B6B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1123950</xdr:colOff>
      <xdr:row>15</xdr:row>
      <xdr:rowOff>28575</xdr:rowOff>
    </xdr:from>
    <xdr:to>
      <xdr:col>19</xdr:col>
      <xdr:colOff>19050</xdr:colOff>
      <xdr:row>31</xdr:row>
      <xdr:rowOff>28575</xdr:rowOff>
    </xdr:to>
    <xdr:graphicFrame macro="">
      <xdr:nvGraphicFramePr>
        <xdr:cNvPr id="3" name="Chart 2">
          <a:extLst>
            <a:ext uri="{FF2B5EF4-FFF2-40B4-BE49-F238E27FC236}">
              <a16:creationId xmlns:a16="http://schemas.microsoft.com/office/drawing/2014/main" id="{0CE26E49-2E40-43C0-BE95-E30FF1365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14</xdr:col>
      <xdr:colOff>9526</xdr:colOff>
      <xdr:row>0</xdr:row>
      <xdr:rowOff>180974</xdr:rowOff>
    </xdr:from>
    <xdr:to>
      <xdr:col>15</xdr:col>
      <xdr:colOff>676276</xdr:colOff>
      <xdr:row>4</xdr:row>
      <xdr:rowOff>0</xdr:rowOff>
    </xdr:to>
    <mc:AlternateContent xmlns:mc="http://schemas.openxmlformats.org/markup-compatibility/2006" xmlns:sle15="http://schemas.microsoft.com/office/drawing/2012/slicer">
      <mc:Choice Requires="sle15">
        <xdr:graphicFrame macro="">
          <xdr:nvGraphicFramePr>
            <xdr:cNvPr id="4" name="YearAll 1">
              <a:extLst>
                <a:ext uri="{FF2B5EF4-FFF2-40B4-BE49-F238E27FC236}">
                  <a16:creationId xmlns:a16="http://schemas.microsoft.com/office/drawing/2014/main" id="{1E0647D0-225D-44EC-A9DF-3BB0A8E1B223}"/>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YearAll 1"/>
            </a:graphicData>
          </a:graphic>
        </xdr:graphicFrame>
      </mc:Choice>
      <mc:Fallback xmlns="">
        <xdr:sp macro="" textlink="">
          <xdr:nvSpPr>
            <xdr:cNvPr id="4" name="Rectangle 3"/>
            <xdr:cNvSpPr>
              <a:spLocks noTextEdit="1"/>
            </xdr:cNvSpPr>
          </xdr:nvSpPr>
          <xdr:spPr>
            <a:xfrm>
              <a:off x="14030326" y="180974"/>
              <a:ext cx="1276350" cy="115252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1175880-E9E0-4A25-B087-4AC9FE17B4C2}" sourceName="RowYear">
  <extLst>
    <x:ext xmlns:x15="http://schemas.microsoft.com/office/spreadsheetml/2010/11/main" uri="{2F2917AC-EB37-4324-AD4E-5DD8C200BD13}">
      <x15:tableSlicerCache tableId="1" column="11" sortOrder="descending"/>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468A225-50E1-40CF-B667-9F02E26337D2}" sourceName="RowMonth">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All" xr10:uid="{5FB71A4A-05AA-4D9F-98A4-2525ACF5D9ED}" cache="Slicer_Year" caption="Column1" showCaption="0" lockedPosition="1" rowHeight="241300"/>
  <slicer name="YearAll 2" xr10:uid="{509F0A16-7055-4B16-9AFB-3B773101B2C1}" cache="Slicer_Year" caption="Column1" startItem="1" showCaption="0" lockedPosition="1" rowHeight="241300"/>
  <slicer name="MonthAll" xr10:uid="{669CC946-4EF3-480C-9F18-E01DE25EFFA6}" cache="Slicer_Month" caption="Column1" showCaption="0" lockedPosition="1" rowHeight="241300"/>
  <slicer name="MonthAll 1" xr10:uid="{E05564DB-2FFF-4E02-830B-2F078E435A55}" cache="Slicer_Month" caption="Column1" showCaption="0"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All 1" xr10:uid="{8CA388E2-D216-46FD-8BE7-C02F73514BFA}" cache="Slicer_Year" caption="Column1" showCaption="0"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ybyDay" displayName="DaybyDay" ref="C6:AV1469" totalsRowShown="0" headerRowDxfId="86" dataDxfId="84" headerRowBorderDxfId="85">
  <autoFilter ref="C6:AV1469" xr:uid="{00000000-0009-0000-0100-000001000000}">
    <filterColumn colId="0" hiddenButton="1"/>
    <filterColumn colId="1" hiddenButton="1">
      <filters>
        <filter val="January"/>
      </filters>
    </filterColumn>
    <filterColumn colId="2" hiddenButton="1">
      <filters>
        <filter val="2020"/>
      </filters>
    </filterColumn>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autoFilter>
  <tableColumns count="46">
    <tableColumn id="1" xr3:uid="{00000000-0010-0000-0000-000001000000}" name="Prop" dataDxfId="83" totalsRowDxfId="82" dataCellStyle="Currency">
      <calculatedColumnFormula>Tools!$C$1</calculatedColumnFormula>
    </tableColumn>
    <tableColumn id="8" xr3:uid="{00000000-0010-0000-0000-000008000000}" name="RowMonth" dataDxfId="81" totalsRowDxfId="80" dataCellStyle="Comma"/>
    <tableColumn id="11" xr3:uid="{00000000-0010-0000-0000-00000B000000}" name="RowYear" dataDxfId="79" totalsRowDxfId="78" dataCellStyle="Comma"/>
    <tableColumn id="12" xr3:uid="{00000000-0010-0000-0000-00000C000000}" name="RowMonthHelp" dataDxfId="77" totalsRowDxfId="76">
      <calculatedColumnFormula>MATCH(DaybyDay[[#This Row],[RowMonth]],Table3[SummaryMonth],0)</calculatedColumnFormula>
    </tableColumn>
    <tableColumn id="26" xr3:uid="{00000000-0010-0000-0000-00001A000000}" name="FORM_MATCH_HELPER" dataDxfId="75" totalsRowDxfId="74" dataCellStyle="Currency">
      <calculatedColumnFormula>MATCH(DaybyDay[[#This Row],[LY-Date]],DaybyDay[Date],0)</calculatedColumnFormula>
    </tableColumn>
    <tableColumn id="9" xr3:uid="{00000000-0010-0000-0000-000009000000}" name="DOW" dataDxfId="73" totalsRowDxfId="72" dataCellStyle="Currency">
      <calculatedColumnFormula>WEEKDAY(DaybyDay[[#This Row],[Date]])</calculatedColumnFormula>
    </tableColumn>
    <tableColumn id="2" xr3:uid="{00000000-0010-0000-0000-000002000000}" name="Date" dataDxfId="71" totalsRowDxfId="70" dataCellStyle="Currency"/>
    <tableColumn id="3" xr3:uid="{00000000-0010-0000-0000-000003000000}" name="Appts" dataDxfId="69" totalsRowDxfId="68" dataCellStyle="Currency"/>
    <tableColumn id="6" xr3:uid="{00000000-0010-0000-0000-000006000000}" name="Service-Budgets" dataDxfId="67" dataCellStyle="Currency">
      <calculatedColumnFormula>SUMIFS(BudgetSeasonality[365 Seasonality],BudgetSeasonality[MonthAdjustment],DaybyDay[[#This Row],[Date]])*SUMIFS(Budgets[Service-Budget],Budgets[BudgetMonth],DaybyDay[[#This Row],[RowMonth]],Budgets[BudgetYear],DaybyDay[[#This Row],[RowYear]])</calculatedColumnFormula>
    </tableColumn>
    <tableColumn id="4" xr3:uid="{00000000-0010-0000-0000-000004000000}" name="Service-Actuals" dataDxfId="66" totalsRowDxfId="65" dataCellStyle="Currency"/>
    <tableColumn id="7" xr3:uid="{00000000-0010-0000-0000-000007000000}" name="Retail-Budgets" dataDxfId="64" totalsRowDxfId="63" dataCellStyle="Currency">
      <calculatedColumnFormula>INDEX(BudgetSeasonality[365 Seasonality],MATCH(DaybyDay[[#This Row],[Date]],BudgetSeasonality[MonthAdjustment],0))*SUMIFS(Budgets[Retail-Budget],Budgets[BudgetMonth],DaybyDay[[#This Row],[RowMonth]],Budgets[BudgetYear],DaybyDay[[#This Row],[RowYear]])</calculatedColumnFormula>
    </tableColumn>
    <tableColumn id="5" xr3:uid="{00000000-0010-0000-0000-000005000000}" name="Retail-Actuals" dataDxfId="62" totalsRowDxfId="61" dataCellStyle="Currency"/>
    <tableColumn id="28" xr3:uid="{00000000-0010-0000-0000-00001C000000}" name="Serv-Bud-RU" dataDxfId="60" totalsRowDxfId="59" dataCellStyle="Currency">
      <calculatedColumnFormula>SUMIFS(DaybyDay[Service-Budgets],DaybyDay[Date],"&gt;="&amp;$C$5,DaybyDay[RowYear],"&gt;="&amp;$C$4,DaybyDay[Date],"&lt;="&amp;DaybyDay[[#This Row],[Date]])</calculatedColumnFormula>
    </tableColumn>
    <tableColumn id="30" xr3:uid="{00000000-0010-0000-0000-00001E000000}" name="Ret-Bud-RU" dataDxfId="58" totalsRowDxfId="57" dataCellStyle="Currency">
      <calculatedColumnFormula>SUMIFS(DaybyDay[Retail-Budgets],DaybyDay[Date],"&gt;="&amp;$C$5,DaybyDay[RowYear],"&gt;="&amp;$C$4,DaybyDay[Date],"&lt;="&amp;DaybyDay[[#This Row],[Date]])</calculatedColumnFormula>
    </tableColumn>
    <tableColumn id="31" xr3:uid="{00000000-0010-0000-0000-00001F000000}" name="Serv-Act-RU" dataDxfId="56" totalsRowDxfId="55" dataCellStyle="Currency">
      <calculatedColumnFormula>SUMIFS(DaybyDay[Service-Actuals],DaybyDay[Date],"&gt;="&amp;$C$5,DaybyDay[RowYear],"&gt;="&amp;$C$4,DaybyDay[Date],"&lt;="&amp;DaybyDay[[#This Row],[Date]])</calculatedColumnFormula>
    </tableColumn>
    <tableColumn id="29" xr3:uid="{00000000-0010-0000-0000-00001D000000}" name="Ret-Act-RU" dataDxfId="54" totalsRowDxfId="53" dataCellStyle="Currency">
      <calculatedColumnFormula>SUMIFS(DaybyDay[Retail-Actuals],DaybyDay[Date],"&gt;="&amp;$C$5,DaybyDay[RowYear],"&gt;="&amp;$C$4,DaybyDay[Date],"&lt;="&amp;DaybyDay[[#This Row],[Date]])</calculatedColumnFormula>
    </tableColumn>
    <tableColumn id="33" xr3:uid="{00000000-0010-0000-0000-000021000000}" name="Serv-LY-RU" dataDxfId="52" totalsRowDxfId="51" dataCellStyle="Currency">
      <calculatedColumnFormula>SUMIFS(DaybyDay[Service-LY],DaybyDay[Date],"&gt;="&amp;$C$5,DaybyDay[RowYear],"&gt;="&amp;$C$4,DaybyDay[Date],"&lt;="&amp;DaybyDay[[#This Row],[Date]])</calculatedColumnFormula>
    </tableColumn>
    <tableColumn id="32" xr3:uid="{00000000-0010-0000-0000-000020000000}" name="Ret-LY-RU" dataDxfId="50" totalsRowDxfId="49" dataCellStyle="Currency">
      <calculatedColumnFormula>SUMIFS(DaybyDay[Retail-LY],DaybyDay[Date],"&gt;="&amp;$C$5,DaybyDay[RowYear],"&gt;="&amp;$C$4,DaybyDay[Date],"&lt;="&amp;DaybyDay[[#This Row],[Date]])</calculatedColumnFormula>
    </tableColumn>
    <tableColumn id="13" xr3:uid="{00000000-0010-0000-0000-00000D000000}" name="Budget-Rollup" dataDxfId="48" totalsRowDxfId="47" dataCellStyle="Currency">
      <calculatedColumnFormula>DaybyDay[[#This Row],[Serv-Bud-RU]]+DaybyDay[[#This Row],[Ret-Bud-RU]]</calculatedColumnFormula>
    </tableColumn>
    <tableColumn id="10" xr3:uid="{00000000-0010-0000-0000-00000A000000}" name="Actual-Rollup" dataDxfId="46" totalsRowDxfId="45" dataCellStyle="Currency">
      <calculatedColumnFormula>DaybyDay[[#This Row],[Serv-Act-RU]]+DaybyDay[[#This Row],[Ret-Act-RU]]</calculatedColumnFormula>
    </tableColumn>
    <tableColumn id="14" xr3:uid="{00000000-0010-0000-0000-00000E000000}" name="Act-vs-Bud" dataDxfId="44" totalsRowDxfId="43" dataCellStyle="Currency">
      <calculatedColumnFormula>IF(DaybyDay[[#This Row],[_Space]],IFERROR(
((DaybyDay[[#This Row],[Actual-Rollup]]-DaybyDay[[#This Row],[Budget-Rollup]])/DaybyDay[[#This Row],[Budget-Rollup]]),0),"")</calculatedColumnFormula>
    </tableColumn>
    <tableColumn id="34" xr3:uid="{00000000-0010-0000-0000-000022000000}" name="_Space" dataDxfId="42" dataCellStyle="Currency">
      <calculatedColumnFormula>NOT(AND(ISBLANK(DaybyDay[[#This Row],[Appts]]),ISBLANK(DaybyDay[[#This Row],[Service-Actuals]]),ISBLANK(DaybyDay[[#This Row],[Retail-Actuals]])))</calculatedColumnFormula>
    </tableColumn>
    <tableColumn id="27" xr3:uid="{00000000-0010-0000-0000-00001B000000}" name="Act-vs-LY" dataDxfId="41" dataCellStyle="Currency">
      <calculatedColumnFormula>IF(DaybyDay[[#This Row],[_Space]],IFERROR(
((DaybyDay[[#This Row],[Actual-Rollup]]-DaybyDay[[#This Row],[LY-Rollup]])/DaybyDay[[#This Row],[LY-Rollup]]),0),"")</calculatedColumnFormula>
    </tableColumn>
    <tableColumn id="38" xr3:uid="{00000000-0010-0000-0000-000026000000}" name="_Space2" dataCellStyle="Currency"/>
    <tableColumn id="37" xr3:uid="{00000000-0010-0000-0000-000025000000}" name="RETPEN-Act" dataDxfId="40" dataCellStyle="Currency">
      <calculatedColumnFormula>IF(DaybyDay[[#This Row],[_Space]],DaybyDay[[#This Row],[Ret-Act-RU]]/DaybyDay[[#This Row],[Serv-Act-RU]],"")</calculatedColumnFormula>
    </tableColumn>
    <tableColumn id="39" xr3:uid="{00000000-0010-0000-0000-000027000000}" name="_RETFLAG" dataDxfId="39" dataCellStyle="Currency">
      <calculatedColumnFormula>IF(DaybyDay[[#This Row],[_Space]],DaybyDay[[#This Row],[RETPEN-Act]]/DaybyDay[[#This Row],[RETPEN-Bud]],"")</calculatedColumnFormula>
    </tableColumn>
    <tableColumn id="36" xr3:uid="{00000000-0010-0000-0000-000024000000}" name="RETPEN-Bud" dataDxfId="38" dataCellStyle="Currency">
      <calculatedColumnFormula>IF(DaybyDay[[#This Row],[_Space]],DaybyDay[[#This Row],[Ret-Bud-RU]]/DaybyDay[[#This Row],[Serv-Bud-RU]],"")</calculatedColumnFormula>
    </tableColumn>
    <tableColumn id="35" xr3:uid="{00000000-0010-0000-0000-000023000000}" name="RETPEN-LY" dataDxfId="37" dataCellStyle="Currency">
      <calculatedColumnFormula>IF(DaybyDay[[#This Row],[_Space]],DaybyDay[[#This Row],[Ret-LY-RU]]/DaybyDay[[#This Row],[Serv-LY-RU]],"")</calculatedColumnFormula>
    </tableColumn>
    <tableColumn id="21" xr3:uid="{00000000-0010-0000-0000-000015000000}" name="DOW-LY" dataDxfId="36" dataCellStyle="Currency">
      <calculatedColumnFormula>WEEKDAY(DaybyDay[[#This Row],[LY-Date]])</calculatedColumnFormula>
    </tableColumn>
    <tableColumn id="19" xr3:uid="{00000000-0010-0000-0000-000013000000}" name="LY-Date" dataDxfId="35" totalsRowDxfId="34" dataCellStyle="Currency">
      <calculatedColumnFormula>$E$2+_xlfn.DAYS(DaybyDay[[#This Row],[Date]],minDate)</calculatedColumnFormula>
    </tableColumn>
    <tableColumn id="18" xr3:uid="{00000000-0010-0000-0000-000012000000}" name="LY-Apts" dataDxfId="33" dataCellStyle="Currency">
      <calculatedColumnFormula array="1">IFERROR(INDEX(DaybyDay[],DaybyDay[[#This Row],[FORM_MATCH_HELPER]],8),"")</calculatedColumnFormula>
    </tableColumn>
    <tableColumn id="17" xr3:uid="{00000000-0010-0000-0000-000011000000}" name="Service-LY" dataDxfId="32" dataCellStyle="Currency">
      <calculatedColumnFormula array="1">IFERROR(INDEX(DaybyDay[],DaybyDay[[#This Row],[FORM_MATCH_HELPER]],10),"")</calculatedColumnFormula>
    </tableColumn>
    <tableColumn id="20" xr3:uid="{00000000-0010-0000-0000-000014000000}" name="Retail-LY" dataDxfId="31" dataCellStyle="Currency">
      <calculatedColumnFormula array="1">IFERROR(INDEX(DaybyDay[],DaybyDay[[#This Row],[FORM_MATCH_HELPER]],12),"")</calculatedColumnFormula>
    </tableColumn>
    <tableColumn id="16" xr3:uid="{00000000-0010-0000-0000-000010000000}" name="LY-Rollup" dataDxfId="30" totalsRowDxfId="29" dataCellStyle="Currency">
      <calculatedColumnFormula>IFERROR(DaybyDay[[#This Row],[Serv-LY-RU]]+DaybyDay[[#This Row],[Ret-LY-RU]],"")</calculatedColumnFormula>
    </tableColumn>
    <tableColumn id="40" xr3:uid="{00000000-0010-0000-0000-000028000000}" name="Simple-Forecast" dataDxfId="28" totalsRowDxfId="27" dataCellStyle="Currency">
      <calculatedColumnFormula>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calculatedColumnFormula>
    </tableColumn>
    <tableColumn id="25" xr3:uid="{00000000-0010-0000-0000-000019000000}" name="Admin Hours" dataDxfId="26" dataCellStyle="Comma"/>
    <tableColumn id="23" xr3:uid="{00000000-0010-0000-0000-000017000000}" name="Est-Admin-Payroll" dataDxfId="25" dataCellStyle="Currency">
      <calculatedColumnFormula>IF(DaybyDay[[#This Row],[Admin Hours]]&gt;0,DaybyDay[[#This Row],[Admin Hours]]*$AM$2+$AM$3,"")</calculatedColumnFormula>
    </tableColumn>
    <tableColumn id="22" xr3:uid="{00000000-0010-0000-0000-000016000000}" name="Estimated-Payroll-Rollup" dataDxfId="24" dataCellStyle="Currency">
      <calculatedColumnFormula>SUMIFS(DaybyDay[Est-Admin-Payroll],DaybyDay[Date],"&gt;="&amp;$C$5,DaybyDay[RowYear],"&gt;="&amp;$C$4,DaybyDay[Date],"&lt;="&amp;DaybyDay[[#This Row],[Date]])</calculatedColumnFormula>
    </tableColumn>
    <tableColumn id="15" xr3:uid="{00000000-0010-0000-0000-00000F000000}" name="PR-vs-DAY" dataDxfId="23" dataCellStyle="Currency">
      <calculatedColumnFormula>IF(AND(DaybyDay[[#This Row],[_Space]],ISNUMBER(DaybyDay[[#This Row],[Admin Hours]])),DaybyDay[[#This Row],[Est-Admin-Payroll]]/(DaybyDay[[#This Row],[Service-Actuals]]+DaybyDay[[#This Row],[Retail-Actuals]]),"")</calculatedColumnFormula>
    </tableColumn>
    <tableColumn id="24" xr3:uid="{00000000-0010-0000-0000-000018000000}" name="PR-vs-CUMM" dataDxfId="22" dataCellStyle="Currency">
      <calculatedColumnFormula>DaybyDay[[#This Row],[Estimated-Payroll-Rollup]]/DaybyDay[[#This Row],[Simple-Forecast]]</calculatedColumnFormula>
    </tableColumn>
    <tableColumn id="51" xr3:uid="{00000000-0010-0000-0000-000033000000}" name="Simple-Forecast-Retail" dataDxfId="21" dataCellStyle="Currency">
      <calculatedColumnFormula>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calculatedColumnFormula>
    </tableColumn>
    <tableColumn id="52" xr3:uid="{00000000-0010-0000-0000-000034000000}" name="Retail Hours" dataDxfId="20" dataCellStyle="Comma"/>
    <tableColumn id="49" xr3:uid="{00000000-0010-0000-0000-000031000000}" name="Est-Retail-Payroll" dataDxfId="19" dataCellStyle="Percent">
      <calculatedColumnFormula>IF(DaybyDay[[#This Row],[Retail Hours]]&gt;0,DaybyDay[[#This Row],[Retail Hours]]*$AS$2,"")</calculatedColumnFormula>
    </tableColumn>
    <tableColumn id="50" xr3:uid="{00000000-0010-0000-0000-000032000000}" name="Est-Retail-PayrollRU" dataDxfId="18" dataCellStyle="Currency">
      <calculatedColumnFormula>SUMIFS(DaybyDay[Est-Retail-Payroll],DaybyDay[Date],"&gt;="&amp;$C$5,DaybyDay[RowYear],"&gt;="&amp;$C$4,DaybyDay[Date],"&lt;="&amp;DaybyDay[[#This Row],[Date]])</calculatedColumnFormula>
    </tableColumn>
    <tableColumn id="47" xr3:uid="{00000000-0010-0000-0000-00002F000000}" name="PR-vs-DAY2" dataDxfId="17" dataCellStyle="Currency">
      <calculatedColumnFormula>IF(AND(DaybyDay[[#This Row],[_Space]],ISNUMBER(DaybyDay[[#This Row],[Retail Hours]])),DaybyDay[[#This Row],[Est-Retail-Payroll]]/(DaybyDay[[#This Row],[Retail-Actuals]]),"")</calculatedColumnFormula>
    </tableColumn>
    <tableColumn id="48" xr3:uid="{00000000-0010-0000-0000-000030000000}" name="PR-vs-CUMM3" dataDxfId="16" dataCellStyle="Currency">
      <calculatedColumnFormula>DaybyDay[[#This Row],[Est-Retail-PayrollRU]]/DaybyDay[[#This Row],[Simple-Forecast-Retail]]</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3:N15" totalsRowShown="0" headerRowDxfId="15" tableBorderDxfId="14">
  <autoFilter ref="A3:N15" xr:uid="{00000000-0009-0000-0100-000003000000}"/>
  <tableColumns count="14">
    <tableColumn id="1" xr3:uid="{00000000-0010-0000-0100-000001000000}" name="SummaryMonth"/>
    <tableColumn id="2" xr3:uid="{00000000-0010-0000-0100-000002000000}" name="Service-Actuals" dataCellStyle="Currency">
      <calculatedColumnFormula>SUMIFS(DaybyDay[Service-Actuals],DaybyDay[RowYear],DaybyDays!$C$4,DaybyDay[RowMonthHelp],ROW(A1))</calculatedColumnFormula>
    </tableColumn>
    <tableColumn id="9" xr3:uid="{00000000-0010-0000-0100-000009000000}" name="Retail-Actuals" dataDxfId="13" dataCellStyle="Currency">
      <calculatedColumnFormula>SUMIFS(DaybyDay[Retail-Actuals],DaybyDay[RowYear],DaybyDays!$C$4,DaybyDay[RowMonthHelp],ROW(A1))</calculatedColumnFormula>
    </tableColumn>
    <tableColumn id="5" xr3:uid="{00000000-0010-0000-0100-000005000000}" name="Overall-Actuals" dataDxfId="12" dataCellStyle="Currency">
      <calculatedColumnFormula>Table3[[#This Row],[Service-Actuals]]+Table3[[#This Row],[Retail-Actuals]]</calculatedColumnFormula>
    </tableColumn>
    <tableColumn id="3" xr3:uid="{00000000-0010-0000-0100-000003000000}" name="Service-Budget" dataCellStyle="Currency">
      <calculatedColumnFormula>SUMIFS(DaybyDay[Service-Budgets],DaybyDay[RowYear],DaybyDays!$C$4,DaybyDay[RowMonthHelp],ROW(A1))</calculatedColumnFormula>
    </tableColumn>
    <tableColumn id="4" xr3:uid="{00000000-0010-0000-0100-000004000000}" name="Retail-Budget" dataCellStyle="Currency"/>
    <tableColumn id="6" xr3:uid="{00000000-0010-0000-0100-000006000000}" name="Overall-Budget" dataDxfId="11"/>
    <tableColumn id="7" xr3:uid="{00000000-0010-0000-0100-000007000000}" name="Variance to Budget" dataDxfId="10">
      <calculatedColumnFormula>Table3[[#This Row],[Overall-Actuals]]-Table3[[#This Row],[Overall-Budget]]</calculatedColumnFormula>
    </tableColumn>
    <tableColumn id="8" xr3:uid="{00000000-0010-0000-0100-000008000000}" name="PercentageBudget" dataDxfId="9" dataCellStyle="Percent">
      <calculatedColumnFormula>Table3[[#This Row],[Variance to Budget]]/Table3[[#This Row],[Overall-Budget]]</calculatedColumnFormula>
    </tableColumn>
    <tableColumn id="10" xr3:uid="{00000000-0010-0000-0100-00000A000000}" name="Service-LY" dataCellStyle="Currency">
      <calculatedColumnFormula>SUMIFS(DaybyDay[Service-LY],DaybyDay[RowYear],DaybyDays!$C$4,DaybyDay[RowMonthHelp],ROW(A1))</calculatedColumnFormula>
    </tableColumn>
    <tableColumn id="11" xr3:uid="{00000000-0010-0000-0100-00000B000000}" name="Retail-LY" dataDxfId="8">
      <calculatedColumnFormula>SUMIFS(DaybyDay[Retail-LY],DaybyDay[RowYear],DaybyDays!$C$4,DaybyDay[RowMonthHelp],ROW(A1))</calculatedColumnFormula>
    </tableColumn>
    <tableColumn id="12" xr3:uid="{00000000-0010-0000-0100-00000C000000}" name="Overall-LY" dataDxfId="7">
      <calculatedColumnFormula>Table3[[#This Row],[Retail-LY]]+Table3[[#This Row],[Service-LY]]</calculatedColumnFormula>
    </tableColumn>
    <tableColumn id="13" xr3:uid="{00000000-0010-0000-0100-00000D000000}" name="Variance to LY" dataDxfId="6">
      <calculatedColumnFormula>Table3[[#This Row],[Overall-Actuals]]-Table3[[#This Row],[Overall-LY]]</calculatedColumnFormula>
    </tableColumn>
    <tableColumn id="14" xr3:uid="{00000000-0010-0000-0100-00000E000000}" name="Percentage to LY" dataDxfId="5" dataCellStyle="Percent">
      <calculatedColumnFormula>Table3[[#This Row],[Variance to LY]]/Table3[[#This Row],[Overall-Actuals]]</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Budgets" displayName="Budgets" ref="A2:D38" totalsRowShown="0">
  <autoFilter ref="A2:D38" xr:uid="{00000000-0009-0000-0100-000004000000}"/>
  <sortState xmlns:xlrd2="http://schemas.microsoft.com/office/spreadsheetml/2017/richdata2" ref="A3:D38">
    <sortCondition descending="1" ref="B2:B38"/>
  </sortState>
  <tableColumns count="4">
    <tableColumn id="1" xr3:uid="{00000000-0010-0000-0200-000001000000}" name="BudgetMonth"/>
    <tableColumn id="2" xr3:uid="{00000000-0010-0000-0200-000002000000}" name="BudgetYear"/>
    <tableColumn id="3" xr3:uid="{00000000-0010-0000-0200-000003000000}" name="Service-Budget" dataDxfId="4" dataCellStyle="Currency">
      <calculatedColumnFormula>SUMIFS(UPDATETOOL[Plan Service],UPDATETOOL[UpMonth],Budgets[[#This Row],[BudgetMonth]],UPDATETOOL[UpYear],Budgets[[#This Row],[BudgetYear]])</calculatedColumnFormula>
    </tableColumn>
    <tableColumn id="4" xr3:uid="{00000000-0010-0000-0200-000004000000}" name="Retail-Budget" dataDxfId="3" dataCellStyle="Currency">
      <calculatedColumnFormula>SUMIFS(UPDATETOOL[Plan Retail],UPDATETOOL[UpMonth],Budgets[[#This Row],[BudgetMonth]],UPDATETOOL[UpYear],Budgets[[#This Row],[BudgetYear]])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BudgetSeasonality" displayName="BudgetSeasonality" ref="F2:G1588" totalsRowShown="0">
  <autoFilter ref="F2:G1588" xr:uid="{00000000-0009-0000-0100-000002000000}"/>
  <tableColumns count="2">
    <tableColumn id="1" xr3:uid="{00000000-0010-0000-0300-000001000000}" name="MonthAdjustment" dataDxfId="2"/>
    <tableColumn id="2" xr3:uid="{00000000-0010-0000-0300-000002000000}" name="365 Seasonalit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UPDATETOOL" displayName="UPDATETOOL" ref="I2:P1465" totalsRowShown="0">
  <autoFilter ref="I2:P1465" xr:uid="{00000000-0009-0000-0100-000005000000}"/>
  <sortState xmlns:xlrd2="http://schemas.microsoft.com/office/spreadsheetml/2017/richdata2" ref="I3:P1465">
    <sortCondition ref="I2:I1465"/>
  </sortState>
  <tableColumns count="8">
    <tableColumn id="2" xr3:uid="{00000000-0010-0000-0400-000002000000}" name="UPDATE-DATE" dataDxfId="1"/>
    <tableColumn id="3" xr3:uid="{00000000-0010-0000-0400-000003000000}" name="Appts"/>
    <tableColumn id="4" xr3:uid="{00000000-0010-0000-0400-000004000000}" name="Actual Service Revenue"/>
    <tableColumn id="5" xr3:uid="{00000000-0010-0000-0400-000005000000}" name="Actual Retail Revenue"/>
    <tableColumn id="6" xr3:uid="{00000000-0010-0000-0400-000006000000}" name="Plan Service"/>
    <tableColumn id="7" xr3:uid="{00000000-0010-0000-0400-000007000000}" name="Plan Retail"/>
    <tableColumn id="1" xr3:uid="{00000000-0010-0000-0400-000001000000}" name="UpMonth" dataDxfId="0"/>
    <tableColumn id="8" xr3:uid="{00000000-0010-0000-0400-000008000000}" name="UpYea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469"/>
  <sheetViews>
    <sheetView showGridLines="0" tabSelected="1" zoomScaleNormal="100" workbookViewId="0">
      <selection activeCell="I6" sqref="I6"/>
    </sheetView>
  </sheetViews>
  <sheetFormatPr defaultRowHeight="15" outlineLevelCol="2" x14ac:dyDescent="0.25"/>
  <cols>
    <col min="1" max="1" width="6.42578125" style="8" customWidth="1"/>
    <col min="2" max="2" width="8.28515625" style="8" customWidth="1"/>
    <col min="3" max="3" width="11.85546875" style="8" hidden="1" customWidth="1" outlineLevel="2"/>
    <col min="4" max="4" width="10.7109375" style="8" hidden="1" customWidth="1" outlineLevel="2"/>
    <col min="5" max="5" width="10.5703125" style="8" hidden="1" customWidth="1" outlineLevel="2"/>
    <col min="6" max="6" width="10.42578125" style="8" hidden="1" customWidth="1" outlineLevel="2"/>
    <col min="7" max="7" width="12.5703125" style="8" hidden="1" customWidth="1" outlineLevel="2"/>
    <col min="8" max="8" width="5.42578125" style="12" customWidth="1" outlineLevel="1" collapsed="1"/>
    <col min="9" max="9" width="8.7109375" style="12" customWidth="1" outlineLevel="1"/>
    <col min="10" max="10" width="6.7109375" style="12" customWidth="1" outlineLevel="1"/>
    <col min="11" max="14" width="12.7109375" style="12" customWidth="1" outlineLevel="1"/>
    <col min="15" max="20" width="12.7109375" style="12" hidden="1" customWidth="1" outlineLevel="2"/>
    <col min="21" max="21" width="12.7109375" style="12" customWidth="1" outlineLevel="1" collapsed="1"/>
    <col min="22" max="22" width="12.7109375" style="12" customWidth="1" outlineLevel="1"/>
    <col min="23" max="23" width="7.28515625" style="12" customWidth="1" outlineLevel="1"/>
    <col min="24" max="24" width="0.85546875" style="12" customWidth="1" outlineLevel="1"/>
    <col min="25" max="25" width="6.5703125" style="12" customWidth="1" outlineLevel="1"/>
    <col min="26" max="26" width="0.85546875" style="12" customWidth="1" outlineLevel="1"/>
    <col min="27" max="27" width="7.85546875" style="12" customWidth="1" outlineLevel="1"/>
    <col min="28" max="28" width="1.28515625" style="14" customWidth="1" outlineLevel="1"/>
    <col min="29" max="29" width="9.42578125" style="12" customWidth="1" outlineLevel="1"/>
    <col min="30" max="30" width="8.42578125" style="12" customWidth="1"/>
    <col min="31" max="31" width="6.140625" style="12" hidden="1" customWidth="1" outlineLevel="1"/>
    <col min="32" max="32" width="8.7109375" style="12" hidden="1" customWidth="1" outlineLevel="1"/>
    <col min="33" max="33" width="6.85546875" style="12" hidden="1" customWidth="1" outlineLevel="1"/>
    <col min="34" max="35" width="12.7109375" style="12" hidden="1" customWidth="1" outlineLevel="1"/>
    <col min="36" max="36" width="12.7109375" style="12" customWidth="1" collapsed="1"/>
    <col min="37" max="37" width="12.7109375" style="12" customWidth="1"/>
    <col min="38" max="38" width="12.140625" style="12" customWidth="1" outlineLevel="1"/>
    <col min="39" max="39" width="11.28515625" style="12" customWidth="1" outlineLevel="1"/>
    <col min="40" max="40" width="12.140625" style="8" customWidth="1" outlineLevel="1" collapsed="1"/>
    <col min="41" max="41" width="10.5703125" style="8" customWidth="1" outlineLevel="1"/>
    <col min="42" max="42" width="9.140625" style="8" customWidth="1" outlineLevel="1"/>
    <col min="43" max="43" width="16.5703125" style="8" bestFit="1" customWidth="1" outlineLevel="1"/>
    <col min="44" max="44" width="12.5703125" style="8" bestFit="1" customWidth="1" outlineLevel="1"/>
    <col min="45" max="45" width="12.7109375" style="8" bestFit="1" customWidth="1" outlineLevel="1"/>
    <col min="46" max="46" width="12.5703125" bestFit="1" customWidth="1" outlineLevel="1"/>
    <col min="47" max="48" width="12.85546875" customWidth="1" outlineLevel="1"/>
    <col min="49" max="49" width="12.85546875" customWidth="1"/>
    <col min="50" max="50" width="9.42578125" bestFit="1" customWidth="1"/>
    <col min="51" max="54" width="9.28515625" bestFit="1" customWidth="1"/>
  </cols>
  <sheetData>
    <row r="1" spans="1:49" ht="18.75" customHeight="1" thickBot="1" x14ac:dyDescent="0.3">
      <c r="A1" s="8" t="s">
        <v>0</v>
      </c>
      <c r="C1" s="9" t="s">
        <v>1</v>
      </c>
      <c r="D1" s="8">
        <f>SUBTOTAL(4,DaybyDay[RowYear])</f>
        <v>2020</v>
      </c>
      <c r="E1" s="10"/>
      <c r="F1" s="79">
        <v>0.85</v>
      </c>
      <c r="H1" s="11" t="s">
        <v>2</v>
      </c>
      <c r="I1"/>
      <c r="J1"/>
      <c r="K1"/>
      <c r="L1"/>
      <c r="M1"/>
      <c r="N1"/>
      <c r="O1" s="98" t="s">
        <v>3</v>
      </c>
      <c r="P1" s="98"/>
      <c r="Q1" s="99" t="s">
        <v>4</v>
      </c>
      <c r="R1" s="99"/>
      <c r="S1" s="100" t="s">
        <v>5</v>
      </c>
      <c r="T1" s="100"/>
      <c r="U1" s="13" t="s">
        <v>6</v>
      </c>
      <c r="V1"/>
      <c r="W1" s="90" t="s">
        <v>7</v>
      </c>
      <c r="X1" s="90"/>
      <c r="Y1" s="90"/>
      <c r="Z1" s="90" t="s">
        <v>8</v>
      </c>
      <c r="AA1" s="90"/>
      <c r="AB1" s="90"/>
      <c r="AC1" s="54" t="s">
        <v>9</v>
      </c>
      <c r="AD1" s="97" t="s">
        <v>10</v>
      </c>
      <c r="AJ1" s="6" t="s">
        <v>11</v>
      </c>
      <c r="AK1" s="6"/>
      <c r="AL1" s="6"/>
      <c r="AQ1" s="42"/>
      <c r="AR1"/>
      <c r="AS1"/>
      <c r="AW1" s="42" t="s">
        <v>12</v>
      </c>
    </row>
    <row r="2" spans="1:49" ht="18.75" customHeight="1" thickBot="1" x14ac:dyDescent="0.3">
      <c r="C2" s="8">
        <f>SUBTOTAL(5,DaybyDay[RowMonthHelp])</f>
        <v>1</v>
      </c>
      <c r="D2" s="15">
        <f>E4+C5-1</f>
        <v>43862</v>
      </c>
      <c r="E2" s="15">
        <f>_xlfn.MINIFS(DaybyDay[Date],DaybyDay[RowYear],SUBTOTAL(5,DaybyDay[RowYear])-1,DaybyDay[RowMonthHelp],SUBTOTAL(5,DaybyDay[RowMonthHelp]))</f>
        <v>43471</v>
      </c>
      <c r="G2" s="16"/>
      <c r="H2" s="101" t="str">
        <f>Tools!$R$2&amp;CHAR(10)&amp;SUBTOTAL(4,DaybyDay[RowYear])&amp;" Actuals vs Plan vs LY "</f>
        <v xml:space="preserve">Example: Fiscal January
2020 Actuals vs Plan vs LY </v>
      </c>
      <c r="I2" s="101"/>
      <c r="J2" s="101"/>
      <c r="K2" s="101"/>
      <c r="L2" s="101"/>
      <c r="M2" s="101"/>
      <c r="N2" s="101"/>
      <c r="O2" s="16"/>
      <c r="P2" s="16"/>
      <c r="Q2" s="16"/>
      <c r="R2" s="16"/>
      <c r="S2" s="16"/>
      <c r="T2" s="16"/>
      <c r="U2"/>
      <c r="V2"/>
      <c r="W2" s="94" t="s">
        <v>13</v>
      </c>
      <c r="X2" s="94"/>
      <c r="Y2" s="94"/>
      <c r="Z2" s="91">
        <f>(serv_act+ret_act)/(serv_bud+ret_bud)-1</f>
        <v>8.3486026666412805E-4</v>
      </c>
      <c r="AA2" s="91"/>
      <c r="AB2" s="91"/>
      <c r="AC2" s="55">
        <f>(serv_act+ret_act)/(serv_LY+ret_LY)-1</f>
        <v>0.16010169364142945</v>
      </c>
      <c r="AD2" s="97"/>
      <c r="AE2"/>
      <c r="AF2"/>
      <c r="AG2"/>
      <c r="AH2"/>
      <c r="AI2"/>
      <c r="AJ2"/>
      <c r="AK2"/>
      <c r="AL2" s="73" t="s">
        <v>14</v>
      </c>
      <c r="AM2" s="80">
        <v>18</v>
      </c>
      <c r="AN2" s="78" t="s">
        <v>15</v>
      </c>
      <c r="AO2"/>
      <c r="AP2"/>
      <c r="AR2" s="73" t="s">
        <v>16</v>
      </c>
      <c r="AS2" s="80">
        <v>30</v>
      </c>
    </row>
    <row r="3" spans="1:49" ht="18.75" customHeight="1" thickBot="1" x14ac:dyDescent="0.3">
      <c r="C3" s="8">
        <f>SUBTOTAL(4,DaybyDay[RowMonthHelp])</f>
        <v>1</v>
      </c>
      <c r="D3" s="8">
        <f>SUBTOTAL(9,DaybyDay[Appts])</f>
        <v>761</v>
      </c>
      <c r="E3" s="10">
        <f>SUBTOTAL(9,DaybyDay[LY-Apts])</f>
        <v>623</v>
      </c>
      <c r="G3" s="51"/>
      <c r="H3" s="101"/>
      <c r="I3" s="101"/>
      <c r="J3" s="101"/>
      <c r="K3" s="101"/>
      <c r="L3" s="101"/>
      <c r="M3" s="101"/>
      <c r="N3" s="101"/>
      <c r="O3" s="16"/>
      <c r="P3" s="16"/>
      <c r="Q3" s="16"/>
      <c r="R3" s="16"/>
      <c r="S3" s="16"/>
      <c r="T3" s="16"/>
      <c r="U3"/>
      <c r="V3"/>
      <c r="W3" s="95" t="s">
        <v>17</v>
      </c>
      <c r="X3" s="95"/>
      <c r="Y3" s="95"/>
      <c r="Z3" s="92">
        <f>(serv_act)/(serv_bud)-1</f>
        <v>-4.2766239168242848E-2</v>
      </c>
      <c r="AA3" s="92"/>
      <c r="AB3" s="92"/>
      <c r="AC3" s="67">
        <f>serv_act/serv_LY-1</f>
        <v>8.1503173899961645E-2</v>
      </c>
      <c r="AD3"/>
      <c r="AE3"/>
      <c r="AF3"/>
      <c r="AG3"/>
      <c r="AH3"/>
      <c r="AI3"/>
      <c r="AJ3"/>
      <c r="AK3"/>
      <c r="AL3" s="73" t="s">
        <v>18</v>
      </c>
      <c r="AM3" s="80">
        <v>460</v>
      </c>
      <c r="AN3"/>
      <c r="AO3"/>
      <c r="AP3"/>
      <c r="AQ3"/>
      <c r="AR3" s="72" t="s">
        <v>19</v>
      </c>
      <c r="AS3" s="81">
        <v>7.0000000000000007E-2</v>
      </c>
    </row>
    <row r="4" spans="1:49" ht="22.5" customHeight="1" thickBot="1" x14ac:dyDescent="0.3">
      <c r="C4" s="8">
        <f>SUBTOTAL(5,DaybyDay[RowYear])</f>
        <v>2020</v>
      </c>
      <c r="D4" s="8">
        <f>SUBTOTAL(4,DaybyDay[Serv-Act-RU])</f>
        <v>146544.21</v>
      </c>
      <c r="E4" s="8">
        <f>SUBTOTAL(2,(DaybyDay[Act-vs-Bud]))</f>
        <v>28</v>
      </c>
      <c r="G4" s="16"/>
      <c r="H4" s="101"/>
      <c r="I4" s="101"/>
      <c r="J4" s="101"/>
      <c r="K4" s="101"/>
      <c r="L4" s="101"/>
      <c r="M4" s="101"/>
      <c r="N4" s="101"/>
      <c r="O4" s="16"/>
      <c r="P4" s="16"/>
      <c r="Q4" s="16"/>
      <c r="R4" s="16"/>
      <c r="S4" s="16"/>
      <c r="T4" s="16"/>
      <c r="U4"/>
      <c r="V4"/>
      <c r="W4" s="96" t="s">
        <v>20</v>
      </c>
      <c r="X4" s="96"/>
      <c r="Y4" s="96"/>
      <c r="Z4" s="93">
        <f>(ret_act)/(ret_bud)-1</f>
        <v>0.17865209348865529</v>
      </c>
      <c r="AA4" s="93"/>
      <c r="AB4" s="93"/>
      <c r="AC4" s="68">
        <f>ret_act/ret_LY-1</f>
        <v>0.52787831551510367</v>
      </c>
      <c r="AL4" s="72" t="s">
        <v>19</v>
      </c>
      <c r="AM4" s="81">
        <v>0.15</v>
      </c>
      <c r="AN4"/>
      <c r="AO4"/>
      <c r="AP4"/>
    </row>
    <row r="5" spans="1:49" ht="26.25" customHeight="1" thickBot="1" x14ac:dyDescent="0.3">
      <c r="C5" s="15">
        <f>SUBTOTAL(5,DaybyDay[Date])</f>
        <v>43835</v>
      </c>
      <c r="D5" s="15">
        <f>SUBTOTAL(5,DaybyDay[LY-Date])</f>
        <v>43471</v>
      </c>
      <c r="E5" s="15">
        <f>E4+D5-1</f>
        <v>43498</v>
      </c>
      <c r="G5" s="16"/>
      <c r="H5" s="102"/>
      <c r="I5" s="102"/>
      <c r="J5" s="102"/>
      <c r="K5" s="102"/>
      <c r="L5" s="102"/>
      <c r="M5" s="102"/>
      <c r="N5" s="102"/>
      <c r="O5" s="17"/>
      <c r="P5" s="17"/>
      <c r="Q5" s="17"/>
      <c r="R5" s="17"/>
      <c r="S5" s="17"/>
      <c r="T5" s="17"/>
      <c r="U5" s="18" t="str">
        <f>"as of "&amp;TEXT(D2,"m/d/y")</f>
        <v>as of 2/1/20</v>
      </c>
      <c r="V5"/>
      <c r="W5"/>
      <c r="X5"/>
      <c r="Y5"/>
      <c r="Z5"/>
      <c r="AA5"/>
      <c r="AB5"/>
      <c r="AC5"/>
      <c r="AD5"/>
      <c r="AE5"/>
      <c r="AF5"/>
      <c r="AG5"/>
      <c r="AH5"/>
      <c r="AI5"/>
      <c r="AJ5"/>
      <c r="AK5"/>
      <c r="AL5"/>
      <c r="AM5"/>
      <c r="AN5"/>
      <c r="AO5"/>
      <c r="AP5"/>
      <c r="AQ5" s="84"/>
      <c r="AR5" s="84"/>
      <c r="AS5" s="84"/>
      <c r="AT5" s="85"/>
      <c r="AU5" s="85"/>
      <c r="AV5" s="85"/>
    </row>
    <row r="6" spans="1:49" ht="30.75" customHeight="1" thickBot="1" x14ac:dyDescent="0.3">
      <c r="A6" s="89" t="s">
        <v>21</v>
      </c>
      <c r="B6" s="89"/>
      <c r="C6" s="19" t="s">
        <v>22</v>
      </c>
      <c r="D6" s="19" t="s">
        <v>23</v>
      </c>
      <c r="E6" s="19" t="s">
        <v>24</v>
      </c>
      <c r="F6" s="20" t="s">
        <v>25</v>
      </c>
      <c r="G6" s="21" t="s">
        <v>26</v>
      </c>
      <c r="H6" s="19" t="s">
        <v>27</v>
      </c>
      <c r="I6" s="22" t="s">
        <v>28</v>
      </c>
      <c r="J6" s="22" t="s">
        <v>29</v>
      </c>
      <c r="K6" s="23" t="s">
        <v>30</v>
      </c>
      <c r="L6" s="24" t="s">
        <v>31</v>
      </c>
      <c r="M6" s="23" t="s">
        <v>32</v>
      </c>
      <c r="N6" s="23" t="s">
        <v>33</v>
      </c>
      <c r="O6" s="23" t="s">
        <v>34</v>
      </c>
      <c r="P6" s="23" t="s">
        <v>35</v>
      </c>
      <c r="Q6" s="25" t="s">
        <v>36</v>
      </c>
      <c r="R6" s="25" t="s">
        <v>37</v>
      </c>
      <c r="S6" s="25" t="s">
        <v>38</v>
      </c>
      <c r="T6" s="25" t="s">
        <v>39</v>
      </c>
      <c r="U6" s="25" t="s">
        <v>40</v>
      </c>
      <c r="V6" s="25" t="s">
        <v>41</v>
      </c>
      <c r="W6" s="25" t="s">
        <v>42</v>
      </c>
      <c r="X6" s="25" t="s">
        <v>43</v>
      </c>
      <c r="Y6" s="25" t="s">
        <v>44</v>
      </c>
      <c r="Z6" s="25" t="s">
        <v>45</v>
      </c>
      <c r="AA6" s="25" t="s">
        <v>46</v>
      </c>
      <c r="AB6" s="25" t="s">
        <v>47</v>
      </c>
      <c r="AC6" s="25" t="s">
        <v>48</v>
      </c>
      <c r="AD6" s="25" t="s">
        <v>49</v>
      </c>
      <c r="AE6" s="25" t="s">
        <v>50</v>
      </c>
      <c r="AF6" s="25" t="s">
        <v>51</v>
      </c>
      <c r="AG6" s="25" t="s">
        <v>52</v>
      </c>
      <c r="AH6" s="25" t="s">
        <v>53</v>
      </c>
      <c r="AI6" s="25" t="s">
        <v>54</v>
      </c>
      <c r="AJ6" s="25" t="s">
        <v>55</v>
      </c>
      <c r="AK6" s="25" t="s">
        <v>56</v>
      </c>
      <c r="AL6" s="25" t="s">
        <v>57</v>
      </c>
      <c r="AM6" s="25" t="s">
        <v>58</v>
      </c>
      <c r="AN6" s="25" t="s">
        <v>59</v>
      </c>
      <c r="AO6" s="25" t="s">
        <v>60</v>
      </c>
      <c r="AP6" s="25" t="s">
        <v>61</v>
      </c>
      <c r="AQ6" s="83" t="s">
        <v>62</v>
      </c>
      <c r="AR6" s="83" t="s">
        <v>63</v>
      </c>
      <c r="AS6" s="83" t="s">
        <v>64</v>
      </c>
      <c r="AT6" s="83" t="s">
        <v>65</v>
      </c>
      <c r="AU6" s="25" t="s">
        <v>66</v>
      </c>
      <c r="AV6" s="25" t="s">
        <v>67</v>
      </c>
      <c r="AW6" s="8"/>
    </row>
    <row r="7" spans="1:49" hidden="1" x14ac:dyDescent="0.25">
      <c r="C7" s="26" t="str">
        <f>Tools!$C$1</f>
        <v>Example</v>
      </c>
      <c r="D7" s="27" t="s">
        <v>68</v>
      </c>
      <c r="E7" s="28">
        <v>2017</v>
      </c>
      <c r="F7" s="28">
        <f>MATCH(DaybyDay[[#This Row],[RowMonth]],Table3[SummaryMonth],0)</f>
        <v>1</v>
      </c>
      <c r="G7" s="29" t="e">
        <f>MATCH(DaybyDay[[#This Row],[LY-Date]],DaybyDay[Date],0)</f>
        <v>#N/A</v>
      </c>
      <c r="H7" s="30">
        <f>WEEKDAY(DaybyDay[[#This Row],[Date]])</f>
        <v>1</v>
      </c>
      <c r="I7" s="31">
        <v>42736</v>
      </c>
      <c r="J7" s="74">
        <v>14</v>
      </c>
      <c r="K7" s="32">
        <f>SUMIFS(BudgetSeasonality[365 Seasonality],BudgetSeasonality[MonthAdjustment],DaybyDay[[#This Row],[Date]])*SUMIFS(Budgets[Service-Budget],Budgets[BudgetMonth],DaybyDay[[#This Row],[RowMonth]],Budgets[BudgetYear],DaybyDay[[#This Row],[RowYear]])</f>
        <v>0</v>
      </c>
      <c r="L7" s="75">
        <v>3747.5</v>
      </c>
      <c r="M7" s="32">
        <f>INDEX(BudgetSeasonality[365 Seasonality],MATCH(DaybyDay[[#This Row],[Date]],BudgetSeasonality[MonthAdjustment],0))*SUMIFS(Budgets[Retail-Budget],Budgets[BudgetMonth],DaybyDay[[#This Row],[RowMonth]],Budgets[BudgetYear],DaybyDay[[#This Row],[RowYear]])</f>
        <v>0</v>
      </c>
      <c r="N7" s="75">
        <v>394</v>
      </c>
      <c r="O7" s="33">
        <f>SUMIFS(DaybyDay[Service-Budgets],DaybyDay[Date],"&gt;="&amp;$C$5,DaybyDay[RowYear],"&gt;="&amp;$C$4,DaybyDay[Date],"&lt;="&amp;DaybyDay[[#This Row],[Date]])</f>
        <v>0</v>
      </c>
      <c r="P7" s="33">
        <f>SUMIFS(DaybyDay[Retail-Budgets],DaybyDay[Date],"&gt;="&amp;$C$5,DaybyDay[RowYear],"&gt;="&amp;$C$4,DaybyDay[Date],"&lt;="&amp;DaybyDay[[#This Row],[Date]])</f>
        <v>0</v>
      </c>
      <c r="Q7" s="34">
        <f>SUMIFS(DaybyDay[Service-Actuals],DaybyDay[Date],"&gt;="&amp;$C$5,DaybyDay[RowYear],"&gt;="&amp;$C$4,DaybyDay[Date],"&lt;="&amp;DaybyDay[[#This Row],[Date]])</f>
        <v>0</v>
      </c>
      <c r="R7" s="34">
        <f>SUMIFS(DaybyDay[Retail-Actuals],DaybyDay[Date],"&gt;="&amp;$C$5,DaybyDay[RowYear],"&gt;="&amp;$C$4,DaybyDay[Date],"&lt;="&amp;DaybyDay[[#This Row],[Date]])</f>
        <v>0</v>
      </c>
      <c r="S7" s="35">
        <f>SUMIFS(DaybyDay[Service-LY],DaybyDay[Date],"&gt;="&amp;$C$5,DaybyDay[RowYear],"&gt;="&amp;$C$4,DaybyDay[Date],"&lt;="&amp;DaybyDay[[#This Row],[Date]])</f>
        <v>0</v>
      </c>
      <c r="T7" s="35">
        <f>SUMIFS(DaybyDay[Retail-LY],DaybyDay[Date],"&gt;="&amp;$C$5,DaybyDay[RowYear],"&gt;="&amp;$C$4,DaybyDay[Date],"&lt;="&amp;DaybyDay[[#This Row],[Date]])</f>
        <v>0</v>
      </c>
      <c r="U7" s="32">
        <f>DaybyDay[[#This Row],[Serv-Bud-RU]]+DaybyDay[[#This Row],[Ret-Bud-RU]]</f>
        <v>0</v>
      </c>
      <c r="V7" s="32">
        <f>DaybyDay[[#This Row],[Serv-Act-RU]]+DaybyDay[[#This Row],[Ret-Act-RU]]</f>
        <v>0</v>
      </c>
      <c r="W7" s="36">
        <f>IF(DaybyDay[[#This Row],[_Space]],IFERROR(
((DaybyDay[[#This Row],[Actual-Rollup]]-DaybyDay[[#This Row],[Budget-Rollup]])/DaybyDay[[#This Row],[Budget-Rollup]]),0),"")</f>
        <v>0</v>
      </c>
      <c r="X7" t="b">
        <f>NOT(AND(ISBLANK(DaybyDay[[#This Row],[Appts]]),ISBLANK(DaybyDay[[#This Row],[Service-Actuals]]),ISBLANK(DaybyDay[[#This Row],[Retail-Actuals]])))</f>
        <v>1</v>
      </c>
      <c r="Y7" s="36">
        <f>IF(DaybyDay[[#This Row],[_Space]],IFERROR(
((DaybyDay[[#This Row],[Actual-Rollup]]-DaybyDay[[#This Row],[LY-Rollup]])/DaybyDay[[#This Row],[LY-Rollup]]),0),"")</f>
        <v>0</v>
      </c>
      <c r="Z7"/>
      <c r="AA7" s="37" t="e">
        <f>IF(DaybyDay[[#This Row],[_Space]],DaybyDay[[#This Row],[Ret-Act-RU]]/DaybyDay[[#This Row],[Serv-Act-RU]],"")</f>
        <v>#DIV/0!</v>
      </c>
      <c r="AB7" s="50" t="e">
        <f>IF(DaybyDay[[#This Row],[_Space]],DaybyDay[[#This Row],[RETPEN-Act]]/DaybyDay[[#This Row],[RETPEN-Bud]],"")</f>
        <v>#DIV/0!</v>
      </c>
      <c r="AC7" s="37" t="e">
        <f>IF(DaybyDay[[#This Row],[_Space]],DaybyDay[[#This Row],[Ret-Bud-RU]]/DaybyDay[[#This Row],[Serv-Bud-RU]],"")</f>
        <v>#DIV/0!</v>
      </c>
      <c r="AD7" s="37" t="e">
        <f>IF(DaybyDay[[#This Row],[_Space]],DaybyDay[[#This Row],[Ret-LY-RU]]/DaybyDay[[#This Row],[Serv-LY-RU]],"")</f>
        <v>#DIV/0!</v>
      </c>
      <c r="AE7" s="30">
        <f>WEEKDAY(DaybyDay[[#This Row],[LY-Date]])</f>
        <v>1</v>
      </c>
      <c r="AF7" s="38">
        <f>$E$2+_xlfn.DAYS(DaybyDay[[#This Row],[Date]],minDate)</f>
        <v>42372</v>
      </c>
      <c r="AG7" s="39" t="str" cm="1">
        <f t="array" ref="AG7">IFERROR(INDEX(DaybyDay[],DaybyDay[[#This Row],[FORM_MATCH_HELPER]],8),"")</f>
        <v/>
      </c>
      <c r="AH7" s="39" t="str" cm="1">
        <f t="array" ref="AH7">IFERROR(INDEX(DaybyDay[],DaybyDay[[#This Row],[FORM_MATCH_HELPER]],10),"")</f>
        <v/>
      </c>
      <c r="AI7" s="39" t="str" cm="1">
        <f t="array" ref="AI7">IFERROR(INDEX(DaybyDay[],DaybyDay[[#This Row],[FORM_MATCH_HELPER]],12),"")</f>
        <v/>
      </c>
      <c r="AJ7" s="32">
        <f>IFERROR(DaybyDay[[#This Row],[Serv-LY-RU]]+DaybyDay[[#This Row],[Ret-LY-RU]],"")</f>
        <v>0</v>
      </c>
      <c r="AK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 s="77"/>
      <c r="AM7" s="40" t="str">
        <f>IF(DaybyDay[[#This Row],[Admin Hours]]&gt;0,DaybyDay[[#This Row],[Admin Hours]]*$AM$2+$AM$3,"")</f>
        <v/>
      </c>
      <c r="AN7" s="40">
        <f>SUMIFS(DaybyDay[Est-Admin-Payroll],DaybyDay[Date],"&gt;="&amp;$C$5,DaybyDay[RowYear],"&gt;="&amp;$C$4,DaybyDay[Date],"&lt;="&amp;DaybyDay[[#This Row],[Date]])</f>
        <v>0</v>
      </c>
      <c r="AO7" s="41" t="str">
        <f>IF(AND(DaybyDay[[#This Row],[_Space]],ISNUMBER(DaybyDay[[#This Row],[Admin Hours]])),DaybyDay[[#This Row],[Est-Admin-Payroll]]/(DaybyDay[[#This Row],[Service-Actuals]]+DaybyDay[[#This Row],[Retail-Actuals]]),"")</f>
        <v/>
      </c>
      <c r="AP7" s="41" t="e">
        <f>DaybyDay[[#This Row],[Estimated-Payroll-Rollup]]/DaybyDay[[#This Row],[Simple-Forecast]]</f>
        <v>#DIV/0!</v>
      </c>
      <c r="AQ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 s="77"/>
      <c r="AS7" s="40" t="str">
        <f>IF(DaybyDay[[#This Row],[Retail Hours]]&gt;0,DaybyDay[[#This Row],[Retail Hours]]*$AS$2,"")</f>
        <v/>
      </c>
      <c r="AT7" s="40">
        <f>SUMIFS(DaybyDay[Est-Retail-Payroll],DaybyDay[Date],"&gt;="&amp;$C$5,DaybyDay[RowYear],"&gt;="&amp;$C$4,DaybyDay[Date],"&lt;="&amp;DaybyDay[[#This Row],[Date]])</f>
        <v>0</v>
      </c>
      <c r="AU7" s="82" t="str">
        <f>IF(AND(DaybyDay[[#This Row],[_Space]],ISNUMBER(DaybyDay[[#This Row],[Retail Hours]])),DaybyDay[[#This Row],[Est-Retail-Payroll]]/(DaybyDay[[#This Row],[Retail-Actuals]]),"")</f>
        <v/>
      </c>
      <c r="AV7" s="82" t="e">
        <f>DaybyDay[[#This Row],[Est-Retail-PayrollRU]]/DaybyDay[[#This Row],[Simple-Forecast-Retail]]</f>
        <v>#DIV/0!</v>
      </c>
      <c r="AW7" s="8"/>
    </row>
    <row r="8" spans="1:49" hidden="1" x14ac:dyDescent="0.25">
      <c r="C8" s="26" t="str">
        <f>Tools!$C$1</f>
        <v>Example</v>
      </c>
      <c r="D8" s="27" t="s">
        <v>68</v>
      </c>
      <c r="E8" s="28">
        <v>2017</v>
      </c>
      <c r="F8" s="28">
        <f>MATCH(DaybyDay[[#This Row],[RowMonth]],Table3[SummaryMonth],0)</f>
        <v>1</v>
      </c>
      <c r="G8" s="29" t="e">
        <f>MATCH(DaybyDay[[#This Row],[LY-Date]],DaybyDay[Date],0)</f>
        <v>#N/A</v>
      </c>
      <c r="H8" s="30">
        <f>WEEKDAY(DaybyDay[[#This Row],[Date]])</f>
        <v>2</v>
      </c>
      <c r="I8" s="31">
        <v>42737</v>
      </c>
      <c r="J8" s="74">
        <v>36</v>
      </c>
      <c r="K8" s="32">
        <f>SUMIFS(BudgetSeasonality[365 Seasonality],BudgetSeasonality[MonthAdjustment],DaybyDay[[#This Row],[Date]])*SUMIFS(Budgets[Service-Budget],Budgets[BudgetMonth],DaybyDay[[#This Row],[RowMonth]],Budgets[BudgetYear],DaybyDay[[#This Row],[RowYear]])</f>
        <v>0</v>
      </c>
      <c r="L8" s="75">
        <v>5737.63</v>
      </c>
      <c r="M8" s="32">
        <f>INDEX(BudgetSeasonality[365 Seasonality],MATCH(DaybyDay[[#This Row],[Date]],BudgetSeasonality[MonthAdjustment],0))*SUMIFS(Budgets[Retail-Budget],Budgets[BudgetMonth],DaybyDay[[#This Row],[RowMonth]],Budgets[BudgetYear],DaybyDay[[#This Row],[RowYear]])</f>
        <v>0</v>
      </c>
      <c r="N8" s="75">
        <v>77</v>
      </c>
      <c r="O8" s="33">
        <f>SUMIFS(DaybyDay[Service-Budgets],DaybyDay[Date],"&gt;="&amp;$C$5,DaybyDay[RowYear],"&gt;="&amp;$C$4,DaybyDay[Date],"&lt;="&amp;DaybyDay[[#This Row],[Date]])</f>
        <v>0</v>
      </c>
      <c r="P8" s="33">
        <f>SUMIFS(DaybyDay[Retail-Budgets],DaybyDay[Date],"&gt;="&amp;$C$5,DaybyDay[RowYear],"&gt;="&amp;$C$4,DaybyDay[Date],"&lt;="&amp;DaybyDay[[#This Row],[Date]])</f>
        <v>0</v>
      </c>
      <c r="Q8" s="34">
        <f>SUMIFS(DaybyDay[Service-Actuals],DaybyDay[Date],"&gt;="&amp;$C$5,DaybyDay[RowYear],"&gt;="&amp;$C$4,DaybyDay[Date],"&lt;="&amp;DaybyDay[[#This Row],[Date]])</f>
        <v>0</v>
      </c>
      <c r="R8" s="34">
        <f>SUMIFS(DaybyDay[Retail-Actuals],DaybyDay[Date],"&gt;="&amp;$C$5,DaybyDay[RowYear],"&gt;="&amp;$C$4,DaybyDay[Date],"&lt;="&amp;DaybyDay[[#This Row],[Date]])</f>
        <v>0</v>
      </c>
      <c r="S8" s="35">
        <f>SUMIFS(DaybyDay[Service-LY],DaybyDay[Date],"&gt;="&amp;$C$5,DaybyDay[RowYear],"&gt;="&amp;$C$4,DaybyDay[Date],"&lt;="&amp;DaybyDay[[#This Row],[Date]])</f>
        <v>0</v>
      </c>
      <c r="T8" s="35">
        <f>SUMIFS(DaybyDay[Retail-LY],DaybyDay[Date],"&gt;="&amp;$C$5,DaybyDay[RowYear],"&gt;="&amp;$C$4,DaybyDay[Date],"&lt;="&amp;DaybyDay[[#This Row],[Date]])</f>
        <v>0</v>
      </c>
      <c r="U8" s="32">
        <f>DaybyDay[[#This Row],[Serv-Bud-RU]]+DaybyDay[[#This Row],[Ret-Bud-RU]]</f>
        <v>0</v>
      </c>
      <c r="V8" s="32">
        <f>DaybyDay[[#This Row],[Serv-Act-RU]]+DaybyDay[[#This Row],[Ret-Act-RU]]</f>
        <v>0</v>
      </c>
      <c r="W8" s="36">
        <f>IF(DaybyDay[[#This Row],[_Space]],IFERROR(
((DaybyDay[[#This Row],[Actual-Rollup]]-DaybyDay[[#This Row],[Budget-Rollup]])/DaybyDay[[#This Row],[Budget-Rollup]]),0),"")</f>
        <v>0</v>
      </c>
      <c r="X8" t="b">
        <f>NOT(AND(ISBLANK(DaybyDay[[#This Row],[Appts]]),ISBLANK(DaybyDay[[#This Row],[Service-Actuals]]),ISBLANK(DaybyDay[[#This Row],[Retail-Actuals]])))</f>
        <v>1</v>
      </c>
      <c r="Y8" s="36">
        <f>IF(DaybyDay[[#This Row],[_Space]],IFERROR(
((DaybyDay[[#This Row],[Actual-Rollup]]-DaybyDay[[#This Row],[LY-Rollup]])/DaybyDay[[#This Row],[LY-Rollup]]),0),"")</f>
        <v>0</v>
      </c>
      <c r="Z8"/>
      <c r="AA8" s="37" t="e">
        <f>IF(DaybyDay[[#This Row],[_Space]],DaybyDay[[#This Row],[Ret-Act-RU]]/DaybyDay[[#This Row],[Serv-Act-RU]],"")</f>
        <v>#DIV/0!</v>
      </c>
      <c r="AB8" s="50" t="e">
        <f>IF(DaybyDay[[#This Row],[_Space]],DaybyDay[[#This Row],[RETPEN-Act]]/DaybyDay[[#This Row],[RETPEN-Bud]],"")</f>
        <v>#DIV/0!</v>
      </c>
      <c r="AC8" s="37" t="e">
        <f>IF(DaybyDay[[#This Row],[_Space]],DaybyDay[[#This Row],[Ret-Bud-RU]]/DaybyDay[[#This Row],[Serv-Bud-RU]],"")</f>
        <v>#DIV/0!</v>
      </c>
      <c r="AD8" s="37" t="e">
        <f>IF(DaybyDay[[#This Row],[_Space]],DaybyDay[[#This Row],[Ret-LY-RU]]/DaybyDay[[#This Row],[Serv-LY-RU]],"")</f>
        <v>#DIV/0!</v>
      </c>
      <c r="AE8" s="30">
        <f>WEEKDAY(DaybyDay[[#This Row],[LY-Date]])</f>
        <v>2</v>
      </c>
      <c r="AF8" s="38">
        <f>$E$2+_xlfn.DAYS(DaybyDay[[#This Row],[Date]],minDate)</f>
        <v>42373</v>
      </c>
      <c r="AG8" s="39" t="str" cm="1">
        <f t="array" ref="AG8">IFERROR(INDEX(DaybyDay[],DaybyDay[[#This Row],[FORM_MATCH_HELPER]],8),"")</f>
        <v/>
      </c>
      <c r="AH8" s="39" t="str" cm="1">
        <f t="array" ref="AH8">IFERROR(INDEX(DaybyDay[],DaybyDay[[#This Row],[FORM_MATCH_HELPER]],10),"")</f>
        <v/>
      </c>
      <c r="AI8" s="39" t="str" cm="1">
        <f t="array" ref="AI8">IFERROR(INDEX(DaybyDay[],DaybyDay[[#This Row],[FORM_MATCH_HELPER]],12),"")</f>
        <v/>
      </c>
      <c r="AJ8" s="32">
        <f>IFERROR(DaybyDay[[#This Row],[Serv-LY-RU]]+DaybyDay[[#This Row],[Ret-LY-RU]],"")</f>
        <v>0</v>
      </c>
      <c r="AK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 s="77"/>
      <c r="AM8" s="40" t="str">
        <f>IF(DaybyDay[[#This Row],[Admin Hours]]&gt;0,DaybyDay[[#This Row],[Admin Hours]]*$AM$2+$AM$3,"")</f>
        <v/>
      </c>
      <c r="AN8" s="40">
        <f>SUMIFS(DaybyDay[Est-Admin-Payroll],DaybyDay[Date],"&gt;="&amp;$C$5,DaybyDay[RowYear],"&gt;="&amp;$C$4,DaybyDay[Date],"&lt;="&amp;DaybyDay[[#This Row],[Date]])</f>
        <v>0</v>
      </c>
      <c r="AO8" s="41" t="str">
        <f>IF(AND(DaybyDay[[#This Row],[_Space]],ISNUMBER(DaybyDay[[#This Row],[Admin Hours]])),DaybyDay[[#This Row],[Est-Admin-Payroll]]/(DaybyDay[[#This Row],[Service-Actuals]]+DaybyDay[[#This Row],[Retail-Actuals]]),"")</f>
        <v/>
      </c>
      <c r="AP8" s="41" t="e">
        <f>DaybyDay[[#This Row],[Estimated-Payroll-Rollup]]/DaybyDay[[#This Row],[Simple-Forecast]]</f>
        <v>#DIV/0!</v>
      </c>
      <c r="AQ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 s="77"/>
      <c r="AS8" s="40" t="str">
        <f>IF(DaybyDay[[#This Row],[Retail Hours]]&gt;0,DaybyDay[[#This Row],[Retail Hours]]*$AS$2,"")</f>
        <v/>
      </c>
      <c r="AT8" s="40">
        <f>SUMIFS(DaybyDay[Est-Retail-Payroll],DaybyDay[Date],"&gt;="&amp;$C$5,DaybyDay[RowYear],"&gt;="&amp;$C$4,DaybyDay[Date],"&lt;="&amp;DaybyDay[[#This Row],[Date]])</f>
        <v>0</v>
      </c>
      <c r="AU8" s="82" t="str">
        <f>IF(AND(DaybyDay[[#This Row],[_Space]],ISNUMBER(DaybyDay[[#This Row],[Retail Hours]])),DaybyDay[[#This Row],[Est-Retail-Payroll]]/(DaybyDay[[#This Row],[Retail-Actuals]]),"")</f>
        <v/>
      </c>
      <c r="AV8" s="82" t="e">
        <f>DaybyDay[[#This Row],[Est-Retail-PayrollRU]]/DaybyDay[[#This Row],[Simple-Forecast-Retail]]</f>
        <v>#DIV/0!</v>
      </c>
      <c r="AW8" s="8"/>
    </row>
    <row r="9" spans="1:49" hidden="1" x14ac:dyDescent="0.25">
      <c r="C9" s="26" t="str">
        <f>Tools!$C$1</f>
        <v>Example</v>
      </c>
      <c r="D9" s="27" t="s">
        <v>68</v>
      </c>
      <c r="E9" s="28">
        <v>2017</v>
      </c>
      <c r="F9" s="28">
        <f>MATCH(DaybyDay[[#This Row],[RowMonth]],Table3[SummaryMonth],0)</f>
        <v>1</v>
      </c>
      <c r="G9" s="29" t="e">
        <f>MATCH(DaybyDay[[#This Row],[LY-Date]],DaybyDay[Date],0)</f>
        <v>#N/A</v>
      </c>
      <c r="H9" s="30">
        <f>WEEKDAY(DaybyDay[[#This Row],[Date]])</f>
        <v>3</v>
      </c>
      <c r="I9" s="31">
        <v>42738</v>
      </c>
      <c r="J9" s="74">
        <v>37</v>
      </c>
      <c r="K9" s="32">
        <f>SUMIFS(BudgetSeasonality[365 Seasonality],BudgetSeasonality[MonthAdjustment],DaybyDay[[#This Row],[Date]])*SUMIFS(Budgets[Service-Budget],Budgets[BudgetMonth],DaybyDay[[#This Row],[RowMonth]],Budgets[BudgetYear],DaybyDay[[#This Row],[RowYear]])</f>
        <v>0</v>
      </c>
      <c r="L9" s="75">
        <v>6867.59</v>
      </c>
      <c r="M9" s="32">
        <f>INDEX(BudgetSeasonality[365 Seasonality],MATCH(DaybyDay[[#This Row],[Date]],BudgetSeasonality[MonthAdjustment],0))*SUMIFS(Budgets[Retail-Budget],Budgets[BudgetMonth],DaybyDay[[#This Row],[RowMonth]],Budgets[BudgetYear],DaybyDay[[#This Row],[RowYear]])</f>
        <v>0</v>
      </c>
      <c r="N9" s="75">
        <v>311</v>
      </c>
      <c r="O9" s="33">
        <f>SUMIFS(DaybyDay[Service-Budgets],DaybyDay[Date],"&gt;="&amp;$C$5,DaybyDay[RowYear],"&gt;="&amp;$C$4,DaybyDay[Date],"&lt;="&amp;DaybyDay[[#This Row],[Date]])</f>
        <v>0</v>
      </c>
      <c r="P9" s="33">
        <f>SUMIFS(DaybyDay[Retail-Budgets],DaybyDay[Date],"&gt;="&amp;$C$5,DaybyDay[RowYear],"&gt;="&amp;$C$4,DaybyDay[Date],"&lt;="&amp;DaybyDay[[#This Row],[Date]])</f>
        <v>0</v>
      </c>
      <c r="Q9" s="34">
        <f>SUMIFS(DaybyDay[Service-Actuals],DaybyDay[Date],"&gt;="&amp;$C$5,DaybyDay[RowYear],"&gt;="&amp;$C$4,DaybyDay[Date],"&lt;="&amp;DaybyDay[[#This Row],[Date]])</f>
        <v>0</v>
      </c>
      <c r="R9" s="34">
        <f>SUMIFS(DaybyDay[Retail-Actuals],DaybyDay[Date],"&gt;="&amp;$C$5,DaybyDay[RowYear],"&gt;="&amp;$C$4,DaybyDay[Date],"&lt;="&amp;DaybyDay[[#This Row],[Date]])</f>
        <v>0</v>
      </c>
      <c r="S9" s="35">
        <f>SUMIFS(DaybyDay[Service-LY],DaybyDay[Date],"&gt;="&amp;$C$5,DaybyDay[RowYear],"&gt;="&amp;$C$4,DaybyDay[Date],"&lt;="&amp;DaybyDay[[#This Row],[Date]])</f>
        <v>0</v>
      </c>
      <c r="T9" s="35">
        <f>SUMIFS(DaybyDay[Retail-LY],DaybyDay[Date],"&gt;="&amp;$C$5,DaybyDay[RowYear],"&gt;="&amp;$C$4,DaybyDay[Date],"&lt;="&amp;DaybyDay[[#This Row],[Date]])</f>
        <v>0</v>
      </c>
      <c r="U9" s="32">
        <f>DaybyDay[[#This Row],[Serv-Bud-RU]]+DaybyDay[[#This Row],[Ret-Bud-RU]]</f>
        <v>0</v>
      </c>
      <c r="V9" s="32">
        <f>DaybyDay[[#This Row],[Serv-Act-RU]]+DaybyDay[[#This Row],[Ret-Act-RU]]</f>
        <v>0</v>
      </c>
      <c r="W9" s="36">
        <f>IF(DaybyDay[[#This Row],[_Space]],IFERROR(
((DaybyDay[[#This Row],[Actual-Rollup]]-DaybyDay[[#This Row],[Budget-Rollup]])/DaybyDay[[#This Row],[Budget-Rollup]]),0),"")</f>
        <v>0</v>
      </c>
      <c r="X9" t="b">
        <f>NOT(AND(ISBLANK(DaybyDay[[#This Row],[Appts]]),ISBLANK(DaybyDay[[#This Row],[Service-Actuals]]),ISBLANK(DaybyDay[[#This Row],[Retail-Actuals]])))</f>
        <v>1</v>
      </c>
      <c r="Y9" s="36">
        <f>IF(DaybyDay[[#This Row],[_Space]],IFERROR(
((DaybyDay[[#This Row],[Actual-Rollup]]-DaybyDay[[#This Row],[LY-Rollup]])/DaybyDay[[#This Row],[LY-Rollup]]),0),"")</f>
        <v>0</v>
      </c>
      <c r="Z9"/>
      <c r="AA9" s="37" t="e">
        <f>IF(DaybyDay[[#This Row],[_Space]],DaybyDay[[#This Row],[Ret-Act-RU]]/DaybyDay[[#This Row],[Serv-Act-RU]],"")</f>
        <v>#DIV/0!</v>
      </c>
      <c r="AB9" s="50" t="e">
        <f>IF(DaybyDay[[#This Row],[_Space]],DaybyDay[[#This Row],[RETPEN-Act]]/DaybyDay[[#This Row],[RETPEN-Bud]],"")</f>
        <v>#DIV/0!</v>
      </c>
      <c r="AC9" s="37" t="e">
        <f>IF(DaybyDay[[#This Row],[_Space]],DaybyDay[[#This Row],[Ret-Bud-RU]]/DaybyDay[[#This Row],[Serv-Bud-RU]],"")</f>
        <v>#DIV/0!</v>
      </c>
      <c r="AD9" s="37" t="e">
        <f>IF(DaybyDay[[#This Row],[_Space]],DaybyDay[[#This Row],[Ret-LY-RU]]/DaybyDay[[#This Row],[Serv-LY-RU]],"")</f>
        <v>#DIV/0!</v>
      </c>
      <c r="AE9" s="30">
        <f>WEEKDAY(DaybyDay[[#This Row],[LY-Date]])</f>
        <v>3</v>
      </c>
      <c r="AF9" s="38">
        <f>$E$2+_xlfn.DAYS(DaybyDay[[#This Row],[Date]],minDate)</f>
        <v>42374</v>
      </c>
      <c r="AG9" s="39" t="str" cm="1">
        <f t="array" ref="AG9">IFERROR(INDEX(DaybyDay[],DaybyDay[[#This Row],[FORM_MATCH_HELPER]],8),"")</f>
        <v/>
      </c>
      <c r="AH9" s="39" t="str" cm="1">
        <f t="array" ref="AH9">IFERROR(INDEX(DaybyDay[],DaybyDay[[#This Row],[FORM_MATCH_HELPER]],10),"")</f>
        <v/>
      </c>
      <c r="AI9" s="39" t="str" cm="1">
        <f t="array" ref="AI9">IFERROR(INDEX(DaybyDay[],DaybyDay[[#This Row],[FORM_MATCH_HELPER]],12),"")</f>
        <v/>
      </c>
      <c r="AJ9" s="32">
        <f>IFERROR(DaybyDay[[#This Row],[Serv-LY-RU]]+DaybyDay[[#This Row],[Ret-LY-RU]],"")</f>
        <v>0</v>
      </c>
      <c r="AK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 s="77"/>
      <c r="AM9" s="40" t="str">
        <f>IF(DaybyDay[[#This Row],[Admin Hours]]&gt;0,DaybyDay[[#This Row],[Admin Hours]]*$AM$2+$AM$3,"")</f>
        <v/>
      </c>
      <c r="AN9" s="40">
        <f>SUMIFS(DaybyDay[Est-Admin-Payroll],DaybyDay[Date],"&gt;="&amp;$C$5,DaybyDay[RowYear],"&gt;="&amp;$C$4,DaybyDay[Date],"&lt;="&amp;DaybyDay[[#This Row],[Date]])</f>
        <v>0</v>
      </c>
      <c r="AO9" s="41" t="str">
        <f>IF(AND(DaybyDay[[#This Row],[_Space]],ISNUMBER(DaybyDay[[#This Row],[Admin Hours]])),DaybyDay[[#This Row],[Est-Admin-Payroll]]/(DaybyDay[[#This Row],[Service-Actuals]]+DaybyDay[[#This Row],[Retail-Actuals]]),"")</f>
        <v/>
      </c>
      <c r="AP9" s="41" t="e">
        <f>DaybyDay[[#This Row],[Estimated-Payroll-Rollup]]/DaybyDay[[#This Row],[Simple-Forecast]]</f>
        <v>#DIV/0!</v>
      </c>
      <c r="AQ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 s="77"/>
      <c r="AS9" s="40" t="str">
        <f>IF(DaybyDay[[#This Row],[Retail Hours]]&gt;0,DaybyDay[[#This Row],[Retail Hours]]*$AS$2,"")</f>
        <v/>
      </c>
      <c r="AT9" s="40">
        <f>SUMIFS(DaybyDay[Est-Retail-Payroll],DaybyDay[Date],"&gt;="&amp;$C$5,DaybyDay[RowYear],"&gt;="&amp;$C$4,DaybyDay[Date],"&lt;="&amp;DaybyDay[[#This Row],[Date]])</f>
        <v>0</v>
      </c>
      <c r="AU9" s="82" t="str">
        <f>IF(AND(DaybyDay[[#This Row],[_Space]],ISNUMBER(DaybyDay[[#This Row],[Retail Hours]])),DaybyDay[[#This Row],[Est-Retail-Payroll]]/(DaybyDay[[#This Row],[Retail-Actuals]]),"")</f>
        <v/>
      </c>
      <c r="AV9" s="82" t="e">
        <f>DaybyDay[[#This Row],[Est-Retail-PayrollRU]]/DaybyDay[[#This Row],[Simple-Forecast-Retail]]</f>
        <v>#DIV/0!</v>
      </c>
      <c r="AW9" s="8"/>
    </row>
    <row r="10" spans="1:49" hidden="1" x14ac:dyDescent="0.25">
      <c r="C10" s="26" t="str">
        <f>Tools!$C$1</f>
        <v>Example</v>
      </c>
      <c r="D10" s="27" t="s">
        <v>68</v>
      </c>
      <c r="E10" s="28">
        <v>2017</v>
      </c>
      <c r="F10" s="28">
        <f>MATCH(DaybyDay[[#This Row],[RowMonth]],Table3[SummaryMonth],0)</f>
        <v>1</v>
      </c>
      <c r="G10" s="29" t="e">
        <f>MATCH(DaybyDay[[#This Row],[LY-Date]],DaybyDay[Date],0)</f>
        <v>#N/A</v>
      </c>
      <c r="H10" s="30">
        <f>WEEKDAY(DaybyDay[[#This Row],[Date]])</f>
        <v>4</v>
      </c>
      <c r="I10" s="31">
        <v>42739</v>
      </c>
      <c r="J10" s="74">
        <v>36</v>
      </c>
      <c r="K10" s="32">
        <f>SUMIFS(BudgetSeasonality[365 Seasonality],BudgetSeasonality[MonthAdjustment],DaybyDay[[#This Row],[Date]])*SUMIFS(Budgets[Service-Budget],Budgets[BudgetMonth],DaybyDay[[#This Row],[RowMonth]],Budgets[BudgetYear],DaybyDay[[#This Row],[RowYear]])</f>
        <v>0</v>
      </c>
      <c r="L10" s="75">
        <v>4762.42</v>
      </c>
      <c r="M10" s="32">
        <f>INDEX(BudgetSeasonality[365 Seasonality],MATCH(DaybyDay[[#This Row],[Date]],BudgetSeasonality[MonthAdjustment],0))*SUMIFS(Budgets[Retail-Budget],Budgets[BudgetMonth],DaybyDay[[#This Row],[RowMonth]],Budgets[BudgetYear],DaybyDay[[#This Row],[RowYear]])</f>
        <v>0</v>
      </c>
      <c r="N10" s="75">
        <v>0</v>
      </c>
      <c r="O10" s="33">
        <f>SUMIFS(DaybyDay[Service-Budgets],DaybyDay[Date],"&gt;="&amp;$C$5,DaybyDay[RowYear],"&gt;="&amp;$C$4,DaybyDay[Date],"&lt;="&amp;DaybyDay[[#This Row],[Date]])</f>
        <v>0</v>
      </c>
      <c r="P10" s="33">
        <f>SUMIFS(DaybyDay[Retail-Budgets],DaybyDay[Date],"&gt;="&amp;$C$5,DaybyDay[RowYear],"&gt;="&amp;$C$4,DaybyDay[Date],"&lt;="&amp;DaybyDay[[#This Row],[Date]])</f>
        <v>0</v>
      </c>
      <c r="Q10" s="34">
        <f>SUMIFS(DaybyDay[Service-Actuals],DaybyDay[Date],"&gt;="&amp;$C$5,DaybyDay[RowYear],"&gt;="&amp;$C$4,DaybyDay[Date],"&lt;="&amp;DaybyDay[[#This Row],[Date]])</f>
        <v>0</v>
      </c>
      <c r="R10" s="34">
        <f>SUMIFS(DaybyDay[Retail-Actuals],DaybyDay[Date],"&gt;="&amp;$C$5,DaybyDay[RowYear],"&gt;="&amp;$C$4,DaybyDay[Date],"&lt;="&amp;DaybyDay[[#This Row],[Date]])</f>
        <v>0</v>
      </c>
      <c r="S10" s="35">
        <f>SUMIFS(DaybyDay[Service-LY],DaybyDay[Date],"&gt;="&amp;$C$5,DaybyDay[RowYear],"&gt;="&amp;$C$4,DaybyDay[Date],"&lt;="&amp;DaybyDay[[#This Row],[Date]])</f>
        <v>0</v>
      </c>
      <c r="T10" s="35">
        <f>SUMIFS(DaybyDay[Retail-LY],DaybyDay[Date],"&gt;="&amp;$C$5,DaybyDay[RowYear],"&gt;="&amp;$C$4,DaybyDay[Date],"&lt;="&amp;DaybyDay[[#This Row],[Date]])</f>
        <v>0</v>
      </c>
      <c r="U10" s="32">
        <f>DaybyDay[[#This Row],[Serv-Bud-RU]]+DaybyDay[[#This Row],[Ret-Bud-RU]]</f>
        <v>0</v>
      </c>
      <c r="V10" s="32">
        <f>DaybyDay[[#This Row],[Serv-Act-RU]]+DaybyDay[[#This Row],[Ret-Act-RU]]</f>
        <v>0</v>
      </c>
      <c r="W10" s="36">
        <f>IF(DaybyDay[[#This Row],[_Space]],IFERROR(
((DaybyDay[[#This Row],[Actual-Rollup]]-DaybyDay[[#This Row],[Budget-Rollup]])/DaybyDay[[#This Row],[Budget-Rollup]]),0),"")</f>
        <v>0</v>
      </c>
      <c r="X10" t="b">
        <f>NOT(AND(ISBLANK(DaybyDay[[#This Row],[Appts]]),ISBLANK(DaybyDay[[#This Row],[Service-Actuals]]),ISBLANK(DaybyDay[[#This Row],[Retail-Actuals]])))</f>
        <v>1</v>
      </c>
      <c r="Y10" s="36">
        <f>IF(DaybyDay[[#This Row],[_Space]],IFERROR(
((DaybyDay[[#This Row],[Actual-Rollup]]-DaybyDay[[#This Row],[LY-Rollup]])/DaybyDay[[#This Row],[LY-Rollup]]),0),"")</f>
        <v>0</v>
      </c>
      <c r="Z10"/>
      <c r="AA10" s="37" t="e">
        <f>IF(DaybyDay[[#This Row],[_Space]],DaybyDay[[#This Row],[Ret-Act-RU]]/DaybyDay[[#This Row],[Serv-Act-RU]],"")</f>
        <v>#DIV/0!</v>
      </c>
      <c r="AB10" s="50" t="e">
        <f>IF(DaybyDay[[#This Row],[_Space]],DaybyDay[[#This Row],[RETPEN-Act]]/DaybyDay[[#This Row],[RETPEN-Bud]],"")</f>
        <v>#DIV/0!</v>
      </c>
      <c r="AC10" s="37" t="e">
        <f>IF(DaybyDay[[#This Row],[_Space]],DaybyDay[[#This Row],[Ret-Bud-RU]]/DaybyDay[[#This Row],[Serv-Bud-RU]],"")</f>
        <v>#DIV/0!</v>
      </c>
      <c r="AD10" s="37" t="e">
        <f>IF(DaybyDay[[#This Row],[_Space]],DaybyDay[[#This Row],[Ret-LY-RU]]/DaybyDay[[#This Row],[Serv-LY-RU]],"")</f>
        <v>#DIV/0!</v>
      </c>
      <c r="AE10" s="30">
        <f>WEEKDAY(DaybyDay[[#This Row],[LY-Date]])</f>
        <v>4</v>
      </c>
      <c r="AF10" s="38">
        <f>$E$2+_xlfn.DAYS(DaybyDay[[#This Row],[Date]],minDate)</f>
        <v>42375</v>
      </c>
      <c r="AG10" s="39" t="str" cm="1">
        <f t="array" ref="AG10">IFERROR(INDEX(DaybyDay[],DaybyDay[[#This Row],[FORM_MATCH_HELPER]],8),"")</f>
        <v/>
      </c>
      <c r="AH10" s="39" t="str" cm="1">
        <f t="array" ref="AH10">IFERROR(INDEX(DaybyDay[],DaybyDay[[#This Row],[FORM_MATCH_HELPER]],10),"")</f>
        <v/>
      </c>
      <c r="AI10" s="39" t="str" cm="1">
        <f t="array" ref="AI10">IFERROR(INDEX(DaybyDay[],DaybyDay[[#This Row],[FORM_MATCH_HELPER]],12),"")</f>
        <v/>
      </c>
      <c r="AJ10" s="32">
        <f>IFERROR(DaybyDay[[#This Row],[Serv-LY-RU]]+DaybyDay[[#This Row],[Ret-LY-RU]],"")</f>
        <v>0</v>
      </c>
      <c r="AK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 s="77"/>
      <c r="AM10" s="40" t="str">
        <f>IF(DaybyDay[[#This Row],[Admin Hours]]&gt;0,DaybyDay[[#This Row],[Admin Hours]]*$AM$2+$AM$3,"")</f>
        <v/>
      </c>
      <c r="AN10" s="40">
        <f>SUMIFS(DaybyDay[Est-Admin-Payroll],DaybyDay[Date],"&gt;="&amp;$C$5,DaybyDay[RowYear],"&gt;="&amp;$C$4,DaybyDay[Date],"&lt;="&amp;DaybyDay[[#This Row],[Date]])</f>
        <v>0</v>
      </c>
      <c r="AO10" s="41" t="str">
        <f>IF(AND(DaybyDay[[#This Row],[_Space]],ISNUMBER(DaybyDay[[#This Row],[Admin Hours]])),DaybyDay[[#This Row],[Est-Admin-Payroll]]/(DaybyDay[[#This Row],[Service-Actuals]]+DaybyDay[[#This Row],[Retail-Actuals]]),"")</f>
        <v/>
      </c>
      <c r="AP10" s="41" t="e">
        <f>DaybyDay[[#This Row],[Estimated-Payroll-Rollup]]/DaybyDay[[#This Row],[Simple-Forecast]]</f>
        <v>#DIV/0!</v>
      </c>
      <c r="AQ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 s="77"/>
      <c r="AS10" s="40" t="str">
        <f>IF(DaybyDay[[#This Row],[Retail Hours]]&gt;0,DaybyDay[[#This Row],[Retail Hours]]*$AS$2,"")</f>
        <v/>
      </c>
      <c r="AT10" s="40">
        <f>SUMIFS(DaybyDay[Est-Retail-Payroll],DaybyDay[Date],"&gt;="&amp;$C$5,DaybyDay[RowYear],"&gt;="&amp;$C$4,DaybyDay[Date],"&lt;="&amp;DaybyDay[[#This Row],[Date]])</f>
        <v>0</v>
      </c>
      <c r="AU10" s="82" t="str">
        <f>IF(AND(DaybyDay[[#This Row],[_Space]],ISNUMBER(DaybyDay[[#This Row],[Retail Hours]])),DaybyDay[[#This Row],[Est-Retail-Payroll]]/(DaybyDay[[#This Row],[Retail-Actuals]]),"")</f>
        <v/>
      </c>
      <c r="AV10" s="82" t="e">
        <f>DaybyDay[[#This Row],[Est-Retail-PayrollRU]]/DaybyDay[[#This Row],[Simple-Forecast-Retail]]</f>
        <v>#DIV/0!</v>
      </c>
      <c r="AW10" s="8"/>
    </row>
    <row r="11" spans="1:49" hidden="1" x14ac:dyDescent="0.25">
      <c r="C11" s="26" t="str">
        <f>Tools!$C$1</f>
        <v>Example</v>
      </c>
      <c r="D11" s="27" t="s">
        <v>68</v>
      </c>
      <c r="E11" s="28">
        <v>2017</v>
      </c>
      <c r="F11" s="28">
        <f>MATCH(DaybyDay[[#This Row],[RowMonth]],Table3[SummaryMonth],0)</f>
        <v>1</v>
      </c>
      <c r="G11" s="29" t="e">
        <f>MATCH(DaybyDay[[#This Row],[LY-Date]],DaybyDay[Date],0)</f>
        <v>#N/A</v>
      </c>
      <c r="H11" s="30">
        <f>WEEKDAY(DaybyDay[[#This Row],[Date]])</f>
        <v>5</v>
      </c>
      <c r="I11" s="31">
        <v>42740</v>
      </c>
      <c r="J11" s="74">
        <v>40</v>
      </c>
      <c r="K11" s="32">
        <f>SUMIFS(BudgetSeasonality[365 Seasonality],BudgetSeasonality[MonthAdjustment],DaybyDay[[#This Row],[Date]])*SUMIFS(Budgets[Service-Budget],Budgets[BudgetMonth],DaybyDay[[#This Row],[RowMonth]],Budgets[BudgetYear],DaybyDay[[#This Row],[RowYear]])</f>
        <v>0</v>
      </c>
      <c r="L11" s="75">
        <v>6063.06</v>
      </c>
      <c r="M11" s="32">
        <f>INDEX(BudgetSeasonality[365 Seasonality],MATCH(DaybyDay[[#This Row],[Date]],BudgetSeasonality[MonthAdjustment],0))*SUMIFS(Budgets[Retail-Budget],Budgets[BudgetMonth],DaybyDay[[#This Row],[RowMonth]],Budgets[BudgetYear],DaybyDay[[#This Row],[RowYear]])</f>
        <v>0</v>
      </c>
      <c r="N11" s="75">
        <v>1382.5</v>
      </c>
      <c r="O11" s="33">
        <f>SUMIFS(DaybyDay[Service-Budgets],DaybyDay[Date],"&gt;="&amp;$C$5,DaybyDay[RowYear],"&gt;="&amp;$C$4,DaybyDay[Date],"&lt;="&amp;DaybyDay[[#This Row],[Date]])</f>
        <v>0</v>
      </c>
      <c r="P11" s="33">
        <f>SUMIFS(DaybyDay[Retail-Budgets],DaybyDay[Date],"&gt;="&amp;$C$5,DaybyDay[RowYear],"&gt;="&amp;$C$4,DaybyDay[Date],"&lt;="&amp;DaybyDay[[#This Row],[Date]])</f>
        <v>0</v>
      </c>
      <c r="Q11" s="34">
        <f>SUMIFS(DaybyDay[Service-Actuals],DaybyDay[Date],"&gt;="&amp;$C$5,DaybyDay[RowYear],"&gt;="&amp;$C$4,DaybyDay[Date],"&lt;="&amp;DaybyDay[[#This Row],[Date]])</f>
        <v>0</v>
      </c>
      <c r="R11" s="34">
        <f>SUMIFS(DaybyDay[Retail-Actuals],DaybyDay[Date],"&gt;="&amp;$C$5,DaybyDay[RowYear],"&gt;="&amp;$C$4,DaybyDay[Date],"&lt;="&amp;DaybyDay[[#This Row],[Date]])</f>
        <v>0</v>
      </c>
      <c r="S11" s="35">
        <f>SUMIFS(DaybyDay[Service-LY],DaybyDay[Date],"&gt;="&amp;$C$5,DaybyDay[RowYear],"&gt;="&amp;$C$4,DaybyDay[Date],"&lt;="&amp;DaybyDay[[#This Row],[Date]])</f>
        <v>0</v>
      </c>
      <c r="T11" s="35">
        <f>SUMIFS(DaybyDay[Retail-LY],DaybyDay[Date],"&gt;="&amp;$C$5,DaybyDay[RowYear],"&gt;="&amp;$C$4,DaybyDay[Date],"&lt;="&amp;DaybyDay[[#This Row],[Date]])</f>
        <v>0</v>
      </c>
      <c r="U11" s="32">
        <f>DaybyDay[[#This Row],[Serv-Bud-RU]]+DaybyDay[[#This Row],[Ret-Bud-RU]]</f>
        <v>0</v>
      </c>
      <c r="V11" s="32">
        <f>DaybyDay[[#This Row],[Serv-Act-RU]]+DaybyDay[[#This Row],[Ret-Act-RU]]</f>
        <v>0</v>
      </c>
      <c r="W11" s="36">
        <f>IF(DaybyDay[[#This Row],[_Space]],IFERROR(
((DaybyDay[[#This Row],[Actual-Rollup]]-DaybyDay[[#This Row],[Budget-Rollup]])/DaybyDay[[#This Row],[Budget-Rollup]]),0),"")</f>
        <v>0</v>
      </c>
      <c r="X11" t="b">
        <f>NOT(AND(ISBLANK(DaybyDay[[#This Row],[Appts]]),ISBLANK(DaybyDay[[#This Row],[Service-Actuals]]),ISBLANK(DaybyDay[[#This Row],[Retail-Actuals]])))</f>
        <v>1</v>
      </c>
      <c r="Y11" s="36">
        <f>IF(DaybyDay[[#This Row],[_Space]],IFERROR(
((DaybyDay[[#This Row],[Actual-Rollup]]-DaybyDay[[#This Row],[LY-Rollup]])/DaybyDay[[#This Row],[LY-Rollup]]),0),"")</f>
        <v>0</v>
      </c>
      <c r="Z11"/>
      <c r="AA11" s="37" t="e">
        <f>IF(DaybyDay[[#This Row],[_Space]],DaybyDay[[#This Row],[Ret-Act-RU]]/DaybyDay[[#This Row],[Serv-Act-RU]],"")</f>
        <v>#DIV/0!</v>
      </c>
      <c r="AB11" s="50" t="e">
        <f>IF(DaybyDay[[#This Row],[_Space]],DaybyDay[[#This Row],[RETPEN-Act]]/DaybyDay[[#This Row],[RETPEN-Bud]],"")</f>
        <v>#DIV/0!</v>
      </c>
      <c r="AC11" s="37" t="e">
        <f>IF(DaybyDay[[#This Row],[_Space]],DaybyDay[[#This Row],[Ret-Bud-RU]]/DaybyDay[[#This Row],[Serv-Bud-RU]],"")</f>
        <v>#DIV/0!</v>
      </c>
      <c r="AD11" s="37" t="e">
        <f>IF(DaybyDay[[#This Row],[_Space]],DaybyDay[[#This Row],[Ret-LY-RU]]/DaybyDay[[#This Row],[Serv-LY-RU]],"")</f>
        <v>#DIV/0!</v>
      </c>
      <c r="AE11" s="30">
        <f>WEEKDAY(DaybyDay[[#This Row],[LY-Date]])</f>
        <v>5</v>
      </c>
      <c r="AF11" s="38">
        <f>$E$2+_xlfn.DAYS(DaybyDay[[#This Row],[Date]],minDate)</f>
        <v>42376</v>
      </c>
      <c r="AG11" s="39" t="str" cm="1">
        <f t="array" ref="AG11">IFERROR(INDEX(DaybyDay[],DaybyDay[[#This Row],[FORM_MATCH_HELPER]],8),"")</f>
        <v/>
      </c>
      <c r="AH11" s="39" t="str" cm="1">
        <f t="array" ref="AH11">IFERROR(INDEX(DaybyDay[],DaybyDay[[#This Row],[FORM_MATCH_HELPER]],10),"")</f>
        <v/>
      </c>
      <c r="AI11" s="39" t="str" cm="1">
        <f t="array" ref="AI11">IFERROR(INDEX(DaybyDay[],DaybyDay[[#This Row],[FORM_MATCH_HELPER]],12),"")</f>
        <v/>
      </c>
      <c r="AJ11" s="32">
        <f>IFERROR(DaybyDay[[#This Row],[Serv-LY-RU]]+DaybyDay[[#This Row],[Ret-LY-RU]],"")</f>
        <v>0</v>
      </c>
      <c r="AK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 s="77"/>
      <c r="AM11" s="40" t="str">
        <f>IF(DaybyDay[[#This Row],[Admin Hours]]&gt;0,DaybyDay[[#This Row],[Admin Hours]]*$AM$2+$AM$3,"")</f>
        <v/>
      </c>
      <c r="AN11" s="40">
        <f>SUMIFS(DaybyDay[Est-Admin-Payroll],DaybyDay[Date],"&gt;="&amp;$C$5,DaybyDay[RowYear],"&gt;="&amp;$C$4,DaybyDay[Date],"&lt;="&amp;DaybyDay[[#This Row],[Date]])</f>
        <v>0</v>
      </c>
      <c r="AO11" s="41" t="str">
        <f>IF(AND(DaybyDay[[#This Row],[_Space]],ISNUMBER(DaybyDay[[#This Row],[Admin Hours]])),DaybyDay[[#This Row],[Est-Admin-Payroll]]/(DaybyDay[[#This Row],[Service-Actuals]]+DaybyDay[[#This Row],[Retail-Actuals]]),"")</f>
        <v/>
      </c>
      <c r="AP11" s="41" t="e">
        <f>DaybyDay[[#This Row],[Estimated-Payroll-Rollup]]/DaybyDay[[#This Row],[Simple-Forecast]]</f>
        <v>#DIV/0!</v>
      </c>
      <c r="AQ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 s="77"/>
      <c r="AS11" s="40" t="str">
        <f>IF(DaybyDay[[#This Row],[Retail Hours]]&gt;0,DaybyDay[[#This Row],[Retail Hours]]*$AS$2,"")</f>
        <v/>
      </c>
      <c r="AT11" s="40">
        <f>SUMIFS(DaybyDay[Est-Retail-Payroll],DaybyDay[Date],"&gt;="&amp;$C$5,DaybyDay[RowYear],"&gt;="&amp;$C$4,DaybyDay[Date],"&lt;="&amp;DaybyDay[[#This Row],[Date]])</f>
        <v>0</v>
      </c>
      <c r="AU11" s="82" t="str">
        <f>IF(AND(DaybyDay[[#This Row],[_Space]],ISNUMBER(DaybyDay[[#This Row],[Retail Hours]])),DaybyDay[[#This Row],[Est-Retail-Payroll]]/(DaybyDay[[#This Row],[Retail-Actuals]]),"")</f>
        <v/>
      </c>
      <c r="AV11" s="82" t="e">
        <f>DaybyDay[[#This Row],[Est-Retail-PayrollRU]]/DaybyDay[[#This Row],[Simple-Forecast-Retail]]</f>
        <v>#DIV/0!</v>
      </c>
      <c r="AW11" s="8"/>
    </row>
    <row r="12" spans="1:49" hidden="1" x14ac:dyDescent="0.25">
      <c r="C12" s="26" t="str">
        <f>Tools!$C$1</f>
        <v>Example</v>
      </c>
      <c r="D12" s="27" t="s">
        <v>68</v>
      </c>
      <c r="E12" s="28">
        <v>2017</v>
      </c>
      <c r="F12" s="28">
        <f>MATCH(DaybyDay[[#This Row],[RowMonth]],Table3[SummaryMonth],0)</f>
        <v>1</v>
      </c>
      <c r="G12" s="29" t="e">
        <f>MATCH(DaybyDay[[#This Row],[LY-Date]],DaybyDay[Date],0)</f>
        <v>#N/A</v>
      </c>
      <c r="H12" s="30">
        <f>WEEKDAY(DaybyDay[[#This Row],[Date]])</f>
        <v>6</v>
      </c>
      <c r="I12" s="31">
        <v>42741</v>
      </c>
      <c r="J12" s="74">
        <v>35</v>
      </c>
      <c r="K12" s="32">
        <f>SUMIFS(BudgetSeasonality[365 Seasonality],BudgetSeasonality[MonthAdjustment],DaybyDay[[#This Row],[Date]])*SUMIFS(Budgets[Service-Budget],Budgets[BudgetMonth],DaybyDay[[#This Row],[RowMonth]],Budgets[BudgetYear],DaybyDay[[#This Row],[RowYear]])</f>
        <v>0</v>
      </c>
      <c r="L12" s="75">
        <v>5601.5</v>
      </c>
      <c r="M12" s="32">
        <f>INDEX(BudgetSeasonality[365 Seasonality],MATCH(DaybyDay[[#This Row],[Date]],BudgetSeasonality[MonthAdjustment],0))*SUMIFS(Budgets[Retail-Budget],Budgets[BudgetMonth],DaybyDay[[#This Row],[RowMonth]],Budgets[BudgetYear],DaybyDay[[#This Row],[RowYear]])</f>
        <v>0</v>
      </c>
      <c r="N12" s="75">
        <v>31.5</v>
      </c>
      <c r="O12" s="33">
        <f>SUMIFS(DaybyDay[Service-Budgets],DaybyDay[Date],"&gt;="&amp;$C$5,DaybyDay[RowYear],"&gt;="&amp;$C$4,DaybyDay[Date],"&lt;="&amp;DaybyDay[[#This Row],[Date]])</f>
        <v>0</v>
      </c>
      <c r="P12" s="33">
        <f>SUMIFS(DaybyDay[Retail-Budgets],DaybyDay[Date],"&gt;="&amp;$C$5,DaybyDay[RowYear],"&gt;="&amp;$C$4,DaybyDay[Date],"&lt;="&amp;DaybyDay[[#This Row],[Date]])</f>
        <v>0</v>
      </c>
      <c r="Q12" s="34">
        <f>SUMIFS(DaybyDay[Service-Actuals],DaybyDay[Date],"&gt;="&amp;$C$5,DaybyDay[RowYear],"&gt;="&amp;$C$4,DaybyDay[Date],"&lt;="&amp;DaybyDay[[#This Row],[Date]])</f>
        <v>0</v>
      </c>
      <c r="R12" s="34">
        <f>SUMIFS(DaybyDay[Retail-Actuals],DaybyDay[Date],"&gt;="&amp;$C$5,DaybyDay[RowYear],"&gt;="&amp;$C$4,DaybyDay[Date],"&lt;="&amp;DaybyDay[[#This Row],[Date]])</f>
        <v>0</v>
      </c>
      <c r="S12" s="35">
        <f>SUMIFS(DaybyDay[Service-LY],DaybyDay[Date],"&gt;="&amp;$C$5,DaybyDay[RowYear],"&gt;="&amp;$C$4,DaybyDay[Date],"&lt;="&amp;DaybyDay[[#This Row],[Date]])</f>
        <v>0</v>
      </c>
      <c r="T12" s="35">
        <f>SUMIFS(DaybyDay[Retail-LY],DaybyDay[Date],"&gt;="&amp;$C$5,DaybyDay[RowYear],"&gt;="&amp;$C$4,DaybyDay[Date],"&lt;="&amp;DaybyDay[[#This Row],[Date]])</f>
        <v>0</v>
      </c>
      <c r="U12" s="32">
        <f>DaybyDay[[#This Row],[Serv-Bud-RU]]+DaybyDay[[#This Row],[Ret-Bud-RU]]</f>
        <v>0</v>
      </c>
      <c r="V12" s="32">
        <f>DaybyDay[[#This Row],[Serv-Act-RU]]+DaybyDay[[#This Row],[Ret-Act-RU]]</f>
        <v>0</v>
      </c>
      <c r="W12" s="36">
        <f>IF(DaybyDay[[#This Row],[_Space]],IFERROR(
((DaybyDay[[#This Row],[Actual-Rollup]]-DaybyDay[[#This Row],[Budget-Rollup]])/DaybyDay[[#This Row],[Budget-Rollup]]),0),"")</f>
        <v>0</v>
      </c>
      <c r="X12" t="b">
        <f>NOT(AND(ISBLANK(DaybyDay[[#This Row],[Appts]]),ISBLANK(DaybyDay[[#This Row],[Service-Actuals]]),ISBLANK(DaybyDay[[#This Row],[Retail-Actuals]])))</f>
        <v>1</v>
      </c>
      <c r="Y12" s="36">
        <f>IF(DaybyDay[[#This Row],[_Space]],IFERROR(
((DaybyDay[[#This Row],[Actual-Rollup]]-DaybyDay[[#This Row],[LY-Rollup]])/DaybyDay[[#This Row],[LY-Rollup]]),0),"")</f>
        <v>0</v>
      </c>
      <c r="Z12"/>
      <c r="AA12" s="37" t="e">
        <f>IF(DaybyDay[[#This Row],[_Space]],DaybyDay[[#This Row],[Ret-Act-RU]]/DaybyDay[[#This Row],[Serv-Act-RU]],"")</f>
        <v>#DIV/0!</v>
      </c>
      <c r="AB12" s="50" t="e">
        <f>IF(DaybyDay[[#This Row],[_Space]],DaybyDay[[#This Row],[RETPEN-Act]]/DaybyDay[[#This Row],[RETPEN-Bud]],"")</f>
        <v>#DIV/0!</v>
      </c>
      <c r="AC12" s="37" t="e">
        <f>IF(DaybyDay[[#This Row],[_Space]],DaybyDay[[#This Row],[Ret-Bud-RU]]/DaybyDay[[#This Row],[Serv-Bud-RU]],"")</f>
        <v>#DIV/0!</v>
      </c>
      <c r="AD12" s="37" t="e">
        <f>IF(DaybyDay[[#This Row],[_Space]],DaybyDay[[#This Row],[Ret-LY-RU]]/DaybyDay[[#This Row],[Serv-LY-RU]],"")</f>
        <v>#DIV/0!</v>
      </c>
      <c r="AE12" s="30">
        <f>WEEKDAY(DaybyDay[[#This Row],[LY-Date]])</f>
        <v>6</v>
      </c>
      <c r="AF12" s="38">
        <f>$E$2+_xlfn.DAYS(DaybyDay[[#This Row],[Date]],minDate)</f>
        <v>42377</v>
      </c>
      <c r="AG12" s="39" t="str" cm="1">
        <f t="array" ref="AG12">IFERROR(INDEX(DaybyDay[],DaybyDay[[#This Row],[FORM_MATCH_HELPER]],8),"")</f>
        <v/>
      </c>
      <c r="AH12" s="39" t="str" cm="1">
        <f t="array" ref="AH12">IFERROR(INDEX(DaybyDay[],DaybyDay[[#This Row],[FORM_MATCH_HELPER]],10),"")</f>
        <v/>
      </c>
      <c r="AI12" s="39" t="str" cm="1">
        <f t="array" ref="AI12">IFERROR(INDEX(DaybyDay[],DaybyDay[[#This Row],[FORM_MATCH_HELPER]],12),"")</f>
        <v/>
      </c>
      <c r="AJ12" s="32">
        <f>IFERROR(DaybyDay[[#This Row],[Serv-LY-RU]]+DaybyDay[[#This Row],[Ret-LY-RU]],"")</f>
        <v>0</v>
      </c>
      <c r="AK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 s="77"/>
      <c r="AM12" s="40" t="str">
        <f>IF(DaybyDay[[#This Row],[Admin Hours]]&gt;0,DaybyDay[[#This Row],[Admin Hours]]*$AM$2+$AM$3,"")</f>
        <v/>
      </c>
      <c r="AN12" s="40">
        <f>SUMIFS(DaybyDay[Est-Admin-Payroll],DaybyDay[Date],"&gt;="&amp;$C$5,DaybyDay[RowYear],"&gt;="&amp;$C$4,DaybyDay[Date],"&lt;="&amp;DaybyDay[[#This Row],[Date]])</f>
        <v>0</v>
      </c>
      <c r="AO12" s="41" t="str">
        <f>IF(AND(DaybyDay[[#This Row],[_Space]],ISNUMBER(DaybyDay[[#This Row],[Admin Hours]])),DaybyDay[[#This Row],[Est-Admin-Payroll]]/(DaybyDay[[#This Row],[Service-Actuals]]+DaybyDay[[#This Row],[Retail-Actuals]]),"")</f>
        <v/>
      </c>
      <c r="AP12" s="41" t="e">
        <f>DaybyDay[[#This Row],[Estimated-Payroll-Rollup]]/DaybyDay[[#This Row],[Simple-Forecast]]</f>
        <v>#DIV/0!</v>
      </c>
      <c r="AQ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 s="77"/>
      <c r="AS12" s="40" t="str">
        <f>IF(DaybyDay[[#This Row],[Retail Hours]]&gt;0,DaybyDay[[#This Row],[Retail Hours]]*$AS$2,"")</f>
        <v/>
      </c>
      <c r="AT12" s="40">
        <f>SUMIFS(DaybyDay[Est-Retail-Payroll],DaybyDay[Date],"&gt;="&amp;$C$5,DaybyDay[RowYear],"&gt;="&amp;$C$4,DaybyDay[Date],"&lt;="&amp;DaybyDay[[#This Row],[Date]])</f>
        <v>0</v>
      </c>
      <c r="AU12" s="82" t="str">
        <f>IF(AND(DaybyDay[[#This Row],[_Space]],ISNUMBER(DaybyDay[[#This Row],[Retail Hours]])),DaybyDay[[#This Row],[Est-Retail-Payroll]]/(DaybyDay[[#This Row],[Retail-Actuals]]),"")</f>
        <v/>
      </c>
      <c r="AV12" s="82" t="e">
        <f>DaybyDay[[#This Row],[Est-Retail-PayrollRU]]/DaybyDay[[#This Row],[Simple-Forecast-Retail]]</f>
        <v>#DIV/0!</v>
      </c>
      <c r="AW12" s="8"/>
    </row>
    <row r="13" spans="1:49" hidden="1" x14ac:dyDescent="0.25">
      <c r="C13" s="26" t="str">
        <f>Tools!$C$1</f>
        <v>Example</v>
      </c>
      <c r="D13" s="27" t="s">
        <v>68</v>
      </c>
      <c r="E13" s="28">
        <v>2017</v>
      </c>
      <c r="F13" s="28">
        <f>MATCH(DaybyDay[[#This Row],[RowMonth]],Table3[SummaryMonth],0)</f>
        <v>1</v>
      </c>
      <c r="G13" s="29" t="e">
        <f>MATCH(DaybyDay[[#This Row],[LY-Date]],DaybyDay[Date],0)</f>
        <v>#N/A</v>
      </c>
      <c r="H13" s="30">
        <f>WEEKDAY(DaybyDay[[#This Row],[Date]])</f>
        <v>7</v>
      </c>
      <c r="I13" s="31">
        <v>42742</v>
      </c>
      <c r="J13" s="74">
        <v>49</v>
      </c>
      <c r="K13" s="32">
        <f>SUMIFS(BudgetSeasonality[365 Seasonality],BudgetSeasonality[MonthAdjustment],DaybyDay[[#This Row],[Date]])*SUMIFS(Budgets[Service-Budget],Budgets[BudgetMonth],DaybyDay[[#This Row],[RowMonth]],Budgets[BudgetYear],DaybyDay[[#This Row],[RowYear]])</f>
        <v>0</v>
      </c>
      <c r="L13" s="75">
        <v>9677.25</v>
      </c>
      <c r="M13" s="32">
        <f>INDEX(BudgetSeasonality[365 Seasonality],MATCH(DaybyDay[[#This Row],[Date]],BudgetSeasonality[MonthAdjustment],0))*SUMIFS(Budgets[Retail-Budget],Budgets[BudgetMonth],DaybyDay[[#This Row],[RowMonth]],Budgets[BudgetYear],DaybyDay[[#This Row],[RowYear]])</f>
        <v>0</v>
      </c>
      <c r="N13" s="75">
        <v>962</v>
      </c>
      <c r="O13" s="33">
        <f>SUMIFS(DaybyDay[Service-Budgets],DaybyDay[Date],"&gt;="&amp;$C$5,DaybyDay[RowYear],"&gt;="&amp;$C$4,DaybyDay[Date],"&lt;="&amp;DaybyDay[[#This Row],[Date]])</f>
        <v>0</v>
      </c>
      <c r="P13" s="33">
        <f>SUMIFS(DaybyDay[Retail-Budgets],DaybyDay[Date],"&gt;="&amp;$C$5,DaybyDay[RowYear],"&gt;="&amp;$C$4,DaybyDay[Date],"&lt;="&amp;DaybyDay[[#This Row],[Date]])</f>
        <v>0</v>
      </c>
      <c r="Q13" s="34">
        <f>SUMIFS(DaybyDay[Service-Actuals],DaybyDay[Date],"&gt;="&amp;$C$5,DaybyDay[RowYear],"&gt;="&amp;$C$4,DaybyDay[Date],"&lt;="&amp;DaybyDay[[#This Row],[Date]])</f>
        <v>0</v>
      </c>
      <c r="R13" s="34">
        <f>SUMIFS(DaybyDay[Retail-Actuals],DaybyDay[Date],"&gt;="&amp;$C$5,DaybyDay[RowYear],"&gt;="&amp;$C$4,DaybyDay[Date],"&lt;="&amp;DaybyDay[[#This Row],[Date]])</f>
        <v>0</v>
      </c>
      <c r="S13" s="35">
        <f>SUMIFS(DaybyDay[Service-LY],DaybyDay[Date],"&gt;="&amp;$C$5,DaybyDay[RowYear],"&gt;="&amp;$C$4,DaybyDay[Date],"&lt;="&amp;DaybyDay[[#This Row],[Date]])</f>
        <v>0</v>
      </c>
      <c r="T13" s="35">
        <f>SUMIFS(DaybyDay[Retail-LY],DaybyDay[Date],"&gt;="&amp;$C$5,DaybyDay[RowYear],"&gt;="&amp;$C$4,DaybyDay[Date],"&lt;="&amp;DaybyDay[[#This Row],[Date]])</f>
        <v>0</v>
      </c>
      <c r="U13" s="32">
        <f>DaybyDay[[#This Row],[Serv-Bud-RU]]+DaybyDay[[#This Row],[Ret-Bud-RU]]</f>
        <v>0</v>
      </c>
      <c r="V13" s="32">
        <f>DaybyDay[[#This Row],[Serv-Act-RU]]+DaybyDay[[#This Row],[Ret-Act-RU]]</f>
        <v>0</v>
      </c>
      <c r="W13" s="36">
        <f>IF(DaybyDay[[#This Row],[_Space]],IFERROR(
((DaybyDay[[#This Row],[Actual-Rollup]]-DaybyDay[[#This Row],[Budget-Rollup]])/DaybyDay[[#This Row],[Budget-Rollup]]),0),"")</f>
        <v>0</v>
      </c>
      <c r="X13" t="b">
        <f>NOT(AND(ISBLANK(DaybyDay[[#This Row],[Appts]]),ISBLANK(DaybyDay[[#This Row],[Service-Actuals]]),ISBLANK(DaybyDay[[#This Row],[Retail-Actuals]])))</f>
        <v>1</v>
      </c>
      <c r="Y13" s="36">
        <f>IF(DaybyDay[[#This Row],[_Space]],IFERROR(
((DaybyDay[[#This Row],[Actual-Rollup]]-DaybyDay[[#This Row],[LY-Rollup]])/DaybyDay[[#This Row],[LY-Rollup]]),0),"")</f>
        <v>0</v>
      </c>
      <c r="Z13"/>
      <c r="AA13" s="37" t="e">
        <f>IF(DaybyDay[[#This Row],[_Space]],DaybyDay[[#This Row],[Ret-Act-RU]]/DaybyDay[[#This Row],[Serv-Act-RU]],"")</f>
        <v>#DIV/0!</v>
      </c>
      <c r="AB13" s="50" t="e">
        <f>IF(DaybyDay[[#This Row],[_Space]],DaybyDay[[#This Row],[RETPEN-Act]]/DaybyDay[[#This Row],[RETPEN-Bud]],"")</f>
        <v>#DIV/0!</v>
      </c>
      <c r="AC13" s="37" t="e">
        <f>IF(DaybyDay[[#This Row],[_Space]],DaybyDay[[#This Row],[Ret-Bud-RU]]/DaybyDay[[#This Row],[Serv-Bud-RU]],"")</f>
        <v>#DIV/0!</v>
      </c>
      <c r="AD13" s="37" t="e">
        <f>IF(DaybyDay[[#This Row],[_Space]],DaybyDay[[#This Row],[Ret-LY-RU]]/DaybyDay[[#This Row],[Serv-LY-RU]],"")</f>
        <v>#DIV/0!</v>
      </c>
      <c r="AE13" s="30">
        <f>WEEKDAY(DaybyDay[[#This Row],[LY-Date]])</f>
        <v>7</v>
      </c>
      <c r="AF13" s="38">
        <f>$E$2+_xlfn.DAYS(DaybyDay[[#This Row],[Date]],minDate)</f>
        <v>42378</v>
      </c>
      <c r="AG13" s="39" t="str" cm="1">
        <f t="array" ref="AG13">IFERROR(INDEX(DaybyDay[],DaybyDay[[#This Row],[FORM_MATCH_HELPER]],8),"")</f>
        <v/>
      </c>
      <c r="AH13" s="39" t="str" cm="1">
        <f t="array" ref="AH13">IFERROR(INDEX(DaybyDay[],DaybyDay[[#This Row],[FORM_MATCH_HELPER]],10),"")</f>
        <v/>
      </c>
      <c r="AI13" s="39" t="str" cm="1">
        <f t="array" ref="AI13">IFERROR(INDEX(DaybyDay[],DaybyDay[[#This Row],[FORM_MATCH_HELPER]],12),"")</f>
        <v/>
      </c>
      <c r="AJ13" s="32">
        <f>IFERROR(DaybyDay[[#This Row],[Serv-LY-RU]]+DaybyDay[[#This Row],[Ret-LY-RU]],"")</f>
        <v>0</v>
      </c>
      <c r="AK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 s="77"/>
      <c r="AM13" s="40" t="str">
        <f>IF(DaybyDay[[#This Row],[Admin Hours]]&gt;0,DaybyDay[[#This Row],[Admin Hours]]*$AM$2+$AM$3,"")</f>
        <v/>
      </c>
      <c r="AN13" s="40">
        <f>SUMIFS(DaybyDay[Est-Admin-Payroll],DaybyDay[Date],"&gt;="&amp;$C$5,DaybyDay[RowYear],"&gt;="&amp;$C$4,DaybyDay[Date],"&lt;="&amp;DaybyDay[[#This Row],[Date]])</f>
        <v>0</v>
      </c>
      <c r="AO13" s="41" t="str">
        <f>IF(AND(DaybyDay[[#This Row],[_Space]],ISNUMBER(DaybyDay[[#This Row],[Admin Hours]])),DaybyDay[[#This Row],[Est-Admin-Payroll]]/(DaybyDay[[#This Row],[Service-Actuals]]+DaybyDay[[#This Row],[Retail-Actuals]]),"")</f>
        <v/>
      </c>
      <c r="AP13" s="41" t="e">
        <f>DaybyDay[[#This Row],[Estimated-Payroll-Rollup]]/DaybyDay[[#This Row],[Simple-Forecast]]</f>
        <v>#DIV/0!</v>
      </c>
      <c r="AQ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 s="77"/>
      <c r="AS13" s="40" t="str">
        <f>IF(DaybyDay[[#This Row],[Retail Hours]]&gt;0,DaybyDay[[#This Row],[Retail Hours]]*$AS$2,"")</f>
        <v/>
      </c>
      <c r="AT13" s="40">
        <f>SUMIFS(DaybyDay[Est-Retail-Payroll],DaybyDay[Date],"&gt;="&amp;$C$5,DaybyDay[RowYear],"&gt;="&amp;$C$4,DaybyDay[Date],"&lt;="&amp;DaybyDay[[#This Row],[Date]])</f>
        <v>0</v>
      </c>
      <c r="AU13" s="82" t="str">
        <f>IF(AND(DaybyDay[[#This Row],[_Space]],ISNUMBER(DaybyDay[[#This Row],[Retail Hours]])),DaybyDay[[#This Row],[Est-Retail-Payroll]]/(DaybyDay[[#This Row],[Retail-Actuals]]),"")</f>
        <v/>
      </c>
      <c r="AV13" s="82" t="e">
        <f>DaybyDay[[#This Row],[Est-Retail-PayrollRU]]/DaybyDay[[#This Row],[Simple-Forecast-Retail]]</f>
        <v>#DIV/0!</v>
      </c>
      <c r="AW13" s="8"/>
    </row>
    <row r="14" spans="1:49" hidden="1" x14ac:dyDescent="0.25">
      <c r="C14" s="26" t="str">
        <f>Tools!$C$1</f>
        <v>Example</v>
      </c>
      <c r="D14" s="27" t="s">
        <v>68</v>
      </c>
      <c r="E14" s="28">
        <v>2017</v>
      </c>
      <c r="F14" s="28">
        <f>MATCH(DaybyDay[[#This Row],[RowMonth]],Table3[SummaryMonth],0)</f>
        <v>1</v>
      </c>
      <c r="G14" s="29" t="e">
        <f>MATCH(DaybyDay[[#This Row],[LY-Date]],DaybyDay[Date],0)</f>
        <v>#N/A</v>
      </c>
      <c r="H14" s="30">
        <f>WEEKDAY(DaybyDay[[#This Row],[Date]])</f>
        <v>1</v>
      </c>
      <c r="I14" s="31">
        <v>42743</v>
      </c>
      <c r="J14" s="74">
        <v>42</v>
      </c>
      <c r="K14" s="32">
        <f>SUMIFS(BudgetSeasonality[365 Seasonality],BudgetSeasonality[MonthAdjustment],DaybyDay[[#This Row],[Date]])*SUMIFS(Budgets[Service-Budget],Budgets[BudgetMonth],DaybyDay[[#This Row],[RowMonth]],Budgets[BudgetYear],DaybyDay[[#This Row],[RowYear]])</f>
        <v>0</v>
      </c>
      <c r="L14" s="75">
        <v>6135.64</v>
      </c>
      <c r="M14" s="32">
        <f>INDEX(BudgetSeasonality[365 Seasonality],MATCH(DaybyDay[[#This Row],[Date]],BudgetSeasonality[MonthAdjustment],0))*SUMIFS(Budgets[Retail-Budget],Budgets[BudgetMonth],DaybyDay[[#This Row],[RowMonth]],Budgets[BudgetYear],DaybyDay[[#This Row],[RowYear]])</f>
        <v>0</v>
      </c>
      <c r="N14" s="75">
        <v>456.6</v>
      </c>
      <c r="O14" s="33">
        <f>SUMIFS(DaybyDay[Service-Budgets],DaybyDay[Date],"&gt;="&amp;$C$5,DaybyDay[RowYear],"&gt;="&amp;$C$4,DaybyDay[Date],"&lt;="&amp;DaybyDay[[#This Row],[Date]])</f>
        <v>0</v>
      </c>
      <c r="P14" s="33">
        <f>SUMIFS(DaybyDay[Retail-Budgets],DaybyDay[Date],"&gt;="&amp;$C$5,DaybyDay[RowYear],"&gt;="&amp;$C$4,DaybyDay[Date],"&lt;="&amp;DaybyDay[[#This Row],[Date]])</f>
        <v>0</v>
      </c>
      <c r="Q14" s="34">
        <f>SUMIFS(DaybyDay[Service-Actuals],DaybyDay[Date],"&gt;="&amp;$C$5,DaybyDay[RowYear],"&gt;="&amp;$C$4,DaybyDay[Date],"&lt;="&amp;DaybyDay[[#This Row],[Date]])</f>
        <v>0</v>
      </c>
      <c r="R14" s="34">
        <f>SUMIFS(DaybyDay[Retail-Actuals],DaybyDay[Date],"&gt;="&amp;$C$5,DaybyDay[RowYear],"&gt;="&amp;$C$4,DaybyDay[Date],"&lt;="&amp;DaybyDay[[#This Row],[Date]])</f>
        <v>0</v>
      </c>
      <c r="S14" s="35">
        <f>SUMIFS(DaybyDay[Service-LY],DaybyDay[Date],"&gt;="&amp;$C$5,DaybyDay[RowYear],"&gt;="&amp;$C$4,DaybyDay[Date],"&lt;="&amp;DaybyDay[[#This Row],[Date]])</f>
        <v>0</v>
      </c>
      <c r="T14" s="35">
        <f>SUMIFS(DaybyDay[Retail-LY],DaybyDay[Date],"&gt;="&amp;$C$5,DaybyDay[RowYear],"&gt;="&amp;$C$4,DaybyDay[Date],"&lt;="&amp;DaybyDay[[#This Row],[Date]])</f>
        <v>0</v>
      </c>
      <c r="U14" s="32">
        <f>DaybyDay[[#This Row],[Serv-Bud-RU]]+DaybyDay[[#This Row],[Ret-Bud-RU]]</f>
        <v>0</v>
      </c>
      <c r="V14" s="32">
        <f>DaybyDay[[#This Row],[Serv-Act-RU]]+DaybyDay[[#This Row],[Ret-Act-RU]]</f>
        <v>0</v>
      </c>
      <c r="W14" s="36">
        <f>IF(DaybyDay[[#This Row],[_Space]],IFERROR(
((DaybyDay[[#This Row],[Actual-Rollup]]-DaybyDay[[#This Row],[Budget-Rollup]])/DaybyDay[[#This Row],[Budget-Rollup]]),0),"")</f>
        <v>0</v>
      </c>
      <c r="X14" t="b">
        <f>NOT(AND(ISBLANK(DaybyDay[[#This Row],[Appts]]),ISBLANK(DaybyDay[[#This Row],[Service-Actuals]]),ISBLANK(DaybyDay[[#This Row],[Retail-Actuals]])))</f>
        <v>1</v>
      </c>
      <c r="Y14" s="36">
        <f>IF(DaybyDay[[#This Row],[_Space]],IFERROR(
((DaybyDay[[#This Row],[Actual-Rollup]]-DaybyDay[[#This Row],[LY-Rollup]])/DaybyDay[[#This Row],[LY-Rollup]]),0),"")</f>
        <v>0</v>
      </c>
      <c r="Z14"/>
      <c r="AA14" s="37" t="e">
        <f>IF(DaybyDay[[#This Row],[_Space]],DaybyDay[[#This Row],[Ret-Act-RU]]/DaybyDay[[#This Row],[Serv-Act-RU]],"")</f>
        <v>#DIV/0!</v>
      </c>
      <c r="AB14" s="50" t="e">
        <f>IF(DaybyDay[[#This Row],[_Space]],DaybyDay[[#This Row],[RETPEN-Act]]/DaybyDay[[#This Row],[RETPEN-Bud]],"")</f>
        <v>#DIV/0!</v>
      </c>
      <c r="AC14" s="37" t="e">
        <f>IF(DaybyDay[[#This Row],[_Space]],DaybyDay[[#This Row],[Ret-Bud-RU]]/DaybyDay[[#This Row],[Serv-Bud-RU]],"")</f>
        <v>#DIV/0!</v>
      </c>
      <c r="AD14" s="37" t="e">
        <f>IF(DaybyDay[[#This Row],[_Space]],DaybyDay[[#This Row],[Ret-LY-RU]]/DaybyDay[[#This Row],[Serv-LY-RU]],"")</f>
        <v>#DIV/0!</v>
      </c>
      <c r="AE14" s="30">
        <f>WEEKDAY(DaybyDay[[#This Row],[LY-Date]])</f>
        <v>1</v>
      </c>
      <c r="AF14" s="38">
        <f>$E$2+_xlfn.DAYS(DaybyDay[[#This Row],[Date]],minDate)</f>
        <v>42379</v>
      </c>
      <c r="AG14" s="39" t="str" cm="1">
        <f t="array" ref="AG14">IFERROR(INDEX(DaybyDay[],DaybyDay[[#This Row],[FORM_MATCH_HELPER]],8),"")</f>
        <v/>
      </c>
      <c r="AH14" s="39" t="str" cm="1">
        <f t="array" ref="AH14">IFERROR(INDEX(DaybyDay[],DaybyDay[[#This Row],[FORM_MATCH_HELPER]],10),"")</f>
        <v/>
      </c>
      <c r="AI14" s="39" t="str" cm="1">
        <f t="array" ref="AI14">IFERROR(INDEX(DaybyDay[],DaybyDay[[#This Row],[FORM_MATCH_HELPER]],12),"")</f>
        <v/>
      </c>
      <c r="AJ14" s="32">
        <f>IFERROR(DaybyDay[[#This Row],[Serv-LY-RU]]+DaybyDay[[#This Row],[Ret-LY-RU]],"")</f>
        <v>0</v>
      </c>
      <c r="AK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 s="77"/>
      <c r="AM14" s="40" t="str">
        <f>IF(DaybyDay[[#This Row],[Admin Hours]]&gt;0,DaybyDay[[#This Row],[Admin Hours]]*$AM$2+$AM$3,"")</f>
        <v/>
      </c>
      <c r="AN14" s="40">
        <f>SUMIFS(DaybyDay[Est-Admin-Payroll],DaybyDay[Date],"&gt;="&amp;$C$5,DaybyDay[RowYear],"&gt;="&amp;$C$4,DaybyDay[Date],"&lt;="&amp;DaybyDay[[#This Row],[Date]])</f>
        <v>0</v>
      </c>
      <c r="AO14" s="41" t="str">
        <f>IF(AND(DaybyDay[[#This Row],[_Space]],ISNUMBER(DaybyDay[[#This Row],[Admin Hours]])),DaybyDay[[#This Row],[Est-Admin-Payroll]]/(DaybyDay[[#This Row],[Service-Actuals]]+DaybyDay[[#This Row],[Retail-Actuals]]),"")</f>
        <v/>
      </c>
      <c r="AP14" s="41" t="e">
        <f>DaybyDay[[#This Row],[Estimated-Payroll-Rollup]]/DaybyDay[[#This Row],[Simple-Forecast]]</f>
        <v>#DIV/0!</v>
      </c>
      <c r="AQ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 s="77"/>
      <c r="AS14" s="40" t="str">
        <f>IF(DaybyDay[[#This Row],[Retail Hours]]&gt;0,DaybyDay[[#This Row],[Retail Hours]]*$AS$2,"")</f>
        <v/>
      </c>
      <c r="AT14" s="40">
        <f>SUMIFS(DaybyDay[Est-Retail-Payroll],DaybyDay[Date],"&gt;="&amp;$C$5,DaybyDay[RowYear],"&gt;="&amp;$C$4,DaybyDay[Date],"&lt;="&amp;DaybyDay[[#This Row],[Date]])</f>
        <v>0</v>
      </c>
      <c r="AU14" s="82" t="str">
        <f>IF(AND(DaybyDay[[#This Row],[_Space]],ISNUMBER(DaybyDay[[#This Row],[Retail Hours]])),DaybyDay[[#This Row],[Est-Retail-Payroll]]/(DaybyDay[[#This Row],[Retail-Actuals]]),"")</f>
        <v/>
      </c>
      <c r="AV14" s="82" t="e">
        <f>DaybyDay[[#This Row],[Est-Retail-PayrollRU]]/DaybyDay[[#This Row],[Simple-Forecast-Retail]]</f>
        <v>#DIV/0!</v>
      </c>
      <c r="AW14" s="8"/>
    </row>
    <row r="15" spans="1:49" hidden="1" x14ac:dyDescent="0.25">
      <c r="C15" s="26" t="str">
        <f>Tools!$C$1</f>
        <v>Example</v>
      </c>
      <c r="D15" s="27" t="s">
        <v>68</v>
      </c>
      <c r="E15" s="28">
        <v>2017</v>
      </c>
      <c r="F15" s="28">
        <f>MATCH(DaybyDay[[#This Row],[RowMonth]],Table3[SummaryMonth],0)</f>
        <v>1</v>
      </c>
      <c r="G15" s="29" t="e">
        <f>MATCH(DaybyDay[[#This Row],[LY-Date]],DaybyDay[Date],0)</f>
        <v>#N/A</v>
      </c>
      <c r="H15" s="30">
        <f>WEEKDAY(DaybyDay[[#This Row],[Date]])</f>
        <v>2</v>
      </c>
      <c r="I15" s="31">
        <v>42744</v>
      </c>
      <c r="J15" s="74">
        <v>32</v>
      </c>
      <c r="K15" s="32">
        <f>SUMIFS(BudgetSeasonality[365 Seasonality],BudgetSeasonality[MonthAdjustment],DaybyDay[[#This Row],[Date]])*SUMIFS(Budgets[Service-Budget],Budgets[BudgetMonth],DaybyDay[[#This Row],[RowMonth]],Budgets[BudgetYear],DaybyDay[[#This Row],[RowYear]])</f>
        <v>0</v>
      </c>
      <c r="L15" s="75">
        <v>4813.25</v>
      </c>
      <c r="M15" s="32">
        <f>INDEX(BudgetSeasonality[365 Seasonality],MATCH(DaybyDay[[#This Row],[Date]],BudgetSeasonality[MonthAdjustment],0))*SUMIFS(Budgets[Retail-Budget],Budgets[BudgetMonth],DaybyDay[[#This Row],[RowMonth]],Budgets[BudgetYear],DaybyDay[[#This Row],[RowYear]])</f>
        <v>0</v>
      </c>
      <c r="N15" s="75">
        <v>678</v>
      </c>
      <c r="O15" s="33">
        <f>SUMIFS(DaybyDay[Service-Budgets],DaybyDay[Date],"&gt;="&amp;$C$5,DaybyDay[RowYear],"&gt;="&amp;$C$4,DaybyDay[Date],"&lt;="&amp;DaybyDay[[#This Row],[Date]])</f>
        <v>0</v>
      </c>
      <c r="P15" s="33">
        <f>SUMIFS(DaybyDay[Retail-Budgets],DaybyDay[Date],"&gt;="&amp;$C$5,DaybyDay[RowYear],"&gt;="&amp;$C$4,DaybyDay[Date],"&lt;="&amp;DaybyDay[[#This Row],[Date]])</f>
        <v>0</v>
      </c>
      <c r="Q15" s="34">
        <f>SUMIFS(DaybyDay[Service-Actuals],DaybyDay[Date],"&gt;="&amp;$C$5,DaybyDay[RowYear],"&gt;="&amp;$C$4,DaybyDay[Date],"&lt;="&amp;DaybyDay[[#This Row],[Date]])</f>
        <v>0</v>
      </c>
      <c r="R15" s="34">
        <f>SUMIFS(DaybyDay[Retail-Actuals],DaybyDay[Date],"&gt;="&amp;$C$5,DaybyDay[RowYear],"&gt;="&amp;$C$4,DaybyDay[Date],"&lt;="&amp;DaybyDay[[#This Row],[Date]])</f>
        <v>0</v>
      </c>
      <c r="S15" s="35">
        <f>SUMIFS(DaybyDay[Service-LY],DaybyDay[Date],"&gt;="&amp;$C$5,DaybyDay[RowYear],"&gt;="&amp;$C$4,DaybyDay[Date],"&lt;="&amp;DaybyDay[[#This Row],[Date]])</f>
        <v>0</v>
      </c>
      <c r="T15" s="35">
        <f>SUMIFS(DaybyDay[Retail-LY],DaybyDay[Date],"&gt;="&amp;$C$5,DaybyDay[RowYear],"&gt;="&amp;$C$4,DaybyDay[Date],"&lt;="&amp;DaybyDay[[#This Row],[Date]])</f>
        <v>0</v>
      </c>
      <c r="U15" s="32">
        <f>DaybyDay[[#This Row],[Serv-Bud-RU]]+DaybyDay[[#This Row],[Ret-Bud-RU]]</f>
        <v>0</v>
      </c>
      <c r="V15" s="32">
        <f>DaybyDay[[#This Row],[Serv-Act-RU]]+DaybyDay[[#This Row],[Ret-Act-RU]]</f>
        <v>0</v>
      </c>
      <c r="W15" s="36">
        <f>IF(DaybyDay[[#This Row],[_Space]],IFERROR(
((DaybyDay[[#This Row],[Actual-Rollup]]-DaybyDay[[#This Row],[Budget-Rollup]])/DaybyDay[[#This Row],[Budget-Rollup]]),0),"")</f>
        <v>0</v>
      </c>
      <c r="X15" t="b">
        <f>NOT(AND(ISBLANK(DaybyDay[[#This Row],[Appts]]),ISBLANK(DaybyDay[[#This Row],[Service-Actuals]]),ISBLANK(DaybyDay[[#This Row],[Retail-Actuals]])))</f>
        <v>1</v>
      </c>
      <c r="Y15" s="36">
        <f>IF(DaybyDay[[#This Row],[_Space]],IFERROR(
((DaybyDay[[#This Row],[Actual-Rollup]]-DaybyDay[[#This Row],[LY-Rollup]])/DaybyDay[[#This Row],[LY-Rollup]]),0),"")</f>
        <v>0</v>
      </c>
      <c r="Z15"/>
      <c r="AA15" s="37" t="e">
        <f>IF(DaybyDay[[#This Row],[_Space]],DaybyDay[[#This Row],[Ret-Act-RU]]/DaybyDay[[#This Row],[Serv-Act-RU]],"")</f>
        <v>#DIV/0!</v>
      </c>
      <c r="AB15" s="50" t="e">
        <f>IF(DaybyDay[[#This Row],[_Space]],DaybyDay[[#This Row],[RETPEN-Act]]/DaybyDay[[#This Row],[RETPEN-Bud]],"")</f>
        <v>#DIV/0!</v>
      </c>
      <c r="AC15" s="37" t="e">
        <f>IF(DaybyDay[[#This Row],[_Space]],DaybyDay[[#This Row],[Ret-Bud-RU]]/DaybyDay[[#This Row],[Serv-Bud-RU]],"")</f>
        <v>#DIV/0!</v>
      </c>
      <c r="AD15" s="37" t="e">
        <f>IF(DaybyDay[[#This Row],[_Space]],DaybyDay[[#This Row],[Ret-LY-RU]]/DaybyDay[[#This Row],[Serv-LY-RU]],"")</f>
        <v>#DIV/0!</v>
      </c>
      <c r="AE15" s="30">
        <f>WEEKDAY(DaybyDay[[#This Row],[LY-Date]])</f>
        <v>2</v>
      </c>
      <c r="AF15" s="38">
        <f>$E$2+_xlfn.DAYS(DaybyDay[[#This Row],[Date]],minDate)</f>
        <v>42380</v>
      </c>
      <c r="AG15" s="39" t="str" cm="1">
        <f t="array" ref="AG15">IFERROR(INDEX(DaybyDay[],DaybyDay[[#This Row],[FORM_MATCH_HELPER]],8),"")</f>
        <v/>
      </c>
      <c r="AH15" s="39" t="str" cm="1">
        <f t="array" ref="AH15">IFERROR(INDEX(DaybyDay[],DaybyDay[[#This Row],[FORM_MATCH_HELPER]],10),"")</f>
        <v/>
      </c>
      <c r="AI15" s="39" t="str" cm="1">
        <f t="array" ref="AI15">IFERROR(INDEX(DaybyDay[],DaybyDay[[#This Row],[FORM_MATCH_HELPER]],12),"")</f>
        <v/>
      </c>
      <c r="AJ15" s="32">
        <f>IFERROR(DaybyDay[[#This Row],[Serv-LY-RU]]+DaybyDay[[#This Row],[Ret-LY-RU]],"")</f>
        <v>0</v>
      </c>
      <c r="AK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 s="77"/>
      <c r="AM15" s="40" t="str">
        <f>IF(DaybyDay[[#This Row],[Admin Hours]]&gt;0,DaybyDay[[#This Row],[Admin Hours]]*$AM$2+$AM$3,"")</f>
        <v/>
      </c>
      <c r="AN15" s="40">
        <f>SUMIFS(DaybyDay[Est-Admin-Payroll],DaybyDay[Date],"&gt;="&amp;$C$5,DaybyDay[RowYear],"&gt;="&amp;$C$4,DaybyDay[Date],"&lt;="&amp;DaybyDay[[#This Row],[Date]])</f>
        <v>0</v>
      </c>
      <c r="AO15" s="41" t="str">
        <f>IF(AND(DaybyDay[[#This Row],[_Space]],ISNUMBER(DaybyDay[[#This Row],[Admin Hours]])),DaybyDay[[#This Row],[Est-Admin-Payroll]]/(DaybyDay[[#This Row],[Service-Actuals]]+DaybyDay[[#This Row],[Retail-Actuals]]),"")</f>
        <v/>
      </c>
      <c r="AP15" s="41" t="e">
        <f>DaybyDay[[#This Row],[Estimated-Payroll-Rollup]]/DaybyDay[[#This Row],[Simple-Forecast]]</f>
        <v>#DIV/0!</v>
      </c>
      <c r="AQ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 s="77"/>
      <c r="AS15" s="40" t="str">
        <f>IF(DaybyDay[[#This Row],[Retail Hours]]&gt;0,DaybyDay[[#This Row],[Retail Hours]]*$AS$2,"")</f>
        <v/>
      </c>
      <c r="AT15" s="40">
        <f>SUMIFS(DaybyDay[Est-Retail-Payroll],DaybyDay[Date],"&gt;="&amp;$C$5,DaybyDay[RowYear],"&gt;="&amp;$C$4,DaybyDay[Date],"&lt;="&amp;DaybyDay[[#This Row],[Date]])</f>
        <v>0</v>
      </c>
      <c r="AU15" s="82" t="str">
        <f>IF(AND(DaybyDay[[#This Row],[_Space]],ISNUMBER(DaybyDay[[#This Row],[Retail Hours]])),DaybyDay[[#This Row],[Est-Retail-Payroll]]/(DaybyDay[[#This Row],[Retail-Actuals]]),"")</f>
        <v/>
      </c>
      <c r="AV15" s="82" t="e">
        <f>DaybyDay[[#This Row],[Est-Retail-PayrollRU]]/DaybyDay[[#This Row],[Simple-Forecast-Retail]]</f>
        <v>#DIV/0!</v>
      </c>
      <c r="AW15" s="8"/>
    </row>
    <row r="16" spans="1:49" hidden="1" x14ac:dyDescent="0.25">
      <c r="C16" s="26" t="str">
        <f>Tools!$C$1</f>
        <v>Example</v>
      </c>
      <c r="D16" s="27" t="s">
        <v>68</v>
      </c>
      <c r="E16" s="28">
        <v>2017</v>
      </c>
      <c r="F16" s="28">
        <f>MATCH(DaybyDay[[#This Row],[RowMonth]],Table3[SummaryMonth],0)</f>
        <v>1</v>
      </c>
      <c r="G16" s="29" t="e">
        <f>MATCH(DaybyDay[[#This Row],[LY-Date]],DaybyDay[Date],0)</f>
        <v>#N/A</v>
      </c>
      <c r="H16" s="30">
        <f>WEEKDAY(DaybyDay[[#This Row],[Date]])</f>
        <v>3</v>
      </c>
      <c r="I16" s="31">
        <v>42745</v>
      </c>
      <c r="J16" s="74">
        <v>41</v>
      </c>
      <c r="K16" s="32">
        <f>SUMIFS(BudgetSeasonality[365 Seasonality],BudgetSeasonality[MonthAdjustment],DaybyDay[[#This Row],[Date]])*SUMIFS(Budgets[Service-Budget],Budgets[BudgetMonth],DaybyDay[[#This Row],[RowMonth]],Budgets[BudgetYear],DaybyDay[[#This Row],[RowYear]])</f>
        <v>0</v>
      </c>
      <c r="L16" s="75">
        <v>6978.1</v>
      </c>
      <c r="M16" s="32">
        <f>INDEX(BudgetSeasonality[365 Seasonality],MATCH(DaybyDay[[#This Row],[Date]],BudgetSeasonality[MonthAdjustment],0))*SUMIFS(Budgets[Retail-Budget],Budgets[BudgetMonth],DaybyDay[[#This Row],[RowMonth]],Budgets[BudgetYear],DaybyDay[[#This Row],[RowYear]])</f>
        <v>0</v>
      </c>
      <c r="N16" s="75">
        <v>477.69</v>
      </c>
      <c r="O16" s="33">
        <f>SUMIFS(DaybyDay[Service-Budgets],DaybyDay[Date],"&gt;="&amp;$C$5,DaybyDay[RowYear],"&gt;="&amp;$C$4,DaybyDay[Date],"&lt;="&amp;DaybyDay[[#This Row],[Date]])</f>
        <v>0</v>
      </c>
      <c r="P16" s="33">
        <f>SUMIFS(DaybyDay[Retail-Budgets],DaybyDay[Date],"&gt;="&amp;$C$5,DaybyDay[RowYear],"&gt;="&amp;$C$4,DaybyDay[Date],"&lt;="&amp;DaybyDay[[#This Row],[Date]])</f>
        <v>0</v>
      </c>
      <c r="Q16" s="34">
        <f>SUMIFS(DaybyDay[Service-Actuals],DaybyDay[Date],"&gt;="&amp;$C$5,DaybyDay[RowYear],"&gt;="&amp;$C$4,DaybyDay[Date],"&lt;="&amp;DaybyDay[[#This Row],[Date]])</f>
        <v>0</v>
      </c>
      <c r="R16" s="34">
        <f>SUMIFS(DaybyDay[Retail-Actuals],DaybyDay[Date],"&gt;="&amp;$C$5,DaybyDay[RowYear],"&gt;="&amp;$C$4,DaybyDay[Date],"&lt;="&amp;DaybyDay[[#This Row],[Date]])</f>
        <v>0</v>
      </c>
      <c r="S16" s="35">
        <f>SUMIFS(DaybyDay[Service-LY],DaybyDay[Date],"&gt;="&amp;$C$5,DaybyDay[RowYear],"&gt;="&amp;$C$4,DaybyDay[Date],"&lt;="&amp;DaybyDay[[#This Row],[Date]])</f>
        <v>0</v>
      </c>
      <c r="T16" s="35">
        <f>SUMIFS(DaybyDay[Retail-LY],DaybyDay[Date],"&gt;="&amp;$C$5,DaybyDay[RowYear],"&gt;="&amp;$C$4,DaybyDay[Date],"&lt;="&amp;DaybyDay[[#This Row],[Date]])</f>
        <v>0</v>
      </c>
      <c r="U16" s="32">
        <f>DaybyDay[[#This Row],[Serv-Bud-RU]]+DaybyDay[[#This Row],[Ret-Bud-RU]]</f>
        <v>0</v>
      </c>
      <c r="V16" s="32">
        <f>DaybyDay[[#This Row],[Serv-Act-RU]]+DaybyDay[[#This Row],[Ret-Act-RU]]</f>
        <v>0</v>
      </c>
      <c r="W16" s="36">
        <f>IF(DaybyDay[[#This Row],[_Space]],IFERROR(
((DaybyDay[[#This Row],[Actual-Rollup]]-DaybyDay[[#This Row],[Budget-Rollup]])/DaybyDay[[#This Row],[Budget-Rollup]]),0),"")</f>
        <v>0</v>
      </c>
      <c r="X16" t="b">
        <f>NOT(AND(ISBLANK(DaybyDay[[#This Row],[Appts]]),ISBLANK(DaybyDay[[#This Row],[Service-Actuals]]),ISBLANK(DaybyDay[[#This Row],[Retail-Actuals]])))</f>
        <v>1</v>
      </c>
      <c r="Y16" s="36">
        <f>IF(DaybyDay[[#This Row],[_Space]],IFERROR(
((DaybyDay[[#This Row],[Actual-Rollup]]-DaybyDay[[#This Row],[LY-Rollup]])/DaybyDay[[#This Row],[LY-Rollup]]),0),"")</f>
        <v>0</v>
      </c>
      <c r="Z16"/>
      <c r="AA16" s="37" t="e">
        <f>IF(DaybyDay[[#This Row],[_Space]],DaybyDay[[#This Row],[Ret-Act-RU]]/DaybyDay[[#This Row],[Serv-Act-RU]],"")</f>
        <v>#DIV/0!</v>
      </c>
      <c r="AB16" s="50" t="e">
        <f>IF(DaybyDay[[#This Row],[_Space]],DaybyDay[[#This Row],[RETPEN-Act]]/DaybyDay[[#This Row],[RETPEN-Bud]],"")</f>
        <v>#DIV/0!</v>
      </c>
      <c r="AC16" s="37" t="e">
        <f>IF(DaybyDay[[#This Row],[_Space]],DaybyDay[[#This Row],[Ret-Bud-RU]]/DaybyDay[[#This Row],[Serv-Bud-RU]],"")</f>
        <v>#DIV/0!</v>
      </c>
      <c r="AD16" s="37" t="e">
        <f>IF(DaybyDay[[#This Row],[_Space]],DaybyDay[[#This Row],[Ret-LY-RU]]/DaybyDay[[#This Row],[Serv-LY-RU]],"")</f>
        <v>#DIV/0!</v>
      </c>
      <c r="AE16" s="30">
        <f>WEEKDAY(DaybyDay[[#This Row],[LY-Date]])</f>
        <v>3</v>
      </c>
      <c r="AF16" s="38">
        <f>$E$2+_xlfn.DAYS(DaybyDay[[#This Row],[Date]],minDate)</f>
        <v>42381</v>
      </c>
      <c r="AG16" s="39" t="str" cm="1">
        <f t="array" ref="AG16">IFERROR(INDEX(DaybyDay[],DaybyDay[[#This Row],[FORM_MATCH_HELPER]],8),"")</f>
        <v/>
      </c>
      <c r="AH16" s="39" t="str" cm="1">
        <f t="array" ref="AH16">IFERROR(INDEX(DaybyDay[],DaybyDay[[#This Row],[FORM_MATCH_HELPER]],10),"")</f>
        <v/>
      </c>
      <c r="AI16" s="39" t="str" cm="1">
        <f t="array" ref="AI16">IFERROR(INDEX(DaybyDay[],DaybyDay[[#This Row],[FORM_MATCH_HELPER]],12),"")</f>
        <v/>
      </c>
      <c r="AJ16" s="32">
        <f>IFERROR(DaybyDay[[#This Row],[Serv-LY-RU]]+DaybyDay[[#This Row],[Ret-LY-RU]],"")</f>
        <v>0</v>
      </c>
      <c r="AK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 s="77"/>
      <c r="AM16" s="40" t="str">
        <f>IF(DaybyDay[[#This Row],[Admin Hours]]&gt;0,DaybyDay[[#This Row],[Admin Hours]]*$AM$2+$AM$3,"")</f>
        <v/>
      </c>
      <c r="AN16" s="40">
        <f>SUMIFS(DaybyDay[Est-Admin-Payroll],DaybyDay[Date],"&gt;="&amp;$C$5,DaybyDay[RowYear],"&gt;="&amp;$C$4,DaybyDay[Date],"&lt;="&amp;DaybyDay[[#This Row],[Date]])</f>
        <v>0</v>
      </c>
      <c r="AO16" s="41" t="str">
        <f>IF(AND(DaybyDay[[#This Row],[_Space]],ISNUMBER(DaybyDay[[#This Row],[Admin Hours]])),DaybyDay[[#This Row],[Est-Admin-Payroll]]/(DaybyDay[[#This Row],[Service-Actuals]]+DaybyDay[[#This Row],[Retail-Actuals]]),"")</f>
        <v/>
      </c>
      <c r="AP16" s="41" t="e">
        <f>DaybyDay[[#This Row],[Estimated-Payroll-Rollup]]/DaybyDay[[#This Row],[Simple-Forecast]]</f>
        <v>#DIV/0!</v>
      </c>
      <c r="AQ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 s="77"/>
      <c r="AS16" s="40" t="str">
        <f>IF(DaybyDay[[#This Row],[Retail Hours]]&gt;0,DaybyDay[[#This Row],[Retail Hours]]*$AS$2,"")</f>
        <v/>
      </c>
      <c r="AT16" s="40">
        <f>SUMIFS(DaybyDay[Est-Retail-Payroll],DaybyDay[Date],"&gt;="&amp;$C$5,DaybyDay[RowYear],"&gt;="&amp;$C$4,DaybyDay[Date],"&lt;="&amp;DaybyDay[[#This Row],[Date]])</f>
        <v>0</v>
      </c>
      <c r="AU16" s="82" t="str">
        <f>IF(AND(DaybyDay[[#This Row],[_Space]],ISNUMBER(DaybyDay[[#This Row],[Retail Hours]])),DaybyDay[[#This Row],[Est-Retail-Payroll]]/(DaybyDay[[#This Row],[Retail-Actuals]]),"")</f>
        <v/>
      </c>
      <c r="AV16" s="82" t="e">
        <f>DaybyDay[[#This Row],[Est-Retail-PayrollRU]]/DaybyDay[[#This Row],[Simple-Forecast-Retail]]</f>
        <v>#DIV/0!</v>
      </c>
      <c r="AW16" s="8"/>
    </row>
    <row r="17" spans="3:49" hidden="1" x14ac:dyDescent="0.25">
      <c r="C17" s="26" t="str">
        <f>Tools!$C$1</f>
        <v>Example</v>
      </c>
      <c r="D17" s="27" t="s">
        <v>68</v>
      </c>
      <c r="E17" s="28">
        <v>2017</v>
      </c>
      <c r="F17" s="28">
        <f>MATCH(DaybyDay[[#This Row],[RowMonth]],Table3[SummaryMonth],0)</f>
        <v>1</v>
      </c>
      <c r="G17" s="29" t="e">
        <f>MATCH(DaybyDay[[#This Row],[LY-Date]],DaybyDay[Date],0)</f>
        <v>#N/A</v>
      </c>
      <c r="H17" s="30">
        <f>WEEKDAY(DaybyDay[[#This Row],[Date]])</f>
        <v>4</v>
      </c>
      <c r="I17" s="31">
        <v>42746</v>
      </c>
      <c r="J17" s="74">
        <v>43</v>
      </c>
      <c r="K17" s="32">
        <f>SUMIFS(BudgetSeasonality[365 Seasonality],BudgetSeasonality[MonthAdjustment],DaybyDay[[#This Row],[Date]])*SUMIFS(Budgets[Service-Budget],Budgets[BudgetMonth],DaybyDay[[#This Row],[RowMonth]],Budgets[BudgetYear],DaybyDay[[#This Row],[RowYear]])</f>
        <v>0</v>
      </c>
      <c r="L17" s="75">
        <v>6362.39</v>
      </c>
      <c r="M17" s="32">
        <f>INDEX(BudgetSeasonality[365 Seasonality],MATCH(DaybyDay[[#This Row],[Date]],BudgetSeasonality[MonthAdjustment],0))*SUMIFS(Budgets[Retail-Budget],Budgets[BudgetMonth],DaybyDay[[#This Row],[RowMonth]],Budgets[BudgetYear],DaybyDay[[#This Row],[RowYear]])</f>
        <v>0</v>
      </c>
      <c r="N17" s="75">
        <v>1884.62</v>
      </c>
      <c r="O17" s="33">
        <f>SUMIFS(DaybyDay[Service-Budgets],DaybyDay[Date],"&gt;="&amp;$C$5,DaybyDay[RowYear],"&gt;="&amp;$C$4,DaybyDay[Date],"&lt;="&amp;DaybyDay[[#This Row],[Date]])</f>
        <v>0</v>
      </c>
      <c r="P17" s="33">
        <f>SUMIFS(DaybyDay[Retail-Budgets],DaybyDay[Date],"&gt;="&amp;$C$5,DaybyDay[RowYear],"&gt;="&amp;$C$4,DaybyDay[Date],"&lt;="&amp;DaybyDay[[#This Row],[Date]])</f>
        <v>0</v>
      </c>
      <c r="Q17" s="34">
        <f>SUMIFS(DaybyDay[Service-Actuals],DaybyDay[Date],"&gt;="&amp;$C$5,DaybyDay[RowYear],"&gt;="&amp;$C$4,DaybyDay[Date],"&lt;="&amp;DaybyDay[[#This Row],[Date]])</f>
        <v>0</v>
      </c>
      <c r="R17" s="34">
        <f>SUMIFS(DaybyDay[Retail-Actuals],DaybyDay[Date],"&gt;="&amp;$C$5,DaybyDay[RowYear],"&gt;="&amp;$C$4,DaybyDay[Date],"&lt;="&amp;DaybyDay[[#This Row],[Date]])</f>
        <v>0</v>
      </c>
      <c r="S17" s="35">
        <f>SUMIFS(DaybyDay[Service-LY],DaybyDay[Date],"&gt;="&amp;$C$5,DaybyDay[RowYear],"&gt;="&amp;$C$4,DaybyDay[Date],"&lt;="&amp;DaybyDay[[#This Row],[Date]])</f>
        <v>0</v>
      </c>
      <c r="T17" s="35">
        <f>SUMIFS(DaybyDay[Retail-LY],DaybyDay[Date],"&gt;="&amp;$C$5,DaybyDay[RowYear],"&gt;="&amp;$C$4,DaybyDay[Date],"&lt;="&amp;DaybyDay[[#This Row],[Date]])</f>
        <v>0</v>
      </c>
      <c r="U17" s="32">
        <f>DaybyDay[[#This Row],[Serv-Bud-RU]]+DaybyDay[[#This Row],[Ret-Bud-RU]]</f>
        <v>0</v>
      </c>
      <c r="V17" s="32">
        <f>DaybyDay[[#This Row],[Serv-Act-RU]]+DaybyDay[[#This Row],[Ret-Act-RU]]</f>
        <v>0</v>
      </c>
      <c r="W17" s="36">
        <f>IF(DaybyDay[[#This Row],[_Space]],IFERROR(
((DaybyDay[[#This Row],[Actual-Rollup]]-DaybyDay[[#This Row],[Budget-Rollup]])/DaybyDay[[#This Row],[Budget-Rollup]]),0),"")</f>
        <v>0</v>
      </c>
      <c r="X17" t="b">
        <f>NOT(AND(ISBLANK(DaybyDay[[#This Row],[Appts]]),ISBLANK(DaybyDay[[#This Row],[Service-Actuals]]),ISBLANK(DaybyDay[[#This Row],[Retail-Actuals]])))</f>
        <v>1</v>
      </c>
      <c r="Y17" s="36">
        <f>IF(DaybyDay[[#This Row],[_Space]],IFERROR(
((DaybyDay[[#This Row],[Actual-Rollup]]-DaybyDay[[#This Row],[LY-Rollup]])/DaybyDay[[#This Row],[LY-Rollup]]),0),"")</f>
        <v>0</v>
      </c>
      <c r="Z17"/>
      <c r="AA17" s="37" t="e">
        <f>IF(DaybyDay[[#This Row],[_Space]],DaybyDay[[#This Row],[Ret-Act-RU]]/DaybyDay[[#This Row],[Serv-Act-RU]],"")</f>
        <v>#DIV/0!</v>
      </c>
      <c r="AB17" s="50" t="e">
        <f>IF(DaybyDay[[#This Row],[_Space]],DaybyDay[[#This Row],[RETPEN-Act]]/DaybyDay[[#This Row],[RETPEN-Bud]],"")</f>
        <v>#DIV/0!</v>
      </c>
      <c r="AC17" s="37" t="e">
        <f>IF(DaybyDay[[#This Row],[_Space]],DaybyDay[[#This Row],[Ret-Bud-RU]]/DaybyDay[[#This Row],[Serv-Bud-RU]],"")</f>
        <v>#DIV/0!</v>
      </c>
      <c r="AD17" s="37" t="e">
        <f>IF(DaybyDay[[#This Row],[_Space]],DaybyDay[[#This Row],[Ret-LY-RU]]/DaybyDay[[#This Row],[Serv-LY-RU]],"")</f>
        <v>#DIV/0!</v>
      </c>
      <c r="AE17" s="30">
        <f>WEEKDAY(DaybyDay[[#This Row],[LY-Date]])</f>
        <v>4</v>
      </c>
      <c r="AF17" s="38">
        <f>$E$2+_xlfn.DAYS(DaybyDay[[#This Row],[Date]],minDate)</f>
        <v>42382</v>
      </c>
      <c r="AG17" s="39" t="str" cm="1">
        <f t="array" ref="AG17">IFERROR(INDEX(DaybyDay[],DaybyDay[[#This Row],[FORM_MATCH_HELPER]],8),"")</f>
        <v/>
      </c>
      <c r="AH17" s="39" t="str" cm="1">
        <f t="array" ref="AH17">IFERROR(INDEX(DaybyDay[],DaybyDay[[#This Row],[FORM_MATCH_HELPER]],10),"")</f>
        <v/>
      </c>
      <c r="AI17" s="39" t="str" cm="1">
        <f t="array" ref="AI17">IFERROR(INDEX(DaybyDay[],DaybyDay[[#This Row],[FORM_MATCH_HELPER]],12),"")</f>
        <v/>
      </c>
      <c r="AJ17" s="32">
        <f>IFERROR(DaybyDay[[#This Row],[Serv-LY-RU]]+DaybyDay[[#This Row],[Ret-LY-RU]],"")</f>
        <v>0</v>
      </c>
      <c r="AK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 s="77"/>
      <c r="AM17" s="40" t="str">
        <f>IF(DaybyDay[[#This Row],[Admin Hours]]&gt;0,DaybyDay[[#This Row],[Admin Hours]]*$AM$2+$AM$3,"")</f>
        <v/>
      </c>
      <c r="AN17" s="40">
        <f>SUMIFS(DaybyDay[Est-Admin-Payroll],DaybyDay[Date],"&gt;="&amp;$C$5,DaybyDay[RowYear],"&gt;="&amp;$C$4,DaybyDay[Date],"&lt;="&amp;DaybyDay[[#This Row],[Date]])</f>
        <v>0</v>
      </c>
      <c r="AO17" s="41" t="str">
        <f>IF(AND(DaybyDay[[#This Row],[_Space]],ISNUMBER(DaybyDay[[#This Row],[Admin Hours]])),DaybyDay[[#This Row],[Est-Admin-Payroll]]/(DaybyDay[[#This Row],[Service-Actuals]]+DaybyDay[[#This Row],[Retail-Actuals]]),"")</f>
        <v/>
      </c>
      <c r="AP17" s="41" t="e">
        <f>DaybyDay[[#This Row],[Estimated-Payroll-Rollup]]/DaybyDay[[#This Row],[Simple-Forecast]]</f>
        <v>#DIV/0!</v>
      </c>
      <c r="AQ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 s="77"/>
      <c r="AS17" s="40" t="str">
        <f>IF(DaybyDay[[#This Row],[Retail Hours]]&gt;0,DaybyDay[[#This Row],[Retail Hours]]*$AS$2,"")</f>
        <v/>
      </c>
      <c r="AT17" s="40">
        <f>SUMIFS(DaybyDay[Est-Retail-Payroll],DaybyDay[Date],"&gt;="&amp;$C$5,DaybyDay[RowYear],"&gt;="&amp;$C$4,DaybyDay[Date],"&lt;="&amp;DaybyDay[[#This Row],[Date]])</f>
        <v>0</v>
      </c>
      <c r="AU17" s="82" t="str">
        <f>IF(AND(DaybyDay[[#This Row],[_Space]],ISNUMBER(DaybyDay[[#This Row],[Retail Hours]])),DaybyDay[[#This Row],[Est-Retail-Payroll]]/(DaybyDay[[#This Row],[Retail-Actuals]]),"")</f>
        <v/>
      </c>
      <c r="AV17" s="82" t="e">
        <f>DaybyDay[[#This Row],[Est-Retail-PayrollRU]]/DaybyDay[[#This Row],[Simple-Forecast-Retail]]</f>
        <v>#DIV/0!</v>
      </c>
      <c r="AW17" s="8"/>
    </row>
    <row r="18" spans="3:49" hidden="1" x14ac:dyDescent="0.25">
      <c r="C18" s="26" t="str">
        <f>Tools!$C$1</f>
        <v>Example</v>
      </c>
      <c r="D18" s="27" t="s">
        <v>68</v>
      </c>
      <c r="E18" s="28">
        <v>2017</v>
      </c>
      <c r="F18" s="28">
        <f>MATCH(DaybyDay[[#This Row],[RowMonth]],Table3[SummaryMonth],0)</f>
        <v>1</v>
      </c>
      <c r="G18" s="29" t="e">
        <f>MATCH(DaybyDay[[#This Row],[LY-Date]],DaybyDay[Date],0)</f>
        <v>#N/A</v>
      </c>
      <c r="H18" s="30">
        <f>WEEKDAY(DaybyDay[[#This Row],[Date]])</f>
        <v>5</v>
      </c>
      <c r="I18" s="31">
        <v>42747</v>
      </c>
      <c r="J18" s="74">
        <v>42</v>
      </c>
      <c r="K18" s="32">
        <f>SUMIFS(BudgetSeasonality[365 Seasonality],BudgetSeasonality[MonthAdjustment],DaybyDay[[#This Row],[Date]])*SUMIFS(Budgets[Service-Budget],Budgets[BudgetMonth],DaybyDay[[#This Row],[RowMonth]],Budgets[BudgetYear],DaybyDay[[#This Row],[RowYear]])</f>
        <v>0</v>
      </c>
      <c r="L18" s="75">
        <v>5405.08</v>
      </c>
      <c r="M18" s="32">
        <f>INDEX(BudgetSeasonality[365 Seasonality],MATCH(DaybyDay[[#This Row],[Date]],BudgetSeasonality[MonthAdjustment],0))*SUMIFS(Budgets[Retail-Budget],Budgets[BudgetMonth],DaybyDay[[#This Row],[RowMonth]],Budgets[BudgetYear],DaybyDay[[#This Row],[RowYear]])</f>
        <v>0</v>
      </c>
      <c r="N18" s="75">
        <v>1102.25</v>
      </c>
      <c r="O18" s="33">
        <f>SUMIFS(DaybyDay[Service-Budgets],DaybyDay[Date],"&gt;="&amp;$C$5,DaybyDay[RowYear],"&gt;="&amp;$C$4,DaybyDay[Date],"&lt;="&amp;DaybyDay[[#This Row],[Date]])</f>
        <v>0</v>
      </c>
      <c r="P18" s="33">
        <f>SUMIFS(DaybyDay[Retail-Budgets],DaybyDay[Date],"&gt;="&amp;$C$5,DaybyDay[RowYear],"&gt;="&amp;$C$4,DaybyDay[Date],"&lt;="&amp;DaybyDay[[#This Row],[Date]])</f>
        <v>0</v>
      </c>
      <c r="Q18" s="34">
        <f>SUMIFS(DaybyDay[Service-Actuals],DaybyDay[Date],"&gt;="&amp;$C$5,DaybyDay[RowYear],"&gt;="&amp;$C$4,DaybyDay[Date],"&lt;="&amp;DaybyDay[[#This Row],[Date]])</f>
        <v>0</v>
      </c>
      <c r="R18" s="34">
        <f>SUMIFS(DaybyDay[Retail-Actuals],DaybyDay[Date],"&gt;="&amp;$C$5,DaybyDay[RowYear],"&gt;="&amp;$C$4,DaybyDay[Date],"&lt;="&amp;DaybyDay[[#This Row],[Date]])</f>
        <v>0</v>
      </c>
      <c r="S18" s="35">
        <f>SUMIFS(DaybyDay[Service-LY],DaybyDay[Date],"&gt;="&amp;$C$5,DaybyDay[RowYear],"&gt;="&amp;$C$4,DaybyDay[Date],"&lt;="&amp;DaybyDay[[#This Row],[Date]])</f>
        <v>0</v>
      </c>
      <c r="T18" s="35">
        <f>SUMIFS(DaybyDay[Retail-LY],DaybyDay[Date],"&gt;="&amp;$C$5,DaybyDay[RowYear],"&gt;="&amp;$C$4,DaybyDay[Date],"&lt;="&amp;DaybyDay[[#This Row],[Date]])</f>
        <v>0</v>
      </c>
      <c r="U18" s="32">
        <f>DaybyDay[[#This Row],[Serv-Bud-RU]]+DaybyDay[[#This Row],[Ret-Bud-RU]]</f>
        <v>0</v>
      </c>
      <c r="V18" s="32">
        <f>DaybyDay[[#This Row],[Serv-Act-RU]]+DaybyDay[[#This Row],[Ret-Act-RU]]</f>
        <v>0</v>
      </c>
      <c r="W18" s="36">
        <f>IF(DaybyDay[[#This Row],[_Space]],IFERROR(
((DaybyDay[[#This Row],[Actual-Rollup]]-DaybyDay[[#This Row],[Budget-Rollup]])/DaybyDay[[#This Row],[Budget-Rollup]]),0),"")</f>
        <v>0</v>
      </c>
      <c r="X18" t="b">
        <f>NOT(AND(ISBLANK(DaybyDay[[#This Row],[Appts]]),ISBLANK(DaybyDay[[#This Row],[Service-Actuals]]),ISBLANK(DaybyDay[[#This Row],[Retail-Actuals]])))</f>
        <v>1</v>
      </c>
      <c r="Y18" s="36">
        <f>IF(DaybyDay[[#This Row],[_Space]],IFERROR(
((DaybyDay[[#This Row],[Actual-Rollup]]-DaybyDay[[#This Row],[LY-Rollup]])/DaybyDay[[#This Row],[LY-Rollup]]),0),"")</f>
        <v>0</v>
      </c>
      <c r="Z18"/>
      <c r="AA18" s="37" t="e">
        <f>IF(DaybyDay[[#This Row],[_Space]],DaybyDay[[#This Row],[Ret-Act-RU]]/DaybyDay[[#This Row],[Serv-Act-RU]],"")</f>
        <v>#DIV/0!</v>
      </c>
      <c r="AB18" s="50" t="e">
        <f>IF(DaybyDay[[#This Row],[_Space]],DaybyDay[[#This Row],[RETPEN-Act]]/DaybyDay[[#This Row],[RETPEN-Bud]],"")</f>
        <v>#DIV/0!</v>
      </c>
      <c r="AC18" s="37" t="e">
        <f>IF(DaybyDay[[#This Row],[_Space]],DaybyDay[[#This Row],[Ret-Bud-RU]]/DaybyDay[[#This Row],[Serv-Bud-RU]],"")</f>
        <v>#DIV/0!</v>
      </c>
      <c r="AD18" s="37" t="e">
        <f>IF(DaybyDay[[#This Row],[_Space]],DaybyDay[[#This Row],[Ret-LY-RU]]/DaybyDay[[#This Row],[Serv-LY-RU]],"")</f>
        <v>#DIV/0!</v>
      </c>
      <c r="AE18" s="30">
        <f>WEEKDAY(DaybyDay[[#This Row],[LY-Date]])</f>
        <v>5</v>
      </c>
      <c r="AF18" s="38">
        <f>$E$2+_xlfn.DAYS(DaybyDay[[#This Row],[Date]],minDate)</f>
        <v>42383</v>
      </c>
      <c r="AG18" s="39" t="str" cm="1">
        <f t="array" ref="AG18">IFERROR(INDEX(DaybyDay[],DaybyDay[[#This Row],[FORM_MATCH_HELPER]],8),"")</f>
        <v/>
      </c>
      <c r="AH18" s="39" t="str" cm="1">
        <f t="array" ref="AH18">IFERROR(INDEX(DaybyDay[],DaybyDay[[#This Row],[FORM_MATCH_HELPER]],10),"")</f>
        <v/>
      </c>
      <c r="AI18" s="39" t="str" cm="1">
        <f t="array" ref="AI18">IFERROR(INDEX(DaybyDay[],DaybyDay[[#This Row],[FORM_MATCH_HELPER]],12),"")</f>
        <v/>
      </c>
      <c r="AJ18" s="32">
        <f>IFERROR(DaybyDay[[#This Row],[Serv-LY-RU]]+DaybyDay[[#This Row],[Ret-LY-RU]],"")</f>
        <v>0</v>
      </c>
      <c r="AK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 s="77"/>
      <c r="AM18" s="40" t="str">
        <f>IF(DaybyDay[[#This Row],[Admin Hours]]&gt;0,DaybyDay[[#This Row],[Admin Hours]]*$AM$2+$AM$3,"")</f>
        <v/>
      </c>
      <c r="AN18" s="40">
        <f>SUMIFS(DaybyDay[Est-Admin-Payroll],DaybyDay[Date],"&gt;="&amp;$C$5,DaybyDay[RowYear],"&gt;="&amp;$C$4,DaybyDay[Date],"&lt;="&amp;DaybyDay[[#This Row],[Date]])</f>
        <v>0</v>
      </c>
      <c r="AO18" s="41" t="str">
        <f>IF(AND(DaybyDay[[#This Row],[_Space]],ISNUMBER(DaybyDay[[#This Row],[Admin Hours]])),DaybyDay[[#This Row],[Est-Admin-Payroll]]/(DaybyDay[[#This Row],[Service-Actuals]]+DaybyDay[[#This Row],[Retail-Actuals]]),"")</f>
        <v/>
      </c>
      <c r="AP18" s="41" t="e">
        <f>DaybyDay[[#This Row],[Estimated-Payroll-Rollup]]/DaybyDay[[#This Row],[Simple-Forecast]]</f>
        <v>#DIV/0!</v>
      </c>
      <c r="AQ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 s="77"/>
      <c r="AS18" s="40" t="str">
        <f>IF(DaybyDay[[#This Row],[Retail Hours]]&gt;0,DaybyDay[[#This Row],[Retail Hours]]*$AS$2,"")</f>
        <v/>
      </c>
      <c r="AT18" s="40">
        <f>SUMIFS(DaybyDay[Est-Retail-Payroll],DaybyDay[Date],"&gt;="&amp;$C$5,DaybyDay[RowYear],"&gt;="&amp;$C$4,DaybyDay[Date],"&lt;="&amp;DaybyDay[[#This Row],[Date]])</f>
        <v>0</v>
      </c>
      <c r="AU18" s="82" t="str">
        <f>IF(AND(DaybyDay[[#This Row],[_Space]],ISNUMBER(DaybyDay[[#This Row],[Retail Hours]])),DaybyDay[[#This Row],[Est-Retail-Payroll]]/(DaybyDay[[#This Row],[Retail-Actuals]]),"")</f>
        <v/>
      </c>
      <c r="AV18" s="82" t="e">
        <f>DaybyDay[[#This Row],[Est-Retail-PayrollRU]]/DaybyDay[[#This Row],[Simple-Forecast-Retail]]</f>
        <v>#DIV/0!</v>
      </c>
      <c r="AW18" s="8"/>
    </row>
    <row r="19" spans="3:49" hidden="1" x14ac:dyDescent="0.25">
      <c r="C19" s="26" t="str">
        <f>Tools!$C$1</f>
        <v>Example</v>
      </c>
      <c r="D19" s="27" t="s">
        <v>68</v>
      </c>
      <c r="E19" s="28">
        <v>2017</v>
      </c>
      <c r="F19" s="28">
        <f>MATCH(DaybyDay[[#This Row],[RowMonth]],Table3[SummaryMonth],0)</f>
        <v>1</v>
      </c>
      <c r="G19" s="29" t="e">
        <f>MATCH(DaybyDay[[#This Row],[LY-Date]],DaybyDay[Date],0)</f>
        <v>#N/A</v>
      </c>
      <c r="H19" s="30">
        <f>WEEKDAY(DaybyDay[[#This Row],[Date]])</f>
        <v>6</v>
      </c>
      <c r="I19" s="31">
        <v>42748</v>
      </c>
      <c r="J19" s="74">
        <v>29</v>
      </c>
      <c r="K19" s="32">
        <f>SUMIFS(BudgetSeasonality[365 Seasonality],BudgetSeasonality[MonthAdjustment],DaybyDay[[#This Row],[Date]])*SUMIFS(Budgets[Service-Budget],Budgets[BudgetMonth],DaybyDay[[#This Row],[RowMonth]],Budgets[BudgetYear],DaybyDay[[#This Row],[RowYear]])</f>
        <v>0</v>
      </c>
      <c r="L19" s="75">
        <v>8020.75</v>
      </c>
      <c r="M19" s="32">
        <f>INDEX(BudgetSeasonality[365 Seasonality],MATCH(DaybyDay[[#This Row],[Date]],BudgetSeasonality[MonthAdjustment],0))*SUMIFS(Budgets[Retail-Budget],Budgets[BudgetMonth],DaybyDay[[#This Row],[RowMonth]],Budgets[BudgetYear],DaybyDay[[#This Row],[RowYear]])</f>
        <v>0</v>
      </c>
      <c r="N19" s="75">
        <v>223.4</v>
      </c>
      <c r="O19" s="33">
        <f>SUMIFS(DaybyDay[Service-Budgets],DaybyDay[Date],"&gt;="&amp;$C$5,DaybyDay[RowYear],"&gt;="&amp;$C$4,DaybyDay[Date],"&lt;="&amp;DaybyDay[[#This Row],[Date]])</f>
        <v>0</v>
      </c>
      <c r="P19" s="33">
        <f>SUMIFS(DaybyDay[Retail-Budgets],DaybyDay[Date],"&gt;="&amp;$C$5,DaybyDay[RowYear],"&gt;="&amp;$C$4,DaybyDay[Date],"&lt;="&amp;DaybyDay[[#This Row],[Date]])</f>
        <v>0</v>
      </c>
      <c r="Q19" s="34">
        <f>SUMIFS(DaybyDay[Service-Actuals],DaybyDay[Date],"&gt;="&amp;$C$5,DaybyDay[RowYear],"&gt;="&amp;$C$4,DaybyDay[Date],"&lt;="&amp;DaybyDay[[#This Row],[Date]])</f>
        <v>0</v>
      </c>
      <c r="R19" s="34">
        <f>SUMIFS(DaybyDay[Retail-Actuals],DaybyDay[Date],"&gt;="&amp;$C$5,DaybyDay[RowYear],"&gt;="&amp;$C$4,DaybyDay[Date],"&lt;="&amp;DaybyDay[[#This Row],[Date]])</f>
        <v>0</v>
      </c>
      <c r="S19" s="35">
        <f>SUMIFS(DaybyDay[Service-LY],DaybyDay[Date],"&gt;="&amp;$C$5,DaybyDay[RowYear],"&gt;="&amp;$C$4,DaybyDay[Date],"&lt;="&amp;DaybyDay[[#This Row],[Date]])</f>
        <v>0</v>
      </c>
      <c r="T19" s="35">
        <f>SUMIFS(DaybyDay[Retail-LY],DaybyDay[Date],"&gt;="&amp;$C$5,DaybyDay[RowYear],"&gt;="&amp;$C$4,DaybyDay[Date],"&lt;="&amp;DaybyDay[[#This Row],[Date]])</f>
        <v>0</v>
      </c>
      <c r="U19" s="32">
        <f>DaybyDay[[#This Row],[Serv-Bud-RU]]+DaybyDay[[#This Row],[Ret-Bud-RU]]</f>
        <v>0</v>
      </c>
      <c r="V19" s="32">
        <f>DaybyDay[[#This Row],[Serv-Act-RU]]+DaybyDay[[#This Row],[Ret-Act-RU]]</f>
        <v>0</v>
      </c>
      <c r="W19" s="36">
        <f>IF(DaybyDay[[#This Row],[_Space]],IFERROR(
((DaybyDay[[#This Row],[Actual-Rollup]]-DaybyDay[[#This Row],[Budget-Rollup]])/DaybyDay[[#This Row],[Budget-Rollup]]),0),"")</f>
        <v>0</v>
      </c>
      <c r="X19" t="b">
        <f>NOT(AND(ISBLANK(DaybyDay[[#This Row],[Appts]]),ISBLANK(DaybyDay[[#This Row],[Service-Actuals]]),ISBLANK(DaybyDay[[#This Row],[Retail-Actuals]])))</f>
        <v>1</v>
      </c>
      <c r="Y19" s="36">
        <f>IF(DaybyDay[[#This Row],[_Space]],IFERROR(
((DaybyDay[[#This Row],[Actual-Rollup]]-DaybyDay[[#This Row],[LY-Rollup]])/DaybyDay[[#This Row],[LY-Rollup]]),0),"")</f>
        <v>0</v>
      </c>
      <c r="Z19"/>
      <c r="AA19" s="37" t="e">
        <f>IF(DaybyDay[[#This Row],[_Space]],DaybyDay[[#This Row],[Ret-Act-RU]]/DaybyDay[[#This Row],[Serv-Act-RU]],"")</f>
        <v>#DIV/0!</v>
      </c>
      <c r="AB19" s="50" t="e">
        <f>IF(DaybyDay[[#This Row],[_Space]],DaybyDay[[#This Row],[RETPEN-Act]]/DaybyDay[[#This Row],[RETPEN-Bud]],"")</f>
        <v>#DIV/0!</v>
      </c>
      <c r="AC19" s="37" t="e">
        <f>IF(DaybyDay[[#This Row],[_Space]],DaybyDay[[#This Row],[Ret-Bud-RU]]/DaybyDay[[#This Row],[Serv-Bud-RU]],"")</f>
        <v>#DIV/0!</v>
      </c>
      <c r="AD19" s="37" t="e">
        <f>IF(DaybyDay[[#This Row],[_Space]],DaybyDay[[#This Row],[Ret-LY-RU]]/DaybyDay[[#This Row],[Serv-LY-RU]],"")</f>
        <v>#DIV/0!</v>
      </c>
      <c r="AE19" s="30">
        <f>WEEKDAY(DaybyDay[[#This Row],[LY-Date]])</f>
        <v>6</v>
      </c>
      <c r="AF19" s="38">
        <f>$E$2+_xlfn.DAYS(DaybyDay[[#This Row],[Date]],minDate)</f>
        <v>42384</v>
      </c>
      <c r="AG19" s="39" t="str" cm="1">
        <f t="array" ref="AG19">IFERROR(INDEX(DaybyDay[],DaybyDay[[#This Row],[FORM_MATCH_HELPER]],8),"")</f>
        <v/>
      </c>
      <c r="AH19" s="39" t="str" cm="1">
        <f t="array" ref="AH19">IFERROR(INDEX(DaybyDay[],DaybyDay[[#This Row],[FORM_MATCH_HELPER]],10),"")</f>
        <v/>
      </c>
      <c r="AI19" s="39" t="str" cm="1">
        <f t="array" ref="AI19">IFERROR(INDEX(DaybyDay[],DaybyDay[[#This Row],[FORM_MATCH_HELPER]],12),"")</f>
        <v/>
      </c>
      <c r="AJ19" s="32">
        <f>IFERROR(DaybyDay[[#This Row],[Serv-LY-RU]]+DaybyDay[[#This Row],[Ret-LY-RU]],"")</f>
        <v>0</v>
      </c>
      <c r="AK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 s="77"/>
      <c r="AM19" s="40" t="str">
        <f>IF(DaybyDay[[#This Row],[Admin Hours]]&gt;0,DaybyDay[[#This Row],[Admin Hours]]*$AM$2+$AM$3,"")</f>
        <v/>
      </c>
      <c r="AN19" s="40">
        <f>SUMIFS(DaybyDay[Est-Admin-Payroll],DaybyDay[Date],"&gt;="&amp;$C$5,DaybyDay[RowYear],"&gt;="&amp;$C$4,DaybyDay[Date],"&lt;="&amp;DaybyDay[[#This Row],[Date]])</f>
        <v>0</v>
      </c>
      <c r="AO19" s="41" t="str">
        <f>IF(AND(DaybyDay[[#This Row],[_Space]],ISNUMBER(DaybyDay[[#This Row],[Admin Hours]])),DaybyDay[[#This Row],[Est-Admin-Payroll]]/(DaybyDay[[#This Row],[Service-Actuals]]+DaybyDay[[#This Row],[Retail-Actuals]]),"")</f>
        <v/>
      </c>
      <c r="AP19" s="41" t="e">
        <f>DaybyDay[[#This Row],[Estimated-Payroll-Rollup]]/DaybyDay[[#This Row],[Simple-Forecast]]</f>
        <v>#DIV/0!</v>
      </c>
      <c r="AQ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 s="77"/>
      <c r="AS19" s="40" t="str">
        <f>IF(DaybyDay[[#This Row],[Retail Hours]]&gt;0,DaybyDay[[#This Row],[Retail Hours]]*$AS$2,"")</f>
        <v/>
      </c>
      <c r="AT19" s="40">
        <f>SUMIFS(DaybyDay[Est-Retail-Payroll],DaybyDay[Date],"&gt;="&amp;$C$5,DaybyDay[RowYear],"&gt;="&amp;$C$4,DaybyDay[Date],"&lt;="&amp;DaybyDay[[#This Row],[Date]])</f>
        <v>0</v>
      </c>
      <c r="AU19" s="82" t="str">
        <f>IF(AND(DaybyDay[[#This Row],[_Space]],ISNUMBER(DaybyDay[[#This Row],[Retail Hours]])),DaybyDay[[#This Row],[Est-Retail-Payroll]]/(DaybyDay[[#This Row],[Retail-Actuals]]),"")</f>
        <v/>
      </c>
      <c r="AV19" s="82" t="e">
        <f>DaybyDay[[#This Row],[Est-Retail-PayrollRU]]/DaybyDay[[#This Row],[Simple-Forecast-Retail]]</f>
        <v>#DIV/0!</v>
      </c>
      <c r="AW19" s="8"/>
    </row>
    <row r="20" spans="3:49" hidden="1" x14ac:dyDescent="0.25">
      <c r="C20" s="26" t="str">
        <f>Tools!$C$1</f>
        <v>Example</v>
      </c>
      <c r="D20" s="27" t="s">
        <v>68</v>
      </c>
      <c r="E20" s="28">
        <v>2017</v>
      </c>
      <c r="F20" s="28">
        <f>MATCH(DaybyDay[[#This Row],[RowMonth]],Table3[SummaryMonth],0)</f>
        <v>1</v>
      </c>
      <c r="G20" s="29" t="e">
        <f>MATCH(DaybyDay[[#This Row],[LY-Date]],DaybyDay[Date],0)</f>
        <v>#N/A</v>
      </c>
      <c r="H20" s="30">
        <f>WEEKDAY(DaybyDay[[#This Row],[Date]])</f>
        <v>7</v>
      </c>
      <c r="I20" s="31">
        <v>42749</v>
      </c>
      <c r="J20" s="74">
        <v>59</v>
      </c>
      <c r="K20" s="32">
        <f>SUMIFS(BudgetSeasonality[365 Seasonality],BudgetSeasonality[MonthAdjustment],DaybyDay[[#This Row],[Date]])*SUMIFS(Budgets[Service-Budget],Budgets[BudgetMonth],DaybyDay[[#This Row],[RowMonth]],Budgets[BudgetYear],DaybyDay[[#This Row],[RowYear]])</f>
        <v>0</v>
      </c>
      <c r="L20" s="75">
        <v>10832.52</v>
      </c>
      <c r="M20" s="32">
        <f>INDEX(BudgetSeasonality[365 Seasonality],MATCH(DaybyDay[[#This Row],[Date]],BudgetSeasonality[MonthAdjustment],0))*SUMIFS(Budgets[Retail-Budget],Budgets[BudgetMonth],DaybyDay[[#This Row],[RowMonth]],Budgets[BudgetYear],DaybyDay[[#This Row],[RowYear]])</f>
        <v>0</v>
      </c>
      <c r="N20" s="75">
        <v>1069.5</v>
      </c>
      <c r="O20" s="33">
        <f>SUMIFS(DaybyDay[Service-Budgets],DaybyDay[Date],"&gt;="&amp;$C$5,DaybyDay[RowYear],"&gt;="&amp;$C$4,DaybyDay[Date],"&lt;="&amp;DaybyDay[[#This Row],[Date]])</f>
        <v>0</v>
      </c>
      <c r="P20" s="33">
        <f>SUMIFS(DaybyDay[Retail-Budgets],DaybyDay[Date],"&gt;="&amp;$C$5,DaybyDay[RowYear],"&gt;="&amp;$C$4,DaybyDay[Date],"&lt;="&amp;DaybyDay[[#This Row],[Date]])</f>
        <v>0</v>
      </c>
      <c r="Q20" s="34">
        <f>SUMIFS(DaybyDay[Service-Actuals],DaybyDay[Date],"&gt;="&amp;$C$5,DaybyDay[RowYear],"&gt;="&amp;$C$4,DaybyDay[Date],"&lt;="&amp;DaybyDay[[#This Row],[Date]])</f>
        <v>0</v>
      </c>
      <c r="R20" s="34">
        <f>SUMIFS(DaybyDay[Retail-Actuals],DaybyDay[Date],"&gt;="&amp;$C$5,DaybyDay[RowYear],"&gt;="&amp;$C$4,DaybyDay[Date],"&lt;="&amp;DaybyDay[[#This Row],[Date]])</f>
        <v>0</v>
      </c>
      <c r="S20" s="35">
        <f>SUMIFS(DaybyDay[Service-LY],DaybyDay[Date],"&gt;="&amp;$C$5,DaybyDay[RowYear],"&gt;="&amp;$C$4,DaybyDay[Date],"&lt;="&amp;DaybyDay[[#This Row],[Date]])</f>
        <v>0</v>
      </c>
      <c r="T20" s="35">
        <f>SUMIFS(DaybyDay[Retail-LY],DaybyDay[Date],"&gt;="&amp;$C$5,DaybyDay[RowYear],"&gt;="&amp;$C$4,DaybyDay[Date],"&lt;="&amp;DaybyDay[[#This Row],[Date]])</f>
        <v>0</v>
      </c>
      <c r="U20" s="32">
        <f>DaybyDay[[#This Row],[Serv-Bud-RU]]+DaybyDay[[#This Row],[Ret-Bud-RU]]</f>
        <v>0</v>
      </c>
      <c r="V20" s="32">
        <f>DaybyDay[[#This Row],[Serv-Act-RU]]+DaybyDay[[#This Row],[Ret-Act-RU]]</f>
        <v>0</v>
      </c>
      <c r="W20" s="36">
        <f>IF(DaybyDay[[#This Row],[_Space]],IFERROR(
((DaybyDay[[#This Row],[Actual-Rollup]]-DaybyDay[[#This Row],[Budget-Rollup]])/DaybyDay[[#This Row],[Budget-Rollup]]),0),"")</f>
        <v>0</v>
      </c>
      <c r="X20" t="b">
        <f>NOT(AND(ISBLANK(DaybyDay[[#This Row],[Appts]]),ISBLANK(DaybyDay[[#This Row],[Service-Actuals]]),ISBLANK(DaybyDay[[#This Row],[Retail-Actuals]])))</f>
        <v>1</v>
      </c>
      <c r="Y20" s="36">
        <f>IF(DaybyDay[[#This Row],[_Space]],IFERROR(
((DaybyDay[[#This Row],[Actual-Rollup]]-DaybyDay[[#This Row],[LY-Rollup]])/DaybyDay[[#This Row],[LY-Rollup]]),0),"")</f>
        <v>0</v>
      </c>
      <c r="Z20"/>
      <c r="AA20" s="37" t="e">
        <f>IF(DaybyDay[[#This Row],[_Space]],DaybyDay[[#This Row],[Ret-Act-RU]]/DaybyDay[[#This Row],[Serv-Act-RU]],"")</f>
        <v>#DIV/0!</v>
      </c>
      <c r="AB20" s="50" t="e">
        <f>IF(DaybyDay[[#This Row],[_Space]],DaybyDay[[#This Row],[RETPEN-Act]]/DaybyDay[[#This Row],[RETPEN-Bud]],"")</f>
        <v>#DIV/0!</v>
      </c>
      <c r="AC20" s="37" t="e">
        <f>IF(DaybyDay[[#This Row],[_Space]],DaybyDay[[#This Row],[Ret-Bud-RU]]/DaybyDay[[#This Row],[Serv-Bud-RU]],"")</f>
        <v>#DIV/0!</v>
      </c>
      <c r="AD20" s="37" t="e">
        <f>IF(DaybyDay[[#This Row],[_Space]],DaybyDay[[#This Row],[Ret-LY-RU]]/DaybyDay[[#This Row],[Serv-LY-RU]],"")</f>
        <v>#DIV/0!</v>
      </c>
      <c r="AE20" s="30">
        <f>WEEKDAY(DaybyDay[[#This Row],[LY-Date]])</f>
        <v>7</v>
      </c>
      <c r="AF20" s="38">
        <f>$E$2+_xlfn.DAYS(DaybyDay[[#This Row],[Date]],minDate)</f>
        <v>42385</v>
      </c>
      <c r="AG20" s="39" t="str" cm="1">
        <f t="array" ref="AG20">IFERROR(INDEX(DaybyDay[],DaybyDay[[#This Row],[FORM_MATCH_HELPER]],8),"")</f>
        <v/>
      </c>
      <c r="AH20" s="39" t="str" cm="1">
        <f t="array" ref="AH20">IFERROR(INDEX(DaybyDay[],DaybyDay[[#This Row],[FORM_MATCH_HELPER]],10),"")</f>
        <v/>
      </c>
      <c r="AI20" s="39" t="str" cm="1">
        <f t="array" ref="AI20">IFERROR(INDEX(DaybyDay[],DaybyDay[[#This Row],[FORM_MATCH_HELPER]],12),"")</f>
        <v/>
      </c>
      <c r="AJ20" s="32">
        <f>IFERROR(DaybyDay[[#This Row],[Serv-LY-RU]]+DaybyDay[[#This Row],[Ret-LY-RU]],"")</f>
        <v>0</v>
      </c>
      <c r="AK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 s="77"/>
      <c r="AM20" s="40" t="str">
        <f>IF(DaybyDay[[#This Row],[Admin Hours]]&gt;0,DaybyDay[[#This Row],[Admin Hours]]*$AM$2+$AM$3,"")</f>
        <v/>
      </c>
      <c r="AN20" s="40">
        <f>SUMIFS(DaybyDay[Est-Admin-Payroll],DaybyDay[Date],"&gt;="&amp;$C$5,DaybyDay[RowYear],"&gt;="&amp;$C$4,DaybyDay[Date],"&lt;="&amp;DaybyDay[[#This Row],[Date]])</f>
        <v>0</v>
      </c>
      <c r="AO20" s="41" t="str">
        <f>IF(AND(DaybyDay[[#This Row],[_Space]],ISNUMBER(DaybyDay[[#This Row],[Admin Hours]])),DaybyDay[[#This Row],[Est-Admin-Payroll]]/(DaybyDay[[#This Row],[Service-Actuals]]+DaybyDay[[#This Row],[Retail-Actuals]]),"")</f>
        <v/>
      </c>
      <c r="AP20" s="41" t="e">
        <f>DaybyDay[[#This Row],[Estimated-Payroll-Rollup]]/DaybyDay[[#This Row],[Simple-Forecast]]</f>
        <v>#DIV/0!</v>
      </c>
      <c r="AQ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 s="77"/>
      <c r="AS20" s="40" t="str">
        <f>IF(DaybyDay[[#This Row],[Retail Hours]]&gt;0,DaybyDay[[#This Row],[Retail Hours]]*$AS$2,"")</f>
        <v/>
      </c>
      <c r="AT20" s="40">
        <f>SUMIFS(DaybyDay[Est-Retail-Payroll],DaybyDay[Date],"&gt;="&amp;$C$5,DaybyDay[RowYear],"&gt;="&amp;$C$4,DaybyDay[Date],"&lt;="&amp;DaybyDay[[#This Row],[Date]])</f>
        <v>0</v>
      </c>
      <c r="AU20" s="82" t="str">
        <f>IF(AND(DaybyDay[[#This Row],[_Space]],ISNUMBER(DaybyDay[[#This Row],[Retail Hours]])),DaybyDay[[#This Row],[Est-Retail-Payroll]]/(DaybyDay[[#This Row],[Retail-Actuals]]),"")</f>
        <v/>
      </c>
      <c r="AV20" s="82" t="e">
        <f>DaybyDay[[#This Row],[Est-Retail-PayrollRU]]/DaybyDay[[#This Row],[Simple-Forecast-Retail]]</f>
        <v>#DIV/0!</v>
      </c>
      <c r="AW20" s="8"/>
    </row>
    <row r="21" spans="3:49" hidden="1" x14ac:dyDescent="0.25">
      <c r="C21" s="26" t="str">
        <f>Tools!$C$1</f>
        <v>Example</v>
      </c>
      <c r="D21" s="27" t="s">
        <v>68</v>
      </c>
      <c r="E21" s="28">
        <v>2017</v>
      </c>
      <c r="F21" s="28">
        <f>MATCH(DaybyDay[[#This Row],[RowMonth]],Table3[SummaryMonth],0)</f>
        <v>1</v>
      </c>
      <c r="G21" s="29" t="e">
        <f>MATCH(DaybyDay[[#This Row],[LY-Date]],DaybyDay[Date],0)</f>
        <v>#N/A</v>
      </c>
      <c r="H21" s="30">
        <f>WEEKDAY(DaybyDay[[#This Row],[Date]])</f>
        <v>1</v>
      </c>
      <c r="I21" s="31">
        <v>42750</v>
      </c>
      <c r="J21" s="74">
        <v>43</v>
      </c>
      <c r="K21" s="32">
        <f>SUMIFS(BudgetSeasonality[365 Seasonality],BudgetSeasonality[MonthAdjustment],DaybyDay[[#This Row],[Date]])*SUMIFS(Budgets[Service-Budget],Budgets[BudgetMonth],DaybyDay[[#This Row],[RowMonth]],Budgets[BudgetYear],DaybyDay[[#This Row],[RowYear]])</f>
        <v>0</v>
      </c>
      <c r="L21" s="75">
        <v>6370.56</v>
      </c>
      <c r="M21" s="32">
        <f>INDEX(BudgetSeasonality[365 Seasonality],MATCH(DaybyDay[[#This Row],[Date]],BudgetSeasonality[MonthAdjustment],0))*SUMIFS(Budgets[Retail-Budget],Budgets[BudgetMonth],DaybyDay[[#This Row],[RowMonth]],Budgets[BudgetYear],DaybyDay[[#This Row],[RowYear]])</f>
        <v>0</v>
      </c>
      <c r="N21" s="75">
        <v>107</v>
      </c>
      <c r="O21" s="33">
        <f>SUMIFS(DaybyDay[Service-Budgets],DaybyDay[Date],"&gt;="&amp;$C$5,DaybyDay[RowYear],"&gt;="&amp;$C$4,DaybyDay[Date],"&lt;="&amp;DaybyDay[[#This Row],[Date]])</f>
        <v>0</v>
      </c>
      <c r="P21" s="33">
        <f>SUMIFS(DaybyDay[Retail-Budgets],DaybyDay[Date],"&gt;="&amp;$C$5,DaybyDay[RowYear],"&gt;="&amp;$C$4,DaybyDay[Date],"&lt;="&amp;DaybyDay[[#This Row],[Date]])</f>
        <v>0</v>
      </c>
      <c r="Q21" s="34">
        <f>SUMIFS(DaybyDay[Service-Actuals],DaybyDay[Date],"&gt;="&amp;$C$5,DaybyDay[RowYear],"&gt;="&amp;$C$4,DaybyDay[Date],"&lt;="&amp;DaybyDay[[#This Row],[Date]])</f>
        <v>0</v>
      </c>
      <c r="R21" s="34">
        <f>SUMIFS(DaybyDay[Retail-Actuals],DaybyDay[Date],"&gt;="&amp;$C$5,DaybyDay[RowYear],"&gt;="&amp;$C$4,DaybyDay[Date],"&lt;="&amp;DaybyDay[[#This Row],[Date]])</f>
        <v>0</v>
      </c>
      <c r="S21" s="35">
        <f>SUMIFS(DaybyDay[Service-LY],DaybyDay[Date],"&gt;="&amp;$C$5,DaybyDay[RowYear],"&gt;="&amp;$C$4,DaybyDay[Date],"&lt;="&amp;DaybyDay[[#This Row],[Date]])</f>
        <v>0</v>
      </c>
      <c r="T21" s="35">
        <f>SUMIFS(DaybyDay[Retail-LY],DaybyDay[Date],"&gt;="&amp;$C$5,DaybyDay[RowYear],"&gt;="&amp;$C$4,DaybyDay[Date],"&lt;="&amp;DaybyDay[[#This Row],[Date]])</f>
        <v>0</v>
      </c>
      <c r="U21" s="32">
        <f>DaybyDay[[#This Row],[Serv-Bud-RU]]+DaybyDay[[#This Row],[Ret-Bud-RU]]</f>
        <v>0</v>
      </c>
      <c r="V21" s="32">
        <f>DaybyDay[[#This Row],[Serv-Act-RU]]+DaybyDay[[#This Row],[Ret-Act-RU]]</f>
        <v>0</v>
      </c>
      <c r="W21" s="36">
        <f>IF(DaybyDay[[#This Row],[_Space]],IFERROR(
((DaybyDay[[#This Row],[Actual-Rollup]]-DaybyDay[[#This Row],[Budget-Rollup]])/DaybyDay[[#This Row],[Budget-Rollup]]),0),"")</f>
        <v>0</v>
      </c>
      <c r="X21" t="b">
        <f>NOT(AND(ISBLANK(DaybyDay[[#This Row],[Appts]]),ISBLANK(DaybyDay[[#This Row],[Service-Actuals]]),ISBLANK(DaybyDay[[#This Row],[Retail-Actuals]])))</f>
        <v>1</v>
      </c>
      <c r="Y21" s="36">
        <f>IF(DaybyDay[[#This Row],[_Space]],IFERROR(
((DaybyDay[[#This Row],[Actual-Rollup]]-DaybyDay[[#This Row],[LY-Rollup]])/DaybyDay[[#This Row],[LY-Rollup]]),0),"")</f>
        <v>0</v>
      </c>
      <c r="Z21"/>
      <c r="AA21" s="37" t="e">
        <f>IF(DaybyDay[[#This Row],[_Space]],DaybyDay[[#This Row],[Ret-Act-RU]]/DaybyDay[[#This Row],[Serv-Act-RU]],"")</f>
        <v>#DIV/0!</v>
      </c>
      <c r="AB21" s="50" t="e">
        <f>IF(DaybyDay[[#This Row],[_Space]],DaybyDay[[#This Row],[RETPEN-Act]]/DaybyDay[[#This Row],[RETPEN-Bud]],"")</f>
        <v>#DIV/0!</v>
      </c>
      <c r="AC21" s="37" t="e">
        <f>IF(DaybyDay[[#This Row],[_Space]],DaybyDay[[#This Row],[Ret-Bud-RU]]/DaybyDay[[#This Row],[Serv-Bud-RU]],"")</f>
        <v>#DIV/0!</v>
      </c>
      <c r="AD21" s="37" t="e">
        <f>IF(DaybyDay[[#This Row],[_Space]],DaybyDay[[#This Row],[Ret-LY-RU]]/DaybyDay[[#This Row],[Serv-LY-RU]],"")</f>
        <v>#DIV/0!</v>
      </c>
      <c r="AE21" s="30">
        <f>WEEKDAY(DaybyDay[[#This Row],[LY-Date]])</f>
        <v>1</v>
      </c>
      <c r="AF21" s="38">
        <f>$E$2+_xlfn.DAYS(DaybyDay[[#This Row],[Date]],minDate)</f>
        <v>42386</v>
      </c>
      <c r="AG21" s="39" t="str" cm="1">
        <f t="array" ref="AG21">IFERROR(INDEX(DaybyDay[],DaybyDay[[#This Row],[FORM_MATCH_HELPER]],8),"")</f>
        <v/>
      </c>
      <c r="AH21" s="39" t="str" cm="1">
        <f t="array" ref="AH21">IFERROR(INDEX(DaybyDay[],DaybyDay[[#This Row],[FORM_MATCH_HELPER]],10),"")</f>
        <v/>
      </c>
      <c r="AI21" s="39" t="str" cm="1">
        <f t="array" ref="AI21">IFERROR(INDEX(DaybyDay[],DaybyDay[[#This Row],[FORM_MATCH_HELPER]],12),"")</f>
        <v/>
      </c>
      <c r="AJ21" s="32">
        <f>IFERROR(DaybyDay[[#This Row],[Serv-LY-RU]]+DaybyDay[[#This Row],[Ret-LY-RU]],"")</f>
        <v>0</v>
      </c>
      <c r="AK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 s="77"/>
      <c r="AM21" s="40" t="str">
        <f>IF(DaybyDay[[#This Row],[Admin Hours]]&gt;0,DaybyDay[[#This Row],[Admin Hours]]*$AM$2+$AM$3,"")</f>
        <v/>
      </c>
      <c r="AN21" s="40">
        <f>SUMIFS(DaybyDay[Est-Admin-Payroll],DaybyDay[Date],"&gt;="&amp;$C$5,DaybyDay[RowYear],"&gt;="&amp;$C$4,DaybyDay[Date],"&lt;="&amp;DaybyDay[[#This Row],[Date]])</f>
        <v>0</v>
      </c>
      <c r="AO21" s="41" t="str">
        <f>IF(AND(DaybyDay[[#This Row],[_Space]],ISNUMBER(DaybyDay[[#This Row],[Admin Hours]])),DaybyDay[[#This Row],[Est-Admin-Payroll]]/(DaybyDay[[#This Row],[Service-Actuals]]+DaybyDay[[#This Row],[Retail-Actuals]]),"")</f>
        <v/>
      </c>
      <c r="AP21" s="41" t="e">
        <f>DaybyDay[[#This Row],[Estimated-Payroll-Rollup]]/DaybyDay[[#This Row],[Simple-Forecast]]</f>
        <v>#DIV/0!</v>
      </c>
      <c r="AQ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 s="77"/>
      <c r="AS21" s="40" t="str">
        <f>IF(DaybyDay[[#This Row],[Retail Hours]]&gt;0,DaybyDay[[#This Row],[Retail Hours]]*$AS$2,"")</f>
        <v/>
      </c>
      <c r="AT21" s="40">
        <f>SUMIFS(DaybyDay[Est-Retail-Payroll],DaybyDay[Date],"&gt;="&amp;$C$5,DaybyDay[RowYear],"&gt;="&amp;$C$4,DaybyDay[Date],"&lt;="&amp;DaybyDay[[#This Row],[Date]])</f>
        <v>0</v>
      </c>
      <c r="AU21" s="82" t="str">
        <f>IF(AND(DaybyDay[[#This Row],[_Space]],ISNUMBER(DaybyDay[[#This Row],[Retail Hours]])),DaybyDay[[#This Row],[Est-Retail-Payroll]]/(DaybyDay[[#This Row],[Retail-Actuals]]),"")</f>
        <v/>
      </c>
      <c r="AV21" s="82" t="e">
        <f>DaybyDay[[#This Row],[Est-Retail-PayrollRU]]/DaybyDay[[#This Row],[Simple-Forecast-Retail]]</f>
        <v>#DIV/0!</v>
      </c>
      <c r="AW21" s="8"/>
    </row>
    <row r="22" spans="3:49" hidden="1" x14ac:dyDescent="0.25">
      <c r="C22" s="26" t="str">
        <f>Tools!$C$1</f>
        <v>Example</v>
      </c>
      <c r="D22" s="27" t="s">
        <v>68</v>
      </c>
      <c r="E22" s="28">
        <v>2017</v>
      </c>
      <c r="F22" s="28">
        <f>MATCH(DaybyDay[[#This Row],[RowMonth]],Table3[SummaryMonth],0)</f>
        <v>1</v>
      </c>
      <c r="G22" s="29" t="e">
        <f>MATCH(DaybyDay[[#This Row],[LY-Date]],DaybyDay[Date],0)</f>
        <v>#N/A</v>
      </c>
      <c r="H22" s="30">
        <f>WEEKDAY(DaybyDay[[#This Row],[Date]])</f>
        <v>2</v>
      </c>
      <c r="I22" s="31">
        <v>42751</v>
      </c>
      <c r="J22" s="74">
        <v>50</v>
      </c>
      <c r="K22" s="32">
        <f>SUMIFS(BudgetSeasonality[365 Seasonality],BudgetSeasonality[MonthAdjustment],DaybyDay[[#This Row],[Date]])*SUMIFS(Budgets[Service-Budget],Budgets[BudgetMonth],DaybyDay[[#This Row],[RowMonth]],Budgets[BudgetYear],DaybyDay[[#This Row],[RowYear]])</f>
        <v>0</v>
      </c>
      <c r="L22" s="75">
        <v>6833.29</v>
      </c>
      <c r="M22" s="32">
        <f>INDEX(BudgetSeasonality[365 Seasonality],MATCH(DaybyDay[[#This Row],[Date]],BudgetSeasonality[MonthAdjustment],0))*SUMIFS(Budgets[Retail-Budget],Budgets[BudgetMonth],DaybyDay[[#This Row],[RowMonth]],Budgets[BudgetYear],DaybyDay[[#This Row],[RowYear]])</f>
        <v>0</v>
      </c>
      <c r="N22" s="75">
        <v>385</v>
      </c>
      <c r="O22" s="33">
        <f>SUMIFS(DaybyDay[Service-Budgets],DaybyDay[Date],"&gt;="&amp;$C$5,DaybyDay[RowYear],"&gt;="&amp;$C$4,DaybyDay[Date],"&lt;="&amp;DaybyDay[[#This Row],[Date]])</f>
        <v>0</v>
      </c>
      <c r="P22" s="33">
        <f>SUMIFS(DaybyDay[Retail-Budgets],DaybyDay[Date],"&gt;="&amp;$C$5,DaybyDay[RowYear],"&gt;="&amp;$C$4,DaybyDay[Date],"&lt;="&amp;DaybyDay[[#This Row],[Date]])</f>
        <v>0</v>
      </c>
      <c r="Q22" s="34">
        <f>SUMIFS(DaybyDay[Service-Actuals],DaybyDay[Date],"&gt;="&amp;$C$5,DaybyDay[RowYear],"&gt;="&amp;$C$4,DaybyDay[Date],"&lt;="&amp;DaybyDay[[#This Row],[Date]])</f>
        <v>0</v>
      </c>
      <c r="R22" s="34">
        <f>SUMIFS(DaybyDay[Retail-Actuals],DaybyDay[Date],"&gt;="&amp;$C$5,DaybyDay[RowYear],"&gt;="&amp;$C$4,DaybyDay[Date],"&lt;="&amp;DaybyDay[[#This Row],[Date]])</f>
        <v>0</v>
      </c>
      <c r="S22" s="35">
        <f>SUMIFS(DaybyDay[Service-LY],DaybyDay[Date],"&gt;="&amp;$C$5,DaybyDay[RowYear],"&gt;="&amp;$C$4,DaybyDay[Date],"&lt;="&amp;DaybyDay[[#This Row],[Date]])</f>
        <v>0</v>
      </c>
      <c r="T22" s="35">
        <f>SUMIFS(DaybyDay[Retail-LY],DaybyDay[Date],"&gt;="&amp;$C$5,DaybyDay[RowYear],"&gt;="&amp;$C$4,DaybyDay[Date],"&lt;="&amp;DaybyDay[[#This Row],[Date]])</f>
        <v>0</v>
      </c>
      <c r="U22" s="32">
        <f>DaybyDay[[#This Row],[Serv-Bud-RU]]+DaybyDay[[#This Row],[Ret-Bud-RU]]</f>
        <v>0</v>
      </c>
      <c r="V22" s="32">
        <f>DaybyDay[[#This Row],[Serv-Act-RU]]+DaybyDay[[#This Row],[Ret-Act-RU]]</f>
        <v>0</v>
      </c>
      <c r="W22" s="36">
        <f>IF(DaybyDay[[#This Row],[_Space]],IFERROR(
((DaybyDay[[#This Row],[Actual-Rollup]]-DaybyDay[[#This Row],[Budget-Rollup]])/DaybyDay[[#This Row],[Budget-Rollup]]),0),"")</f>
        <v>0</v>
      </c>
      <c r="X22" t="b">
        <f>NOT(AND(ISBLANK(DaybyDay[[#This Row],[Appts]]),ISBLANK(DaybyDay[[#This Row],[Service-Actuals]]),ISBLANK(DaybyDay[[#This Row],[Retail-Actuals]])))</f>
        <v>1</v>
      </c>
      <c r="Y22" s="36">
        <f>IF(DaybyDay[[#This Row],[_Space]],IFERROR(
((DaybyDay[[#This Row],[Actual-Rollup]]-DaybyDay[[#This Row],[LY-Rollup]])/DaybyDay[[#This Row],[LY-Rollup]]),0),"")</f>
        <v>0</v>
      </c>
      <c r="Z22"/>
      <c r="AA22" s="37" t="e">
        <f>IF(DaybyDay[[#This Row],[_Space]],DaybyDay[[#This Row],[Ret-Act-RU]]/DaybyDay[[#This Row],[Serv-Act-RU]],"")</f>
        <v>#DIV/0!</v>
      </c>
      <c r="AB22" s="50" t="e">
        <f>IF(DaybyDay[[#This Row],[_Space]],DaybyDay[[#This Row],[RETPEN-Act]]/DaybyDay[[#This Row],[RETPEN-Bud]],"")</f>
        <v>#DIV/0!</v>
      </c>
      <c r="AC22" s="37" t="e">
        <f>IF(DaybyDay[[#This Row],[_Space]],DaybyDay[[#This Row],[Ret-Bud-RU]]/DaybyDay[[#This Row],[Serv-Bud-RU]],"")</f>
        <v>#DIV/0!</v>
      </c>
      <c r="AD22" s="37" t="e">
        <f>IF(DaybyDay[[#This Row],[_Space]],DaybyDay[[#This Row],[Ret-LY-RU]]/DaybyDay[[#This Row],[Serv-LY-RU]],"")</f>
        <v>#DIV/0!</v>
      </c>
      <c r="AE22" s="30">
        <f>WEEKDAY(DaybyDay[[#This Row],[LY-Date]])</f>
        <v>2</v>
      </c>
      <c r="AF22" s="38">
        <f>$E$2+_xlfn.DAYS(DaybyDay[[#This Row],[Date]],minDate)</f>
        <v>42387</v>
      </c>
      <c r="AG22" s="39" t="str" cm="1">
        <f t="array" ref="AG22">IFERROR(INDEX(DaybyDay[],DaybyDay[[#This Row],[FORM_MATCH_HELPER]],8),"")</f>
        <v/>
      </c>
      <c r="AH22" s="39" t="str" cm="1">
        <f t="array" ref="AH22">IFERROR(INDEX(DaybyDay[],DaybyDay[[#This Row],[FORM_MATCH_HELPER]],10),"")</f>
        <v/>
      </c>
      <c r="AI22" s="39" t="str" cm="1">
        <f t="array" ref="AI22">IFERROR(INDEX(DaybyDay[],DaybyDay[[#This Row],[FORM_MATCH_HELPER]],12),"")</f>
        <v/>
      </c>
      <c r="AJ22" s="32">
        <f>IFERROR(DaybyDay[[#This Row],[Serv-LY-RU]]+DaybyDay[[#This Row],[Ret-LY-RU]],"")</f>
        <v>0</v>
      </c>
      <c r="AK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 s="77"/>
      <c r="AM22" s="40" t="str">
        <f>IF(DaybyDay[[#This Row],[Admin Hours]]&gt;0,DaybyDay[[#This Row],[Admin Hours]]*$AM$2+$AM$3,"")</f>
        <v/>
      </c>
      <c r="AN22" s="40">
        <f>SUMIFS(DaybyDay[Est-Admin-Payroll],DaybyDay[Date],"&gt;="&amp;$C$5,DaybyDay[RowYear],"&gt;="&amp;$C$4,DaybyDay[Date],"&lt;="&amp;DaybyDay[[#This Row],[Date]])</f>
        <v>0</v>
      </c>
      <c r="AO22" s="41" t="str">
        <f>IF(AND(DaybyDay[[#This Row],[_Space]],ISNUMBER(DaybyDay[[#This Row],[Admin Hours]])),DaybyDay[[#This Row],[Est-Admin-Payroll]]/(DaybyDay[[#This Row],[Service-Actuals]]+DaybyDay[[#This Row],[Retail-Actuals]]),"")</f>
        <v/>
      </c>
      <c r="AP22" s="41" t="e">
        <f>DaybyDay[[#This Row],[Estimated-Payroll-Rollup]]/DaybyDay[[#This Row],[Simple-Forecast]]</f>
        <v>#DIV/0!</v>
      </c>
      <c r="AQ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 s="77"/>
      <c r="AS22" s="40" t="str">
        <f>IF(DaybyDay[[#This Row],[Retail Hours]]&gt;0,DaybyDay[[#This Row],[Retail Hours]]*$AS$2,"")</f>
        <v/>
      </c>
      <c r="AT22" s="40">
        <f>SUMIFS(DaybyDay[Est-Retail-Payroll],DaybyDay[Date],"&gt;="&amp;$C$5,DaybyDay[RowYear],"&gt;="&amp;$C$4,DaybyDay[Date],"&lt;="&amp;DaybyDay[[#This Row],[Date]])</f>
        <v>0</v>
      </c>
      <c r="AU22" s="82" t="str">
        <f>IF(AND(DaybyDay[[#This Row],[_Space]],ISNUMBER(DaybyDay[[#This Row],[Retail Hours]])),DaybyDay[[#This Row],[Est-Retail-Payroll]]/(DaybyDay[[#This Row],[Retail-Actuals]]),"")</f>
        <v/>
      </c>
      <c r="AV22" s="82" t="e">
        <f>DaybyDay[[#This Row],[Est-Retail-PayrollRU]]/DaybyDay[[#This Row],[Simple-Forecast-Retail]]</f>
        <v>#DIV/0!</v>
      </c>
      <c r="AW22" s="8"/>
    </row>
    <row r="23" spans="3:49" hidden="1" x14ac:dyDescent="0.25">
      <c r="C23" s="26" t="str">
        <f>Tools!$C$1</f>
        <v>Example</v>
      </c>
      <c r="D23" s="27" t="s">
        <v>68</v>
      </c>
      <c r="E23" s="28">
        <v>2017</v>
      </c>
      <c r="F23" s="28">
        <f>MATCH(DaybyDay[[#This Row],[RowMonth]],Table3[SummaryMonth],0)</f>
        <v>1</v>
      </c>
      <c r="G23" s="29" t="e">
        <f>MATCH(DaybyDay[[#This Row],[LY-Date]],DaybyDay[Date],0)</f>
        <v>#N/A</v>
      </c>
      <c r="H23" s="30">
        <f>WEEKDAY(DaybyDay[[#This Row],[Date]])</f>
        <v>3</v>
      </c>
      <c r="I23" s="31">
        <v>42752</v>
      </c>
      <c r="J23" s="74">
        <v>40</v>
      </c>
      <c r="K23" s="32">
        <f>SUMIFS(BudgetSeasonality[365 Seasonality],BudgetSeasonality[MonthAdjustment],DaybyDay[[#This Row],[Date]])*SUMIFS(Budgets[Service-Budget],Budgets[BudgetMonth],DaybyDay[[#This Row],[RowMonth]],Budgets[BudgetYear],DaybyDay[[#This Row],[RowYear]])</f>
        <v>0</v>
      </c>
      <c r="L23" s="75">
        <v>6006.95</v>
      </c>
      <c r="M23" s="32">
        <f>INDEX(BudgetSeasonality[365 Seasonality],MATCH(DaybyDay[[#This Row],[Date]],BudgetSeasonality[MonthAdjustment],0))*SUMIFS(Budgets[Retail-Budget],Budgets[BudgetMonth],DaybyDay[[#This Row],[RowMonth]],Budgets[BudgetYear],DaybyDay[[#This Row],[RowYear]])</f>
        <v>0</v>
      </c>
      <c r="N23" s="75">
        <v>135</v>
      </c>
      <c r="O23" s="33">
        <f>SUMIFS(DaybyDay[Service-Budgets],DaybyDay[Date],"&gt;="&amp;$C$5,DaybyDay[RowYear],"&gt;="&amp;$C$4,DaybyDay[Date],"&lt;="&amp;DaybyDay[[#This Row],[Date]])</f>
        <v>0</v>
      </c>
      <c r="P23" s="33">
        <f>SUMIFS(DaybyDay[Retail-Budgets],DaybyDay[Date],"&gt;="&amp;$C$5,DaybyDay[RowYear],"&gt;="&amp;$C$4,DaybyDay[Date],"&lt;="&amp;DaybyDay[[#This Row],[Date]])</f>
        <v>0</v>
      </c>
      <c r="Q23" s="34">
        <f>SUMIFS(DaybyDay[Service-Actuals],DaybyDay[Date],"&gt;="&amp;$C$5,DaybyDay[RowYear],"&gt;="&amp;$C$4,DaybyDay[Date],"&lt;="&amp;DaybyDay[[#This Row],[Date]])</f>
        <v>0</v>
      </c>
      <c r="R23" s="34">
        <f>SUMIFS(DaybyDay[Retail-Actuals],DaybyDay[Date],"&gt;="&amp;$C$5,DaybyDay[RowYear],"&gt;="&amp;$C$4,DaybyDay[Date],"&lt;="&amp;DaybyDay[[#This Row],[Date]])</f>
        <v>0</v>
      </c>
      <c r="S23" s="35">
        <f>SUMIFS(DaybyDay[Service-LY],DaybyDay[Date],"&gt;="&amp;$C$5,DaybyDay[RowYear],"&gt;="&amp;$C$4,DaybyDay[Date],"&lt;="&amp;DaybyDay[[#This Row],[Date]])</f>
        <v>0</v>
      </c>
      <c r="T23" s="35">
        <f>SUMIFS(DaybyDay[Retail-LY],DaybyDay[Date],"&gt;="&amp;$C$5,DaybyDay[RowYear],"&gt;="&amp;$C$4,DaybyDay[Date],"&lt;="&amp;DaybyDay[[#This Row],[Date]])</f>
        <v>0</v>
      </c>
      <c r="U23" s="32">
        <f>DaybyDay[[#This Row],[Serv-Bud-RU]]+DaybyDay[[#This Row],[Ret-Bud-RU]]</f>
        <v>0</v>
      </c>
      <c r="V23" s="32">
        <f>DaybyDay[[#This Row],[Serv-Act-RU]]+DaybyDay[[#This Row],[Ret-Act-RU]]</f>
        <v>0</v>
      </c>
      <c r="W23" s="36">
        <f>IF(DaybyDay[[#This Row],[_Space]],IFERROR(
((DaybyDay[[#This Row],[Actual-Rollup]]-DaybyDay[[#This Row],[Budget-Rollup]])/DaybyDay[[#This Row],[Budget-Rollup]]),0),"")</f>
        <v>0</v>
      </c>
      <c r="X23" t="b">
        <f>NOT(AND(ISBLANK(DaybyDay[[#This Row],[Appts]]),ISBLANK(DaybyDay[[#This Row],[Service-Actuals]]),ISBLANK(DaybyDay[[#This Row],[Retail-Actuals]])))</f>
        <v>1</v>
      </c>
      <c r="Y23" s="36">
        <f>IF(DaybyDay[[#This Row],[_Space]],IFERROR(
((DaybyDay[[#This Row],[Actual-Rollup]]-DaybyDay[[#This Row],[LY-Rollup]])/DaybyDay[[#This Row],[LY-Rollup]]),0),"")</f>
        <v>0</v>
      </c>
      <c r="Z23"/>
      <c r="AA23" s="37" t="e">
        <f>IF(DaybyDay[[#This Row],[_Space]],DaybyDay[[#This Row],[Ret-Act-RU]]/DaybyDay[[#This Row],[Serv-Act-RU]],"")</f>
        <v>#DIV/0!</v>
      </c>
      <c r="AB23" s="50" t="e">
        <f>IF(DaybyDay[[#This Row],[_Space]],DaybyDay[[#This Row],[RETPEN-Act]]/DaybyDay[[#This Row],[RETPEN-Bud]],"")</f>
        <v>#DIV/0!</v>
      </c>
      <c r="AC23" s="37" t="e">
        <f>IF(DaybyDay[[#This Row],[_Space]],DaybyDay[[#This Row],[Ret-Bud-RU]]/DaybyDay[[#This Row],[Serv-Bud-RU]],"")</f>
        <v>#DIV/0!</v>
      </c>
      <c r="AD23" s="37" t="e">
        <f>IF(DaybyDay[[#This Row],[_Space]],DaybyDay[[#This Row],[Ret-LY-RU]]/DaybyDay[[#This Row],[Serv-LY-RU]],"")</f>
        <v>#DIV/0!</v>
      </c>
      <c r="AE23" s="30">
        <f>WEEKDAY(DaybyDay[[#This Row],[LY-Date]])</f>
        <v>3</v>
      </c>
      <c r="AF23" s="38">
        <f>$E$2+_xlfn.DAYS(DaybyDay[[#This Row],[Date]],minDate)</f>
        <v>42388</v>
      </c>
      <c r="AG23" s="39" t="str" cm="1">
        <f t="array" ref="AG23">IFERROR(INDEX(DaybyDay[],DaybyDay[[#This Row],[FORM_MATCH_HELPER]],8),"")</f>
        <v/>
      </c>
      <c r="AH23" s="39" t="str" cm="1">
        <f t="array" ref="AH23">IFERROR(INDEX(DaybyDay[],DaybyDay[[#This Row],[FORM_MATCH_HELPER]],10),"")</f>
        <v/>
      </c>
      <c r="AI23" s="39" t="str" cm="1">
        <f t="array" ref="AI23">IFERROR(INDEX(DaybyDay[],DaybyDay[[#This Row],[FORM_MATCH_HELPER]],12),"")</f>
        <v/>
      </c>
      <c r="AJ23" s="32">
        <f>IFERROR(DaybyDay[[#This Row],[Serv-LY-RU]]+DaybyDay[[#This Row],[Ret-LY-RU]],"")</f>
        <v>0</v>
      </c>
      <c r="AK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 s="77"/>
      <c r="AM23" s="40" t="str">
        <f>IF(DaybyDay[[#This Row],[Admin Hours]]&gt;0,DaybyDay[[#This Row],[Admin Hours]]*$AM$2+$AM$3,"")</f>
        <v/>
      </c>
      <c r="AN23" s="40">
        <f>SUMIFS(DaybyDay[Est-Admin-Payroll],DaybyDay[Date],"&gt;="&amp;$C$5,DaybyDay[RowYear],"&gt;="&amp;$C$4,DaybyDay[Date],"&lt;="&amp;DaybyDay[[#This Row],[Date]])</f>
        <v>0</v>
      </c>
      <c r="AO23" s="41" t="str">
        <f>IF(AND(DaybyDay[[#This Row],[_Space]],ISNUMBER(DaybyDay[[#This Row],[Admin Hours]])),DaybyDay[[#This Row],[Est-Admin-Payroll]]/(DaybyDay[[#This Row],[Service-Actuals]]+DaybyDay[[#This Row],[Retail-Actuals]]),"")</f>
        <v/>
      </c>
      <c r="AP23" s="41" t="e">
        <f>DaybyDay[[#This Row],[Estimated-Payroll-Rollup]]/DaybyDay[[#This Row],[Simple-Forecast]]</f>
        <v>#DIV/0!</v>
      </c>
      <c r="AQ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 s="77"/>
      <c r="AS23" s="40" t="str">
        <f>IF(DaybyDay[[#This Row],[Retail Hours]]&gt;0,DaybyDay[[#This Row],[Retail Hours]]*$AS$2,"")</f>
        <v/>
      </c>
      <c r="AT23" s="40">
        <f>SUMIFS(DaybyDay[Est-Retail-Payroll],DaybyDay[Date],"&gt;="&amp;$C$5,DaybyDay[RowYear],"&gt;="&amp;$C$4,DaybyDay[Date],"&lt;="&amp;DaybyDay[[#This Row],[Date]])</f>
        <v>0</v>
      </c>
      <c r="AU23" s="82" t="str">
        <f>IF(AND(DaybyDay[[#This Row],[_Space]],ISNUMBER(DaybyDay[[#This Row],[Retail Hours]])),DaybyDay[[#This Row],[Est-Retail-Payroll]]/(DaybyDay[[#This Row],[Retail-Actuals]]),"")</f>
        <v/>
      </c>
      <c r="AV23" s="82" t="e">
        <f>DaybyDay[[#This Row],[Est-Retail-PayrollRU]]/DaybyDay[[#This Row],[Simple-Forecast-Retail]]</f>
        <v>#DIV/0!</v>
      </c>
      <c r="AW23" s="8"/>
    </row>
    <row r="24" spans="3:49" hidden="1" x14ac:dyDescent="0.25">
      <c r="C24" s="26" t="str">
        <f>Tools!$C$1</f>
        <v>Example</v>
      </c>
      <c r="D24" s="27" t="s">
        <v>68</v>
      </c>
      <c r="E24" s="28">
        <v>2017</v>
      </c>
      <c r="F24" s="28">
        <f>MATCH(DaybyDay[[#This Row],[RowMonth]],Table3[SummaryMonth],0)</f>
        <v>1</v>
      </c>
      <c r="G24" s="29" t="e">
        <f>MATCH(DaybyDay[[#This Row],[LY-Date]],DaybyDay[Date],0)</f>
        <v>#N/A</v>
      </c>
      <c r="H24" s="30">
        <f>WEEKDAY(DaybyDay[[#This Row],[Date]])</f>
        <v>4</v>
      </c>
      <c r="I24" s="31">
        <v>42753</v>
      </c>
      <c r="J24" s="74">
        <v>45</v>
      </c>
      <c r="K24" s="32">
        <f>SUMIFS(BudgetSeasonality[365 Seasonality],BudgetSeasonality[MonthAdjustment],DaybyDay[[#This Row],[Date]])*SUMIFS(Budgets[Service-Budget],Budgets[BudgetMonth],DaybyDay[[#This Row],[RowMonth]],Budgets[BudgetYear],DaybyDay[[#This Row],[RowYear]])</f>
        <v>0</v>
      </c>
      <c r="L24" s="75">
        <v>8811.6</v>
      </c>
      <c r="M24" s="32">
        <f>INDEX(BudgetSeasonality[365 Seasonality],MATCH(DaybyDay[[#This Row],[Date]],BudgetSeasonality[MonthAdjustment],0))*SUMIFS(Budgets[Retail-Budget],Budgets[BudgetMonth],DaybyDay[[#This Row],[RowMonth]],Budgets[BudgetYear],DaybyDay[[#This Row],[RowYear]])</f>
        <v>0</v>
      </c>
      <c r="N24" s="75">
        <v>280.39</v>
      </c>
      <c r="O24" s="33">
        <f>SUMIFS(DaybyDay[Service-Budgets],DaybyDay[Date],"&gt;="&amp;$C$5,DaybyDay[RowYear],"&gt;="&amp;$C$4,DaybyDay[Date],"&lt;="&amp;DaybyDay[[#This Row],[Date]])</f>
        <v>0</v>
      </c>
      <c r="P24" s="33">
        <f>SUMIFS(DaybyDay[Retail-Budgets],DaybyDay[Date],"&gt;="&amp;$C$5,DaybyDay[RowYear],"&gt;="&amp;$C$4,DaybyDay[Date],"&lt;="&amp;DaybyDay[[#This Row],[Date]])</f>
        <v>0</v>
      </c>
      <c r="Q24" s="34">
        <f>SUMIFS(DaybyDay[Service-Actuals],DaybyDay[Date],"&gt;="&amp;$C$5,DaybyDay[RowYear],"&gt;="&amp;$C$4,DaybyDay[Date],"&lt;="&amp;DaybyDay[[#This Row],[Date]])</f>
        <v>0</v>
      </c>
      <c r="R24" s="34">
        <f>SUMIFS(DaybyDay[Retail-Actuals],DaybyDay[Date],"&gt;="&amp;$C$5,DaybyDay[RowYear],"&gt;="&amp;$C$4,DaybyDay[Date],"&lt;="&amp;DaybyDay[[#This Row],[Date]])</f>
        <v>0</v>
      </c>
      <c r="S24" s="35">
        <f>SUMIFS(DaybyDay[Service-LY],DaybyDay[Date],"&gt;="&amp;$C$5,DaybyDay[RowYear],"&gt;="&amp;$C$4,DaybyDay[Date],"&lt;="&amp;DaybyDay[[#This Row],[Date]])</f>
        <v>0</v>
      </c>
      <c r="T24" s="35">
        <f>SUMIFS(DaybyDay[Retail-LY],DaybyDay[Date],"&gt;="&amp;$C$5,DaybyDay[RowYear],"&gt;="&amp;$C$4,DaybyDay[Date],"&lt;="&amp;DaybyDay[[#This Row],[Date]])</f>
        <v>0</v>
      </c>
      <c r="U24" s="32">
        <f>DaybyDay[[#This Row],[Serv-Bud-RU]]+DaybyDay[[#This Row],[Ret-Bud-RU]]</f>
        <v>0</v>
      </c>
      <c r="V24" s="32">
        <f>DaybyDay[[#This Row],[Serv-Act-RU]]+DaybyDay[[#This Row],[Ret-Act-RU]]</f>
        <v>0</v>
      </c>
      <c r="W24" s="36">
        <f>IF(DaybyDay[[#This Row],[_Space]],IFERROR(
((DaybyDay[[#This Row],[Actual-Rollup]]-DaybyDay[[#This Row],[Budget-Rollup]])/DaybyDay[[#This Row],[Budget-Rollup]]),0),"")</f>
        <v>0</v>
      </c>
      <c r="X24" t="b">
        <f>NOT(AND(ISBLANK(DaybyDay[[#This Row],[Appts]]),ISBLANK(DaybyDay[[#This Row],[Service-Actuals]]),ISBLANK(DaybyDay[[#This Row],[Retail-Actuals]])))</f>
        <v>1</v>
      </c>
      <c r="Y24" s="36">
        <f>IF(DaybyDay[[#This Row],[_Space]],IFERROR(
((DaybyDay[[#This Row],[Actual-Rollup]]-DaybyDay[[#This Row],[LY-Rollup]])/DaybyDay[[#This Row],[LY-Rollup]]),0),"")</f>
        <v>0</v>
      </c>
      <c r="Z24"/>
      <c r="AA24" s="37" t="e">
        <f>IF(DaybyDay[[#This Row],[_Space]],DaybyDay[[#This Row],[Ret-Act-RU]]/DaybyDay[[#This Row],[Serv-Act-RU]],"")</f>
        <v>#DIV/0!</v>
      </c>
      <c r="AB24" s="50" t="e">
        <f>IF(DaybyDay[[#This Row],[_Space]],DaybyDay[[#This Row],[RETPEN-Act]]/DaybyDay[[#This Row],[RETPEN-Bud]],"")</f>
        <v>#DIV/0!</v>
      </c>
      <c r="AC24" s="37" t="e">
        <f>IF(DaybyDay[[#This Row],[_Space]],DaybyDay[[#This Row],[Ret-Bud-RU]]/DaybyDay[[#This Row],[Serv-Bud-RU]],"")</f>
        <v>#DIV/0!</v>
      </c>
      <c r="AD24" s="37" t="e">
        <f>IF(DaybyDay[[#This Row],[_Space]],DaybyDay[[#This Row],[Ret-LY-RU]]/DaybyDay[[#This Row],[Serv-LY-RU]],"")</f>
        <v>#DIV/0!</v>
      </c>
      <c r="AE24" s="30">
        <f>WEEKDAY(DaybyDay[[#This Row],[LY-Date]])</f>
        <v>4</v>
      </c>
      <c r="AF24" s="38">
        <f>$E$2+_xlfn.DAYS(DaybyDay[[#This Row],[Date]],minDate)</f>
        <v>42389</v>
      </c>
      <c r="AG24" s="39" t="str" cm="1">
        <f t="array" ref="AG24">IFERROR(INDEX(DaybyDay[],DaybyDay[[#This Row],[FORM_MATCH_HELPER]],8),"")</f>
        <v/>
      </c>
      <c r="AH24" s="39" t="str" cm="1">
        <f t="array" ref="AH24">IFERROR(INDEX(DaybyDay[],DaybyDay[[#This Row],[FORM_MATCH_HELPER]],10),"")</f>
        <v/>
      </c>
      <c r="AI24" s="39" t="str" cm="1">
        <f t="array" ref="AI24">IFERROR(INDEX(DaybyDay[],DaybyDay[[#This Row],[FORM_MATCH_HELPER]],12),"")</f>
        <v/>
      </c>
      <c r="AJ24" s="32">
        <f>IFERROR(DaybyDay[[#This Row],[Serv-LY-RU]]+DaybyDay[[#This Row],[Ret-LY-RU]],"")</f>
        <v>0</v>
      </c>
      <c r="AK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 s="77"/>
      <c r="AM24" s="40" t="str">
        <f>IF(DaybyDay[[#This Row],[Admin Hours]]&gt;0,DaybyDay[[#This Row],[Admin Hours]]*$AM$2+$AM$3,"")</f>
        <v/>
      </c>
      <c r="AN24" s="40">
        <f>SUMIFS(DaybyDay[Est-Admin-Payroll],DaybyDay[Date],"&gt;="&amp;$C$5,DaybyDay[RowYear],"&gt;="&amp;$C$4,DaybyDay[Date],"&lt;="&amp;DaybyDay[[#This Row],[Date]])</f>
        <v>0</v>
      </c>
      <c r="AO24" s="41" t="str">
        <f>IF(AND(DaybyDay[[#This Row],[_Space]],ISNUMBER(DaybyDay[[#This Row],[Admin Hours]])),DaybyDay[[#This Row],[Est-Admin-Payroll]]/(DaybyDay[[#This Row],[Service-Actuals]]+DaybyDay[[#This Row],[Retail-Actuals]]),"")</f>
        <v/>
      </c>
      <c r="AP24" s="41" t="e">
        <f>DaybyDay[[#This Row],[Estimated-Payroll-Rollup]]/DaybyDay[[#This Row],[Simple-Forecast]]</f>
        <v>#DIV/0!</v>
      </c>
      <c r="AQ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 s="77"/>
      <c r="AS24" s="40" t="str">
        <f>IF(DaybyDay[[#This Row],[Retail Hours]]&gt;0,DaybyDay[[#This Row],[Retail Hours]]*$AS$2,"")</f>
        <v/>
      </c>
      <c r="AT24" s="40">
        <f>SUMIFS(DaybyDay[Est-Retail-Payroll],DaybyDay[Date],"&gt;="&amp;$C$5,DaybyDay[RowYear],"&gt;="&amp;$C$4,DaybyDay[Date],"&lt;="&amp;DaybyDay[[#This Row],[Date]])</f>
        <v>0</v>
      </c>
      <c r="AU24" s="82" t="str">
        <f>IF(AND(DaybyDay[[#This Row],[_Space]],ISNUMBER(DaybyDay[[#This Row],[Retail Hours]])),DaybyDay[[#This Row],[Est-Retail-Payroll]]/(DaybyDay[[#This Row],[Retail-Actuals]]),"")</f>
        <v/>
      </c>
      <c r="AV24" s="82" t="e">
        <f>DaybyDay[[#This Row],[Est-Retail-PayrollRU]]/DaybyDay[[#This Row],[Simple-Forecast-Retail]]</f>
        <v>#DIV/0!</v>
      </c>
      <c r="AW24" s="8"/>
    </row>
    <row r="25" spans="3:49" hidden="1" x14ac:dyDescent="0.25">
      <c r="C25" s="26" t="str">
        <f>Tools!$C$1</f>
        <v>Example</v>
      </c>
      <c r="D25" s="27" t="s">
        <v>68</v>
      </c>
      <c r="E25" s="28">
        <v>2017</v>
      </c>
      <c r="F25" s="28">
        <f>MATCH(DaybyDay[[#This Row],[RowMonth]],Table3[SummaryMonth],0)</f>
        <v>1</v>
      </c>
      <c r="G25" s="29" t="e">
        <f>MATCH(DaybyDay[[#This Row],[LY-Date]],DaybyDay[Date],0)</f>
        <v>#N/A</v>
      </c>
      <c r="H25" s="30">
        <f>WEEKDAY(DaybyDay[[#This Row],[Date]])</f>
        <v>5</v>
      </c>
      <c r="I25" s="31">
        <v>42754</v>
      </c>
      <c r="J25" s="74">
        <v>44</v>
      </c>
      <c r="K25" s="32">
        <f>SUMIFS(BudgetSeasonality[365 Seasonality],BudgetSeasonality[MonthAdjustment],DaybyDay[[#This Row],[Date]])*SUMIFS(Budgets[Service-Budget],Budgets[BudgetMonth],DaybyDay[[#This Row],[RowMonth]],Budgets[BudgetYear],DaybyDay[[#This Row],[RowYear]])</f>
        <v>0</v>
      </c>
      <c r="L25" s="75">
        <v>5986.92</v>
      </c>
      <c r="M25" s="32">
        <f>INDEX(BudgetSeasonality[365 Seasonality],MATCH(DaybyDay[[#This Row],[Date]],BudgetSeasonality[MonthAdjustment],0))*SUMIFS(Budgets[Retail-Budget],Budgets[BudgetMonth],DaybyDay[[#This Row],[RowMonth]],Budgets[BudgetYear],DaybyDay[[#This Row],[RowYear]])</f>
        <v>0</v>
      </c>
      <c r="N25" s="75">
        <v>1595.5</v>
      </c>
      <c r="O25" s="33">
        <f>SUMIFS(DaybyDay[Service-Budgets],DaybyDay[Date],"&gt;="&amp;$C$5,DaybyDay[RowYear],"&gt;="&amp;$C$4,DaybyDay[Date],"&lt;="&amp;DaybyDay[[#This Row],[Date]])</f>
        <v>0</v>
      </c>
      <c r="P25" s="33">
        <f>SUMIFS(DaybyDay[Retail-Budgets],DaybyDay[Date],"&gt;="&amp;$C$5,DaybyDay[RowYear],"&gt;="&amp;$C$4,DaybyDay[Date],"&lt;="&amp;DaybyDay[[#This Row],[Date]])</f>
        <v>0</v>
      </c>
      <c r="Q25" s="34">
        <f>SUMIFS(DaybyDay[Service-Actuals],DaybyDay[Date],"&gt;="&amp;$C$5,DaybyDay[RowYear],"&gt;="&amp;$C$4,DaybyDay[Date],"&lt;="&amp;DaybyDay[[#This Row],[Date]])</f>
        <v>0</v>
      </c>
      <c r="R25" s="34">
        <f>SUMIFS(DaybyDay[Retail-Actuals],DaybyDay[Date],"&gt;="&amp;$C$5,DaybyDay[RowYear],"&gt;="&amp;$C$4,DaybyDay[Date],"&lt;="&amp;DaybyDay[[#This Row],[Date]])</f>
        <v>0</v>
      </c>
      <c r="S25" s="35">
        <f>SUMIFS(DaybyDay[Service-LY],DaybyDay[Date],"&gt;="&amp;$C$5,DaybyDay[RowYear],"&gt;="&amp;$C$4,DaybyDay[Date],"&lt;="&amp;DaybyDay[[#This Row],[Date]])</f>
        <v>0</v>
      </c>
      <c r="T25" s="35">
        <f>SUMIFS(DaybyDay[Retail-LY],DaybyDay[Date],"&gt;="&amp;$C$5,DaybyDay[RowYear],"&gt;="&amp;$C$4,DaybyDay[Date],"&lt;="&amp;DaybyDay[[#This Row],[Date]])</f>
        <v>0</v>
      </c>
      <c r="U25" s="32">
        <f>DaybyDay[[#This Row],[Serv-Bud-RU]]+DaybyDay[[#This Row],[Ret-Bud-RU]]</f>
        <v>0</v>
      </c>
      <c r="V25" s="32">
        <f>DaybyDay[[#This Row],[Serv-Act-RU]]+DaybyDay[[#This Row],[Ret-Act-RU]]</f>
        <v>0</v>
      </c>
      <c r="W25" s="36">
        <f>IF(DaybyDay[[#This Row],[_Space]],IFERROR(
((DaybyDay[[#This Row],[Actual-Rollup]]-DaybyDay[[#This Row],[Budget-Rollup]])/DaybyDay[[#This Row],[Budget-Rollup]]),0),"")</f>
        <v>0</v>
      </c>
      <c r="X25" t="b">
        <f>NOT(AND(ISBLANK(DaybyDay[[#This Row],[Appts]]),ISBLANK(DaybyDay[[#This Row],[Service-Actuals]]),ISBLANK(DaybyDay[[#This Row],[Retail-Actuals]])))</f>
        <v>1</v>
      </c>
      <c r="Y25" s="36">
        <f>IF(DaybyDay[[#This Row],[_Space]],IFERROR(
((DaybyDay[[#This Row],[Actual-Rollup]]-DaybyDay[[#This Row],[LY-Rollup]])/DaybyDay[[#This Row],[LY-Rollup]]),0),"")</f>
        <v>0</v>
      </c>
      <c r="Z25"/>
      <c r="AA25" s="37" t="e">
        <f>IF(DaybyDay[[#This Row],[_Space]],DaybyDay[[#This Row],[Ret-Act-RU]]/DaybyDay[[#This Row],[Serv-Act-RU]],"")</f>
        <v>#DIV/0!</v>
      </c>
      <c r="AB25" s="50" t="e">
        <f>IF(DaybyDay[[#This Row],[_Space]],DaybyDay[[#This Row],[RETPEN-Act]]/DaybyDay[[#This Row],[RETPEN-Bud]],"")</f>
        <v>#DIV/0!</v>
      </c>
      <c r="AC25" s="37" t="e">
        <f>IF(DaybyDay[[#This Row],[_Space]],DaybyDay[[#This Row],[Ret-Bud-RU]]/DaybyDay[[#This Row],[Serv-Bud-RU]],"")</f>
        <v>#DIV/0!</v>
      </c>
      <c r="AD25" s="37" t="e">
        <f>IF(DaybyDay[[#This Row],[_Space]],DaybyDay[[#This Row],[Ret-LY-RU]]/DaybyDay[[#This Row],[Serv-LY-RU]],"")</f>
        <v>#DIV/0!</v>
      </c>
      <c r="AE25" s="30">
        <f>WEEKDAY(DaybyDay[[#This Row],[LY-Date]])</f>
        <v>5</v>
      </c>
      <c r="AF25" s="38">
        <f>$E$2+_xlfn.DAYS(DaybyDay[[#This Row],[Date]],minDate)</f>
        <v>42390</v>
      </c>
      <c r="AG25" s="39" t="str" cm="1">
        <f t="array" ref="AG25">IFERROR(INDEX(DaybyDay[],DaybyDay[[#This Row],[FORM_MATCH_HELPER]],8),"")</f>
        <v/>
      </c>
      <c r="AH25" s="39" t="str" cm="1">
        <f t="array" ref="AH25">IFERROR(INDEX(DaybyDay[],DaybyDay[[#This Row],[FORM_MATCH_HELPER]],10),"")</f>
        <v/>
      </c>
      <c r="AI25" s="39" t="str" cm="1">
        <f t="array" ref="AI25">IFERROR(INDEX(DaybyDay[],DaybyDay[[#This Row],[FORM_MATCH_HELPER]],12),"")</f>
        <v/>
      </c>
      <c r="AJ25" s="32">
        <f>IFERROR(DaybyDay[[#This Row],[Serv-LY-RU]]+DaybyDay[[#This Row],[Ret-LY-RU]],"")</f>
        <v>0</v>
      </c>
      <c r="AK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 s="77"/>
      <c r="AM25" s="40" t="str">
        <f>IF(DaybyDay[[#This Row],[Admin Hours]]&gt;0,DaybyDay[[#This Row],[Admin Hours]]*$AM$2+$AM$3,"")</f>
        <v/>
      </c>
      <c r="AN25" s="40">
        <f>SUMIFS(DaybyDay[Est-Admin-Payroll],DaybyDay[Date],"&gt;="&amp;$C$5,DaybyDay[RowYear],"&gt;="&amp;$C$4,DaybyDay[Date],"&lt;="&amp;DaybyDay[[#This Row],[Date]])</f>
        <v>0</v>
      </c>
      <c r="AO25" s="41" t="str">
        <f>IF(AND(DaybyDay[[#This Row],[_Space]],ISNUMBER(DaybyDay[[#This Row],[Admin Hours]])),DaybyDay[[#This Row],[Est-Admin-Payroll]]/(DaybyDay[[#This Row],[Service-Actuals]]+DaybyDay[[#This Row],[Retail-Actuals]]),"")</f>
        <v/>
      </c>
      <c r="AP25" s="41" t="e">
        <f>DaybyDay[[#This Row],[Estimated-Payroll-Rollup]]/DaybyDay[[#This Row],[Simple-Forecast]]</f>
        <v>#DIV/0!</v>
      </c>
      <c r="AQ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 s="77"/>
      <c r="AS25" s="40" t="str">
        <f>IF(DaybyDay[[#This Row],[Retail Hours]]&gt;0,DaybyDay[[#This Row],[Retail Hours]]*$AS$2,"")</f>
        <v/>
      </c>
      <c r="AT25" s="40">
        <f>SUMIFS(DaybyDay[Est-Retail-Payroll],DaybyDay[Date],"&gt;="&amp;$C$5,DaybyDay[RowYear],"&gt;="&amp;$C$4,DaybyDay[Date],"&lt;="&amp;DaybyDay[[#This Row],[Date]])</f>
        <v>0</v>
      </c>
      <c r="AU25" s="82" t="str">
        <f>IF(AND(DaybyDay[[#This Row],[_Space]],ISNUMBER(DaybyDay[[#This Row],[Retail Hours]])),DaybyDay[[#This Row],[Est-Retail-Payroll]]/(DaybyDay[[#This Row],[Retail-Actuals]]),"")</f>
        <v/>
      </c>
      <c r="AV25" s="82" t="e">
        <f>DaybyDay[[#This Row],[Est-Retail-PayrollRU]]/DaybyDay[[#This Row],[Simple-Forecast-Retail]]</f>
        <v>#DIV/0!</v>
      </c>
      <c r="AW25" s="8"/>
    </row>
    <row r="26" spans="3:49" hidden="1" x14ac:dyDescent="0.25">
      <c r="C26" s="26" t="str">
        <f>Tools!$C$1</f>
        <v>Example</v>
      </c>
      <c r="D26" s="27" t="s">
        <v>68</v>
      </c>
      <c r="E26" s="28">
        <v>2017</v>
      </c>
      <c r="F26" s="28">
        <f>MATCH(DaybyDay[[#This Row],[RowMonth]],Table3[SummaryMonth],0)</f>
        <v>1</v>
      </c>
      <c r="G26" s="29" t="e">
        <f>MATCH(DaybyDay[[#This Row],[LY-Date]],DaybyDay[Date],0)</f>
        <v>#N/A</v>
      </c>
      <c r="H26" s="30">
        <f>WEEKDAY(DaybyDay[[#This Row],[Date]])</f>
        <v>6</v>
      </c>
      <c r="I26" s="31">
        <v>42755</v>
      </c>
      <c r="J26" s="74">
        <v>42</v>
      </c>
      <c r="K26" s="32">
        <f>SUMIFS(BudgetSeasonality[365 Seasonality],BudgetSeasonality[MonthAdjustment],DaybyDay[[#This Row],[Date]])*SUMIFS(Budgets[Service-Budget],Budgets[BudgetMonth],DaybyDay[[#This Row],[RowMonth]],Budgets[BudgetYear],DaybyDay[[#This Row],[RowYear]])</f>
        <v>0</v>
      </c>
      <c r="L26" s="75">
        <v>9069.84</v>
      </c>
      <c r="M26" s="32">
        <f>INDEX(BudgetSeasonality[365 Seasonality],MATCH(DaybyDay[[#This Row],[Date]],BudgetSeasonality[MonthAdjustment],0))*SUMIFS(Budgets[Retail-Budget],Budgets[BudgetMonth],DaybyDay[[#This Row],[RowMonth]],Budgets[BudgetYear],DaybyDay[[#This Row],[RowYear]])</f>
        <v>0</v>
      </c>
      <c r="N26" s="75">
        <v>941</v>
      </c>
      <c r="O26" s="33">
        <f>SUMIFS(DaybyDay[Service-Budgets],DaybyDay[Date],"&gt;="&amp;$C$5,DaybyDay[RowYear],"&gt;="&amp;$C$4,DaybyDay[Date],"&lt;="&amp;DaybyDay[[#This Row],[Date]])</f>
        <v>0</v>
      </c>
      <c r="P26" s="33">
        <f>SUMIFS(DaybyDay[Retail-Budgets],DaybyDay[Date],"&gt;="&amp;$C$5,DaybyDay[RowYear],"&gt;="&amp;$C$4,DaybyDay[Date],"&lt;="&amp;DaybyDay[[#This Row],[Date]])</f>
        <v>0</v>
      </c>
      <c r="Q26" s="34">
        <f>SUMIFS(DaybyDay[Service-Actuals],DaybyDay[Date],"&gt;="&amp;$C$5,DaybyDay[RowYear],"&gt;="&amp;$C$4,DaybyDay[Date],"&lt;="&amp;DaybyDay[[#This Row],[Date]])</f>
        <v>0</v>
      </c>
      <c r="R26" s="34">
        <f>SUMIFS(DaybyDay[Retail-Actuals],DaybyDay[Date],"&gt;="&amp;$C$5,DaybyDay[RowYear],"&gt;="&amp;$C$4,DaybyDay[Date],"&lt;="&amp;DaybyDay[[#This Row],[Date]])</f>
        <v>0</v>
      </c>
      <c r="S26" s="35">
        <f>SUMIFS(DaybyDay[Service-LY],DaybyDay[Date],"&gt;="&amp;$C$5,DaybyDay[RowYear],"&gt;="&amp;$C$4,DaybyDay[Date],"&lt;="&amp;DaybyDay[[#This Row],[Date]])</f>
        <v>0</v>
      </c>
      <c r="T26" s="35">
        <f>SUMIFS(DaybyDay[Retail-LY],DaybyDay[Date],"&gt;="&amp;$C$5,DaybyDay[RowYear],"&gt;="&amp;$C$4,DaybyDay[Date],"&lt;="&amp;DaybyDay[[#This Row],[Date]])</f>
        <v>0</v>
      </c>
      <c r="U26" s="32">
        <f>DaybyDay[[#This Row],[Serv-Bud-RU]]+DaybyDay[[#This Row],[Ret-Bud-RU]]</f>
        <v>0</v>
      </c>
      <c r="V26" s="32">
        <f>DaybyDay[[#This Row],[Serv-Act-RU]]+DaybyDay[[#This Row],[Ret-Act-RU]]</f>
        <v>0</v>
      </c>
      <c r="W26" s="36">
        <f>IF(DaybyDay[[#This Row],[_Space]],IFERROR(
((DaybyDay[[#This Row],[Actual-Rollup]]-DaybyDay[[#This Row],[Budget-Rollup]])/DaybyDay[[#This Row],[Budget-Rollup]]),0),"")</f>
        <v>0</v>
      </c>
      <c r="X26" t="b">
        <f>NOT(AND(ISBLANK(DaybyDay[[#This Row],[Appts]]),ISBLANK(DaybyDay[[#This Row],[Service-Actuals]]),ISBLANK(DaybyDay[[#This Row],[Retail-Actuals]])))</f>
        <v>1</v>
      </c>
      <c r="Y26" s="36">
        <f>IF(DaybyDay[[#This Row],[_Space]],IFERROR(
((DaybyDay[[#This Row],[Actual-Rollup]]-DaybyDay[[#This Row],[LY-Rollup]])/DaybyDay[[#This Row],[LY-Rollup]]),0),"")</f>
        <v>0</v>
      </c>
      <c r="Z26"/>
      <c r="AA26" s="37" t="e">
        <f>IF(DaybyDay[[#This Row],[_Space]],DaybyDay[[#This Row],[Ret-Act-RU]]/DaybyDay[[#This Row],[Serv-Act-RU]],"")</f>
        <v>#DIV/0!</v>
      </c>
      <c r="AB26" s="50" t="e">
        <f>IF(DaybyDay[[#This Row],[_Space]],DaybyDay[[#This Row],[RETPEN-Act]]/DaybyDay[[#This Row],[RETPEN-Bud]],"")</f>
        <v>#DIV/0!</v>
      </c>
      <c r="AC26" s="37" t="e">
        <f>IF(DaybyDay[[#This Row],[_Space]],DaybyDay[[#This Row],[Ret-Bud-RU]]/DaybyDay[[#This Row],[Serv-Bud-RU]],"")</f>
        <v>#DIV/0!</v>
      </c>
      <c r="AD26" s="37" t="e">
        <f>IF(DaybyDay[[#This Row],[_Space]],DaybyDay[[#This Row],[Ret-LY-RU]]/DaybyDay[[#This Row],[Serv-LY-RU]],"")</f>
        <v>#DIV/0!</v>
      </c>
      <c r="AE26" s="30">
        <f>WEEKDAY(DaybyDay[[#This Row],[LY-Date]])</f>
        <v>6</v>
      </c>
      <c r="AF26" s="38">
        <f>$E$2+_xlfn.DAYS(DaybyDay[[#This Row],[Date]],minDate)</f>
        <v>42391</v>
      </c>
      <c r="AG26" s="39" t="str" cm="1">
        <f t="array" ref="AG26">IFERROR(INDEX(DaybyDay[],DaybyDay[[#This Row],[FORM_MATCH_HELPER]],8),"")</f>
        <v/>
      </c>
      <c r="AH26" s="39" t="str" cm="1">
        <f t="array" ref="AH26">IFERROR(INDEX(DaybyDay[],DaybyDay[[#This Row],[FORM_MATCH_HELPER]],10),"")</f>
        <v/>
      </c>
      <c r="AI26" s="39" t="str" cm="1">
        <f t="array" ref="AI26">IFERROR(INDEX(DaybyDay[],DaybyDay[[#This Row],[FORM_MATCH_HELPER]],12),"")</f>
        <v/>
      </c>
      <c r="AJ26" s="32">
        <f>IFERROR(DaybyDay[[#This Row],[Serv-LY-RU]]+DaybyDay[[#This Row],[Ret-LY-RU]],"")</f>
        <v>0</v>
      </c>
      <c r="AK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 s="77"/>
      <c r="AM26" s="40" t="str">
        <f>IF(DaybyDay[[#This Row],[Admin Hours]]&gt;0,DaybyDay[[#This Row],[Admin Hours]]*$AM$2+$AM$3,"")</f>
        <v/>
      </c>
      <c r="AN26" s="40">
        <f>SUMIFS(DaybyDay[Est-Admin-Payroll],DaybyDay[Date],"&gt;="&amp;$C$5,DaybyDay[RowYear],"&gt;="&amp;$C$4,DaybyDay[Date],"&lt;="&amp;DaybyDay[[#This Row],[Date]])</f>
        <v>0</v>
      </c>
      <c r="AO26" s="41" t="str">
        <f>IF(AND(DaybyDay[[#This Row],[_Space]],ISNUMBER(DaybyDay[[#This Row],[Admin Hours]])),DaybyDay[[#This Row],[Est-Admin-Payroll]]/(DaybyDay[[#This Row],[Service-Actuals]]+DaybyDay[[#This Row],[Retail-Actuals]]),"")</f>
        <v/>
      </c>
      <c r="AP26" s="41" t="e">
        <f>DaybyDay[[#This Row],[Estimated-Payroll-Rollup]]/DaybyDay[[#This Row],[Simple-Forecast]]</f>
        <v>#DIV/0!</v>
      </c>
      <c r="AQ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 s="77"/>
      <c r="AS26" s="40" t="str">
        <f>IF(DaybyDay[[#This Row],[Retail Hours]]&gt;0,DaybyDay[[#This Row],[Retail Hours]]*$AS$2,"")</f>
        <v/>
      </c>
      <c r="AT26" s="40">
        <f>SUMIFS(DaybyDay[Est-Retail-Payroll],DaybyDay[Date],"&gt;="&amp;$C$5,DaybyDay[RowYear],"&gt;="&amp;$C$4,DaybyDay[Date],"&lt;="&amp;DaybyDay[[#This Row],[Date]])</f>
        <v>0</v>
      </c>
      <c r="AU26" s="82" t="str">
        <f>IF(AND(DaybyDay[[#This Row],[_Space]],ISNUMBER(DaybyDay[[#This Row],[Retail Hours]])),DaybyDay[[#This Row],[Est-Retail-Payroll]]/(DaybyDay[[#This Row],[Retail-Actuals]]),"")</f>
        <v/>
      </c>
      <c r="AV26" s="82" t="e">
        <f>DaybyDay[[#This Row],[Est-Retail-PayrollRU]]/DaybyDay[[#This Row],[Simple-Forecast-Retail]]</f>
        <v>#DIV/0!</v>
      </c>
      <c r="AW26" s="8"/>
    </row>
    <row r="27" spans="3:49" hidden="1" x14ac:dyDescent="0.25">
      <c r="C27" s="26" t="str">
        <f>Tools!$C$1</f>
        <v>Example</v>
      </c>
      <c r="D27" s="27" t="s">
        <v>68</v>
      </c>
      <c r="E27" s="28">
        <v>2017</v>
      </c>
      <c r="F27" s="28">
        <f>MATCH(DaybyDay[[#This Row],[RowMonth]],Table3[SummaryMonth],0)</f>
        <v>1</v>
      </c>
      <c r="G27" s="29" t="e">
        <f>MATCH(DaybyDay[[#This Row],[LY-Date]],DaybyDay[Date],0)</f>
        <v>#N/A</v>
      </c>
      <c r="H27" s="30">
        <f>WEEKDAY(DaybyDay[[#This Row],[Date]])</f>
        <v>7</v>
      </c>
      <c r="I27" s="31">
        <v>42756</v>
      </c>
      <c r="J27" s="74">
        <v>51</v>
      </c>
      <c r="K27" s="32">
        <f>SUMIFS(BudgetSeasonality[365 Seasonality],BudgetSeasonality[MonthAdjustment],DaybyDay[[#This Row],[Date]])*SUMIFS(Budgets[Service-Budget],Budgets[BudgetMonth],DaybyDay[[#This Row],[RowMonth]],Budgets[BudgetYear],DaybyDay[[#This Row],[RowYear]])</f>
        <v>0</v>
      </c>
      <c r="L27" s="75">
        <v>9373.75</v>
      </c>
      <c r="M27" s="32">
        <f>INDEX(BudgetSeasonality[365 Seasonality],MATCH(DaybyDay[[#This Row],[Date]],BudgetSeasonality[MonthAdjustment],0))*SUMIFS(Budgets[Retail-Budget],Budgets[BudgetMonth],DaybyDay[[#This Row],[RowMonth]],Budgets[BudgetYear],DaybyDay[[#This Row],[RowYear]])</f>
        <v>0</v>
      </c>
      <c r="N27" s="75">
        <v>788.98</v>
      </c>
      <c r="O27" s="33">
        <f>SUMIFS(DaybyDay[Service-Budgets],DaybyDay[Date],"&gt;="&amp;$C$5,DaybyDay[RowYear],"&gt;="&amp;$C$4,DaybyDay[Date],"&lt;="&amp;DaybyDay[[#This Row],[Date]])</f>
        <v>0</v>
      </c>
      <c r="P27" s="33">
        <f>SUMIFS(DaybyDay[Retail-Budgets],DaybyDay[Date],"&gt;="&amp;$C$5,DaybyDay[RowYear],"&gt;="&amp;$C$4,DaybyDay[Date],"&lt;="&amp;DaybyDay[[#This Row],[Date]])</f>
        <v>0</v>
      </c>
      <c r="Q27" s="34">
        <f>SUMIFS(DaybyDay[Service-Actuals],DaybyDay[Date],"&gt;="&amp;$C$5,DaybyDay[RowYear],"&gt;="&amp;$C$4,DaybyDay[Date],"&lt;="&amp;DaybyDay[[#This Row],[Date]])</f>
        <v>0</v>
      </c>
      <c r="R27" s="34">
        <f>SUMIFS(DaybyDay[Retail-Actuals],DaybyDay[Date],"&gt;="&amp;$C$5,DaybyDay[RowYear],"&gt;="&amp;$C$4,DaybyDay[Date],"&lt;="&amp;DaybyDay[[#This Row],[Date]])</f>
        <v>0</v>
      </c>
      <c r="S27" s="35">
        <f>SUMIFS(DaybyDay[Service-LY],DaybyDay[Date],"&gt;="&amp;$C$5,DaybyDay[RowYear],"&gt;="&amp;$C$4,DaybyDay[Date],"&lt;="&amp;DaybyDay[[#This Row],[Date]])</f>
        <v>0</v>
      </c>
      <c r="T27" s="35">
        <f>SUMIFS(DaybyDay[Retail-LY],DaybyDay[Date],"&gt;="&amp;$C$5,DaybyDay[RowYear],"&gt;="&amp;$C$4,DaybyDay[Date],"&lt;="&amp;DaybyDay[[#This Row],[Date]])</f>
        <v>0</v>
      </c>
      <c r="U27" s="32">
        <f>DaybyDay[[#This Row],[Serv-Bud-RU]]+DaybyDay[[#This Row],[Ret-Bud-RU]]</f>
        <v>0</v>
      </c>
      <c r="V27" s="32">
        <f>DaybyDay[[#This Row],[Serv-Act-RU]]+DaybyDay[[#This Row],[Ret-Act-RU]]</f>
        <v>0</v>
      </c>
      <c r="W27" s="36">
        <f>IF(DaybyDay[[#This Row],[_Space]],IFERROR(
((DaybyDay[[#This Row],[Actual-Rollup]]-DaybyDay[[#This Row],[Budget-Rollup]])/DaybyDay[[#This Row],[Budget-Rollup]]),0),"")</f>
        <v>0</v>
      </c>
      <c r="X27" t="b">
        <f>NOT(AND(ISBLANK(DaybyDay[[#This Row],[Appts]]),ISBLANK(DaybyDay[[#This Row],[Service-Actuals]]),ISBLANK(DaybyDay[[#This Row],[Retail-Actuals]])))</f>
        <v>1</v>
      </c>
      <c r="Y27" s="36">
        <f>IF(DaybyDay[[#This Row],[_Space]],IFERROR(
((DaybyDay[[#This Row],[Actual-Rollup]]-DaybyDay[[#This Row],[LY-Rollup]])/DaybyDay[[#This Row],[LY-Rollup]]),0),"")</f>
        <v>0</v>
      </c>
      <c r="Z27"/>
      <c r="AA27" s="37" t="e">
        <f>IF(DaybyDay[[#This Row],[_Space]],DaybyDay[[#This Row],[Ret-Act-RU]]/DaybyDay[[#This Row],[Serv-Act-RU]],"")</f>
        <v>#DIV/0!</v>
      </c>
      <c r="AB27" s="50" t="e">
        <f>IF(DaybyDay[[#This Row],[_Space]],DaybyDay[[#This Row],[RETPEN-Act]]/DaybyDay[[#This Row],[RETPEN-Bud]],"")</f>
        <v>#DIV/0!</v>
      </c>
      <c r="AC27" s="37" t="e">
        <f>IF(DaybyDay[[#This Row],[_Space]],DaybyDay[[#This Row],[Ret-Bud-RU]]/DaybyDay[[#This Row],[Serv-Bud-RU]],"")</f>
        <v>#DIV/0!</v>
      </c>
      <c r="AD27" s="37" t="e">
        <f>IF(DaybyDay[[#This Row],[_Space]],DaybyDay[[#This Row],[Ret-LY-RU]]/DaybyDay[[#This Row],[Serv-LY-RU]],"")</f>
        <v>#DIV/0!</v>
      </c>
      <c r="AE27" s="30">
        <f>WEEKDAY(DaybyDay[[#This Row],[LY-Date]])</f>
        <v>7</v>
      </c>
      <c r="AF27" s="38">
        <f>$E$2+_xlfn.DAYS(DaybyDay[[#This Row],[Date]],minDate)</f>
        <v>42392</v>
      </c>
      <c r="AG27" s="39" t="str" cm="1">
        <f t="array" ref="AG27">IFERROR(INDEX(DaybyDay[],DaybyDay[[#This Row],[FORM_MATCH_HELPER]],8),"")</f>
        <v/>
      </c>
      <c r="AH27" s="39" t="str" cm="1">
        <f t="array" ref="AH27">IFERROR(INDEX(DaybyDay[],DaybyDay[[#This Row],[FORM_MATCH_HELPER]],10),"")</f>
        <v/>
      </c>
      <c r="AI27" s="39" t="str" cm="1">
        <f t="array" ref="AI27">IFERROR(INDEX(DaybyDay[],DaybyDay[[#This Row],[FORM_MATCH_HELPER]],12),"")</f>
        <v/>
      </c>
      <c r="AJ27" s="32">
        <f>IFERROR(DaybyDay[[#This Row],[Serv-LY-RU]]+DaybyDay[[#This Row],[Ret-LY-RU]],"")</f>
        <v>0</v>
      </c>
      <c r="AK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 s="77"/>
      <c r="AM27" s="40" t="str">
        <f>IF(DaybyDay[[#This Row],[Admin Hours]]&gt;0,DaybyDay[[#This Row],[Admin Hours]]*$AM$2+$AM$3,"")</f>
        <v/>
      </c>
      <c r="AN27" s="40">
        <f>SUMIFS(DaybyDay[Est-Admin-Payroll],DaybyDay[Date],"&gt;="&amp;$C$5,DaybyDay[RowYear],"&gt;="&amp;$C$4,DaybyDay[Date],"&lt;="&amp;DaybyDay[[#This Row],[Date]])</f>
        <v>0</v>
      </c>
      <c r="AO27" s="41" t="str">
        <f>IF(AND(DaybyDay[[#This Row],[_Space]],ISNUMBER(DaybyDay[[#This Row],[Admin Hours]])),DaybyDay[[#This Row],[Est-Admin-Payroll]]/(DaybyDay[[#This Row],[Service-Actuals]]+DaybyDay[[#This Row],[Retail-Actuals]]),"")</f>
        <v/>
      </c>
      <c r="AP27" s="41" t="e">
        <f>DaybyDay[[#This Row],[Estimated-Payroll-Rollup]]/DaybyDay[[#This Row],[Simple-Forecast]]</f>
        <v>#DIV/0!</v>
      </c>
      <c r="AQ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 s="77"/>
      <c r="AS27" s="40" t="str">
        <f>IF(DaybyDay[[#This Row],[Retail Hours]]&gt;0,DaybyDay[[#This Row],[Retail Hours]]*$AS$2,"")</f>
        <v/>
      </c>
      <c r="AT27" s="40">
        <f>SUMIFS(DaybyDay[Est-Retail-Payroll],DaybyDay[Date],"&gt;="&amp;$C$5,DaybyDay[RowYear],"&gt;="&amp;$C$4,DaybyDay[Date],"&lt;="&amp;DaybyDay[[#This Row],[Date]])</f>
        <v>0</v>
      </c>
      <c r="AU27" s="82" t="str">
        <f>IF(AND(DaybyDay[[#This Row],[_Space]],ISNUMBER(DaybyDay[[#This Row],[Retail Hours]])),DaybyDay[[#This Row],[Est-Retail-Payroll]]/(DaybyDay[[#This Row],[Retail-Actuals]]),"")</f>
        <v/>
      </c>
      <c r="AV27" s="82" t="e">
        <f>DaybyDay[[#This Row],[Est-Retail-PayrollRU]]/DaybyDay[[#This Row],[Simple-Forecast-Retail]]</f>
        <v>#DIV/0!</v>
      </c>
      <c r="AW27" s="8"/>
    </row>
    <row r="28" spans="3:49" hidden="1" x14ac:dyDescent="0.25">
      <c r="C28" s="26" t="str">
        <f>Tools!$C$1</f>
        <v>Example</v>
      </c>
      <c r="D28" s="27" t="s">
        <v>68</v>
      </c>
      <c r="E28" s="28">
        <v>2017</v>
      </c>
      <c r="F28" s="28">
        <f>MATCH(DaybyDay[[#This Row],[RowMonth]],Table3[SummaryMonth],0)</f>
        <v>1</v>
      </c>
      <c r="G28" s="29" t="e">
        <f>MATCH(DaybyDay[[#This Row],[LY-Date]],DaybyDay[Date],0)</f>
        <v>#N/A</v>
      </c>
      <c r="H28" s="30">
        <f>WEEKDAY(DaybyDay[[#This Row],[Date]])</f>
        <v>1</v>
      </c>
      <c r="I28" s="31">
        <v>42757</v>
      </c>
      <c r="J28" s="74">
        <v>43</v>
      </c>
      <c r="K28" s="32">
        <f>SUMIFS(BudgetSeasonality[365 Seasonality],BudgetSeasonality[MonthAdjustment],DaybyDay[[#This Row],[Date]])*SUMIFS(Budgets[Service-Budget],Budgets[BudgetMonth],DaybyDay[[#This Row],[RowMonth]],Budgets[BudgetYear],DaybyDay[[#This Row],[RowYear]])</f>
        <v>0</v>
      </c>
      <c r="L28" s="75">
        <v>6444.47</v>
      </c>
      <c r="M28" s="32">
        <f>INDEX(BudgetSeasonality[365 Seasonality],MATCH(DaybyDay[[#This Row],[Date]],BudgetSeasonality[MonthAdjustment],0))*SUMIFS(Budgets[Retail-Budget],Budgets[BudgetMonth],DaybyDay[[#This Row],[RowMonth]],Budgets[BudgetYear],DaybyDay[[#This Row],[RowYear]])</f>
        <v>0</v>
      </c>
      <c r="N28" s="75">
        <v>284.60000000000002</v>
      </c>
      <c r="O28" s="33">
        <f>SUMIFS(DaybyDay[Service-Budgets],DaybyDay[Date],"&gt;="&amp;$C$5,DaybyDay[RowYear],"&gt;="&amp;$C$4,DaybyDay[Date],"&lt;="&amp;DaybyDay[[#This Row],[Date]])</f>
        <v>0</v>
      </c>
      <c r="P28" s="33">
        <f>SUMIFS(DaybyDay[Retail-Budgets],DaybyDay[Date],"&gt;="&amp;$C$5,DaybyDay[RowYear],"&gt;="&amp;$C$4,DaybyDay[Date],"&lt;="&amp;DaybyDay[[#This Row],[Date]])</f>
        <v>0</v>
      </c>
      <c r="Q28" s="34">
        <f>SUMIFS(DaybyDay[Service-Actuals],DaybyDay[Date],"&gt;="&amp;$C$5,DaybyDay[RowYear],"&gt;="&amp;$C$4,DaybyDay[Date],"&lt;="&amp;DaybyDay[[#This Row],[Date]])</f>
        <v>0</v>
      </c>
      <c r="R28" s="34">
        <f>SUMIFS(DaybyDay[Retail-Actuals],DaybyDay[Date],"&gt;="&amp;$C$5,DaybyDay[RowYear],"&gt;="&amp;$C$4,DaybyDay[Date],"&lt;="&amp;DaybyDay[[#This Row],[Date]])</f>
        <v>0</v>
      </c>
      <c r="S28" s="35">
        <f>SUMIFS(DaybyDay[Service-LY],DaybyDay[Date],"&gt;="&amp;$C$5,DaybyDay[RowYear],"&gt;="&amp;$C$4,DaybyDay[Date],"&lt;="&amp;DaybyDay[[#This Row],[Date]])</f>
        <v>0</v>
      </c>
      <c r="T28" s="35">
        <f>SUMIFS(DaybyDay[Retail-LY],DaybyDay[Date],"&gt;="&amp;$C$5,DaybyDay[RowYear],"&gt;="&amp;$C$4,DaybyDay[Date],"&lt;="&amp;DaybyDay[[#This Row],[Date]])</f>
        <v>0</v>
      </c>
      <c r="U28" s="32">
        <f>DaybyDay[[#This Row],[Serv-Bud-RU]]+DaybyDay[[#This Row],[Ret-Bud-RU]]</f>
        <v>0</v>
      </c>
      <c r="V28" s="32">
        <f>DaybyDay[[#This Row],[Serv-Act-RU]]+DaybyDay[[#This Row],[Ret-Act-RU]]</f>
        <v>0</v>
      </c>
      <c r="W28" s="36">
        <f>IF(DaybyDay[[#This Row],[_Space]],IFERROR(
((DaybyDay[[#This Row],[Actual-Rollup]]-DaybyDay[[#This Row],[Budget-Rollup]])/DaybyDay[[#This Row],[Budget-Rollup]]),0),"")</f>
        <v>0</v>
      </c>
      <c r="X28" t="b">
        <f>NOT(AND(ISBLANK(DaybyDay[[#This Row],[Appts]]),ISBLANK(DaybyDay[[#This Row],[Service-Actuals]]),ISBLANK(DaybyDay[[#This Row],[Retail-Actuals]])))</f>
        <v>1</v>
      </c>
      <c r="Y28" s="36">
        <f>IF(DaybyDay[[#This Row],[_Space]],IFERROR(
((DaybyDay[[#This Row],[Actual-Rollup]]-DaybyDay[[#This Row],[LY-Rollup]])/DaybyDay[[#This Row],[LY-Rollup]]),0),"")</f>
        <v>0</v>
      </c>
      <c r="Z28"/>
      <c r="AA28" s="37" t="e">
        <f>IF(DaybyDay[[#This Row],[_Space]],DaybyDay[[#This Row],[Ret-Act-RU]]/DaybyDay[[#This Row],[Serv-Act-RU]],"")</f>
        <v>#DIV/0!</v>
      </c>
      <c r="AB28" s="50" t="e">
        <f>IF(DaybyDay[[#This Row],[_Space]],DaybyDay[[#This Row],[RETPEN-Act]]/DaybyDay[[#This Row],[RETPEN-Bud]],"")</f>
        <v>#DIV/0!</v>
      </c>
      <c r="AC28" s="37" t="e">
        <f>IF(DaybyDay[[#This Row],[_Space]],DaybyDay[[#This Row],[Ret-Bud-RU]]/DaybyDay[[#This Row],[Serv-Bud-RU]],"")</f>
        <v>#DIV/0!</v>
      </c>
      <c r="AD28" s="37" t="e">
        <f>IF(DaybyDay[[#This Row],[_Space]],DaybyDay[[#This Row],[Ret-LY-RU]]/DaybyDay[[#This Row],[Serv-LY-RU]],"")</f>
        <v>#DIV/0!</v>
      </c>
      <c r="AE28" s="30">
        <f>WEEKDAY(DaybyDay[[#This Row],[LY-Date]])</f>
        <v>1</v>
      </c>
      <c r="AF28" s="38">
        <f>$E$2+_xlfn.DAYS(DaybyDay[[#This Row],[Date]],minDate)</f>
        <v>42393</v>
      </c>
      <c r="AG28" s="39" t="str" cm="1">
        <f t="array" ref="AG28">IFERROR(INDEX(DaybyDay[],DaybyDay[[#This Row],[FORM_MATCH_HELPER]],8),"")</f>
        <v/>
      </c>
      <c r="AH28" s="39" t="str" cm="1">
        <f t="array" ref="AH28">IFERROR(INDEX(DaybyDay[],DaybyDay[[#This Row],[FORM_MATCH_HELPER]],10),"")</f>
        <v/>
      </c>
      <c r="AI28" s="39" t="str" cm="1">
        <f t="array" ref="AI28">IFERROR(INDEX(DaybyDay[],DaybyDay[[#This Row],[FORM_MATCH_HELPER]],12),"")</f>
        <v/>
      </c>
      <c r="AJ28" s="32">
        <f>IFERROR(DaybyDay[[#This Row],[Serv-LY-RU]]+DaybyDay[[#This Row],[Ret-LY-RU]],"")</f>
        <v>0</v>
      </c>
      <c r="AK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 s="77"/>
      <c r="AM28" s="40" t="str">
        <f>IF(DaybyDay[[#This Row],[Admin Hours]]&gt;0,DaybyDay[[#This Row],[Admin Hours]]*$AM$2+$AM$3,"")</f>
        <v/>
      </c>
      <c r="AN28" s="40">
        <f>SUMIFS(DaybyDay[Est-Admin-Payroll],DaybyDay[Date],"&gt;="&amp;$C$5,DaybyDay[RowYear],"&gt;="&amp;$C$4,DaybyDay[Date],"&lt;="&amp;DaybyDay[[#This Row],[Date]])</f>
        <v>0</v>
      </c>
      <c r="AO28" s="41" t="str">
        <f>IF(AND(DaybyDay[[#This Row],[_Space]],ISNUMBER(DaybyDay[[#This Row],[Admin Hours]])),DaybyDay[[#This Row],[Est-Admin-Payroll]]/(DaybyDay[[#This Row],[Service-Actuals]]+DaybyDay[[#This Row],[Retail-Actuals]]),"")</f>
        <v/>
      </c>
      <c r="AP28" s="41" t="e">
        <f>DaybyDay[[#This Row],[Estimated-Payroll-Rollup]]/DaybyDay[[#This Row],[Simple-Forecast]]</f>
        <v>#DIV/0!</v>
      </c>
      <c r="AQ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 s="77"/>
      <c r="AS28" s="40" t="str">
        <f>IF(DaybyDay[[#This Row],[Retail Hours]]&gt;0,DaybyDay[[#This Row],[Retail Hours]]*$AS$2,"")</f>
        <v/>
      </c>
      <c r="AT28" s="40">
        <f>SUMIFS(DaybyDay[Est-Retail-Payroll],DaybyDay[Date],"&gt;="&amp;$C$5,DaybyDay[RowYear],"&gt;="&amp;$C$4,DaybyDay[Date],"&lt;="&amp;DaybyDay[[#This Row],[Date]])</f>
        <v>0</v>
      </c>
      <c r="AU28" s="82" t="str">
        <f>IF(AND(DaybyDay[[#This Row],[_Space]],ISNUMBER(DaybyDay[[#This Row],[Retail Hours]])),DaybyDay[[#This Row],[Est-Retail-Payroll]]/(DaybyDay[[#This Row],[Retail-Actuals]]),"")</f>
        <v/>
      </c>
      <c r="AV28" s="82" t="e">
        <f>DaybyDay[[#This Row],[Est-Retail-PayrollRU]]/DaybyDay[[#This Row],[Simple-Forecast-Retail]]</f>
        <v>#DIV/0!</v>
      </c>
      <c r="AW28" s="8"/>
    </row>
    <row r="29" spans="3:49" hidden="1" x14ac:dyDescent="0.25">
      <c r="C29" s="26" t="str">
        <f>Tools!$C$1</f>
        <v>Example</v>
      </c>
      <c r="D29" s="27" t="s">
        <v>68</v>
      </c>
      <c r="E29" s="28">
        <v>2017</v>
      </c>
      <c r="F29" s="28">
        <f>MATCH(DaybyDay[[#This Row],[RowMonth]],Table3[SummaryMonth],0)</f>
        <v>1</v>
      </c>
      <c r="G29" s="29" t="e">
        <f>MATCH(DaybyDay[[#This Row],[LY-Date]],DaybyDay[Date],0)</f>
        <v>#N/A</v>
      </c>
      <c r="H29" s="30">
        <f>WEEKDAY(DaybyDay[[#This Row],[Date]])</f>
        <v>2</v>
      </c>
      <c r="I29" s="31">
        <v>42758</v>
      </c>
      <c r="J29" s="74">
        <v>34</v>
      </c>
      <c r="K29" s="32">
        <f>SUMIFS(BudgetSeasonality[365 Seasonality],BudgetSeasonality[MonthAdjustment],DaybyDay[[#This Row],[Date]])*SUMIFS(Budgets[Service-Budget],Budgets[BudgetMonth],DaybyDay[[#This Row],[RowMonth]],Budgets[BudgetYear],DaybyDay[[#This Row],[RowYear]])</f>
        <v>0</v>
      </c>
      <c r="L29" s="75">
        <v>4896.24</v>
      </c>
      <c r="M29" s="32">
        <f>INDEX(BudgetSeasonality[365 Seasonality],MATCH(DaybyDay[[#This Row],[Date]],BudgetSeasonality[MonthAdjustment],0))*SUMIFS(Budgets[Retail-Budget],Budgets[BudgetMonth],DaybyDay[[#This Row],[RowMonth]],Budgets[BudgetYear],DaybyDay[[#This Row],[RowYear]])</f>
        <v>0</v>
      </c>
      <c r="N29" s="75">
        <v>182.42</v>
      </c>
      <c r="O29" s="33">
        <f>SUMIFS(DaybyDay[Service-Budgets],DaybyDay[Date],"&gt;="&amp;$C$5,DaybyDay[RowYear],"&gt;="&amp;$C$4,DaybyDay[Date],"&lt;="&amp;DaybyDay[[#This Row],[Date]])</f>
        <v>0</v>
      </c>
      <c r="P29" s="33">
        <f>SUMIFS(DaybyDay[Retail-Budgets],DaybyDay[Date],"&gt;="&amp;$C$5,DaybyDay[RowYear],"&gt;="&amp;$C$4,DaybyDay[Date],"&lt;="&amp;DaybyDay[[#This Row],[Date]])</f>
        <v>0</v>
      </c>
      <c r="Q29" s="34">
        <f>SUMIFS(DaybyDay[Service-Actuals],DaybyDay[Date],"&gt;="&amp;$C$5,DaybyDay[RowYear],"&gt;="&amp;$C$4,DaybyDay[Date],"&lt;="&amp;DaybyDay[[#This Row],[Date]])</f>
        <v>0</v>
      </c>
      <c r="R29" s="34">
        <f>SUMIFS(DaybyDay[Retail-Actuals],DaybyDay[Date],"&gt;="&amp;$C$5,DaybyDay[RowYear],"&gt;="&amp;$C$4,DaybyDay[Date],"&lt;="&amp;DaybyDay[[#This Row],[Date]])</f>
        <v>0</v>
      </c>
      <c r="S29" s="35">
        <f>SUMIFS(DaybyDay[Service-LY],DaybyDay[Date],"&gt;="&amp;$C$5,DaybyDay[RowYear],"&gt;="&amp;$C$4,DaybyDay[Date],"&lt;="&amp;DaybyDay[[#This Row],[Date]])</f>
        <v>0</v>
      </c>
      <c r="T29" s="35">
        <f>SUMIFS(DaybyDay[Retail-LY],DaybyDay[Date],"&gt;="&amp;$C$5,DaybyDay[RowYear],"&gt;="&amp;$C$4,DaybyDay[Date],"&lt;="&amp;DaybyDay[[#This Row],[Date]])</f>
        <v>0</v>
      </c>
      <c r="U29" s="32">
        <f>DaybyDay[[#This Row],[Serv-Bud-RU]]+DaybyDay[[#This Row],[Ret-Bud-RU]]</f>
        <v>0</v>
      </c>
      <c r="V29" s="32">
        <f>DaybyDay[[#This Row],[Serv-Act-RU]]+DaybyDay[[#This Row],[Ret-Act-RU]]</f>
        <v>0</v>
      </c>
      <c r="W29" s="36">
        <f>IF(DaybyDay[[#This Row],[_Space]],IFERROR(
((DaybyDay[[#This Row],[Actual-Rollup]]-DaybyDay[[#This Row],[Budget-Rollup]])/DaybyDay[[#This Row],[Budget-Rollup]]),0),"")</f>
        <v>0</v>
      </c>
      <c r="X29" t="b">
        <f>NOT(AND(ISBLANK(DaybyDay[[#This Row],[Appts]]),ISBLANK(DaybyDay[[#This Row],[Service-Actuals]]),ISBLANK(DaybyDay[[#This Row],[Retail-Actuals]])))</f>
        <v>1</v>
      </c>
      <c r="Y29" s="36">
        <f>IF(DaybyDay[[#This Row],[_Space]],IFERROR(
((DaybyDay[[#This Row],[Actual-Rollup]]-DaybyDay[[#This Row],[LY-Rollup]])/DaybyDay[[#This Row],[LY-Rollup]]),0),"")</f>
        <v>0</v>
      </c>
      <c r="Z29"/>
      <c r="AA29" s="37" t="e">
        <f>IF(DaybyDay[[#This Row],[_Space]],DaybyDay[[#This Row],[Ret-Act-RU]]/DaybyDay[[#This Row],[Serv-Act-RU]],"")</f>
        <v>#DIV/0!</v>
      </c>
      <c r="AB29" s="50" t="e">
        <f>IF(DaybyDay[[#This Row],[_Space]],DaybyDay[[#This Row],[RETPEN-Act]]/DaybyDay[[#This Row],[RETPEN-Bud]],"")</f>
        <v>#DIV/0!</v>
      </c>
      <c r="AC29" s="37" t="e">
        <f>IF(DaybyDay[[#This Row],[_Space]],DaybyDay[[#This Row],[Ret-Bud-RU]]/DaybyDay[[#This Row],[Serv-Bud-RU]],"")</f>
        <v>#DIV/0!</v>
      </c>
      <c r="AD29" s="37" t="e">
        <f>IF(DaybyDay[[#This Row],[_Space]],DaybyDay[[#This Row],[Ret-LY-RU]]/DaybyDay[[#This Row],[Serv-LY-RU]],"")</f>
        <v>#DIV/0!</v>
      </c>
      <c r="AE29" s="30">
        <f>WEEKDAY(DaybyDay[[#This Row],[LY-Date]])</f>
        <v>2</v>
      </c>
      <c r="AF29" s="38">
        <f>$E$2+_xlfn.DAYS(DaybyDay[[#This Row],[Date]],minDate)</f>
        <v>42394</v>
      </c>
      <c r="AG29" s="39" t="str" cm="1">
        <f t="array" ref="AG29">IFERROR(INDEX(DaybyDay[],DaybyDay[[#This Row],[FORM_MATCH_HELPER]],8),"")</f>
        <v/>
      </c>
      <c r="AH29" s="39" t="str" cm="1">
        <f t="array" ref="AH29">IFERROR(INDEX(DaybyDay[],DaybyDay[[#This Row],[FORM_MATCH_HELPER]],10),"")</f>
        <v/>
      </c>
      <c r="AI29" s="39" t="str" cm="1">
        <f t="array" ref="AI29">IFERROR(INDEX(DaybyDay[],DaybyDay[[#This Row],[FORM_MATCH_HELPER]],12),"")</f>
        <v/>
      </c>
      <c r="AJ29" s="32">
        <f>IFERROR(DaybyDay[[#This Row],[Serv-LY-RU]]+DaybyDay[[#This Row],[Ret-LY-RU]],"")</f>
        <v>0</v>
      </c>
      <c r="AK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 s="77"/>
      <c r="AM29" s="40" t="str">
        <f>IF(DaybyDay[[#This Row],[Admin Hours]]&gt;0,DaybyDay[[#This Row],[Admin Hours]]*$AM$2+$AM$3,"")</f>
        <v/>
      </c>
      <c r="AN29" s="40">
        <f>SUMIFS(DaybyDay[Est-Admin-Payroll],DaybyDay[Date],"&gt;="&amp;$C$5,DaybyDay[RowYear],"&gt;="&amp;$C$4,DaybyDay[Date],"&lt;="&amp;DaybyDay[[#This Row],[Date]])</f>
        <v>0</v>
      </c>
      <c r="AO29" s="41" t="str">
        <f>IF(AND(DaybyDay[[#This Row],[_Space]],ISNUMBER(DaybyDay[[#This Row],[Admin Hours]])),DaybyDay[[#This Row],[Est-Admin-Payroll]]/(DaybyDay[[#This Row],[Service-Actuals]]+DaybyDay[[#This Row],[Retail-Actuals]]),"")</f>
        <v/>
      </c>
      <c r="AP29" s="41" t="e">
        <f>DaybyDay[[#This Row],[Estimated-Payroll-Rollup]]/DaybyDay[[#This Row],[Simple-Forecast]]</f>
        <v>#DIV/0!</v>
      </c>
      <c r="AQ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 s="77"/>
      <c r="AS29" s="40" t="str">
        <f>IF(DaybyDay[[#This Row],[Retail Hours]]&gt;0,DaybyDay[[#This Row],[Retail Hours]]*$AS$2,"")</f>
        <v/>
      </c>
      <c r="AT29" s="40">
        <f>SUMIFS(DaybyDay[Est-Retail-Payroll],DaybyDay[Date],"&gt;="&amp;$C$5,DaybyDay[RowYear],"&gt;="&amp;$C$4,DaybyDay[Date],"&lt;="&amp;DaybyDay[[#This Row],[Date]])</f>
        <v>0</v>
      </c>
      <c r="AU29" s="82" t="str">
        <f>IF(AND(DaybyDay[[#This Row],[_Space]],ISNUMBER(DaybyDay[[#This Row],[Retail Hours]])),DaybyDay[[#This Row],[Est-Retail-Payroll]]/(DaybyDay[[#This Row],[Retail-Actuals]]),"")</f>
        <v/>
      </c>
      <c r="AV29" s="82" t="e">
        <f>DaybyDay[[#This Row],[Est-Retail-PayrollRU]]/DaybyDay[[#This Row],[Simple-Forecast-Retail]]</f>
        <v>#DIV/0!</v>
      </c>
      <c r="AW29" s="8"/>
    </row>
    <row r="30" spans="3:49" hidden="1" x14ac:dyDescent="0.25">
      <c r="C30" s="26" t="str">
        <f>Tools!$C$1</f>
        <v>Example</v>
      </c>
      <c r="D30" s="27" t="s">
        <v>68</v>
      </c>
      <c r="E30" s="28">
        <v>2017</v>
      </c>
      <c r="F30" s="28">
        <f>MATCH(DaybyDay[[#This Row],[RowMonth]],Table3[SummaryMonth],0)</f>
        <v>1</v>
      </c>
      <c r="G30" s="29" t="e">
        <f>MATCH(DaybyDay[[#This Row],[LY-Date]],DaybyDay[Date],0)</f>
        <v>#N/A</v>
      </c>
      <c r="H30" s="30">
        <f>WEEKDAY(DaybyDay[[#This Row],[Date]])</f>
        <v>3</v>
      </c>
      <c r="I30" s="31">
        <v>42759</v>
      </c>
      <c r="J30" s="74">
        <v>33</v>
      </c>
      <c r="K30" s="32">
        <f>SUMIFS(BudgetSeasonality[365 Seasonality],BudgetSeasonality[MonthAdjustment],DaybyDay[[#This Row],[Date]])*SUMIFS(Budgets[Service-Budget],Budgets[BudgetMonth],DaybyDay[[#This Row],[RowMonth]],Budgets[BudgetYear],DaybyDay[[#This Row],[RowYear]])</f>
        <v>0</v>
      </c>
      <c r="L30" s="75">
        <v>5259.01</v>
      </c>
      <c r="M30" s="32">
        <f>INDEX(BudgetSeasonality[365 Seasonality],MATCH(DaybyDay[[#This Row],[Date]],BudgetSeasonality[MonthAdjustment],0))*SUMIFS(Budgets[Retail-Budget],Budgets[BudgetMonth],DaybyDay[[#This Row],[RowMonth]],Budgets[BudgetYear],DaybyDay[[#This Row],[RowYear]])</f>
        <v>0</v>
      </c>
      <c r="N30" s="75">
        <v>2895.43</v>
      </c>
      <c r="O30" s="33">
        <f>SUMIFS(DaybyDay[Service-Budgets],DaybyDay[Date],"&gt;="&amp;$C$5,DaybyDay[RowYear],"&gt;="&amp;$C$4,DaybyDay[Date],"&lt;="&amp;DaybyDay[[#This Row],[Date]])</f>
        <v>0</v>
      </c>
      <c r="P30" s="33">
        <f>SUMIFS(DaybyDay[Retail-Budgets],DaybyDay[Date],"&gt;="&amp;$C$5,DaybyDay[RowYear],"&gt;="&amp;$C$4,DaybyDay[Date],"&lt;="&amp;DaybyDay[[#This Row],[Date]])</f>
        <v>0</v>
      </c>
      <c r="Q30" s="34">
        <f>SUMIFS(DaybyDay[Service-Actuals],DaybyDay[Date],"&gt;="&amp;$C$5,DaybyDay[RowYear],"&gt;="&amp;$C$4,DaybyDay[Date],"&lt;="&amp;DaybyDay[[#This Row],[Date]])</f>
        <v>0</v>
      </c>
      <c r="R30" s="34">
        <f>SUMIFS(DaybyDay[Retail-Actuals],DaybyDay[Date],"&gt;="&amp;$C$5,DaybyDay[RowYear],"&gt;="&amp;$C$4,DaybyDay[Date],"&lt;="&amp;DaybyDay[[#This Row],[Date]])</f>
        <v>0</v>
      </c>
      <c r="S30" s="35">
        <f>SUMIFS(DaybyDay[Service-LY],DaybyDay[Date],"&gt;="&amp;$C$5,DaybyDay[RowYear],"&gt;="&amp;$C$4,DaybyDay[Date],"&lt;="&amp;DaybyDay[[#This Row],[Date]])</f>
        <v>0</v>
      </c>
      <c r="T30" s="35">
        <f>SUMIFS(DaybyDay[Retail-LY],DaybyDay[Date],"&gt;="&amp;$C$5,DaybyDay[RowYear],"&gt;="&amp;$C$4,DaybyDay[Date],"&lt;="&amp;DaybyDay[[#This Row],[Date]])</f>
        <v>0</v>
      </c>
      <c r="U30" s="32">
        <f>DaybyDay[[#This Row],[Serv-Bud-RU]]+DaybyDay[[#This Row],[Ret-Bud-RU]]</f>
        <v>0</v>
      </c>
      <c r="V30" s="32">
        <f>DaybyDay[[#This Row],[Serv-Act-RU]]+DaybyDay[[#This Row],[Ret-Act-RU]]</f>
        <v>0</v>
      </c>
      <c r="W30" s="36">
        <f>IF(DaybyDay[[#This Row],[_Space]],IFERROR(
((DaybyDay[[#This Row],[Actual-Rollup]]-DaybyDay[[#This Row],[Budget-Rollup]])/DaybyDay[[#This Row],[Budget-Rollup]]),0),"")</f>
        <v>0</v>
      </c>
      <c r="X30" t="b">
        <f>NOT(AND(ISBLANK(DaybyDay[[#This Row],[Appts]]),ISBLANK(DaybyDay[[#This Row],[Service-Actuals]]),ISBLANK(DaybyDay[[#This Row],[Retail-Actuals]])))</f>
        <v>1</v>
      </c>
      <c r="Y30" s="36">
        <f>IF(DaybyDay[[#This Row],[_Space]],IFERROR(
((DaybyDay[[#This Row],[Actual-Rollup]]-DaybyDay[[#This Row],[LY-Rollup]])/DaybyDay[[#This Row],[LY-Rollup]]),0),"")</f>
        <v>0</v>
      </c>
      <c r="Z30"/>
      <c r="AA30" s="37" t="e">
        <f>IF(DaybyDay[[#This Row],[_Space]],DaybyDay[[#This Row],[Ret-Act-RU]]/DaybyDay[[#This Row],[Serv-Act-RU]],"")</f>
        <v>#DIV/0!</v>
      </c>
      <c r="AB30" s="50" t="e">
        <f>IF(DaybyDay[[#This Row],[_Space]],DaybyDay[[#This Row],[RETPEN-Act]]/DaybyDay[[#This Row],[RETPEN-Bud]],"")</f>
        <v>#DIV/0!</v>
      </c>
      <c r="AC30" s="37" t="e">
        <f>IF(DaybyDay[[#This Row],[_Space]],DaybyDay[[#This Row],[Ret-Bud-RU]]/DaybyDay[[#This Row],[Serv-Bud-RU]],"")</f>
        <v>#DIV/0!</v>
      </c>
      <c r="AD30" s="37" t="e">
        <f>IF(DaybyDay[[#This Row],[_Space]],DaybyDay[[#This Row],[Ret-LY-RU]]/DaybyDay[[#This Row],[Serv-LY-RU]],"")</f>
        <v>#DIV/0!</v>
      </c>
      <c r="AE30" s="30">
        <f>WEEKDAY(DaybyDay[[#This Row],[LY-Date]])</f>
        <v>3</v>
      </c>
      <c r="AF30" s="38">
        <f>$E$2+_xlfn.DAYS(DaybyDay[[#This Row],[Date]],minDate)</f>
        <v>42395</v>
      </c>
      <c r="AG30" s="39" t="str" cm="1">
        <f t="array" ref="AG30">IFERROR(INDEX(DaybyDay[],DaybyDay[[#This Row],[FORM_MATCH_HELPER]],8),"")</f>
        <v/>
      </c>
      <c r="AH30" s="39" t="str" cm="1">
        <f t="array" ref="AH30">IFERROR(INDEX(DaybyDay[],DaybyDay[[#This Row],[FORM_MATCH_HELPER]],10),"")</f>
        <v/>
      </c>
      <c r="AI30" s="39" t="str" cm="1">
        <f t="array" ref="AI30">IFERROR(INDEX(DaybyDay[],DaybyDay[[#This Row],[FORM_MATCH_HELPER]],12),"")</f>
        <v/>
      </c>
      <c r="AJ30" s="32">
        <f>IFERROR(DaybyDay[[#This Row],[Serv-LY-RU]]+DaybyDay[[#This Row],[Ret-LY-RU]],"")</f>
        <v>0</v>
      </c>
      <c r="AK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 s="77"/>
      <c r="AM30" s="40" t="str">
        <f>IF(DaybyDay[[#This Row],[Admin Hours]]&gt;0,DaybyDay[[#This Row],[Admin Hours]]*$AM$2+$AM$3,"")</f>
        <v/>
      </c>
      <c r="AN30" s="40">
        <f>SUMIFS(DaybyDay[Est-Admin-Payroll],DaybyDay[Date],"&gt;="&amp;$C$5,DaybyDay[RowYear],"&gt;="&amp;$C$4,DaybyDay[Date],"&lt;="&amp;DaybyDay[[#This Row],[Date]])</f>
        <v>0</v>
      </c>
      <c r="AO30" s="41" t="str">
        <f>IF(AND(DaybyDay[[#This Row],[_Space]],ISNUMBER(DaybyDay[[#This Row],[Admin Hours]])),DaybyDay[[#This Row],[Est-Admin-Payroll]]/(DaybyDay[[#This Row],[Service-Actuals]]+DaybyDay[[#This Row],[Retail-Actuals]]),"")</f>
        <v/>
      </c>
      <c r="AP30" s="41" t="e">
        <f>DaybyDay[[#This Row],[Estimated-Payroll-Rollup]]/DaybyDay[[#This Row],[Simple-Forecast]]</f>
        <v>#DIV/0!</v>
      </c>
      <c r="AQ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 s="77"/>
      <c r="AS30" s="40" t="str">
        <f>IF(DaybyDay[[#This Row],[Retail Hours]]&gt;0,DaybyDay[[#This Row],[Retail Hours]]*$AS$2,"")</f>
        <v/>
      </c>
      <c r="AT30" s="40">
        <f>SUMIFS(DaybyDay[Est-Retail-Payroll],DaybyDay[Date],"&gt;="&amp;$C$5,DaybyDay[RowYear],"&gt;="&amp;$C$4,DaybyDay[Date],"&lt;="&amp;DaybyDay[[#This Row],[Date]])</f>
        <v>0</v>
      </c>
      <c r="AU30" s="82" t="str">
        <f>IF(AND(DaybyDay[[#This Row],[_Space]],ISNUMBER(DaybyDay[[#This Row],[Retail Hours]])),DaybyDay[[#This Row],[Est-Retail-Payroll]]/(DaybyDay[[#This Row],[Retail-Actuals]]),"")</f>
        <v/>
      </c>
      <c r="AV30" s="82" t="e">
        <f>DaybyDay[[#This Row],[Est-Retail-PayrollRU]]/DaybyDay[[#This Row],[Simple-Forecast-Retail]]</f>
        <v>#DIV/0!</v>
      </c>
      <c r="AW30" s="8"/>
    </row>
    <row r="31" spans="3:49" hidden="1" x14ac:dyDescent="0.25">
      <c r="C31" s="26" t="str">
        <f>Tools!$C$1</f>
        <v>Example</v>
      </c>
      <c r="D31" s="27" t="s">
        <v>68</v>
      </c>
      <c r="E31" s="28">
        <v>2017</v>
      </c>
      <c r="F31" s="28">
        <f>MATCH(DaybyDay[[#This Row],[RowMonth]],Table3[SummaryMonth],0)</f>
        <v>1</v>
      </c>
      <c r="G31" s="29" t="e">
        <f>MATCH(DaybyDay[[#This Row],[LY-Date]],DaybyDay[Date],0)</f>
        <v>#N/A</v>
      </c>
      <c r="H31" s="30">
        <f>WEEKDAY(DaybyDay[[#This Row],[Date]])</f>
        <v>4</v>
      </c>
      <c r="I31" s="31">
        <v>42760</v>
      </c>
      <c r="J31" s="74">
        <v>41</v>
      </c>
      <c r="K31" s="32">
        <f>SUMIFS(BudgetSeasonality[365 Seasonality],BudgetSeasonality[MonthAdjustment],DaybyDay[[#This Row],[Date]])*SUMIFS(Budgets[Service-Budget],Budgets[BudgetMonth],DaybyDay[[#This Row],[RowMonth]],Budgets[BudgetYear],DaybyDay[[#This Row],[RowYear]])</f>
        <v>0</v>
      </c>
      <c r="L31" s="75">
        <v>5584.79</v>
      </c>
      <c r="M31" s="32">
        <f>INDEX(BudgetSeasonality[365 Seasonality],MATCH(DaybyDay[[#This Row],[Date]],BudgetSeasonality[MonthAdjustment],0))*SUMIFS(Budgets[Retail-Budget],Budgets[BudgetMonth],DaybyDay[[#This Row],[RowMonth]],Budgets[BudgetYear],DaybyDay[[#This Row],[RowYear]])</f>
        <v>0</v>
      </c>
      <c r="N31" s="75">
        <v>889</v>
      </c>
      <c r="O31" s="33">
        <f>SUMIFS(DaybyDay[Service-Budgets],DaybyDay[Date],"&gt;="&amp;$C$5,DaybyDay[RowYear],"&gt;="&amp;$C$4,DaybyDay[Date],"&lt;="&amp;DaybyDay[[#This Row],[Date]])</f>
        <v>0</v>
      </c>
      <c r="P31" s="33">
        <f>SUMIFS(DaybyDay[Retail-Budgets],DaybyDay[Date],"&gt;="&amp;$C$5,DaybyDay[RowYear],"&gt;="&amp;$C$4,DaybyDay[Date],"&lt;="&amp;DaybyDay[[#This Row],[Date]])</f>
        <v>0</v>
      </c>
      <c r="Q31" s="34">
        <f>SUMIFS(DaybyDay[Service-Actuals],DaybyDay[Date],"&gt;="&amp;$C$5,DaybyDay[RowYear],"&gt;="&amp;$C$4,DaybyDay[Date],"&lt;="&amp;DaybyDay[[#This Row],[Date]])</f>
        <v>0</v>
      </c>
      <c r="R31" s="34">
        <f>SUMIFS(DaybyDay[Retail-Actuals],DaybyDay[Date],"&gt;="&amp;$C$5,DaybyDay[RowYear],"&gt;="&amp;$C$4,DaybyDay[Date],"&lt;="&amp;DaybyDay[[#This Row],[Date]])</f>
        <v>0</v>
      </c>
      <c r="S31" s="35">
        <f>SUMIFS(DaybyDay[Service-LY],DaybyDay[Date],"&gt;="&amp;$C$5,DaybyDay[RowYear],"&gt;="&amp;$C$4,DaybyDay[Date],"&lt;="&amp;DaybyDay[[#This Row],[Date]])</f>
        <v>0</v>
      </c>
      <c r="T31" s="35">
        <f>SUMIFS(DaybyDay[Retail-LY],DaybyDay[Date],"&gt;="&amp;$C$5,DaybyDay[RowYear],"&gt;="&amp;$C$4,DaybyDay[Date],"&lt;="&amp;DaybyDay[[#This Row],[Date]])</f>
        <v>0</v>
      </c>
      <c r="U31" s="32">
        <f>DaybyDay[[#This Row],[Serv-Bud-RU]]+DaybyDay[[#This Row],[Ret-Bud-RU]]</f>
        <v>0</v>
      </c>
      <c r="V31" s="32">
        <f>DaybyDay[[#This Row],[Serv-Act-RU]]+DaybyDay[[#This Row],[Ret-Act-RU]]</f>
        <v>0</v>
      </c>
      <c r="W31" s="36">
        <f>IF(DaybyDay[[#This Row],[_Space]],IFERROR(
((DaybyDay[[#This Row],[Actual-Rollup]]-DaybyDay[[#This Row],[Budget-Rollup]])/DaybyDay[[#This Row],[Budget-Rollup]]),0),"")</f>
        <v>0</v>
      </c>
      <c r="X31" t="b">
        <f>NOT(AND(ISBLANK(DaybyDay[[#This Row],[Appts]]),ISBLANK(DaybyDay[[#This Row],[Service-Actuals]]),ISBLANK(DaybyDay[[#This Row],[Retail-Actuals]])))</f>
        <v>1</v>
      </c>
      <c r="Y31" s="36">
        <f>IF(DaybyDay[[#This Row],[_Space]],IFERROR(
((DaybyDay[[#This Row],[Actual-Rollup]]-DaybyDay[[#This Row],[LY-Rollup]])/DaybyDay[[#This Row],[LY-Rollup]]),0),"")</f>
        <v>0</v>
      </c>
      <c r="Z31"/>
      <c r="AA31" s="37" t="e">
        <f>IF(DaybyDay[[#This Row],[_Space]],DaybyDay[[#This Row],[Ret-Act-RU]]/DaybyDay[[#This Row],[Serv-Act-RU]],"")</f>
        <v>#DIV/0!</v>
      </c>
      <c r="AB31" s="50" t="e">
        <f>IF(DaybyDay[[#This Row],[_Space]],DaybyDay[[#This Row],[RETPEN-Act]]/DaybyDay[[#This Row],[RETPEN-Bud]],"")</f>
        <v>#DIV/0!</v>
      </c>
      <c r="AC31" s="37" t="e">
        <f>IF(DaybyDay[[#This Row],[_Space]],DaybyDay[[#This Row],[Ret-Bud-RU]]/DaybyDay[[#This Row],[Serv-Bud-RU]],"")</f>
        <v>#DIV/0!</v>
      </c>
      <c r="AD31" s="37" t="e">
        <f>IF(DaybyDay[[#This Row],[_Space]],DaybyDay[[#This Row],[Ret-LY-RU]]/DaybyDay[[#This Row],[Serv-LY-RU]],"")</f>
        <v>#DIV/0!</v>
      </c>
      <c r="AE31" s="30">
        <f>WEEKDAY(DaybyDay[[#This Row],[LY-Date]])</f>
        <v>4</v>
      </c>
      <c r="AF31" s="38">
        <f>$E$2+_xlfn.DAYS(DaybyDay[[#This Row],[Date]],minDate)</f>
        <v>42396</v>
      </c>
      <c r="AG31" s="39" t="str" cm="1">
        <f t="array" ref="AG31">IFERROR(INDEX(DaybyDay[],DaybyDay[[#This Row],[FORM_MATCH_HELPER]],8),"")</f>
        <v/>
      </c>
      <c r="AH31" s="39" t="str" cm="1">
        <f t="array" ref="AH31">IFERROR(INDEX(DaybyDay[],DaybyDay[[#This Row],[FORM_MATCH_HELPER]],10),"")</f>
        <v/>
      </c>
      <c r="AI31" s="39" t="str" cm="1">
        <f t="array" ref="AI31">IFERROR(INDEX(DaybyDay[],DaybyDay[[#This Row],[FORM_MATCH_HELPER]],12),"")</f>
        <v/>
      </c>
      <c r="AJ31" s="32">
        <f>IFERROR(DaybyDay[[#This Row],[Serv-LY-RU]]+DaybyDay[[#This Row],[Ret-LY-RU]],"")</f>
        <v>0</v>
      </c>
      <c r="AK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 s="77"/>
      <c r="AM31" s="40" t="str">
        <f>IF(DaybyDay[[#This Row],[Admin Hours]]&gt;0,DaybyDay[[#This Row],[Admin Hours]]*$AM$2+$AM$3,"")</f>
        <v/>
      </c>
      <c r="AN31" s="40">
        <f>SUMIFS(DaybyDay[Est-Admin-Payroll],DaybyDay[Date],"&gt;="&amp;$C$5,DaybyDay[RowYear],"&gt;="&amp;$C$4,DaybyDay[Date],"&lt;="&amp;DaybyDay[[#This Row],[Date]])</f>
        <v>0</v>
      </c>
      <c r="AO31" s="41" t="str">
        <f>IF(AND(DaybyDay[[#This Row],[_Space]],ISNUMBER(DaybyDay[[#This Row],[Admin Hours]])),DaybyDay[[#This Row],[Est-Admin-Payroll]]/(DaybyDay[[#This Row],[Service-Actuals]]+DaybyDay[[#This Row],[Retail-Actuals]]),"")</f>
        <v/>
      </c>
      <c r="AP31" s="41" t="e">
        <f>DaybyDay[[#This Row],[Estimated-Payroll-Rollup]]/DaybyDay[[#This Row],[Simple-Forecast]]</f>
        <v>#DIV/0!</v>
      </c>
      <c r="AQ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 s="77"/>
      <c r="AS31" s="40" t="str">
        <f>IF(DaybyDay[[#This Row],[Retail Hours]]&gt;0,DaybyDay[[#This Row],[Retail Hours]]*$AS$2,"")</f>
        <v/>
      </c>
      <c r="AT31" s="40">
        <f>SUMIFS(DaybyDay[Est-Retail-Payroll],DaybyDay[Date],"&gt;="&amp;$C$5,DaybyDay[RowYear],"&gt;="&amp;$C$4,DaybyDay[Date],"&lt;="&amp;DaybyDay[[#This Row],[Date]])</f>
        <v>0</v>
      </c>
      <c r="AU31" s="82" t="str">
        <f>IF(AND(DaybyDay[[#This Row],[_Space]],ISNUMBER(DaybyDay[[#This Row],[Retail Hours]])),DaybyDay[[#This Row],[Est-Retail-Payroll]]/(DaybyDay[[#This Row],[Retail-Actuals]]),"")</f>
        <v/>
      </c>
      <c r="AV31" s="82" t="e">
        <f>DaybyDay[[#This Row],[Est-Retail-PayrollRU]]/DaybyDay[[#This Row],[Simple-Forecast-Retail]]</f>
        <v>#DIV/0!</v>
      </c>
      <c r="AW31" s="8"/>
    </row>
    <row r="32" spans="3:49" hidden="1" x14ac:dyDescent="0.25">
      <c r="C32" s="26" t="str">
        <f>Tools!$C$1</f>
        <v>Example</v>
      </c>
      <c r="D32" s="27" t="s">
        <v>68</v>
      </c>
      <c r="E32" s="28">
        <v>2017</v>
      </c>
      <c r="F32" s="28">
        <f>MATCH(DaybyDay[[#This Row],[RowMonth]],Table3[SummaryMonth],0)</f>
        <v>1</v>
      </c>
      <c r="G32" s="29" t="e">
        <f>MATCH(DaybyDay[[#This Row],[LY-Date]],DaybyDay[Date],0)</f>
        <v>#N/A</v>
      </c>
      <c r="H32" s="30">
        <f>WEEKDAY(DaybyDay[[#This Row],[Date]])</f>
        <v>5</v>
      </c>
      <c r="I32" s="31">
        <v>42761</v>
      </c>
      <c r="J32" s="74">
        <v>42</v>
      </c>
      <c r="K32" s="32">
        <f>SUMIFS(BudgetSeasonality[365 Seasonality],BudgetSeasonality[MonthAdjustment],DaybyDay[[#This Row],[Date]])*SUMIFS(Budgets[Service-Budget],Budgets[BudgetMonth],DaybyDay[[#This Row],[RowMonth]],Budgets[BudgetYear],DaybyDay[[#This Row],[RowYear]])</f>
        <v>0</v>
      </c>
      <c r="L32" s="75">
        <v>5893.21</v>
      </c>
      <c r="M32" s="32">
        <f>INDEX(BudgetSeasonality[365 Seasonality],MATCH(DaybyDay[[#This Row],[Date]],BudgetSeasonality[MonthAdjustment],0))*SUMIFS(Budgets[Retail-Budget],Budgets[BudgetMonth],DaybyDay[[#This Row],[RowMonth]],Budgets[BudgetYear],DaybyDay[[#This Row],[RowYear]])</f>
        <v>0</v>
      </c>
      <c r="N32" s="75">
        <v>66</v>
      </c>
      <c r="O32" s="33">
        <f>SUMIFS(DaybyDay[Service-Budgets],DaybyDay[Date],"&gt;="&amp;$C$5,DaybyDay[RowYear],"&gt;="&amp;$C$4,DaybyDay[Date],"&lt;="&amp;DaybyDay[[#This Row],[Date]])</f>
        <v>0</v>
      </c>
      <c r="P32" s="33">
        <f>SUMIFS(DaybyDay[Retail-Budgets],DaybyDay[Date],"&gt;="&amp;$C$5,DaybyDay[RowYear],"&gt;="&amp;$C$4,DaybyDay[Date],"&lt;="&amp;DaybyDay[[#This Row],[Date]])</f>
        <v>0</v>
      </c>
      <c r="Q32" s="34">
        <f>SUMIFS(DaybyDay[Service-Actuals],DaybyDay[Date],"&gt;="&amp;$C$5,DaybyDay[RowYear],"&gt;="&amp;$C$4,DaybyDay[Date],"&lt;="&amp;DaybyDay[[#This Row],[Date]])</f>
        <v>0</v>
      </c>
      <c r="R32" s="34">
        <f>SUMIFS(DaybyDay[Retail-Actuals],DaybyDay[Date],"&gt;="&amp;$C$5,DaybyDay[RowYear],"&gt;="&amp;$C$4,DaybyDay[Date],"&lt;="&amp;DaybyDay[[#This Row],[Date]])</f>
        <v>0</v>
      </c>
      <c r="S32" s="35">
        <f>SUMIFS(DaybyDay[Service-LY],DaybyDay[Date],"&gt;="&amp;$C$5,DaybyDay[RowYear],"&gt;="&amp;$C$4,DaybyDay[Date],"&lt;="&amp;DaybyDay[[#This Row],[Date]])</f>
        <v>0</v>
      </c>
      <c r="T32" s="35">
        <f>SUMIFS(DaybyDay[Retail-LY],DaybyDay[Date],"&gt;="&amp;$C$5,DaybyDay[RowYear],"&gt;="&amp;$C$4,DaybyDay[Date],"&lt;="&amp;DaybyDay[[#This Row],[Date]])</f>
        <v>0</v>
      </c>
      <c r="U32" s="32">
        <f>DaybyDay[[#This Row],[Serv-Bud-RU]]+DaybyDay[[#This Row],[Ret-Bud-RU]]</f>
        <v>0</v>
      </c>
      <c r="V32" s="32">
        <f>DaybyDay[[#This Row],[Serv-Act-RU]]+DaybyDay[[#This Row],[Ret-Act-RU]]</f>
        <v>0</v>
      </c>
      <c r="W32" s="36">
        <f>IF(DaybyDay[[#This Row],[_Space]],IFERROR(
((DaybyDay[[#This Row],[Actual-Rollup]]-DaybyDay[[#This Row],[Budget-Rollup]])/DaybyDay[[#This Row],[Budget-Rollup]]),0),"")</f>
        <v>0</v>
      </c>
      <c r="X32" t="b">
        <f>NOT(AND(ISBLANK(DaybyDay[[#This Row],[Appts]]),ISBLANK(DaybyDay[[#This Row],[Service-Actuals]]),ISBLANK(DaybyDay[[#This Row],[Retail-Actuals]])))</f>
        <v>1</v>
      </c>
      <c r="Y32" s="36">
        <f>IF(DaybyDay[[#This Row],[_Space]],IFERROR(
((DaybyDay[[#This Row],[Actual-Rollup]]-DaybyDay[[#This Row],[LY-Rollup]])/DaybyDay[[#This Row],[LY-Rollup]]),0),"")</f>
        <v>0</v>
      </c>
      <c r="Z32"/>
      <c r="AA32" s="37" t="e">
        <f>IF(DaybyDay[[#This Row],[_Space]],DaybyDay[[#This Row],[Ret-Act-RU]]/DaybyDay[[#This Row],[Serv-Act-RU]],"")</f>
        <v>#DIV/0!</v>
      </c>
      <c r="AB32" s="50" t="e">
        <f>IF(DaybyDay[[#This Row],[_Space]],DaybyDay[[#This Row],[RETPEN-Act]]/DaybyDay[[#This Row],[RETPEN-Bud]],"")</f>
        <v>#DIV/0!</v>
      </c>
      <c r="AC32" s="37" t="e">
        <f>IF(DaybyDay[[#This Row],[_Space]],DaybyDay[[#This Row],[Ret-Bud-RU]]/DaybyDay[[#This Row],[Serv-Bud-RU]],"")</f>
        <v>#DIV/0!</v>
      </c>
      <c r="AD32" s="37" t="e">
        <f>IF(DaybyDay[[#This Row],[_Space]],DaybyDay[[#This Row],[Ret-LY-RU]]/DaybyDay[[#This Row],[Serv-LY-RU]],"")</f>
        <v>#DIV/0!</v>
      </c>
      <c r="AE32" s="30">
        <f>WEEKDAY(DaybyDay[[#This Row],[LY-Date]])</f>
        <v>5</v>
      </c>
      <c r="AF32" s="38">
        <f>$E$2+_xlfn.DAYS(DaybyDay[[#This Row],[Date]],minDate)</f>
        <v>42397</v>
      </c>
      <c r="AG32" s="39" t="str" cm="1">
        <f t="array" ref="AG32">IFERROR(INDEX(DaybyDay[],DaybyDay[[#This Row],[FORM_MATCH_HELPER]],8),"")</f>
        <v/>
      </c>
      <c r="AH32" s="39" t="str" cm="1">
        <f t="array" ref="AH32">IFERROR(INDEX(DaybyDay[],DaybyDay[[#This Row],[FORM_MATCH_HELPER]],10),"")</f>
        <v/>
      </c>
      <c r="AI32" s="39" t="str" cm="1">
        <f t="array" ref="AI32">IFERROR(INDEX(DaybyDay[],DaybyDay[[#This Row],[FORM_MATCH_HELPER]],12),"")</f>
        <v/>
      </c>
      <c r="AJ32" s="32">
        <f>IFERROR(DaybyDay[[#This Row],[Serv-LY-RU]]+DaybyDay[[#This Row],[Ret-LY-RU]],"")</f>
        <v>0</v>
      </c>
      <c r="AK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 s="77"/>
      <c r="AM32" s="40" t="str">
        <f>IF(DaybyDay[[#This Row],[Admin Hours]]&gt;0,DaybyDay[[#This Row],[Admin Hours]]*$AM$2+$AM$3,"")</f>
        <v/>
      </c>
      <c r="AN32" s="40">
        <f>SUMIFS(DaybyDay[Est-Admin-Payroll],DaybyDay[Date],"&gt;="&amp;$C$5,DaybyDay[RowYear],"&gt;="&amp;$C$4,DaybyDay[Date],"&lt;="&amp;DaybyDay[[#This Row],[Date]])</f>
        <v>0</v>
      </c>
      <c r="AO32" s="41" t="str">
        <f>IF(AND(DaybyDay[[#This Row],[_Space]],ISNUMBER(DaybyDay[[#This Row],[Admin Hours]])),DaybyDay[[#This Row],[Est-Admin-Payroll]]/(DaybyDay[[#This Row],[Service-Actuals]]+DaybyDay[[#This Row],[Retail-Actuals]]),"")</f>
        <v/>
      </c>
      <c r="AP32" s="41" t="e">
        <f>DaybyDay[[#This Row],[Estimated-Payroll-Rollup]]/DaybyDay[[#This Row],[Simple-Forecast]]</f>
        <v>#DIV/0!</v>
      </c>
      <c r="AQ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 s="77"/>
      <c r="AS32" s="40" t="str">
        <f>IF(DaybyDay[[#This Row],[Retail Hours]]&gt;0,DaybyDay[[#This Row],[Retail Hours]]*$AS$2,"")</f>
        <v/>
      </c>
      <c r="AT32" s="40">
        <f>SUMIFS(DaybyDay[Est-Retail-Payroll],DaybyDay[Date],"&gt;="&amp;$C$5,DaybyDay[RowYear],"&gt;="&amp;$C$4,DaybyDay[Date],"&lt;="&amp;DaybyDay[[#This Row],[Date]])</f>
        <v>0</v>
      </c>
      <c r="AU32" s="82" t="str">
        <f>IF(AND(DaybyDay[[#This Row],[_Space]],ISNUMBER(DaybyDay[[#This Row],[Retail Hours]])),DaybyDay[[#This Row],[Est-Retail-Payroll]]/(DaybyDay[[#This Row],[Retail-Actuals]]),"")</f>
        <v/>
      </c>
      <c r="AV32" s="82" t="e">
        <f>DaybyDay[[#This Row],[Est-Retail-PayrollRU]]/DaybyDay[[#This Row],[Simple-Forecast-Retail]]</f>
        <v>#DIV/0!</v>
      </c>
      <c r="AW32" s="8"/>
    </row>
    <row r="33" spans="3:49" hidden="1" x14ac:dyDescent="0.25">
      <c r="C33" s="26" t="str">
        <f>Tools!$C$1</f>
        <v>Example</v>
      </c>
      <c r="D33" s="27" t="s">
        <v>68</v>
      </c>
      <c r="E33" s="28">
        <v>2017</v>
      </c>
      <c r="F33" s="28">
        <f>MATCH(DaybyDay[[#This Row],[RowMonth]],Table3[SummaryMonth],0)</f>
        <v>1</v>
      </c>
      <c r="G33" s="29" t="e">
        <f>MATCH(DaybyDay[[#This Row],[LY-Date]],DaybyDay[Date],0)</f>
        <v>#N/A</v>
      </c>
      <c r="H33" s="30">
        <f>WEEKDAY(DaybyDay[[#This Row],[Date]])</f>
        <v>6</v>
      </c>
      <c r="I33" s="31">
        <v>42762</v>
      </c>
      <c r="J33" s="74">
        <v>33</v>
      </c>
      <c r="K33" s="32">
        <f>SUMIFS(BudgetSeasonality[365 Seasonality],BudgetSeasonality[MonthAdjustment],DaybyDay[[#This Row],[Date]])*SUMIFS(Budgets[Service-Budget],Budgets[BudgetMonth],DaybyDay[[#This Row],[RowMonth]],Budgets[BudgetYear],DaybyDay[[#This Row],[RowYear]])</f>
        <v>0</v>
      </c>
      <c r="L33" s="75">
        <v>5401.7</v>
      </c>
      <c r="M33" s="32">
        <f>INDEX(BudgetSeasonality[365 Seasonality],MATCH(DaybyDay[[#This Row],[Date]],BudgetSeasonality[MonthAdjustment],0))*SUMIFS(Budgets[Retail-Budget],Budgets[BudgetMonth],DaybyDay[[#This Row],[RowMonth]],Budgets[BudgetYear],DaybyDay[[#This Row],[RowYear]])</f>
        <v>0</v>
      </c>
      <c r="N33" s="75">
        <v>1593.95</v>
      </c>
      <c r="O33" s="33">
        <f>SUMIFS(DaybyDay[Service-Budgets],DaybyDay[Date],"&gt;="&amp;$C$5,DaybyDay[RowYear],"&gt;="&amp;$C$4,DaybyDay[Date],"&lt;="&amp;DaybyDay[[#This Row],[Date]])</f>
        <v>0</v>
      </c>
      <c r="P33" s="33">
        <f>SUMIFS(DaybyDay[Retail-Budgets],DaybyDay[Date],"&gt;="&amp;$C$5,DaybyDay[RowYear],"&gt;="&amp;$C$4,DaybyDay[Date],"&lt;="&amp;DaybyDay[[#This Row],[Date]])</f>
        <v>0</v>
      </c>
      <c r="Q33" s="34">
        <f>SUMIFS(DaybyDay[Service-Actuals],DaybyDay[Date],"&gt;="&amp;$C$5,DaybyDay[RowYear],"&gt;="&amp;$C$4,DaybyDay[Date],"&lt;="&amp;DaybyDay[[#This Row],[Date]])</f>
        <v>0</v>
      </c>
      <c r="R33" s="34">
        <f>SUMIFS(DaybyDay[Retail-Actuals],DaybyDay[Date],"&gt;="&amp;$C$5,DaybyDay[RowYear],"&gt;="&amp;$C$4,DaybyDay[Date],"&lt;="&amp;DaybyDay[[#This Row],[Date]])</f>
        <v>0</v>
      </c>
      <c r="S33" s="35">
        <f>SUMIFS(DaybyDay[Service-LY],DaybyDay[Date],"&gt;="&amp;$C$5,DaybyDay[RowYear],"&gt;="&amp;$C$4,DaybyDay[Date],"&lt;="&amp;DaybyDay[[#This Row],[Date]])</f>
        <v>0</v>
      </c>
      <c r="T33" s="35">
        <f>SUMIFS(DaybyDay[Retail-LY],DaybyDay[Date],"&gt;="&amp;$C$5,DaybyDay[RowYear],"&gt;="&amp;$C$4,DaybyDay[Date],"&lt;="&amp;DaybyDay[[#This Row],[Date]])</f>
        <v>0</v>
      </c>
      <c r="U33" s="32">
        <f>DaybyDay[[#This Row],[Serv-Bud-RU]]+DaybyDay[[#This Row],[Ret-Bud-RU]]</f>
        <v>0</v>
      </c>
      <c r="V33" s="32">
        <f>DaybyDay[[#This Row],[Serv-Act-RU]]+DaybyDay[[#This Row],[Ret-Act-RU]]</f>
        <v>0</v>
      </c>
      <c r="W33" s="36">
        <f>IF(DaybyDay[[#This Row],[_Space]],IFERROR(
((DaybyDay[[#This Row],[Actual-Rollup]]-DaybyDay[[#This Row],[Budget-Rollup]])/DaybyDay[[#This Row],[Budget-Rollup]]),0),"")</f>
        <v>0</v>
      </c>
      <c r="X33" t="b">
        <f>NOT(AND(ISBLANK(DaybyDay[[#This Row],[Appts]]),ISBLANK(DaybyDay[[#This Row],[Service-Actuals]]),ISBLANK(DaybyDay[[#This Row],[Retail-Actuals]])))</f>
        <v>1</v>
      </c>
      <c r="Y33" s="36">
        <f>IF(DaybyDay[[#This Row],[_Space]],IFERROR(
((DaybyDay[[#This Row],[Actual-Rollup]]-DaybyDay[[#This Row],[LY-Rollup]])/DaybyDay[[#This Row],[LY-Rollup]]),0),"")</f>
        <v>0</v>
      </c>
      <c r="Z33"/>
      <c r="AA33" s="37" t="e">
        <f>IF(DaybyDay[[#This Row],[_Space]],DaybyDay[[#This Row],[Ret-Act-RU]]/DaybyDay[[#This Row],[Serv-Act-RU]],"")</f>
        <v>#DIV/0!</v>
      </c>
      <c r="AB33" s="50" t="e">
        <f>IF(DaybyDay[[#This Row],[_Space]],DaybyDay[[#This Row],[RETPEN-Act]]/DaybyDay[[#This Row],[RETPEN-Bud]],"")</f>
        <v>#DIV/0!</v>
      </c>
      <c r="AC33" s="37" t="e">
        <f>IF(DaybyDay[[#This Row],[_Space]],DaybyDay[[#This Row],[Ret-Bud-RU]]/DaybyDay[[#This Row],[Serv-Bud-RU]],"")</f>
        <v>#DIV/0!</v>
      </c>
      <c r="AD33" s="37" t="e">
        <f>IF(DaybyDay[[#This Row],[_Space]],DaybyDay[[#This Row],[Ret-LY-RU]]/DaybyDay[[#This Row],[Serv-LY-RU]],"")</f>
        <v>#DIV/0!</v>
      </c>
      <c r="AE33" s="30">
        <f>WEEKDAY(DaybyDay[[#This Row],[LY-Date]])</f>
        <v>6</v>
      </c>
      <c r="AF33" s="38">
        <f>$E$2+_xlfn.DAYS(DaybyDay[[#This Row],[Date]],minDate)</f>
        <v>42398</v>
      </c>
      <c r="AG33" s="39" t="str" cm="1">
        <f t="array" ref="AG33">IFERROR(INDEX(DaybyDay[],DaybyDay[[#This Row],[FORM_MATCH_HELPER]],8),"")</f>
        <v/>
      </c>
      <c r="AH33" s="39" t="str" cm="1">
        <f t="array" ref="AH33">IFERROR(INDEX(DaybyDay[],DaybyDay[[#This Row],[FORM_MATCH_HELPER]],10),"")</f>
        <v/>
      </c>
      <c r="AI33" s="39" t="str" cm="1">
        <f t="array" ref="AI33">IFERROR(INDEX(DaybyDay[],DaybyDay[[#This Row],[FORM_MATCH_HELPER]],12),"")</f>
        <v/>
      </c>
      <c r="AJ33" s="32">
        <f>IFERROR(DaybyDay[[#This Row],[Serv-LY-RU]]+DaybyDay[[#This Row],[Ret-LY-RU]],"")</f>
        <v>0</v>
      </c>
      <c r="AK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 s="77"/>
      <c r="AM33" s="40" t="str">
        <f>IF(DaybyDay[[#This Row],[Admin Hours]]&gt;0,DaybyDay[[#This Row],[Admin Hours]]*$AM$2+$AM$3,"")</f>
        <v/>
      </c>
      <c r="AN33" s="40">
        <f>SUMIFS(DaybyDay[Est-Admin-Payroll],DaybyDay[Date],"&gt;="&amp;$C$5,DaybyDay[RowYear],"&gt;="&amp;$C$4,DaybyDay[Date],"&lt;="&amp;DaybyDay[[#This Row],[Date]])</f>
        <v>0</v>
      </c>
      <c r="AO33" s="41" t="str">
        <f>IF(AND(DaybyDay[[#This Row],[_Space]],ISNUMBER(DaybyDay[[#This Row],[Admin Hours]])),DaybyDay[[#This Row],[Est-Admin-Payroll]]/(DaybyDay[[#This Row],[Service-Actuals]]+DaybyDay[[#This Row],[Retail-Actuals]]),"")</f>
        <v/>
      </c>
      <c r="AP33" s="41" t="e">
        <f>DaybyDay[[#This Row],[Estimated-Payroll-Rollup]]/DaybyDay[[#This Row],[Simple-Forecast]]</f>
        <v>#DIV/0!</v>
      </c>
      <c r="AQ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 s="77"/>
      <c r="AS33" s="40" t="str">
        <f>IF(DaybyDay[[#This Row],[Retail Hours]]&gt;0,DaybyDay[[#This Row],[Retail Hours]]*$AS$2,"")</f>
        <v/>
      </c>
      <c r="AT33" s="40">
        <f>SUMIFS(DaybyDay[Est-Retail-Payroll],DaybyDay[Date],"&gt;="&amp;$C$5,DaybyDay[RowYear],"&gt;="&amp;$C$4,DaybyDay[Date],"&lt;="&amp;DaybyDay[[#This Row],[Date]])</f>
        <v>0</v>
      </c>
      <c r="AU33" s="82" t="str">
        <f>IF(AND(DaybyDay[[#This Row],[_Space]],ISNUMBER(DaybyDay[[#This Row],[Retail Hours]])),DaybyDay[[#This Row],[Est-Retail-Payroll]]/(DaybyDay[[#This Row],[Retail-Actuals]]),"")</f>
        <v/>
      </c>
      <c r="AV33" s="82" t="e">
        <f>DaybyDay[[#This Row],[Est-Retail-PayrollRU]]/DaybyDay[[#This Row],[Simple-Forecast-Retail]]</f>
        <v>#DIV/0!</v>
      </c>
      <c r="AW33" s="8"/>
    </row>
    <row r="34" spans="3:49" hidden="1" x14ac:dyDescent="0.25">
      <c r="C34" s="26" t="str">
        <f>Tools!$C$1</f>
        <v>Example</v>
      </c>
      <c r="D34" s="27" t="s">
        <v>68</v>
      </c>
      <c r="E34" s="28">
        <v>2017</v>
      </c>
      <c r="F34" s="28">
        <f>MATCH(DaybyDay[[#This Row],[RowMonth]],Table3[SummaryMonth],0)</f>
        <v>1</v>
      </c>
      <c r="G34" s="29" t="e">
        <f>MATCH(DaybyDay[[#This Row],[LY-Date]],DaybyDay[Date],0)</f>
        <v>#N/A</v>
      </c>
      <c r="H34" s="30">
        <f>WEEKDAY(DaybyDay[[#This Row],[Date]])</f>
        <v>7</v>
      </c>
      <c r="I34" s="31">
        <v>42763</v>
      </c>
      <c r="J34" s="74">
        <v>54</v>
      </c>
      <c r="K34" s="32">
        <f>SUMIFS(BudgetSeasonality[365 Seasonality],BudgetSeasonality[MonthAdjustment],DaybyDay[[#This Row],[Date]])*SUMIFS(Budgets[Service-Budget],Budgets[BudgetMonth],DaybyDay[[#This Row],[RowMonth]],Budgets[BudgetYear],DaybyDay[[#This Row],[RowYear]])</f>
        <v>0</v>
      </c>
      <c r="L34" s="75">
        <v>10625.62</v>
      </c>
      <c r="M34" s="32">
        <f>INDEX(BudgetSeasonality[365 Seasonality],MATCH(DaybyDay[[#This Row],[Date]],BudgetSeasonality[MonthAdjustment],0))*SUMIFS(Budgets[Retail-Budget],Budgets[BudgetMonth],DaybyDay[[#This Row],[RowMonth]],Budgets[BudgetYear],DaybyDay[[#This Row],[RowYear]])</f>
        <v>0</v>
      </c>
      <c r="N34" s="75">
        <v>773.96</v>
      </c>
      <c r="O34" s="33">
        <f>SUMIFS(DaybyDay[Service-Budgets],DaybyDay[Date],"&gt;="&amp;$C$5,DaybyDay[RowYear],"&gt;="&amp;$C$4,DaybyDay[Date],"&lt;="&amp;DaybyDay[[#This Row],[Date]])</f>
        <v>0</v>
      </c>
      <c r="P34" s="33">
        <f>SUMIFS(DaybyDay[Retail-Budgets],DaybyDay[Date],"&gt;="&amp;$C$5,DaybyDay[RowYear],"&gt;="&amp;$C$4,DaybyDay[Date],"&lt;="&amp;DaybyDay[[#This Row],[Date]])</f>
        <v>0</v>
      </c>
      <c r="Q34" s="34">
        <f>SUMIFS(DaybyDay[Service-Actuals],DaybyDay[Date],"&gt;="&amp;$C$5,DaybyDay[RowYear],"&gt;="&amp;$C$4,DaybyDay[Date],"&lt;="&amp;DaybyDay[[#This Row],[Date]])</f>
        <v>0</v>
      </c>
      <c r="R34" s="34">
        <f>SUMIFS(DaybyDay[Retail-Actuals],DaybyDay[Date],"&gt;="&amp;$C$5,DaybyDay[RowYear],"&gt;="&amp;$C$4,DaybyDay[Date],"&lt;="&amp;DaybyDay[[#This Row],[Date]])</f>
        <v>0</v>
      </c>
      <c r="S34" s="35">
        <f>SUMIFS(DaybyDay[Service-LY],DaybyDay[Date],"&gt;="&amp;$C$5,DaybyDay[RowYear],"&gt;="&amp;$C$4,DaybyDay[Date],"&lt;="&amp;DaybyDay[[#This Row],[Date]])</f>
        <v>0</v>
      </c>
      <c r="T34" s="35">
        <f>SUMIFS(DaybyDay[Retail-LY],DaybyDay[Date],"&gt;="&amp;$C$5,DaybyDay[RowYear],"&gt;="&amp;$C$4,DaybyDay[Date],"&lt;="&amp;DaybyDay[[#This Row],[Date]])</f>
        <v>0</v>
      </c>
      <c r="U34" s="32">
        <f>DaybyDay[[#This Row],[Serv-Bud-RU]]+DaybyDay[[#This Row],[Ret-Bud-RU]]</f>
        <v>0</v>
      </c>
      <c r="V34" s="32">
        <f>DaybyDay[[#This Row],[Serv-Act-RU]]+DaybyDay[[#This Row],[Ret-Act-RU]]</f>
        <v>0</v>
      </c>
      <c r="W34" s="36">
        <f>IF(DaybyDay[[#This Row],[_Space]],IFERROR(
((DaybyDay[[#This Row],[Actual-Rollup]]-DaybyDay[[#This Row],[Budget-Rollup]])/DaybyDay[[#This Row],[Budget-Rollup]]),0),"")</f>
        <v>0</v>
      </c>
      <c r="X34" t="b">
        <f>NOT(AND(ISBLANK(DaybyDay[[#This Row],[Appts]]),ISBLANK(DaybyDay[[#This Row],[Service-Actuals]]),ISBLANK(DaybyDay[[#This Row],[Retail-Actuals]])))</f>
        <v>1</v>
      </c>
      <c r="Y34" s="36">
        <f>IF(DaybyDay[[#This Row],[_Space]],IFERROR(
((DaybyDay[[#This Row],[Actual-Rollup]]-DaybyDay[[#This Row],[LY-Rollup]])/DaybyDay[[#This Row],[LY-Rollup]]),0),"")</f>
        <v>0</v>
      </c>
      <c r="Z34"/>
      <c r="AA34" s="37" t="e">
        <f>IF(DaybyDay[[#This Row],[_Space]],DaybyDay[[#This Row],[Ret-Act-RU]]/DaybyDay[[#This Row],[Serv-Act-RU]],"")</f>
        <v>#DIV/0!</v>
      </c>
      <c r="AB34" s="50" t="e">
        <f>IF(DaybyDay[[#This Row],[_Space]],DaybyDay[[#This Row],[RETPEN-Act]]/DaybyDay[[#This Row],[RETPEN-Bud]],"")</f>
        <v>#DIV/0!</v>
      </c>
      <c r="AC34" s="37" t="e">
        <f>IF(DaybyDay[[#This Row],[_Space]],DaybyDay[[#This Row],[Ret-Bud-RU]]/DaybyDay[[#This Row],[Serv-Bud-RU]],"")</f>
        <v>#DIV/0!</v>
      </c>
      <c r="AD34" s="37" t="e">
        <f>IF(DaybyDay[[#This Row],[_Space]],DaybyDay[[#This Row],[Ret-LY-RU]]/DaybyDay[[#This Row],[Serv-LY-RU]],"")</f>
        <v>#DIV/0!</v>
      </c>
      <c r="AE34" s="30">
        <f>WEEKDAY(DaybyDay[[#This Row],[LY-Date]])</f>
        <v>7</v>
      </c>
      <c r="AF34" s="38">
        <f>$E$2+_xlfn.DAYS(DaybyDay[[#This Row],[Date]],minDate)</f>
        <v>42399</v>
      </c>
      <c r="AG34" s="39" t="str" cm="1">
        <f t="array" ref="AG34">IFERROR(INDEX(DaybyDay[],DaybyDay[[#This Row],[FORM_MATCH_HELPER]],8),"")</f>
        <v/>
      </c>
      <c r="AH34" s="39" t="str" cm="1">
        <f t="array" ref="AH34">IFERROR(INDEX(DaybyDay[],DaybyDay[[#This Row],[FORM_MATCH_HELPER]],10),"")</f>
        <v/>
      </c>
      <c r="AI34" s="39" t="str" cm="1">
        <f t="array" ref="AI34">IFERROR(INDEX(DaybyDay[],DaybyDay[[#This Row],[FORM_MATCH_HELPER]],12),"")</f>
        <v/>
      </c>
      <c r="AJ34" s="32">
        <f>IFERROR(DaybyDay[[#This Row],[Serv-LY-RU]]+DaybyDay[[#This Row],[Ret-LY-RU]],"")</f>
        <v>0</v>
      </c>
      <c r="AK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 s="77"/>
      <c r="AM34" s="40" t="str">
        <f>IF(DaybyDay[[#This Row],[Admin Hours]]&gt;0,DaybyDay[[#This Row],[Admin Hours]]*$AM$2+$AM$3,"")</f>
        <v/>
      </c>
      <c r="AN34" s="40">
        <f>SUMIFS(DaybyDay[Est-Admin-Payroll],DaybyDay[Date],"&gt;="&amp;$C$5,DaybyDay[RowYear],"&gt;="&amp;$C$4,DaybyDay[Date],"&lt;="&amp;DaybyDay[[#This Row],[Date]])</f>
        <v>0</v>
      </c>
      <c r="AO34" s="41" t="str">
        <f>IF(AND(DaybyDay[[#This Row],[_Space]],ISNUMBER(DaybyDay[[#This Row],[Admin Hours]])),DaybyDay[[#This Row],[Est-Admin-Payroll]]/(DaybyDay[[#This Row],[Service-Actuals]]+DaybyDay[[#This Row],[Retail-Actuals]]),"")</f>
        <v/>
      </c>
      <c r="AP34" s="41" t="e">
        <f>DaybyDay[[#This Row],[Estimated-Payroll-Rollup]]/DaybyDay[[#This Row],[Simple-Forecast]]</f>
        <v>#DIV/0!</v>
      </c>
      <c r="AQ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 s="77"/>
      <c r="AS34" s="40" t="str">
        <f>IF(DaybyDay[[#This Row],[Retail Hours]]&gt;0,DaybyDay[[#This Row],[Retail Hours]]*$AS$2,"")</f>
        <v/>
      </c>
      <c r="AT34" s="40">
        <f>SUMIFS(DaybyDay[Est-Retail-Payroll],DaybyDay[Date],"&gt;="&amp;$C$5,DaybyDay[RowYear],"&gt;="&amp;$C$4,DaybyDay[Date],"&lt;="&amp;DaybyDay[[#This Row],[Date]])</f>
        <v>0</v>
      </c>
      <c r="AU34" s="82" t="str">
        <f>IF(AND(DaybyDay[[#This Row],[_Space]],ISNUMBER(DaybyDay[[#This Row],[Retail Hours]])),DaybyDay[[#This Row],[Est-Retail-Payroll]]/(DaybyDay[[#This Row],[Retail-Actuals]]),"")</f>
        <v/>
      </c>
      <c r="AV34" s="82" t="e">
        <f>DaybyDay[[#This Row],[Est-Retail-PayrollRU]]/DaybyDay[[#This Row],[Simple-Forecast-Retail]]</f>
        <v>#DIV/0!</v>
      </c>
      <c r="AW34" s="8"/>
    </row>
    <row r="35" spans="3:49" hidden="1" x14ac:dyDescent="0.25">
      <c r="C35" s="26" t="str">
        <f>Tools!$C$1</f>
        <v>Example</v>
      </c>
      <c r="D35" s="27" t="s">
        <v>69</v>
      </c>
      <c r="E35" s="28">
        <v>2017</v>
      </c>
      <c r="F35" s="28">
        <f>MATCH(DaybyDay[[#This Row],[RowMonth]],Table3[SummaryMonth],0)</f>
        <v>2</v>
      </c>
      <c r="G35" s="29" t="e">
        <f>MATCH(DaybyDay[[#This Row],[LY-Date]],DaybyDay[Date],0)</f>
        <v>#N/A</v>
      </c>
      <c r="H35" s="30">
        <f>WEEKDAY(DaybyDay[[#This Row],[Date]])</f>
        <v>1</v>
      </c>
      <c r="I35" s="31">
        <v>42764</v>
      </c>
      <c r="J35" s="74">
        <v>53</v>
      </c>
      <c r="K35" s="32">
        <f>SUMIFS(BudgetSeasonality[365 Seasonality],BudgetSeasonality[MonthAdjustment],DaybyDay[[#This Row],[Date]])*SUMIFS(Budgets[Service-Budget],Budgets[BudgetMonth],DaybyDay[[#This Row],[RowMonth]],Budgets[BudgetYear],DaybyDay[[#This Row],[RowYear]])</f>
        <v>0</v>
      </c>
      <c r="L35" s="75">
        <v>7654.62</v>
      </c>
      <c r="M35" s="32">
        <f>INDEX(BudgetSeasonality[365 Seasonality],MATCH(DaybyDay[[#This Row],[Date]],BudgetSeasonality[MonthAdjustment],0))*SUMIFS(Budgets[Retail-Budget],Budgets[BudgetMonth],DaybyDay[[#This Row],[RowMonth]],Budgets[BudgetYear],DaybyDay[[#This Row],[RowYear]])</f>
        <v>0</v>
      </c>
      <c r="N35" s="75">
        <v>1100</v>
      </c>
      <c r="O35" s="33">
        <f>SUMIFS(DaybyDay[Service-Budgets],DaybyDay[Date],"&gt;="&amp;$C$5,DaybyDay[RowYear],"&gt;="&amp;$C$4,DaybyDay[Date],"&lt;="&amp;DaybyDay[[#This Row],[Date]])</f>
        <v>0</v>
      </c>
      <c r="P35" s="33">
        <f>SUMIFS(DaybyDay[Retail-Budgets],DaybyDay[Date],"&gt;="&amp;$C$5,DaybyDay[RowYear],"&gt;="&amp;$C$4,DaybyDay[Date],"&lt;="&amp;DaybyDay[[#This Row],[Date]])</f>
        <v>0</v>
      </c>
      <c r="Q35" s="34">
        <f>SUMIFS(DaybyDay[Service-Actuals],DaybyDay[Date],"&gt;="&amp;$C$5,DaybyDay[RowYear],"&gt;="&amp;$C$4,DaybyDay[Date],"&lt;="&amp;DaybyDay[[#This Row],[Date]])</f>
        <v>0</v>
      </c>
      <c r="R35" s="34">
        <f>SUMIFS(DaybyDay[Retail-Actuals],DaybyDay[Date],"&gt;="&amp;$C$5,DaybyDay[RowYear],"&gt;="&amp;$C$4,DaybyDay[Date],"&lt;="&amp;DaybyDay[[#This Row],[Date]])</f>
        <v>0</v>
      </c>
      <c r="S35" s="35">
        <f>SUMIFS(DaybyDay[Service-LY],DaybyDay[Date],"&gt;="&amp;$C$5,DaybyDay[RowYear],"&gt;="&amp;$C$4,DaybyDay[Date],"&lt;="&amp;DaybyDay[[#This Row],[Date]])</f>
        <v>0</v>
      </c>
      <c r="T35" s="35">
        <f>SUMIFS(DaybyDay[Retail-LY],DaybyDay[Date],"&gt;="&amp;$C$5,DaybyDay[RowYear],"&gt;="&amp;$C$4,DaybyDay[Date],"&lt;="&amp;DaybyDay[[#This Row],[Date]])</f>
        <v>0</v>
      </c>
      <c r="U35" s="32">
        <f>DaybyDay[[#This Row],[Serv-Bud-RU]]+DaybyDay[[#This Row],[Ret-Bud-RU]]</f>
        <v>0</v>
      </c>
      <c r="V35" s="32">
        <f>DaybyDay[[#This Row],[Serv-Act-RU]]+DaybyDay[[#This Row],[Ret-Act-RU]]</f>
        <v>0</v>
      </c>
      <c r="W35" s="36">
        <f>IF(DaybyDay[[#This Row],[_Space]],IFERROR(
((DaybyDay[[#This Row],[Actual-Rollup]]-DaybyDay[[#This Row],[Budget-Rollup]])/DaybyDay[[#This Row],[Budget-Rollup]]),0),"")</f>
        <v>0</v>
      </c>
      <c r="X35" t="b">
        <f>NOT(AND(ISBLANK(DaybyDay[[#This Row],[Appts]]),ISBLANK(DaybyDay[[#This Row],[Service-Actuals]]),ISBLANK(DaybyDay[[#This Row],[Retail-Actuals]])))</f>
        <v>1</v>
      </c>
      <c r="Y35" s="36">
        <f>IF(DaybyDay[[#This Row],[_Space]],IFERROR(
((DaybyDay[[#This Row],[Actual-Rollup]]-DaybyDay[[#This Row],[LY-Rollup]])/DaybyDay[[#This Row],[LY-Rollup]]),0),"")</f>
        <v>0</v>
      </c>
      <c r="Z35"/>
      <c r="AA35" s="37" t="e">
        <f>IF(DaybyDay[[#This Row],[_Space]],DaybyDay[[#This Row],[Ret-Act-RU]]/DaybyDay[[#This Row],[Serv-Act-RU]],"")</f>
        <v>#DIV/0!</v>
      </c>
      <c r="AB35" s="50" t="e">
        <f>IF(DaybyDay[[#This Row],[_Space]],DaybyDay[[#This Row],[RETPEN-Act]]/DaybyDay[[#This Row],[RETPEN-Bud]],"")</f>
        <v>#DIV/0!</v>
      </c>
      <c r="AC35" s="37" t="e">
        <f>IF(DaybyDay[[#This Row],[_Space]],DaybyDay[[#This Row],[Ret-Bud-RU]]/DaybyDay[[#This Row],[Serv-Bud-RU]],"")</f>
        <v>#DIV/0!</v>
      </c>
      <c r="AD35" s="37" t="e">
        <f>IF(DaybyDay[[#This Row],[_Space]],DaybyDay[[#This Row],[Ret-LY-RU]]/DaybyDay[[#This Row],[Serv-LY-RU]],"")</f>
        <v>#DIV/0!</v>
      </c>
      <c r="AE35" s="30">
        <f>WEEKDAY(DaybyDay[[#This Row],[LY-Date]])</f>
        <v>1</v>
      </c>
      <c r="AF35" s="38">
        <f>$E$2+_xlfn.DAYS(DaybyDay[[#This Row],[Date]],minDate)</f>
        <v>42400</v>
      </c>
      <c r="AG35" s="39" t="str" cm="1">
        <f t="array" ref="AG35">IFERROR(INDEX(DaybyDay[],DaybyDay[[#This Row],[FORM_MATCH_HELPER]],8),"")</f>
        <v/>
      </c>
      <c r="AH35" s="39" t="str" cm="1">
        <f t="array" ref="AH35">IFERROR(INDEX(DaybyDay[],DaybyDay[[#This Row],[FORM_MATCH_HELPER]],10),"")</f>
        <v/>
      </c>
      <c r="AI35" s="39" t="str" cm="1">
        <f t="array" ref="AI35">IFERROR(INDEX(DaybyDay[],DaybyDay[[#This Row],[FORM_MATCH_HELPER]],12),"")</f>
        <v/>
      </c>
      <c r="AJ35" s="32">
        <f>IFERROR(DaybyDay[[#This Row],[Serv-LY-RU]]+DaybyDay[[#This Row],[Ret-LY-RU]],"")</f>
        <v>0</v>
      </c>
      <c r="AK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 s="77"/>
      <c r="AM35" s="40" t="str">
        <f>IF(DaybyDay[[#This Row],[Admin Hours]]&gt;0,DaybyDay[[#This Row],[Admin Hours]]*$AM$2+$AM$3,"")</f>
        <v/>
      </c>
      <c r="AN35" s="40">
        <f>SUMIFS(DaybyDay[Est-Admin-Payroll],DaybyDay[Date],"&gt;="&amp;$C$5,DaybyDay[RowYear],"&gt;="&amp;$C$4,DaybyDay[Date],"&lt;="&amp;DaybyDay[[#This Row],[Date]])</f>
        <v>0</v>
      </c>
      <c r="AO35" s="41" t="str">
        <f>IF(AND(DaybyDay[[#This Row],[_Space]],ISNUMBER(DaybyDay[[#This Row],[Admin Hours]])),DaybyDay[[#This Row],[Est-Admin-Payroll]]/(DaybyDay[[#This Row],[Service-Actuals]]+DaybyDay[[#This Row],[Retail-Actuals]]),"")</f>
        <v/>
      </c>
      <c r="AP35" s="41" t="e">
        <f>DaybyDay[[#This Row],[Estimated-Payroll-Rollup]]/DaybyDay[[#This Row],[Simple-Forecast]]</f>
        <v>#DIV/0!</v>
      </c>
      <c r="AQ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 s="77"/>
      <c r="AS35" s="40" t="str">
        <f>IF(DaybyDay[[#This Row],[Retail Hours]]&gt;0,DaybyDay[[#This Row],[Retail Hours]]*$AS$2,"")</f>
        <v/>
      </c>
      <c r="AT35" s="40">
        <f>SUMIFS(DaybyDay[Est-Retail-Payroll],DaybyDay[Date],"&gt;="&amp;$C$5,DaybyDay[RowYear],"&gt;="&amp;$C$4,DaybyDay[Date],"&lt;="&amp;DaybyDay[[#This Row],[Date]])</f>
        <v>0</v>
      </c>
      <c r="AU35" s="82" t="str">
        <f>IF(AND(DaybyDay[[#This Row],[_Space]],ISNUMBER(DaybyDay[[#This Row],[Retail Hours]])),DaybyDay[[#This Row],[Est-Retail-Payroll]]/(DaybyDay[[#This Row],[Retail-Actuals]]),"")</f>
        <v/>
      </c>
      <c r="AV35" s="82" t="e">
        <f>DaybyDay[[#This Row],[Est-Retail-PayrollRU]]/DaybyDay[[#This Row],[Simple-Forecast-Retail]]</f>
        <v>#DIV/0!</v>
      </c>
      <c r="AW35" s="8"/>
    </row>
    <row r="36" spans="3:49" hidden="1" x14ac:dyDescent="0.25">
      <c r="C36" s="26" t="str">
        <f>Tools!$C$1</f>
        <v>Example</v>
      </c>
      <c r="D36" s="27" t="s">
        <v>69</v>
      </c>
      <c r="E36" s="28">
        <v>2017</v>
      </c>
      <c r="F36" s="28">
        <f>MATCH(DaybyDay[[#This Row],[RowMonth]],Table3[SummaryMonth],0)</f>
        <v>2</v>
      </c>
      <c r="G36" s="29" t="e">
        <f>MATCH(DaybyDay[[#This Row],[LY-Date]],DaybyDay[Date],0)</f>
        <v>#N/A</v>
      </c>
      <c r="H36" s="30">
        <f>WEEKDAY(DaybyDay[[#This Row],[Date]])</f>
        <v>2</v>
      </c>
      <c r="I36" s="31">
        <v>42765</v>
      </c>
      <c r="J36" s="74">
        <v>37</v>
      </c>
      <c r="K36" s="32">
        <f>SUMIFS(BudgetSeasonality[365 Seasonality],BudgetSeasonality[MonthAdjustment],DaybyDay[[#This Row],[Date]])*SUMIFS(Budgets[Service-Budget],Budgets[BudgetMonth],DaybyDay[[#This Row],[RowMonth]],Budgets[BudgetYear],DaybyDay[[#This Row],[RowYear]])</f>
        <v>0</v>
      </c>
      <c r="L36" s="75">
        <v>5012.53</v>
      </c>
      <c r="M36" s="32">
        <f>INDEX(BudgetSeasonality[365 Seasonality],MATCH(DaybyDay[[#This Row],[Date]],BudgetSeasonality[MonthAdjustment],0))*SUMIFS(Budgets[Retail-Budget],Budgets[BudgetMonth],DaybyDay[[#This Row],[RowMonth]],Budgets[BudgetYear],DaybyDay[[#This Row],[RowYear]])</f>
        <v>0</v>
      </c>
      <c r="N36" s="75">
        <v>215.27</v>
      </c>
      <c r="O36" s="33">
        <f>SUMIFS(DaybyDay[Service-Budgets],DaybyDay[Date],"&gt;="&amp;$C$5,DaybyDay[RowYear],"&gt;="&amp;$C$4,DaybyDay[Date],"&lt;="&amp;DaybyDay[[#This Row],[Date]])</f>
        <v>0</v>
      </c>
      <c r="P36" s="33">
        <f>SUMIFS(DaybyDay[Retail-Budgets],DaybyDay[Date],"&gt;="&amp;$C$5,DaybyDay[RowYear],"&gt;="&amp;$C$4,DaybyDay[Date],"&lt;="&amp;DaybyDay[[#This Row],[Date]])</f>
        <v>0</v>
      </c>
      <c r="Q36" s="34">
        <f>SUMIFS(DaybyDay[Service-Actuals],DaybyDay[Date],"&gt;="&amp;$C$5,DaybyDay[RowYear],"&gt;="&amp;$C$4,DaybyDay[Date],"&lt;="&amp;DaybyDay[[#This Row],[Date]])</f>
        <v>0</v>
      </c>
      <c r="R36" s="34">
        <f>SUMIFS(DaybyDay[Retail-Actuals],DaybyDay[Date],"&gt;="&amp;$C$5,DaybyDay[RowYear],"&gt;="&amp;$C$4,DaybyDay[Date],"&lt;="&amp;DaybyDay[[#This Row],[Date]])</f>
        <v>0</v>
      </c>
      <c r="S36" s="35">
        <f>SUMIFS(DaybyDay[Service-LY],DaybyDay[Date],"&gt;="&amp;$C$5,DaybyDay[RowYear],"&gt;="&amp;$C$4,DaybyDay[Date],"&lt;="&amp;DaybyDay[[#This Row],[Date]])</f>
        <v>0</v>
      </c>
      <c r="T36" s="35">
        <f>SUMIFS(DaybyDay[Retail-LY],DaybyDay[Date],"&gt;="&amp;$C$5,DaybyDay[RowYear],"&gt;="&amp;$C$4,DaybyDay[Date],"&lt;="&amp;DaybyDay[[#This Row],[Date]])</f>
        <v>0</v>
      </c>
      <c r="U36" s="32">
        <f>DaybyDay[[#This Row],[Serv-Bud-RU]]+DaybyDay[[#This Row],[Ret-Bud-RU]]</f>
        <v>0</v>
      </c>
      <c r="V36" s="32">
        <f>DaybyDay[[#This Row],[Serv-Act-RU]]+DaybyDay[[#This Row],[Ret-Act-RU]]</f>
        <v>0</v>
      </c>
      <c r="W36" s="36">
        <f>IF(DaybyDay[[#This Row],[_Space]],IFERROR(
((DaybyDay[[#This Row],[Actual-Rollup]]-DaybyDay[[#This Row],[Budget-Rollup]])/DaybyDay[[#This Row],[Budget-Rollup]]),0),"")</f>
        <v>0</v>
      </c>
      <c r="X36" t="b">
        <f>NOT(AND(ISBLANK(DaybyDay[[#This Row],[Appts]]),ISBLANK(DaybyDay[[#This Row],[Service-Actuals]]),ISBLANK(DaybyDay[[#This Row],[Retail-Actuals]])))</f>
        <v>1</v>
      </c>
      <c r="Y36" s="36">
        <f>IF(DaybyDay[[#This Row],[_Space]],IFERROR(
((DaybyDay[[#This Row],[Actual-Rollup]]-DaybyDay[[#This Row],[LY-Rollup]])/DaybyDay[[#This Row],[LY-Rollup]]),0),"")</f>
        <v>0</v>
      </c>
      <c r="Z36"/>
      <c r="AA36" s="37" t="e">
        <f>IF(DaybyDay[[#This Row],[_Space]],DaybyDay[[#This Row],[Ret-Act-RU]]/DaybyDay[[#This Row],[Serv-Act-RU]],"")</f>
        <v>#DIV/0!</v>
      </c>
      <c r="AB36" s="50" t="e">
        <f>IF(DaybyDay[[#This Row],[_Space]],DaybyDay[[#This Row],[RETPEN-Act]]/DaybyDay[[#This Row],[RETPEN-Bud]],"")</f>
        <v>#DIV/0!</v>
      </c>
      <c r="AC36" s="37" t="e">
        <f>IF(DaybyDay[[#This Row],[_Space]],DaybyDay[[#This Row],[Ret-Bud-RU]]/DaybyDay[[#This Row],[Serv-Bud-RU]],"")</f>
        <v>#DIV/0!</v>
      </c>
      <c r="AD36" s="37" t="e">
        <f>IF(DaybyDay[[#This Row],[_Space]],DaybyDay[[#This Row],[Ret-LY-RU]]/DaybyDay[[#This Row],[Serv-LY-RU]],"")</f>
        <v>#DIV/0!</v>
      </c>
      <c r="AE36" s="30">
        <f>WEEKDAY(DaybyDay[[#This Row],[LY-Date]])</f>
        <v>2</v>
      </c>
      <c r="AF36" s="38">
        <f>$E$2+_xlfn.DAYS(DaybyDay[[#This Row],[Date]],minDate)</f>
        <v>42401</v>
      </c>
      <c r="AG36" s="39" t="str" cm="1">
        <f t="array" ref="AG36">IFERROR(INDEX(DaybyDay[],DaybyDay[[#This Row],[FORM_MATCH_HELPER]],8),"")</f>
        <v/>
      </c>
      <c r="AH36" s="39" t="str" cm="1">
        <f t="array" ref="AH36">IFERROR(INDEX(DaybyDay[],DaybyDay[[#This Row],[FORM_MATCH_HELPER]],10),"")</f>
        <v/>
      </c>
      <c r="AI36" s="39" t="str" cm="1">
        <f t="array" ref="AI36">IFERROR(INDEX(DaybyDay[],DaybyDay[[#This Row],[FORM_MATCH_HELPER]],12),"")</f>
        <v/>
      </c>
      <c r="AJ36" s="32">
        <f>IFERROR(DaybyDay[[#This Row],[Serv-LY-RU]]+DaybyDay[[#This Row],[Ret-LY-RU]],"")</f>
        <v>0</v>
      </c>
      <c r="AK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 s="77"/>
      <c r="AM36" s="40" t="str">
        <f>IF(DaybyDay[[#This Row],[Admin Hours]]&gt;0,DaybyDay[[#This Row],[Admin Hours]]*$AM$2+$AM$3,"")</f>
        <v/>
      </c>
      <c r="AN36" s="40">
        <f>SUMIFS(DaybyDay[Est-Admin-Payroll],DaybyDay[Date],"&gt;="&amp;$C$5,DaybyDay[RowYear],"&gt;="&amp;$C$4,DaybyDay[Date],"&lt;="&amp;DaybyDay[[#This Row],[Date]])</f>
        <v>0</v>
      </c>
      <c r="AO36" s="41" t="str">
        <f>IF(AND(DaybyDay[[#This Row],[_Space]],ISNUMBER(DaybyDay[[#This Row],[Admin Hours]])),DaybyDay[[#This Row],[Est-Admin-Payroll]]/(DaybyDay[[#This Row],[Service-Actuals]]+DaybyDay[[#This Row],[Retail-Actuals]]),"")</f>
        <v/>
      </c>
      <c r="AP36" s="41" t="e">
        <f>DaybyDay[[#This Row],[Estimated-Payroll-Rollup]]/DaybyDay[[#This Row],[Simple-Forecast]]</f>
        <v>#DIV/0!</v>
      </c>
      <c r="AQ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 s="77"/>
      <c r="AS36" s="40" t="str">
        <f>IF(DaybyDay[[#This Row],[Retail Hours]]&gt;0,DaybyDay[[#This Row],[Retail Hours]]*$AS$2,"")</f>
        <v/>
      </c>
      <c r="AT36" s="40">
        <f>SUMIFS(DaybyDay[Est-Retail-Payroll],DaybyDay[Date],"&gt;="&amp;$C$5,DaybyDay[RowYear],"&gt;="&amp;$C$4,DaybyDay[Date],"&lt;="&amp;DaybyDay[[#This Row],[Date]])</f>
        <v>0</v>
      </c>
      <c r="AU36" s="82" t="str">
        <f>IF(AND(DaybyDay[[#This Row],[_Space]],ISNUMBER(DaybyDay[[#This Row],[Retail Hours]])),DaybyDay[[#This Row],[Est-Retail-Payroll]]/(DaybyDay[[#This Row],[Retail-Actuals]]),"")</f>
        <v/>
      </c>
      <c r="AV36" s="82" t="e">
        <f>DaybyDay[[#This Row],[Est-Retail-PayrollRU]]/DaybyDay[[#This Row],[Simple-Forecast-Retail]]</f>
        <v>#DIV/0!</v>
      </c>
      <c r="AW36" s="8"/>
    </row>
    <row r="37" spans="3:49" hidden="1" x14ac:dyDescent="0.25">
      <c r="C37" s="26" t="str">
        <f>Tools!$C$1</f>
        <v>Example</v>
      </c>
      <c r="D37" s="27" t="s">
        <v>69</v>
      </c>
      <c r="E37" s="28">
        <v>2017</v>
      </c>
      <c r="F37" s="28">
        <f>MATCH(DaybyDay[[#This Row],[RowMonth]],Table3[SummaryMonth],0)</f>
        <v>2</v>
      </c>
      <c r="G37" s="29" t="e">
        <f>MATCH(DaybyDay[[#This Row],[LY-Date]],DaybyDay[Date],0)</f>
        <v>#N/A</v>
      </c>
      <c r="H37" s="30">
        <f>WEEKDAY(DaybyDay[[#This Row],[Date]])</f>
        <v>3</v>
      </c>
      <c r="I37" s="31">
        <v>42766</v>
      </c>
      <c r="J37" s="74">
        <v>51</v>
      </c>
      <c r="K37" s="32">
        <f>SUMIFS(BudgetSeasonality[365 Seasonality],BudgetSeasonality[MonthAdjustment],DaybyDay[[#This Row],[Date]])*SUMIFS(Budgets[Service-Budget],Budgets[BudgetMonth],DaybyDay[[#This Row],[RowMonth]],Budgets[BudgetYear],DaybyDay[[#This Row],[RowYear]])</f>
        <v>0</v>
      </c>
      <c r="L37" s="75">
        <v>7055.88</v>
      </c>
      <c r="M37" s="32">
        <f>INDEX(BudgetSeasonality[365 Seasonality],MATCH(DaybyDay[[#This Row],[Date]],BudgetSeasonality[MonthAdjustment],0))*SUMIFS(Budgets[Retail-Budget],Budgets[BudgetMonth],DaybyDay[[#This Row],[RowMonth]],Budgets[BudgetYear],DaybyDay[[#This Row],[RowYear]])</f>
        <v>0</v>
      </c>
      <c r="N37" s="75">
        <v>504</v>
      </c>
      <c r="O37" s="33">
        <f>SUMIFS(DaybyDay[Service-Budgets],DaybyDay[Date],"&gt;="&amp;$C$5,DaybyDay[RowYear],"&gt;="&amp;$C$4,DaybyDay[Date],"&lt;="&amp;DaybyDay[[#This Row],[Date]])</f>
        <v>0</v>
      </c>
      <c r="P37" s="33">
        <f>SUMIFS(DaybyDay[Retail-Budgets],DaybyDay[Date],"&gt;="&amp;$C$5,DaybyDay[RowYear],"&gt;="&amp;$C$4,DaybyDay[Date],"&lt;="&amp;DaybyDay[[#This Row],[Date]])</f>
        <v>0</v>
      </c>
      <c r="Q37" s="34">
        <f>SUMIFS(DaybyDay[Service-Actuals],DaybyDay[Date],"&gt;="&amp;$C$5,DaybyDay[RowYear],"&gt;="&amp;$C$4,DaybyDay[Date],"&lt;="&amp;DaybyDay[[#This Row],[Date]])</f>
        <v>0</v>
      </c>
      <c r="R37" s="34">
        <f>SUMIFS(DaybyDay[Retail-Actuals],DaybyDay[Date],"&gt;="&amp;$C$5,DaybyDay[RowYear],"&gt;="&amp;$C$4,DaybyDay[Date],"&lt;="&amp;DaybyDay[[#This Row],[Date]])</f>
        <v>0</v>
      </c>
      <c r="S37" s="35">
        <f>SUMIFS(DaybyDay[Service-LY],DaybyDay[Date],"&gt;="&amp;$C$5,DaybyDay[RowYear],"&gt;="&amp;$C$4,DaybyDay[Date],"&lt;="&amp;DaybyDay[[#This Row],[Date]])</f>
        <v>0</v>
      </c>
      <c r="T37" s="35">
        <f>SUMIFS(DaybyDay[Retail-LY],DaybyDay[Date],"&gt;="&amp;$C$5,DaybyDay[RowYear],"&gt;="&amp;$C$4,DaybyDay[Date],"&lt;="&amp;DaybyDay[[#This Row],[Date]])</f>
        <v>0</v>
      </c>
      <c r="U37" s="32">
        <f>DaybyDay[[#This Row],[Serv-Bud-RU]]+DaybyDay[[#This Row],[Ret-Bud-RU]]</f>
        <v>0</v>
      </c>
      <c r="V37" s="32">
        <f>DaybyDay[[#This Row],[Serv-Act-RU]]+DaybyDay[[#This Row],[Ret-Act-RU]]</f>
        <v>0</v>
      </c>
      <c r="W37" s="36">
        <f>IF(DaybyDay[[#This Row],[_Space]],IFERROR(
((DaybyDay[[#This Row],[Actual-Rollup]]-DaybyDay[[#This Row],[Budget-Rollup]])/DaybyDay[[#This Row],[Budget-Rollup]]),0),"")</f>
        <v>0</v>
      </c>
      <c r="X37" t="b">
        <f>NOT(AND(ISBLANK(DaybyDay[[#This Row],[Appts]]),ISBLANK(DaybyDay[[#This Row],[Service-Actuals]]),ISBLANK(DaybyDay[[#This Row],[Retail-Actuals]])))</f>
        <v>1</v>
      </c>
      <c r="Y37" s="36">
        <f>IF(DaybyDay[[#This Row],[_Space]],IFERROR(
((DaybyDay[[#This Row],[Actual-Rollup]]-DaybyDay[[#This Row],[LY-Rollup]])/DaybyDay[[#This Row],[LY-Rollup]]),0),"")</f>
        <v>0</v>
      </c>
      <c r="Z37"/>
      <c r="AA37" s="37" t="e">
        <f>IF(DaybyDay[[#This Row],[_Space]],DaybyDay[[#This Row],[Ret-Act-RU]]/DaybyDay[[#This Row],[Serv-Act-RU]],"")</f>
        <v>#DIV/0!</v>
      </c>
      <c r="AB37" s="50" t="e">
        <f>IF(DaybyDay[[#This Row],[_Space]],DaybyDay[[#This Row],[RETPEN-Act]]/DaybyDay[[#This Row],[RETPEN-Bud]],"")</f>
        <v>#DIV/0!</v>
      </c>
      <c r="AC37" s="37" t="e">
        <f>IF(DaybyDay[[#This Row],[_Space]],DaybyDay[[#This Row],[Ret-Bud-RU]]/DaybyDay[[#This Row],[Serv-Bud-RU]],"")</f>
        <v>#DIV/0!</v>
      </c>
      <c r="AD37" s="37" t="e">
        <f>IF(DaybyDay[[#This Row],[_Space]],DaybyDay[[#This Row],[Ret-LY-RU]]/DaybyDay[[#This Row],[Serv-LY-RU]],"")</f>
        <v>#DIV/0!</v>
      </c>
      <c r="AE37" s="30">
        <f>WEEKDAY(DaybyDay[[#This Row],[LY-Date]])</f>
        <v>3</v>
      </c>
      <c r="AF37" s="38">
        <f>$E$2+_xlfn.DAYS(DaybyDay[[#This Row],[Date]],minDate)</f>
        <v>42402</v>
      </c>
      <c r="AG37" s="39" t="str" cm="1">
        <f t="array" ref="AG37">IFERROR(INDEX(DaybyDay[],DaybyDay[[#This Row],[FORM_MATCH_HELPER]],8),"")</f>
        <v/>
      </c>
      <c r="AH37" s="39" t="str" cm="1">
        <f t="array" ref="AH37">IFERROR(INDEX(DaybyDay[],DaybyDay[[#This Row],[FORM_MATCH_HELPER]],10),"")</f>
        <v/>
      </c>
      <c r="AI37" s="39" t="str" cm="1">
        <f t="array" ref="AI37">IFERROR(INDEX(DaybyDay[],DaybyDay[[#This Row],[FORM_MATCH_HELPER]],12),"")</f>
        <v/>
      </c>
      <c r="AJ37" s="32">
        <f>IFERROR(DaybyDay[[#This Row],[Serv-LY-RU]]+DaybyDay[[#This Row],[Ret-LY-RU]],"")</f>
        <v>0</v>
      </c>
      <c r="AK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 s="77"/>
      <c r="AM37" s="40" t="str">
        <f>IF(DaybyDay[[#This Row],[Admin Hours]]&gt;0,DaybyDay[[#This Row],[Admin Hours]]*$AM$2+$AM$3,"")</f>
        <v/>
      </c>
      <c r="AN37" s="40">
        <f>SUMIFS(DaybyDay[Est-Admin-Payroll],DaybyDay[Date],"&gt;="&amp;$C$5,DaybyDay[RowYear],"&gt;="&amp;$C$4,DaybyDay[Date],"&lt;="&amp;DaybyDay[[#This Row],[Date]])</f>
        <v>0</v>
      </c>
      <c r="AO37" s="41" t="str">
        <f>IF(AND(DaybyDay[[#This Row],[_Space]],ISNUMBER(DaybyDay[[#This Row],[Admin Hours]])),DaybyDay[[#This Row],[Est-Admin-Payroll]]/(DaybyDay[[#This Row],[Service-Actuals]]+DaybyDay[[#This Row],[Retail-Actuals]]),"")</f>
        <v/>
      </c>
      <c r="AP37" s="41" t="e">
        <f>DaybyDay[[#This Row],[Estimated-Payroll-Rollup]]/DaybyDay[[#This Row],[Simple-Forecast]]</f>
        <v>#DIV/0!</v>
      </c>
      <c r="AQ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 s="77"/>
      <c r="AS37" s="40" t="str">
        <f>IF(DaybyDay[[#This Row],[Retail Hours]]&gt;0,DaybyDay[[#This Row],[Retail Hours]]*$AS$2,"")</f>
        <v/>
      </c>
      <c r="AT37" s="40">
        <f>SUMIFS(DaybyDay[Est-Retail-Payroll],DaybyDay[Date],"&gt;="&amp;$C$5,DaybyDay[RowYear],"&gt;="&amp;$C$4,DaybyDay[Date],"&lt;="&amp;DaybyDay[[#This Row],[Date]])</f>
        <v>0</v>
      </c>
      <c r="AU37" s="82" t="str">
        <f>IF(AND(DaybyDay[[#This Row],[_Space]],ISNUMBER(DaybyDay[[#This Row],[Retail Hours]])),DaybyDay[[#This Row],[Est-Retail-Payroll]]/(DaybyDay[[#This Row],[Retail-Actuals]]),"")</f>
        <v/>
      </c>
      <c r="AV37" s="82" t="e">
        <f>DaybyDay[[#This Row],[Est-Retail-PayrollRU]]/DaybyDay[[#This Row],[Simple-Forecast-Retail]]</f>
        <v>#DIV/0!</v>
      </c>
      <c r="AW37" s="8"/>
    </row>
    <row r="38" spans="3:49" hidden="1" x14ac:dyDescent="0.25">
      <c r="C38" s="26" t="str">
        <f>Tools!$C$1</f>
        <v>Example</v>
      </c>
      <c r="D38" s="27" t="s">
        <v>69</v>
      </c>
      <c r="E38" s="28">
        <v>2017</v>
      </c>
      <c r="F38" s="28">
        <f>MATCH(DaybyDay[[#This Row],[RowMonth]],Table3[SummaryMonth],0)</f>
        <v>2</v>
      </c>
      <c r="G38" s="29" t="e">
        <f>MATCH(DaybyDay[[#This Row],[LY-Date]],DaybyDay[Date],0)</f>
        <v>#N/A</v>
      </c>
      <c r="H38" s="30">
        <f>WEEKDAY(DaybyDay[[#This Row],[Date]])</f>
        <v>4</v>
      </c>
      <c r="I38" s="31">
        <v>42767</v>
      </c>
      <c r="J38" s="74">
        <v>31</v>
      </c>
      <c r="K38" s="32">
        <f>SUMIFS(BudgetSeasonality[365 Seasonality],BudgetSeasonality[MonthAdjustment],DaybyDay[[#This Row],[Date]])*SUMIFS(Budgets[Service-Budget],Budgets[BudgetMonth],DaybyDay[[#This Row],[RowMonth]],Budgets[BudgetYear],DaybyDay[[#This Row],[RowYear]])</f>
        <v>0</v>
      </c>
      <c r="L38" s="75">
        <v>4451.05</v>
      </c>
      <c r="M38" s="32">
        <f>INDEX(BudgetSeasonality[365 Seasonality],MATCH(DaybyDay[[#This Row],[Date]],BudgetSeasonality[MonthAdjustment],0))*SUMIFS(Budgets[Retail-Budget],Budgets[BudgetMonth],DaybyDay[[#This Row],[RowMonth]],Budgets[BudgetYear],DaybyDay[[#This Row],[RowYear]])</f>
        <v>0</v>
      </c>
      <c r="N38" s="75">
        <v>2784.35</v>
      </c>
      <c r="O38" s="33">
        <f>SUMIFS(DaybyDay[Service-Budgets],DaybyDay[Date],"&gt;="&amp;$C$5,DaybyDay[RowYear],"&gt;="&amp;$C$4,DaybyDay[Date],"&lt;="&amp;DaybyDay[[#This Row],[Date]])</f>
        <v>0</v>
      </c>
      <c r="P38" s="33">
        <f>SUMIFS(DaybyDay[Retail-Budgets],DaybyDay[Date],"&gt;="&amp;$C$5,DaybyDay[RowYear],"&gt;="&amp;$C$4,DaybyDay[Date],"&lt;="&amp;DaybyDay[[#This Row],[Date]])</f>
        <v>0</v>
      </c>
      <c r="Q38" s="34">
        <f>SUMIFS(DaybyDay[Service-Actuals],DaybyDay[Date],"&gt;="&amp;$C$5,DaybyDay[RowYear],"&gt;="&amp;$C$4,DaybyDay[Date],"&lt;="&amp;DaybyDay[[#This Row],[Date]])</f>
        <v>0</v>
      </c>
      <c r="R38" s="34">
        <f>SUMIFS(DaybyDay[Retail-Actuals],DaybyDay[Date],"&gt;="&amp;$C$5,DaybyDay[RowYear],"&gt;="&amp;$C$4,DaybyDay[Date],"&lt;="&amp;DaybyDay[[#This Row],[Date]])</f>
        <v>0</v>
      </c>
      <c r="S38" s="35">
        <f>SUMIFS(DaybyDay[Service-LY],DaybyDay[Date],"&gt;="&amp;$C$5,DaybyDay[RowYear],"&gt;="&amp;$C$4,DaybyDay[Date],"&lt;="&amp;DaybyDay[[#This Row],[Date]])</f>
        <v>0</v>
      </c>
      <c r="T38" s="35">
        <f>SUMIFS(DaybyDay[Retail-LY],DaybyDay[Date],"&gt;="&amp;$C$5,DaybyDay[RowYear],"&gt;="&amp;$C$4,DaybyDay[Date],"&lt;="&amp;DaybyDay[[#This Row],[Date]])</f>
        <v>0</v>
      </c>
      <c r="U38" s="32">
        <f>DaybyDay[[#This Row],[Serv-Bud-RU]]+DaybyDay[[#This Row],[Ret-Bud-RU]]</f>
        <v>0</v>
      </c>
      <c r="V38" s="32">
        <f>DaybyDay[[#This Row],[Serv-Act-RU]]+DaybyDay[[#This Row],[Ret-Act-RU]]</f>
        <v>0</v>
      </c>
      <c r="W38" s="36">
        <f>IF(DaybyDay[[#This Row],[_Space]],IFERROR(
((DaybyDay[[#This Row],[Actual-Rollup]]-DaybyDay[[#This Row],[Budget-Rollup]])/DaybyDay[[#This Row],[Budget-Rollup]]),0),"")</f>
        <v>0</v>
      </c>
      <c r="X38" t="b">
        <f>NOT(AND(ISBLANK(DaybyDay[[#This Row],[Appts]]),ISBLANK(DaybyDay[[#This Row],[Service-Actuals]]),ISBLANK(DaybyDay[[#This Row],[Retail-Actuals]])))</f>
        <v>1</v>
      </c>
      <c r="Y38" s="36">
        <f>IF(DaybyDay[[#This Row],[_Space]],IFERROR(
((DaybyDay[[#This Row],[Actual-Rollup]]-DaybyDay[[#This Row],[LY-Rollup]])/DaybyDay[[#This Row],[LY-Rollup]]),0),"")</f>
        <v>0</v>
      </c>
      <c r="Z38"/>
      <c r="AA38" s="37" t="e">
        <f>IF(DaybyDay[[#This Row],[_Space]],DaybyDay[[#This Row],[Ret-Act-RU]]/DaybyDay[[#This Row],[Serv-Act-RU]],"")</f>
        <v>#DIV/0!</v>
      </c>
      <c r="AB38" s="50" t="e">
        <f>IF(DaybyDay[[#This Row],[_Space]],DaybyDay[[#This Row],[RETPEN-Act]]/DaybyDay[[#This Row],[RETPEN-Bud]],"")</f>
        <v>#DIV/0!</v>
      </c>
      <c r="AC38" s="37" t="e">
        <f>IF(DaybyDay[[#This Row],[_Space]],DaybyDay[[#This Row],[Ret-Bud-RU]]/DaybyDay[[#This Row],[Serv-Bud-RU]],"")</f>
        <v>#DIV/0!</v>
      </c>
      <c r="AD38" s="37" t="e">
        <f>IF(DaybyDay[[#This Row],[_Space]],DaybyDay[[#This Row],[Ret-LY-RU]]/DaybyDay[[#This Row],[Serv-LY-RU]],"")</f>
        <v>#DIV/0!</v>
      </c>
      <c r="AE38" s="30">
        <f>WEEKDAY(DaybyDay[[#This Row],[LY-Date]])</f>
        <v>4</v>
      </c>
      <c r="AF38" s="38">
        <f>$E$2+_xlfn.DAYS(DaybyDay[[#This Row],[Date]],minDate)</f>
        <v>42403</v>
      </c>
      <c r="AG38" s="39" t="str" cm="1">
        <f t="array" ref="AG38">IFERROR(INDEX(DaybyDay[],DaybyDay[[#This Row],[FORM_MATCH_HELPER]],8),"")</f>
        <v/>
      </c>
      <c r="AH38" s="39" t="str" cm="1">
        <f t="array" ref="AH38">IFERROR(INDEX(DaybyDay[],DaybyDay[[#This Row],[FORM_MATCH_HELPER]],10),"")</f>
        <v/>
      </c>
      <c r="AI38" s="39" t="str" cm="1">
        <f t="array" ref="AI38">IFERROR(INDEX(DaybyDay[],DaybyDay[[#This Row],[FORM_MATCH_HELPER]],12),"")</f>
        <v/>
      </c>
      <c r="AJ38" s="32">
        <f>IFERROR(DaybyDay[[#This Row],[Serv-LY-RU]]+DaybyDay[[#This Row],[Ret-LY-RU]],"")</f>
        <v>0</v>
      </c>
      <c r="AK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 s="77"/>
      <c r="AM38" s="40" t="str">
        <f>IF(DaybyDay[[#This Row],[Admin Hours]]&gt;0,DaybyDay[[#This Row],[Admin Hours]]*$AM$2+$AM$3,"")</f>
        <v/>
      </c>
      <c r="AN38" s="40">
        <f>SUMIFS(DaybyDay[Est-Admin-Payroll],DaybyDay[Date],"&gt;="&amp;$C$5,DaybyDay[RowYear],"&gt;="&amp;$C$4,DaybyDay[Date],"&lt;="&amp;DaybyDay[[#This Row],[Date]])</f>
        <v>0</v>
      </c>
      <c r="AO38" s="41" t="str">
        <f>IF(AND(DaybyDay[[#This Row],[_Space]],ISNUMBER(DaybyDay[[#This Row],[Admin Hours]])),DaybyDay[[#This Row],[Est-Admin-Payroll]]/(DaybyDay[[#This Row],[Service-Actuals]]+DaybyDay[[#This Row],[Retail-Actuals]]),"")</f>
        <v/>
      </c>
      <c r="AP38" s="41" t="e">
        <f>DaybyDay[[#This Row],[Estimated-Payroll-Rollup]]/DaybyDay[[#This Row],[Simple-Forecast]]</f>
        <v>#DIV/0!</v>
      </c>
      <c r="AQ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 s="77"/>
      <c r="AS38" s="40" t="str">
        <f>IF(DaybyDay[[#This Row],[Retail Hours]]&gt;0,DaybyDay[[#This Row],[Retail Hours]]*$AS$2,"")</f>
        <v/>
      </c>
      <c r="AT38" s="40">
        <f>SUMIFS(DaybyDay[Est-Retail-Payroll],DaybyDay[Date],"&gt;="&amp;$C$5,DaybyDay[RowYear],"&gt;="&amp;$C$4,DaybyDay[Date],"&lt;="&amp;DaybyDay[[#This Row],[Date]])</f>
        <v>0</v>
      </c>
      <c r="AU38" s="82" t="str">
        <f>IF(AND(DaybyDay[[#This Row],[_Space]],ISNUMBER(DaybyDay[[#This Row],[Retail Hours]])),DaybyDay[[#This Row],[Est-Retail-Payroll]]/(DaybyDay[[#This Row],[Retail-Actuals]]),"")</f>
        <v/>
      </c>
      <c r="AV38" s="82" t="e">
        <f>DaybyDay[[#This Row],[Est-Retail-PayrollRU]]/DaybyDay[[#This Row],[Simple-Forecast-Retail]]</f>
        <v>#DIV/0!</v>
      </c>
      <c r="AW38" s="8"/>
    </row>
    <row r="39" spans="3:49" hidden="1" x14ac:dyDescent="0.25">
      <c r="C39" s="26" t="str">
        <f>Tools!$C$1</f>
        <v>Example</v>
      </c>
      <c r="D39" s="27" t="s">
        <v>69</v>
      </c>
      <c r="E39" s="28">
        <v>2017</v>
      </c>
      <c r="F39" s="28">
        <f>MATCH(DaybyDay[[#This Row],[RowMonth]],Table3[SummaryMonth],0)</f>
        <v>2</v>
      </c>
      <c r="G39" s="29" t="e">
        <f>MATCH(DaybyDay[[#This Row],[LY-Date]],DaybyDay[Date],0)</f>
        <v>#N/A</v>
      </c>
      <c r="H39" s="30">
        <f>WEEKDAY(DaybyDay[[#This Row],[Date]])</f>
        <v>5</v>
      </c>
      <c r="I39" s="31">
        <v>42768</v>
      </c>
      <c r="J39" s="74">
        <v>39</v>
      </c>
      <c r="K39" s="32">
        <f>SUMIFS(BudgetSeasonality[365 Seasonality],BudgetSeasonality[MonthAdjustment],DaybyDay[[#This Row],[Date]])*SUMIFS(Budgets[Service-Budget],Budgets[BudgetMonth],DaybyDay[[#This Row],[RowMonth]],Budgets[BudgetYear],DaybyDay[[#This Row],[RowYear]])</f>
        <v>0</v>
      </c>
      <c r="L39" s="75">
        <v>5686.59</v>
      </c>
      <c r="M39" s="32">
        <f>INDEX(BudgetSeasonality[365 Seasonality],MATCH(DaybyDay[[#This Row],[Date]],BudgetSeasonality[MonthAdjustment],0))*SUMIFS(Budgets[Retail-Budget],Budgets[BudgetMonth],DaybyDay[[#This Row],[RowMonth]],Budgets[BudgetYear],DaybyDay[[#This Row],[RowYear]])</f>
        <v>0</v>
      </c>
      <c r="N39" s="75">
        <v>638</v>
      </c>
      <c r="O39" s="33">
        <f>SUMIFS(DaybyDay[Service-Budgets],DaybyDay[Date],"&gt;="&amp;$C$5,DaybyDay[RowYear],"&gt;="&amp;$C$4,DaybyDay[Date],"&lt;="&amp;DaybyDay[[#This Row],[Date]])</f>
        <v>0</v>
      </c>
      <c r="P39" s="33">
        <f>SUMIFS(DaybyDay[Retail-Budgets],DaybyDay[Date],"&gt;="&amp;$C$5,DaybyDay[RowYear],"&gt;="&amp;$C$4,DaybyDay[Date],"&lt;="&amp;DaybyDay[[#This Row],[Date]])</f>
        <v>0</v>
      </c>
      <c r="Q39" s="34">
        <f>SUMIFS(DaybyDay[Service-Actuals],DaybyDay[Date],"&gt;="&amp;$C$5,DaybyDay[RowYear],"&gt;="&amp;$C$4,DaybyDay[Date],"&lt;="&amp;DaybyDay[[#This Row],[Date]])</f>
        <v>0</v>
      </c>
      <c r="R39" s="34">
        <f>SUMIFS(DaybyDay[Retail-Actuals],DaybyDay[Date],"&gt;="&amp;$C$5,DaybyDay[RowYear],"&gt;="&amp;$C$4,DaybyDay[Date],"&lt;="&amp;DaybyDay[[#This Row],[Date]])</f>
        <v>0</v>
      </c>
      <c r="S39" s="35">
        <f>SUMIFS(DaybyDay[Service-LY],DaybyDay[Date],"&gt;="&amp;$C$5,DaybyDay[RowYear],"&gt;="&amp;$C$4,DaybyDay[Date],"&lt;="&amp;DaybyDay[[#This Row],[Date]])</f>
        <v>0</v>
      </c>
      <c r="T39" s="35">
        <f>SUMIFS(DaybyDay[Retail-LY],DaybyDay[Date],"&gt;="&amp;$C$5,DaybyDay[RowYear],"&gt;="&amp;$C$4,DaybyDay[Date],"&lt;="&amp;DaybyDay[[#This Row],[Date]])</f>
        <v>0</v>
      </c>
      <c r="U39" s="32">
        <f>DaybyDay[[#This Row],[Serv-Bud-RU]]+DaybyDay[[#This Row],[Ret-Bud-RU]]</f>
        <v>0</v>
      </c>
      <c r="V39" s="32">
        <f>DaybyDay[[#This Row],[Serv-Act-RU]]+DaybyDay[[#This Row],[Ret-Act-RU]]</f>
        <v>0</v>
      </c>
      <c r="W39" s="36">
        <f>IF(DaybyDay[[#This Row],[_Space]],IFERROR(
((DaybyDay[[#This Row],[Actual-Rollup]]-DaybyDay[[#This Row],[Budget-Rollup]])/DaybyDay[[#This Row],[Budget-Rollup]]),0),"")</f>
        <v>0</v>
      </c>
      <c r="X39" t="b">
        <f>NOT(AND(ISBLANK(DaybyDay[[#This Row],[Appts]]),ISBLANK(DaybyDay[[#This Row],[Service-Actuals]]),ISBLANK(DaybyDay[[#This Row],[Retail-Actuals]])))</f>
        <v>1</v>
      </c>
      <c r="Y39" s="36">
        <f>IF(DaybyDay[[#This Row],[_Space]],IFERROR(
((DaybyDay[[#This Row],[Actual-Rollup]]-DaybyDay[[#This Row],[LY-Rollup]])/DaybyDay[[#This Row],[LY-Rollup]]),0),"")</f>
        <v>0</v>
      </c>
      <c r="Z39"/>
      <c r="AA39" s="37" t="e">
        <f>IF(DaybyDay[[#This Row],[_Space]],DaybyDay[[#This Row],[Ret-Act-RU]]/DaybyDay[[#This Row],[Serv-Act-RU]],"")</f>
        <v>#DIV/0!</v>
      </c>
      <c r="AB39" s="50" t="e">
        <f>IF(DaybyDay[[#This Row],[_Space]],DaybyDay[[#This Row],[RETPEN-Act]]/DaybyDay[[#This Row],[RETPEN-Bud]],"")</f>
        <v>#DIV/0!</v>
      </c>
      <c r="AC39" s="37" t="e">
        <f>IF(DaybyDay[[#This Row],[_Space]],DaybyDay[[#This Row],[Ret-Bud-RU]]/DaybyDay[[#This Row],[Serv-Bud-RU]],"")</f>
        <v>#DIV/0!</v>
      </c>
      <c r="AD39" s="37" t="e">
        <f>IF(DaybyDay[[#This Row],[_Space]],DaybyDay[[#This Row],[Ret-LY-RU]]/DaybyDay[[#This Row],[Serv-LY-RU]],"")</f>
        <v>#DIV/0!</v>
      </c>
      <c r="AE39" s="30">
        <f>WEEKDAY(DaybyDay[[#This Row],[LY-Date]])</f>
        <v>5</v>
      </c>
      <c r="AF39" s="38">
        <f>$E$2+_xlfn.DAYS(DaybyDay[[#This Row],[Date]],minDate)</f>
        <v>42404</v>
      </c>
      <c r="AG39" s="39" t="str" cm="1">
        <f t="array" ref="AG39">IFERROR(INDEX(DaybyDay[],DaybyDay[[#This Row],[FORM_MATCH_HELPER]],8),"")</f>
        <v/>
      </c>
      <c r="AH39" s="39" t="str" cm="1">
        <f t="array" ref="AH39">IFERROR(INDEX(DaybyDay[],DaybyDay[[#This Row],[FORM_MATCH_HELPER]],10),"")</f>
        <v/>
      </c>
      <c r="AI39" s="39" t="str" cm="1">
        <f t="array" ref="AI39">IFERROR(INDEX(DaybyDay[],DaybyDay[[#This Row],[FORM_MATCH_HELPER]],12),"")</f>
        <v/>
      </c>
      <c r="AJ39" s="32">
        <f>IFERROR(DaybyDay[[#This Row],[Serv-LY-RU]]+DaybyDay[[#This Row],[Ret-LY-RU]],"")</f>
        <v>0</v>
      </c>
      <c r="AK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 s="77"/>
      <c r="AM39" s="40" t="str">
        <f>IF(DaybyDay[[#This Row],[Admin Hours]]&gt;0,DaybyDay[[#This Row],[Admin Hours]]*$AM$2+$AM$3,"")</f>
        <v/>
      </c>
      <c r="AN39" s="40">
        <f>SUMIFS(DaybyDay[Est-Admin-Payroll],DaybyDay[Date],"&gt;="&amp;$C$5,DaybyDay[RowYear],"&gt;="&amp;$C$4,DaybyDay[Date],"&lt;="&amp;DaybyDay[[#This Row],[Date]])</f>
        <v>0</v>
      </c>
      <c r="AO39" s="41" t="str">
        <f>IF(AND(DaybyDay[[#This Row],[_Space]],ISNUMBER(DaybyDay[[#This Row],[Admin Hours]])),DaybyDay[[#This Row],[Est-Admin-Payroll]]/(DaybyDay[[#This Row],[Service-Actuals]]+DaybyDay[[#This Row],[Retail-Actuals]]),"")</f>
        <v/>
      </c>
      <c r="AP39" s="41" t="e">
        <f>DaybyDay[[#This Row],[Estimated-Payroll-Rollup]]/DaybyDay[[#This Row],[Simple-Forecast]]</f>
        <v>#DIV/0!</v>
      </c>
      <c r="AQ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 s="77"/>
      <c r="AS39" s="40" t="str">
        <f>IF(DaybyDay[[#This Row],[Retail Hours]]&gt;0,DaybyDay[[#This Row],[Retail Hours]]*$AS$2,"")</f>
        <v/>
      </c>
      <c r="AT39" s="40">
        <f>SUMIFS(DaybyDay[Est-Retail-Payroll],DaybyDay[Date],"&gt;="&amp;$C$5,DaybyDay[RowYear],"&gt;="&amp;$C$4,DaybyDay[Date],"&lt;="&amp;DaybyDay[[#This Row],[Date]])</f>
        <v>0</v>
      </c>
      <c r="AU39" s="82" t="str">
        <f>IF(AND(DaybyDay[[#This Row],[_Space]],ISNUMBER(DaybyDay[[#This Row],[Retail Hours]])),DaybyDay[[#This Row],[Est-Retail-Payroll]]/(DaybyDay[[#This Row],[Retail-Actuals]]),"")</f>
        <v/>
      </c>
      <c r="AV39" s="82" t="e">
        <f>DaybyDay[[#This Row],[Est-Retail-PayrollRU]]/DaybyDay[[#This Row],[Simple-Forecast-Retail]]</f>
        <v>#DIV/0!</v>
      </c>
      <c r="AW39" s="8"/>
    </row>
    <row r="40" spans="3:49" hidden="1" x14ac:dyDescent="0.25">
      <c r="C40" s="26" t="str">
        <f>Tools!$C$1</f>
        <v>Example</v>
      </c>
      <c r="D40" s="27" t="s">
        <v>69</v>
      </c>
      <c r="E40" s="28">
        <v>2017</v>
      </c>
      <c r="F40" s="28">
        <f>MATCH(DaybyDay[[#This Row],[RowMonth]],Table3[SummaryMonth],0)</f>
        <v>2</v>
      </c>
      <c r="G40" s="29" t="e">
        <f>MATCH(DaybyDay[[#This Row],[LY-Date]],DaybyDay[Date],0)</f>
        <v>#N/A</v>
      </c>
      <c r="H40" s="30">
        <f>WEEKDAY(DaybyDay[[#This Row],[Date]])</f>
        <v>6</v>
      </c>
      <c r="I40" s="31">
        <v>42769</v>
      </c>
      <c r="J40" s="74">
        <v>40</v>
      </c>
      <c r="K40" s="32">
        <f>SUMIFS(BudgetSeasonality[365 Seasonality],BudgetSeasonality[MonthAdjustment],DaybyDay[[#This Row],[Date]])*SUMIFS(Budgets[Service-Budget],Budgets[BudgetMonth],DaybyDay[[#This Row],[RowMonth]],Budgets[BudgetYear],DaybyDay[[#This Row],[RowYear]])</f>
        <v>0</v>
      </c>
      <c r="L40" s="75">
        <v>5798.71</v>
      </c>
      <c r="M40" s="32">
        <f>INDEX(BudgetSeasonality[365 Seasonality],MATCH(DaybyDay[[#This Row],[Date]],BudgetSeasonality[MonthAdjustment],0))*SUMIFS(Budgets[Retail-Budget],Budgets[BudgetMonth],DaybyDay[[#This Row],[RowMonth]],Budgets[BudgetYear],DaybyDay[[#This Row],[RowYear]])</f>
        <v>0</v>
      </c>
      <c r="N40" s="75">
        <v>1141.25</v>
      </c>
      <c r="O40" s="33">
        <f>SUMIFS(DaybyDay[Service-Budgets],DaybyDay[Date],"&gt;="&amp;$C$5,DaybyDay[RowYear],"&gt;="&amp;$C$4,DaybyDay[Date],"&lt;="&amp;DaybyDay[[#This Row],[Date]])</f>
        <v>0</v>
      </c>
      <c r="P40" s="33">
        <f>SUMIFS(DaybyDay[Retail-Budgets],DaybyDay[Date],"&gt;="&amp;$C$5,DaybyDay[RowYear],"&gt;="&amp;$C$4,DaybyDay[Date],"&lt;="&amp;DaybyDay[[#This Row],[Date]])</f>
        <v>0</v>
      </c>
      <c r="Q40" s="34">
        <f>SUMIFS(DaybyDay[Service-Actuals],DaybyDay[Date],"&gt;="&amp;$C$5,DaybyDay[RowYear],"&gt;="&amp;$C$4,DaybyDay[Date],"&lt;="&amp;DaybyDay[[#This Row],[Date]])</f>
        <v>0</v>
      </c>
      <c r="R40" s="34">
        <f>SUMIFS(DaybyDay[Retail-Actuals],DaybyDay[Date],"&gt;="&amp;$C$5,DaybyDay[RowYear],"&gt;="&amp;$C$4,DaybyDay[Date],"&lt;="&amp;DaybyDay[[#This Row],[Date]])</f>
        <v>0</v>
      </c>
      <c r="S40" s="35">
        <f>SUMIFS(DaybyDay[Service-LY],DaybyDay[Date],"&gt;="&amp;$C$5,DaybyDay[RowYear],"&gt;="&amp;$C$4,DaybyDay[Date],"&lt;="&amp;DaybyDay[[#This Row],[Date]])</f>
        <v>0</v>
      </c>
      <c r="T40" s="35">
        <f>SUMIFS(DaybyDay[Retail-LY],DaybyDay[Date],"&gt;="&amp;$C$5,DaybyDay[RowYear],"&gt;="&amp;$C$4,DaybyDay[Date],"&lt;="&amp;DaybyDay[[#This Row],[Date]])</f>
        <v>0</v>
      </c>
      <c r="U40" s="32">
        <f>DaybyDay[[#This Row],[Serv-Bud-RU]]+DaybyDay[[#This Row],[Ret-Bud-RU]]</f>
        <v>0</v>
      </c>
      <c r="V40" s="32">
        <f>DaybyDay[[#This Row],[Serv-Act-RU]]+DaybyDay[[#This Row],[Ret-Act-RU]]</f>
        <v>0</v>
      </c>
      <c r="W40" s="36">
        <f>IF(DaybyDay[[#This Row],[_Space]],IFERROR(
((DaybyDay[[#This Row],[Actual-Rollup]]-DaybyDay[[#This Row],[Budget-Rollup]])/DaybyDay[[#This Row],[Budget-Rollup]]),0),"")</f>
        <v>0</v>
      </c>
      <c r="X40" t="b">
        <f>NOT(AND(ISBLANK(DaybyDay[[#This Row],[Appts]]),ISBLANK(DaybyDay[[#This Row],[Service-Actuals]]),ISBLANK(DaybyDay[[#This Row],[Retail-Actuals]])))</f>
        <v>1</v>
      </c>
      <c r="Y40" s="36">
        <f>IF(DaybyDay[[#This Row],[_Space]],IFERROR(
((DaybyDay[[#This Row],[Actual-Rollup]]-DaybyDay[[#This Row],[LY-Rollup]])/DaybyDay[[#This Row],[LY-Rollup]]),0),"")</f>
        <v>0</v>
      </c>
      <c r="Z40"/>
      <c r="AA40" s="37" t="e">
        <f>IF(DaybyDay[[#This Row],[_Space]],DaybyDay[[#This Row],[Ret-Act-RU]]/DaybyDay[[#This Row],[Serv-Act-RU]],"")</f>
        <v>#DIV/0!</v>
      </c>
      <c r="AB40" s="50" t="e">
        <f>IF(DaybyDay[[#This Row],[_Space]],DaybyDay[[#This Row],[RETPEN-Act]]/DaybyDay[[#This Row],[RETPEN-Bud]],"")</f>
        <v>#DIV/0!</v>
      </c>
      <c r="AC40" s="37" t="e">
        <f>IF(DaybyDay[[#This Row],[_Space]],DaybyDay[[#This Row],[Ret-Bud-RU]]/DaybyDay[[#This Row],[Serv-Bud-RU]],"")</f>
        <v>#DIV/0!</v>
      </c>
      <c r="AD40" s="37" t="e">
        <f>IF(DaybyDay[[#This Row],[_Space]],DaybyDay[[#This Row],[Ret-LY-RU]]/DaybyDay[[#This Row],[Serv-LY-RU]],"")</f>
        <v>#DIV/0!</v>
      </c>
      <c r="AE40" s="30">
        <f>WEEKDAY(DaybyDay[[#This Row],[LY-Date]])</f>
        <v>6</v>
      </c>
      <c r="AF40" s="38">
        <f>$E$2+_xlfn.DAYS(DaybyDay[[#This Row],[Date]],minDate)</f>
        <v>42405</v>
      </c>
      <c r="AG40" s="39" t="str" cm="1">
        <f t="array" ref="AG40">IFERROR(INDEX(DaybyDay[],DaybyDay[[#This Row],[FORM_MATCH_HELPER]],8),"")</f>
        <v/>
      </c>
      <c r="AH40" s="39" t="str" cm="1">
        <f t="array" ref="AH40">IFERROR(INDEX(DaybyDay[],DaybyDay[[#This Row],[FORM_MATCH_HELPER]],10),"")</f>
        <v/>
      </c>
      <c r="AI40" s="39" t="str" cm="1">
        <f t="array" ref="AI40">IFERROR(INDEX(DaybyDay[],DaybyDay[[#This Row],[FORM_MATCH_HELPER]],12),"")</f>
        <v/>
      </c>
      <c r="AJ40" s="32">
        <f>IFERROR(DaybyDay[[#This Row],[Serv-LY-RU]]+DaybyDay[[#This Row],[Ret-LY-RU]],"")</f>
        <v>0</v>
      </c>
      <c r="AK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 s="77"/>
      <c r="AM40" s="40" t="str">
        <f>IF(DaybyDay[[#This Row],[Admin Hours]]&gt;0,DaybyDay[[#This Row],[Admin Hours]]*$AM$2+$AM$3,"")</f>
        <v/>
      </c>
      <c r="AN40" s="40">
        <f>SUMIFS(DaybyDay[Est-Admin-Payroll],DaybyDay[Date],"&gt;="&amp;$C$5,DaybyDay[RowYear],"&gt;="&amp;$C$4,DaybyDay[Date],"&lt;="&amp;DaybyDay[[#This Row],[Date]])</f>
        <v>0</v>
      </c>
      <c r="AO40" s="41" t="str">
        <f>IF(AND(DaybyDay[[#This Row],[_Space]],ISNUMBER(DaybyDay[[#This Row],[Admin Hours]])),DaybyDay[[#This Row],[Est-Admin-Payroll]]/(DaybyDay[[#This Row],[Service-Actuals]]+DaybyDay[[#This Row],[Retail-Actuals]]),"")</f>
        <v/>
      </c>
      <c r="AP40" s="41" t="e">
        <f>DaybyDay[[#This Row],[Estimated-Payroll-Rollup]]/DaybyDay[[#This Row],[Simple-Forecast]]</f>
        <v>#DIV/0!</v>
      </c>
      <c r="AQ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 s="77"/>
      <c r="AS40" s="40" t="str">
        <f>IF(DaybyDay[[#This Row],[Retail Hours]]&gt;0,DaybyDay[[#This Row],[Retail Hours]]*$AS$2,"")</f>
        <v/>
      </c>
      <c r="AT40" s="40">
        <f>SUMIFS(DaybyDay[Est-Retail-Payroll],DaybyDay[Date],"&gt;="&amp;$C$5,DaybyDay[RowYear],"&gt;="&amp;$C$4,DaybyDay[Date],"&lt;="&amp;DaybyDay[[#This Row],[Date]])</f>
        <v>0</v>
      </c>
      <c r="AU40" s="82" t="str">
        <f>IF(AND(DaybyDay[[#This Row],[_Space]],ISNUMBER(DaybyDay[[#This Row],[Retail Hours]])),DaybyDay[[#This Row],[Est-Retail-Payroll]]/(DaybyDay[[#This Row],[Retail-Actuals]]),"")</f>
        <v/>
      </c>
      <c r="AV40" s="82" t="e">
        <f>DaybyDay[[#This Row],[Est-Retail-PayrollRU]]/DaybyDay[[#This Row],[Simple-Forecast-Retail]]</f>
        <v>#DIV/0!</v>
      </c>
      <c r="AW40" s="8"/>
    </row>
    <row r="41" spans="3:49" hidden="1" x14ac:dyDescent="0.25">
      <c r="C41" s="26" t="str">
        <f>Tools!$C$1</f>
        <v>Example</v>
      </c>
      <c r="D41" s="27" t="s">
        <v>69</v>
      </c>
      <c r="E41" s="28">
        <v>2017</v>
      </c>
      <c r="F41" s="28">
        <f>MATCH(DaybyDay[[#This Row],[RowMonth]],Table3[SummaryMonth],0)</f>
        <v>2</v>
      </c>
      <c r="G41" s="29" t="e">
        <f>MATCH(DaybyDay[[#This Row],[LY-Date]],DaybyDay[Date],0)</f>
        <v>#N/A</v>
      </c>
      <c r="H41" s="30">
        <f>WEEKDAY(DaybyDay[[#This Row],[Date]])</f>
        <v>7</v>
      </c>
      <c r="I41" s="31">
        <v>42770</v>
      </c>
      <c r="J41" s="74">
        <v>55</v>
      </c>
      <c r="K41" s="32">
        <f>SUMIFS(BudgetSeasonality[365 Seasonality],BudgetSeasonality[MonthAdjustment],DaybyDay[[#This Row],[Date]])*SUMIFS(Budgets[Service-Budget],Budgets[BudgetMonth],DaybyDay[[#This Row],[RowMonth]],Budgets[BudgetYear],DaybyDay[[#This Row],[RowYear]])</f>
        <v>0</v>
      </c>
      <c r="L41" s="75">
        <v>10853.75</v>
      </c>
      <c r="M41" s="32">
        <f>INDEX(BudgetSeasonality[365 Seasonality],MATCH(DaybyDay[[#This Row],[Date]],BudgetSeasonality[MonthAdjustment],0))*SUMIFS(Budgets[Retail-Budget],Budgets[BudgetMonth],DaybyDay[[#This Row],[RowMonth]],Budgets[BudgetYear],DaybyDay[[#This Row],[RowYear]])</f>
        <v>0</v>
      </c>
      <c r="N41" s="75">
        <v>166.5</v>
      </c>
      <c r="O41" s="33">
        <f>SUMIFS(DaybyDay[Service-Budgets],DaybyDay[Date],"&gt;="&amp;$C$5,DaybyDay[RowYear],"&gt;="&amp;$C$4,DaybyDay[Date],"&lt;="&amp;DaybyDay[[#This Row],[Date]])</f>
        <v>0</v>
      </c>
      <c r="P41" s="33">
        <f>SUMIFS(DaybyDay[Retail-Budgets],DaybyDay[Date],"&gt;="&amp;$C$5,DaybyDay[RowYear],"&gt;="&amp;$C$4,DaybyDay[Date],"&lt;="&amp;DaybyDay[[#This Row],[Date]])</f>
        <v>0</v>
      </c>
      <c r="Q41" s="34">
        <f>SUMIFS(DaybyDay[Service-Actuals],DaybyDay[Date],"&gt;="&amp;$C$5,DaybyDay[RowYear],"&gt;="&amp;$C$4,DaybyDay[Date],"&lt;="&amp;DaybyDay[[#This Row],[Date]])</f>
        <v>0</v>
      </c>
      <c r="R41" s="34">
        <f>SUMIFS(DaybyDay[Retail-Actuals],DaybyDay[Date],"&gt;="&amp;$C$5,DaybyDay[RowYear],"&gt;="&amp;$C$4,DaybyDay[Date],"&lt;="&amp;DaybyDay[[#This Row],[Date]])</f>
        <v>0</v>
      </c>
      <c r="S41" s="35">
        <f>SUMIFS(DaybyDay[Service-LY],DaybyDay[Date],"&gt;="&amp;$C$5,DaybyDay[RowYear],"&gt;="&amp;$C$4,DaybyDay[Date],"&lt;="&amp;DaybyDay[[#This Row],[Date]])</f>
        <v>0</v>
      </c>
      <c r="T41" s="35">
        <f>SUMIFS(DaybyDay[Retail-LY],DaybyDay[Date],"&gt;="&amp;$C$5,DaybyDay[RowYear],"&gt;="&amp;$C$4,DaybyDay[Date],"&lt;="&amp;DaybyDay[[#This Row],[Date]])</f>
        <v>0</v>
      </c>
      <c r="U41" s="32">
        <f>DaybyDay[[#This Row],[Serv-Bud-RU]]+DaybyDay[[#This Row],[Ret-Bud-RU]]</f>
        <v>0</v>
      </c>
      <c r="V41" s="32">
        <f>DaybyDay[[#This Row],[Serv-Act-RU]]+DaybyDay[[#This Row],[Ret-Act-RU]]</f>
        <v>0</v>
      </c>
      <c r="W41" s="36">
        <f>IF(DaybyDay[[#This Row],[_Space]],IFERROR(
((DaybyDay[[#This Row],[Actual-Rollup]]-DaybyDay[[#This Row],[Budget-Rollup]])/DaybyDay[[#This Row],[Budget-Rollup]]),0),"")</f>
        <v>0</v>
      </c>
      <c r="X41" t="b">
        <f>NOT(AND(ISBLANK(DaybyDay[[#This Row],[Appts]]),ISBLANK(DaybyDay[[#This Row],[Service-Actuals]]),ISBLANK(DaybyDay[[#This Row],[Retail-Actuals]])))</f>
        <v>1</v>
      </c>
      <c r="Y41" s="36">
        <f>IF(DaybyDay[[#This Row],[_Space]],IFERROR(
((DaybyDay[[#This Row],[Actual-Rollup]]-DaybyDay[[#This Row],[LY-Rollup]])/DaybyDay[[#This Row],[LY-Rollup]]),0),"")</f>
        <v>0</v>
      </c>
      <c r="Z41"/>
      <c r="AA41" s="37" t="e">
        <f>IF(DaybyDay[[#This Row],[_Space]],DaybyDay[[#This Row],[Ret-Act-RU]]/DaybyDay[[#This Row],[Serv-Act-RU]],"")</f>
        <v>#DIV/0!</v>
      </c>
      <c r="AB41" s="50" t="e">
        <f>IF(DaybyDay[[#This Row],[_Space]],DaybyDay[[#This Row],[RETPEN-Act]]/DaybyDay[[#This Row],[RETPEN-Bud]],"")</f>
        <v>#DIV/0!</v>
      </c>
      <c r="AC41" s="37" t="e">
        <f>IF(DaybyDay[[#This Row],[_Space]],DaybyDay[[#This Row],[Ret-Bud-RU]]/DaybyDay[[#This Row],[Serv-Bud-RU]],"")</f>
        <v>#DIV/0!</v>
      </c>
      <c r="AD41" s="37" t="e">
        <f>IF(DaybyDay[[#This Row],[_Space]],DaybyDay[[#This Row],[Ret-LY-RU]]/DaybyDay[[#This Row],[Serv-LY-RU]],"")</f>
        <v>#DIV/0!</v>
      </c>
      <c r="AE41" s="30">
        <f>WEEKDAY(DaybyDay[[#This Row],[LY-Date]])</f>
        <v>7</v>
      </c>
      <c r="AF41" s="38">
        <f>$E$2+_xlfn.DAYS(DaybyDay[[#This Row],[Date]],minDate)</f>
        <v>42406</v>
      </c>
      <c r="AG41" s="39" t="str" cm="1">
        <f t="array" ref="AG41">IFERROR(INDEX(DaybyDay[],DaybyDay[[#This Row],[FORM_MATCH_HELPER]],8),"")</f>
        <v/>
      </c>
      <c r="AH41" s="39" t="str" cm="1">
        <f t="array" ref="AH41">IFERROR(INDEX(DaybyDay[],DaybyDay[[#This Row],[FORM_MATCH_HELPER]],10),"")</f>
        <v/>
      </c>
      <c r="AI41" s="39" t="str" cm="1">
        <f t="array" ref="AI41">IFERROR(INDEX(DaybyDay[],DaybyDay[[#This Row],[FORM_MATCH_HELPER]],12),"")</f>
        <v/>
      </c>
      <c r="AJ41" s="32">
        <f>IFERROR(DaybyDay[[#This Row],[Serv-LY-RU]]+DaybyDay[[#This Row],[Ret-LY-RU]],"")</f>
        <v>0</v>
      </c>
      <c r="AK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 s="77"/>
      <c r="AM41" s="40" t="str">
        <f>IF(DaybyDay[[#This Row],[Admin Hours]]&gt;0,DaybyDay[[#This Row],[Admin Hours]]*$AM$2+$AM$3,"")</f>
        <v/>
      </c>
      <c r="AN41" s="40">
        <f>SUMIFS(DaybyDay[Est-Admin-Payroll],DaybyDay[Date],"&gt;="&amp;$C$5,DaybyDay[RowYear],"&gt;="&amp;$C$4,DaybyDay[Date],"&lt;="&amp;DaybyDay[[#This Row],[Date]])</f>
        <v>0</v>
      </c>
      <c r="AO41" s="41" t="str">
        <f>IF(AND(DaybyDay[[#This Row],[_Space]],ISNUMBER(DaybyDay[[#This Row],[Admin Hours]])),DaybyDay[[#This Row],[Est-Admin-Payroll]]/(DaybyDay[[#This Row],[Service-Actuals]]+DaybyDay[[#This Row],[Retail-Actuals]]),"")</f>
        <v/>
      </c>
      <c r="AP41" s="41" t="e">
        <f>DaybyDay[[#This Row],[Estimated-Payroll-Rollup]]/DaybyDay[[#This Row],[Simple-Forecast]]</f>
        <v>#DIV/0!</v>
      </c>
      <c r="AQ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 s="77"/>
      <c r="AS41" s="40" t="str">
        <f>IF(DaybyDay[[#This Row],[Retail Hours]]&gt;0,DaybyDay[[#This Row],[Retail Hours]]*$AS$2,"")</f>
        <v/>
      </c>
      <c r="AT41" s="40">
        <f>SUMIFS(DaybyDay[Est-Retail-Payroll],DaybyDay[Date],"&gt;="&amp;$C$5,DaybyDay[RowYear],"&gt;="&amp;$C$4,DaybyDay[Date],"&lt;="&amp;DaybyDay[[#This Row],[Date]])</f>
        <v>0</v>
      </c>
      <c r="AU41" s="82" t="str">
        <f>IF(AND(DaybyDay[[#This Row],[_Space]],ISNUMBER(DaybyDay[[#This Row],[Retail Hours]])),DaybyDay[[#This Row],[Est-Retail-Payroll]]/(DaybyDay[[#This Row],[Retail-Actuals]]),"")</f>
        <v/>
      </c>
      <c r="AV41" s="82" t="e">
        <f>DaybyDay[[#This Row],[Est-Retail-PayrollRU]]/DaybyDay[[#This Row],[Simple-Forecast-Retail]]</f>
        <v>#DIV/0!</v>
      </c>
      <c r="AW41" s="8"/>
    </row>
    <row r="42" spans="3:49" hidden="1" x14ac:dyDescent="0.25">
      <c r="C42" s="26" t="str">
        <f>Tools!$C$1</f>
        <v>Example</v>
      </c>
      <c r="D42" s="27" t="s">
        <v>69</v>
      </c>
      <c r="E42" s="28">
        <v>2017</v>
      </c>
      <c r="F42" s="28">
        <f>MATCH(DaybyDay[[#This Row],[RowMonth]],Table3[SummaryMonth],0)</f>
        <v>2</v>
      </c>
      <c r="G42" s="29" t="e">
        <f>MATCH(DaybyDay[[#This Row],[LY-Date]],DaybyDay[Date],0)</f>
        <v>#N/A</v>
      </c>
      <c r="H42" s="30">
        <f>WEEKDAY(DaybyDay[[#This Row],[Date]])</f>
        <v>1</v>
      </c>
      <c r="I42" s="31">
        <v>42771</v>
      </c>
      <c r="J42" s="74">
        <v>42</v>
      </c>
      <c r="K42" s="32">
        <f>SUMIFS(BudgetSeasonality[365 Seasonality],BudgetSeasonality[MonthAdjustment],DaybyDay[[#This Row],[Date]])*SUMIFS(Budgets[Service-Budget],Budgets[BudgetMonth],DaybyDay[[#This Row],[RowMonth]],Budgets[BudgetYear],DaybyDay[[#This Row],[RowYear]])</f>
        <v>0</v>
      </c>
      <c r="L42" s="75">
        <v>5581.55</v>
      </c>
      <c r="M42" s="32">
        <f>INDEX(BudgetSeasonality[365 Seasonality],MATCH(DaybyDay[[#This Row],[Date]],BudgetSeasonality[MonthAdjustment],0))*SUMIFS(Budgets[Retail-Budget],Budgets[BudgetMonth],DaybyDay[[#This Row],[RowMonth]],Budgets[BudgetYear],DaybyDay[[#This Row],[RowYear]])</f>
        <v>0</v>
      </c>
      <c r="N42" s="75">
        <v>647.6</v>
      </c>
      <c r="O42" s="33">
        <f>SUMIFS(DaybyDay[Service-Budgets],DaybyDay[Date],"&gt;="&amp;$C$5,DaybyDay[RowYear],"&gt;="&amp;$C$4,DaybyDay[Date],"&lt;="&amp;DaybyDay[[#This Row],[Date]])</f>
        <v>0</v>
      </c>
      <c r="P42" s="33">
        <f>SUMIFS(DaybyDay[Retail-Budgets],DaybyDay[Date],"&gt;="&amp;$C$5,DaybyDay[RowYear],"&gt;="&amp;$C$4,DaybyDay[Date],"&lt;="&amp;DaybyDay[[#This Row],[Date]])</f>
        <v>0</v>
      </c>
      <c r="Q42" s="34">
        <f>SUMIFS(DaybyDay[Service-Actuals],DaybyDay[Date],"&gt;="&amp;$C$5,DaybyDay[RowYear],"&gt;="&amp;$C$4,DaybyDay[Date],"&lt;="&amp;DaybyDay[[#This Row],[Date]])</f>
        <v>0</v>
      </c>
      <c r="R42" s="34">
        <f>SUMIFS(DaybyDay[Retail-Actuals],DaybyDay[Date],"&gt;="&amp;$C$5,DaybyDay[RowYear],"&gt;="&amp;$C$4,DaybyDay[Date],"&lt;="&amp;DaybyDay[[#This Row],[Date]])</f>
        <v>0</v>
      </c>
      <c r="S42" s="35">
        <f>SUMIFS(DaybyDay[Service-LY],DaybyDay[Date],"&gt;="&amp;$C$5,DaybyDay[RowYear],"&gt;="&amp;$C$4,DaybyDay[Date],"&lt;="&amp;DaybyDay[[#This Row],[Date]])</f>
        <v>0</v>
      </c>
      <c r="T42" s="35">
        <f>SUMIFS(DaybyDay[Retail-LY],DaybyDay[Date],"&gt;="&amp;$C$5,DaybyDay[RowYear],"&gt;="&amp;$C$4,DaybyDay[Date],"&lt;="&amp;DaybyDay[[#This Row],[Date]])</f>
        <v>0</v>
      </c>
      <c r="U42" s="32">
        <f>DaybyDay[[#This Row],[Serv-Bud-RU]]+DaybyDay[[#This Row],[Ret-Bud-RU]]</f>
        <v>0</v>
      </c>
      <c r="V42" s="32">
        <f>DaybyDay[[#This Row],[Serv-Act-RU]]+DaybyDay[[#This Row],[Ret-Act-RU]]</f>
        <v>0</v>
      </c>
      <c r="W42" s="36">
        <f>IF(DaybyDay[[#This Row],[_Space]],IFERROR(
((DaybyDay[[#This Row],[Actual-Rollup]]-DaybyDay[[#This Row],[Budget-Rollup]])/DaybyDay[[#This Row],[Budget-Rollup]]),0),"")</f>
        <v>0</v>
      </c>
      <c r="X42" t="b">
        <f>NOT(AND(ISBLANK(DaybyDay[[#This Row],[Appts]]),ISBLANK(DaybyDay[[#This Row],[Service-Actuals]]),ISBLANK(DaybyDay[[#This Row],[Retail-Actuals]])))</f>
        <v>1</v>
      </c>
      <c r="Y42" s="36">
        <f>IF(DaybyDay[[#This Row],[_Space]],IFERROR(
((DaybyDay[[#This Row],[Actual-Rollup]]-DaybyDay[[#This Row],[LY-Rollup]])/DaybyDay[[#This Row],[LY-Rollup]]),0),"")</f>
        <v>0</v>
      </c>
      <c r="Z42"/>
      <c r="AA42" s="37" t="e">
        <f>IF(DaybyDay[[#This Row],[_Space]],DaybyDay[[#This Row],[Ret-Act-RU]]/DaybyDay[[#This Row],[Serv-Act-RU]],"")</f>
        <v>#DIV/0!</v>
      </c>
      <c r="AB42" s="50" t="e">
        <f>IF(DaybyDay[[#This Row],[_Space]],DaybyDay[[#This Row],[RETPEN-Act]]/DaybyDay[[#This Row],[RETPEN-Bud]],"")</f>
        <v>#DIV/0!</v>
      </c>
      <c r="AC42" s="37" t="e">
        <f>IF(DaybyDay[[#This Row],[_Space]],DaybyDay[[#This Row],[Ret-Bud-RU]]/DaybyDay[[#This Row],[Serv-Bud-RU]],"")</f>
        <v>#DIV/0!</v>
      </c>
      <c r="AD42" s="37" t="e">
        <f>IF(DaybyDay[[#This Row],[_Space]],DaybyDay[[#This Row],[Ret-LY-RU]]/DaybyDay[[#This Row],[Serv-LY-RU]],"")</f>
        <v>#DIV/0!</v>
      </c>
      <c r="AE42" s="30">
        <f>WEEKDAY(DaybyDay[[#This Row],[LY-Date]])</f>
        <v>1</v>
      </c>
      <c r="AF42" s="38">
        <f>$E$2+_xlfn.DAYS(DaybyDay[[#This Row],[Date]],minDate)</f>
        <v>42407</v>
      </c>
      <c r="AG42" s="39" t="str" cm="1">
        <f t="array" ref="AG42">IFERROR(INDEX(DaybyDay[],DaybyDay[[#This Row],[FORM_MATCH_HELPER]],8),"")</f>
        <v/>
      </c>
      <c r="AH42" s="39" t="str" cm="1">
        <f t="array" ref="AH42">IFERROR(INDEX(DaybyDay[],DaybyDay[[#This Row],[FORM_MATCH_HELPER]],10),"")</f>
        <v/>
      </c>
      <c r="AI42" s="39" t="str" cm="1">
        <f t="array" ref="AI42">IFERROR(INDEX(DaybyDay[],DaybyDay[[#This Row],[FORM_MATCH_HELPER]],12),"")</f>
        <v/>
      </c>
      <c r="AJ42" s="32">
        <f>IFERROR(DaybyDay[[#This Row],[Serv-LY-RU]]+DaybyDay[[#This Row],[Ret-LY-RU]],"")</f>
        <v>0</v>
      </c>
      <c r="AK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 s="77"/>
      <c r="AM42" s="40" t="str">
        <f>IF(DaybyDay[[#This Row],[Admin Hours]]&gt;0,DaybyDay[[#This Row],[Admin Hours]]*$AM$2+$AM$3,"")</f>
        <v/>
      </c>
      <c r="AN42" s="40">
        <f>SUMIFS(DaybyDay[Est-Admin-Payroll],DaybyDay[Date],"&gt;="&amp;$C$5,DaybyDay[RowYear],"&gt;="&amp;$C$4,DaybyDay[Date],"&lt;="&amp;DaybyDay[[#This Row],[Date]])</f>
        <v>0</v>
      </c>
      <c r="AO42" s="41" t="str">
        <f>IF(AND(DaybyDay[[#This Row],[_Space]],ISNUMBER(DaybyDay[[#This Row],[Admin Hours]])),DaybyDay[[#This Row],[Est-Admin-Payroll]]/(DaybyDay[[#This Row],[Service-Actuals]]+DaybyDay[[#This Row],[Retail-Actuals]]),"")</f>
        <v/>
      </c>
      <c r="AP42" s="41" t="e">
        <f>DaybyDay[[#This Row],[Estimated-Payroll-Rollup]]/DaybyDay[[#This Row],[Simple-Forecast]]</f>
        <v>#DIV/0!</v>
      </c>
      <c r="AQ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 s="77"/>
      <c r="AS42" s="40" t="str">
        <f>IF(DaybyDay[[#This Row],[Retail Hours]]&gt;0,DaybyDay[[#This Row],[Retail Hours]]*$AS$2,"")</f>
        <v/>
      </c>
      <c r="AT42" s="40">
        <f>SUMIFS(DaybyDay[Est-Retail-Payroll],DaybyDay[Date],"&gt;="&amp;$C$5,DaybyDay[RowYear],"&gt;="&amp;$C$4,DaybyDay[Date],"&lt;="&amp;DaybyDay[[#This Row],[Date]])</f>
        <v>0</v>
      </c>
      <c r="AU42" s="82" t="str">
        <f>IF(AND(DaybyDay[[#This Row],[_Space]],ISNUMBER(DaybyDay[[#This Row],[Retail Hours]])),DaybyDay[[#This Row],[Est-Retail-Payroll]]/(DaybyDay[[#This Row],[Retail-Actuals]]),"")</f>
        <v/>
      </c>
      <c r="AV42" s="82" t="e">
        <f>DaybyDay[[#This Row],[Est-Retail-PayrollRU]]/DaybyDay[[#This Row],[Simple-Forecast-Retail]]</f>
        <v>#DIV/0!</v>
      </c>
      <c r="AW42" s="8"/>
    </row>
    <row r="43" spans="3:49" hidden="1" x14ac:dyDescent="0.25">
      <c r="C43" s="26" t="str">
        <f>Tools!$C$1</f>
        <v>Example</v>
      </c>
      <c r="D43" s="27" t="s">
        <v>69</v>
      </c>
      <c r="E43" s="28">
        <v>2017</v>
      </c>
      <c r="F43" s="28">
        <f>MATCH(DaybyDay[[#This Row],[RowMonth]],Table3[SummaryMonth],0)</f>
        <v>2</v>
      </c>
      <c r="G43" s="29" t="e">
        <f>MATCH(DaybyDay[[#This Row],[LY-Date]],DaybyDay[Date],0)</f>
        <v>#N/A</v>
      </c>
      <c r="H43" s="30">
        <f>WEEKDAY(DaybyDay[[#This Row],[Date]])</f>
        <v>2</v>
      </c>
      <c r="I43" s="31">
        <v>42772</v>
      </c>
      <c r="J43" s="74">
        <v>26</v>
      </c>
      <c r="K43" s="32">
        <f>SUMIFS(BudgetSeasonality[365 Seasonality],BudgetSeasonality[MonthAdjustment],DaybyDay[[#This Row],[Date]])*SUMIFS(Budgets[Service-Budget],Budgets[BudgetMonth],DaybyDay[[#This Row],[RowMonth]],Budgets[BudgetYear],DaybyDay[[#This Row],[RowYear]])</f>
        <v>0</v>
      </c>
      <c r="L43" s="75">
        <v>4465.13</v>
      </c>
      <c r="M43" s="32">
        <f>INDEX(BudgetSeasonality[365 Seasonality],MATCH(DaybyDay[[#This Row],[Date]],BudgetSeasonality[MonthAdjustment],0))*SUMIFS(Budgets[Retail-Budget],Budgets[BudgetMonth],DaybyDay[[#This Row],[RowMonth]],Budgets[BudgetYear],DaybyDay[[#This Row],[RowYear]])</f>
        <v>0</v>
      </c>
      <c r="N43" s="75">
        <v>415.8</v>
      </c>
      <c r="O43" s="33">
        <f>SUMIFS(DaybyDay[Service-Budgets],DaybyDay[Date],"&gt;="&amp;$C$5,DaybyDay[RowYear],"&gt;="&amp;$C$4,DaybyDay[Date],"&lt;="&amp;DaybyDay[[#This Row],[Date]])</f>
        <v>0</v>
      </c>
      <c r="P43" s="33">
        <f>SUMIFS(DaybyDay[Retail-Budgets],DaybyDay[Date],"&gt;="&amp;$C$5,DaybyDay[RowYear],"&gt;="&amp;$C$4,DaybyDay[Date],"&lt;="&amp;DaybyDay[[#This Row],[Date]])</f>
        <v>0</v>
      </c>
      <c r="Q43" s="34">
        <f>SUMIFS(DaybyDay[Service-Actuals],DaybyDay[Date],"&gt;="&amp;$C$5,DaybyDay[RowYear],"&gt;="&amp;$C$4,DaybyDay[Date],"&lt;="&amp;DaybyDay[[#This Row],[Date]])</f>
        <v>0</v>
      </c>
      <c r="R43" s="34">
        <f>SUMIFS(DaybyDay[Retail-Actuals],DaybyDay[Date],"&gt;="&amp;$C$5,DaybyDay[RowYear],"&gt;="&amp;$C$4,DaybyDay[Date],"&lt;="&amp;DaybyDay[[#This Row],[Date]])</f>
        <v>0</v>
      </c>
      <c r="S43" s="35">
        <f>SUMIFS(DaybyDay[Service-LY],DaybyDay[Date],"&gt;="&amp;$C$5,DaybyDay[RowYear],"&gt;="&amp;$C$4,DaybyDay[Date],"&lt;="&amp;DaybyDay[[#This Row],[Date]])</f>
        <v>0</v>
      </c>
      <c r="T43" s="35">
        <f>SUMIFS(DaybyDay[Retail-LY],DaybyDay[Date],"&gt;="&amp;$C$5,DaybyDay[RowYear],"&gt;="&amp;$C$4,DaybyDay[Date],"&lt;="&amp;DaybyDay[[#This Row],[Date]])</f>
        <v>0</v>
      </c>
      <c r="U43" s="32">
        <f>DaybyDay[[#This Row],[Serv-Bud-RU]]+DaybyDay[[#This Row],[Ret-Bud-RU]]</f>
        <v>0</v>
      </c>
      <c r="V43" s="32">
        <f>DaybyDay[[#This Row],[Serv-Act-RU]]+DaybyDay[[#This Row],[Ret-Act-RU]]</f>
        <v>0</v>
      </c>
      <c r="W43" s="36">
        <f>IF(DaybyDay[[#This Row],[_Space]],IFERROR(
((DaybyDay[[#This Row],[Actual-Rollup]]-DaybyDay[[#This Row],[Budget-Rollup]])/DaybyDay[[#This Row],[Budget-Rollup]]),0),"")</f>
        <v>0</v>
      </c>
      <c r="X43" t="b">
        <f>NOT(AND(ISBLANK(DaybyDay[[#This Row],[Appts]]),ISBLANK(DaybyDay[[#This Row],[Service-Actuals]]),ISBLANK(DaybyDay[[#This Row],[Retail-Actuals]])))</f>
        <v>1</v>
      </c>
      <c r="Y43" s="36">
        <f>IF(DaybyDay[[#This Row],[_Space]],IFERROR(
((DaybyDay[[#This Row],[Actual-Rollup]]-DaybyDay[[#This Row],[LY-Rollup]])/DaybyDay[[#This Row],[LY-Rollup]]),0),"")</f>
        <v>0</v>
      </c>
      <c r="Z43"/>
      <c r="AA43" s="37" t="e">
        <f>IF(DaybyDay[[#This Row],[_Space]],DaybyDay[[#This Row],[Ret-Act-RU]]/DaybyDay[[#This Row],[Serv-Act-RU]],"")</f>
        <v>#DIV/0!</v>
      </c>
      <c r="AB43" s="50" t="e">
        <f>IF(DaybyDay[[#This Row],[_Space]],DaybyDay[[#This Row],[RETPEN-Act]]/DaybyDay[[#This Row],[RETPEN-Bud]],"")</f>
        <v>#DIV/0!</v>
      </c>
      <c r="AC43" s="37" t="e">
        <f>IF(DaybyDay[[#This Row],[_Space]],DaybyDay[[#This Row],[Ret-Bud-RU]]/DaybyDay[[#This Row],[Serv-Bud-RU]],"")</f>
        <v>#DIV/0!</v>
      </c>
      <c r="AD43" s="37" t="e">
        <f>IF(DaybyDay[[#This Row],[_Space]],DaybyDay[[#This Row],[Ret-LY-RU]]/DaybyDay[[#This Row],[Serv-LY-RU]],"")</f>
        <v>#DIV/0!</v>
      </c>
      <c r="AE43" s="30">
        <f>WEEKDAY(DaybyDay[[#This Row],[LY-Date]])</f>
        <v>2</v>
      </c>
      <c r="AF43" s="38">
        <f>$E$2+_xlfn.DAYS(DaybyDay[[#This Row],[Date]],minDate)</f>
        <v>42408</v>
      </c>
      <c r="AG43" s="39" t="str" cm="1">
        <f t="array" ref="AG43">IFERROR(INDEX(DaybyDay[],DaybyDay[[#This Row],[FORM_MATCH_HELPER]],8),"")</f>
        <v/>
      </c>
      <c r="AH43" s="39" t="str" cm="1">
        <f t="array" ref="AH43">IFERROR(INDEX(DaybyDay[],DaybyDay[[#This Row],[FORM_MATCH_HELPER]],10),"")</f>
        <v/>
      </c>
      <c r="AI43" s="39" t="str" cm="1">
        <f t="array" ref="AI43">IFERROR(INDEX(DaybyDay[],DaybyDay[[#This Row],[FORM_MATCH_HELPER]],12),"")</f>
        <v/>
      </c>
      <c r="AJ43" s="32">
        <f>IFERROR(DaybyDay[[#This Row],[Serv-LY-RU]]+DaybyDay[[#This Row],[Ret-LY-RU]],"")</f>
        <v>0</v>
      </c>
      <c r="AK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 s="77"/>
      <c r="AM43" s="40" t="str">
        <f>IF(DaybyDay[[#This Row],[Admin Hours]]&gt;0,DaybyDay[[#This Row],[Admin Hours]]*$AM$2+$AM$3,"")</f>
        <v/>
      </c>
      <c r="AN43" s="40">
        <f>SUMIFS(DaybyDay[Est-Admin-Payroll],DaybyDay[Date],"&gt;="&amp;$C$5,DaybyDay[RowYear],"&gt;="&amp;$C$4,DaybyDay[Date],"&lt;="&amp;DaybyDay[[#This Row],[Date]])</f>
        <v>0</v>
      </c>
      <c r="AO43" s="41" t="str">
        <f>IF(AND(DaybyDay[[#This Row],[_Space]],ISNUMBER(DaybyDay[[#This Row],[Admin Hours]])),DaybyDay[[#This Row],[Est-Admin-Payroll]]/(DaybyDay[[#This Row],[Service-Actuals]]+DaybyDay[[#This Row],[Retail-Actuals]]),"")</f>
        <v/>
      </c>
      <c r="AP43" s="41" t="e">
        <f>DaybyDay[[#This Row],[Estimated-Payroll-Rollup]]/DaybyDay[[#This Row],[Simple-Forecast]]</f>
        <v>#DIV/0!</v>
      </c>
      <c r="AQ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 s="77"/>
      <c r="AS43" s="40" t="str">
        <f>IF(DaybyDay[[#This Row],[Retail Hours]]&gt;0,DaybyDay[[#This Row],[Retail Hours]]*$AS$2,"")</f>
        <v/>
      </c>
      <c r="AT43" s="40">
        <f>SUMIFS(DaybyDay[Est-Retail-Payroll],DaybyDay[Date],"&gt;="&amp;$C$5,DaybyDay[RowYear],"&gt;="&amp;$C$4,DaybyDay[Date],"&lt;="&amp;DaybyDay[[#This Row],[Date]])</f>
        <v>0</v>
      </c>
      <c r="AU43" s="82" t="str">
        <f>IF(AND(DaybyDay[[#This Row],[_Space]],ISNUMBER(DaybyDay[[#This Row],[Retail Hours]])),DaybyDay[[#This Row],[Est-Retail-Payroll]]/(DaybyDay[[#This Row],[Retail-Actuals]]),"")</f>
        <v/>
      </c>
      <c r="AV43" s="82" t="e">
        <f>DaybyDay[[#This Row],[Est-Retail-PayrollRU]]/DaybyDay[[#This Row],[Simple-Forecast-Retail]]</f>
        <v>#DIV/0!</v>
      </c>
      <c r="AW43" s="8"/>
    </row>
    <row r="44" spans="3:49" hidden="1" x14ac:dyDescent="0.25">
      <c r="C44" s="26" t="str">
        <f>Tools!$C$1</f>
        <v>Example</v>
      </c>
      <c r="D44" s="27" t="s">
        <v>69</v>
      </c>
      <c r="E44" s="28">
        <v>2017</v>
      </c>
      <c r="F44" s="28">
        <f>MATCH(DaybyDay[[#This Row],[RowMonth]],Table3[SummaryMonth],0)</f>
        <v>2</v>
      </c>
      <c r="G44" s="29" t="e">
        <f>MATCH(DaybyDay[[#This Row],[LY-Date]],DaybyDay[Date],0)</f>
        <v>#N/A</v>
      </c>
      <c r="H44" s="30">
        <f>WEEKDAY(DaybyDay[[#This Row],[Date]])</f>
        <v>3</v>
      </c>
      <c r="I44" s="31">
        <v>42773</v>
      </c>
      <c r="J44" s="74">
        <v>39</v>
      </c>
      <c r="K44" s="32">
        <f>SUMIFS(BudgetSeasonality[365 Seasonality],BudgetSeasonality[MonthAdjustment],DaybyDay[[#This Row],[Date]])*SUMIFS(Budgets[Service-Budget],Budgets[BudgetMonth],DaybyDay[[#This Row],[RowMonth]],Budgets[BudgetYear],DaybyDay[[#This Row],[RowYear]])</f>
        <v>0</v>
      </c>
      <c r="L44" s="75">
        <v>6979.91</v>
      </c>
      <c r="M44" s="32">
        <f>INDEX(BudgetSeasonality[365 Seasonality],MATCH(DaybyDay[[#This Row],[Date]],BudgetSeasonality[MonthAdjustment],0))*SUMIFS(Budgets[Retail-Budget],Budgets[BudgetMonth],DaybyDay[[#This Row],[RowMonth]],Budgets[BudgetYear],DaybyDay[[#This Row],[RowYear]])</f>
        <v>0</v>
      </c>
      <c r="N44" s="75">
        <v>1950.04</v>
      </c>
      <c r="O44" s="33">
        <f>SUMIFS(DaybyDay[Service-Budgets],DaybyDay[Date],"&gt;="&amp;$C$5,DaybyDay[RowYear],"&gt;="&amp;$C$4,DaybyDay[Date],"&lt;="&amp;DaybyDay[[#This Row],[Date]])</f>
        <v>0</v>
      </c>
      <c r="P44" s="33">
        <f>SUMIFS(DaybyDay[Retail-Budgets],DaybyDay[Date],"&gt;="&amp;$C$5,DaybyDay[RowYear],"&gt;="&amp;$C$4,DaybyDay[Date],"&lt;="&amp;DaybyDay[[#This Row],[Date]])</f>
        <v>0</v>
      </c>
      <c r="Q44" s="34">
        <f>SUMIFS(DaybyDay[Service-Actuals],DaybyDay[Date],"&gt;="&amp;$C$5,DaybyDay[RowYear],"&gt;="&amp;$C$4,DaybyDay[Date],"&lt;="&amp;DaybyDay[[#This Row],[Date]])</f>
        <v>0</v>
      </c>
      <c r="R44" s="34">
        <f>SUMIFS(DaybyDay[Retail-Actuals],DaybyDay[Date],"&gt;="&amp;$C$5,DaybyDay[RowYear],"&gt;="&amp;$C$4,DaybyDay[Date],"&lt;="&amp;DaybyDay[[#This Row],[Date]])</f>
        <v>0</v>
      </c>
      <c r="S44" s="35">
        <f>SUMIFS(DaybyDay[Service-LY],DaybyDay[Date],"&gt;="&amp;$C$5,DaybyDay[RowYear],"&gt;="&amp;$C$4,DaybyDay[Date],"&lt;="&amp;DaybyDay[[#This Row],[Date]])</f>
        <v>0</v>
      </c>
      <c r="T44" s="35">
        <f>SUMIFS(DaybyDay[Retail-LY],DaybyDay[Date],"&gt;="&amp;$C$5,DaybyDay[RowYear],"&gt;="&amp;$C$4,DaybyDay[Date],"&lt;="&amp;DaybyDay[[#This Row],[Date]])</f>
        <v>0</v>
      </c>
      <c r="U44" s="32">
        <f>DaybyDay[[#This Row],[Serv-Bud-RU]]+DaybyDay[[#This Row],[Ret-Bud-RU]]</f>
        <v>0</v>
      </c>
      <c r="V44" s="32">
        <f>DaybyDay[[#This Row],[Serv-Act-RU]]+DaybyDay[[#This Row],[Ret-Act-RU]]</f>
        <v>0</v>
      </c>
      <c r="W44" s="36">
        <f>IF(DaybyDay[[#This Row],[_Space]],IFERROR(
((DaybyDay[[#This Row],[Actual-Rollup]]-DaybyDay[[#This Row],[Budget-Rollup]])/DaybyDay[[#This Row],[Budget-Rollup]]),0),"")</f>
        <v>0</v>
      </c>
      <c r="X44" t="b">
        <f>NOT(AND(ISBLANK(DaybyDay[[#This Row],[Appts]]),ISBLANK(DaybyDay[[#This Row],[Service-Actuals]]),ISBLANK(DaybyDay[[#This Row],[Retail-Actuals]])))</f>
        <v>1</v>
      </c>
      <c r="Y44" s="36">
        <f>IF(DaybyDay[[#This Row],[_Space]],IFERROR(
((DaybyDay[[#This Row],[Actual-Rollup]]-DaybyDay[[#This Row],[LY-Rollup]])/DaybyDay[[#This Row],[LY-Rollup]]),0),"")</f>
        <v>0</v>
      </c>
      <c r="Z44"/>
      <c r="AA44" s="37" t="e">
        <f>IF(DaybyDay[[#This Row],[_Space]],DaybyDay[[#This Row],[Ret-Act-RU]]/DaybyDay[[#This Row],[Serv-Act-RU]],"")</f>
        <v>#DIV/0!</v>
      </c>
      <c r="AB44" s="50" t="e">
        <f>IF(DaybyDay[[#This Row],[_Space]],DaybyDay[[#This Row],[RETPEN-Act]]/DaybyDay[[#This Row],[RETPEN-Bud]],"")</f>
        <v>#DIV/0!</v>
      </c>
      <c r="AC44" s="37" t="e">
        <f>IF(DaybyDay[[#This Row],[_Space]],DaybyDay[[#This Row],[Ret-Bud-RU]]/DaybyDay[[#This Row],[Serv-Bud-RU]],"")</f>
        <v>#DIV/0!</v>
      </c>
      <c r="AD44" s="37" t="e">
        <f>IF(DaybyDay[[#This Row],[_Space]],DaybyDay[[#This Row],[Ret-LY-RU]]/DaybyDay[[#This Row],[Serv-LY-RU]],"")</f>
        <v>#DIV/0!</v>
      </c>
      <c r="AE44" s="30">
        <f>WEEKDAY(DaybyDay[[#This Row],[LY-Date]])</f>
        <v>3</v>
      </c>
      <c r="AF44" s="38">
        <f>$E$2+_xlfn.DAYS(DaybyDay[[#This Row],[Date]],minDate)</f>
        <v>42409</v>
      </c>
      <c r="AG44" s="39" t="str" cm="1">
        <f t="array" ref="AG44">IFERROR(INDEX(DaybyDay[],DaybyDay[[#This Row],[FORM_MATCH_HELPER]],8),"")</f>
        <v/>
      </c>
      <c r="AH44" s="39" t="str" cm="1">
        <f t="array" ref="AH44">IFERROR(INDEX(DaybyDay[],DaybyDay[[#This Row],[FORM_MATCH_HELPER]],10),"")</f>
        <v/>
      </c>
      <c r="AI44" s="39" t="str" cm="1">
        <f t="array" ref="AI44">IFERROR(INDEX(DaybyDay[],DaybyDay[[#This Row],[FORM_MATCH_HELPER]],12),"")</f>
        <v/>
      </c>
      <c r="AJ44" s="32">
        <f>IFERROR(DaybyDay[[#This Row],[Serv-LY-RU]]+DaybyDay[[#This Row],[Ret-LY-RU]],"")</f>
        <v>0</v>
      </c>
      <c r="AK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 s="77"/>
      <c r="AM44" s="40" t="str">
        <f>IF(DaybyDay[[#This Row],[Admin Hours]]&gt;0,DaybyDay[[#This Row],[Admin Hours]]*$AM$2+$AM$3,"")</f>
        <v/>
      </c>
      <c r="AN44" s="40">
        <f>SUMIFS(DaybyDay[Est-Admin-Payroll],DaybyDay[Date],"&gt;="&amp;$C$5,DaybyDay[RowYear],"&gt;="&amp;$C$4,DaybyDay[Date],"&lt;="&amp;DaybyDay[[#This Row],[Date]])</f>
        <v>0</v>
      </c>
      <c r="AO44" s="41" t="str">
        <f>IF(AND(DaybyDay[[#This Row],[_Space]],ISNUMBER(DaybyDay[[#This Row],[Admin Hours]])),DaybyDay[[#This Row],[Est-Admin-Payroll]]/(DaybyDay[[#This Row],[Service-Actuals]]+DaybyDay[[#This Row],[Retail-Actuals]]),"")</f>
        <v/>
      </c>
      <c r="AP44" s="41" t="e">
        <f>DaybyDay[[#This Row],[Estimated-Payroll-Rollup]]/DaybyDay[[#This Row],[Simple-Forecast]]</f>
        <v>#DIV/0!</v>
      </c>
      <c r="AQ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 s="77"/>
      <c r="AS44" s="40" t="str">
        <f>IF(DaybyDay[[#This Row],[Retail Hours]]&gt;0,DaybyDay[[#This Row],[Retail Hours]]*$AS$2,"")</f>
        <v/>
      </c>
      <c r="AT44" s="40">
        <f>SUMIFS(DaybyDay[Est-Retail-Payroll],DaybyDay[Date],"&gt;="&amp;$C$5,DaybyDay[RowYear],"&gt;="&amp;$C$4,DaybyDay[Date],"&lt;="&amp;DaybyDay[[#This Row],[Date]])</f>
        <v>0</v>
      </c>
      <c r="AU44" s="82" t="str">
        <f>IF(AND(DaybyDay[[#This Row],[_Space]],ISNUMBER(DaybyDay[[#This Row],[Retail Hours]])),DaybyDay[[#This Row],[Est-Retail-Payroll]]/(DaybyDay[[#This Row],[Retail-Actuals]]),"")</f>
        <v/>
      </c>
      <c r="AV44" s="82" t="e">
        <f>DaybyDay[[#This Row],[Est-Retail-PayrollRU]]/DaybyDay[[#This Row],[Simple-Forecast-Retail]]</f>
        <v>#DIV/0!</v>
      </c>
      <c r="AW44" s="8"/>
    </row>
    <row r="45" spans="3:49" hidden="1" x14ac:dyDescent="0.25">
      <c r="C45" s="26" t="str">
        <f>Tools!$C$1</f>
        <v>Example</v>
      </c>
      <c r="D45" s="27" t="s">
        <v>69</v>
      </c>
      <c r="E45" s="28">
        <v>2017</v>
      </c>
      <c r="F45" s="28">
        <f>MATCH(DaybyDay[[#This Row],[RowMonth]],Table3[SummaryMonth],0)</f>
        <v>2</v>
      </c>
      <c r="G45" s="29" t="e">
        <f>MATCH(DaybyDay[[#This Row],[LY-Date]],DaybyDay[Date],0)</f>
        <v>#N/A</v>
      </c>
      <c r="H45" s="30">
        <f>WEEKDAY(DaybyDay[[#This Row],[Date]])</f>
        <v>4</v>
      </c>
      <c r="I45" s="31">
        <v>42774</v>
      </c>
      <c r="J45" s="74">
        <v>32</v>
      </c>
      <c r="K45" s="32">
        <f>SUMIFS(BudgetSeasonality[365 Seasonality],BudgetSeasonality[MonthAdjustment],DaybyDay[[#This Row],[Date]])*SUMIFS(Budgets[Service-Budget],Budgets[BudgetMonth],DaybyDay[[#This Row],[RowMonth]],Budgets[BudgetYear],DaybyDay[[#This Row],[RowYear]])</f>
        <v>0</v>
      </c>
      <c r="L45" s="75">
        <v>6138</v>
      </c>
      <c r="M45" s="32">
        <f>INDEX(BudgetSeasonality[365 Seasonality],MATCH(DaybyDay[[#This Row],[Date]],BudgetSeasonality[MonthAdjustment],0))*SUMIFS(Budgets[Retail-Budget],Budgets[BudgetMonth],DaybyDay[[#This Row],[RowMonth]],Budgets[BudgetYear],DaybyDay[[#This Row],[RowYear]])</f>
        <v>0</v>
      </c>
      <c r="N45" s="75">
        <v>192.87</v>
      </c>
      <c r="O45" s="33">
        <f>SUMIFS(DaybyDay[Service-Budgets],DaybyDay[Date],"&gt;="&amp;$C$5,DaybyDay[RowYear],"&gt;="&amp;$C$4,DaybyDay[Date],"&lt;="&amp;DaybyDay[[#This Row],[Date]])</f>
        <v>0</v>
      </c>
      <c r="P45" s="33">
        <f>SUMIFS(DaybyDay[Retail-Budgets],DaybyDay[Date],"&gt;="&amp;$C$5,DaybyDay[RowYear],"&gt;="&amp;$C$4,DaybyDay[Date],"&lt;="&amp;DaybyDay[[#This Row],[Date]])</f>
        <v>0</v>
      </c>
      <c r="Q45" s="34">
        <f>SUMIFS(DaybyDay[Service-Actuals],DaybyDay[Date],"&gt;="&amp;$C$5,DaybyDay[RowYear],"&gt;="&amp;$C$4,DaybyDay[Date],"&lt;="&amp;DaybyDay[[#This Row],[Date]])</f>
        <v>0</v>
      </c>
      <c r="R45" s="34">
        <f>SUMIFS(DaybyDay[Retail-Actuals],DaybyDay[Date],"&gt;="&amp;$C$5,DaybyDay[RowYear],"&gt;="&amp;$C$4,DaybyDay[Date],"&lt;="&amp;DaybyDay[[#This Row],[Date]])</f>
        <v>0</v>
      </c>
      <c r="S45" s="35">
        <f>SUMIFS(DaybyDay[Service-LY],DaybyDay[Date],"&gt;="&amp;$C$5,DaybyDay[RowYear],"&gt;="&amp;$C$4,DaybyDay[Date],"&lt;="&amp;DaybyDay[[#This Row],[Date]])</f>
        <v>0</v>
      </c>
      <c r="T45" s="35">
        <f>SUMIFS(DaybyDay[Retail-LY],DaybyDay[Date],"&gt;="&amp;$C$5,DaybyDay[RowYear],"&gt;="&amp;$C$4,DaybyDay[Date],"&lt;="&amp;DaybyDay[[#This Row],[Date]])</f>
        <v>0</v>
      </c>
      <c r="U45" s="32">
        <f>DaybyDay[[#This Row],[Serv-Bud-RU]]+DaybyDay[[#This Row],[Ret-Bud-RU]]</f>
        <v>0</v>
      </c>
      <c r="V45" s="32">
        <f>DaybyDay[[#This Row],[Serv-Act-RU]]+DaybyDay[[#This Row],[Ret-Act-RU]]</f>
        <v>0</v>
      </c>
      <c r="W45" s="36">
        <f>IF(DaybyDay[[#This Row],[_Space]],IFERROR(
((DaybyDay[[#This Row],[Actual-Rollup]]-DaybyDay[[#This Row],[Budget-Rollup]])/DaybyDay[[#This Row],[Budget-Rollup]]),0),"")</f>
        <v>0</v>
      </c>
      <c r="X45" t="b">
        <f>NOT(AND(ISBLANK(DaybyDay[[#This Row],[Appts]]),ISBLANK(DaybyDay[[#This Row],[Service-Actuals]]),ISBLANK(DaybyDay[[#This Row],[Retail-Actuals]])))</f>
        <v>1</v>
      </c>
      <c r="Y45" s="36">
        <f>IF(DaybyDay[[#This Row],[_Space]],IFERROR(
((DaybyDay[[#This Row],[Actual-Rollup]]-DaybyDay[[#This Row],[LY-Rollup]])/DaybyDay[[#This Row],[LY-Rollup]]),0),"")</f>
        <v>0</v>
      </c>
      <c r="Z45"/>
      <c r="AA45" s="37" t="e">
        <f>IF(DaybyDay[[#This Row],[_Space]],DaybyDay[[#This Row],[Ret-Act-RU]]/DaybyDay[[#This Row],[Serv-Act-RU]],"")</f>
        <v>#DIV/0!</v>
      </c>
      <c r="AB45" s="50" t="e">
        <f>IF(DaybyDay[[#This Row],[_Space]],DaybyDay[[#This Row],[RETPEN-Act]]/DaybyDay[[#This Row],[RETPEN-Bud]],"")</f>
        <v>#DIV/0!</v>
      </c>
      <c r="AC45" s="37" t="e">
        <f>IF(DaybyDay[[#This Row],[_Space]],DaybyDay[[#This Row],[Ret-Bud-RU]]/DaybyDay[[#This Row],[Serv-Bud-RU]],"")</f>
        <v>#DIV/0!</v>
      </c>
      <c r="AD45" s="37" t="e">
        <f>IF(DaybyDay[[#This Row],[_Space]],DaybyDay[[#This Row],[Ret-LY-RU]]/DaybyDay[[#This Row],[Serv-LY-RU]],"")</f>
        <v>#DIV/0!</v>
      </c>
      <c r="AE45" s="30">
        <f>WEEKDAY(DaybyDay[[#This Row],[LY-Date]])</f>
        <v>4</v>
      </c>
      <c r="AF45" s="38">
        <f>$E$2+_xlfn.DAYS(DaybyDay[[#This Row],[Date]],minDate)</f>
        <v>42410</v>
      </c>
      <c r="AG45" s="39" t="str" cm="1">
        <f t="array" ref="AG45">IFERROR(INDEX(DaybyDay[],DaybyDay[[#This Row],[FORM_MATCH_HELPER]],8),"")</f>
        <v/>
      </c>
      <c r="AH45" s="39" t="str" cm="1">
        <f t="array" ref="AH45">IFERROR(INDEX(DaybyDay[],DaybyDay[[#This Row],[FORM_MATCH_HELPER]],10),"")</f>
        <v/>
      </c>
      <c r="AI45" s="39" t="str" cm="1">
        <f t="array" ref="AI45">IFERROR(INDEX(DaybyDay[],DaybyDay[[#This Row],[FORM_MATCH_HELPER]],12),"")</f>
        <v/>
      </c>
      <c r="AJ45" s="32">
        <f>IFERROR(DaybyDay[[#This Row],[Serv-LY-RU]]+DaybyDay[[#This Row],[Ret-LY-RU]],"")</f>
        <v>0</v>
      </c>
      <c r="AK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 s="77"/>
      <c r="AM45" s="40" t="str">
        <f>IF(DaybyDay[[#This Row],[Admin Hours]]&gt;0,DaybyDay[[#This Row],[Admin Hours]]*$AM$2+$AM$3,"")</f>
        <v/>
      </c>
      <c r="AN45" s="40">
        <f>SUMIFS(DaybyDay[Est-Admin-Payroll],DaybyDay[Date],"&gt;="&amp;$C$5,DaybyDay[RowYear],"&gt;="&amp;$C$4,DaybyDay[Date],"&lt;="&amp;DaybyDay[[#This Row],[Date]])</f>
        <v>0</v>
      </c>
      <c r="AO45" s="41" t="str">
        <f>IF(AND(DaybyDay[[#This Row],[_Space]],ISNUMBER(DaybyDay[[#This Row],[Admin Hours]])),DaybyDay[[#This Row],[Est-Admin-Payroll]]/(DaybyDay[[#This Row],[Service-Actuals]]+DaybyDay[[#This Row],[Retail-Actuals]]),"")</f>
        <v/>
      </c>
      <c r="AP45" s="41" t="e">
        <f>DaybyDay[[#This Row],[Estimated-Payroll-Rollup]]/DaybyDay[[#This Row],[Simple-Forecast]]</f>
        <v>#DIV/0!</v>
      </c>
      <c r="AQ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 s="77"/>
      <c r="AS45" s="40" t="str">
        <f>IF(DaybyDay[[#This Row],[Retail Hours]]&gt;0,DaybyDay[[#This Row],[Retail Hours]]*$AS$2,"")</f>
        <v/>
      </c>
      <c r="AT45" s="40">
        <f>SUMIFS(DaybyDay[Est-Retail-Payroll],DaybyDay[Date],"&gt;="&amp;$C$5,DaybyDay[RowYear],"&gt;="&amp;$C$4,DaybyDay[Date],"&lt;="&amp;DaybyDay[[#This Row],[Date]])</f>
        <v>0</v>
      </c>
      <c r="AU45" s="82" t="str">
        <f>IF(AND(DaybyDay[[#This Row],[_Space]],ISNUMBER(DaybyDay[[#This Row],[Retail Hours]])),DaybyDay[[#This Row],[Est-Retail-Payroll]]/(DaybyDay[[#This Row],[Retail-Actuals]]),"")</f>
        <v/>
      </c>
      <c r="AV45" s="82" t="e">
        <f>DaybyDay[[#This Row],[Est-Retail-PayrollRU]]/DaybyDay[[#This Row],[Simple-Forecast-Retail]]</f>
        <v>#DIV/0!</v>
      </c>
      <c r="AW45" s="8"/>
    </row>
    <row r="46" spans="3:49" hidden="1" x14ac:dyDescent="0.25">
      <c r="C46" s="26" t="str">
        <f>Tools!$C$1</f>
        <v>Example</v>
      </c>
      <c r="D46" s="27" t="s">
        <v>69</v>
      </c>
      <c r="E46" s="28">
        <v>2017</v>
      </c>
      <c r="F46" s="28">
        <f>MATCH(DaybyDay[[#This Row],[RowMonth]],Table3[SummaryMonth],0)</f>
        <v>2</v>
      </c>
      <c r="G46" s="29" t="e">
        <f>MATCH(DaybyDay[[#This Row],[LY-Date]],DaybyDay[Date],0)</f>
        <v>#N/A</v>
      </c>
      <c r="H46" s="30">
        <f>WEEKDAY(DaybyDay[[#This Row],[Date]])</f>
        <v>5</v>
      </c>
      <c r="I46" s="31">
        <v>42775</v>
      </c>
      <c r="J46" s="74">
        <v>27</v>
      </c>
      <c r="K46" s="32">
        <f>SUMIFS(BudgetSeasonality[365 Seasonality],BudgetSeasonality[MonthAdjustment],DaybyDay[[#This Row],[Date]])*SUMIFS(Budgets[Service-Budget],Budgets[BudgetMonth],DaybyDay[[#This Row],[RowMonth]],Budgets[BudgetYear],DaybyDay[[#This Row],[RowYear]])</f>
        <v>0</v>
      </c>
      <c r="L46" s="75">
        <v>5381</v>
      </c>
      <c r="M46" s="32">
        <f>INDEX(BudgetSeasonality[365 Seasonality],MATCH(DaybyDay[[#This Row],[Date]],BudgetSeasonality[MonthAdjustment],0))*SUMIFS(Budgets[Retail-Budget],Budgets[BudgetMonth],DaybyDay[[#This Row],[RowMonth]],Budgets[BudgetYear],DaybyDay[[#This Row],[RowYear]])</f>
        <v>0</v>
      </c>
      <c r="N46" s="75">
        <v>1142.46</v>
      </c>
      <c r="O46" s="33">
        <f>SUMIFS(DaybyDay[Service-Budgets],DaybyDay[Date],"&gt;="&amp;$C$5,DaybyDay[RowYear],"&gt;="&amp;$C$4,DaybyDay[Date],"&lt;="&amp;DaybyDay[[#This Row],[Date]])</f>
        <v>0</v>
      </c>
      <c r="P46" s="33">
        <f>SUMIFS(DaybyDay[Retail-Budgets],DaybyDay[Date],"&gt;="&amp;$C$5,DaybyDay[RowYear],"&gt;="&amp;$C$4,DaybyDay[Date],"&lt;="&amp;DaybyDay[[#This Row],[Date]])</f>
        <v>0</v>
      </c>
      <c r="Q46" s="34">
        <f>SUMIFS(DaybyDay[Service-Actuals],DaybyDay[Date],"&gt;="&amp;$C$5,DaybyDay[RowYear],"&gt;="&amp;$C$4,DaybyDay[Date],"&lt;="&amp;DaybyDay[[#This Row],[Date]])</f>
        <v>0</v>
      </c>
      <c r="R46" s="34">
        <f>SUMIFS(DaybyDay[Retail-Actuals],DaybyDay[Date],"&gt;="&amp;$C$5,DaybyDay[RowYear],"&gt;="&amp;$C$4,DaybyDay[Date],"&lt;="&amp;DaybyDay[[#This Row],[Date]])</f>
        <v>0</v>
      </c>
      <c r="S46" s="35">
        <f>SUMIFS(DaybyDay[Service-LY],DaybyDay[Date],"&gt;="&amp;$C$5,DaybyDay[RowYear],"&gt;="&amp;$C$4,DaybyDay[Date],"&lt;="&amp;DaybyDay[[#This Row],[Date]])</f>
        <v>0</v>
      </c>
      <c r="T46" s="35">
        <f>SUMIFS(DaybyDay[Retail-LY],DaybyDay[Date],"&gt;="&amp;$C$5,DaybyDay[RowYear],"&gt;="&amp;$C$4,DaybyDay[Date],"&lt;="&amp;DaybyDay[[#This Row],[Date]])</f>
        <v>0</v>
      </c>
      <c r="U46" s="32">
        <f>DaybyDay[[#This Row],[Serv-Bud-RU]]+DaybyDay[[#This Row],[Ret-Bud-RU]]</f>
        <v>0</v>
      </c>
      <c r="V46" s="32">
        <f>DaybyDay[[#This Row],[Serv-Act-RU]]+DaybyDay[[#This Row],[Ret-Act-RU]]</f>
        <v>0</v>
      </c>
      <c r="W46" s="36">
        <f>IF(DaybyDay[[#This Row],[_Space]],IFERROR(
((DaybyDay[[#This Row],[Actual-Rollup]]-DaybyDay[[#This Row],[Budget-Rollup]])/DaybyDay[[#This Row],[Budget-Rollup]]),0),"")</f>
        <v>0</v>
      </c>
      <c r="X46" t="b">
        <f>NOT(AND(ISBLANK(DaybyDay[[#This Row],[Appts]]),ISBLANK(DaybyDay[[#This Row],[Service-Actuals]]),ISBLANK(DaybyDay[[#This Row],[Retail-Actuals]])))</f>
        <v>1</v>
      </c>
      <c r="Y46" s="36">
        <f>IF(DaybyDay[[#This Row],[_Space]],IFERROR(
((DaybyDay[[#This Row],[Actual-Rollup]]-DaybyDay[[#This Row],[LY-Rollup]])/DaybyDay[[#This Row],[LY-Rollup]]),0),"")</f>
        <v>0</v>
      </c>
      <c r="Z46"/>
      <c r="AA46" s="37" t="e">
        <f>IF(DaybyDay[[#This Row],[_Space]],DaybyDay[[#This Row],[Ret-Act-RU]]/DaybyDay[[#This Row],[Serv-Act-RU]],"")</f>
        <v>#DIV/0!</v>
      </c>
      <c r="AB46" s="50" t="e">
        <f>IF(DaybyDay[[#This Row],[_Space]],DaybyDay[[#This Row],[RETPEN-Act]]/DaybyDay[[#This Row],[RETPEN-Bud]],"")</f>
        <v>#DIV/0!</v>
      </c>
      <c r="AC46" s="37" t="e">
        <f>IF(DaybyDay[[#This Row],[_Space]],DaybyDay[[#This Row],[Ret-Bud-RU]]/DaybyDay[[#This Row],[Serv-Bud-RU]],"")</f>
        <v>#DIV/0!</v>
      </c>
      <c r="AD46" s="37" t="e">
        <f>IF(DaybyDay[[#This Row],[_Space]],DaybyDay[[#This Row],[Ret-LY-RU]]/DaybyDay[[#This Row],[Serv-LY-RU]],"")</f>
        <v>#DIV/0!</v>
      </c>
      <c r="AE46" s="30">
        <f>WEEKDAY(DaybyDay[[#This Row],[LY-Date]])</f>
        <v>5</v>
      </c>
      <c r="AF46" s="38">
        <f>$E$2+_xlfn.DAYS(DaybyDay[[#This Row],[Date]],minDate)</f>
        <v>42411</v>
      </c>
      <c r="AG46" s="39" t="str" cm="1">
        <f t="array" ref="AG46">IFERROR(INDEX(DaybyDay[],DaybyDay[[#This Row],[FORM_MATCH_HELPER]],8),"")</f>
        <v/>
      </c>
      <c r="AH46" s="39" t="str" cm="1">
        <f t="array" ref="AH46">IFERROR(INDEX(DaybyDay[],DaybyDay[[#This Row],[FORM_MATCH_HELPER]],10),"")</f>
        <v/>
      </c>
      <c r="AI46" s="39" t="str" cm="1">
        <f t="array" ref="AI46">IFERROR(INDEX(DaybyDay[],DaybyDay[[#This Row],[FORM_MATCH_HELPER]],12),"")</f>
        <v/>
      </c>
      <c r="AJ46" s="32">
        <f>IFERROR(DaybyDay[[#This Row],[Serv-LY-RU]]+DaybyDay[[#This Row],[Ret-LY-RU]],"")</f>
        <v>0</v>
      </c>
      <c r="AK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 s="77"/>
      <c r="AM46" s="40" t="str">
        <f>IF(DaybyDay[[#This Row],[Admin Hours]]&gt;0,DaybyDay[[#This Row],[Admin Hours]]*$AM$2+$AM$3,"")</f>
        <v/>
      </c>
      <c r="AN46" s="40">
        <f>SUMIFS(DaybyDay[Est-Admin-Payroll],DaybyDay[Date],"&gt;="&amp;$C$5,DaybyDay[RowYear],"&gt;="&amp;$C$4,DaybyDay[Date],"&lt;="&amp;DaybyDay[[#This Row],[Date]])</f>
        <v>0</v>
      </c>
      <c r="AO46" s="41" t="str">
        <f>IF(AND(DaybyDay[[#This Row],[_Space]],ISNUMBER(DaybyDay[[#This Row],[Admin Hours]])),DaybyDay[[#This Row],[Est-Admin-Payroll]]/(DaybyDay[[#This Row],[Service-Actuals]]+DaybyDay[[#This Row],[Retail-Actuals]]),"")</f>
        <v/>
      </c>
      <c r="AP46" s="41" t="e">
        <f>DaybyDay[[#This Row],[Estimated-Payroll-Rollup]]/DaybyDay[[#This Row],[Simple-Forecast]]</f>
        <v>#DIV/0!</v>
      </c>
      <c r="AQ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 s="77"/>
      <c r="AS46" s="40" t="str">
        <f>IF(DaybyDay[[#This Row],[Retail Hours]]&gt;0,DaybyDay[[#This Row],[Retail Hours]]*$AS$2,"")</f>
        <v/>
      </c>
      <c r="AT46" s="40">
        <f>SUMIFS(DaybyDay[Est-Retail-Payroll],DaybyDay[Date],"&gt;="&amp;$C$5,DaybyDay[RowYear],"&gt;="&amp;$C$4,DaybyDay[Date],"&lt;="&amp;DaybyDay[[#This Row],[Date]])</f>
        <v>0</v>
      </c>
      <c r="AU46" s="82" t="str">
        <f>IF(AND(DaybyDay[[#This Row],[_Space]],ISNUMBER(DaybyDay[[#This Row],[Retail Hours]])),DaybyDay[[#This Row],[Est-Retail-Payroll]]/(DaybyDay[[#This Row],[Retail-Actuals]]),"")</f>
        <v/>
      </c>
      <c r="AV46" s="82" t="e">
        <f>DaybyDay[[#This Row],[Est-Retail-PayrollRU]]/DaybyDay[[#This Row],[Simple-Forecast-Retail]]</f>
        <v>#DIV/0!</v>
      </c>
      <c r="AW46" s="8"/>
    </row>
    <row r="47" spans="3:49" hidden="1" x14ac:dyDescent="0.25">
      <c r="C47" s="26" t="str">
        <f>Tools!$C$1</f>
        <v>Example</v>
      </c>
      <c r="D47" s="27" t="s">
        <v>69</v>
      </c>
      <c r="E47" s="28">
        <v>2017</v>
      </c>
      <c r="F47" s="28">
        <f>MATCH(DaybyDay[[#This Row],[RowMonth]],Table3[SummaryMonth],0)</f>
        <v>2</v>
      </c>
      <c r="G47" s="29" t="e">
        <f>MATCH(DaybyDay[[#This Row],[LY-Date]],DaybyDay[Date],0)</f>
        <v>#N/A</v>
      </c>
      <c r="H47" s="30">
        <f>WEEKDAY(DaybyDay[[#This Row],[Date]])</f>
        <v>6</v>
      </c>
      <c r="I47" s="31">
        <v>42776</v>
      </c>
      <c r="J47" s="74">
        <v>52</v>
      </c>
      <c r="K47" s="32">
        <f>SUMIFS(BudgetSeasonality[365 Seasonality],BudgetSeasonality[MonthAdjustment],DaybyDay[[#This Row],[Date]])*SUMIFS(Budgets[Service-Budget],Budgets[BudgetMonth],DaybyDay[[#This Row],[RowMonth]],Budgets[BudgetYear],DaybyDay[[#This Row],[RowYear]])</f>
        <v>0</v>
      </c>
      <c r="L47" s="75">
        <v>8108.87</v>
      </c>
      <c r="M47" s="32">
        <f>INDEX(BudgetSeasonality[365 Seasonality],MATCH(DaybyDay[[#This Row],[Date]],BudgetSeasonality[MonthAdjustment],0))*SUMIFS(Budgets[Retail-Budget],Budgets[BudgetMonth],DaybyDay[[#This Row],[RowMonth]],Budgets[BudgetYear],DaybyDay[[#This Row],[RowYear]])</f>
        <v>0</v>
      </c>
      <c r="N47" s="75">
        <v>1587.64</v>
      </c>
      <c r="O47" s="33">
        <f>SUMIFS(DaybyDay[Service-Budgets],DaybyDay[Date],"&gt;="&amp;$C$5,DaybyDay[RowYear],"&gt;="&amp;$C$4,DaybyDay[Date],"&lt;="&amp;DaybyDay[[#This Row],[Date]])</f>
        <v>0</v>
      </c>
      <c r="P47" s="33">
        <f>SUMIFS(DaybyDay[Retail-Budgets],DaybyDay[Date],"&gt;="&amp;$C$5,DaybyDay[RowYear],"&gt;="&amp;$C$4,DaybyDay[Date],"&lt;="&amp;DaybyDay[[#This Row],[Date]])</f>
        <v>0</v>
      </c>
      <c r="Q47" s="34">
        <f>SUMIFS(DaybyDay[Service-Actuals],DaybyDay[Date],"&gt;="&amp;$C$5,DaybyDay[RowYear],"&gt;="&amp;$C$4,DaybyDay[Date],"&lt;="&amp;DaybyDay[[#This Row],[Date]])</f>
        <v>0</v>
      </c>
      <c r="R47" s="34">
        <f>SUMIFS(DaybyDay[Retail-Actuals],DaybyDay[Date],"&gt;="&amp;$C$5,DaybyDay[RowYear],"&gt;="&amp;$C$4,DaybyDay[Date],"&lt;="&amp;DaybyDay[[#This Row],[Date]])</f>
        <v>0</v>
      </c>
      <c r="S47" s="35">
        <f>SUMIFS(DaybyDay[Service-LY],DaybyDay[Date],"&gt;="&amp;$C$5,DaybyDay[RowYear],"&gt;="&amp;$C$4,DaybyDay[Date],"&lt;="&amp;DaybyDay[[#This Row],[Date]])</f>
        <v>0</v>
      </c>
      <c r="T47" s="35">
        <f>SUMIFS(DaybyDay[Retail-LY],DaybyDay[Date],"&gt;="&amp;$C$5,DaybyDay[RowYear],"&gt;="&amp;$C$4,DaybyDay[Date],"&lt;="&amp;DaybyDay[[#This Row],[Date]])</f>
        <v>0</v>
      </c>
      <c r="U47" s="32">
        <f>DaybyDay[[#This Row],[Serv-Bud-RU]]+DaybyDay[[#This Row],[Ret-Bud-RU]]</f>
        <v>0</v>
      </c>
      <c r="V47" s="32">
        <f>DaybyDay[[#This Row],[Serv-Act-RU]]+DaybyDay[[#This Row],[Ret-Act-RU]]</f>
        <v>0</v>
      </c>
      <c r="W47" s="36">
        <f>IF(DaybyDay[[#This Row],[_Space]],IFERROR(
((DaybyDay[[#This Row],[Actual-Rollup]]-DaybyDay[[#This Row],[Budget-Rollup]])/DaybyDay[[#This Row],[Budget-Rollup]]),0),"")</f>
        <v>0</v>
      </c>
      <c r="X47" t="b">
        <f>NOT(AND(ISBLANK(DaybyDay[[#This Row],[Appts]]),ISBLANK(DaybyDay[[#This Row],[Service-Actuals]]),ISBLANK(DaybyDay[[#This Row],[Retail-Actuals]])))</f>
        <v>1</v>
      </c>
      <c r="Y47" s="36">
        <f>IF(DaybyDay[[#This Row],[_Space]],IFERROR(
((DaybyDay[[#This Row],[Actual-Rollup]]-DaybyDay[[#This Row],[LY-Rollup]])/DaybyDay[[#This Row],[LY-Rollup]]),0),"")</f>
        <v>0</v>
      </c>
      <c r="Z47"/>
      <c r="AA47" s="37" t="e">
        <f>IF(DaybyDay[[#This Row],[_Space]],DaybyDay[[#This Row],[Ret-Act-RU]]/DaybyDay[[#This Row],[Serv-Act-RU]],"")</f>
        <v>#DIV/0!</v>
      </c>
      <c r="AB47" s="50" t="e">
        <f>IF(DaybyDay[[#This Row],[_Space]],DaybyDay[[#This Row],[RETPEN-Act]]/DaybyDay[[#This Row],[RETPEN-Bud]],"")</f>
        <v>#DIV/0!</v>
      </c>
      <c r="AC47" s="37" t="e">
        <f>IF(DaybyDay[[#This Row],[_Space]],DaybyDay[[#This Row],[Ret-Bud-RU]]/DaybyDay[[#This Row],[Serv-Bud-RU]],"")</f>
        <v>#DIV/0!</v>
      </c>
      <c r="AD47" s="37" t="e">
        <f>IF(DaybyDay[[#This Row],[_Space]],DaybyDay[[#This Row],[Ret-LY-RU]]/DaybyDay[[#This Row],[Serv-LY-RU]],"")</f>
        <v>#DIV/0!</v>
      </c>
      <c r="AE47" s="30">
        <f>WEEKDAY(DaybyDay[[#This Row],[LY-Date]])</f>
        <v>6</v>
      </c>
      <c r="AF47" s="38">
        <f>$E$2+_xlfn.DAYS(DaybyDay[[#This Row],[Date]],minDate)</f>
        <v>42412</v>
      </c>
      <c r="AG47" s="39" t="str" cm="1">
        <f t="array" ref="AG47">IFERROR(INDEX(DaybyDay[],DaybyDay[[#This Row],[FORM_MATCH_HELPER]],8),"")</f>
        <v/>
      </c>
      <c r="AH47" s="39" t="str" cm="1">
        <f t="array" ref="AH47">IFERROR(INDEX(DaybyDay[],DaybyDay[[#This Row],[FORM_MATCH_HELPER]],10),"")</f>
        <v/>
      </c>
      <c r="AI47" s="39" t="str" cm="1">
        <f t="array" ref="AI47">IFERROR(INDEX(DaybyDay[],DaybyDay[[#This Row],[FORM_MATCH_HELPER]],12),"")</f>
        <v/>
      </c>
      <c r="AJ47" s="32">
        <f>IFERROR(DaybyDay[[#This Row],[Serv-LY-RU]]+DaybyDay[[#This Row],[Ret-LY-RU]],"")</f>
        <v>0</v>
      </c>
      <c r="AK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 s="77"/>
      <c r="AM47" s="40" t="str">
        <f>IF(DaybyDay[[#This Row],[Admin Hours]]&gt;0,DaybyDay[[#This Row],[Admin Hours]]*$AM$2+$AM$3,"")</f>
        <v/>
      </c>
      <c r="AN47" s="40">
        <f>SUMIFS(DaybyDay[Est-Admin-Payroll],DaybyDay[Date],"&gt;="&amp;$C$5,DaybyDay[RowYear],"&gt;="&amp;$C$4,DaybyDay[Date],"&lt;="&amp;DaybyDay[[#This Row],[Date]])</f>
        <v>0</v>
      </c>
      <c r="AO47" s="41" t="str">
        <f>IF(AND(DaybyDay[[#This Row],[_Space]],ISNUMBER(DaybyDay[[#This Row],[Admin Hours]])),DaybyDay[[#This Row],[Est-Admin-Payroll]]/(DaybyDay[[#This Row],[Service-Actuals]]+DaybyDay[[#This Row],[Retail-Actuals]]),"")</f>
        <v/>
      </c>
      <c r="AP47" s="41" t="e">
        <f>DaybyDay[[#This Row],[Estimated-Payroll-Rollup]]/DaybyDay[[#This Row],[Simple-Forecast]]</f>
        <v>#DIV/0!</v>
      </c>
      <c r="AQ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 s="77"/>
      <c r="AS47" s="40" t="str">
        <f>IF(DaybyDay[[#This Row],[Retail Hours]]&gt;0,DaybyDay[[#This Row],[Retail Hours]]*$AS$2,"")</f>
        <v/>
      </c>
      <c r="AT47" s="40">
        <f>SUMIFS(DaybyDay[Est-Retail-Payroll],DaybyDay[Date],"&gt;="&amp;$C$5,DaybyDay[RowYear],"&gt;="&amp;$C$4,DaybyDay[Date],"&lt;="&amp;DaybyDay[[#This Row],[Date]])</f>
        <v>0</v>
      </c>
      <c r="AU47" s="82" t="str">
        <f>IF(AND(DaybyDay[[#This Row],[_Space]],ISNUMBER(DaybyDay[[#This Row],[Retail Hours]])),DaybyDay[[#This Row],[Est-Retail-Payroll]]/(DaybyDay[[#This Row],[Retail-Actuals]]),"")</f>
        <v/>
      </c>
      <c r="AV47" s="82" t="e">
        <f>DaybyDay[[#This Row],[Est-Retail-PayrollRU]]/DaybyDay[[#This Row],[Simple-Forecast-Retail]]</f>
        <v>#DIV/0!</v>
      </c>
      <c r="AW47" s="8"/>
    </row>
    <row r="48" spans="3:49" hidden="1" x14ac:dyDescent="0.25">
      <c r="C48" s="26" t="str">
        <f>Tools!$C$1</f>
        <v>Example</v>
      </c>
      <c r="D48" s="27" t="s">
        <v>69</v>
      </c>
      <c r="E48" s="28">
        <v>2017</v>
      </c>
      <c r="F48" s="28">
        <f>MATCH(DaybyDay[[#This Row],[RowMonth]],Table3[SummaryMonth],0)</f>
        <v>2</v>
      </c>
      <c r="G48" s="29" t="e">
        <f>MATCH(DaybyDay[[#This Row],[LY-Date]],DaybyDay[Date],0)</f>
        <v>#N/A</v>
      </c>
      <c r="H48" s="30">
        <f>WEEKDAY(DaybyDay[[#This Row],[Date]])</f>
        <v>7</v>
      </c>
      <c r="I48" s="31">
        <v>42777</v>
      </c>
      <c r="J48" s="74">
        <v>49</v>
      </c>
      <c r="K48" s="32">
        <f>SUMIFS(BudgetSeasonality[365 Seasonality],BudgetSeasonality[MonthAdjustment],DaybyDay[[#This Row],[Date]])*SUMIFS(Budgets[Service-Budget],Budgets[BudgetMonth],DaybyDay[[#This Row],[RowMonth]],Budgets[BudgetYear],DaybyDay[[#This Row],[RowYear]])</f>
        <v>0</v>
      </c>
      <c r="L48" s="75">
        <v>8667.57</v>
      </c>
      <c r="M48" s="32">
        <f>INDEX(BudgetSeasonality[365 Seasonality],MATCH(DaybyDay[[#This Row],[Date]],BudgetSeasonality[MonthAdjustment],0))*SUMIFS(Budgets[Retail-Budget],Budgets[BudgetMonth],DaybyDay[[#This Row],[RowMonth]],Budgets[BudgetYear],DaybyDay[[#This Row],[RowYear]])</f>
        <v>0</v>
      </c>
      <c r="N48" s="75">
        <v>1226.7</v>
      </c>
      <c r="O48" s="33">
        <f>SUMIFS(DaybyDay[Service-Budgets],DaybyDay[Date],"&gt;="&amp;$C$5,DaybyDay[RowYear],"&gt;="&amp;$C$4,DaybyDay[Date],"&lt;="&amp;DaybyDay[[#This Row],[Date]])</f>
        <v>0</v>
      </c>
      <c r="P48" s="33">
        <f>SUMIFS(DaybyDay[Retail-Budgets],DaybyDay[Date],"&gt;="&amp;$C$5,DaybyDay[RowYear],"&gt;="&amp;$C$4,DaybyDay[Date],"&lt;="&amp;DaybyDay[[#This Row],[Date]])</f>
        <v>0</v>
      </c>
      <c r="Q48" s="34">
        <f>SUMIFS(DaybyDay[Service-Actuals],DaybyDay[Date],"&gt;="&amp;$C$5,DaybyDay[RowYear],"&gt;="&amp;$C$4,DaybyDay[Date],"&lt;="&amp;DaybyDay[[#This Row],[Date]])</f>
        <v>0</v>
      </c>
      <c r="R48" s="34">
        <f>SUMIFS(DaybyDay[Retail-Actuals],DaybyDay[Date],"&gt;="&amp;$C$5,DaybyDay[RowYear],"&gt;="&amp;$C$4,DaybyDay[Date],"&lt;="&amp;DaybyDay[[#This Row],[Date]])</f>
        <v>0</v>
      </c>
      <c r="S48" s="35">
        <f>SUMIFS(DaybyDay[Service-LY],DaybyDay[Date],"&gt;="&amp;$C$5,DaybyDay[RowYear],"&gt;="&amp;$C$4,DaybyDay[Date],"&lt;="&amp;DaybyDay[[#This Row],[Date]])</f>
        <v>0</v>
      </c>
      <c r="T48" s="35">
        <f>SUMIFS(DaybyDay[Retail-LY],DaybyDay[Date],"&gt;="&amp;$C$5,DaybyDay[RowYear],"&gt;="&amp;$C$4,DaybyDay[Date],"&lt;="&amp;DaybyDay[[#This Row],[Date]])</f>
        <v>0</v>
      </c>
      <c r="U48" s="32">
        <f>DaybyDay[[#This Row],[Serv-Bud-RU]]+DaybyDay[[#This Row],[Ret-Bud-RU]]</f>
        <v>0</v>
      </c>
      <c r="V48" s="32">
        <f>DaybyDay[[#This Row],[Serv-Act-RU]]+DaybyDay[[#This Row],[Ret-Act-RU]]</f>
        <v>0</v>
      </c>
      <c r="W48" s="36">
        <f>IF(DaybyDay[[#This Row],[_Space]],IFERROR(
((DaybyDay[[#This Row],[Actual-Rollup]]-DaybyDay[[#This Row],[Budget-Rollup]])/DaybyDay[[#This Row],[Budget-Rollup]]),0),"")</f>
        <v>0</v>
      </c>
      <c r="X48" t="b">
        <f>NOT(AND(ISBLANK(DaybyDay[[#This Row],[Appts]]),ISBLANK(DaybyDay[[#This Row],[Service-Actuals]]),ISBLANK(DaybyDay[[#This Row],[Retail-Actuals]])))</f>
        <v>1</v>
      </c>
      <c r="Y48" s="36">
        <f>IF(DaybyDay[[#This Row],[_Space]],IFERROR(
((DaybyDay[[#This Row],[Actual-Rollup]]-DaybyDay[[#This Row],[LY-Rollup]])/DaybyDay[[#This Row],[LY-Rollup]]),0),"")</f>
        <v>0</v>
      </c>
      <c r="Z48"/>
      <c r="AA48" s="37" t="e">
        <f>IF(DaybyDay[[#This Row],[_Space]],DaybyDay[[#This Row],[Ret-Act-RU]]/DaybyDay[[#This Row],[Serv-Act-RU]],"")</f>
        <v>#DIV/0!</v>
      </c>
      <c r="AB48" s="50" t="e">
        <f>IF(DaybyDay[[#This Row],[_Space]],DaybyDay[[#This Row],[RETPEN-Act]]/DaybyDay[[#This Row],[RETPEN-Bud]],"")</f>
        <v>#DIV/0!</v>
      </c>
      <c r="AC48" s="37" t="e">
        <f>IF(DaybyDay[[#This Row],[_Space]],DaybyDay[[#This Row],[Ret-Bud-RU]]/DaybyDay[[#This Row],[Serv-Bud-RU]],"")</f>
        <v>#DIV/0!</v>
      </c>
      <c r="AD48" s="37" t="e">
        <f>IF(DaybyDay[[#This Row],[_Space]],DaybyDay[[#This Row],[Ret-LY-RU]]/DaybyDay[[#This Row],[Serv-LY-RU]],"")</f>
        <v>#DIV/0!</v>
      </c>
      <c r="AE48" s="30">
        <f>WEEKDAY(DaybyDay[[#This Row],[LY-Date]])</f>
        <v>7</v>
      </c>
      <c r="AF48" s="38">
        <f>$E$2+_xlfn.DAYS(DaybyDay[[#This Row],[Date]],minDate)</f>
        <v>42413</v>
      </c>
      <c r="AG48" s="39" t="str" cm="1">
        <f t="array" ref="AG48">IFERROR(INDEX(DaybyDay[],DaybyDay[[#This Row],[FORM_MATCH_HELPER]],8),"")</f>
        <v/>
      </c>
      <c r="AH48" s="39" t="str" cm="1">
        <f t="array" ref="AH48">IFERROR(INDEX(DaybyDay[],DaybyDay[[#This Row],[FORM_MATCH_HELPER]],10),"")</f>
        <v/>
      </c>
      <c r="AI48" s="39" t="str" cm="1">
        <f t="array" ref="AI48">IFERROR(INDEX(DaybyDay[],DaybyDay[[#This Row],[FORM_MATCH_HELPER]],12),"")</f>
        <v/>
      </c>
      <c r="AJ48" s="32">
        <f>IFERROR(DaybyDay[[#This Row],[Serv-LY-RU]]+DaybyDay[[#This Row],[Ret-LY-RU]],"")</f>
        <v>0</v>
      </c>
      <c r="AK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 s="77"/>
      <c r="AM48" s="40" t="str">
        <f>IF(DaybyDay[[#This Row],[Admin Hours]]&gt;0,DaybyDay[[#This Row],[Admin Hours]]*$AM$2+$AM$3,"")</f>
        <v/>
      </c>
      <c r="AN48" s="40">
        <f>SUMIFS(DaybyDay[Est-Admin-Payroll],DaybyDay[Date],"&gt;="&amp;$C$5,DaybyDay[RowYear],"&gt;="&amp;$C$4,DaybyDay[Date],"&lt;="&amp;DaybyDay[[#This Row],[Date]])</f>
        <v>0</v>
      </c>
      <c r="AO48" s="41" t="str">
        <f>IF(AND(DaybyDay[[#This Row],[_Space]],ISNUMBER(DaybyDay[[#This Row],[Admin Hours]])),DaybyDay[[#This Row],[Est-Admin-Payroll]]/(DaybyDay[[#This Row],[Service-Actuals]]+DaybyDay[[#This Row],[Retail-Actuals]]),"")</f>
        <v/>
      </c>
      <c r="AP48" s="41" t="e">
        <f>DaybyDay[[#This Row],[Estimated-Payroll-Rollup]]/DaybyDay[[#This Row],[Simple-Forecast]]</f>
        <v>#DIV/0!</v>
      </c>
      <c r="AQ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 s="77"/>
      <c r="AS48" s="40" t="str">
        <f>IF(DaybyDay[[#This Row],[Retail Hours]]&gt;0,DaybyDay[[#This Row],[Retail Hours]]*$AS$2,"")</f>
        <v/>
      </c>
      <c r="AT48" s="40">
        <f>SUMIFS(DaybyDay[Est-Retail-Payroll],DaybyDay[Date],"&gt;="&amp;$C$5,DaybyDay[RowYear],"&gt;="&amp;$C$4,DaybyDay[Date],"&lt;="&amp;DaybyDay[[#This Row],[Date]])</f>
        <v>0</v>
      </c>
      <c r="AU48" s="82" t="str">
        <f>IF(AND(DaybyDay[[#This Row],[_Space]],ISNUMBER(DaybyDay[[#This Row],[Retail Hours]])),DaybyDay[[#This Row],[Est-Retail-Payroll]]/(DaybyDay[[#This Row],[Retail-Actuals]]),"")</f>
        <v/>
      </c>
      <c r="AV48" s="82" t="e">
        <f>DaybyDay[[#This Row],[Est-Retail-PayrollRU]]/DaybyDay[[#This Row],[Simple-Forecast-Retail]]</f>
        <v>#DIV/0!</v>
      </c>
      <c r="AW48" s="8"/>
    </row>
    <row r="49" spans="3:49" hidden="1" x14ac:dyDescent="0.25">
      <c r="C49" s="26" t="str">
        <f>Tools!$C$1</f>
        <v>Example</v>
      </c>
      <c r="D49" s="27" t="s">
        <v>69</v>
      </c>
      <c r="E49" s="28">
        <v>2017</v>
      </c>
      <c r="F49" s="28">
        <f>MATCH(DaybyDay[[#This Row],[RowMonth]],Table3[SummaryMonth],0)</f>
        <v>2</v>
      </c>
      <c r="G49" s="29" t="e">
        <f>MATCH(DaybyDay[[#This Row],[LY-Date]],DaybyDay[Date],0)</f>
        <v>#N/A</v>
      </c>
      <c r="H49" s="30">
        <f>WEEKDAY(DaybyDay[[#This Row],[Date]])</f>
        <v>1</v>
      </c>
      <c r="I49" s="31">
        <v>42778</v>
      </c>
      <c r="J49" s="74">
        <v>36</v>
      </c>
      <c r="K49" s="32">
        <f>SUMIFS(BudgetSeasonality[365 Seasonality],BudgetSeasonality[MonthAdjustment],DaybyDay[[#This Row],[Date]])*SUMIFS(Budgets[Service-Budget],Budgets[BudgetMonth],DaybyDay[[#This Row],[RowMonth]],Budgets[BudgetYear],DaybyDay[[#This Row],[RowYear]])</f>
        <v>0</v>
      </c>
      <c r="L49" s="75">
        <v>7781.64</v>
      </c>
      <c r="M49" s="32">
        <f>INDEX(BudgetSeasonality[365 Seasonality],MATCH(DaybyDay[[#This Row],[Date]],BudgetSeasonality[MonthAdjustment],0))*SUMIFS(Budgets[Retail-Budget],Budgets[BudgetMonth],DaybyDay[[#This Row],[RowMonth]],Budgets[BudgetYear],DaybyDay[[#This Row],[RowYear]])</f>
        <v>0</v>
      </c>
      <c r="N49" s="75">
        <v>404</v>
      </c>
      <c r="O49" s="33">
        <f>SUMIFS(DaybyDay[Service-Budgets],DaybyDay[Date],"&gt;="&amp;$C$5,DaybyDay[RowYear],"&gt;="&amp;$C$4,DaybyDay[Date],"&lt;="&amp;DaybyDay[[#This Row],[Date]])</f>
        <v>0</v>
      </c>
      <c r="P49" s="33">
        <f>SUMIFS(DaybyDay[Retail-Budgets],DaybyDay[Date],"&gt;="&amp;$C$5,DaybyDay[RowYear],"&gt;="&amp;$C$4,DaybyDay[Date],"&lt;="&amp;DaybyDay[[#This Row],[Date]])</f>
        <v>0</v>
      </c>
      <c r="Q49" s="34">
        <f>SUMIFS(DaybyDay[Service-Actuals],DaybyDay[Date],"&gt;="&amp;$C$5,DaybyDay[RowYear],"&gt;="&amp;$C$4,DaybyDay[Date],"&lt;="&amp;DaybyDay[[#This Row],[Date]])</f>
        <v>0</v>
      </c>
      <c r="R49" s="34">
        <f>SUMIFS(DaybyDay[Retail-Actuals],DaybyDay[Date],"&gt;="&amp;$C$5,DaybyDay[RowYear],"&gt;="&amp;$C$4,DaybyDay[Date],"&lt;="&amp;DaybyDay[[#This Row],[Date]])</f>
        <v>0</v>
      </c>
      <c r="S49" s="35">
        <f>SUMIFS(DaybyDay[Service-LY],DaybyDay[Date],"&gt;="&amp;$C$5,DaybyDay[RowYear],"&gt;="&amp;$C$4,DaybyDay[Date],"&lt;="&amp;DaybyDay[[#This Row],[Date]])</f>
        <v>0</v>
      </c>
      <c r="T49" s="35">
        <f>SUMIFS(DaybyDay[Retail-LY],DaybyDay[Date],"&gt;="&amp;$C$5,DaybyDay[RowYear],"&gt;="&amp;$C$4,DaybyDay[Date],"&lt;="&amp;DaybyDay[[#This Row],[Date]])</f>
        <v>0</v>
      </c>
      <c r="U49" s="32">
        <f>DaybyDay[[#This Row],[Serv-Bud-RU]]+DaybyDay[[#This Row],[Ret-Bud-RU]]</f>
        <v>0</v>
      </c>
      <c r="V49" s="32">
        <f>DaybyDay[[#This Row],[Serv-Act-RU]]+DaybyDay[[#This Row],[Ret-Act-RU]]</f>
        <v>0</v>
      </c>
      <c r="W49" s="36">
        <f>IF(DaybyDay[[#This Row],[_Space]],IFERROR(
((DaybyDay[[#This Row],[Actual-Rollup]]-DaybyDay[[#This Row],[Budget-Rollup]])/DaybyDay[[#This Row],[Budget-Rollup]]),0),"")</f>
        <v>0</v>
      </c>
      <c r="X49" t="b">
        <f>NOT(AND(ISBLANK(DaybyDay[[#This Row],[Appts]]),ISBLANK(DaybyDay[[#This Row],[Service-Actuals]]),ISBLANK(DaybyDay[[#This Row],[Retail-Actuals]])))</f>
        <v>1</v>
      </c>
      <c r="Y49" s="36">
        <f>IF(DaybyDay[[#This Row],[_Space]],IFERROR(
((DaybyDay[[#This Row],[Actual-Rollup]]-DaybyDay[[#This Row],[LY-Rollup]])/DaybyDay[[#This Row],[LY-Rollup]]),0),"")</f>
        <v>0</v>
      </c>
      <c r="Z49"/>
      <c r="AA49" s="37" t="e">
        <f>IF(DaybyDay[[#This Row],[_Space]],DaybyDay[[#This Row],[Ret-Act-RU]]/DaybyDay[[#This Row],[Serv-Act-RU]],"")</f>
        <v>#DIV/0!</v>
      </c>
      <c r="AB49" s="50" t="e">
        <f>IF(DaybyDay[[#This Row],[_Space]],DaybyDay[[#This Row],[RETPEN-Act]]/DaybyDay[[#This Row],[RETPEN-Bud]],"")</f>
        <v>#DIV/0!</v>
      </c>
      <c r="AC49" s="37" t="e">
        <f>IF(DaybyDay[[#This Row],[_Space]],DaybyDay[[#This Row],[Ret-Bud-RU]]/DaybyDay[[#This Row],[Serv-Bud-RU]],"")</f>
        <v>#DIV/0!</v>
      </c>
      <c r="AD49" s="37" t="e">
        <f>IF(DaybyDay[[#This Row],[_Space]],DaybyDay[[#This Row],[Ret-LY-RU]]/DaybyDay[[#This Row],[Serv-LY-RU]],"")</f>
        <v>#DIV/0!</v>
      </c>
      <c r="AE49" s="30">
        <f>WEEKDAY(DaybyDay[[#This Row],[LY-Date]])</f>
        <v>1</v>
      </c>
      <c r="AF49" s="38">
        <f>$E$2+_xlfn.DAYS(DaybyDay[[#This Row],[Date]],minDate)</f>
        <v>42414</v>
      </c>
      <c r="AG49" s="39" t="str" cm="1">
        <f t="array" ref="AG49">IFERROR(INDEX(DaybyDay[],DaybyDay[[#This Row],[FORM_MATCH_HELPER]],8),"")</f>
        <v/>
      </c>
      <c r="AH49" s="39" t="str" cm="1">
        <f t="array" ref="AH49">IFERROR(INDEX(DaybyDay[],DaybyDay[[#This Row],[FORM_MATCH_HELPER]],10),"")</f>
        <v/>
      </c>
      <c r="AI49" s="39" t="str" cm="1">
        <f t="array" ref="AI49">IFERROR(INDEX(DaybyDay[],DaybyDay[[#This Row],[FORM_MATCH_HELPER]],12),"")</f>
        <v/>
      </c>
      <c r="AJ49" s="32">
        <f>IFERROR(DaybyDay[[#This Row],[Serv-LY-RU]]+DaybyDay[[#This Row],[Ret-LY-RU]],"")</f>
        <v>0</v>
      </c>
      <c r="AK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 s="77"/>
      <c r="AM49" s="40" t="str">
        <f>IF(DaybyDay[[#This Row],[Admin Hours]]&gt;0,DaybyDay[[#This Row],[Admin Hours]]*$AM$2+$AM$3,"")</f>
        <v/>
      </c>
      <c r="AN49" s="40">
        <f>SUMIFS(DaybyDay[Est-Admin-Payroll],DaybyDay[Date],"&gt;="&amp;$C$5,DaybyDay[RowYear],"&gt;="&amp;$C$4,DaybyDay[Date],"&lt;="&amp;DaybyDay[[#This Row],[Date]])</f>
        <v>0</v>
      </c>
      <c r="AO49" s="41" t="str">
        <f>IF(AND(DaybyDay[[#This Row],[_Space]],ISNUMBER(DaybyDay[[#This Row],[Admin Hours]])),DaybyDay[[#This Row],[Est-Admin-Payroll]]/(DaybyDay[[#This Row],[Service-Actuals]]+DaybyDay[[#This Row],[Retail-Actuals]]),"")</f>
        <v/>
      </c>
      <c r="AP49" s="41" t="e">
        <f>DaybyDay[[#This Row],[Estimated-Payroll-Rollup]]/DaybyDay[[#This Row],[Simple-Forecast]]</f>
        <v>#DIV/0!</v>
      </c>
      <c r="AQ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 s="77"/>
      <c r="AS49" s="40" t="str">
        <f>IF(DaybyDay[[#This Row],[Retail Hours]]&gt;0,DaybyDay[[#This Row],[Retail Hours]]*$AS$2,"")</f>
        <v/>
      </c>
      <c r="AT49" s="40">
        <f>SUMIFS(DaybyDay[Est-Retail-Payroll],DaybyDay[Date],"&gt;="&amp;$C$5,DaybyDay[RowYear],"&gt;="&amp;$C$4,DaybyDay[Date],"&lt;="&amp;DaybyDay[[#This Row],[Date]])</f>
        <v>0</v>
      </c>
      <c r="AU49" s="82" t="str">
        <f>IF(AND(DaybyDay[[#This Row],[_Space]],ISNUMBER(DaybyDay[[#This Row],[Retail Hours]])),DaybyDay[[#This Row],[Est-Retail-Payroll]]/(DaybyDay[[#This Row],[Retail-Actuals]]),"")</f>
        <v/>
      </c>
      <c r="AV49" s="82" t="e">
        <f>DaybyDay[[#This Row],[Est-Retail-PayrollRU]]/DaybyDay[[#This Row],[Simple-Forecast-Retail]]</f>
        <v>#DIV/0!</v>
      </c>
      <c r="AW49" s="8"/>
    </row>
    <row r="50" spans="3:49" hidden="1" x14ac:dyDescent="0.25">
      <c r="C50" s="26" t="str">
        <f>Tools!$C$1</f>
        <v>Example</v>
      </c>
      <c r="D50" s="27" t="s">
        <v>69</v>
      </c>
      <c r="E50" s="28">
        <v>2017</v>
      </c>
      <c r="F50" s="28">
        <f>MATCH(DaybyDay[[#This Row],[RowMonth]],Table3[SummaryMonth],0)</f>
        <v>2</v>
      </c>
      <c r="G50" s="29" t="e">
        <f>MATCH(DaybyDay[[#This Row],[LY-Date]],DaybyDay[Date],0)</f>
        <v>#N/A</v>
      </c>
      <c r="H50" s="30">
        <f>WEEKDAY(DaybyDay[[#This Row],[Date]])</f>
        <v>2</v>
      </c>
      <c r="I50" s="31">
        <v>42779</v>
      </c>
      <c r="J50" s="74">
        <v>29</v>
      </c>
      <c r="K50" s="32">
        <f>SUMIFS(BudgetSeasonality[365 Seasonality],BudgetSeasonality[MonthAdjustment],DaybyDay[[#This Row],[Date]])*SUMIFS(Budgets[Service-Budget],Budgets[BudgetMonth],DaybyDay[[#This Row],[RowMonth]],Budgets[BudgetYear],DaybyDay[[#This Row],[RowYear]])</f>
        <v>0</v>
      </c>
      <c r="L50" s="75">
        <v>5143.3999999999996</v>
      </c>
      <c r="M50" s="32">
        <f>INDEX(BudgetSeasonality[365 Seasonality],MATCH(DaybyDay[[#This Row],[Date]],BudgetSeasonality[MonthAdjustment],0))*SUMIFS(Budgets[Retail-Budget],Budgets[BudgetMonth],DaybyDay[[#This Row],[RowMonth]],Budgets[BudgetYear],DaybyDay[[#This Row],[RowYear]])</f>
        <v>0</v>
      </c>
      <c r="N50" s="75">
        <v>856.77</v>
      </c>
      <c r="O50" s="33">
        <f>SUMIFS(DaybyDay[Service-Budgets],DaybyDay[Date],"&gt;="&amp;$C$5,DaybyDay[RowYear],"&gt;="&amp;$C$4,DaybyDay[Date],"&lt;="&amp;DaybyDay[[#This Row],[Date]])</f>
        <v>0</v>
      </c>
      <c r="P50" s="33">
        <f>SUMIFS(DaybyDay[Retail-Budgets],DaybyDay[Date],"&gt;="&amp;$C$5,DaybyDay[RowYear],"&gt;="&amp;$C$4,DaybyDay[Date],"&lt;="&amp;DaybyDay[[#This Row],[Date]])</f>
        <v>0</v>
      </c>
      <c r="Q50" s="34">
        <f>SUMIFS(DaybyDay[Service-Actuals],DaybyDay[Date],"&gt;="&amp;$C$5,DaybyDay[RowYear],"&gt;="&amp;$C$4,DaybyDay[Date],"&lt;="&amp;DaybyDay[[#This Row],[Date]])</f>
        <v>0</v>
      </c>
      <c r="R50" s="34">
        <f>SUMIFS(DaybyDay[Retail-Actuals],DaybyDay[Date],"&gt;="&amp;$C$5,DaybyDay[RowYear],"&gt;="&amp;$C$4,DaybyDay[Date],"&lt;="&amp;DaybyDay[[#This Row],[Date]])</f>
        <v>0</v>
      </c>
      <c r="S50" s="35">
        <f>SUMIFS(DaybyDay[Service-LY],DaybyDay[Date],"&gt;="&amp;$C$5,DaybyDay[RowYear],"&gt;="&amp;$C$4,DaybyDay[Date],"&lt;="&amp;DaybyDay[[#This Row],[Date]])</f>
        <v>0</v>
      </c>
      <c r="T50" s="35">
        <f>SUMIFS(DaybyDay[Retail-LY],DaybyDay[Date],"&gt;="&amp;$C$5,DaybyDay[RowYear],"&gt;="&amp;$C$4,DaybyDay[Date],"&lt;="&amp;DaybyDay[[#This Row],[Date]])</f>
        <v>0</v>
      </c>
      <c r="U50" s="32">
        <f>DaybyDay[[#This Row],[Serv-Bud-RU]]+DaybyDay[[#This Row],[Ret-Bud-RU]]</f>
        <v>0</v>
      </c>
      <c r="V50" s="32">
        <f>DaybyDay[[#This Row],[Serv-Act-RU]]+DaybyDay[[#This Row],[Ret-Act-RU]]</f>
        <v>0</v>
      </c>
      <c r="W50" s="36">
        <f>IF(DaybyDay[[#This Row],[_Space]],IFERROR(
((DaybyDay[[#This Row],[Actual-Rollup]]-DaybyDay[[#This Row],[Budget-Rollup]])/DaybyDay[[#This Row],[Budget-Rollup]]),0),"")</f>
        <v>0</v>
      </c>
      <c r="X50" t="b">
        <f>NOT(AND(ISBLANK(DaybyDay[[#This Row],[Appts]]),ISBLANK(DaybyDay[[#This Row],[Service-Actuals]]),ISBLANK(DaybyDay[[#This Row],[Retail-Actuals]])))</f>
        <v>1</v>
      </c>
      <c r="Y50" s="36">
        <f>IF(DaybyDay[[#This Row],[_Space]],IFERROR(
((DaybyDay[[#This Row],[Actual-Rollup]]-DaybyDay[[#This Row],[LY-Rollup]])/DaybyDay[[#This Row],[LY-Rollup]]),0),"")</f>
        <v>0</v>
      </c>
      <c r="Z50"/>
      <c r="AA50" s="37" t="e">
        <f>IF(DaybyDay[[#This Row],[_Space]],DaybyDay[[#This Row],[Ret-Act-RU]]/DaybyDay[[#This Row],[Serv-Act-RU]],"")</f>
        <v>#DIV/0!</v>
      </c>
      <c r="AB50" s="50" t="e">
        <f>IF(DaybyDay[[#This Row],[_Space]],DaybyDay[[#This Row],[RETPEN-Act]]/DaybyDay[[#This Row],[RETPEN-Bud]],"")</f>
        <v>#DIV/0!</v>
      </c>
      <c r="AC50" s="37" t="e">
        <f>IF(DaybyDay[[#This Row],[_Space]],DaybyDay[[#This Row],[Ret-Bud-RU]]/DaybyDay[[#This Row],[Serv-Bud-RU]],"")</f>
        <v>#DIV/0!</v>
      </c>
      <c r="AD50" s="37" t="e">
        <f>IF(DaybyDay[[#This Row],[_Space]],DaybyDay[[#This Row],[Ret-LY-RU]]/DaybyDay[[#This Row],[Serv-LY-RU]],"")</f>
        <v>#DIV/0!</v>
      </c>
      <c r="AE50" s="30">
        <f>WEEKDAY(DaybyDay[[#This Row],[LY-Date]])</f>
        <v>2</v>
      </c>
      <c r="AF50" s="38">
        <f>$E$2+_xlfn.DAYS(DaybyDay[[#This Row],[Date]],minDate)</f>
        <v>42415</v>
      </c>
      <c r="AG50" s="39" t="str" cm="1">
        <f t="array" ref="AG50">IFERROR(INDEX(DaybyDay[],DaybyDay[[#This Row],[FORM_MATCH_HELPER]],8),"")</f>
        <v/>
      </c>
      <c r="AH50" s="39" t="str" cm="1">
        <f t="array" ref="AH50">IFERROR(INDEX(DaybyDay[],DaybyDay[[#This Row],[FORM_MATCH_HELPER]],10),"")</f>
        <v/>
      </c>
      <c r="AI50" s="39" t="str" cm="1">
        <f t="array" ref="AI50">IFERROR(INDEX(DaybyDay[],DaybyDay[[#This Row],[FORM_MATCH_HELPER]],12),"")</f>
        <v/>
      </c>
      <c r="AJ50" s="32">
        <f>IFERROR(DaybyDay[[#This Row],[Serv-LY-RU]]+DaybyDay[[#This Row],[Ret-LY-RU]],"")</f>
        <v>0</v>
      </c>
      <c r="AK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 s="77"/>
      <c r="AM50" s="40" t="str">
        <f>IF(DaybyDay[[#This Row],[Admin Hours]]&gt;0,DaybyDay[[#This Row],[Admin Hours]]*$AM$2+$AM$3,"")</f>
        <v/>
      </c>
      <c r="AN50" s="40">
        <f>SUMIFS(DaybyDay[Est-Admin-Payroll],DaybyDay[Date],"&gt;="&amp;$C$5,DaybyDay[RowYear],"&gt;="&amp;$C$4,DaybyDay[Date],"&lt;="&amp;DaybyDay[[#This Row],[Date]])</f>
        <v>0</v>
      </c>
      <c r="AO50" s="41" t="str">
        <f>IF(AND(DaybyDay[[#This Row],[_Space]],ISNUMBER(DaybyDay[[#This Row],[Admin Hours]])),DaybyDay[[#This Row],[Est-Admin-Payroll]]/(DaybyDay[[#This Row],[Service-Actuals]]+DaybyDay[[#This Row],[Retail-Actuals]]),"")</f>
        <v/>
      </c>
      <c r="AP50" s="41" t="e">
        <f>DaybyDay[[#This Row],[Estimated-Payroll-Rollup]]/DaybyDay[[#This Row],[Simple-Forecast]]</f>
        <v>#DIV/0!</v>
      </c>
      <c r="AQ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 s="77"/>
      <c r="AS50" s="40" t="str">
        <f>IF(DaybyDay[[#This Row],[Retail Hours]]&gt;0,DaybyDay[[#This Row],[Retail Hours]]*$AS$2,"")</f>
        <v/>
      </c>
      <c r="AT50" s="40">
        <f>SUMIFS(DaybyDay[Est-Retail-Payroll],DaybyDay[Date],"&gt;="&amp;$C$5,DaybyDay[RowYear],"&gt;="&amp;$C$4,DaybyDay[Date],"&lt;="&amp;DaybyDay[[#This Row],[Date]])</f>
        <v>0</v>
      </c>
      <c r="AU50" s="82" t="str">
        <f>IF(AND(DaybyDay[[#This Row],[_Space]],ISNUMBER(DaybyDay[[#This Row],[Retail Hours]])),DaybyDay[[#This Row],[Est-Retail-Payroll]]/(DaybyDay[[#This Row],[Retail-Actuals]]),"")</f>
        <v/>
      </c>
      <c r="AV50" s="82" t="e">
        <f>DaybyDay[[#This Row],[Est-Retail-PayrollRU]]/DaybyDay[[#This Row],[Simple-Forecast-Retail]]</f>
        <v>#DIV/0!</v>
      </c>
      <c r="AW50" s="8"/>
    </row>
    <row r="51" spans="3:49" hidden="1" x14ac:dyDescent="0.25">
      <c r="C51" s="26" t="str">
        <f>Tools!$C$1</f>
        <v>Example</v>
      </c>
      <c r="D51" s="27" t="s">
        <v>69</v>
      </c>
      <c r="E51" s="28">
        <v>2017</v>
      </c>
      <c r="F51" s="28">
        <f>MATCH(DaybyDay[[#This Row],[RowMonth]],Table3[SummaryMonth],0)</f>
        <v>2</v>
      </c>
      <c r="G51" s="29" t="e">
        <f>MATCH(DaybyDay[[#This Row],[LY-Date]],DaybyDay[Date],0)</f>
        <v>#N/A</v>
      </c>
      <c r="H51" s="30">
        <f>WEEKDAY(DaybyDay[[#This Row],[Date]])</f>
        <v>3</v>
      </c>
      <c r="I51" s="31">
        <v>42780</v>
      </c>
      <c r="J51" s="74">
        <v>43</v>
      </c>
      <c r="K51" s="32">
        <f>SUMIFS(BudgetSeasonality[365 Seasonality],BudgetSeasonality[MonthAdjustment],DaybyDay[[#This Row],[Date]])*SUMIFS(Budgets[Service-Budget],Budgets[BudgetMonth],DaybyDay[[#This Row],[RowMonth]],Budgets[BudgetYear],DaybyDay[[#This Row],[RowYear]])</f>
        <v>0</v>
      </c>
      <c r="L51" s="75">
        <v>9013.3799999999992</v>
      </c>
      <c r="M51" s="32">
        <f>INDEX(BudgetSeasonality[365 Seasonality],MATCH(DaybyDay[[#This Row],[Date]],BudgetSeasonality[MonthAdjustment],0))*SUMIFS(Budgets[Retail-Budget],Budgets[BudgetMonth],DaybyDay[[#This Row],[RowMonth]],Budgets[BudgetYear],DaybyDay[[#This Row],[RowYear]])</f>
        <v>0</v>
      </c>
      <c r="N51" s="75">
        <v>967</v>
      </c>
      <c r="O51" s="33">
        <f>SUMIFS(DaybyDay[Service-Budgets],DaybyDay[Date],"&gt;="&amp;$C$5,DaybyDay[RowYear],"&gt;="&amp;$C$4,DaybyDay[Date],"&lt;="&amp;DaybyDay[[#This Row],[Date]])</f>
        <v>0</v>
      </c>
      <c r="P51" s="33">
        <f>SUMIFS(DaybyDay[Retail-Budgets],DaybyDay[Date],"&gt;="&amp;$C$5,DaybyDay[RowYear],"&gt;="&amp;$C$4,DaybyDay[Date],"&lt;="&amp;DaybyDay[[#This Row],[Date]])</f>
        <v>0</v>
      </c>
      <c r="Q51" s="34">
        <f>SUMIFS(DaybyDay[Service-Actuals],DaybyDay[Date],"&gt;="&amp;$C$5,DaybyDay[RowYear],"&gt;="&amp;$C$4,DaybyDay[Date],"&lt;="&amp;DaybyDay[[#This Row],[Date]])</f>
        <v>0</v>
      </c>
      <c r="R51" s="34">
        <f>SUMIFS(DaybyDay[Retail-Actuals],DaybyDay[Date],"&gt;="&amp;$C$5,DaybyDay[RowYear],"&gt;="&amp;$C$4,DaybyDay[Date],"&lt;="&amp;DaybyDay[[#This Row],[Date]])</f>
        <v>0</v>
      </c>
      <c r="S51" s="35">
        <f>SUMIFS(DaybyDay[Service-LY],DaybyDay[Date],"&gt;="&amp;$C$5,DaybyDay[RowYear],"&gt;="&amp;$C$4,DaybyDay[Date],"&lt;="&amp;DaybyDay[[#This Row],[Date]])</f>
        <v>0</v>
      </c>
      <c r="T51" s="35">
        <f>SUMIFS(DaybyDay[Retail-LY],DaybyDay[Date],"&gt;="&amp;$C$5,DaybyDay[RowYear],"&gt;="&amp;$C$4,DaybyDay[Date],"&lt;="&amp;DaybyDay[[#This Row],[Date]])</f>
        <v>0</v>
      </c>
      <c r="U51" s="32">
        <f>DaybyDay[[#This Row],[Serv-Bud-RU]]+DaybyDay[[#This Row],[Ret-Bud-RU]]</f>
        <v>0</v>
      </c>
      <c r="V51" s="32">
        <f>DaybyDay[[#This Row],[Serv-Act-RU]]+DaybyDay[[#This Row],[Ret-Act-RU]]</f>
        <v>0</v>
      </c>
      <c r="W51" s="36">
        <f>IF(DaybyDay[[#This Row],[_Space]],IFERROR(
((DaybyDay[[#This Row],[Actual-Rollup]]-DaybyDay[[#This Row],[Budget-Rollup]])/DaybyDay[[#This Row],[Budget-Rollup]]),0),"")</f>
        <v>0</v>
      </c>
      <c r="X51" t="b">
        <f>NOT(AND(ISBLANK(DaybyDay[[#This Row],[Appts]]),ISBLANK(DaybyDay[[#This Row],[Service-Actuals]]),ISBLANK(DaybyDay[[#This Row],[Retail-Actuals]])))</f>
        <v>1</v>
      </c>
      <c r="Y51" s="36">
        <f>IF(DaybyDay[[#This Row],[_Space]],IFERROR(
((DaybyDay[[#This Row],[Actual-Rollup]]-DaybyDay[[#This Row],[LY-Rollup]])/DaybyDay[[#This Row],[LY-Rollup]]),0),"")</f>
        <v>0</v>
      </c>
      <c r="Z51"/>
      <c r="AA51" s="37" t="e">
        <f>IF(DaybyDay[[#This Row],[_Space]],DaybyDay[[#This Row],[Ret-Act-RU]]/DaybyDay[[#This Row],[Serv-Act-RU]],"")</f>
        <v>#DIV/0!</v>
      </c>
      <c r="AB51" s="50" t="e">
        <f>IF(DaybyDay[[#This Row],[_Space]],DaybyDay[[#This Row],[RETPEN-Act]]/DaybyDay[[#This Row],[RETPEN-Bud]],"")</f>
        <v>#DIV/0!</v>
      </c>
      <c r="AC51" s="37" t="e">
        <f>IF(DaybyDay[[#This Row],[_Space]],DaybyDay[[#This Row],[Ret-Bud-RU]]/DaybyDay[[#This Row],[Serv-Bud-RU]],"")</f>
        <v>#DIV/0!</v>
      </c>
      <c r="AD51" s="37" t="e">
        <f>IF(DaybyDay[[#This Row],[_Space]],DaybyDay[[#This Row],[Ret-LY-RU]]/DaybyDay[[#This Row],[Serv-LY-RU]],"")</f>
        <v>#DIV/0!</v>
      </c>
      <c r="AE51" s="30">
        <f>WEEKDAY(DaybyDay[[#This Row],[LY-Date]])</f>
        <v>3</v>
      </c>
      <c r="AF51" s="38">
        <f>$E$2+_xlfn.DAYS(DaybyDay[[#This Row],[Date]],minDate)</f>
        <v>42416</v>
      </c>
      <c r="AG51" s="39" t="str" cm="1">
        <f t="array" ref="AG51">IFERROR(INDEX(DaybyDay[],DaybyDay[[#This Row],[FORM_MATCH_HELPER]],8),"")</f>
        <v/>
      </c>
      <c r="AH51" s="39" t="str" cm="1">
        <f t="array" ref="AH51">IFERROR(INDEX(DaybyDay[],DaybyDay[[#This Row],[FORM_MATCH_HELPER]],10),"")</f>
        <v/>
      </c>
      <c r="AI51" s="39" t="str" cm="1">
        <f t="array" ref="AI51">IFERROR(INDEX(DaybyDay[],DaybyDay[[#This Row],[FORM_MATCH_HELPER]],12),"")</f>
        <v/>
      </c>
      <c r="AJ51" s="32">
        <f>IFERROR(DaybyDay[[#This Row],[Serv-LY-RU]]+DaybyDay[[#This Row],[Ret-LY-RU]],"")</f>
        <v>0</v>
      </c>
      <c r="AK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 s="77"/>
      <c r="AM51" s="40" t="str">
        <f>IF(DaybyDay[[#This Row],[Admin Hours]]&gt;0,DaybyDay[[#This Row],[Admin Hours]]*$AM$2+$AM$3,"")</f>
        <v/>
      </c>
      <c r="AN51" s="40">
        <f>SUMIFS(DaybyDay[Est-Admin-Payroll],DaybyDay[Date],"&gt;="&amp;$C$5,DaybyDay[RowYear],"&gt;="&amp;$C$4,DaybyDay[Date],"&lt;="&amp;DaybyDay[[#This Row],[Date]])</f>
        <v>0</v>
      </c>
      <c r="AO51" s="41" t="str">
        <f>IF(AND(DaybyDay[[#This Row],[_Space]],ISNUMBER(DaybyDay[[#This Row],[Admin Hours]])),DaybyDay[[#This Row],[Est-Admin-Payroll]]/(DaybyDay[[#This Row],[Service-Actuals]]+DaybyDay[[#This Row],[Retail-Actuals]]),"")</f>
        <v/>
      </c>
      <c r="AP51" s="41" t="e">
        <f>DaybyDay[[#This Row],[Estimated-Payroll-Rollup]]/DaybyDay[[#This Row],[Simple-Forecast]]</f>
        <v>#DIV/0!</v>
      </c>
      <c r="AQ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 s="77"/>
      <c r="AS51" s="40" t="str">
        <f>IF(DaybyDay[[#This Row],[Retail Hours]]&gt;0,DaybyDay[[#This Row],[Retail Hours]]*$AS$2,"")</f>
        <v/>
      </c>
      <c r="AT51" s="40">
        <f>SUMIFS(DaybyDay[Est-Retail-Payroll],DaybyDay[Date],"&gt;="&amp;$C$5,DaybyDay[RowYear],"&gt;="&amp;$C$4,DaybyDay[Date],"&lt;="&amp;DaybyDay[[#This Row],[Date]])</f>
        <v>0</v>
      </c>
      <c r="AU51" s="82" t="str">
        <f>IF(AND(DaybyDay[[#This Row],[_Space]],ISNUMBER(DaybyDay[[#This Row],[Retail Hours]])),DaybyDay[[#This Row],[Est-Retail-Payroll]]/(DaybyDay[[#This Row],[Retail-Actuals]]),"")</f>
        <v/>
      </c>
      <c r="AV51" s="82" t="e">
        <f>DaybyDay[[#This Row],[Est-Retail-PayrollRU]]/DaybyDay[[#This Row],[Simple-Forecast-Retail]]</f>
        <v>#DIV/0!</v>
      </c>
      <c r="AW51" s="8"/>
    </row>
    <row r="52" spans="3:49" hidden="1" x14ac:dyDescent="0.25">
      <c r="C52" s="26" t="str">
        <f>Tools!$C$1</f>
        <v>Example</v>
      </c>
      <c r="D52" s="27" t="s">
        <v>69</v>
      </c>
      <c r="E52" s="28">
        <v>2017</v>
      </c>
      <c r="F52" s="28">
        <f>MATCH(DaybyDay[[#This Row],[RowMonth]],Table3[SummaryMonth],0)</f>
        <v>2</v>
      </c>
      <c r="G52" s="29" t="e">
        <f>MATCH(DaybyDay[[#This Row],[LY-Date]],DaybyDay[Date],0)</f>
        <v>#N/A</v>
      </c>
      <c r="H52" s="30">
        <f>WEEKDAY(DaybyDay[[#This Row],[Date]])</f>
        <v>4</v>
      </c>
      <c r="I52" s="31">
        <v>42781</v>
      </c>
      <c r="J52" s="74">
        <v>37</v>
      </c>
      <c r="K52" s="32">
        <f>SUMIFS(BudgetSeasonality[365 Seasonality],BudgetSeasonality[MonthAdjustment],DaybyDay[[#This Row],[Date]])*SUMIFS(Budgets[Service-Budget],Budgets[BudgetMonth],DaybyDay[[#This Row],[RowMonth]],Budgets[BudgetYear],DaybyDay[[#This Row],[RowYear]])</f>
        <v>0</v>
      </c>
      <c r="L52" s="75">
        <v>6035.34</v>
      </c>
      <c r="M52" s="32">
        <f>INDEX(BudgetSeasonality[365 Seasonality],MATCH(DaybyDay[[#This Row],[Date]],BudgetSeasonality[MonthAdjustment],0))*SUMIFS(Budgets[Retail-Budget],Budgets[BudgetMonth],DaybyDay[[#This Row],[RowMonth]],Budgets[BudgetYear],DaybyDay[[#This Row],[RowYear]])</f>
        <v>0</v>
      </c>
      <c r="N52" s="75">
        <v>993.03</v>
      </c>
      <c r="O52" s="33">
        <f>SUMIFS(DaybyDay[Service-Budgets],DaybyDay[Date],"&gt;="&amp;$C$5,DaybyDay[RowYear],"&gt;="&amp;$C$4,DaybyDay[Date],"&lt;="&amp;DaybyDay[[#This Row],[Date]])</f>
        <v>0</v>
      </c>
      <c r="P52" s="33">
        <f>SUMIFS(DaybyDay[Retail-Budgets],DaybyDay[Date],"&gt;="&amp;$C$5,DaybyDay[RowYear],"&gt;="&amp;$C$4,DaybyDay[Date],"&lt;="&amp;DaybyDay[[#This Row],[Date]])</f>
        <v>0</v>
      </c>
      <c r="Q52" s="34">
        <f>SUMIFS(DaybyDay[Service-Actuals],DaybyDay[Date],"&gt;="&amp;$C$5,DaybyDay[RowYear],"&gt;="&amp;$C$4,DaybyDay[Date],"&lt;="&amp;DaybyDay[[#This Row],[Date]])</f>
        <v>0</v>
      </c>
      <c r="R52" s="34">
        <f>SUMIFS(DaybyDay[Retail-Actuals],DaybyDay[Date],"&gt;="&amp;$C$5,DaybyDay[RowYear],"&gt;="&amp;$C$4,DaybyDay[Date],"&lt;="&amp;DaybyDay[[#This Row],[Date]])</f>
        <v>0</v>
      </c>
      <c r="S52" s="35">
        <f>SUMIFS(DaybyDay[Service-LY],DaybyDay[Date],"&gt;="&amp;$C$5,DaybyDay[RowYear],"&gt;="&amp;$C$4,DaybyDay[Date],"&lt;="&amp;DaybyDay[[#This Row],[Date]])</f>
        <v>0</v>
      </c>
      <c r="T52" s="35">
        <f>SUMIFS(DaybyDay[Retail-LY],DaybyDay[Date],"&gt;="&amp;$C$5,DaybyDay[RowYear],"&gt;="&amp;$C$4,DaybyDay[Date],"&lt;="&amp;DaybyDay[[#This Row],[Date]])</f>
        <v>0</v>
      </c>
      <c r="U52" s="32">
        <f>DaybyDay[[#This Row],[Serv-Bud-RU]]+DaybyDay[[#This Row],[Ret-Bud-RU]]</f>
        <v>0</v>
      </c>
      <c r="V52" s="32">
        <f>DaybyDay[[#This Row],[Serv-Act-RU]]+DaybyDay[[#This Row],[Ret-Act-RU]]</f>
        <v>0</v>
      </c>
      <c r="W52" s="36">
        <f>IF(DaybyDay[[#This Row],[_Space]],IFERROR(
((DaybyDay[[#This Row],[Actual-Rollup]]-DaybyDay[[#This Row],[Budget-Rollup]])/DaybyDay[[#This Row],[Budget-Rollup]]),0),"")</f>
        <v>0</v>
      </c>
      <c r="X52" t="b">
        <f>NOT(AND(ISBLANK(DaybyDay[[#This Row],[Appts]]),ISBLANK(DaybyDay[[#This Row],[Service-Actuals]]),ISBLANK(DaybyDay[[#This Row],[Retail-Actuals]])))</f>
        <v>1</v>
      </c>
      <c r="Y52" s="36">
        <f>IF(DaybyDay[[#This Row],[_Space]],IFERROR(
((DaybyDay[[#This Row],[Actual-Rollup]]-DaybyDay[[#This Row],[LY-Rollup]])/DaybyDay[[#This Row],[LY-Rollup]]),0),"")</f>
        <v>0</v>
      </c>
      <c r="Z52"/>
      <c r="AA52" s="37" t="e">
        <f>IF(DaybyDay[[#This Row],[_Space]],DaybyDay[[#This Row],[Ret-Act-RU]]/DaybyDay[[#This Row],[Serv-Act-RU]],"")</f>
        <v>#DIV/0!</v>
      </c>
      <c r="AB52" s="50" t="e">
        <f>IF(DaybyDay[[#This Row],[_Space]],DaybyDay[[#This Row],[RETPEN-Act]]/DaybyDay[[#This Row],[RETPEN-Bud]],"")</f>
        <v>#DIV/0!</v>
      </c>
      <c r="AC52" s="37" t="e">
        <f>IF(DaybyDay[[#This Row],[_Space]],DaybyDay[[#This Row],[Ret-Bud-RU]]/DaybyDay[[#This Row],[Serv-Bud-RU]],"")</f>
        <v>#DIV/0!</v>
      </c>
      <c r="AD52" s="37" t="e">
        <f>IF(DaybyDay[[#This Row],[_Space]],DaybyDay[[#This Row],[Ret-LY-RU]]/DaybyDay[[#This Row],[Serv-LY-RU]],"")</f>
        <v>#DIV/0!</v>
      </c>
      <c r="AE52" s="30">
        <f>WEEKDAY(DaybyDay[[#This Row],[LY-Date]])</f>
        <v>4</v>
      </c>
      <c r="AF52" s="38">
        <f>$E$2+_xlfn.DAYS(DaybyDay[[#This Row],[Date]],minDate)</f>
        <v>42417</v>
      </c>
      <c r="AG52" s="39" t="str" cm="1">
        <f t="array" ref="AG52">IFERROR(INDEX(DaybyDay[],DaybyDay[[#This Row],[FORM_MATCH_HELPER]],8),"")</f>
        <v/>
      </c>
      <c r="AH52" s="39" t="str" cm="1">
        <f t="array" ref="AH52">IFERROR(INDEX(DaybyDay[],DaybyDay[[#This Row],[FORM_MATCH_HELPER]],10),"")</f>
        <v/>
      </c>
      <c r="AI52" s="39" t="str" cm="1">
        <f t="array" ref="AI52">IFERROR(INDEX(DaybyDay[],DaybyDay[[#This Row],[FORM_MATCH_HELPER]],12),"")</f>
        <v/>
      </c>
      <c r="AJ52" s="32">
        <f>IFERROR(DaybyDay[[#This Row],[Serv-LY-RU]]+DaybyDay[[#This Row],[Ret-LY-RU]],"")</f>
        <v>0</v>
      </c>
      <c r="AK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 s="77"/>
      <c r="AM52" s="40" t="str">
        <f>IF(DaybyDay[[#This Row],[Admin Hours]]&gt;0,DaybyDay[[#This Row],[Admin Hours]]*$AM$2+$AM$3,"")</f>
        <v/>
      </c>
      <c r="AN52" s="40">
        <f>SUMIFS(DaybyDay[Est-Admin-Payroll],DaybyDay[Date],"&gt;="&amp;$C$5,DaybyDay[RowYear],"&gt;="&amp;$C$4,DaybyDay[Date],"&lt;="&amp;DaybyDay[[#This Row],[Date]])</f>
        <v>0</v>
      </c>
      <c r="AO52" s="41" t="str">
        <f>IF(AND(DaybyDay[[#This Row],[_Space]],ISNUMBER(DaybyDay[[#This Row],[Admin Hours]])),DaybyDay[[#This Row],[Est-Admin-Payroll]]/(DaybyDay[[#This Row],[Service-Actuals]]+DaybyDay[[#This Row],[Retail-Actuals]]),"")</f>
        <v/>
      </c>
      <c r="AP52" s="41" t="e">
        <f>DaybyDay[[#This Row],[Estimated-Payroll-Rollup]]/DaybyDay[[#This Row],[Simple-Forecast]]</f>
        <v>#DIV/0!</v>
      </c>
      <c r="AQ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 s="77"/>
      <c r="AS52" s="40" t="str">
        <f>IF(DaybyDay[[#This Row],[Retail Hours]]&gt;0,DaybyDay[[#This Row],[Retail Hours]]*$AS$2,"")</f>
        <v/>
      </c>
      <c r="AT52" s="40">
        <f>SUMIFS(DaybyDay[Est-Retail-Payroll],DaybyDay[Date],"&gt;="&amp;$C$5,DaybyDay[RowYear],"&gt;="&amp;$C$4,DaybyDay[Date],"&lt;="&amp;DaybyDay[[#This Row],[Date]])</f>
        <v>0</v>
      </c>
      <c r="AU52" s="82" t="str">
        <f>IF(AND(DaybyDay[[#This Row],[_Space]],ISNUMBER(DaybyDay[[#This Row],[Retail Hours]])),DaybyDay[[#This Row],[Est-Retail-Payroll]]/(DaybyDay[[#This Row],[Retail-Actuals]]),"")</f>
        <v/>
      </c>
      <c r="AV52" s="82" t="e">
        <f>DaybyDay[[#This Row],[Est-Retail-PayrollRU]]/DaybyDay[[#This Row],[Simple-Forecast-Retail]]</f>
        <v>#DIV/0!</v>
      </c>
      <c r="AW52" s="8"/>
    </row>
    <row r="53" spans="3:49" hidden="1" x14ac:dyDescent="0.25">
      <c r="C53" s="26" t="str">
        <f>Tools!$C$1</f>
        <v>Example</v>
      </c>
      <c r="D53" s="27" t="s">
        <v>69</v>
      </c>
      <c r="E53" s="28">
        <v>2017</v>
      </c>
      <c r="F53" s="28">
        <f>MATCH(DaybyDay[[#This Row],[RowMonth]],Table3[SummaryMonth],0)</f>
        <v>2</v>
      </c>
      <c r="G53" s="29" t="e">
        <f>MATCH(DaybyDay[[#This Row],[LY-Date]],DaybyDay[Date],0)</f>
        <v>#N/A</v>
      </c>
      <c r="H53" s="30">
        <f>WEEKDAY(DaybyDay[[#This Row],[Date]])</f>
        <v>5</v>
      </c>
      <c r="I53" s="31">
        <v>42782</v>
      </c>
      <c r="J53" s="74">
        <v>19</v>
      </c>
      <c r="K53" s="32">
        <f>SUMIFS(BudgetSeasonality[365 Seasonality],BudgetSeasonality[MonthAdjustment],DaybyDay[[#This Row],[Date]])*SUMIFS(Budgets[Service-Budget],Budgets[BudgetMonth],DaybyDay[[#This Row],[RowMonth]],Budgets[BudgetYear],DaybyDay[[#This Row],[RowYear]])</f>
        <v>0</v>
      </c>
      <c r="L53" s="75">
        <v>2825.69</v>
      </c>
      <c r="M53" s="32">
        <f>INDEX(BudgetSeasonality[365 Seasonality],MATCH(DaybyDay[[#This Row],[Date]],BudgetSeasonality[MonthAdjustment],0))*SUMIFS(Budgets[Retail-Budget],Budgets[BudgetMonth],DaybyDay[[#This Row],[RowMonth]],Budgets[BudgetYear],DaybyDay[[#This Row],[RowYear]])</f>
        <v>0</v>
      </c>
      <c r="N53" s="75">
        <v>836.8</v>
      </c>
      <c r="O53" s="33">
        <f>SUMIFS(DaybyDay[Service-Budgets],DaybyDay[Date],"&gt;="&amp;$C$5,DaybyDay[RowYear],"&gt;="&amp;$C$4,DaybyDay[Date],"&lt;="&amp;DaybyDay[[#This Row],[Date]])</f>
        <v>0</v>
      </c>
      <c r="P53" s="33">
        <f>SUMIFS(DaybyDay[Retail-Budgets],DaybyDay[Date],"&gt;="&amp;$C$5,DaybyDay[RowYear],"&gt;="&amp;$C$4,DaybyDay[Date],"&lt;="&amp;DaybyDay[[#This Row],[Date]])</f>
        <v>0</v>
      </c>
      <c r="Q53" s="34">
        <f>SUMIFS(DaybyDay[Service-Actuals],DaybyDay[Date],"&gt;="&amp;$C$5,DaybyDay[RowYear],"&gt;="&amp;$C$4,DaybyDay[Date],"&lt;="&amp;DaybyDay[[#This Row],[Date]])</f>
        <v>0</v>
      </c>
      <c r="R53" s="34">
        <f>SUMIFS(DaybyDay[Retail-Actuals],DaybyDay[Date],"&gt;="&amp;$C$5,DaybyDay[RowYear],"&gt;="&amp;$C$4,DaybyDay[Date],"&lt;="&amp;DaybyDay[[#This Row],[Date]])</f>
        <v>0</v>
      </c>
      <c r="S53" s="35">
        <f>SUMIFS(DaybyDay[Service-LY],DaybyDay[Date],"&gt;="&amp;$C$5,DaybyDay[RowYear],"&gt;="&amp;$C$4,DaybyDay[Date],"&lt;="&amp;DaybyDay[[#This Row],[Date]])</f>
        <v>0</v>
      </c>
      <c r="T53" s="35">
        <f>SUMIFS(DaybyDay[Retail-LY],DaybyDay[Date],"&gt;="&amp;$C$5,DaybyDay[RowYear],"&gt;="&amp;$C$4,DaybyDay[Date],"&lt;="&amp;DaybyDay[[#This Row],[Date]])</f>
        <v>0</v>
      </c>
      <c r="U53" s="32">
        <f>DaybyDay[[#This Row],[Serv-Bud-RU]]+DaybyDay[[#This Row],[Ret-Bud-RU]]</f>
        <v>0</v>
      </c>
      <c r="V53" s="32">
        <f>DaybyDay[[#This Row],[Serv-Act-RU]]+DaybyDay[[#This Row],[Ret-Act-RU]]</f>
        <v>0</v>
      </c>
      <c r="W53" s="36">
        <f>IF(DaybyDay[[#This Row],[_Space]],IFERROR(
((DaybyDay[[#This Row],[Actual-Rollup]]-DaybyDay[[#This Row],[Budget-Rollup]])/DaybyDay[[#This Row],[Budget-Rollup]]),0),"")</f>
        <v>0</v>
      </c>
      <c r="X53" t="b">
        <f>NOT(AND(ISBLANK(DaybyDay[[#This Row],[Appts]]),ISBLANK(DaybyDay[[#This Row],[Service-Actuals]]),ISBLANK(DaybyDay[[#This Row],[Retail-Actuals]])))</f>
        <v>1</v>
      </c>
      <c r="Y53" s="36">
        <f>IF(DaybyDay[[#This Row],[_Space]],IFERROR(
((DaybyDay[[#This Row],[Actual-Rollup]]-DaybyDay[[#This Row],[LY-Rollup]])/DaybyDay[[#This Row],[LY-Rollup]]),0),"")</f>
        <v>0</v>
      </c>
      <c r="Z53"/>
      <c r="AA53" s="37" t="e">
        <f>IF(DaybyDay[[#This Row],[_Space]],DaybyDay[[#This Row],[Ret-Act-RU]]/DaybyDay[[#This Row],[Serv-Act-RU]],"")</f>
        <v>#DIV/0!</v>
      </c>
      <c r="AB53" s="50" t="e">
        <f>IF(DaybyDay[[#This Row],[_Space]],DaybyDay[[#This Row],[RETPEN-Act]]/DaybyDay[[#This Row],[RETPEN-Bud]],"")</f>
        <v>#DIV/0!</v>
      </c>
      <c r="AC53" s="37" t="e">
        <f>IF(DaybyDay[[#This Row],[_Space]],DaybyDay[[#This Row],[Ret-Bud-RU]]/DaybyDay[[#This Row],[Serv-Bud-RU]],"")</f>
        <v>#DIV/0!</v>
      </c>
      <c r="AD53" s="37" t="e">
        <f>IF(DaybyDay[[#This Row],[_Space]],DaybyDay[[#This Row],[Ret-LY-RU]]/DaybyDay[[#This Row],[Serv-LY-RU]],"")</f>
        <v>#DIV/0!</v>
      </c>
      <c r="AE53" s="30">
        <f>WEEKDAY(DaybyDay[[#This Row],[LY-Date]])</f>
        <v>5</v>
      </c>
      <c r="AF53" s="38">
        <f>$E$2+_xlfn.DAYS(DaybyDay[[#This Row],[Date]],minDate)</f>
        <v>42418</v>
      </c>
      <c r="AG53" s="39" t="str" cm="1">
        <f t="array" ref="AG53">IFERROR(INDEX(DaybyDay[],DaybyDay[[#This Row],[FORM_MATCH_HELPER]],8),"")</f>
        <v/>
      </c>
      <c r="AH53" s="39" t="str" cm="1">
        <f t="array" ref="AH53">IFERROR(INDEX(DaybyDay[],DaybyDay[[#This Row],[FORM_MATCH_HELPER]],10),"")</f>
        <v/>
      </c>
      <c r="AI53" s="39" t="str" cm="1">
        <f t="array" ref="AI53">IFERROR(INDEX(DaybyDay[],DaybyDay[[#This Row],[FORM_MATCH_HELPER]],12),"")</f>
        <v/>
      </c>
      <c r="AJ53" s="32">
        <f>IFERROR(DaybyDay[[#This Row],[Serv-LY-RU]]+DaybyDay[[#This Row],[Ret-LY-RU]],"")</f>
        <v>0</v>
      </c>
      <c r="AK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 s="77"/>
      <c r="AM53" s="40" t="str">
        <f>IF(DaybyDay[[#This Row],[Admin Hours]]&gt;0,DaybyDay[[#This Row],[Admin Hours]]*$AM$2+$AM$3,"")</f>
        <v/>
      </c>
      <c r="AN53" s="40">
        <f>SUMIFS(DaybyDay[Est-Admin-Payroll],DaybyDay[Date],"&gt;="&amp;$C$5,DaybyDay[RowYear],"&gt;="&amp;$C$4,DaybyDay[Date],"&lt;="&amp;DaybyDay[[#This Row],[Date]])</f>
        <v>0</v>
      </c>
      <c r="AO53" s="41" t="str">
        <f>IF(AND(DaybyDay[[#This Row],[_Space]],ISNUMBER(DaybyDay[[#This Row],[Admin Hours]])),DaybyDay[[#This Row],[Est-Admin-Payroll]]/(DaybyDay[[#This Row],[Service-Actuals]]+DaybyDay[[#This Row],[Retail-Actuals]]),"")</f>
        <v/>
      </c>
      <c r="AP53" s="41" t="e">
        <f>DaybyDay[[#This Row],[Estimated-Payroll-Rollup]]/DaybyDay[[#This Row],[Simple-Forecast]]</f>
        <v>#DIV/0!</v>
      </c>
      <c r="AQ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 s="77"/>
      <c r="AS53" s="40" t="str">
        <f>IF(DaybyDay[[#This Row],[Retail Hours]]&gt;0,DaybyDay[[#This Row],[Retail Hours]]*$AS$2,"")</f>
        <v/>
      </c>
      <c r="AT53" s="40">
        <f>SUMIFS(DaybyDay[Est-Retail-Payroll],DaybyDay[Date],"&gt;="&amp;$C$5,DaybyDay[RowYear],"&gt;="&amp;$C$4,DaybyDay[Date],"&lt;="&amp;DaybyDay[[#This Row],[Date]])</f>
        <v>0</v>
      </c>
      <c r="AU53" s="82" t="str">
        <f>IF(AND(DaybyDay[[#This Row],[_Space]],ISNUMBER(DaybyDay[[#This Row],[Retail Hours]])),DaybyDay[[#This Row],[Est-Retail-Payroll]]/(DaybyDay[[#This Row],[Retail-Actuals]]),"")</f>
        <v/>
      </c>
      <c r="AV53" s="82" t="e">
        <f>DaybyDay[[#This Row],[Est-Retail-PayrollRU]]/DaybyDay[[#This Row],[Simple-Forecast-Retail]]</f>
        <v>#DIV/0!</v>
      </c>
      <c r="AW53" s="8"/>
    </row>
    <row r="54" spans="3:49" hidden="1" x14ac:dyDescent="0.25">
      <c r="C54" s="26" t="str">
        <f>Tools!$C$1</f>
        <v>Example</v>
      </c>
      <c r="D54" s="27" t="s">
        <v>69</v>
      </c>
      <c r="E54" s="28">
        <v>2017</v>
      </c>
      <c r="F54" s="28">
        <f>MATCH(DaybyDay[[#This Row],[RowMonth]],Table3[SummaryMonth],0)</f>
        <v>2</v>
      </c>
      <c r="G54" s="29" t="e">
        <f>MATCH(DaybyDay[[#This Row],[LY-Date]],DaybyDay[Date],0)</f>
        <v>#N/A</v>
      </c>
      <c r="H54" s="30">
        <f>WEEKDAY(DaybyDay[[#This Row],[Date]])</f>
        <v>6</v>
      </c>
      <c r="I54" s="31">
        <v>42783</v>
      </c>
      <c r="J54" s="74">
        <v>45</v>
      </c>
      <c r="K54" s="32">
        <f>SUMIFS(BudgetSeasonality[365 Seasonality],BudgetSeasonality[MonthAdjustment],DaybyDay[[#This Row],[Date]])*SUMIFS(Budgets[Service-Budget],Budgets[BudgetMonth],DaybyDay[[#This Row],[RowMonth]],Budgets[BudgetYear],DaybyDay[[#This Row],[RowYear]])</f>
        <v>0</v>
      </c>
      <c r="L54" s="75">
        <v>6478.45</v>
      </c>
      <c r="M54" s="32">
        <f>INDEX(BudgetSeasonality[365 Seasonality],MATCH(DaybyDay[[#This Row],[Date]],BudgetSeasonality[MonthAdjustment],0))*SUMIFS(Budgets[Retail-Budget],Budgets[BudgetMonth],DaybyDay[[#This Row],[RowMonth]],Budgets[BudgetYear],DaybyDay[[#This Row],[RowYear]])</f>
        <v>0</v>
      </c>
      <c r="N54" s="75">
        <v>1172</v>
      </c>
      <c r="O54" s="33">
        <f>SUMIFS(DaybyDay[Service-Budgets],DaybyDay[Date],"&gt;="&amp;$C$5,DaybyDay[RowYear],"&gt;="&amp;$C$4,DaybyDay[Date],"&lt;="&amp;DaybyDay[[#This Row],[Date]])</f>
        <v>0</v>
      </c>
      <c r="P54" s="33">
        <f>SUMIFS(DaybyDay[Retail-Budgets],DaybyDay[Date],"&gt;="&amp;$C$5,DaybyDay[RowYear],"&gt;="&amp;$C$4,DaybyDay[Date],"&lt;="&amp;DaybyDay[[#This Row],[Date]])</f>
        <v>0</v>
      </c>
      <c r="Q54" s="34">
        <f>SUMIFS(DaybyDay[Service-Actuals],DaybyDay[Date],"&gt;="&amp;$C$5,DaybyDay[RowYear],"&gt;="&amp;$C$4,DaybyDay[Date],"&lt;="&amp;DaybyDay[[#This Row],[Date]])</f>
        <v>0</v>
      </c>
      <c r="R54" s="34">
        <f>SUMIFS(DaybyDay[Retail-Actuals],DaybyDay[Date],"&gt;="&amp;$C$5,DaybyDay[RowYear],"&gt;="&amp;$C$4,DaybyDay[Date],"&lt;="&amp;DaybyDay[[#This Row],[Date]])</f>
        <v>0</v>
      </c>
      <c r="S54" s="35">
        <f>SUMIFS(DaybyDay[Service-LY],DaybyDay[Date],"&gt;="&amp;$C$5,DaybyDay[RowYear],"&gt;="&amp;$C$4,DaybyDay[Date],"&lt;="&amp;DaybyDay[[#This Row],[Date]])</f>
        <v>0</v>
      </c>
      <c r="T54" s="35">
        <f>SUMIFS(DaybyDay[Retail-LY],DaybyDay[Date],"&gt;="&amp;$C$5,DaybyDay[RowYear],"&gt;="&amp;$C$4,DaybyDay[Date],"&lt;="&amp;DaybyDay[[#This Row],[Date]])</f>
        <v>0</v>
      </c>
      <c r="U54" s="32">
        <f>DaybyDay[[#This Row],[Serv-Bud-RU]]+DaybyDay[[#This Row],[Ret-Bud-RU]]</f>
        <v>0</v>
      </c>
      <c r="V54" s="32">
        <f>DaybyDay[[#This Row],[Serv-Act-RU]]+DaybyDay[[#This Row],[Ret-Act-RU]]</f>
        <v>0</v>
      </c>
      <c r="W54" s="36">
        <f>IF(DaybyDay[[#This Row],[_Space]],IFERROR(
((DaybyDay[[#This Row],[Actual-Rollup]]-DaybyDay[[#This Row],[Budget-Rollup]])/DaybyDay[[#This Row],[Budget-Rollup]]),0),"")</f>
        <v>0</v>
      </c>
      <c r="X54" t="b">
        <f>NOT(AND(ISBLANK(DaybyDay[[#This Row],[Appts]]),ISBLANK(DaybyDay[[#This Row],[Service-Actuals]]),ISBLANK(DaybyDay[[#This Row],[Retail-Actuals]])))</f>
        <v>1</v>
      </c>
      <c r="Y54" s="36">
        <f>IF(DaybyDay[[#This Row],[_Space]],IFERROR(
((DaybyDay[[#This Row],[Actual-Rollup]]-DaybyDay[[#This Row],[LY-Rollup]])/DaybyDay[[#This Row],[LY-Rollup]]),0),"")</f>
        <v>0</v>
      </c>
      <c r="Z54"/>
      <c r="AA54" s="37" t="e">
        <f>IF(DaybyDay[[#This Row],[_Space]],DaybyDay[[#This Row],[Ret-Act-RU]]/DaybyDay[[#This Row],[Serv-Act-RU]],"")</f>
        <v>#DIV/0!</v>
      </c>
      <c r="AB54" s="50" t="e">
        <f>IF(DaybyDay[[#This Row],[_Space]],DaybyDay[[#This Row],[RETPEN-Act]]/DaybyDay[[#This Row],[RETPEN-Bud]],"")</f>
        <v>#DIV/0!</v>
      </c>
      <c r="AC54" s="37" t="e">
        <f>IF(DaybyDay[[#This Row],[_Space]],DaybyDay[[#This Row],[Ret-Bud-RU]]/DaybyDay[[#This Row],[Serv-Bud-RU]],"")</f>
        <v>#DIV/0!</v>
      </c>
      <c r="AD54" s="37" t="e">
        <f>IF(DaybyDay[[#This Row],[_Space]],DaybyDay[[#This Row],[Ret-LY-RU]]/DaybyDay[[#This Row],[Serv-LY-RU]],"")</f>
        <v>#DIV/0!</v>
      </c>
      <c r="AE54" s="30">
        <f>WEEKDAY(DaybyDay[[#This Row],[LY-Date]])</f>
        <v>6</v>
      </c>
      <c r="AF54" s="38">
        <f>$E$2+_xlfn.DAYS(DaybyDay[[#This Row],[Date]],minDate)</f>
        <v>42419</v>
      </c>
      <c r="AG54" s="39" t="str" cm="1">
        <f t="array" ref="AG54">IFERROR(INDEX(DaybyDay[],DaybyDay[[#This Row],[FORM_MATCH_HELPER]],8),"")</f>
        <v/>
      </c>
      <c r="AH54" s="39" t="str" cm="1">
        <f t="array" ref="AH54">IFERROR(INDEX(DaybyDay[],DaybyDay[[#This Row],[FORM_MATCH_HELPER]],10),"")</f>
        <v/>
      </c>
      <c r="AI54" s="39" t="str" cm="1">
        <f t="array" ref="AI54">IFERROR(INDEX(DaybyDay[],DaybyDay[[#This Row],[FORM_MATCH_HELPER]],12),"")</f>
        <v/>
      </c>
      <c r="AJ54" s="32">
        <f>IFERROR(DaybyDay[[#This Row],[Serv-LY-RU]]+DaybyDay[[#This Row],[Ret-LY-RU]],"")</f>
        <v>0</v>
      </c>
      <c r="AK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 s="77"/>
      <c r="AM54" s="40" t="str">
        <f>IF(DaybyDay[[#This Row],[Admin Hours]]&gt;0,DaybyDay[[#This Row],[Admin Hours]]*$AM$2+$AM$3,"")</f>
        <v/>
      </c>
      <c r="AN54" s="40">
        <f>SUMIFS(DaybyDay[Est-Admin-Payroll],DaybyDay[Date],"&gt;="&amp;$C$5,DaybyDay[RowYear],"&gt;="&amp;$C$4,DaybyDay[Date],"&lt;="&amp;DaybyDay[[#This Row],[Date]])</f>
        <v>0</v>
      </c>
      <c r="AO54" s="41" t="str">
        <f>IF(AND(DaybyDay[[#This Row],[_Space]],ISNUMBER(DaybyDay[[#This Row],[Admin Hours]])),DaybyDay[[#This Row],[Est-Admin-Payroll]]/(DaybyDay[[#This Row],[Service-Actuals]]+DaybyDay[[#This Row],[Retail-Actuals]]),"")</f>
        <v/>
      </c>
      <c r="AP54" s="41" t="e">
        <f>DaybyDay[[#This Row],[Estimated-Payroll-Rollup]]/DaybyDay[[#This Row],[Simple-Forecast]]</f>
        <v>#DIV/0!</v>
      </c>
      <c r="AQ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 s="77"/>
      <c r="AS54" s="40" t="str">
        <f>IF(DaybyDay[[#This Row],[Retail Hours]]&gt;0,DaybyDay[[#This Row],[Retail Hours]]*$AS$2,"")</f>
        <v/>
      </c>
      <c r="AT54" s="40">
        <f>SUMIFS(DaybyDay[Est-Retail-Payroll],DaybyDay[Date],"&gt;="&amp;$C$5,DaybyDay[RowYear],"&gt;="&amp;$C$4,DaybyDay[Date],"&lt;="&amp;DaybyDay[[#This Row],[Date]])</f>
        <v>0</v>
      </c>
      <c r="AU54" s="82" t="str">
        <f>IF(AND(DaybyDay[[#This Row],[_Space]],ISNUMBER(DaybyDay[[#This Row],[Retail Hours]])),DaybyDay[[#This Row],[Est-Retail-Payroll]]/(DaybyDay[[#This Row],[Retail-Actuals]]),"")</f>
        <v/>
      </c>
      <c r="AV54" s="82" t="e">
        <f>DaybyDay[[#This Row],[Est-Retail-PayrollRU]]/DaybyDay[[#This Row],[Simple-Forecast-Retail]]</f>
        <v>#DIV/0!</v>
      </c>
      <c r="AW54" s="8"/>
    </row>
    <row r="55" spans="3:49" hidden="1" x14ac:dyDescent="0.25">
      <c r="C55" s="26" t="str">
        <f>Tools!$C$1</f>
        <v>Example</v>
      </c>
      <c r="D55" s="27" t="s">
        <v>69</v>
      </c>
      <c r="E55" s="28">
        <v>2017</v>
      </c>
      <c r="F55" s="28">
        <f>MATCH(DaybyDay[[#This Row],[RowMonth]],Table3[SummaryMonth],0)</f>
        <v>2</v>
      </c>
      <c r="G55" s="29" t="e">
        <f>MATCH(DaybyDay[[#This Row],[LY-Date]],DaybyDay[Date],0)</f>
        <v>#N/A</v>
      </c>
      <c r="H55" s="30">
        <f>WEEKDAY(DaybyDay[[#This Row],[Date]])</f>
        <v>7</v>
      </c>
      <c r="I55" s="31">
        <v>42784</v>
      </c>
      <c r="J55" s="74">
        <v>59</v>
      </c>
      <c r="K55" s="32">
        <f>SUMIFS(BudgetSeasonality[365 Seasonality],BudgetSeasonality[MonthAdjustment],DaybyDay[[#This Row],[Date]])*SUMIFS(Budgets[Service-Budget],Budgets[BudgetMonth],DaybyDay[[#This Row],[RowMonth]],Budgets[BudgetYear],DaybyDay[[#This Row],[RowYear]])</f>
        <v>0</v>
      </c>
      <c r="L55" s="75">
        <v>10785.36</v>
      </c>
      <c r="M55" s="32">
        <f>INDEX(BudgetSeasonality[365 Seasonality],MATCH(DaybyDay[[#This Row],[Date]],BudgetSeasonality[MonthAdjustment],0))*SUMIFS(Budgets[Retail-Budget],Budgets[BudgetMonth],DaybyDay[[#This Row],[RowMonth]],Budgets[BudgetYear],DaybyDay[[#This Row],[RowYear]])</f>
        <v>0</v>
      </c>
      <c r="N55" s="75">
        <v>303</v>
      </c>
      <c r="O55" s="33">
        <f>SUMIFS(DaybyDay[Service-Budgets],DaybyDay[Date],"&gt;="&amp;$C$5,DaybyDay[RowYear],"&gt;="&amp;$C$4,DaybyDay[Date],"&lt;="&amp;DaybyDay[[#This Row],[Date]])</f>
        <v>0</v>
      </c>
      <c r="P55" s="33">
        <f>SUMIFS(DaybyDay[Retail-Budgets],DaybyDay[Date],"&gt;="&amp;$C$5,DaybyDay[RowYear],"&gt;="&amp;$C$4,DaybyDay[Date],"&lt;="&amp;DaybyDay[[#This Row],[Date]])</f>
        <v>0</v>
      </c>
      <c r="Q55" s="34">
        <f>SUMIFS(DaybyDay[Service-Actuals],DaybyDay[Date],"&gt;="&amp;$C$5,DaybyDay[RowYear],"&gt;="&amp;$C$4,DaybyDay[Date],"&lt;="&amp;DaybyDay[[#This Row],[Date]])</f>
        <v>0</v>
      </c>
      <c r="R55" s="34">
        <f>SUMIFS(DaybyDay[Retail-Actuals],DaybyDay[Date],"&gt;="&amp;$C$5,DaybyDay[RowYear],"&gt;="&amp;$C$4,DaybyDay[Date],"&lt;="&amp;DaybyDay[[#This Row],[Date]])</f>
        <v>0</v>
      </c>
      <c r="S55" s="35">
        <f>SUMIFS(DaybyDay[Service-LY],DaybyDay[Date],"&gt;="&amp;$C$5,DaybyDay[RowYear],"&gt;="&amp;$C$4,DaybyDay[Date],"&lt;="&amp;DaybyDay[[#This Row],[Date]])</f>
        <v>0</v>
      </c>
      <c r="T55" s="35">
        <f>SUMIFS(DaybyDay[Retail-LY],DaybyDay[Date],"&gt;="&amp;$C$5,DaybyDay[RowYear],"&gt;="&amp;$C$4,DaybyDay[Date],"&lt;="&amp;DaybyDay[[#This Row],[Date]])</f>
        <v>0</v>
      </c>
      <c r="U55" s="32">
        <f>DaybyDay[[#This Row],[Serv-Bud-RU]]+DaybyDay[[#This Row],[Ret-Bud-RU]]</f>
        <v>0</v>
      </c>
      <c r="V55" s="32">
        <f>DaybyDay[[#This Row],[Serv-Act-RU]]+DaybyDay[[#This Row],[Ret-Act-RU]]</f>
        <v>0</v>
      </c>
      <c r="W55" s="36">
        <f>IF(DaybyDay[[#This Row],[_Space]],IFERROR(
((DaybyDay[[#This Row],[Actual-Rollup]]-DaybyDay[[#This Row],[Budget-Rollup]])/DaybyDay[[#This Row],[Budget-Rollup]]),0),"")</f>
        <v>0</v>
      </c>
      <c r="X55" t="b">
        <f>NOT(AND(ISBLANK(DaybyDay[[#This Row],[Appts]]),ISBLANK(DaybyDay[[#This Row],[Service-Actuals]]),ISBLANK(DaybyDay[[#This Row],[Retail-Actuals]])))</f>
        <v>1</v>
      </c>
      <c r="Y55" s="36">
        <f>IF(DaybyDay[[#This Row],[_Space]],IFERROR(
((DaybyDay[[#This Row],[Actual-Rollup]]-DaybyDay[[#This Row],[LY-Rollup]])/DaybyDay[[#This Row],[LY-Rollup]]),0),"")</f>
        <v>0</v>
      </c>
      <c r="Z55"/>
      <c r="AA55" s="37" t="e">
        <f>IF(DaybyDay[[#This Row],[_Space]],DaybyDay[[#This Row],[Ret-Act-RU]]/DaybyDay[[#This Row],[Serv-Act-RU]],"")</f>
        <v>#DIV/0!</v>
      </c>
      <c r="AB55" s="50" t="e">
        <f>IF(DaybyDay[[#This Row],[_Space]],DaybyDay[[#This Row],[RETPEN-Act]]/DaybyDay[[#This Row],[RETPEN-Bud]],"")</f>
        <v>#DIV/0!</v>
      </c>
      <c r="AC55" s="37" t="e">
        <f>IF(DaybyDay[[#This Row],[_Space]],DaybyDay[[#This Row],[Ret-Bud-RU]]/DaybyDay[[#This Row],[Serv-Bud-RU]],"")</f>
        <v>#DIV/0!</v>
      </c>
      <c r="AD55" s="37" t="e">
        <f>IF(DaybyDay[[#This Row],[_Space]],DaybyDay[[#This Row],[Ret-LY-RU]]/DaybyDay[[#This Row],[Serv-LY-RU]],"")</f>
        <v>#DIV/0!</v>
      </c>
      <c r="AE55" s="30">
        <f>WEEKDAY(DaybyDay[[#This Row],[LY-Date]])</f>
        <v>7</v>
      </c>
      <c r="AF55" s="38">
        <f>$E$2+_xlfn.DAYS(DaybyDay[[#This Row],[Date]],minDate)</f>
        <v>42420</v>
      </c>
      <c r="AG55" s="39" t="str" cm="1">
        <f t="array" ref="AG55">IFERROR(INDEX(DaybyDay[],DaybyDay[[#This Row],[FORM_MATCH_HELPER]],8),"")</f>
        <v/>
      </c>
      <c r="AH55" s="39" t="str" cm="1">
        <f t="array" ref="AH55">IFERROR(INDEX(DaybyDay[],DaybyDay[[#This Row],[FORM_MATCH_HELPER]],10),"")</f>
        <v/>
      </c>
      <c r="AI55" s="39" t="str" cm="1">
        <f t="array" ref="AI55">IFERROR(INDEX(DaybyDay[],DaybyDay[[#This Row],[FORM_MATCH_HELPER]],12),"")</f>
        <v/>
      </c>
      <c r="AJ55" s="32">
        <f>IFERROR(DaybyDay[[#This Row],[Serv-LY-RU]]+DaybyDay[[#This Row],[Ret-LY-RU]],"")</f>
        <v>0</v>
      </c>
      <c r="AK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 s="77"/>
      <c r="AM55" s="40" t="str">
        <f>IF(DaybyDay[[#This Row],[Admin Hours]]&gt;0,DaybyDay[[#This Row],[Admin Hours]]*$AM$2+$AM$3,"")</f>
        <v/>
      </c>
      <c r="AN55" s="40">
        <f>SUMIFS(DaybyDay[Est-Admin-Payroll],DaybyDay[Date],"&gt;="&amp;$C$5,DaybyDay[RowYear],"&gt;="&amp;$C$4,DaybyDay[Date],"&lt;="&amp;DaybyDay[[#This Row],[Date]])</f>
        <v>0</v>
      </c>
      <c r="AO55" s="41" t="str">
        <f>IF(AND(DaybyDay[[#This Row],[_Space]],ISNUMBER(DaybyDay[[#This Row],[Admin Hours]])),DaybyDay[[#This Row],[Est-Admin-Payroll]]/(DaybyDay[[#This Row],[Service-Actuals]]+DaybyDay[[#This Row],[Retail-Actuals]]),"")</f>
        <v/>
      </c>
      <c r="AP55" s="41" t="e">
        <f>DaybyDay[[#This Row],[Estimated-Payroll-Rollup]]/DaybyDay[[#This Row],[Simple-Forecast]]</f>
        <v>#DIV/0!</v>
      </c>
      <c r="AQ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 s="77"/>
      <c r="AS55" s="40" t="str">
        <f>IF(DaybyDay[[#This Row],[Retail Hours]]&gt;0,DaybyDay[[#This Row],[Retail Hours]]*$AS$2,"")</f>
        <v/>
      </c>
      <c r="AT55" s="40">
        <f>SUMIFS(DaybyDay[Est-Retail-Payroll],DaybyDay[Date],"&gt;="&amp;$C$5,DaybyDay[RowYear],"&gt;="&amp;$C$4,DaybyDay[Date],"&lt;="&amp;DaybyDay[[#This Row],[Date]])</f>
        <v>0</v>
      </c>
      <c r="AU55" s="82" t="str">
        <f>IF(AND(DaybyDay[[#This Row],[_Space]],ISNUMBER(DaybyDay[[#This Row],[Retail Hours]])),DaybyDay[[#This Row],[Est-Retail-Payroll]]/(DaybyDay[[#This Row],[Retail-Actuals]]),"")</f>
        <v/>
      </c>
      <c r="AV55" s="82" t="e">
        <f>DaybyDay[[#This Row],[Est-Retail-PayrollRU]]/DaybyDay[[#This Row],[Simple-Forecast-Retail]]</f>
        <v>#DIV/0!</v>
      </c>
      <c r="AW55" s="8"/>
    </row>
    <row r="56" spans="3:49" hidden="1" x14ac:dyDescent="0.25">
      <c r="C56" s="26" t="str">
        <f>Tools!$C$1</f>
        <v>Example</v>
      </c>
      <c r="D56" s="27" t="s">
        <v>69</v>
      </c>
      <c r="E56" s="28">
        <v>2017</v>
      </c>
      <c r="F56" s="28">
        <f>MATCH(DaybyDay[[#This Row],[RowMonth]],Table3[SummaryMonth],0)</f>
        <v>2</v>
      </c>
      <c r="G56" s="29" t="e">
        <f>MATCH(DaybyDay[[#This Row],[LY-Date]],DaybyDay[Date],0)</f>
        <v>#N/A</v>
      </c>
      <c r="H56" s="30">
        <f>WEEKDAY(DaybyDay[[#This Row],[Date]])</f>
        <v>1</v>
      </c>
      <c r="I56" s="31">
        <v>42785</v>
      </c>
      <c r="J56" s="74">
        <v>30</v>
      </c>
      <c r="K56" s="32">
        <f>SUMIFS(BudgetSeasonality[365 Seasonality],BudgetSeasonality[MonthAdjustment],DaybyDay[[#This Row],[Date]])*SUMIFS(Budgets[Service-Budget],Budgets[BudgetMonth],DaybyDay[[#This Row],[RowMonth]],Budgets[BudgetYear],DaybyDay[[#This Row],[RowYear]])</f>
        <v>0</v>
      </c>
      <c r="L56" s="75">
        <v>6371.25</v>
      </c>
      <c r="M56" s="32">
        <f>INDEX(BudgetSeasonality[365 Seasonality],MATCH(DaybyDay[[#This Row],[Date]],BudgetSeasonality[MonthAdjustment],0))*SUMIFS(Budgets[Retail-Budget],Budgets[BudgetMonth],DaybyDay[[#This Row],[RowMonth]],Budgets[BudgetYear],DaybyDay[[#This Row],[RowYear]])</f>
        <v>0</v>
      </c>
      <c r="N56" s="75">
        <v>633.6</v>
      </c>
      <c r="O56" s="33">
        <f>SUMIFS(DaybyDay[Service-Budgets],DaybyDay[Date],"&gt;="&amp;$C$5,DaybyDay[RowYear],"&gt;="&amp;$C$4,DaybyDay[Date],"&lt;="&amp;DaybyDay[[#This Row],[Date]])</f>
        <v>0</v>
      </c>
      <c r="P56" s="33">
        <f>SUMIFS(DaybyDay[Retail-Budgets],DaybyDay[Date],"&gt;="&amp;$C$5,DaybyDay[RowYear],"&gt;="&amp;$C$4,DaybyDay[Date],"&lt;="&amp;DaybyDay[[#This Row],[Date]])</f>
        <v>0</v>
      </c>
      <c r="Q56" s="34">
        <f>SUMIFS(DaybyDay[Service-Actuals],DaybyDay[Date],"&gt;="&amp;$C$5,DaybyDay[RowYear],"&gt;="&amp;$C$4,DaybyDay[Date],"&lt;="&amp;DaybyDay[[#This Row],[Date]])</f>
        <v>0</v>
      </c>
      <c r="R56" s="34">
        <f>SUMIFS(DaybyDay[Retail-Actuals],DaybyDay[Date],"&gt;="&amp;$C$5,DaybyDay[RowYear],"&gt;="&amp;$C$4,DaybyDay[Date],"&lt;="&amp;DaybyDay[[#This Row],[Date]])</f>
        <v>0</v>
      </c>
      <c r="S56" s="35">
        <f>SUMIFS(DaybyDay[Service-LY],DaybyDay[Date],"&gt;="&amp;$C$5,DaybyDay[RowYear],"&gt;="&amp;$C$4,DaybyDay[Date],"&lt;="&amp;DaybyDay[[#This Row],[Date]])</f>
        <v>0</v>
      </c>
      <c r="T56" s="35">
        <f>SUMIFS(DaybyDay[Retail-LY],DaybyDay[Date],"&gt;="&amp;$C$5,DaybyDay[RowYear],"&gt;="&amp;$C$4,DaybyDay[Date],"&lt;="&amp;DaybyDay[[#This Row],[Date]])</f>
        <v>0</v>
      </c>
      <c r="U56" s="32">
        <f>DaybyDay[[#This Row],[Serv-Bud-RU]]+DaybyDay[[#This Row],[Ret-Bud-RU]]</f>
        <v>0</v>
      </c>
      <c r="V56" s="32">
        <f>DaybyDay[[#This Row],[Serv-Act-RU]]+DaybyDay[[#This Row],[Ret-Act-RU]]</f>
        <v>0</v>
      </c>
      <c r="W56" s="36">
        <f>IF(DaybyDay[[#This Row],[_Space]],IFERROR(
((DaybyDay[[#This Row],[Actual-Rollup]]-DaybyDay[[#This Row],[Budget-Rollup]])/DaybyDay[[#This Row],[Budget-Rollup]]),0),"")</f>
        <v>0</v>
      </c>
      <c r="X56" t="b">
        <f>NOT(AND(ISBLANK(DaybyDay[[#This Row],[Appts]]),ISBLANK(DaybyDay[[#This Row],[Service-Actuals]]),ISBLANK(DaybyDay[[#This Row],[Retail-Actuals]])))</f>
        <v>1</v>
      </c>
      <c r="Y56" s="36">
        <f>IF(DaybyDay[[#This Row],[_Space]],IFERROR(
((DaybyDay[[#This Row],[Actual-Rollup]]-DaybyDay[[#This Row],[LY-Rollup]])/DaybyDay[[#This Row],[LY-Rollup]]),0),"")</f>
        <v>0</v>
      </c>
      <c r="Z56"/>
      <c r="AA56" s="37" t="e">
        <f>IF(DaybyDay[[#This Row],[_Space]],DaybyDay[[#This Row],[Ret-Act-RU]]/DaybyDay[[#This Row],[Serv-Act-RU]],"")</f>
        <v>#DIV/0!</v>
      </c>
      <c r="AB56" s="50" t="e">
        <f>IF(DaybyDay[[#This Row],[_Space]],DaybyDay[[#This Row],[RETPEN-Act]]/DaybyDay[[#This Row],[RETPEN-Bud]],"")</f>
        <v>#DIV/0!</v>
      </c>
      <c r="AC56" s="37" t="e">
        <f>IF(DaybyDay[[#This Row],[_Space]],DaybyDay[[#This Row],[Ret-Bud-RU]]/DaybyDay[[#This Row],[Serv-Bud-RU]],"")</f>
        <v>#DIV/0!</v>
      </c>
      <c r="AD56" s="37" t="e">
        <f>IF(DaybyDay[[#This Row],[_Space]],DaybyDay[[#This Row],[Ret-LY-RU]]/DaybyDay[[#This Row],[Serv-LY-RU]],"")</f>
        <v>#DIV/0!</v>
      </c>
      <c r="AE56" s="30">
        <f>WEEKDAY(DaybyDay[[#This Row],[LY-Date]])</f>
        <v>1</v>
      </c>
      <c r="AF56" s="38">
        <f>$E$2+_xlfn.DAYS(DaybyDay[[#This Row],[Date]],minDate)</f>
        <v>42421</v>
      </c>
      <c r="AG56" s="39" t="str" cm="1">
        <f t="array" ref="AG56">IFERROR(INDEX(DaybyDay[],DaybyDay[[#This Row],[FORM_MATCH_HELPER]],8),"")</f>
        <v/>
      </c>
      <c r="AH56" s="39" t="str" cm="1">
        <f t="array" ref="AH56">IFERROR(INDEX(DaybyDay[],DaybyDay[[#This Row],[FORM_MATCH_HELPER]],10),"")</f>
        <v/>
      </c>
      <c r="AI56" s="39" t="str" cm="1">
        <f t="array" ref="AI56">IFERROR(INDEX(DaybyDay[],DaybyDay[[#This Row],[FORM_MATCH_HELPER]],12),"")</f>
        <v/>
      </c>
      <c r="AJ56" s="32">
        <f>IFERROR(DaybyDay[[#This Row],[Serv-LY-RU]]+DaybyDay[[#This Row],[Ret-LY-RU]],"")</f>
        <v>0</v>
      </c>
      <c r="AK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 s="77"/>
      <c r="AM56" s="40" t="str">
        <f>IF(DaybyDay[[#This Row],[Admin Hours]]&gt;0,DaybyDay[[#This Row],[Admin Hours]]*$AM$2+$AM$3,"")</f>
        <v/>
      </c>
      <c r="AN56" s="40">
        <f>SUMIFS(DaybyDay[Est-Admin-Payroll],DaybyDay[Date],"&gt;="&amp;$C$5,DaybyDay[RowYear],"&gt;="&amp;$C$4,DaybyDay[Date],"&lt;="&amp;DaybyDay[[#This Row],[Date]])</f>
        <v>0</v>
      </c>
      <c r="AO56" s="41" t="str">
        <f>IF(AND(DaybyDay[[#This Row],[_Space]],ISNUMBER(DaybyDay[[#This Row],[Admin Hours]])),DaybyDay[[#This Row],[Est-Admin-Payroll]]/(DaybyDay[[#This Row],[Service-Actuals]]+DaybyDay[[#This Row],[Retail-Actuals]]),"")</f>
        <v/>
      </c>
      <c r="AP56" s="41" t="e">
        <f>DaybyDay[[#This Row],[Estimated-Payroll-Rollup]]/DaybyDay[[#This Row],[Simple-Forecast]]</f>
        <v>#DIV/0!</v>
      </c>
      <c r="AQ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 s="77"/>
      <c r="AS56" s="40" t="str">
        <f>IF(DaybyDay[[#This Row],[Retail Hours]]&gt;0,DaybyDay[[#This Row],[Retail Hours]]*$AS$2,"")</f>
        <v/>
      </c>
      <c r="AT56" s="40">
        <f>SUMIFS(DaybyDay[Est-Retail-Payroll],DaybyDay[Date],"&gt;="&amp;$C$5,DaybyDay[RowYear],"&gt;="&amp;$C$4,DaybyDay[Date],"&lt;="&amp;DaybyDay[[#This Row],[Date]])</f>
        <v>0</v>
      </c>
      <c r="AU56" s="82" t="str">
        <f>IF(AND(DaybyDay[[#This Row],[_Space]],ISNUMBER(DaybyDay[[#This Row],[Retail Hours]])),DaybyDay[[#This Row],[Est-Retail-Payroll]]/(DaybyDay[[#This Row],[Retail-Actuals]]),"")</f>
        <v/>
      </c>
      <c r="AV56" s="82" t="e">
        <f>DaybyDay[[#This Row],[Est-Retail-PayrollRU]]/DaybyDay[[#This Row],[Simple-Forecast-Retail]]</f>
        <v>#DIV/0!</v>
      </c>
      <c r="AW56" s="8"/>
    </row>
    <row r="57" spans="3:49" hidden="1" x14ac:dyDescent="0.25">
      <c r="C57" s="26" t="str">
        <f>Tools!$C$1</f>
        <v>Example</v>
      </c>
      <c r="D57" s="27" t="s">
        <v>69</v>
      </c>
      <c r="E57" s="28">
        <v>2017</v>
      </c>
      <c r="F57" s="28">
        <f>MATCH(DaybyDay[[#This Row],[RowMonth]],Table3[SummaryMonth],0)</f>
        <v>2</v>
      </c>
      <c r="G57" s="29" t="e">
        <f>MATCH(DaybyDay[[#This Row],[LY-Date]],DaybyDay[Date],0)</f>
        <v>#N/A</v>
      </c>
      <c r="H57" s="30">
        <f>WEEKDAY(DaybyDay[[#This Row],[Date]])</f>
        <v>2</v>
      </c>
      <c r="I57" s="31">
        <v>42786</v>
      </c>
      <c r="J57" s="74">
        <v>43</v>
      </c>
      <c r="K57" s="32">
        <f>SUMIFS(BudgetSeasonality[365 Seasonality],BudgetSeasonality[MonthAdjustment],DaybyDay[[#This Row],[Date]])*SUMIFS(Budgets[Service-Budget],Budgets[BudgetMonth],DaybyDay[[#This Row],[RowMonth]],Budgets[BudgetYear],DaybyDay[[#This Row],[RowYear]])</f>
        <v>0</v>
      </c>
      <c r="L57" s="75">
        <v>8031.12</v>
      </c>
      <c r="M57" s="32">
        <f>INDEX(BudgetSeasonality[365 Seasonality],MATCH(DaybyDay[[#This Row],[Date]],BudgetSeasonality[MonthAdjustment],0))*SUMIFS(Budgets[Retail-Budget],Budgets[BudgetMonth],DaybyDay[[#This Row],[RowMonth]],Budgets[BudgetYear],DaybyDay[[#This Row],[RowYear]])</f>
        <v>0</v>
      </c>
      <c r="N57" s="75">
        <v>531.49</v>
      </c>
      <c r="O57" s="33">
        <f>SUMIFS(DaybyDay[Service-Budgets],DaybyDay[Date],"&gt;="&amp;$C$5,DaybyDay[RowYear],"&gt;="&amp;$C$4,DaybyDay[Date],"&lt;="&amp;DaybyDay[[#This Row],[Date]])</f>
        <v>0</v>
      </c>
      <c r="P57" s="33">
        <f>SUMIFS(DaybyDay[Retail-Budgets],DaybyDay[Date],"&gt;="&amp;$C$5,DaybyDay[RowYear],"&gt;="&amp;$C$4,DaybyDay[Date],"&lt;="&amp;DaybyDay[[#This Row],[Date]])</f>
        <v>0</v>
      </c>
      <c r="Q57" s="34">
        <f>SUMIFS(DaybyDay[Service-Actuals],DaybyDay[Date],"&gt;="&amp;$C$5,DaybyDay[RowYear],"&gt;="&amp;$C$4,DaybyDay[Date],"&lt;="&amp;DaybyDay[[#This Row],[Date]])</f>
        <v>0</v>
      </c>
      <c r="R57" s="34">
        <f>SUMIFS(DaybyDay[Retail-Actuals],DaybyDay[Date],"&gt;="&amp;$C$5,DaybyDay[RowYear],"&gt;="&amp;$C$4,DaybyDay[Date],"&lt;="&amp;DaybyDay[[#This Row],[Date]])</f>
        <v>0</v>
      </c>
      <c r="S57" s="35">
        <f>SUMIFS(DaybyDay[Service-LY],DaybyDay[Date],"&gt;="&amp;$C$5,DaybyDay[RowYear],"&gt;="&amp;$C$4,DaybyDay[Date],"&lt;="&amp;DaybyDay[[#This Row],[Date]])</f>
        <v>0</v>
      </c>
      <c r="T57" s="35">
        <f>SUMIFS(DaybyDay[Retail-LY],DaybyDay[Date],"&gt;="&amp;$C$5,DaybyDay[RowYear],"&gt;="&amp;$C$4,DaybyDay[Date],"&lt;="&amp;DaybyDay[[#This Row],[Date]])</f>
        <v>0</v>
      </c>
      <c r="U57" s="32">
        <f>DaybyDay[[#This Row],[Serv-Bud-RU]]+DaybyDay[[#This Row],[Ret-Bud-RU]]</f>
        <v>0</v>
      </c>
      <c r="V57" s="32">
        <f>DaybyDay[[#This Row],[Serv-Act-RU]]+DaybyDay[[#This Row],[Ret-Act-RU]]</f>
        <v>0</v>
      </c>
      <c r="W57" s="36">
        <f>IF(DaybyDay[[#This Row],[_Space]],IFERROR(
((DaybyDay[[#This Row],[Actual-Rollup]]-DaybyDay[[#This Row],[Budget-Rollup]])/DaybyDay[[#This Row],[Budget-Rollup]]),0),"")</f>
        <v>0</v>
      </c>
      <c r="X57" t="b">
        <f>NOT(AND(ISBLANK(DaybyDay[[#This Row],[Appts]]),ISBLANK(DaybyDay[[#This Row],[Service-Actuals]]),ISBLANK(DaybyDay[[#This Row],[Retail-Actuals]])))</f>
        <v>1</v>
      </c>
      <c r="Y57" s="36">
        <f>IF(DaybyDay[[#This Row],[_Space]],IFERROR(
((DaybyDay[[#This Row],[Actual-Rollup]]-DaybyDay[[#This Row],[LY-Rollup]])/DaybyDay[[#This Row],[LY-Rollup]]),0),"")</f>
        <v>0</v>
      </c>
      <c r="Z57"/>
      <c r="AA57" s="37" t="e">
        <f>IF(DaybyDay[[#This Row],[_Space]],DaybyDay[[#This Row],[Ret-Act-RU]]/DaybyDay[[#This Row],[Serv-Act-RU]],"")</f>
        <v>#DIV/0!</v>
      </c>
      <c r="AB57" s="50" t="e">
        <f>IF(DaybyDay[[#This Row],[_Space]],DaybyDay[[#This Row],[RETPEN-Act]]/DaybyDay[[#This Row],[RETPEN-Bud]],"")</f>
        <v>#DIV/0!</v>
      </c>
      <c r="AC57" s="37" t="e">
        <f>IF(DaybyDay[[#This Row],[_Space]],DaybyDay[[#This Row],[Ret-Bud-RU]]/DaybyDay[[#This Row],[Serv-Bud-RU]],"")</f>
        <v>#DIV/0!</v>
      </c>
      <c r="AD57" s="37" t="e">
        <f>IF(DaybyDay[[#This Row],[_Space]],DaybyDay[[#This Row],[Ret-LY-RU]]/DaybyDay[[#This Row],[Serv-LY-RU]],"")</f>
        <v>#DIV/0!</v>
      </c>
      <c r="AE57" s="30">
        <f>WEEKDAY(DaybyDay[[#This Row],[LY-Date]])</f>
        <v>2</v>
      </c>
      <c r="AF57" s="38">
        <f>$E$2+_xlfn.DAYS(DaybyDay[[#This Row],[Date]],minDate)</f>
        <v>42422</v>
      </c>
      <c r="AG57" s="39" t="str" cm="1">
        <f t="array" ref="AG57">IFERROR(INDEX(DaybyDay[],DaybyDay[[#This Row],[FORM_MATCH_HELPER]],8),"")</f>
        <v/>
      </c>
      <c r="AH57" s="39" t="str" cm="1">
        <f t="array" ref="AH57">IFERROR(INDEX(DaybyDay[],DaybyDay[[#This Row],[FORM_MATCH_HELPER]],10),"")</f>
        <v/>
      </c>
      <c r="AI57" s="39" t="str" cm="1">
        <f t="array" ref="AI57">IFERROR(INDEX(DaybyDay[],DaybyDay[[#This Row],[FORM_MATCH_HELPER]],12),"")</f>
        <v/>
      </c>
      <c r="AJ57" s="32">
        <f>IFERROR(DaybyDay[[#This Row],[Serv-LY-RU]]+DaybyDay[[#This Row],[Ret-LY-RU]],"")</f>
        <v>0</v>
      </c>
      <c r="AK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 s="77"/>
      <c r="AM57" s="40" t="str">
        <f>IF(DaybyDay[[#This Row],[Admin Hours]]&gt;0,DaybyDay[[#This Row],[Admin Hours]]*$AM$2+$AM$3,"")</f>
        <v/>
      </c>
      <c r="AN57" s="40">
        <f>SUMIFS(DaybyDay[Est-Admin-Payroll],DaybyDay[Date],"&gt;="&amp;$C$5,DaybyDay[RowYear],"&gt;="&amp;$C$4,DaybyDay[Date],"&lt;="&amp;DaybyDay[[#This Row],[Date]])</f>
        <v>0</v>
      </c>
      <c r="AO57" s="41" t="str">
        <f>IF(AND(DaybyDay[[#This Row],[_Space]],ISNUMBER(DaybyDay[[#This Row],[Admin Hours]])),DaybyDay[[#This Row],[Est-Admin-Payroll]]/(DaybyDay[[#This Row],[Service-Actuals]]+DaybyDay[[#This Row],[Retail-Actuals]]),"")</f>
        <v/>
      </c>
      <c r="AP57" s="41" t="e">
        <f>DaybyDay[[#This Row],[Estimated-Payroll-Rollup]]/DaybyDay[[#This Row],[Simple-Forecast]]</f>
        <v>#DIV/0!</v>
      </c>
      <c r="AQ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 s="77"/>
      <c r="AS57" s="40" t="str">
        <f>IF(DaybyDay[[#This Row],[Retail Hours]]&gt;0,DaybyDay[[#This Row],[Retail Hours]]*$AS$2,"")</f>
        <v/>
      </c>
      <c r="AT57" s="40">
        <f>SUMIFS(DaybyDay[Est-Retail-Payroll],DaybyDay[Date],"&gt;="&amp;$C$5,DaybyDay[RowYear],"&gt;="&amp;$C$4,DaybyDay[Date],"&lt;="&amp;DaybyDay[[#This Row],[Date]])</f>
        <v>0</v>
      </c>
      <c r="AU57" s="82" t="str">
        <f>IF(AND(DaybyDay[[#This Row],[_Space]],ISNUMBER(DaybyDay[[#This Row],[Retail Hours]])),DaybyDay[[#This Row],[Est-Retail-Payroll]]/(DaybyDay[[#This Row],[Retail-Actuals]]),"")</f>
        <v/>
      </c>
      <c r="AV57" s="82" t="e">
        <f>DaybyDay[[#This Row],[Est-Retail-PayrollRU]]/DaybyDay[[#This Row],[Simple-Forecast-Retail]]</f>
        <v>#DIV/0!</v>
      </c>
      <c r="AW57" s="8"/>
    </row>
    <row r="58" spans="3:49" hidden="1" x14ac:dyDescent="0.25">
      <c r="C58" s="26" t="str">
        <f>Tools!$C$1</f>
        <v>Example</v>
      </c>
      <c r="D58" s="27" t="s">
        <v>69</v>
      </c>
      <c r="E58" s="28">
        <v>2017</v>
      </c>
      <c r="F58" s="28">
        <f>MATCH(DaybyDay[[#This Row],[RowMonth]],Table3[SummaryMonth],0)</f>
        <v>2</v>
      </c>
      <c r="G58" s="29" t="e">
        <f>MATCH(DaybyDay[[#This Row],[LY-Date]],DaybyDay[Date],0)</f>
        <v>#N/A</v>
      </c>
      <c r="H58" s="30">
        <f>WEEKDAY(DaybyDay[[#This Row],[Date]])</f>
        <v>3</v>
      </c>
      <c r="I58" s="31">
        <v>42787</v>
      </c>
      <c r="J58" s="74">
        <v>35</v>
      </c>
      <c r="K58" s="32">
        <f>SUMIFS(BudgetSeasonality[365 Seasonality],BudgetSeasonality[MonthAdjustment],DaybyDay[[#This Row],[Date]])*SUMIFS(Budgets[Service-Budget],Budgets[BudgetMonth],DaybyDay[[#This Row],[RowMonth]],Budgets[BudgetYear],DaybyDay[[#This Row],[RowYear]])</f>
        <v>0</v>
      </c>
      <c r="L58" s="75">
        <v>5148.2</v>
      </c>
      <c r="M58" s="32">
        <f>INDEX(BudgetSeasonality[365 Seasonality],MATCH(DaybyDay[[#This Row],[Date]],BudgetSeasonality[MonthAdjustment],0))*SUMIFS(Budgets[Retail-Budget],Budgets[BudgetMonth],DaybyDay[[#This Row],[RowMonth]],Budgets[BudgetYear],DaybyDay[[#This Row],[RowYear]])</f>
        <v>0</v>
      </c>
      <c r="N58" s="75">
        <v>330.5</v>
      </c>
      <c r="O58" s="33">
        <f>SUMIFS(DaybyDay[Service-Budgets],DaybyDay[Date],"&gt;="&amp;$C$5,DaybyDay[RowYear],"&gt;="&amp;$C$4,DaybyDay[Date],"&lt;="&amp;DaybyDay[[#This Row],[Date]])</f>
        <v>0</v>
      </c>
      <c r="P58" s="33">
        <f>SUMIFS(DaybyDay[Retail-Budgets],DaybyDay[Date],"&gt;="&amp;$C$5,DaybyDay[RowYear],"&gt;="&amp;$C$4,DaybyDay[Date],"&lt;="&amp;DaybyDay[[#This Row],[Date]])</f>
        <v>0</v>
      </c>
      <c r="Q58" s="34">
        <f>SUMIFS(DaybyDay[Service-Actuals],DaybyDay[Date],"&gt;="&amp;$C$5,DaybyDay[RowYear],"&gt;="&amp;$C$4,DaybyDay[Date],"&lt;="&amp;DaybyDay[[#This Row],[Date]])</f>
        <v>0</v>
      </c>
      <c r="R58" s="34">
        <f>SUMIFS(DaybyDay[Retail-Actuals],DaybyDay[Date],"&gt;="&amp;$C$5,DaybyDay[RowYear],"&gt;="&amp;$C$4,DaybyDay[Date],"&lt;="&amp;DaybyDay[[#This Row],[Date]])</f>
        <v>0</v>
      </c>
      <c r="S58" s="35">
        <f>SUMIFS(DaybyDay[Service-LY],DaybyDay[Date],"&gt;="&amp;$C$5,DaybyDay[RowYear],"&gt;="&amp;$C$4,DaybyDay[Date],"&lt;="&amp;DaybyDay[[#This Row],[Date]])</f>
        <v>0</v>
      </c>
      <c r="T58" s="35">
        <f>SUMIFS(DaybyDay[Retail-LY],DaybyDay[Date],"&gt;="&amp;$C$5,DaybyDay[RowYear],"&gt;="&amp;$C$4,DaybyDay[Date],"&lt;="&amp;DaybyDay[[#This Row],[Date]])</f>
        <v>0</v>
      </c>
      <c r="U58" s="32">
        <f>DaybyDay[[#This Row],[Serv-Bud-RU]]+DaybyDay[[#This Row],[Ret-Bud-RU]]</f>
        <v>0</v>
      </c>
      <c r="V58" s="32">
        <f>DaybyDay[[#This Row],[Serv-Act-RU]]+DaybyDay[[#This Row],[Ret-Act-RU]]</f>
        <v>0</v>
      </c>
      <c r="W58" s="36">
        <f>IF(DaybyDay[[#This Row],[_Space]],IFERROR(
((DaybyDay[[#This Row],[Actual-Rollup]]-DaybyDay[[#This Row],[Budget-Rollup]])/DaybyDay[[#This Row],[Budget-Rollup]]),0),"")</f>
        <v>0</v>
      </c>
      <c r="X58" t="b">
        <f>NOT(AND(ISBLANK(DaybyDay[[#This Row],[Appts]]),ISBLANK(DaybyDay[[#This Row],[Service-Actuals]]),ISBLANK(DaybyDay[[#This Row],[Retail-Actuals]])))</f>
        <v>1</v>
      </c>
      <c r="Y58" s="36">
        <f>IF(DaybyDay[[#This Row],[_Space]],IFERROR(
((DaybyDay[[#This Row],[Actual-Rollup]]-DaybyDay[[#This Row],[LY-Rollup]])/DaybyDay[[#This Row],[LY-Rollup]]),0),"")</f>
        <v>0</v>
      </c>
      <c r="Z58"/>
      <c r="AA58" s="37" t="e">
        <f>IF(DaybyDay[[#This Row],[_Space]],DaybyDay[[#This Row],[Ret-Act-RU]]/DaybyDay[[#This Row],[Serv-Act-RU]],"")</f>
        <v>#DIV/0!</v>
      </c>
      <c r="AB58" s="50" t="e">
        <f>IF(DaybyDay[[#This Row],[_Space]],DaybyDay[[#This Row],[RETPEN-Act]]/DaybyDay[[#This Row],[RETPEN-Bud]],"")</f>
        <v>#DIV/0!</v>
      </c>
      <c r="AC58" s="37" t="e">
        <f>IF(DaybyDay[[#This Row],[_Space]],DaybyDay[[#This Row],[Ret-Bud-RU]]/DaybyDay[[#This Row],[Serv-Bud-RU]],"")</f>
        <v>#DIV/0!</v>
      </c>
      <c r="AD58" s="37" t="e">
        <f>IF(DaybyDay[[#This Row],[_Space]],DaybyDay[[#This Row],[Ret-LY-RU]]/DaybyDay[[#This Row],[Serv-LY-RU]],"")</f>
        <v>#DIV/0!</v>
      </c>
      <c r="AE58" s="30">
        <f>WEEKDAY(DaybyDay[[#This Row],[LY-Date]])</f>
        <v>3</v>
      </c>
      <c r="AF58" s="38">
        <f>$E$2+_xlfn.DAYS(DaybyDay[[#This Row],[Date]],minDate)</f>
        <v>42423</v>
      </c>
      <c r="AG58" s="39" t="str" cm="1">
        <f t="array" ref="AG58">IFERROR(INDEX(DaybyDay[],DaybyDay[[#This Row],[FORM_MATCH_HELPER]],8),"")</f>
        <v/>
      </c>
      <c r="AH58" s="39" t="str" cm="1">
        <f t="array" ref="AH58">IFERROR(INDEX(DaybyDay[],DaybyDay[[#This Row],[FORM_MATCH_HELPER]],10),"")</f>
        <v/>
      </c>
      <c r="AI58" s="39" t="str" cm="1">
        <f t="array" ref="AI58">IFERROR(INDEX(DaybyDay[],DaybyDay[[#This Row],[FORM_MATCH_HELPER]],12),"")</f>
        <v/>
      </c>
      <c r="AJ58" s="32">
        <f>IFERROR(DaybyDay[[#This Row],[Serv-LY-RU]]+DaybyDay[[#This Row],[Ret-LY-RU]],"")</f>
        <v>0</v>
      </c>
      <c r="AK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 s="77"/>
      <c r="AM58" s="40" t="str">
        <f>IF(DaybyDay[[#This Row],[Admin Hours]]&gt;0,DaybyDay[[#This Row],[Admin Hours]]*$AM$2+$AM$3,"")</f>
        <v/>
      </c>
      <c r="AN58" s="40">
        <f>SUMIFS(DaybyDay[Est-Admin-Payroll],DaybyDay[Date],"&gt;="&amp;$C$5,DaybyDay[RowYear],"&gt;="&amp;$C$4,DaybyDay[Date],"&lt;="&amp;DaybyDay[[#This Row],[Date]])</f>
        <v>0</v>
      </c>
      <c r="AO58" s="41" t="str">
        <f>IF(AND(DaybyDay[[#This Row],[_Space]],ISNUMBER(DaybyDay[[#This Row],[Admin Hours]])),DaybyDay[[#This Row],[Est-Admin-Payroll]]/(DaybyDay[[#This Row],[Service-Actuals]]+DaybyDay[[#This Row],[Retail-Actuals]]),"")</f>
        <v/>
      </c>
      <c r="AP58" s="41" t="e">
        <f>DaybyDay[[#This Row],[Estimated-Payroll-Rollup]]/DaybyDay[[#This Row],[Simple-Forecast]]</f>
        <v>#DIV/0!</v>
      </c>
      <c r="AQ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 s="77"/>
      <c r="AS58" s="40" t="str">
        <f>IF(DaybyDay[[#This Row],[Retail Hours]]&gt;0,DaybyDay[[#This Row],[Retail Hours]]*$AS$2,"")</f>
        <v/>
      </c>
      <c r="AT58" s="40">
        <f>SUMIFS(DaybyDay[Est-Retail-Payroll],DaybyDay[Date],"&gt;="&amp;$C$5,DaybyDay[RowYear],"&gt;="&amp;$C$4,DaybyDay[Date],"&lt;="&amp;DaybyDay[[#This Row],[Date]])</f>
        <v>0</v>
      </c>
      <c r="AU58" s="82" t="str">
        <f>IF(AND(DaybyDay[[#This Row],[_Space]],ISNUMBER(DaybyDay[[#This Row],[Retail Hours]])),DaybyDay[[#This Row],[Est-Retail-Payroll]]/(DaybyDay[[#This Row],[Retail-Actuals]]),"")</f>
        <v/>
      </c>
      <c r="AV58" s="82" t="e">
        <f>DaybyDay[[#This Row],[Est-Retail-PayrollRU]]/DaybyDay[[#This Row],[Simple-Forecast-Retail]]</f>
        <v>#DIV/0!</v>
      </c>
      <c r="AW58" s="8"/>
    </row>
    <row r="59" spans="3:49" hidden="1" x14ac:dyDescent="0.25">
      <c r="C59" s="26" t="str">
        <f>Tools!$C$1</f>
        <v>Example</v>
      </c>
      <c r="D59" s="27" t="s">
        <v>69</v>
      </c>
      <c r="E59" s="28">
        <v>2017</v>
      </c>
      <c r="F59" s="28">
        <f>MATCH(DaybyDay[[#This Row],[RowMonth]],Table3[SummaryMonth],0)</f>
        <v>2</v>
      </c>
      <c r="G59" s="29" t="e">
        <f>MATCH(DaybyDay[[#This Row],[LY-Date]],DaybyDay[Date],0)</f>
        <v>#N/A</v>
      </c>
      <c r="H59" s="30">
        <f>WEEKDAY(DaybyDay[[#This Row],[Date]])</f>
        <v>4</v>
      </c>
      <c r="I59" s="31">
        <v>42788</v>
      </c>
      <c r="J59" s="74">
        <v>23</v>
      </c>
      <c r="K59" s="32">
        <f>SUMIFS(BudgetSeasonality[365 Seasonality],BudgetSeasonality[MonthAdjustment],DaybyDay[[#This Row],[Date]])*SUMIFS(Budgets[Service-Budget],Budgets[BudgetMonth],DaybyDay[[#This Row],[RowMonth]],Budgets[BudgetYear],DaybyDay[[#This Row],[RowYear]])</f>
        <v>0</v>
      </c>
      <c r="L59" s="75">
        <v>3890</v>
      </c>
      <c r="M59" s="32">
        <f>INDEX(BudgetSeasonality[365 Seasonality],MATCH(DaybyDay[[#This Row],[Date]],BudgetSeasonality[MonthAdjustment],0))*SUMIFS(Budgets[Retail-Budget],Budgets[BudgetMonth],DaybyDay[[#This Row],[RowMonth]],Budgets[BudgetYear],DaybyDay[[#This Row],[RowYear]])</f>
        <v>0</v>
      </c>
      <c r="N59" s="75">
        <v>478.5</v>
      </c>
      <c r="O59" s="33">
        <f>SUMIFS(DaybyDay[Service-Budgets],DaybyDay[Date],"&gt;="&amp;$C$5,DaybyDay[RowYear],"&gt;="&amp;$C$4,DaybyDay[Date],"&lt;="&amp;DaybyDay[[#This Row],[Date]])</f>
        <v>0</v>
      </c>
      <c r="P59" s="33">
        <f>SUMIFS(DaybyDay[Retail-Budgets],DaybyDay[Date],"&gt;="&amp;$C$5,DaybyDay[RowYear],"&gt;="&amp;$C$4,DaybyDay[Date],"&lt;="&amp;DaybyDay[[#This Row],[Date]])</f>
        <v>0</v>
      </c>
      <c r="Q59" s="34">
        <f>SUMIFS(DaybyDay[Service-Actuals],DaybyDay[Date],"&gt;="&amp;$C$5,DaybyDay[RowYear],"&gt;="&amp;$C$4,DaybyDay[Date],"&lt;="&amp;DaybyDay[[#This Row],[Date]])</f>
        <v>0</v>
      </c>
      <c r="R59" s="34">
        <f>SUMIFS(DaybyDay[Retail-Actuals],DaybyDay[Date],"&gt;="&amp;$C$5,DaybyDay[RowYear],"&gt;="&amp;$C$4,DaybyDay[Date],"&lt;="&amp;DaybyDay[[#This Row],[Date]])</f>
        <v>0</v>
      </c>
      <c r="S59" s="35">
        <f>SUMIFS(DaybyDay[Service-LY],DaybyDay[Date],"&gt;="&amp;$C$5,DaybyDay[RowYear],"&gt;="&amp;$C$4,DaybyDay[Date],"&lt;="&amp;DaybyDay[[#This Row],[Date]])</f>
        <v>0</v>
      </c>
      <c r="T59" s="35">
        <f>SUMIFS(DaybyDay[Retail-LY],DaybyDay[Date],"&gt;="&amp;$C$5,DaybyDay[RowYear],"&gt;="&amp;$C$4,DaybyDay[Date],"&lt;="&amp;DaybyDay[[#This Row],[Date]])</f>
        <v>0</v>
      </c>
      <c r="U59" s="32">
        <f>DaybyDay[[#This Row],[Serv-Bud-RU]]+DaybyDay[[#This Row],[Ret-Bud-RU]]</f>
        <v>0</v>
      </c>
      <c r="V59" s="32">
        <f>DaybyDay[[#This Row],[Serv-Act-RU]]+DaybyDay[[#This Row],[Ret-Act-RU]]</f>
        <v>0</v>
      </c>
      <c r="W59" s="36">
        <f>IF(DaybyDay[[#This Row],[_Space]],IFERROR(
((DaybyDay[[#This Row],[Actual-Rollup]]-DaybyDay[[#This Row],[Budget-Rollup]])/DaybyDay[[#This Row],[Budget-Rollup]]),0),"")</f>
        <v>0</v>
      </c>
      <c r="X59" t="b">
        <f>NOT(AND(ISBLANK(DaybyDay[[#This Row],[Appts]]),ISBLANK(DaybyDay[[#This Row],[Service-Actuals]]),ISBLANK(DaybyDay[[#This Row],[Retail-Actuals]])))</f>
        <v>1</v>
      </c>
      <c r="Y59" s="36">
        <f>IF(DaybyDay[[#This Row],[_Space]],IFERROR(
((DaybyDay[[#This Row],[Actual-Rollup]]-DaybyDay[[#This Row],[LY-Rollup]])/DaybyDay[[#This Row],[LY-Rollup]]),0),"")</f>
        <v>0</v>
      </c>
      <c r="Z59"/>
      <c r="AA59" s="37" t="e">
        <f>IF(DaybyDay[[#This Row],[_Space]],DaybyDay[[#This Row],[Ret-Act-RU]]/DaybyDay[[#This Row],[Serv-Act-RU]],"")</f>
        <v>#DIV/0!</v>
      </c>
      <c r="AB59" s="50" t="e">
        <f>IF(DaybyDay[[#This Row],[_Space]],DaybyDay[[#This Row],[RETPEN-Act]]/DaybyDay[[#This Row],[RETPEN-Bud]],"")</f>
        <v>#DIV/0!</v>
      </c>
      <c r="AC59" s="37" t="e">
        <f>IF(DaybyDay[[#This Row],[_Space]],DaybyDay[[#This Row],[Ret-Bud-RU]]/DaybyDay[[#This Row],[Serv-Bud-RU]],"")</f>
        <v>#DIV/0!</v>
      </c>
      <c r="AD59" s="37" t="e">
        <f>IF(DaybyDay[[#This Row],[_Space]],DaybyDay[[#This Row],[Ret-LY-RU]]/DaybyDay[[#This Row],[Serv-LY-RU]],"")</f>
        <v>#DIV/0!</v>
      </c>
      <c r="AE59" s="30">
        <f>WEEKDAY(DaybyDay[[#This Row],[LY-Date]])</f>
        <v>4</v>
      </c>
      <c r="AF59" s="38">
        <f>$E$2+_xlfn.DAYS(DaybyDay[[#This Row],[Date]],minDate)</f>
        <v>42424</v>
      </c>
      <c r="AG59" s="39" t="str" cm="1">
        <f t="array" ref="AG59">IFERROR(INDEX(DaybyDay[],DaybyDay[[#This Row],[FORM_MATCH_HELPER]],8),"")</f>
        <v/>
      </c>
      <c r="AH59" s="39" t="str" cm="1">
        <f t="array" ref="AH59">IFERROR(INDEX(DaybyDay[],DaybyDay[[#This Row],[FORM_MATCH_HELPER]],10),"")</f>
        <v/>
      </c>
      <c r="AI59" s="39" t="str" cm="1">
        <f t="array" ref="AI59">IFERROR(INDEX(DaybyDay[],DaybyDay[[#This Row],[FORM_MATCH_HELPER]],12),"")</f>
        <v/>
      </c>
      <c r="AJ59" s="32">
        <f>IFERROR(DaybyDay[[#This Row],[Serv-LY-RU]]+DaybyDay[[#This Row],[Ret-LY-RU]],"")</f>
        <v>0</v>
      </c>
      <c r="AK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 s="77"/>
      <c r="AM59" s="40" t="str">
        <f>IF(DaybyDay[[#This Row],[Admin Hours]]&gt;0,DaybyDay[[#This Row],[Admin Hours]]*$AM$2+$AM$3,"")</f>
        <v/>
      </c>
      <c r="AN59" s="40">
        <f>SUMIFS(DaybyDay[Est-Admin-Payroll],DaybyDay[Date],"&gt;="&amp;$C$5,DaybyDay[RowYear],"&gt;="&amp;$C$4,DaybyDay[Date],"&lt;="&amp;DaybyDay[[#This Row],[Date]])</f>
        <v>0</v>
      </c>
      <c r="AO59" s="41" t="str">
        <f>IF(AND(DaybyDay[[#This Row],[_Space]],ISNUMBER(DaybyDay[[#This Row],[Admin Hours]])),DaybyDay[[#This Row],[Est-Admin-Payroll]]/(DaybyDay[[#This Row],[Service-Actuals]]+DaybyDay[[#This Row],[Retail-Actuals]]),"")</f>
        <v/>
      </c>
      <c r="AP59" s="41" t="e">
        <f>DaybyDay[[#This Row],[Estimated-Payroll-Rollup]]/DaybyDay[[#This Row],[Simple-Forecast]]</f>
        <v>#DIV/0!</v>
      </c>
      <c r="AQ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 s="77"/>
      <c r="AS59" s="40" t="str">
        <f>IF(DaybyDay[[#This Row],[Retail Hours]]&gt;0,DaybyDay[[#This Row],[Retail Hours]]*$AS$2,"")</f>
        <v/>
      </c>
      <c r="AT59" s="40">
        <f>SUMIFS(DaybyDay[Est-Retail-Payroll],DaybyDay[Date],"&gt;="&amp;$C$5,DaybyDay[RowYear],"&gt;="&amp;$C$4,DaybyDay[Date],"&lt;="&amp;DaybyDay[[#This Row],[Date]])</f>
        <v>0</v>
      </c>
      <c r="AU59" s="82" t="str">
        <f>IF(AND(DaybyDay[[#This Row],[_Space]],ISNUMBER(DaybyDay[[#This Row],[Retail Hours]])),DaybyDay[[#This Row],[Est-Retail-Payroll]]/(DaybyDay[[#This Row],[Retail-Actuals]]),"")</f>
        <v/>
      </c>
      <c r="AV59" s="82" t="e">
        <f>DaybyDay[[#This Row],[Est-Retail-PayrollRU]]/DaybyDay[[#This Row],[Simple-Forecast-Retail]]</f>
        <v>#DIV/0!</v>
      </c>
      <c r="AW59" s="8"/>
    </row>
    <row r="60" spans="3:49" hidden="1" x14ac:dyDescent="0.25">
      <c r="C60" s="26" t="str">
        <f>Tools!$C$1</f>
        <v>Example</v>
      </c>
      <c r="D60" s="27" t="s">
        <v>69</v>
      </c>
      <c r="E60" s="28">
        <v>2017</v>
      </c>
      <c r="F60" s="28">
        <f>MATCH(DaybyDay[[#This Row],[RowMonth]],Table3[SummaryMonth],0)</f>
        <v>2</v>
      </c>
      <c r="G60" s="29" t="e">
        <f>MATCH(DaybyDay[[#This Row],[LY-Date]],DaybyDay[Date],0)</f>
        <v>#N/A</v>
      </c>
      <c r="H60" s="30">
        <f>WEEKDAY(DaybyDay[[#This Row],[Date]])</f>
        <v>5</v>
      </c>
      <c r="I60" s="31">
        <v>42789</v>
      </c>
      <c r="J60" s="74">
        <v>30</v>
      </c>
      <c r="K60" s="32">
        <f>SUMIFS(BudgetSeasonality[365 Seasonality],BudgetSeasonality[MonthAdjustment],DaybyDay[[#This Row],[Date]])*SUMIFS(Budgets[Service-Budget],Budgets[BudgetMonth],DaybyDay[[#This Row],[RowMonth]],Budgets[BudgetYear],DaybyDay[[#This Row],[RowYear]])</f>
        <v>0</v>
      </c>
      <c r="L60" s="75">
        <v>4380.1899999999996</v>
      </c>
      <c r="M60" s="32">
        <f>INDEX(BudgetSeasonality[365 Seasonality],MATCH(DaybyDay[[#This Row],[Date]],BudgetSeasonality[MonthAdjustment],0))*SUMIFS(Budgets[Retail-Budget],Budgets[BudgetMonth],DaybyDay[[#This Row],[RowMonth]],Budgets[BudgetYear],DaybyDay[[#This Row],[RowYear]])</f>
        <v>0</v>
      </c>
      <c r="N60" s="75">
        <v>508.15</v>
      </c>
      <c r="O60" s="33">
        <f>SUMIFS(DaybyDay[Service-Budgets],DaybyDay[Date],"&gt;="&amp;$C$5,DaybyDay[RowYear],"&gt;="&amp;$C$4,DaybyDay[Date],"&lt;="&amp;DaybyDay[[#This Row],[Date]])</f>
        <v>0</v>
      </c>
      <c r="P60" s="33">
        <f>SUMIFS(DaybyDay[Retail-Budgets],DaybyDay[Date],"&gt;="&amp;$C$5,DaybyDay[RowYear],"&gt;="&amp;$C$4,DaybyDay[Date],"&lt;="&amp;DaybyDay[[#This Row],[Date]])</f>
        <v>0</v>
      </c>
      <c r="Q60" s="34">
        <f>SUMIFS(DaybyDay[Service-Actuals],DaybyDay[Date],"&gt;="&amp;$C$5,DaybyDay[RowYear],"&gt;="&amp;$C$4,DaybyDay[Date],"&lt;="&amp;DaybyDay[[#This Row],[Date]])</f>
        <v>0</v>
      </c>
      <c r="R60" s="34">
        <f>SUMIFS(DaybyDay[Retail-Actuals],DaybyDay[Date],"&gt;="&amp;$C$5,DaybyDay[RowYear],"&gt;="&amp;$C$4,DaybyDay[Date],"&lt;="&amp;DaybyDay[[#This Row],[Date]])</f>
        <v>0</v>
      </c>
      <c r="S60" s="35">
        <f>SUMIFS(DaybyDay[Service-LY],DaybyDay[Date],"&gt;="&amp;$C$5,DaybyDay[RowYear],"&gt;="&amp;$C$4,DaybyDay[Date],"&lt;="&amp;DaybyDay[[#This Row],[Date]])</f>
        <v>0</v>
      </c>
      <c r="T60" s="35">
        <f>SUMIFS(DaybyDay[Retail-LY],DaybyDay[Date],"&gt;="&amp;$C$5,DaybyDay[RowYear],"&gt;="&amp;$C$4,DaybyDay[Date],"&lt;="&amp;DaybyDay[[#This Row],[Date]])</f>
        <v>0</v>
      </c>
      <c r="U60" s="32">
        <f>DaybyDay[[#This Row],[Serv-Bud-RU]]+DaybyDay[[#This Row],[Ret-Bud-RU]]</f>
        <v>0</v>
      </c>
      <c r="V60" s="32">
        <f>DaybyDay[[#This Row],[Serv-Act-RU]]+DaybyDay[[#This Row],[Ret-Act-RU]]</f>
        <v>0</v>
      </c>
      <c r="W60" s="36">
        <f>IF(DaybyDay[[#This Row],[_Space]],IFERROR(
((DaybyDay[[#This Row],[Actual-Rollup]]-DaybyDay[[#This Row],[Budget-Rollup]])/DaybyDay[[#This Row],[Budget-Rollup]]),0),"")</f>
        <v>0</v>
      </c>
      <c r="X60" t="b">
        <f>NOT(AND(ISBLANK(DaybyDay[[#This Row],[Appts]]),ISBLANK(DaybyDay[[#This Row],[Service-Actuals]]),ISBLANK(DaybyDay[[#This Row],[Retail-Actuals]])))</f>
        <v>1</v>
      </c>
      <c r="Y60" s="36">
        <f>IF(DaybyDay[[#This Row],[_Space]],IFERROR(
((DaybyDay[[#This Row],[Actual-Rollup]]-DaybyDay[[#This Row],[LY-Rollup]])/DaybyDay[[#This Row],[LY-Rollup]]),0),"")</f>
        <v>0</v>
      </c>
      <c r="Z60"/>
      <c r="AA60" s="37" t="e">
        <f>IF(DaybyDay[[#This Row],[_Space]],DaybyDay[[#This Row],[Ret-Act-RU]]/DaybyDay[[#This Row],[Serv-Act-RU]],"")</f>
        <v>#DIV/0!</v>
      </c>
      <c r="AB60" s="50" t="e">
        <f>IF(DaybyDay[[#This Row],[_Space]],DaybyDay[[#This Row],[RETPEN-Act]]/DaybyDay[[#This Row],[RETPEN-Bud]],"")</f>
        <v>#DIV/0!</v>
      </c>
      <c r="AC60" s="37" t="e">
        <f>IF(DaybyDay[[#This Row],[_Space]],DaybyDay[[#This Row],[Ret-Bud-RU]]/DaybyDay[[#This Row],[Serv-Bud-RU]],"")</f>
        <v>#DIV/0!</v>
      </c>
      <c r="AD60" s="37" t="e">
        <f>IF(DaybyDay[[#This Row],[_Space]],DaybyDay[[#This Row],[Ret-LY-RU]]/DaybyDay[[#This Row],[Serv-LY-RU]],"")</f>
        <v>#DIV/0!</v>
      </c>
      <c r="AE60" s="30">
        <f>WEEKDAY(DaybyDay[[#This Row],[LY-Date]])</f>
        <v>5</v>
      </c>
      <c r="AF60" s="38">
        <f>$E$2+_xlfn.DAYS(DaybyDay[[#This Row],[Date]],minDate)</f>
        <v>42425</v>
      </c>
      <c r="AG60" s="39" t="str" cm="1">
        <f t="array" ref="AG60">IFERROR(INDEX(DaybyDay[],DaybyDay[[#This Row],[FORM_MATCH_HELPER]],8),"")</f>
        <v/>
      </c>
      <c r="AH60" s="39" t="str" cm="1">
        <f t="array" ref="AH60">IFERROR(INDEX(DaybyDay[],DaybyDay[[#This Row],[FORM_MATCH_HELPER]],10),"")</f>
        <v/>
      </c>
      <c r="AI60" s="39" t="str" cm="1">
        <f t="array" ref="AI60">IFERROR(INDEX(DaybyDay[],DaybyDay[[#This Row],[FORM_MATCH_HELPER]],12),"")</f>
        <v/>
      </c>
      <c r="AJ60" s="32">
        <f>IFERROR(DaybyDay[[#This Row],[Serv-LY-RU]]+DaybyDay[[#This Row],[Ret-LY-RU]],"")</f>
        <v>0</v>
      </c>
      <c r="AK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 s="77"/>
      <c r="AM60" s="40" t="str">
        <f>IF(DaybyDay[[#This Row],[Admin Hours]]&gt;0,DaybyDay[[#This Row],[Admin Hours]]*$AM$2+$AM$3,"")</f>
        <v/>
      </c>
      <c r="AN60" s="40">
        <f>SUMIFS(DaybyDay[Est-Admin-Payroll],DaybyDay[Date],"&gt;="&amp;$C$5,DaybyDay[RowYear],"&gt;="&amp;$C$4,DaybyDay[Date],"&lt;="&amp;DaybyDay[[#This Row],[Date]])</f>
        <v>0</v>
      </c>
      <c r="AO60" s="41" t="str">
        <f>IF(AND(DaybyDay[[#This Row],[_Space]],ISNUMBER(DaybyDay[[#This Row],[Admin Hours]])),DaybyDay[[#This Row],[Est-Admin-Payroll]]/(DaybyDay[[#This Row],[Service-Actuals]]+DaybyDay[[#This Row],[Retail-Actuals]]),"")</f>
        <v/>
      </c>
      <c r="AP60" s="41" t="e">
        <f>DaybyDay[[#This Row],[Estimated-Payroll-Rollup]]/DaybyDay[[#This Row],[Simple-Forecast]]</f>
        <v>#DIV/0!</v>
      </c>
      <c r="AQ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 s="77"/>
      <c r="AS60" s="40" t="str">
        <f>IF(DaybyDay[[#This Row],[Retail Hours]]&gt;0,DaybyDay[[#This Row],[Retail Hours]]*$AS$2,"")</f>
        <v/>
      </c>
      <c r="AT60" s="40">
        <f>SUMIFS(DaybyDay[Est-Retail-Payroll],DaybyDay[Date],"&gt;="&amp;$C$5,DaybyDay[RowYear],"&gt;="&amp;$C$4,DaybyDay[Date],"&lt;="&amp;DaybyDay[[#This Row],[Date]])</f>
        <v>0</v>
      </c>
      <c r="AU60" s="82" t="str">
        <f>IF(AND(DaybyDay[[#This Row],[_Space]],ISNUMBER(DaybyDay[[#This Row],[Retail Hours]])),DaybyDay[[#This Row],[Est-Retail-Payroll]]/(DaybyDay[[#This Row],[Retail-Actuals]]),"")</f>
        <v/>
      </c>
      <c r="AV60" s="82" t="e">
        <f>DaybyDay[[#This Row],[Est-Retail-PayrollRU]]/DaybyDay[[#This Row],[Simple-Forecast-Retail]]</f>
        <v>#DIV/0!</v>
      </c>
      <c r="AW60" s="8"/>
    </row>
    <row r="61" spans="3:49" hidden="1" x14ac:dyDescent="0.25">
      <c r="C61" s="26" t="str">
        <f>Tools!$C$1</f>
        <v>Example</v>
      </c>
      <c r="D61" s="27" t="s">
        <v>69</v>
      </c>
      <c r="E61" s="28">
        <v>2017</v>
      </c>
      <c r="F61" s="28">
        <f>MATCH(DaybyDay[[#This Row],[RowMonth]],Table3[SummaryMonth],0)</f>
        <v>2</v>
      </c>
      <c r="G61" s="29" t="e">
        <f>MATCH(DaybyDay[[#This Row],[LY-Date]],DaybyDay[Date],0)</f>
        <v>#N/A</v>
      </c>
      <c r="H61" s="30">
        <f>WEEKDAY(DaybyDay[[#This Row],[Date]])</f>
        <v>6</v>
      </c>
      <c r="I61" s="31">
        <v>42790</v>
      </c>
      <c r="J61" s="74">
        <v>38</v>
      </c>
      <c r="K61" s="32">
        <f>SUMIFS(BudgetSeasonality[365 Seasonality],BudgetSeasonality[MonthAdjustment],DaybyDay[[#This Row],[Date]])*SUMIFS(Budgets[Service-Budget],Budgets[BudgetMonth],DaybyDay[[#This Row],[RowMonth]],Budgets[BudgetYear],DaybyDay[[#This Row],[RowYear]])</f>
        <v>0</v>
      </c>
      <c r="L61" s="75">
        <v>6687.7</v>
      </c>
      <c r="M61" s="32">
        <f>INDEX(BudgetSeasonality[365 Seasonality],MATCH(DaybyDay[[#This Row],[Date]],BudgetSeasonality[MonthAdjustment],0))*SUMIFS(Budgets[Retail-Budget],Budgets[BudgetMonth],DaybyDay[[#This Row],[RowMonth]],Budgets[BudgetYear],DaybyDay[[#This Row],[RowYear]])</f>
        <v>0</v>
      </c>
      <c r="N61" s="75">
        <v>2165.75</v>
      </c>
      <c r="O61" s="33">
        <f>SUMIFS(DaybyDay[Service-Budgets],DaybyDay[Date],"&gt;="&amp;$C$5,DaybyDay[RowYear],"&gt;="&amp;$C$4,DaybyDay[Date],"&lt;="&amp;DaybyDay[[#This Row],[Date]])</f>
        <v>0</v>
      </c>
      <c r="P61" s="33">
        <f>SUMIFS(DaybyDay[Retail-Budgets],DaybyDay[Date],"&gt;="&amp;$C$5,DaybyDay[RowYear],"&gt;="&amp;$C$4,DaybyDay[Date],"&lt;="&amp;DaybyDay[[#This Row],[Date]])</f>
        <v>0</v>
      </c>
      <c r="Q61" s="34">
        <f>SUMIFS(DaybyDay[Service-Actuals],DaybyDay[Date],"&gt;="&amp;$C$5,DaybyDay[RowYear],"&gt;="&amp;$C$4,DaybyDay[Date],"&lt;="&amp;DaybyDay[[#This Row],[Date]])</f>
        <v>0</v>
      </c>
      <c r="R61" s="34">
        <f>SUMIFS(DaybyDay[Retail-Actuals],DaybyDay[Date],"&gt;="&amp;$C$5,DaybyDay[RowYear],"&gt;="&amp;$C$4,DaybyDay[Date],"&lt;="&amp;DaybyDay[[#This Row],[Date]])</f>
        <v>0</v>
      </c>
      <c r="S61" s="35">
        <f>SUMIFS(DaybyDay[Service-LY],DaybyDay[Date],"&gt;="&amp;$C$5,DaybyDay[RowYear],"&gt;="&amp;$C$4,DaybyDay[Date],"&lt;="&amp;DaybyDay[[#This Row],[Date]])</f>
        <v>0</v>
      </c>
      <c r="T61" s="35">
        <f>SUMIFS(DaybyDay[Retail-LY],DaybyDay[Date],"&gt;="&amp;$C$5,DaybyDay[RowYear],"&gt;="&amp;$C$4,DaybyDay[Date],"&lt;="&amp;DaybyDay[[#This Row],[Date]])</f>
        <v>0</v>
      </c>
      <c r="U61" s="32">
        <f>DaybyDay[[#This Row],[Serv-Bud-RU]]+DaybyDay[[#This Row],[Ret-Bud-RU]]</f>
        <v>0</v>
      </c>
      <c r="V61" s="32">
        <f>DaybyDay[[#This Row],[Serv-Act-RU]]+DaybyDay[[#This Row],[Ret-Act-RU]]</f>
        <v>0</v>
      </c>
      <c r="W61" s="36">
        <f>IF(DaybyDay[[#This Row],[_Space]],IFERROR(
((DaybyDay[[#This Row],[Actual-Rollup]]-DaybyDay[[#This Row],[Budget-Rollup]])/DaybyDay[[#This Row],[Budget-Rollup]]),0),"")</f>
        <v>0</v>
      </c>
      <c r="X61" t="b">
        <f>NOT(AND(ISBLANK(DaybyDay[[#This Row],[Appts]]),ISBLANK(DaybyDay[[#This Row],[Service-Actuals]]),ISBLANK(DaybyDay[[#This Row],[Retail-Actuals]])))</f>
        <v>1</v>
      </c>
      <c r="Y61" s="36">
        <f>IF(DaybyDay[[#This Row],[_Space]],IFERROR(
((DaybyDay[[#This Row],[Actual-Rollup]]-DaybyDay[[#This Row],[LY-Rollup]])/DaybyDay[[#This Row],[LY-Rollup]]),0),"")</f>
        <v>0</v>
      </c>
      <c r="Z61"/>
      <c r="AA61" s="37" t="e">
        <f>IF(DaybyDay[[#This Row],[_Space]],DaybyDay[[#This Row],[Ret-Act-RU]]/DaybyDay[[#This Row],[Serv-Act-RU]],"")</f>
        <v>#DIV/0!</v>
      </c>
      <c r="AB61" s="50" t="e">
        <f>IF(DaybyDay[[#This Row],[_Space]],DaybyDay[[#This Row],[RETPEN-Act]]/DaybyDay[[#This Row],[RETPEN-Bud]],"")</f>
        <v>#DIV/0!</v>
      </c>
      <c r="AC61" s="37" t="e">
        <f>IF(DaybyDay[[#This Row],[_Space]],DaybyDay[[#This Row],[Ret-Bud-RU]]/DaybyDay[[#This Row],[Serv-Bud-RU]],"")</f>
        <v>#DIV/0!</v>
      </c>
      <c r="AD61" s="37" t="e">
        <f>IF(DaybyDay[[#This Row],[_Space]],DaybyDay[[#This Row],[Ret-LY-RU]]/DaybyDay[[#This Row],[Serv-LY-RU]],"")</f>
        <v>#DIV/0!</v>
      </c>
      <c r="AE61" s="30">
        <f>WEEKDAY(DaybyDay[[#This Row],[LY-Date]])</f>
        <v>6</v>
      </c>
      <c r="AF61" s="38">
        <f>$E$2+_xlfn.DAYS(DaybyDay[[#This Row],[Date]],minDate)</f>
        <v>42426</v>
      </c>
      <c r="AG61" s="39" t="str" cm="1">
        <f t="array" ref="AG61">IFERROR(INDEX(DaybyDay[],DaybyDay[[#This Row],[FORM_MATCH_HELPER]],8),"")</f>
        <v/>
      </c>
      <c r="AH61" s="39" t="str" cm="1">
        <f t="array" ref="AH61">IFERROR(INDEX(DaybyDay[],DaybyDay[[#This Row],[FORM_MATCH_HELPER]],10),"")</f>
        <v/>
      </c>
      <c r="AI61" s="39" t="str" cm="1">
        <f t="array" ref="AI61">IFERROR(INDEX(DaybyDay[],DaybyDay[[#This Row],[FORM_MATCH_HELPER]],12),"")</f>
        <v/>
      </c>
      <c r="AJ61" s="32">
        <f>IFERROR(DaybyDay[[#This Row],[Serv-LY-RU]]+DaybyDay[[#This Row],[Ret-LY-RU]],"")</f>
        <v>0</v>
      </c>
      <c r="AK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 s="77"/>
      <c r="AM61" s="40" t="str">
        <f>IF(DaybyDay[[#This Row],[Admin Hours]]&gt;0,DaybyDay[[#This Row],[Admin Hours]]*$AM$2+$AM$3,"")</f>
        <v/>
      </c>
      <c r="AN61" s="40">
        <f>SUMIFS(DaybyDay[Est-Admin-Payroll],DaybyDay[Date],"&gt;="&amp;$C$5,DaybyDay[RowYear],"&gt;="&amp;$C$4,DaybyDay[Date],"&lt;="&amp;DaybyDay[[#This Row],[Date]])</f>
        <v>0</v>
      </c>
      <c r="AO61" s="41" t="str">
        <f>IF(AND(DaybyDay[[#This Row],[_Space]],ISNUMBER(DaybyDay[[#This Row],[Admin Hours]])),DaybyDay[[#This Row],[Est-Admin-Payroll]]/(DaybyDay[[#This Row],[Service-Actuals]]+DaybyDay[[#This Row],[Retail-Actuals]]),"")</f>
        <v/>
      </c>
      <c r="AP61" s="41" t="e">
        <f>DaybyDay[[#This Row],[Estimated-Payroll-Rollup]]/DaybyDay[[#This Row],[Simple-Forecast]]</f>
        <v>#DIV/0!</v>
      </c>
      <c r="AQ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 s="77"/>
      <c r="AS61" s="40" t="str">
        <f>IF(DaybyDay[[#This Row],[Retail Hours]]&gt;0,DaybyDay[[#This Row],[Retail Hours]]*$AS$2,"")</f>
        <v/>
      </c>
      <c r="AT61" s="40">
        <f>SUMIFS(DaybyDay[Est-Retail-Payroll],DaybyDay[Date],"&gt;="&amp;$C$5,DaybyDay[RowYear],"&gt;="&amp;$C$4,DaybyDay[Date],"&lt;="&amp;DaybyDay[[#This Row],[Date]])</f>
        <v>0</v>
      </c>
      <c r="AU61" s="82" t="str">
        <f>IF(AND(DaybyDay[[#This Row],[_Space]],ISNUMBER(DaybyDay[[#This Row],[Retail Hours]])),DaybyDay[[#This Row],[Est-Retail-Payroll]]/(DaybyDay[[#This Row],[Retail-Actuals]]),"")</f>
        <v/>
      </c>
      <c r="AV61" s="82" t="e">
        <f>DaybyDay[[#This Row],[Est-Retail-PayrollRU]]/DaybyDay[[#This Row],[Simple-Forecast-Retail]]</f>
        <v>#DIV/0!</v>
      </c>
      <c r="AW61" s="8"/>
    </row>
    <row r="62" spans="3:49" hidden="1" x14ac:dyDescent="0.25">
      <c r="C62" s="26" t="str">
        <f>Tools!$C$1</f>
        <v>Example</v>
      </c>
      <c r="D62" s="27" t="s">
        <v>69</v>
      </c>
      <c r="E62" s="28">
        <v>2017</v>
      </c>
      <c r="F62" s="28">
        <f>MATCH(DaybyDay[[#This Row],[RowMonth]],Table3[SummaryMonth],0)</f>
        <v>2</v>
      </c>
      <c r="G62" s="29" t="e">
        <f>MATCH(DaybyDay[[#This Row],[LY-Date]],DaybyDay[Date],0)</f>
        <v>#N/A</v>
      </c>
      <c r="H62" s="30">
        <f>WEEKDAY(DaybyDay[[#This Row],[Date]])</f>
        <v>7</v>
      </c>
      <c r="I62" s="31">
        <v>42791</v>
      </c>
      <c r="J62" s="74">
        <v>63</v>
      </c>
      <c r="K62" s="32">
        <f>SUMIFS(BudgetSeasonality[365 Seasonality],BudgetSeasonality[MonthAdjustment],DaybyDay[[#This Row],[Date]])*SUMIFS(Budgets[Service-Budget],Budgets[BudgetMonth],DaybyDay[[#This Row],[RowMonth]],Budgets[BudgetYear],DaybyDay[[#This Row],[RowYear]])</f>
        <v>0</v>
      </c>
      <c r="L62" s="75">
        <v>11396.66</v>
      </c>
      <c r="M62" s="32">
        <f>INDEX(BudgetSeasonality[365 Seasonality],MATCH(DaybyDay[[#This Row],[Date]],BudgetSeasonality[MonthAdjustment],0))*SUMIFS(Budgets[Retail-Budget],Budgets[BudgetMonth],DaybyDay[[#This Row],[RowMonth]],Budgets[BudgetYear],DaybyDay[[#This Row],[RowYear]])</f>
        <v>0</v>
      </c>
      <c r="N62" s="75">
        <v>1133.49</v>
      </c>
      <c r="O62" s="33">
        <f>SUMIFS(DaybyDay[Service-Budgets],DaybyDay[Date],"&gt;="&amp;$C$5,DaybyDay[RowYear],"&gt;="&amp;$C$4,DaybyDay[Date],"&lt;="&amp;DaybyDay[[#This Row],[Date]])</f>
        <v>0</v>
      </c>
      <c r="P62" s="33">
        <f>SUMIFS(DaybyDay[Retail-Budgets],DaybyDay[Date],"&gt;="&amp;$C$5,DaybyDay[RowYear],"&gt;="&amp;$C$4,DaybyDay[Date],"&lt;="&amp;DaybyDay[[#This Row],[Date]])</f>
        <v>0</v>
      </c>
      <c r="Q62" s="34">
        <f>SUMIFS(DaybyDay[Service-Actuals],DaybyDay[Date],"&gt;="&amp;$C$5,DaybyDay[RowYear],"&gt;="&amp;$C$4,DaybyDay[Date],"&lt;="&amp;DaybyDay[[#This Row],[Date]])</f>
        <v>0</v>
      </c>
      <c r="R62" s="34">
        <f>SUMIFS(DaybyDay[Retail-Actuals],DaybyDay[Date],"&gt;="&amp;$C$5,DaybyDay[RowYear],"&gt;="&amp;$C$4,DaybyDay[Date],"&lt;="&amp;DaybyDay[[#This Row],[Date]])</f>
        <v>0</v>
      </c>
      <c r="S62" s="35">
        <f>SUMIFS(DaybyDay[Service-LY],DaybyDay[Date],"&gt;="&amp;$C$5,DaybyDay[RowYear],"&gt;="&amp;$C$4,DaybyDay[Date],"&lt;="&amp;DaybyDay[[#This Row],[Date]])</f>
        <v>0</v>
      </c>
      <c r="T62" s="35">
        <f>SUMIFS(DaybyDay[Retail-LY],DaybyDay[Date],"&gt;="&amp;$C$5,DaybyDay[RowYear],"&gt;="&amp;$C$4,DaybyDay[Date],"&lt;="&amp;DaybyDay[[#This Row],[Date]])</f>
        <v>0</v>
      </c>
      <c r="U62" s="32">
        <f>DaybyDay[[#This Row],[Serv-Bud-RU]]+DaybyDay[[#This Row],[Ret-Bud-RU]]</f>
        <v>0</v>
      </c>
      <c r="V62" s="32">
        <f>DaybyDay[[#This Row],[Serv-Act-RU]]+DaybyDay[[#This Row],[Ret-Act-RU]]</f>
        <v>0</v>
      </c>
      <c r="W62" s="36">
        <f>IF(DaybyDay[[#This Row],[_Space]],IFERROR(
((DaybyDay[[#This Row],[Actual-Rollup]]-DaybyDay[[#This Row],[Budget-Rollup]])/DaybyDay[[#This Row],[Budget-Rollup]]),0),"")</f>
        <v>0</v>
      </c>
      <c r="X62" t="b">
        <f>NOT(AND(ISBLANK(DaybyDay[[#This Row],[Appts]]),ISBLANK(DaybyDay[[#This Row],[Service-Actuals]]),ISBLANK(DaybyDay[[#This Row],[Retail-Actuals]])))</f>
        <v>1</v>
      </c>
      <c r="Y62" s="36">
        <f>IF(DaybyDay[[#This Row],[_Space]],IFERROR(
((DaybyDay[[#This Row],[Actual-Rollup]]-DaybyDay[[#This Row],[LY-Rollup]])/DaybyDay[[#This Row],[LY-Rollup]]),0),"")</f>
        <v>0</v>
      </c>
      <c r="Z62"/>
      <c r="AA62" s="37" t="e">
        <f>IF(DaybyDay[[#This Row],[_Space]],DaybyDay[[#This Row],[Ret-Act-RU]]/DaybyDay[[#This Row],[Serv-Act-RU]],"")</f>
        <v>#DIV/0!</v>
      </c>
      <c r="AB62" s="50" t="e">
        <f>IF(DaybyDay[[#This Row],[_Space]],DaybyDay[[#This Row],[RETPEN-Act]]/DaybyDay[[#This Row],[RETPEN-Bud]],"")</f>
        <v>#DIV/0!</v>
      </c>
      <c r="AC62" s="37" t="e">
        <f>IF(DaybyDay[[#This Row],[_Space]],DaybyDay[[#This Row],[Ret-Bud-RU]]/DaybyDay[[#This Row],[Serv-Bud-RU]],"")</f>
        <v>#DIV/0!</v>
      </c>
      <c r="AD62" s="37" t="e">
        <f>IF(DaybyDay[[#This Row],[_Space]],DaybyDay[[#This Row],[Ret-LY-RU]]/DaybyDay[[#This Row],[Serv-LY-RU]],"")</f>
        <v>#DIV/0!</v>
      </c>
      <c r="AE62" s="30">
        <f>WEEKDAY(DaybyDay[[#This Row],[LY-Date]])</f>
        <v>7</v>
      </c>
      <c r="AF62" s="38">
        <f>$E$2+_xlfn.DAYS(DaybyDay[[#This Row],[Date]],minDate)</f>
        <v>42427</v>
      </c>
      <c r="AG62" s="39" t="str" cm="1">
        <f t="array" ref="AG62">IFERROR(INDEX(DaybyDay[],DaybyDay[[#This Row],[FORM_MATCH_HELPER]],8),"")</f>
        <v/>
      </c>
      <c r="AH62" s="39" t="str" cm="1">
        <f t="array" ref="AH62">IFERROR(INDEX(DaybyDay[],DaybyDay[[#This Row],[FORM_MATCH_HELPER]],10),"")</f>
        <v/>
      </c>
      <c r="AI62" s="39" t="str" cm="1">
        <f t="array" ref="AI62">IFERROR(INDEX(DaybyDay[],DaybyDay[[#This Row],[FORM_MATCH_HELPER]],12),"")</f>
        <v/>
      </c>
      <c r="AJ62" s="32">
        <f>IFERROR(DaybyDay[[#This Row],[Serv-LY-RU]]+DaybyDay[[#This Row],[Ret-LY-RU]],"")</f>
        <v>0</v>
      </c>
      <c r="AK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 s="77"/>
      <c r="AM62" s="40" t="str">
        <f>IF(DaybyDay[[#This Row],[Admin Hours]]&gt;0,DaybyDay[[#This Row],[Admin Hours]]*$AM$2+$AM$3,"")</f>
        <v/>
      </c>
      <c r="AN62" s="40">
        <f>SUMIFS(DaybyDay[Est-Admin-Payroll],DaybyDay[Date],"&gt;="&amp;$C$5,DaybyDay[RowYear],"&gt;="&amp;$C$4,DaybyDay[Date],"&lt;="&amp;DaybyDay[[#This Row],[Date]])</f>
        <v>0</v>
      </c>
      <c r="AO62" s="41" t="str">
        <f>IF(AND(DaybyDay[[#This Row],[_Space]],ISNUMBER(DaybyDay[[#This Row],[Admin Hours]])),DaybyDay[[#This Row],[Est-Admin-Payroll]]/(DaybyDay[[#This Row],[Service-Actuals]]+DaybyDay[[#This Row],[Retail-Actuals]]),"")</f>
        <v/>
      </c>
      <c r="AP62" s="41" t="e">
        <f>DaybyDay[[#This Row],[Estimated-Payroll-Rollup]]/DaybyDay[[#This Row],[Simple-Forecast]]</f>
        <v>#DIV/0!</v>
      </c>
      <c r="AQ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 s="77"/>
      <c r="AS62" s="40" t="str">
        <f>IF(DaybyDay[[#This Row],[Retail Hours]]&gt;0,DaybyDay[[#This Row],[Retail Hours]]*$AS$2,"")</f>
        <v/>
      </c>
      <c r="AT62" s="40">
        <f>SUMIFS(DaybyDay[Est-Retail-Payroll],DaybyDay[Date],"&gt;="&amp;$C$5,DaybyDay[RowYear],"&gt;="&amp;$C$4,DaybyDay[Date],"&lt;="&amp;DaybyDay[[#This Row],[Date]])</f>
        <v>0</v>
      </c>
      <c r="AU62" s="82" t="str">
        <f>IF(AND(DaybyDay[[#This Row],[_Space]],ISNUMBER(DaybyDay[[#This Row],[Retail Hours]])),DaybyDay[[#This Row],[Est-Retail-Payroll]]/(DaybyDay[[#This Row],[Retail-Actuals]]),"")</f>
        <v/>
      </c>
      <c r="AV62" s="82" t="e">
        <f>DaybyDay[[#This Row],[Est-Retail-PayrollRU]]/DaybyDay[[#This Row],[Simple-Forecast-Retail]]</f>
        <v>#DIV/0!</v>
      </c>
      <c r="AW62" s="8"/>
    </row>
    <row r="63" spans="3:49" hidden="1" x14ac:dyDescent="0.25">
      <c r="C63" s="26" t="str">
        <f>Tools!$C$1</f>
        <v>Example</v>
      </c>
      <c r="D63" s="27" t="s">
        <v>70</v>
      </c>
      <c r="E63" s="28">
        <v>2017</v>
      </c>
      <c r="F63" s="28">
        <f>MATCH(DaybyDay[[#This Row],[RowMonth]],Table3[SummaryMonth],0)</f>
        <v>3</v>
      </c>
      <c r="G63" s="29" t="e">
        <f>MATCH(DaybyDay[[#This Row],[LY-Date]],DaybyDay[Date],0)</f>
        <v>#N/A</v>
      </c>
      <c r="H63" s="30">
        <f>WEEKDAY(DaybyDay[[#This Row],[Date]])</f>
        <v>1</v>
      </c>
      <c r="I63" s="31">
        <v>42792</v>
      </c>
      <c r="J63" s="74">
        <v>31</v>
      </c>
      <c r="K63" s="32">
        <f>SUMIFS(BudgetSeasonality[365 Seasonality],BudgetSeasonality[MonthAdjustment],DaybyDay[[#This Row],[Date]])*SUMIFS(Budgets[Service-Budget],Budgets[BudgetMonth],DaybyDay[[#This Row],[RowMonth]],Budgets[BudgetYear],DaybyDay[[#This Row],[RowYear]])</f>
        <v>0</v>
      </c>
      <c r="L63" s="75">
        <v>6564.71</v>
      </c>
      <c r="M63" s="32">
        <f>INDEX(BudgetSeasonality[365 Seasonality],MATCH(DaybyDay[[#This Row],[Date]],BudgetSeasonality[MonthAdjustment],0))*SUMIFS(Budgets[Retail-Budget],Budgets[BudgetMonth],DaybyDay[[#This Row],[RowMonth]],Budgets[BudgetYear],DaybyDay[[#This Row],[RowYear]])</f>
        <v>0</v>
      </c>
      <c r="N63" s="75">
        <v>560.45000000000005</v>
      </c>
      <c r="O63" s="33">
        <f>SUMIFS(DaybyDay[Service-Budgets],DaybyDay[Date],"&gt;="&amp;$C$5,DaybyDay[RowYear],"&gt;="&amp;$C$4,DaybyDay[Date],"&lt;="&amp;DaybyDay[[#This Row],[Date]])</f>
        <v>0</v>
      </c>
      <c r="P63" s="33">
        <f>SUMIFS(DaybyDay[Retail-Budgets],DaybyDay[Date],"&gt;="&amp;$C$5,DaybyDay[RowYear],"&gt;="&amp;$C$4,DaybyDay[Date],"&lt;="&amp;DaybyDay[[#This Row],[Date]])</f>
        <v>0</v>
      </c>
      <c r="Q63" s="34">
        <f>SUMIFS(DaybyDay[Service-Actuals],DaybyDay[Date],"&gt;="&amp;$C$5,DaybyDay[RowYear],"&gt;="&amp;$C$4,DaybyDay[Date],"&lt;="&amp;DaybyDay[[#This Row],[Date]])</f>
        <v>0</v>
      </c>
      <c r="R63" s="34">
        <f>SUMIFS(DaybyDay[Retail-Actuals],DaybyDay[Date],"&gt;="&amp;$C$5,DaybyDay[RowYear],"&gt;="&amp;$C$4,DaybyDay[Date],"&lt;="&amp;DaybyDay[[#This Row],[Date]])</f>
        <v>0</v>
      </c>
      <c r="S63" s="35">
        <f>SUMIFS(DaybyDay[Service-LY],DaybyDay[Date],"&gt;="&amp;$C$5,DaybyDay[RowYear],"&gt;="&amp;$C$4,DaybyDay[Date],"&lt;="&amp;DaybyDay[[#This Row],[Date]])</f>
        <v>0</v>
      </c>
      <c r="T63" s="35">
        <f>SUMIFS(DaybyDay[Retail-LY],DaybyDay[Date],"&gt;="&amp;$C$5,DaybyDay[RowYear],"&gt;="&amp;$C$4,DaybyDay[Date],"&lt;="&amp;DaybyDay[[#This Row],[Date]])</f>
        <v>0</v>
      </c>
      <c r="U63" s="32">
        <f>DaybyDay[[#This Row],[Serv-Bud-RU]]+DaybyDay[[#This Row],[Ret-Bud-RU]]</f>
        <v>0</v>
      </c>
      <c r="V63" s="32">
        <f>DaybyDay[[#This Row],[Serv-Act-RU]]+DaybyDay[[#This Row],[Ret-Act-RU]]</f>
        <v>0</v>
      </c>
      <c r="W63" s="36">
        <f>IF(DaybyDay[[#This Row],[_Space]],IFERROR(
((DaybyDay[[#This Row],[Actual-Rollup]]-DaybyDay[[#This Row],[Budget-Rollup]])/DaybyDay[[#This Row],[Budget-Rollup]]),0),"")</f>
        <v>0</v>
      </c>
      <c r="X63" t="b">
        <f>NOT(AND(ISBLANK(DaybyDay[[#This Row],[Appts]]),ISBLANK(DaybyDay[[#This Row],[Service-Actuals]]),ISBLANK(DaybyDay[[#This Row],[Retail-Actuals]])))</f>
        <v>1</v>
      </c>
      <c r="Y63" s="36">
        <f>IF(DaybyDay[[#This Row],[_Space]],IFERROR(
((DaybyDay[[#This Row],[Actual-Rollup]]-DaybyDay[[#This Row],[LY-Rollup]])/DaybyDay[[#This Row],[LY-Rollup]]),0),"")</f>
        <v>0</v>
      </c>
      <c r="Z63"/>
      <c r="AA63" s="37" t="e">
        <f>IF(DaybyDay[[#This Row],[_Space]],DaybyDay[[#This Row],[Ret-Act-RU]]/DaybyDay[[#This Row],[Serv-Act-RU]],"")</f>
        <v>#DIV/0!</v>
      </c>
      <c r="AB63" s="50" t="e">
        <f>IF(DaybyDay[[#This Row],[_Space]],DaybyDay[[#This Row],[RETPEN-Act]]/DaybyDay[[#This Row],[RETPEN-Bud]],"")</f>
        <v>#DIV/0!</v>
      </c>
      <c r="AC63" s="37" t="e">
        <f>IF(DaybyDay[[#This Row],[_Space]],DaybyDay[[#This Row],[Ret-Bud-RU]]/DaybyDay[[#This Row],[Serv-Bud-RU]],"")</f>
        <v>#DIV/0!</v>
      </c>
      <c r="AD63" s="37" t="e">
        <f>IF(DaybyDay[[#This Row],[_Space]],DaybyDay[[#This Row],[Ret-LY-RU]]/DaybyDay[[#This Row],[Serv-LY-RU]],"")</f>
        <v>#DIV/0!</v>
      </c>
      <c r="AE63" s="30">
        <f>WEEKDAY(DaybyDay[[#This Row],[LY-Date]])</f>
        <v>1</v>
      </c>
      <c r="AF63" s="38">
        <f>$E$2+_xlfn.DAYS(DaybyDay[[#This Row],[Date]],minDate)</f>
        <v>42428</v>
      </c>
      <c r="AG63" s="39" t="str" cm="1">
        <f t="array" ref="AG63">IFERROR(INDEX(DaybyDay[],DaybyDay[[#This Row],[FORM_MATCH_HELPER]],8),"")</f>
        <v/>
      </c>
      <c r="AH63" s="39" t="str" cm="1">
        <f t="array" ref="AH63">IFERROR(INDEX(DaybyDay[],DaybyDay[[#This Row],[FORM_MATCH_HELPER]],10),"")</f>
        <v/>
      </c>
      <c r="AI63" s="39" t="str" cm="1">
        <f t="array" ref="AI63">IFERROR(INDEX(DaybyDay[],DaybyDay[[#This Row],[FORM_MATCH_HELPER]],12),"")</f>
        <v/>
      </c>
      <c r="AJ63" s="32">
        <f>IFERROR(DaybyDay[[#This Row],[Serv-LY-RU]]+DaybyDay[[#This Row],[Ret-LY-RU]],"")</f>
        <v>0</v>
      </c>
      <c r="AK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 s="77"/>
      <c r="AM63" s="40" t="str">
        <f>IF(DaybyDay[[#This Row],[Admin Hours]]&gt;0,DaybyDay[[#This Row],[Admin Hours]]*$AM$2+$AM$3,"")</f>
        <v/>
      </c>
      <c r="AN63" s="40">
        <f>SUMIFS(DaybyDay[Est-Admin-Payroll],DaybyDay[Date],"&gt;="&amp;$C$5,DaybyDay[RowYear],"&gt;="&amp;$C$4,DaybyDay[Date],"&lt;="&amp;DaybyDay[[#This Row],[Date]])</f>
        <v>0</v>
      </c>
      <c r="AO63" s="41" t="str">
        <f>IF(AND(DaybyDay[[#This Row],[_Space]],ISNUMBER(DaybyDay[[#This Row],[Admin Hours]])),DaybyDay[[#This Row],[Est-Admin-Payroll]]/(DaybyDay[[#This Row],[Service-Actuals]]+DaybyDay[[#This Row],[Retail-Actuals]]),"")</f>
        <v/>
      </c>
      <c r="AP63" s="41" t="e">
        <f>DaybyDay[[#This Row],[Estimated-Payroll-Rollup]]/DaybyDay[[#This Row],[Simple-Forecast]]</f>
        <v>#DIV/0!</v>
      </c>
      <c r="AQ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 s="77"/>
      <c r="AS63" s="40" t="str">
        <f>IF(DaybyDay[[#This Row],[Retail Hours]]&gt;0,DaybyDay[[#This Row],[Retail Hours]]*$AS$2,"")</f>
        <v/>
      </c>
      <c r="AT63" s="40">
        <f>SUMIFS(DaybyDay[Est-Retail-Payroll],DaybyDay[Date],"&gt;="&amp;$C$5,DaybyDay[RowYear],"&gt;="&amp;$C$4,DaybyDay[Date],"&lt;="&amp;DaybyDay[[#This Row],[Date]])</f>
        <v>0</v>
      </c>
      <c r="AU63" s="82" t="str">
        <f>IF(AND(DaybyDay[[#This Row],[_Space]],ISNUMBER(DaybyDay[[#This Row],[Retail Hours]])),DaybyDay[[#This Row],[Est-Retail-Payroll]]/(DaybyDay[[#This Row],[Retail-Actuals]]),"")</f>
        <v/>
      </c>
      <c r="AV63" s="82" t="e">
        <f>DaybyDay[[#This Row],[Est-Retail-PayrollRU]]/DaybyDay[[#This Row],[Simple-Forecast-Retail]]</f>
        <v>#DIV/0!</v>
      </c>
      <c r="AW63" s="8"/>
    </row>
    <row r="64" spans="3:49" hidden="1" x14ac:dyDescent="0.25">
      <c r="C64" s="26" t="str">
        <f>Tools!$C$1</f>
        <v>Example</v>
      </c>
      <c r="D64" s="27" t="s">
        <v>70</v>
      </c>
      <c r="E64" s="28">
        <v>2017</v>
      </c>
      <c r="F64" s="28">
        <f>MATCH(DaybyDay[[#This Row],[RowMonth]],Table3[SummaryMonth],0)</f>
        <v>3</v>
      </c>
      <c r="G64" s="29" t="e">
        <f>MATCH(DaybyDay[[#This Row],[LY-Date]],DaybyDay[Date],0)</f>
        <v>#N/A</v>
      </c>
      <c r="H64" s="30">
        <f>WEEKDAY(DaybyDay[[#This Row],[Date]])</f>
        <v>2</v>
      </c>
      <c r="I64" s="31">
        <v>42793</v>
      </c>
      <c r="J64" s="74">
        <v>39</v>
      </c>
      <c r="K64" s="32">
        <f>SUMIFS(BudgetSeasonality[365 Seasonality],BudgetSeasonality[MonthAdjustment],DaybyDay[[#This Row],[Date]])*SUMIFS(Budgets[Service-Budget],Budgets[BudgetMonth],DaybyDay[[#This Row],[RowMonth]],Budgets[BudgetYear],DaybyDay[[#This Row],[RowYear]])</f>
        <v>0</v>
      </c>
      <c r="L64" s="75">
        <v>5207.5</v>
      </c>
      <c r="M64" s="32">
        <f>INDEX(BudgetSeasonality[365 Seasonality],MATCH(DaybyDay[[#This Row],[Date]],BudgetSeasonality[MonthAdjustment],0))*SUMIFS(Budgets[Retail-Budget],Budgets[BudgetMonth],DaybyDay[[#This Row],[RowMonth]],Budgets[BudgetYear],DaybyDay[[#This Row],[RowYear]])</f>
        <v>0</v>
      </c>
      <c r="N64" s="75">
        <v>0</v>
      </c>
      <c r="O64" s="33">
        <f>SUMIFS(DaybyDay[Service-Budgets],DaybyDay[Date],"&gt;="&amp;$C$5,DaybyDay[RowYear],"&gt;="&amp;$C$4,DaybyDay[Date],"&lt;="&amp;DaybyDay[[#This Row],[Date]])</f>
        <v>0</v>
      </c>
      <c r="P64" s="33">
        <f>SUMIFS(DaybyDay[Retail-Budgets],DaybyDay[Date],"&gt;="&amp;$C$5,DaybyDay[RowYear],"&gt;="&amp;$C$4,DaybyDay[Date],"&lt;="&amp;DaybyDay[[#This Row],[Date]])</f>
        <v>0</v>
      </c>
      <c r="Q64" s="34">
        <f>SUMIFS(DaybyDay[Service-Actuals],DaybyDay[Date],"&gt;="&amp;$C$5,DaybyDay[RowYear],"&gt;="&amp;$C$4,DaybyDay[Date],"&lt;="&amp;DaybyDay[[#This Row],[Date]])</f>
        <v>0</v>
      </c>
      <c r="R64" s="34">
        <f>SUMIFS(DaybyDay[Retail-Actuals],DaybyDay[Date],"&gt;="&amp;$C$5,DaybyDay[RowYear],"&gt;="&amp;$C$4,DaybyDay[Date],"&lt;="&amp;DaybyDay[[#This Row],[Date]])</f>
        <v>0</v>
      </c>
      <c r="S64" s="35">
        <f>SUMIFS(DaybyDay[Service-LY],DaybyDay[Date],"&gt;="&amp;$C$5,DaybyDay[RowYear],"&gt;="&amp;$C$4,DaybyDay[Date],"&lt;="&amp;DaybyDay[[#This Row],[Date]])</f>
        <v>0</v>
      </c>
      <c r="T64" s="35">
        <f>SUMIFS(DaybyDay[Retail-LY],DaybyDay[Date],"&gt;="&amp;$C$5,DaybyDay[RowYear],"&gt;="&amp;$C$4,DaybyDay[Date],"&lt;="&amp;DaybyDay[[#This Row],[Date]])</f>
        <v>0</v>
      </c>
      <c r="U64" s="32">
        <f>DaybyDay[[#This Row],[Serv-Bud-RU]]+DaybyDay[[#This Row],[Ret-Bud-RU]]</f>
        <v>0</v>
      </c>
      <c r="V64" s="32">
        <f>DaybyDay[[#This Row],[Serv-Act-RU]]+DaybyDay[[#This Row],[Ret-Act-RU]]</f>
        <v>0</v>
      </c>
      <c r="W64" s="36">
        <f>IF(DaybyDay[[#This Row],[_Space]],IFERROR(
((DaybyDay[[#This Row],[Actual-Rollup]]-DaybyDay[[#This Row],[Budget-Rollup]])/DaybyDay[[#This Row],[Budget-Rollup]]),0),"")</f>
        <v>0</v>
      </c>
      <c r="X64" t="b">
        <f>NOT(AND(ISBLANK(DaybyDay[[#This Row],[Appts]]),ISBLANK(DaybyDay[[#This Row],[Service-Actuals]]),ISBLANK(DaybyDay[[#This Row],[Retail-Actuals]])))</f>
        <v>1</v>
      </c>
      <c r="Y64" s="36">
        <f>IF(DaybyDay[[#This Row],[_Space]],IFERROR(
((DaybyDay[[#This Row],[Actual-Rollup]]-DaybyDay[[#This Row],[LY-Rollup]])/DaybyDay[[#This Row],[LY-Rollup]]),0),"")</f>
        <v>0</v>
      </c>
      <c r="Z64"/>
      <c r="AA64" s="37" t="e">
        <f>IF(DaybyDay[[#This Row],[_Space]],DaybyDay[[#This Row],[Ret-Act-RU]]/DaybyDay[[#This Row],[Serv-Act-RU]],"")</f>
        <v>#DIV/0!</v>
      </c>
      <c r="AB64" s="50" t="e">
        <f>IF(DaybyDay[[#This Row],[_Space]],DaybyDay[[#This Row],[RETPEN-Act]]/DaybyDay[[#This Row],[RETPEN-Bud]],"")</f>
        <v>#DIV/0!</v>
      </c>
      <c r="AC64" s="37" t="e">
        <f>IF(DaybyDay[[#This Row],[_Space]],DaybyDay[[#This Row],[Ret-Bud-RU]]/DaybyDay[[#This Row],[Serv-Bud-RU]],"")</f>
        <v>#DIV/0!</v>
      </c>
      <c r="AD64" s="37" t="e">
        <f>IF(DaybyDay[[#This Row],[_Space]],DaybyDay[[#This Row],[Ret-LY-RU]]/DaybyDay[[#This Row],[Serv-LY-RU]],"")</f>
        <v>#DIV/0!</v>
      </c>
      <c r="AE64" s="30">
        <f>WEEKDAY(DaybyDay[[#This Row],[LY-Date]])</f>
        <v>2</v>
      </c>
      <c r="AF64" s="38">
        <f>$E$2+_xlfn.DAYS(DaybyDay[[#This Row],[Date]],minDate)</f>
        <v>42429</v>
      </c>
      <c r="AG64" s="39" t="str" cm="1">
        <f t="array" ref="AG64">IFERROR(INDEX(DaybyDay[],DaybyDay[[#This Row],[FORM_MATCH_HELPER]],8),"")</f>
        <v/>
      </c>
      <c r="AH64" s="39" t="str" cm="1">
        <f t="array" ref="AH64">IFERROR(INDEX(DaybyDay[],DaybyDay[[#This Row],[FORM_MATCH_HELPER]],10),"")</f>
        <v/>
      </c>
      <c r="AI64" s="39" t="str" cm="1">
        <f t="array" ref="AI64">IFERROR(INDEX(DaybyDay[],DaybyDay[[#This Row],[FORM_MATCH_HELPER]],12),"")</f>
        <v/>
      </c>
      <c r="AJ64" s="32">
        <f>IFERROR(DaybyDay[[#This Row],[Serv-LY-RU]]+DaybyDay[[#This Row],[Ret-LY-RU]],"")</f>
        <v>0</v>
      </c>
      <c r="AK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 s="77"/>
      <c r="AM64" s="40" t="str">
        <f>IF(DaybyDay[[#This Row],[Admin Hours]]&gt;0,DaybyDay[[#This Row],[Admin Hours]]*$AM$2+$AM$3,"")</f>
        <v/>
      </c>
      <c r="AN64" s="40">
        <f>SUMIFS(DaybyDay[Est-Admin-Payroll],DaybyDay[Date],"&gt;="&amp;$C$5,DaybyDay[RowYear],"&gt;="&amp;$C$4,DaybyDay[Date],"&lt;="&amp;DaybyDay[[#This Row],[Date]])</f>
        <v>0</v>
      </c>
      <c r="AO64" s="41" t="str">
        <f>IF(AND(DaybyDay[[#This Row],[_Space]],ISNUMBER(DaybyDay[[#This Row],[Admin Hours]])),DaybyDay[[#This Row],[Est-Admin-Payroll]]/(DaybyDay[[#This Row],[Service-Actuals]]+DaybyDay[[#This Row],[Retail-Actuals]]),"")</f>
        <v/>
      </c>
      <c r="AP64" s="41" t="e">
        <f>DaybyDay[[#This Row],[Estimated-Payroll-Rollup]]/DaybyDay[[#This Row],[Simple-Forecast]]</f>
        <v>#DIV/0!</v>
      </c>
      <c r="AQ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 s="77"/>
      <c r="AS64" s="40" t="str">
        <f>IF(DaybyDay[[#This Row],[Retail Hours]]&gt;0,DaybyDay[[#This Row],[Retail Hours]]*$AS$2,"")</f>
        <v/>
      </c>
      <c r="AT64" s="40">
        <f>SUMIFS(DaybyDay[Est-Retail-Payroll],DaybyDay[Date],"&gt;="&amp;$C$5,DaybyDay[RowYear],"&gt;="&amp;$C$4,DaybyDay[Date],"&lt;="&amp;DaybyDay[[#This Row],[Date]])</f>
        <v>0</v>
      </c>
      <c r="AU64" s="82" t="str">
        <f>IF(AND(DaybyDay[[#This Row],[_Space]],ISNUMBER(DaybyDay[[#This Row],[Retail Hours]])),DaybyDay[[#This Row],[Est-Retail-Payroll]]/(DaybyDay[[#This Row],[Retail-Actuals]]),"")</f>
        <v/>
      </c>
      <c r="AV64" s="82" t="e">
        <f>DaybyDay[[#This Row],[Est-Retail-PayrollRU]]/DaybyDay[[#This Row],[Simple-Forecast-Retail]]</f>
        <v>#DIV/0!</v>
      </c>
      <c r="AW64" s="8"/>
    </row>
    <row r="65" spans="3:49" hidden="1" x14ac:dyDescent="0.25">
      <c r="C65" s="26" t="str">
        <f>Tools!$C$1</f>
        <v>Example</v>
      </c>
      <c r="D65" s="27" t="s">
        <v>70</v>
      </c>
      <c r="E65" s="28">
        <v>2017</v>
      </c>
      <c r="F65" s="28">
        <f>MATCH(DaybyDay[[#This Row],[RowMonth]],Table3[SummaryMonth],0)</f>
        <v>3</v>
      </c>
      <c r="G65" s="29" t="e">
        <f>MATCH(DaybyDay[[#This Row],[LY-Date]],DaybyDay[Date],0)</f>
        <v>#N/A</v>
      </c>
      <c r="H65" s="30">
        <f>WEEKDAY(DaybyDay[[#This Row],[Date]])</f>
        <v>3</v>
      </c>
      <c r="I65" s="31">
        <v>42794</v>
      </c>
      <c r="J65" s="74">
        <v>39</v>
      </c>
      <c r="K65" s="32">
        <f>SUMIFS(BudgetSeasonality[365 Seasonality],BudgetSeasonality[MonthAdjustment],DaybyDay[[#This Row],[Date]])*SUMIFS(Budgets[Service-Budget],Budgets[BudgetMonth],DaybyDay[[#This Row],[RowMonth]],Budgets[BudgetYear],DaybyDay[[#This Row],[RowYear]])</f>
        <v>0</v>
      </c>
      <c r="L65" s="75">
        <v>6273.75</v>
      </c>
      <c r="M65" s="32">
        <f>INDEX(BudgetSeasonality[365 Seasonality],MATCH(DaybyDay[[#This Row],[Date]],BudgetSeasonality[MonthAdjustment],0))*SUMIFS(Budgets[Retail-Budget],Budgets[BudgetMonth],DaybyDay[[#This Row],[RowMonth]],Budgets[BudgetYear],DaybyDay[[#This Row],[RowYear]])</f>
        <v>0</v>
      </c>
      <c r="N65" s="75">
        <v>2627.45</v>
      </c>
      <c r="O65" s="33">
        <f>SUMIFS(DaybyDay[Service-Budgets],DaybyDay[Date],"&gt;="&amp;$C$5,DaybyDay[RowYear],"&gt;="&amp;$C$4,DaybyDay[Date],"&lt;="&amp;DaybyDay[[#This Row],[Date]])</f>
        <v>0</v>
      </c>
      <c r="P65" s="33">
        <f>SUMIFS(DaybyDay[Retail-Budgets],DaybyDay[Date],"&gt;="&amp;$C$5,DaybyDay[RowYear],"&gt;="&amp;$C$4,DaybyDay[Date],"&lt;="&amp;DaybyDay[[#This Row],[Date]])</f>
        <v>0</v>
      </c>
      <c r="Q65" s="34">
        <f>SUMIFS(DaybyDay[Service-Actuals],DaybyDay[Date],"&gt;="&amp;$C$5,DaybyDay[RowYear],"&gt;="&amp;$C$4,DaybyDay[Date],"&lt;="&amp;DaybyDay[[#This Row],[Date]])</f>
        <v>0</v>
      </c>
      <c r="R65" s="34">
        <f>SUMIFS(DaybyDay[Retail-Actuals],DaybyDay[Date],"&gt;="&amp;$C$5,DaybyDay[RowYear],"&gt;="&amp;$C$4,DaybyDay[Date],"&lt;="&amp;DaybyDay[[#This Row],[Date]])</f>
        <v>0</v>
      </c>
      <c r="S65" s="35">
        <f>SUMIFS(DaybyDay[Service-LY],DaybyDay[Date],"&gt;="&amp;$C$5,DaybyDay[RowYear],"&gt;="&amp;$C$4,DaybyDay[Date],"&lt;="&amp;DaybyDay[[#This Row],[Date]])</f>
        <v>0</v>
      </c>
      <c r="T65" s="35">
        <f>SUMIFS(DaybyDay[Retail-LY],DaybyDay[Date],"&gt;="&amp;$C$5,DaybyDay[RowYear],"&gt;="&amp;$C$4,DaybyDay[Date],"&lt;="&amp;DaybyDay[[#This Row],[Date]])</f>
        <v>0</v>
      </c>
      <c r="U65" s="32">
        <f>DaybyDay[[#This Row],[Serv-Bud-RU]]+DaybyDay[[#This Row],[Ret-Bud-RU]]</f>
        <v>0</v>
      </c>
      <c r="V65" s="32">
        <f>DaybyDay[[#This Row],[Serv-Act-RU]]+DaybyDay[[#This Row],[Ret-Act-RU]]</f>
        <v>0</v>
      </c>
      <c r="W65" s="36">
        <f>IF(DaybyDay[[#This Row],[_Space]],IFERROR(
((DaybyDay[[#This Row],[Actual-Rollup]]-DaybyDay[[#This Row],[Budget-Rollup]])/DaybyDay[[#This Row],[Budget-Rollup]]),0),"")</f>
        <v>0</v>
      </c>
      <c r="X65" t="b">
        <f>NOT(AND(ISBLANK(DaybyDay[[#This Row],[Appts]]),ISBLANK(DaybyDay[[#This Row],[Service-Actuals]]),ISBLANK(DaybyDay[[#This Row],[Retail-Actuals]])))</f>
        <v>1</v>
      </c>
      <c r="Y65" s="36">
        <f>IF(DaybyDay[[#This Row],[_Space]],IFERROR(
((DaybyDay[[#This Row],[Actual-Rollup]]-DaybyDay[[#This Row],[LY-Rollup]])/DaybyDay[[#This Row],[LY-Rollup]]),0),"")</f>
        <v>0</v>
      </c>
      <c r="Z65"/>
      <c r="AA65" s="37" t="e">
        <f>IF(DaybyDay[[#This Row],[_Space]],DaybyDay[[#This Row],[Ret-Act-RU]]/DaybyDay[[#This Row],[Serv-Act-RU]],"")</f>
        <v>#DIV/0!</v>
      </c>
      <c r="AB65" s="50" t="e">
        <f>IF(DaybyDay[[#This Row],[_Space]],DaybyDay[[#This Row],[RETPEN-Act]]/DaybyDay[[#This Row],[RETPEN-Bud]],"")</f>
        <v>#DIV/0!</v>
      </c>
      <c r="AC65" s="37" t="e">
        <f>IF(DaybyDay[[#This Row],[_Space]],DaybyDay[[#This Row],[Ret-Bud-RU]]/DaybyDay[[#This Row],[Serv-Bud-RU]],"")</f>
        <v>#DIV/0!</v>
      </c>
      <c r="AD65" s="37" t="e">
        <f>IF(DaybyDay[[#This Row],[_Space]],DaybyDay[[#This Row],[Ret-LY-RU]]/DaybyDay[[#This Row],[Serv-LY-RU]],"")</f>
        <v>#DIV/0!</v>
      </c>
      <c r="AE65" s="30">
        <f>WEEKDAY(DaybyDay[[#This Row],[LY-Date]])</f>
        <v>3</v>
      </c>
      <c r="AF65" s="38">
        <f>$E$2+_xlfn.DAYS(DaybyDay[[#This Row],[Date]],minDate)</f>
        <v>42430</v>
      </c>
      <c r="AG65" s="39" t="str" cm="1">
        <f t="array" ref="AG65">IFERROR(INDEX(DaybyDay[],DaybyDay[[#This Row],[FORM_MATCH_HELPER]],8),"")</f>
        <v/>
      </c>
      <c r="AH65" s="39" t="str" cm="1">
        <f t="array" ref="AH65">IFERROR(INDEX(DaybyDay[],DaybyDay[[#This Row],[FORM_MATCH_HELPER]],10),"")</f>
        <v/>
      </c>
      <c r="AI65" s="39" t="str" cm="1">
        <f t="array" ref="AI65">IFERROR(INDEX(DaybyDay[],DaybyDay[[#This Row],[FORM_MATCH_HELPER]],12),"")</f>
        <v/>
      </c>
      <c r="AJ65" s="32">
        <f>IFERROR(DaybyDay[[#This Row],[Serv-LY-RU]]+DaybyDay[[#This Row],[Ret-LY-RU]],"")</f>
        <v>0</v>
      </c>
      <c r="AK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 s="77"/>
      <c r="AM65" s="40" t="str">
        <f>IF(DaybyDay[[#This Row],[Admin Hours]]&gt;0,DaybyDay[[#This Row],[Admin Hours]]*$AM$2+$AM$3,"")</f>
        <v/>
      </c>
      <c r="AN65" s="40">
        <f>SUMIFS(DaybyDay[Est-Admin-Payroll],DaybyDay[Date],"&gt;="&amp;$C$5,DaybyDay[RowYear],"&gt;="&amp;$C$4,DaybyDay[Date],"&lt;="&amp;DaybyDay[[#This Row],[Date]])</f>
        <v>0</v>
      </c>
      <c r="AO65" s="41" t="str">
        <f>IF(AND(DaybyDay[[#This Row],[_Space]],ISNUMBER(DaybyDay[[#This Row],[Admin Hours]])),DaybyDay[[#This Row],[Est-Admin-Payroll]]/(DaybyDay[[#This Row],[Service-Actuals]]+DaybyDay[[#This Row],[Retail-Actuals]]),"")</f>
        <v/>
      </c>
      <c r="AP65" s="41" t="e">
        <f>DaybyDay[[#This Row],[Estimated-Payroll-Rollup]]/DaybyDay[[#This Row],[Simple-Forecast]]</f>
        <v>#DIV/0!</v>
      </c>
      <c r="AQ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 s="77"/>
      <c r="AS65" s="40" t="str">
        <f>IF(DaybyDay[[#This Row],[Retail Hours]]&gt;0,DaybyDay[[#This Row],[Retail Hours]]*$AS$2,"")</f>
        <v/>
      </c>
      <c r="AT65" s="40">
        <f>SUMIFS(DaybyDay[Est-Retail-Payroll],DaybyDay[Date],"&gt;="&amp;$C$5,DaybyDay[RowYear],"&gt;="&amp;$C$4,DaybyDay[Date],"&lt;="&amp;DaybyDay[[#This Row],[Date]])</f>
        <v>0</v>
      </c>
      <c r="AU65" s="82" t="str">
        <f>IF(AND(DaybyDay[[#This Row],[_Space]],ISNUMBER(DaybyDay[[#This Row],[Retail Hours]])),DaybyDay[[#This Row],[Est-Retail-Payroll]]/(DaybyDay[[#This Row],[Retail-Actuals]]),"")</f>
        <v/>
      </c>
      <c r="AV65" s="82" t="e">
        <f>DaybyDay[[#This Row],[Est-Retail-PayrollRU]]/DaybyDay[[#This Row],[Simple-Forecast-Retail]]</f>
        <v>#DIV/0!</v>
      </c>
      <c r="AW65" s="8"/>
    </row>
    <row r="66" spans="3:49" hidden="1" x14ac:dyDescent="0.25">
      <c r="C66" s="26" t="str">
        <f>Tools!$C$1</f>
        <v>Example</v>
      </c>
      <c r="D66" s="27" t="s">
        <v>70</v>
      </c>
      <c r="E66" s="28">
        <v>2017</v>
      </c>
      <c r="F66" s="28">
        <f>MATCH(DaybyDay[[#This Row],[RowMonth]],Table3[SummaryMonth],0)</f>
        <v>3</v>
      </c>
      <c r="G66" s="29" t="e">
        <f>MATCH(DaybyDay[[#This Row],[LY-Date]],DaybyDay[Date],0)</f>
        <v>#N/A</v>
      </c>
      <c r="H66" s="30">
        <f>WEEKDAY(DaybyDay[[#This Row],[Date]])</f>
        <v>4</v>
      </c>
      <c r="I66" s="31">
        <v>42795</v>
      </c>
      <c r="J66" s="74">
        <v>0</v>
      </c>
      <c r="K66" s="32">
        <f>SUMIFS(BudgetSeasonality[365 Seasonality],BudgetSeasonality[MonthAdjustment],DaybyDay[[#This Row],[Date]])*SUMIFS(Budgets[Service-Budget],Budgets[BudgetMonth],DaybyDay[[#This Row],[RowMonth]],Budgets[BudgetYear],DaybyDay[[#This Row],[RowYear]])</f>
        <v>0</v>
      </c>
      <c r="L66" s="75">
        <v>0</v>
      </c>
      <c r="M66" s="32">
        <f>INDEX(BudgetSeasonality[365 Seasonality],MATCH(DaybyDay[[#This Row],[Date]],BudgetSeasonality[MonthAdjustment],0))*SUMIFS(Budgets[Retail-Budget],Budgets[BudgetMonth],DaybyDay[[#This Row],[RowMonth]],Budgets[BudgetYear],DaybyDay[[#This Row],[RowYear]])</f>
        <v>0</v>
      </c>
      <c r="N66" s="75">
        <v>0</v>
      </c>
      <c r="O66" s="33">
        <f>SUMIFS(DaybyDay[Service-Budgets],DaybyDay[Date],"&gt;="&amp;$C$5,DaybyDay[RowYear],"&gt;="&amp;$C$4,DaybyDay[Date],"&lt;="&amp;DaybyDay[[#This Row],[Date]])</f>
        <v>0</v>
      </c>
      <c r="P66" s="33">
        <f>SUMIFS(DaybyDay[Retail-Budgets],DaybyDay[Date],"&gt;="&amp;$C$5,DaybyDay[RowYear],"&gt;="&amp;$C$4,DaybyDay[Date],"&lt;="&amp;DaybyDay[[#This Row],[Date]])</f>
        <v>0</v>
      </c>
      <c r="Q66" s="34">
        <f>SUMIFS(DaybyDay[Service-Actuals],DaybyDay[Date],"&gt;="&amp;$C$5,DaybyDay[RowYear],"&gt;="&amp;$C$4,DaybyDay[Date],"&lt;="&amp;DaybyDay[[#This Row],[Date]])</f>
        <v>0</v>
      </c>
      <c r="R66" s="34">
        <f>SUMIFS(DaybyDay[Retail-Actuals],DaybyDay[Date],"&gt;="&amp;$C$5,DaybyDay[RowYear],"&gt;="&amp;$C$4,DaybyDay[Date],"&lt;="&amp;DaybyDay[[#This Row],[Date]])</f>
        <v>0</v>
      </c>
      <c r="S66" s="35">
        <f>SUMIFS(DaybyDay[Service-LY],DaybyDay[Date],"&gt;="&amp;$C$5,DaybyDay[RowYear],"&gt;="&amp;$C$4,DaybyDay[Date],"&lt;="&amp;DaybyDay[[#This Row],[Date]])</f>
        <v>0</v>
      </c>
      <c r="T66" s="35">
        <f>SUMIFS(DaybyDay[Retail-LY],DaybyDay[Date],"&gt;="&amp;$C$5,DaybyDay[RowYear],"&gt;="&amp;$C$4,DaybyDay[Date],"&lt;="&amp;DaybyDay[[#This Row],[Date]])</f>
        <v>0</v>
      </c>
      <c r="U66" s="32">
        <f>DaybyDay[[#This Row],[Serv-Bud-RU]]+DaybyDay[[#This Row],[Ret-Bud-RU]]</f>
        <v>0</v>
      </c>
      <c r="V66" s="32">
        <f>DaybyDay[[#This Row],[Serv-Act-RU]]+DaybyDay[[#This Row],[Ret-Act-RU]]</f>
        <v>0</v>
      </c>
      <c r="W66" s="36">
        <f>IF(DaybyDay[[#This Row],[_Space]],IFERROR(
((DaybyDay[[#This Row],[Actual-Rollup]]-DaybyDay[[#This Row],[Budget-Rollup]])/DaybyDay[[#This Row],[Budget-Rollup]]),0),"")</f>
        <v>0</v>
      </c>
      <c r="X66" t="b">
        <f>NOT(AND(ISBLANK(DaybyDay[[#This Row],[Appts]]),ISBLANK(DaybyDay[[#This Row],[Service-Actuals]]),ISBLANK(DaybyDay[[#This Row],[Retail-Actuals]])))</f>
        <v>1</v>
      </c>
      <c r="Y66" s="36">
        <f>IF(DaybyDay[[#This Row],[_Space]],IFERROR(
((DaybyDay[[#This Row],[Actual-Rollup]]-DaybyDay[[#This Row],[LY-Rollup]])/DaybyDay[[#This Row],[LY-Rollup]]),0),"")</f>
        <v>0</v>
      </c>
      <c r="Z66"/>
      <c r="AA66" s="37" t="e">
        <f>IF(DaybyDay[[#This Row],[_Space]],DaybyDay[[#This Row],[Ret-Act-RU]]/DaybyDay[[#This Row],[Serv-Act-RU]],"")</f>
        <v>#DIV/0!</v>
      </c>
      <c r="AB66" s="50" t="e">
        <f>IF(DaybyDay[[#This Row],[_Space]],DaybyDay[[#This Row],[RETPEN-Act]]/DaybyDay[[#This Row],[RETPEN-Bud]],"")</f>
        <v>#DIV/0!</v>
      </c>
      <c r="AC66" s="37" t="e">
        <f>IF(DaybyDay[[#This Row],[_Space]],DaybyDay[[#This Row],[Ret-Bud-RU]]/DaybyDay[[#This Row],[Serv-Bud-RU]],"")</f>
        <v>#DIV/0!</v>
      </c>
      <c r="AD66" s="37" t="e">
        <f>IF(DaybyDay[[#This Row],[_Space]],DaybyDay[[#This Row],[Ret-LY-RU]]/DaybyDay[[#This Row],[Serv-LY-RU]],"")</f>
        <v>#DIV/0!</v>
      </c>
      <c r="AE66" s="30">
        <f>WEEKDAY(DaybyDay[[#This Row],[LY-Date]])</f>
        <v>4</v>
      </c>
      <c r="AF66" s="38">
        <f>$E$2+_xlfn.DAYS(DaybyDay[[#This Row],[Date]],minDate)</f>
        <v>42431</v>
      </c>
      <c r="AG66" s="39" t="str" cm="1">
        <f t="array" ref="AG66">IFERROR(INDEX(DaybyDay[],DaybyDay[[#This Row],[FORM_MATCH_HELPER]],8),"")</f>
        <v/>
      </c>
      <c r="AH66" s="39" t="str" cm="1">
        <f t="array" ref="AH66">IFERROR(INDEX(DaybyDay[],DaybyDay[[#This Row],[FORM_MATCH_HELPER]],10),"")</f>
        <v/>
      </c>
      <c r="AI66" s="39" t="str" cm="1">
        <f t="array" ref="AI66">IFERROR(INDEX(DaybyDay[],DaybyDay[[#This Row],[FORM_MATCH_HELPER]],12),"")</f>
        <v/>
      </c>
      <c r="AJ66" s="32">
        <f>IFERROR(DaybyDay[[#This Row],[Serv-LY-RU]]+DaybyDay[[#This Row],[Ret-LY-RU]],"")</f>
        <v>0</v>
      </c>
      <c r="AK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 s="77"/>
      <c r="AM66" s="40" t="str">
        <f>IF(DaybyDay[[#This Row],[Admin Hours]]&gt;0,DaybyDay[[#This Row],[Admin Hours]]*$AM$2+$AM$3,"")</f>
        <v/>
      </c>
      <c r="AN66" s="40">
        <f>SUMIFS(DaybyDay[Est-Admin-Payroll],DaybyDay[Date],"&gt;="&amp;$C$5,DaybyDay[RowYear],"&gt;="&amp;$C$4,DaybyDay[Date],"&lt;="&amp;DaybyDay[[#This Row],[Date]])</f>
        <v>0</v>
      </c>
      <c r="AO66" s="41" t="str">
        <f>IF(AND(DaybyDay[[#This Row],[_Space]],ISNUMBER(DaybyDay[[#This Row],[Admin Hours]])),DaybyDay[[#This Row],[Est-Admin-Payroll]]/(DaybyDay[[#This Row],[Service-Actuals]]+DaybyDay[[#This Row],[Retail-Actuals]]),"")</f>
        <v/>
      </c>
      <c r="AP66" s="41" t="e">
        <f>DaybyDay[[#This Row],[Estimated-Payroll-Rollup]]/DaybyDay[[#This Row],[Simple-Forecast]]</f>
        <v>#DIV/0!</v>
      </c>
      <c r="AQ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 s="77"/>
      <c r="AS66" s="40" t="str">
        <f>IF(DaybyDay[[#This Row],[Retail Hours]]&gt;0,DaybyDay[[#This Row],[Retail Hours]]*$AS$2,"")</f>
        <v/>
      </c>
      <c r="AT66" s="40">
        <f>SUMIFS(DaybyDay[Est-Retail-Payroll],DaybyDay[Date],"&gt;="&amp;$C$5,DaybyDay[RowYear],"&gt;="&amp;$C$4,DaybyDay[Date],"&lt;="&amp;DaybyDay[[#This Row],[Date]])</f>
        <v>0</v>
      </c>
      <c r="AU66" s="82" t="str">
        <f>IF(AND(DaybyDay[[#This Row],[_Space]],ISNUMBER(DaybyDay[[#This Row],[Retail Hours]])),DaybyDay[[#This Row],[Est-Retail-Payroll]]/(DaybyDay[[#This Row],[Retail-Actuals]]),"")</f>
        <v/>
      </c>
      <c r="AV66" s="82" t="e">
        <f>DaybyDay[[#This Row],[Est-Retail-PayrollRU]]/DaybyDay[[#This Row],[Simple-Forecast-Retail]]</f>
        <v>#DIV/0!</v>
      </c>
      <c r="AW66" s="8"/>
    </row>
    <row r="67" spans="3:49" hidden="1" x14ac:dyDescent="0.25">
      <c r="C67" s="26" t="str">
        <f>Tools!$C$1</f>
        <v>Example</v>
      </c>
      <c r="D67" s="27" t="s">
        <v>70</v>
      </c>
      <c r="E67" s="28">
        <v>2017</v>
      </c>
      <c r="F67" s="28">
        <f>MATCH(DaybyDay[[#This Row],[RowMonth]],Table3[SummaryMonth],0)</f>
        <v>3</v>
      </c>
      <c r="G67" s="29" t="e">
        <f>MATCH(DaybyDay[[#This Row],[LY-Date]],DaybyDay[Date],0)</f>
        <v>#N/A</v>
      </c>
      <c r="H67" s="30">
        <f>WEEKDAY(DaybyDay[[#This Row],[Date]])</f>
        <v>5</v>
      </c>
      <c r="I67" s="31">
        <v>42796</v>
      </c>
      <c r="J67" s="74">
        <v>0</v>
      </c>
      <c r="K67" s="32">
        <f>SUMIFS(BudgetSeasonality[365 Seasonality],BudgetSeasonality[MonthAdjustment],DaybyDay[[#This Row],[Date]])*SUMIFS(Budgets[Service-Budget],Budgets[BudgetMonth],DaybyDay[[#This Row],[RowMonth]],Budgets[BudgetYear],DaybyDay[[#This Row],[RowYear]])</f>
        <v>0</v>
      </c>
      <c r="L67" s="75">
        <v>0</v>
      </c>
      <c r="M67" s="32">
        <f>INDEX(BudgetSeasonality[365 Seasonality],MATCH(DaybyDay[[#This Row],[Date]],BudgetSeasonality[MonthAdjustment],0))*SUMIFS(Budgets[Retail-Budget],Budgets[BudgetMonth],DaybyDay[[#This Row],[RowMonth]],Budgets[BudgetYear],DaybyDay[[#This Row],[RowYear]])</f>
        <v>0</v>
      </c>
      <c r="N67" s="75">
        <v>0</v>
      </c>
      <c r="O67" s="33">
        <f>SUMIFS(DaybyDay[Service-Budgets],DaybyDay[Date],"&gt;="&amp;$C$5,DaybyDay[RowYear],"&gt;="&amp;$C$4,DaybyDay[Date],"&lt;="&amp;DaybyDay[[#This Row],[Date]])</f>
        <v>0</v>
      </c>
      <c r="P67" s="33">
        <f>SUMIFS(DaybyDay[Retail-Budgets],DaybyDay[Date],"&gt;="&amp;$C$5,DaybyDay[RowYear],"&gt;="&amp;$C$4,DaybyDay[Date],"&lt;="&amp;DaybyDay[[#This Row],[Date]])</f>
        <v>0</v>
      </c>
      <c r="Q67" s="34">
        <f>SUMIFS(DaybyDay[Service-Actuals],DaybyDay[Date],"&gt;="&amp;$C$5,DaybyDay[RowYear],"&gt;="&amp;$C$4,DaybyDay[Date],"&lt;="&amp;DaybyDay[[#This Row],[Date]])</f>
        <v>0</v>
      </c>
      <c r="R67" s="34">
        <f>SUMIFS(DaybyDay[Retail-Actuals],DaybyDay[Date],"&gt;="&amp;$C$5,DaybyDay[RowYear],"&gt;="&amp;$C$4,DaybyDay[Date],"&lt;="&amp;DaybyDay[[#This Row],[Date]])</f>
        <v>0</v>
      </c>
      <c r="S67" s="35">
        <f>SUMIFS(DaybyDay[Service-LY],DaybyDay[Date],"&gt;="&amp;$C$5,DaybyDay[RowYear],"&gt;="&amp;$C$4,DaybyDay[Date],"&lt;="&amp;DaybyDay[[#This Row],[Date]])</f>
        <v>0</v>
      </c>
      <c r="T67" s="35">
        <f>SUMIFS(DaybyDay[Retail-LY],DaybyDay[Date],"&gt;="&amp;$C$5,DaybyDay[RowYear],"&gt;="&amp;$C$4,DaybyDay[Date],"&lt;="&amp;DaybyDay[[#This Row],[Date]])</f>
        <v>0</v>
      </c>
      <c r="U67" s="32">
        <f>DaybyDay[[#This Row],[Serv-Bud-RU]]+DaybyDay[[#This Row],[Ret-Bud-RU]]</f>
        <v>0</v>
      </c>
      <c r="V67" s="32">
        <f>DaybyDay[[#This Row],[Serv-Act-RU]]+DaybyDay[[#This Row],[Ret-Act-RU]]</f>
        <v>0</v>
      </c>
      <c r="W67" s="36">
        <f>IF(DaybyDay[[#This Row],[_Space]],IFERROR(
((DaybyDay[[#This Row],[Actual-Rollup]]-DaybyDay[[#This Row],[Budget-Rollup]])/DaybyDay[[#This Row],[Budget-Rollup]]),0),"")</f>
        <v>0</v>
      </c>
      <c r="X67" t="b">
        <f>NOT(AND(ISBLANK(DaybyDay[[#This Row],[Appts]]),ISBLANK(DaybyDay[[#This Row],[Service-Actuals]]),ISBLANK(DaybyDay[[#This Row],[Retail-Actuals]])))</f>
        <v>1</v>
      </c>
      <c r="Y67" s="36">
        <f>IF(DaybyDay[[#This Row],[_Space]],IFERROR(
((DaybyDay[[#This Row],[Actual-Rollup]]-DaybyDay[[#This Row],[LY-Rollup]])/DaybyDay[[#This Row],[LY-Rollup]]),0),"")</f>
        <v>0</v>
      </c>
      <c r="Z67"/>
      <c r="AA67" s="37" t="e">
        <f>IF(DaybyDay[[#This Row],[_Space]],DaybyDay[[#This Row],[Ret-Act-RU]]/DaybyDay[[#This Row],[Serv-Act-RU]],"")</f>
        <v>#DIV/0!</v>
      </c>
      <c r="AB67" s="50" t="e">
        <f>IF(DaybyDay[[#This Row],[_Space]],DaybyDay[[#This Row],[RETPEN-Act]]/DaybyDay[[#This Row],[RETPEN-Bud]],"")</f>
        <v>#DIV/0!</v>
      </c>
      <c r="AC67" s="37" t="e">
        <f>IF(DaybyDay[[#This Row],[_Space]],DaybyDay[[#This Row],[Ret-Bud-RU]]/DaybyDay[[#This Row],[Serv-Bud-RU]],"")</f>
        <v>#DIV/0!</v>
      </c>
      <c r="AD67" s="37" t="e">
        <f>IF(DaybyDay[[#This Row],[_Space]],DaybyDay[[#This Row],[Ret-LY-RU]]/DaybyDay[[#This Row],[Serv-LY-RU]],"")</f>
        <v>#DIV/0!</v>
      </c>
      <c r="AE67" s="30">
        <f>WEEKDAY(DaybyDay[[#This Row],[LY-Date]])</f>
        <v>5</v>
      </c>
      <c r="AF67" s="38">
        <f>$E$2+_xlfn.DAYS(DaybyDay[[#This Row],[Date]],minDate)</f>
        <v>42432</v>
      </c>
      <c r="AG67" s="39" t="str" cm="1">
        <f t="array" ref="AG67">IFERROR(INDEX(DaybyDay[],DaybyDay[[#This Row],[FORM_MATCH_HELPER]],8),"")</f>
        <v/>
      </c>
      <c r="AH67" s="39" t="str" cm="1">
        <f t="array" ref="AH67">IFERROR(INDEX(DaybyDay[],DaybyDay[[#This Row],[FORM_MATCH_HELPER]],10),"")</f>
        <v/>
      </c>
      <c r="AI67" s="39" t="str" cm="1">
        <f t="array" ref="AI67">IFERROR(INDEX(DaybyDay[],DaybyDay[[#This Row],[FORM_MATCH_HELPER]],12),"")</f>
        <v/>
      </c>
      <c r="AJ67" s="32">
        <f>IFERROR(DaybyDay[[#This Row],[Serv-LY-RU]]+DaybyDay[[#This Row],[Ret-LY-RU]],"")</f>
        <v>0</v>
      </c>
      <c r="AK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 s="77"/>
      <c r="AM67" s="40" t="str">
        <f>IF(DaybyDay[[#This Row],[Admin Hours]]&gt;0,DaybyDay[[#This Row],[Admin Hours]]*$AM$2+$AM$3,"")</f>
        <v/>
      </c>
      <c r="AN67" s="40">
        <f>SUMIFS(DaybyDay[Est-Admin-Payroll],DaybyDay[Date],"&gt;="&amp;$C$5,DaybyDay[RowYear],"&gt;="&amp;$C$4,DaybyDay[Date],"&lt;="&amp;DaybyDay[[#This Row],[Date]])</f>
        <v>0</v>
      </c>
      <c r="AO67" s="41" t="str">
        <f>IF(AND(DaybyDay[[#This Row],[_Space]],ISNUMBER(DaybyDay[[#This Row],[Admin Hours]])),DaybyDay[[#This Row],[Est-Admin-Payroll]]/(DaybyDay[[#This Row],[Service-Actuals]]+DaybyDay[[#This Row],[Retail-Actuals]]),"")</f>
        <v/>
      </c>
      <c r="AP67" s="41" t="e">
        <f>DaybyDay[[#This Row],[Estimated-Payroll-Rollup]]/DaybyDay[[#This Row],[Simple-Forecast]]</f>
        <v>#DIV/0!</v>
      </c>
      <c r="AQ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 s="77"/>
      <c r="AS67" s="40" t="str">
        <f>IF(DaybyDay[[#This Row],[Retail Hours]]&gt;0,DaybyDay[[#This Row],[Retail Hours]]*$AS$2,"")</f>
        <v/>
      </c>
      <c r="AT67" s="40">
        <f>SUMIFS(DaybyDay[Est-Retail-Payroll],DaybyDay[Date],"&gt;="&amp;$C$5,DaybyDay[RowYear],"&gt;="&amp;$C$4,DaybyDay[Date],"&lt;="&amp;DaybyDay[[#This Row],[Date]])</f>
        <v>0</v>
      </c>
      <c r="AU67" s="82" t="str">
        <f>IF(AND(DaybyDay[[#This Row],[_Space]],ISNUMBER(DaybyDay[[#This Row],[Retail Hours]])),DaybyDay[[#This Row],[Est-Retail-Payroll]]/(DaybyDay[[#This Row],[Retail-Actuals]]),"")</f>
        <v/>
      </c>
      <c r="AV67" s="82" t="e">
        <f>DaybyDay[[#This Row],[Est-Retail-PayrollRU]]/DaybyDay[[#This Row],[Simple-Forecast-Retail]]</f>
        <v>#DIV/0!</v>
      </c>
      <c r="AW67" s="8"/>
    </row>
    <row r="68" spans="3:49" hidden="1" x14ac:dyDescent="0.25">
      <c r="C68" s="26" t="str">
        <f>Tools!$C$1</f>
        <v>Example</v>
      </c>
      <c r="D68" s="27" t="s">
        <v>70</v>
      </c>
      <c r="E68" s="28">
        <v>2017</v>
      </c>
      <c r="F68" s="28">
        <f>MATCH(DaybyDay[[#This Row],[RowMonth]],Table3[SummaryMonth],0)</f>
        <v>3</v>
      </c>
      <c r="G68" s="29" t="e">
        <f>MATCH(DaybyDay[[#This Row],[LY-Date]],DaybyDay[Date],0)</f>
        <v>#N/A</v>
      </c>
      <c r="H68" s="30">
        <f>WEEKDAY(DaybyDay[[#This Row],[Date]])</f>
        <v>6</v>
      </c>
      <c r="I68" s="31">
        <v>42797</v>
      </c>
      <c r="J68" s="74">
        <v>0</v>
      </c>
      <c r="K68" s="32">
        <f>SUMIFS(BudgetSeasonality[365 Seasonality],BudgetSeasonality[MonthAdjustment],DaybyDay[[#This Row],[Date]])*SUMIFS(Budgets[Service-Budget],Budgets[BudgetMonth],DaybyDay[[#This Row],[RowMonth]],Budgets[BudgetYear],DaybyDay[[#This Row],[RowYear]])</f>
        <v>0</v>
      </c>
      <c r="L68" s="75">
        <v>0</v>
      </c>
      <c r="M68" s="32">
        <f>INDEX(BudgetSeasonality[365 Seasonality],MATCH(DaybyDay[[#This Row],[Date]],BudgetSeasonality[MonthAdjustment],0))*SUMIFS(Budgets[Retail-Budget],Budgets[BudgetMonth],DaybyDay[[#This Row],[RowMonth]],Budgets[BudgetYear],DaybyDay[[#This Row],[RowYear]])</f>
        <v>0</v>
      </c>
      <c r="N68" s="75">
        <v>0</v>
      </c>
      <c r="O68" s="33">
        <f>SUMIFS(DaybyDay[Service-Budgets],DaybyDay[Date],"&gt;="&amp;$C$5,DaybyDay[RowYear],"&gt;="&amp;$C$4,DaybyDay[Date],"&lt;="&amp;DaybyDay[[#This Row],[Date]])</f>
        <v>0</v>
      </c>
      <c r="P68" s="33">
        <f>SUMIFS(DaybyDay[Retail-Budgets],DaybyDay[Date],"&gt;="&amp;$C$5,DaybyDay[RowYear],"&gt;="&amp;$C$4,DaybyDay[Date],"&lt;="&amp;DaybyDay[[#This Row],[Date]])</f>
        <v>0</v>
      </c>
      <c r="Q68" s="34">
        <f>SUMIFS(DaybyDay[Service-Actuals],DaybyDay[Date],"&gt;="&amp;$C$5,DaybyDay[RowYear],"&gt;="&amp;$C$4,DaybyDay[Date],"&lt;="&amp;DaybyDay[[#This Row],[Date]])</f>
        <v>0</v>
      </c>
      <c r="R68" s="34">
        <f>SUMIFS(DaybyDay[Retail-Actuals],DaybyDay[Date],"&gt;="&amp;$C$5,DaybyDay[RowYear],"&gt;="&amp;$C$4,DaybyDay[Date],"&lt;="&amp;DaybyDay[[#This Row],[Date]])</f>
        <v>0</v>
      </c>
      <c r="S68" s="35">
        <f>SUMIFS(DaybyDay[Service-LY],DaybyDay[Date],"&gt;="&amp;$C$5,DaybyDay[RowYear],"&gt;="&amp;$C$4,DaybyDay[Date],"&lt;="&amp;DaybyDay[[#This Row],[Date]])</f>
        <v>0</v>
      </c>
      <c r="T68" s="35">
        <f>SUMIFS(DaybyDay[Retail-LY],DaybyDay[Date],"&gt;="&amp;$C$5,DaybyDay[RowYear],"&gt;="&amp;$C$4,DaybyDay[Date],"&lt;="&amp;DaybyDay[[#This Row],[Date]])</f>
        <v>0</v>
      </c>
      <c r="U68" s="32">
        <f>DaybyDay[[#This Row],[Serv-Bud-RU]]+DaybyDay[[#This Row],[Ret-Bud-RU]]</f>
        <v>0</v>
      </c>
      <c r="V68" s="32">
        <f>DaybyDay[[#This Row],[Serv-Act-RU]]+DaybyDay[[#This Row],[Ret-Act-RU]]</f>
        <v>0</v>
      </c>
      <c r="W68" s="36">
        <f>IF(DaybyDay[[#This Row],[_Space]],IFERROR(
((DaybyDay[[#This Row],[Actual-Rollup]]-DaybyDay[[#This Row],[Budget-Rollup]])/DaybyDay[[#This Row],[Budget-Rollup]]),0),"")</f>
        <v>0</v>
      </c>
      <c r="X68" t="b">
        <f>NOT(AND(ISBLANK(DaybyDay[[#This Row],[Appts]]),ISBLANK(DaybyDay[[#This Row],[Service-Actuals]]),ISBLANK(DaybyDay[[#This Row],[Retail-Actuals]])))</f>
        <v>1</v>
      </c>
      <c r="Y68" s="36">
        <f>IF(DaybyDay[[#This Row],[_Space]],IFERROR(
((DaybyDay[[#This Row],[Actual-Rollup]]-DaybyDay[[#This Row],[LY-Rollup]])/DaybyDay[[#This Row],[LY-Rollup]]),0),"")</f>
        <v>0</v>
      </c>
      <c r="Z68"/>
      <c r="AA68" s="37" t="e">
        <f>IF(DaybyDay[[#This Row],[_Space]],DaybyDay[[#This Row],[Ret-Act-RU]]/DaybyDay[[#This Row],[Serv-Act-RU]],"")</f>
        <v>#DIV/0!</v>
      </c>
      <c r="AB68" s="50" t="e">
        <f>IF(DaybyDay[[#This Row],[_Space]],DaybyDay[[#This Row],[RETPEN-Act]]/DaybyDay[[#This Row],[RETPEN-Bud]],"")</f>
        <v>#DIV/0!</v>
      </c>
      <c r="AC68" s="37" t="e">
        <f>IF(DaybyDay[[#This Row],[_Space]],DaybyDay[[#This Row],[Ret-Bud-RU]]/DaybyDay[[#This Row],[Serv-Bud-RU]],"")</f>
        <v>#DIV/0!</v>
      </c>
      <c r="AD68" s="37" t="e">
        <f>IF(DaybyDay[[#This Row],[_Space]],DaybyDay[[#This Row],[Ret-LY-RU]]/DaybyDay[[#This Row],[Serv-LY-RU]],"")</f>
        <v>#DIV/0!</v>
      </c>
      <c r="AE68" s="30">
        <f>WEEKDAY(DaybyDay[[#This Row],[LY-Date]])</f>
        <v>6</v>
      </c>
      <c r="AF68" s="38">
        <f>$E$2+_xlfn.DAYS(DaybyDay[[#This Row],[Date]],minDate)</f>
        <v>42433</v>
      </c>
      <c r="AG68" s="39" t="str" cm="1">
        <f t="array" ref="AG68">IFERROR(INDEX(DaybyDay[],DaybyDay[[#This Row],[FORM_MATCH_HELPER]],8),"")</f>
        <v/>
      </c>
      <c r="AH68" s="39" t="str" cm="1">
        <f t="array" ref="AH68">IFERROR(INDEX(DaybyDay[],DaybyDay[[#This Row],[FORM_MATCH_HELPER]],10),"")</f>
        <v/>
      </c>
      <c r="AI68" s="39" t="str" cm="1">
        <f t="array" ref="AI68">IFERROR(INDEX(DaybyDay[],DaybyDay[[#This Row],[FORM_MATCH_HELPER]],12),"")</f>
        <v/>
      </c>
      <c r="AJ68" s="32">
        <f>IFERROR(DaybyDay[[#This Row],[Serv-LY-RU]]+DaybyDay[[#This Row],[Ret-LY-RU]],"")</f>
        <v>0</v>
      </c>
      <c r="AK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 s="77"/>
      <c r="AM68" s="40" t="str">
        <f>IF(DaybyDay[[#This Row],[Admin Hours]]&gt;0,DaybyDay[[#This Row],[Admin Hours]]*$AM$2+$AM$3,"")</f>
        <v/>
      </c>
      <c r="AN68" s="40">
        <f>SUMIFS(DaybyDay[Est-Admin-Payroll],DaybyDay[Date],"&gt;="&amp;$C$5,DaybyDay[RowYear],"&gt;="&amp;$C$4,DaybyDay[Date],"&lt;="&amp;DaybyDay[[#This Row],[Date]])</f>
        <v>0</v>
      </c>
      <c r="AO68" s="41" t="str">
        <f>IF(AND(DaybyDay[[#This Row],[_Space]],ISNUMBER(DaybyDay[[#This Row],[Admin Hours]])),DaybyDay[[#This Row],[Est-Admin-Payroll]]/(DaybyDay[[#This Row],[Service-Actuals]]+DaybyDay[[#This Row],[Retail-Actuals]]),"")</f>
        <v/>
      </c>
      <c r="AP68" s="41" t="e">
        <f>DaybyDay[[#This Row],[Estimated-Payroll-Rollup]]/DaybyDay[[#This Row],[Simple-Forecast]]</f>
        <v>#DIV/0!</v>
      </c>
      <c r="AQ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 s="77"/>
      <c r="AS68" s="40" t="str">
        <f>IF(DaybyDay[[#This Row],[Retail Hours]]&gt;0,DaybyDay[[#This Row],[Retail Hours]]*$AS$2,"")</f>
        <v/>
      </c>
      <c r="AT68" s="40">
        <f>SUMIFS(DaybyDay[Est-Retail-Payroll],DaybyDay[Date],"&gt;="&amp;$C$5,DaybyDay[RowYear],"&gt;="&amp;$C$4,DaybyDay[Date],"&lt;="&amp;DaybyDay[[#This Row],[Date]])</f>
        <v>0</v>
      </c>
      <c r="AU68" s="82" t="str">
        <f>IF(AND(DaybyDay[[#This Row],[_Space]],ISNUMBER(DaybyDay[[#This Row],[Retail Hours]])),DaybyDay[[#This Row],[Est-Retail-Payroll]]/(DaybyDay[[#This Row],[Retail-Actuals]]),"")</f>
        <v/>
      </c>
      <c r="AV68" s="82" t="e">
        <f>DaybyDay[[#This Row],[Est-Retail-PayrollRU]]/DaybyDay[[#This Row],[Simple-Forecast-Retail]]</f>
        <v>#DIV/0!</v>
      </c>
      <c r="AW68" s="8"/>
    </row>
    <row r="69" spans="3:49" hidden="1" x14ac:dyDescent="0.25">
      <c r="C69" s="26" t="str">
        <f>Tools!$C$1</f>
        <v>Example</v>
      </c>
      <c r="D69" s="27" t="s">
        <v>70</v>
      </c>
      <c r="E69" s="28">
        <v>2017</v>
      </c>
      <c r="F69" s="28">
        <f>MATCH(DaybyDay[[#This Row],[RowMonth]],Table3[SummaryMonth],0)</f>
        <v>3</v>
      </c>
      <c r="G69" s="29" t="e">
        <f>MATCH(DaybyDay[[#This Row],[LY-Date]],DaybyDay[Date],0)</f>
        <v>#N/A</v>
      </c>
      <c r="H69" s="30">
        <f>WEEKDAY(DaybyDay[[#This Row],[Date]])</f>
        <v>7</v>
      </c>
      <c r="I69" s="31">
        <v>42798</v>
      </c>
      <c r="J69" s="74">
        <v>0</v>
      </c>
      <c r="K69" s="32">
        <f>SUMIFS(BudgetSeasonality[365 Seasonality],BudgetSeasonality[MonthAdjustment],DaybyDay[[#This Row],[Date]])*SUMIFS(Budgets[Service-Budget],Budgets[BudgetMonth],DaybyDay[[#This Row],[RowMonth]],Budgets[BudgetYear],DaybyDay[[#This Row],[RowYear]])</f>
        <v>0</v>
      </c>
      <c r="L69" s="75">
        <v>0</v>
      </c>
      <c r="M69" s="32">
        <f>INDEX(BudgetSeasonality[365 Seasonality],MATCH(DaybyDay[[#This Row],[Date]],BudgetSeasonality[MonthAdjustment],0))*SUMIFS(Budgets[Retail-Budget],Budgets[BudgetMonth],DaybyDay[[#This Row],[RowMonth]],Budgets[BudgetYear],DaybyDay[[#This Row],[RowYear]])</f>
        <v>0</v>
      </c>
      <c r="N69" s="75">
        <v>0</v>
      </c>
      <c r="O69" s="33">
        <f>SUMIFS(DaybyDay[Service-Budgets],DaybyDay[Date],"&gt;="&amp;$C$5,DaybyDay[RowYear],"&gt;="&amp;$C$4,DaybyDay[Date],"&lt;="&amp;DaybyDay[[#This Row],[Date]])</f>
        <v>0</v>
      </c>
      <c r="P69" s="33">
        <f>SUMIFS(DaybyDay[Retail-Budgets],DaybyDay[Date],"&gt;="&amp;$C$5,DaybyDay[RowYear],"&gt;="&amp;$C$4,DaybyDay[Date],"&lt;="&amp;DaybyDay[[#This Row],[Date]])</f>
        <v>0</v>
      </c>
      <c r="Q69" s="34">
        <f>SUMIFS(DaybyDay[Service-Actuals],DaybyDay[Date],"&gt;="&amp;$C$5,DaybyDay[RowYear],"&gt;="&amp;$C$4,DaybyDay[Date],"&lt;="&amp;DaybyDay[[#This Row],[Date]])</f>
        <v>0</v>
      </c>
      <c r="R69" s="34">
        <f>SUMIFS(DaybyDay[Retail-Actuals],DaybyDay[Date],"&gt;="&amp;$C$5,DaybyDay[RowYear],"&gt;="&amp;$C$4,DaybyDay[Date],"&lt;="&amp;DaybyDay[[#This Row],[Date]])</f>
        <v>0</v>
      </c>
      <c r="S69" s="35">
        <f>SUMIFS(DaybyDay[Service-LY],DaybyDay[Date],"&gt;="&amp;$C$5,DaybyDay[RowYear],"&gt;="&amp;$C$4,DaybyDay[Date],"&lt;="&amp;DaybyDay[[#This Row],[Date]])</f>
        <v>0</v>
      </c>
      <c r="T69" s="35">
        <f>SUMIFS(DaybyDay[Retail-LY],DaybyDay[Date],"&gt;="&amp;$C$5,DaybyDay[RowYear],"&gt;="&amp;$C$4,DaybyDay[Date],"&lt;="&amp;DaybyDay[[#This Row],[Date]])</f>
        <v>0</v>
      </c>
      <c r="U69" s="32">
        <f>DaybyDay[[#This Row],[Serv-Bud-RU]]+DaybyDay[[#This Row],[Ret-Bud-RU]]</f>
        <v>0</v>
      </c>
      <c r="V69" s="32">
        <f>DaybyDay[[#This Row],[Serv-Act-RU]]+DaybyDay[[#This Row],[Ret-Act-RU]]</f>
        <v>0</v>
      </c>
      <c r="W69" s="36">
        <f>IF(DaybyDay[[#This Row],[_Space]],IFERROR(
((DaybyDay[[#This Row],[Actual-Rollup]]-DaybyDay[[#This Row],[Budget-Rollup]])/DaybyDay[[#This Row],[Budget-Rollup]]),0),"")</f>
        <v>0</v>
      </c>
      <c r="X69" t="b">
        <f>NOT(AND(ISBLANK(DaybyDay[[#This Row],[Appts]]),ISBLANK(DaybyDay[[#This Row],[Service-Actuals]]),ISBLANK(DaybyDay[[#This Row],[Retail-Actuals]])))</f>
        <v>1</v>
      </c>
      <c r="Y69" s="36">
        <f>IF(DaybyDay[[#This Row],[_Space]],IFERROR(
((DaybyDay[[#This Row],[Actual-Rollup]]-DaybyDay[[#This Row],[LY-Rollup]])/DaybyDay[[#This Row],[LY-Rollup]]),0),"")</f>
        <v>0</v>
      </c>
      <c r="Z69"/>
      <c r="AA69" s="37" t="e">
        <f>IF(DaybyDay[[#This Row],[_Space]],DaybyDay[[#This Row],[Ret-Act-RU]]/DaybyDay[[#This Row],[Serv-Act-RU]],"")</f>
        <v>#DIV/0!</v>
      </c>
      <c r="AB69" s="50" t="e">
        <f>IF(DaybyDay[[#This Row],[_Space]],DaybyDay[[#This Row],[RETPEN-Act]]/DaybyDay[[#This Row],[RETPEN-Bud]],"")</f>
        <v>#DIV/0!</v>
      </c>
      <c r="AC69" s="37" t="e">
        <f>IF(DaybyDay[[#This Row],[_Space]],DaybyDay[[#This Row],[Ret-Bud-RU]]/DaybyDay[[#This Row],[Serv-Bud-RU]],"")</f>
        <v>#DIV/0!</v>
      </c>
      <c r="AD69" s="37" t="e">
        <f>IF(DaybyDay[[#This Row],[_Space]],DaybyDay[[#This Row],[Ret-LY-RU]]/DaybyDay[[#This Row],[Serv-LY-RU]],"")</f>
        <v>#DIV/0!</v>
      </c>
      <c r="AE69" s="30">
        <f>WEEKDAY(DaybyDay[[#This Row],[LY-Date]])</f>
        <v>7</v>
      </c>
      <c r="AF69" s="38">
        <f>$E$2+_xlfn.DAYS(DaybyDay[[#This Row],[Date]],minDate)</f>
        <v>42434</v>
      </c>
      <c r="AG69" s="39" t="str" cm="1">
        <f t="array" ref="AG69">IFERROR(INDEX(DaybyDay[],DaybyDay[[#This Row],[FORM_MATCH_HELPER]],8),"")</f>
        <v/>
      </c>
      <c r="AH69" s="39" t="str" cm="1">
        <f t="array" ref="AH69">IFERROR(INDEX(DaybyDay[],DaybyDay[[#This Row],[FORM_MATCH_HELPER]],10),"")</f>
        <v/>
      </c>
      <c r="AI69" s="39" t="str" cm="1">
        <f t="array" ref="AI69">IFERROR(INDEX(DaybyDay[],DaybyDay[[#This Row],[FORM_MATCH_HELPER]],12),"")</f>
        <v/>
      </c>
      <c r="AJ69" s="32">
        <f>IFERROR(DaybyDay[[#This Row],[Serv-LY-RU]]+DaybyDay[[#This Row],[Ret-LY-RU]],"")</f>
        <v>0</v>
      </c>
      <c r="AK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 s="77"/>
      <c r="AM69" s="40" t="str">
        <f>IF(DaybyDay[[#This Row],[Admin Hours]]&gt;0,DaybyDay[[#This Row],[Admin Hours]]*$AM$2+$AM$3,"")</f>
        <v/>
      </c>
      <c r="AN69" s="40">
        <f>SUMIFS(DaybyDay[Est-Admin-Payroll],DaybyDay[Date],"&gt;="&amp;$C$5,DaybyDay[RowYear],"&gt;="&amp;$C$4,DaybyDay[Date],"&lt;="&amp;DaybyDay[[#This Row],[Date]])</f>
        <v>0</v>
      </c>
      <c r="AO69" s="41" t="str">
        <f>IF(AND(DaybyDay[[#This Row],[_Space]],ISNUMBER(DaybyDay[[#This Row],[Admin Hours]])),DaybyDay[[#This Row],[Est-Admin-Payroll]]/(DaybyDay[[#This Row],[Service-Actuals]]+DaybyDay[[#This Row],[Retail-Actuals]]),"")</f>
        <v/>
      </c>
      <c r="AP69" s="41" t="e">
        <f>DaybyDay[[#This Row],[Estimated-Payroll-Rollup]]/DaybyDay[[#This Row],[Simple-Forecast]]</f>
        <v>#DIV/0!</v>
      </c>
      <c r="AQ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 s="77"/>
      <c r="AS69" s="40" t="str">
        <f>IF(DaybyDay[[#This Row],[Retail Hours]]&gt;0,DaybyDay[[#This Row],[Retail Hours]]*$AS$2,"")</f>
        <v/>
      </c>
      <c r="AT69" s="40">
        <f>SUMIFS(DaybyDay[Est-Retail-Payroll],DaybyDay[Date],"&gt;="&amp;$C$5,DaybyDay[RowYear],"&gt;="&amp;$C$4,DaybyDay[Date],"&lt;="&amp;DaybyDay[[#This Row],[Date]])</f>
        <v>0</v>
      </c>
      <c r="AU69" s="82" t="str">
        <f>IF(AND(DaybyDay[[#This Row],[_Space]],ISNUMBER(DaybyDay[[#This Row],[Retail Hours]])),DaybyDay[[#This Row],[Est-Retail-Payroll]]/(DaybyDay[[#This Row],[Retail-Actuals]]),"")</f>
        <v/>
      </c>
      <c r="AV69" s="82" t="e">
        <f>DaybyDay[[#This Row],[Est-Retail-PayrollRU]]/DaybyDay[[#This Row],[Simple-Forecast-Retail]]</f>
        <v>#DIV/0!</v>
      </c>
      <c r="AW69" s="8"/>
    </row>
    <row r="70" spans="3:49" hidden="1" x14ac:dyDescent="0.25">
      <c r="C70" s="26" t="str">
        <f>Tools!$C$1</f>
        <v>Example</v>
      </c>
      <c r="D70" s="27" t="s">
        <v>70</v>
      </c>
      <c r="E70" s="28">
        <v>2017</v>
      </c>
      <c r="F70" s="28">
        <f>MATCH(DaybyDay[[#This Row],[RowMonth]],Table3[SummaryMonth],0)</f>
        <v>3</v>
      </c>
      <c r="G70" s="29" t="e">
        <f>MATCH(DaybyDay[[#This Row],[LY-Date]],DaybyDay[Date],0)</f>
        <v>#N/A</v>
      </c>
      <c r="H70" s="30">
        <f>WEEKDAY(DaybyDay[[#This Row],[Date]])</f>
        <v>1</v>
      </c>
      <c r="I70" s="31">
        <v>42799</v>
      </c>
      <c r="J70" s="74">
        <v>0</v>
      </c>
      <c r="K70" s="32">
        <f>SUMIFS(BudgetSeasonality[365 Seasonality],BudgetSeasonality[MonthAdjustment],DaybyDay[[#This Row],[Date]])*SUMIFS(Budgets[Service-Budget],Budgets[BudgetMonth],DaybyDay[[#This Row],[RowMonth]],Budgets[BudgetYear],DaybyDay[[#This Row],[RowYear]])</f>
        <v>0</v>
      </c>
      <c r="L70" s="75">
        <v>0</v>
      </c>
      <c r="M70" s="32">
        <f>INDEX(BudgetSeasonality[365 Seasonality],MATCH(DaybyDay[[#This Row],[Date]],BudgetSeasonality[MonthAdjustment],0))*SUMIFS(Budgets[Retail-Budget],Budgets[BudgetMonth],DaybyDay[[#This Row],[RowMonth]],Budgets[BudgetYear],DaybyDay[[#This Row],[RowYear]])</f>
        <v>0</v>
      </c>
      <c r="N70" s="75">
        <v>0</v>
      </c>
      <c r="O70" s="33">
        <f>SUMIFS(DaybyDay[Service-Budgets],DaybyDay[Date],"&gt;="&amp;$C$5,DaybyDay[RowYear],"&gt;="&amp;$C$4,DaybyDay[Date],"&lt;="&amp;DaybyDay[[#This Row],[Date]])</f>
        <v>0</v>
      </c>
      <c r="P70" s="33">
        <f>SUMIFS(DaybyDay[Retail-Budgets],DaybyDay[Date],"&gt;="&amp;$C$5,DaybyDay[RowYear],"&gt;="&amp;$C$4,DaybyDay[Date],"&lt;="&amp;DaybyDay[[#This Row],[Date]])</f>
        <v>0</v>
      </c>
      <c r="Q70" s="34">
        <f>SUMIFS(DaybyDay[Service-Actuals],DaybyDay[Date],"&gt;="&amp;$C$5,DaybyDay[RowYear],"&gt;="&amp;$C$4,DaybyDay[Date],"&lt;="&amp;DaybyDay[[#This Row],[Date]])</f>
        <v>0</v>
      </c>
      <c r="R70" s="34">
        <f>SUMIFS(DaybyDay[Retail-Actuals],DaybyDay[Date],"&gt;="&amp;$C$5,DaybyDay[RowYear],"&gt;="&amp;$C$4,DaybyDay[Date],"&lt;="&amp;DaybyDay[[#This Row],[Date]])</f>
        <v>0</v>
      </c>
      <c r="S70" s="35">
        <f>SUMIFS(DaybyDay[Service-LY],DaybyDay[Date],"&gt;="&amp;$C$5,DaybyDay[RowYear],"&gt;="&amp;$C$4,DaybyDay[Date],"&lt;="&amp;DaybyDay[[#This Row],[Date]])</f>
        <v>0</v>
      </c>
      <c r="T70" s="35">
        <f>SUMIFS(DaybyDay[Retail-LY],DaybyDay[Date],"&gt;="&amp;$C$5,DaybyDay[RowYear],"&gt;="&amp;$C$4,DaybyDay[Date],"&lt;="&amp;DaybyDay[[#This Row],[Date]])</f>
        <v>0</v>
      </c>
      <c r="U70" s="32">
        <f>DaybyDay[[#This Row],[Serv-Bud-RU]]+DaybyDay[[#This Row],[Ret-Bud-RU]]</f>
        <v>0</v>
      </c>
      <c r="V70" s="32">
        <f>DaybyDay[[#This Row],[Serv-Act-RU]]+DaybyDay[[#This Row],[Ret-Act-RU]]</f>
        <v>0</v>
      </c>
      <c r="W70" s="36">
        <f>IF(DaybyDay[[#This Row],[_Space]],IFERROR(
((DaybyDay[[#This Row],[Actual-Rollup]]-DaybyDay[[#This Row],[Budget-Rollup]])/DaybyDay[[#This Row],[Budget-Rollup]]),0),"")</f>
        <v>0</v>
      </c>
      <c r="X70" t="b">
        <f>NOT(AND(ISBLANK(DaybyDay[[#This Row],[Appts]]),ISBLANK(DaybyDay[[#This Row],[Service-Actuals]]),ISBLANK(DaybyDay[[#This Row],[Retail-Actuals]])))</f>
        <v>1</v>
      </c>
      <c r="Y70" s="36">
        <f>IF(DaybyDay[[#This Row],[_Space]],IFERROR(
((DaybyDay[[#This Row],[Actual-Rollup]]-DaybyDay[[#This Row],[LY-Rollup]])/DaybyDay[[#This Row],[LY-Rollup]]),0),"")</f>
        <v>0</v>
      </c>
      <c r="Z70"/>
      <c r="AA70" s="37" t="e">
        <f>IF(DaybyDay[[#This Row],[_Space]],DaybyDay[[#This Row],[Ret-Act-RU]]/DaybyDay[[#This Row],[Serv-Act-RU]],"")</f>
        <v>#DIV/0!</v>
      </c>
      <c r="AB70" s="50" t="e">
        <f>IF(DaybyDay[[#This Row],[_Space]],DaybyDay[[#This Row],[RETPEN-Act]]/DaybyDay[[#This Row],[RETPEN-Bud]],"")</f>
        <v>#DIV/0!</v>
      </c>
      <c r="AC70" s="37" t="e">
        <f>IF(DaybyDay[[#This Row],[_Space]],DaybyDay[[#This Row],[Ret-Bud-RU]]/DaybyDay[[#This Row],[Serv-Bud-RU]],"")</f>
        <v>#DIV/0!</v>
      </c>
      <c r="AD70" s="37" t="e">
        <f>IF(DaybyDay[[#This Row],[_Space]],DaybyDay[[#This Row],[Ret-LY-RU]]/DaybyDay[[#This Row],[Serv-LY-RU]],"")</f>
        <v>#DIV/0!</v>
      </c>
      <c r="AE70" s="30">
        <f>WEEKDAY(DaybyDay[[#This Row],[LY-Date]])</f>
        <v>1</v>
      </c>
      <c r="AF70" s="38">
        <f>$E$2+_xlfn.DAYS(DaybyDay[[#This Row],[Date]],minDate)</f>
        <v>42435</v>
      </c>
      <c r="AG70" s="39" t="str" cm="1">
        <f t="array" ref="AG70">IFERROR(INDEX(DaybyDay[],DaybyDay[[#This Row],[FORM_MATCH_HELPER]],8),"")</f>
        <v/>
      </c>
      <c r="AH70" s="39" t="str" cm="1">
        <f t="array" ref="AH70">IFERROR(INDEX(DaybyDay[],DaybyDay[[#This Row],[FORM_MATCH_HELPER]],10),"")</f>
        <v/>
      </c>
      <c r="AI70" s="39" t="str" cm="1">
        <f t="array" ref="AI70">IFERROR(INDEX(DaybyDay[],DaybyDay[[#This Row],[FORM_MATCH_HELPER]],12),"")</f>
        <v/>
      </c>
      <c r="AJ70" s="32">
        <f>IFERROR(DaybyDay[[#This Row],[Serv-LY-RU]]+DaybyDay[[#This Row],[Ret-LY-RU]],"")</f>
        <v>0</v>
      </c>
      <c r="AK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 s="77"/>
      <c r="AM70" s="40" t="str">
        <f>IF(DaybyDay[[#This Row],[Admin Hours]]&gt;0,DaybyDay[[#This Row],[Admin Hours]]*$AM$2+$AM$3,"")</f>
        <v/>
      </c>
      <c r="AN70" s="40">
        <f>SUMIFS(DaybyDay[Est-Admin-Payroll],DaybyDay[Date],"&gt;="&amp;$C$5,DaybyDay[RowYear],"&gt;="&amp;$C$4,DaybyDay[Date],"&lt;="&amp;DaybyDay[[#This Row],[Date]])</f>
        <v>0</v>
      </c>
      <c r="AO70" s="41" t="str">
        <f>IF(AND(DaybyDay[[#This Row],[_Space]],ISNUMBER(DaybyDay[[#This Row],[Admin Hours]])),DaybyDay[[#This Row],[Est-Admin-Payroll]]/(DaybyDay[[#This Row],[Service-Actuals]]+DaybyDay[[#This Row],[Retail-Actuals]]),"")</f>
        <v/>
      </c>
      <c r="AP70" s="41" t="e">
        <f>DaybyDay[[#This Row],[Estimated-Payroll-Rollup]]/DaybyDay[[#This Row],[Simple-Forecast]]</f>
        <v>#DIV/0!</v>
      </c>
      <c r="AQ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 s="77"/>
      <c r="AS70" s="40" t="str">
        <f>IF(DaybyDay[[#This Row],[Retail Hours]]&gt;0,DaybyDay[[#This Row],[Retail Hours]]*$AS$2,"")</f>
        <v/>
      </c>
      <c r="AT70" s="40">
        <f>SUMIFS(DaybyDay[Est-Retail-Payroll],DaybyDay[Date],"&gt;="&amp;$C$5,DaybyDay[RowYear],"&gt;="&amp;$C$4,DaybyDay[Date],"&lt;="&amp;DaybyDay[[#This Row],[Date]])</f>
        <v>0</v>
      </c>
      <c r="AU70" s="82" t="str">
        <f>IF(AND(DaybyDay[[#This Row],[_Space]],ISNUMBER(DaybyDay[[#This Row],[Retail Hours]])),DaybyDay[[#This Row],[Est-Retail-Payroll]]/(DaybyDay[[#This Row],[Retail-Actuals]]),"")</f>
        <v/>
      </c>
      <c r="AV70" s="82" t="e">
        <f>DaybyDay[[#This Row],[Est-Retail-PayrollRU]]/DaybyDay[[#This Row],[Simple-Forecast-Retail]]</f>
        <v>#DIV/0!</v>
      </c>
      <c r="AW70" s="8"/>
    </row>
    <row r="71" spans="3:49" hidden="1" x14ac:dyDescent="0.25">
      <c r="C71" s="26" t="str">
        <f>Tools!$C$1</f>
        <v>Example</v>
      </c>
      <c r="D71" s="27" t="s">
        <v>70</v>
      </c>
      <c r="E71" s="28">
        <v>2017</v>
      </c>
      <c r="F71" s="28">
        <f>MATCH(DaybyDay[[#This Row],[RowMonth]],Table3[SummaryMonth],0)</f>
        <v>3</v>
      </c>
      <c r="G71" s="29" t="e">
        <f>MATCH(DaybyDay[[#This Row],[LY-Date]],DaybyDay[Date],0)</f>
        <v>#N/A</v>
      </c>
      <c r="H71" s="30">
        <f>WEEKDAY(DaybyDay[[#This Row],[Date]])</f>
        <v>2</v>
      </c>
      <c r="I71" s="31">
        <v>42800</v>
      </c>
      <c r="J71" s="74">
        <v>7</v>
      </c>
      <c r="K71" s="32">
        <f>SUMIFS(BudgetSeasonality[365 Seasonality],BudgetSeasonality[MonthAdjustment],DaybyDay[[#This Row],[Date]])*SUMIFS(Budgets[Service-Budget],Budgets[BudgetMonth],DaybyDay[[#This Row],[RowMonth]],Budgets[BudgetYear],DaybyDay[[#This Row],[RowYear]])</f>
        <v>0</v>
      </c>
      <c r="L71" s="75">
        <v>1291</v>
      </c>
      <c r="M71" s="32">
        <f>INDEX(BudgetSeasonality[365 Seasonality],MATCH(DaybyDay[[#This Row],[Date]],BudgetSeasonality[MonthAdjustment],0))*SUMIFS(Budgets[Retail-Budget],Budgets[BudgetMonth],DaybyDay[[#This Row],[RowMonth]],Budgets[BudgetYear],DaybyDay[[#This Row],[RowYear]])</f>
        <v>0</v>
      </c>
      <c r="N71" s="75">
        <v>0</v>
      </c>
      <c r="O71" s="33">
        <f>SUMIFS(DaybyDay[Service-Budgets],DaybyDay[Date],"&gt;="&amp;$C$5,DaybyDay[RowYear],"&gt;="&amp;$C$4,DaybyDay[Date],"&lt;="&amp;DaybyDay[[#This Row],[Date]])</f>
        <v>0</v>
      </c>
      <c r="P71" s="33">
        <f>SUMIFS(DaybyDay[Retail-Budgets],DaybyDay[Date],"&gt;="&amp;$C$5,DaybyDay[RowYear],"&gt;="&amp;$C$4,DaybyDay[Date],"&lt;="&amp;DaybyDay[[#This Row],[Date]])</f>
        <v>0</v>
      </c>
      <c r="Q71" s="34">
        <f>SUMIFS(DaybyDay[Service-Actuals],DaybyDay[Date],"&gt;="&amp;$C$5,DaybyDay[RowYear],"&gt;="&amp;$C$4,DaybyDay[Date],"&lt;="&amp;DaybyDay[[#This Row],[Date]])</f>
        <v>0</v>
      </c>
      <c r="R71" s="34">
        <f>SUMIFS(DaybyDay[Retail-Actuals],DaybyDay[Date],"&gt;="&amp;$C$5,DaybyDay[RowYear],"&gt;="&amp;$C$4,DaybyDay[Date],"&lt;="&amp;DaybyDay[[#This Row],[Date]])</f>
        <v>0</v>
      </c>
      <c r="S71" s="35">
        <f>SUMIFS(DaybyDay[Service-LY],DaybyDay[Date],"&gt;="&amp;$C$5,DaybyDay[RowYear],"&gt;="&amp;$C$4,DaybyDay[Date],"&lt;="&amp;DaybyDay[[#This Row],[Date]])</f>
        <v>0</v>
      </c>
      <c r="T71" s="35">
        <f>SUMIFS(DaybyDay[Retail-LY],DaybyDay[Date],"&gt;="&amp;$C$5,DaybyDay[RowYear],"&gt;="&amp;$C$4,DaybyDay[Date],"&lt;="&amp;DaybyDay[[#This Row],[Date]])</f>
        <v>0</v>
      </c>
      <c r="U71" s="32">
        <f>DaybyDay[[#This Row],[Serv-Bud-RU]]+DaybyDay[[#This Row],[Ret-Bud-RU]]</f>
        <v>0</v>
      </c>
      <c r="V71" s="32">
        <f>DaybyDay[[#This Row],[Serv-Act-RU]]+DaybyDay[[#This Row],[Ret-Act-RU]]</f>
        <v>0</v>
      </c>
      <c r="W71" s="36">
        <f>IF(DaybyDay[[#This Row],[_Space]],IFERROR(
((DaybyDay[[#This Row],[Actual-Rollup]]-DaybyDay[[#This Row],[Budget-Rollup]])/DaybyDay[[#This Row],[Budget-Rollup]]),0),"")</f>
        <v>0</v>
      </c>
      <c r="X71" t="b">
        <f>NOT(AND(ISBLANK(DaybyDay[[#This Row],[Appts]]),ISBLANK(DaybyDay[[#This Row],[Service-Actuals]]),ISBLANK(DaybyDay[[#This Row],[Retail-Actuals]])))</f>
        <v>1</v>
      </c>
      <c r="Y71" s="36">
        <f>IF(DaybyDay[[#This Row],[_Space]],IFERROR(
((DaybyDay[[#This Row],[Actual-Rollup]]-DaybyDay[[#This Row],[LY-Rollup]])/DaybyDay[[#This Row],[LY-Rollup]]),0),"")</f>
        <v>0</v>
      </c>
      <c r="Z71"/>
      <c r="AA71" s="37" t="e">
        <f>IF(DaybyDay[[#This Row],[_Space]],DaybyDay[[#This Row],[Ret-Act-RU]]/DaybyDay[[#This Row],[Serv-Act-RU]],"")</f>
        <v>#DIV/0!</v>
      </c>
      <c r="AB71" s="50" t="e">
        <f>IF(DaybyDay[[#This Row],[_Space]],DaybyDay[[#This Row],[RETPEN-Act]]/DaybyDay[[#This Row],[RETPEN-Bud]],"")</f>
        <v>#DIV/0!</v>
      </c>
      <c r="AC71" s="37" t="e">
        <f>IF(DaybyDay[[#This Row],[_Space]],DaybyDay[[#This Row],[Ret-Bud-RU]]/DaybyDay[[#This Row],[Serv-Bud-RU]],"")</f>
        <v>#DIV/0!</v>
      </c>
      <c r="AD71" s="37" t="e">
        <f>IF(DaybyDay[[#This Row],[_Space]],DaybyDay[[#This Row],[Ret-LY-RU]]/DaybyDay[[#This Row],[Serv-LY-RU]],"")</f>
        <v>#DIV/0!</v>
      </c>
      <c r="AE71" s="30">
        <f>WEEKDAY(DaybyDay[[#This Row],[LY-Date]])</f>
        <v>2</v>
      </c>
      <c r="AF71" s="38">
        <f>$E$2+_xlfn.DAYS(DaybyDay[[#This Row],[Date]],minDate)</f>
        <v>42436</v>
      </c>
      <c r="AG71" s="39" t="str" cm="1">
        <f t="array" ref="AG71">IFERROR(INDEX(DaybyDay[],DaybyDay[[#This Row],[FORM_MATCH_HELPER]],8),"")</f>
        <v/>
      </c>
      <c r="AH71" s="39" t="str" cm="1">
        <f t="array" ref="AH71">IFERROR(INDEX(DaybyDay[],DaybyDay[[#This Row],[FORM_MATCH_HELPER]],10),"")</f>
        <v/>
      </c>
      <c r="AI71" s="39" t="str" cm="1">
        <f t="array" ref="AI71">IFERROR(INDEX(DaybyDay[],DaybyDay[[#This Row],[FORM_MATCH_HELPER]],12),"")</f>
        <v/>
      </c>
      <c r="AJ71" s="32">
        <f>IFERROR(DaybyDay[[#This Row],[Serv-LY-RU]]+DaybyDay[[#This Row],[Ret-LY-RU]],"")</f>
        <v>0</v>
      </c>
      <c r="AK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 s="77"/>
      <c r="AM71" s="40" t="str">
        <f>IF(DaybyDay[[#This Row],[Admin Hours]]&gt;0,DaybyDay[[#This Row],[Admin Hours]]*$AM$2+$AM$3,"")</f>
        <v/>
      </c>
      <c r="AN71" s="40">
        <f>SUMIFS(DaybyDay[Est-Admin-Payroll],DaybyDay[Date],"&gt;="&amp;$C$5,DaybyDay[RowYear],"&gt;="&amp;$C$4,DaybyDay[Date],"&lt;="&amp;DaybyDay[[#This Row],[Date]])</f>
        <v>0</v>
      </c>
      <c r="AO71" s="41" t="str">
        <f>IF(AND(DaybyDay[[#This Row],[_Space]],ISNUMBER(DaybyDay[[#This Row],[Admin Hours]])),DaybyDay[[#This Row],[Est-Admin-Payroll]]/(DaybyDay[[#This Row],[Service-Actuals]]+DaybyDay[[#This Row],[Retail-Actuals]]),"")</f>
        <v/>
      </c>
      <c r="AP71" s="41" t="e">
        <f>DaybyDay[[#This Row],[Estimated-Payroll-Rollup]]/DaybyDay[[#This Row],[Simple-Forecast]]</f>
        <v>#DIV/0!</v>
      </c>
      <c r="AQ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 s="77"/>
      <c r="AS71" s="40" t="str">
        <f>IF(DaybyDay[[#This Row],[Retail Hours]]&gt;0,DaybyDay[[#This Row],[Retail Hours]]*$AS$2,"")</f>
        <v/>
      </c>
      <c r="AT71" s="40">
        <f>SUMIFS(DaybyDay[Est-Retail-Payroll],DaybyDay[Date],"&gt;="&amp;$C$5,DaybyDay[RowYear],"&gt;="&amp;$C$4,DaybyDay[Date],"&lt;="&amp;DaybyDay[[#This Row],[Date]])</f>
        <v>0</v>
      </c>
      <c r="AU71" s="82" t="str">
        <f>IF(AND(DaybyDay[[#This Row],[_Space]],ISNUMBER(DaybyDay[[#This Row],[Retail Hours]])),DaybyDay[[#This Row],[Est-Retail-Payroll]]/(DaybyDay[[#This Row],[Retail-Actuals]]),"")</f>
        <v/>
      </c>
      <c r="AV71" s="82" t="e">
        <f>DaybyDay[[#This Row],[Est-Retail-PayrollRU]]/DaybyDay[[#This Row],[Simple-Forecast-Retail]]</f>
        <v>#DIV/0!</v>
      </c>
      <c r="AW71" s="8"/>
    </row>
    <row r="72" spans="3:49" hidden="1" x14ac:dyDescent="0.25">
      <c r="C72" s="26" t="str">
        <f>Tools!$C$1</f>
        <v>Example</v>
      </c>
      <c r="D72" s="27" t="s">
        <v>70</v>
      </c>
      <c r="E72" s="28">
        <v>2017</v>
      </c>
      <c r="F72" s="28">
        <f>MATCH(DaybyDay[[#This Row],[RowMonth]],Table3[SummaryMonth],0)</f>
        <v>3</v>
      </c>
      <c r="G72" s="29" t="e">
        <f>MATCH(DaybyDay[[#This Row],[LY-Date]],DaybyDay[Date],0)</f>
        <v>#N/A</v>
      </c>
      <c r="H72" s="30">
        <f>WEEKDAY(DaybyDay[[#This Row],[Date]])</f>
        <v>3</v>
      </c>
      <c r="I72" s="31">
        <v>42801</v>
      </c>
      <c r="J72" s="74">
        <v>17</v>
      </c>
      <c r="K72" s="32">
        <f>SUMIFS(BudgetSeasonality[365 Seasonality],BudgetSeasonality[MonthAdjustment],DaybyDay[[#This Row],[Date]])*SUMIFS(Budgets[Service-Budget],Budgets[BudgetMonth],DaybyDay[[#This Row],[RowMonth]],Budgets[BudgetYear],DaybyDay[[#This Row],[RowYear]])</f>
        <v>0</v>
      </c>
      <c r="L72" s="75">
        <v>3445.7</v>
      </c>
      <c r="M72" s="32">
        <f>INDEX(BudgetSeasonality[365 Seasonality],MATCH(DaybyDay[[#This Row],[Date]],BudgetSeasonality[MonthAdjustment],0))*SUMIFS(Budgets[Retail-Budget],Budgets[BudgetMonth],DaybyDay[[#This Row],[RowMonth]],Budgets[BudgetYear],DaybyDay[[#This Row],[RowYear]])</f>
        <v>0</v>
      </c>
      <c r="N72" s="75">
        <v>538.75</v>
      </c>
      <c r="O72" s="33">
        <f>SUMIFS(DaybyDay[Service-Budgets],DaybyDay[Date],"&gt;="&amp;$C$5,DaybyDay[RowYear],"&gt;="&amp;$C$4,DaybyDay[Date],"&lt;="&amp;DaybyDay[[#This Row],[Date]])</f>
        <v>0</v>
      </c>
      <c r="P72" s="33">
        <f>SUMIFS(DaybyDay[Retail-Budgets],DaybyDay[Date],"&gt;="&amp;$C$5,DaybyDay[RowYear],"&gt;="&amp;$C$4,DaybyDay[Date],"&lt;="&amp;DaybyDay[[#This Row],[Date]])</f>
        <v>0</v>
      </c>
      <c r="Q72" s="34">
        <f>SUMIFS(DaybyDay[Service-Actuals],DaybyDay[Date],"&gt;="&amp;$C$5,DaybyDay[RowYear],"&gt;="&amp;$C$4,DaybyDay[Date],"&lt;="&amp;DaybyDay[[#This Row],[Date]])</f>
        <v>0</v>
      </c>
      <c r="R72" s="34">
        <f>SUMIFS(DaybyDay[Retail-Actuals],DaybyDay[Date],"&gt;="&amp;$C$5,DaybyDay[RowYear],"&gt;="&amp;$C$4,DaybyDay[Date],"&lt;="&amp;DaybyDay[[#This Row],[Date]])</f>
        <v>0</v>
      </c>
      <c r="S72" s="35">
        <f>SUMIFS(DaybyDay[Service-LY],DaybyDay[Date],"&gt;="&amp;$C$5,DaybyDay[RowYear],"&gt;="&amp;$C$4,DaybyDay[Date],"&lt;="&amp;DaybyDay[[#This Row],[Date]])</f>
        <v>0</v>
      </c>
      <c r="T72" s="35">
        <f>SUMIFS(DaybyDay[Retail-LY],DaybyDay[Date],"&gt;="&amp;$C$5,DaybyDay[RowYear],"&gt;="&amp;$C$4,DaybyDay[Date],"&lt;="&amp;DaybyDay[[#This Row],[Date]])</f>
        <v>0</v>
      </c>
      <c r="U72" s="32">
        <f>DaybyDay[[#This Row],[Serv-Bud-RU]]+DaybyDay[[#This Row],[Ret-Bud-RU]]</f>
        <v>0</v>
      </c>
      <c r="V72" s="32">
        <f>DaybyDay[[#This Row],[Serv-Act-RU]]+DaybyDay[[#This Row],[Ret-Act-RU]]</f>
        <v>0</v>
      </c>
      <c r="W72" s="36">
        <f>IF(DaybyDay[[#This Row],[_Space]],IFERROR(
((DaybyDay[[#This Row],[Actual-Rollup]]-DaybyDay[[#This Row],[Budget-Rollup]])/DaybyDay[[#This Row],[Budget-Rollup]]),0),"")</f>
        <v>0</v>
      </c>
      <c r="X72" t="b">
        <f>NOT(AND(ISBLANK(DaybyDay[[#This Row],[Appts]]),ISBLANK(DaybyDay[[#This Row],[Service-Actuals]]),ISBLANK(DaybyDay[[#This Row],[Retail-Actuals]])))</f>
        <v>1</v>
      </c>
      <c r="Y72" s="36">
        <f>IF(DaybyDay[[#This Row],[_Space]],IFERROR(
((DaybyDay[[#This Row],[Actual-Rollup]]-DaybyDay[[#This Row],[LY-Rollup]])/DaybyDay[[#This Row],[LY-Rollup]]),0),"")</f>
        <v>0</v>
      </c>
      <c r="Z72"/>
      <c r="AA72" s="37" t="e">
        <f>IF(DaybyDay[[#This Row],[_Space]],DaybyDay[[#This Row],[Ret-Act-RU]]/DaybyDay[[#This Row],[Serv-Act-RU]],"")</f>
        <v>#DIV/0!</v>
      </c>
      <c r="AB72" s="50" t="e">
        <f>IF(DaybyDay[[#This Row],[_Space]],DaybyDay[[#This Row],[RETPEN-Act]]/DaybyDay[[#This Row],[RETPEN-Bud]],"")</f>
        <v>#DIV/0!</v>
      </c>
      <c r="AC72" s="37" t="e">
        <f>IF(DaybyDay[[#This Row],[_Space]],DaybyDay[[#This Row],[Ret-Bud-RU]]/DaybyDay[[#This Row],[Serv-Bud-RU]],"")</f>
        <v>#DIV/0!</v>
      </c>
      <c r="AD72" s="37" t="e">
        <f>IF(DaybyDay[[#This Row],[_Space]],DaybyDay[[#This Row],[Ret-LY-RU]]/DaybyDay[[#This Row],[Serv-LY-RU]],"")</f>
        <v>#DIV/0!</v>
      </c>
      <c r="AE72" s="30">
        <f>WEEKDAY(DaybyDay[[#This Row],[LY-Date]])</f>
        <v>3</v>
      </c>
      <c r="AF72" s="38">
        <f>$E$2+_xlfn.DAYS(DaybyDay[[#This Row],[Date]],minDate)</f>
        <v>42437</v>
      </c>
      <c r="AG72" s="39" t="str" cm="1">
        <f t="array" ref="AG72">IFERROR(INDEX(DaybyDay[],DaybyDay[[#This Row],[FORM_MATCH_HELPER]],8),"")</f>
        <v/>
      </c>
      <c r="AH72" s="39" t="str" cm="1">
        <f t="array" ref="AH72">IFERROR(INDEX(DaybyDay[],DaybyDay[[#This Row],[FORM_MATCH_HELPER]],10),"")</f>
        <v/>
      </c>
      <c r="AI72" s="39" t="str" cm="1">
        <f t="array" ref="AI72">IFERROR(INDEX(DaybyDay[],DaybyDay[[#This Row],[FORM_MATCH_HELPER]],12),"")</f>
        <v/>
      </c>
      <c r="AJ72" s="32">
        <f>IFERROR(DaybyDay[[#This Row],[Serv-LY-RU]]+DaybyDay[[#This Row],[Ret-LY-RU]],"")</f>
        <v>0</v>
      </c>
      <c r="AK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 s="77"/>
      <c r="AM72" s="40" t="str">
        <f>IF(DaybyDay[[#This Row],[Admin Hours]]&gt;0,DaybyDay[[#This Row],[Admin Hours]]*$AM$2+$AM$3,"")</f>
        <v/>
      </c>
      <c r="AN72" s="40">
        <f>SUMIFS(DaybyDay[Est-Admin-Payroll],DaybyDay[Date],"&gt;="&amp;$C$5,DaybyDay[RowYear],"&gt;="&amp;$C$4,DaybyDay[Date],"&lt;="&amp;DaybyDay[[#This Row],[Date]])</f>
        <v>0</v>
      </c>
      <c r="AO72" s="41" t="str">
        <f>IF(AND(DaybyDay[[#This Row],[_Space]],ISNUMBER(DaybyDay[[#This Row],[Admin Hours]])),DaybyDay[[#This Row],[Est-Admin-Payroll]]/(DaybyDay[[#This Row],[Service-Actuals]]+DaybyDay[[#This Row],[Retail-Actuals]]),"")</f>
        <v/>
      </c>
      <c r="AP72" s="41" t="e">
        <f>DaybyDay[[#This Row],[Estimated-Payroll-Rollup]]/DaybyDay[[#This Row],[Simple-Forecast]]</f>
        <v>#DIV/0!</v>
      </c>
      <c r="AQ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 s="77"/>
      <c r="AS72" s="40" t="str">
        <f>IF(DaybyDay[[#This Row],[Retail Hours]]&gt;0,DaybyDay[[#This Row],[Retail Hours]]*$AS$2,"")</f>
        <v/>
      </c>
      <c r="AT72" s="40">
        <f>SUMIFS(DaybyDay[Est-Retail-Payroll],DaybyDay[Date],"&gt;="&amp;$C$5,DaybyDay[RowYear],"&gt;="&amp;$C$4,DaybyDay[Date],"&lt;="&amp;DaybyDay[[#This Row],[Date]])</f>
        <v>0</v>
      </c>
      <c r="AU72" s="82" t="str">
        <f>IF(AND(DaybyDay[[#This Row],[_Space]],ISNUMBER(DaybyDay[[#This Row],[Retail Hours]])),DaybyDay[[#This Row],[Est-Retail-Payroll]]/(DaybyDay[[#This Row],[Retail-Actuals]]),"")</f>
        <v/>
      </c>
      <c r="AV72" s="82" t="e">
        <f>DaybyDay[[#This Row],[Est-Retail-PayrollRU]]/DaybyDay[[#This Row],[Simple-Forecast-Retail]]</f>
        <v>#DIV/0!</v>
      </c>
      <c r="AW72" s="8"/>
    </row>
    <row r="73" spans="3:49" hidden="1" x14ac:dyDescent="0.25">
      <c r="C73" s="26" t="str">
        <f>Tools!$C$1</f>
        <v>Example</v>
      </c>
      <c r="D73" s="27" t="s">
        <v>70</v>
      </c>
      <c r="E73" s="28">
        <v>2017</v>
      </c>
      <c r="F73" s="28">
        <f>MATCH(DaybyDay[[#This Row],[RowMonth]],Table3[SummaryMonth],0)</f>
        <v>3</v>
      </c>
      <c r="G73" s="29" t="e">
        <f>MATCH(DaybyDay[[#This Row],[LY-Date]],DaybyDay[Date],0)</f>
        <v>#N/A</v>
      </c>
      <c r="H73" s="30">
        <f>WEEKDAY(DaybyDay[[#This Row],[Date]])</f>
        <v>4</v>
      </c>
      <c r="I73" s="31">
        <v>42802</v>
      </c>
      <c r="J73" s="74">
        <v>16</v>
      </c>
      <c r="K73" s="32">
        <f>SUMIFS(BudgetSeasonality[365 Seasonality],BudgetSeasonality[MonthAdjustment],DaybyDay[[#This Row],[Date]])*SUMIFS(Budgets[Service-Budget],Budgets[BudgetMonth],DaybyDay[[#This Row],[RowMonth]],Budgets[BudgetYear],DaybyDay[[#This Row],[RowYear]])</f>
        <v>0</v>
      </c>
      <c r="L73" s="75">
        <v>3075.8</v>
      </c>
      <c r="M73" s="32">
        <f>INDEX(BudgetSeasonality[365 Seasonality],MATCH(DaybyDay[[#This Row],[Date]],BudgetSeasonality[MonthAdjustment],0))*SUMIFS(Budgets[Retail-Budget],Budgets[BudgetMonth],DaybyDay[[#This Row],[RowMonth]],Budgets[BudgetYear],DaybyDay[[#This Row],[RowYear]])</f>
        <v>0</v>
      </c>
      <c r="N73" s="75">
        <v>250</v>
      </c>
      <c r="O73" s="33">
        <f>SUMIFS(DaybyDay[Service-Budgets],DaybyDay[Date],"&gt;="&amp;$C$5,DaybyDay[RowYear],"&gt;="&amp;$C$4,DaybyDay[Date],"&lt;="&amp;DaybyDay[[#This Row],[Date]])</f>
        <v>0</v>
      </c>
      <c r="P73" s="33">
        <f>SUMIFS(DaybyDay[Retail-Budgets],DaybyDay[Date],"&gt;="&amp;$C$5,DaybyDay[RowYear],"&gt;="&amp;$C$4,DaybyDay[Date],"&lt;="&amp;DaybyDay[[#This Row],[Date]])</f>
        <v>0</v>
      </c>
      <c r="Q73" s="34">
        <f>SUMIFS(DaybyDay[Service-Actuals],DaybyDay[Date],"&gt;="&amp;$C$5,DaybyDay[RowYear],"&gt;="&amp;$C$4,DaybyDay[Date],"&lt;="&amp;DaybyDay[[#This Row],[Date]])</f>
        <v>0</v>
      </c>
      <c r="R73" s="34">
        <f>SUMIFS(DaybyDay[Retail-Actuals],DaybyDay[Date],"&gt;="&amp;$C$5,DaybyDay[RowYear],"&gt;="&amp;$C$4,DaybyDay[Date],"&lt;="&amp;DaybyDay[[#This Row],[Date]])</f>
        <v>0</v>
      </c>
      <c r="S73" s="35">
        <f>SUMIFS(DaybyDay[Service-LY],DaybyDay[Date],"&gt;="&amp;$C$5,DaybyDay[RowYear],"&gt;="&amp;$C$4,DaybyDay[Date],"&lt;="&amp;DaybyDay[[#This Row],[Date]])</f>
        <v>0</v>
      </c>
      <c r="T73" s="35">
        <f>SUMIFS(DaybyDay[Retail-LY],DaybyDay[Date],"&gt;="&amp;$C$5,DaybyDay[RowYear],"&gt;="&amp;$C$4,DaybyDay[Date],"&lt;="&amp;DaybyDay[[#This Row],[Date]])</f>
        <v>0</v>
      </c>
      <c r="U73" s="32">
        <f>DaybyDay[[#This Row],[Serv-Bud-RU]]+DaybyDay[[#This Row],[Ret-Bud-RU]]</f>
        <v>0</v>
      </c>
      <c r="V73" s="32">
        <f>DaybyDay[[#This Row],[Serv-Act-RU]]+DaybyDay[[#This Row],[Ret-Act-RU]]</f>
        <v>0</v>
      </c>
      <c r="W73" s="36">
        <f>IF(DaybyDay[[#This Row],[_Space]],IFERROR(
((DaybyDay[[#This Row],[Actual-Rollup]]-DaybyDay[[#This Row],[Budget-Rollup]])/DaybyDay[[#This Row],[Budget-Rollup]]),0),"")</f>
        <v>0</v>
      </c>
      <c r="X73" t="b">
        <f>NOT(AND(ISBLANK(DaybyDay[[#This Row],[Appts]]),ISBLANK(DaybyDay[[#This Row],[Service-Actuals]]),ISBLANK(DaybyDay[[#This Row],[Retail-Actuals]])))</f>
        <v>1</v>
      </c>
      <c r="Y73" s="36">
        <f>IF(DaybyDay[[#This Row],[_Space]],IFERROR(
((DaybyDay[[#This Row],[Actual-Rollup]]-DaybyDay[[#This Row],[LY-Rollup]])/DaybyDay[[#This Row],[LY-Rollup]]),0),"")</f>
        <v>0</v>
      </c>
      <c r="Z73"/>
      <c r="AA73" s="37" t="e">
        <f>IF(DaybyDay[[#This Row],[_Space]],DaybyDay[[#This Row],[Ret-Act-RU]]/DaybyDay[[#This Row],[Serv-Act-RU]],"")</f>
        <v>#DIV/0!</v>
      </c>
      <c r="AB73" s="50" t="e">
        <f>IF(DaybyDay[[#This Row],[_Space]],DaybyDay[[#This Row],[RETPEN-Act]]/DaybyDay[[#This Row],[RETPEN-Bud]],"")</f>
        <v>#DIV/0!</v>
      </c>
      <c r="AC73" s="37" t="e">
        <f>IF(DaybyDay[[#This Row],[_Space]],DaybyDay[[#This Row],[Ret-Bud-RU]]/DaybyDay[[#This Row],[Serv-Bud-RU]],"")</f>
        <v>#DIV/0!</v>
      </c>
      <c r="AD73" s="37" t="e">
        <f>IF(DaybyDay[[#This Row],[_Space]],DaybyDay[[#This Row],[Ret-LY-RU]]/DaybyDay[[#This Row],[Serv-LY-RU]],"")</f>
        <v>#DIV/0!</v>
      </c>
      <c r="AE73" s="30">
        <f>WEEKDAY(DaybyDay[[#This Row],[LY-Date]])</f>
        <v>4</v>
      </c>
      <c r="AF73" s="38">
        <f>$E$2+_xlfn.DAYS(DaybyDay[[#This Row],[Date]],minDate)</f>
        <v>42438</v>
      </c>
      <c r="AG73" s="39" t="str" cm="1">
        <f t="array" ref="AG73">IFERROR(INDEX(DaybyDay[],DaybyDay[[#This Row],[FORM_MATCH_HELPER]],8),"")</f>
        <v/>
      </c>
      <c r="AH73" s="39" t="str" cm="1">
        <f t="array" ref="AH73">IFERROR(INDEX(DaybyDay[],DaybyDay[[#This Row],[FORM_MATCH_HELPER]],10),"")</f>
        <v/>
      </c>
      <c r="AI73" s="39" t="str" cm="1">
        <f t="array" ref="AI73">IFERROR(INDEX(DaybyDay[],DaybyDay[[#This Row],[FORM_MATCH_HELPER]],12),"")</f>
        <v/>
      </c>
      <c r="AJ73" s="32">
        <f>IFERROR(DaybyDay[[#This Row],[Serv-LY-RU]]+DaybyDay[[#This Row],[Ret-LY-RU]],"")</f>
        <v>0</v>
      </c>
      <c r="AK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 s="77"/>
      <c r="AM73" s="40" t="str">
        <f>IF(DaybyDay[[#This Row],[Admin Hours]]&gt;0,DaybyDay[[#This Row],[Admin Hours]]*$AM$2+$AM$3,"")</f>
        <v/>
      </c>
      <c r="AN73" s="40">
        <f>SUMIFS(DaybyDay[Est-Admin-Payroll],DaybyDay[Date],"&gt;="&amp;$C$5,DaybyDay[RowYear],"&gt;="&amp;$C$4,DaybyDay[Date],"&lt;="&amp;DaybyDay[[#This Row],[Date]])</f>
        <v>0</v>
      </c>
      <c r="AO73" s="41" t="str">
        <f>IF(AND(DaybyDay[[#This Row],[_Space]],ISNUMBER(DaybyDay[[#This Row],[Admin Hours]])),DaybyDay[[#This Row],[Est-Admin-Payroll]]/(DaybyDay[[#This Row],[Service-Actuals]]+DaybyDay[[#This Row],[Retail-Actuals]]),"")</f>
        <v/>
      </c>
      <c r="AP73" s="41" t="e">
        <f>DaybyDay[[#This Row],[Estimated-Payroll-Rollup]]/DaybyDay[[#This Row],[Simple-Forecast]]</f>
        <v>#DIV/0!</v>
      </c>
      <c r="AQ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 s="77"/>
      <c r="AS73" s="40" t="str">
        <f>IF(DaybyDay[[#This Row],[Retail Hours]]&gt;0,DaybyDay[[#This Row],[Retail Hours]]*$AS$2,"")</f>
        <v/>
      </c>
      <c r="AT73" s="40">
        <f>SUMIFS(DaybyDay[Est-Retail-Payroll],DaybyDay[Date],"&gt;="&amp;$C$5,DaybyDay[RowYear],"&gt;="&amp;$C$4,DaybyDay[Date],"&lt;="&amp;DaybyDay[[#This Row],[Date]])</f>
        <v>0</v>
      </c>
      <c r="AU73" s="82" t="str">
        <f>IF(AND(DaybyDay[[#This Row],[_Space]],ISNUMBER(DaybyDay[[#This Row],[Retail Hours]])),DaybyDay[[#This Row],[Est-Retail-Payroll]]/(DaybyDay[[#This Row],[Retail-Actuals]]),"")</f>
        <v/>
      </c>
      <c r="AV73" s="82" t="e">
        <f>DaybyDay[[#This Row],[Est-Retail-PayrollRU]]/DaybyDay[[#This Row],[Simple-Forecast-Retail]]</f>
        <v>#DIV/0!</v>
      </c>
      <c r="AW73" s="8"/>
    </row>
    <row r="74" spans="3:49" hidden="1" x14ac:dyDescent="0.25">
      <c r="C74" s="26" t="str">
        <f>Tools!$C$1</f>
        <v>Example</v>
      </c>
      <c r="D74" s="27" t="s">
        <v>70</v>
      </c>
      <c r="E74" s="28">
        <v>2017</v>
      </c>
      <c r="F74" s="28">
        <f>MATCH(DaybyDay[[#This Row],[RowMonth]],Table3[SummaryMonth],0)</f>
        <v>3</v>
      </c>
      <c r="G74" s="29" t="e">
        <f>MATCH(DaybyDay[[#This Row],[LY-Date]],DaybyDay[Date],0)</f>
        <v>#N/A</v>
      </c>
      <c r="H74" s="30">
        <f>WEEKDAY(DaybyDay[[#This Row],[Date]])</f>
        <v>5</v>
      </c>
      <c r="I74" s="31">
        <v>42803</v>
      </c>
      <c r="J74" s="74">
        <v>16</v>
      </c>
      <c r="K74" s="32">
        <f>SUMIFS(BudgetSeasonality[365 Seasonality],BudgetSeasonality[MonthAdjustment],DaybyDay[[#This Row],[Date]])*SUMIFS(Budgets[Service-Budget],Budgets[BudgetMonth],DaybyDay[[#This Row],[RowMonth]],Budgets[BudgetYear],DaybyDay[[#This Row],[RowYear]])</f>
        <v>0</v>
      </c>
      <c r="L74" s="75">
        <v>2481</v>
      </c>
      <c r="M74" s="32">
        <f>INDEX(BudgetSeasonality[365 Seasonality],MATCH(DaybyDay[[#This Row],[Date]],BudgetSeasonality[MonthAdjustment],0))*SUMIFS(Budgets[Retail-Budget],Budgets[BudgetMonth],DaybyDay[[#This Row],[RowMonth]],Budgets[BudgetYear],DaybyDay[[#This Row],[RowYear]])</f>
        <v>0</v>
      </c>
      <c r="N74" s="75">
        <v>7</v>
      </c>
      <c r="O74" s="33">
        <f>SUMIFS(DaybyDay[Service-Budgets],DaybyDay[Date],"&gt;="&amp;$C$5,DaybyDay[RowYear],"&gt;="&amp;$C$4,DaybyDay[Date],"&lt;="&amp;DaybyDay[[#This Row],[Date]])</f>
        <v>0</v>
      </c>
      <c r="P74" s="33">
        <f>SUMIFS(DaybyDay[Retail-Budgets],DaybyDay[Date],"&gt;="&amp;$C$5,DaybyDay[RowYear],"&gt;="&amp;$C$4,DaybyDay[Date],"&lt;="&amp;DaybyDay[[#This Row],[Date]])</f>
        <v>0</v>
      </c>
      <c r="Q74" s="34">
        <f>SUMIFS(DaybyDay[Service-Actuals],DaybyDay[Date],"&gt;="&amp;$C$5,DaybyDay[RowYear],"&gt;="&amp;$C$4,DaybyDay[Date],"&lt;="&amp;DaybyDay[[#This Row],[Date]])</f>
        <v>0</v>
      </c>
      <c r="R74" s="34">
        <f>SUMIFS(DaybyDay[Retail-Actuals],DaybyDay[Date],"&gt;="&amp;$C$5,DaybyDay[RowYear],"&gt;="&amp;$C$4,DaybyDay[Date],"&lt;="&amp;DaybyDay[[#This Row],[Date]])</f>
        <v>0</v>
      </c>
      <c r="S74" s="35">
        <f>SUMIFS(DaybyDay[Service-LY],DaybyDay[Date],"&gt;="&amp;$C$5,DaybyDay[RowYear],"&gt;="&amp;$C$4,DaybyDay[Date],"&lt;="&amp;DaybyDay[[#This Row],[Date]])</f>
        <v>0</v>
      </c>
      <c r="T74" s="35">
        <f>SUMIFS(DaybyDay[Retail-LY],DaybyDay[Date],"&gt;="&amp;$C$5,DaybyDay[RowYear],"&gt;="&amp;$C$4,DaybyDay[Date],"&lt;="&amp;DaybyDay[[#This Row],[Date]])</f>
        <v>0</v>
      </c>
      <c r="U74" s="32">
        <f>DaybyDay[[#This Row],[Serv-Bud-RU]]+DaybyDay[[#This Row],[Ret-Bud-RU]]</f>
        <v>0</v>
      </c>
      <c r="V74" s="32">
        <f>DaybyDay[[#This Row],[Serv-Act-RU]]+DaybyDay[[#This Row],[Ret-Act-RU]]</f>
        <v>0</v>
      </c>
      <c r="W74" s="36">
        <f>IF(DaybyDay[[#This Row],[_Space]],IFERROR(
((DaybyDay[[#This Row],[Actual-Rollup]]-DaybyDay[[#This Row],[Budget-Rollup]])/DaybyDay[[#This Row],[Budget-Rollup]]),0),"")</f>
        <v>0</v>
      </c>
      <c r="X74" t="b">
        <f>NOT(AND(ISBLANK(DaybyDay[[#This Row],[Appts]]),ISBLANK(DaybyDay[[#This Row],[Service-Actuals]]),ISBLANK(DaybyDay[[#This Row],[Retail-Actuals]])))</f>
        <v>1</v>
      </c>
      <c r="Y74" s="36">
        <f>IF(DaybyDay[[#This Row],[_Space]],IFERROR(
((DaybyDay[[#This Row],[Actual-Rollup]]-DaybyDay[[#This Row],[LY-Rollup]])/DaybyDay[[#This Row],[LY-Rollup]]),0),"")</f>
        <v>0</v>
      </c>
      <c r="Z74"/>
      <c r="AA74" s="37" t="e">
        <f>IF(DaybyDay[[#This Row],[_Space]],DaybyDay[[#This Row],[Ret-Act-RU]]/DaybyDay[[#This Row],[Serv-Act-RU]],"")</f>
        <v>#DIV/0!</v>
      </c>
      <c r="AB74" s="50" t="e">
        <f>IF(DaybyDay[[#This Row],[_Space]],DaybyDay[[#This Row],[RETPEN-Act]]/DaybyDay[[#This Row],[RETPEN-Bud]],"")</f>
        <v>#DIV/0!</v>
      </c>
      <c r="AC74" s="37" t="e">
        <f>IF(DaybyDay[[#This Row],[_Space]],DaybyDay[[#This Row],[Ret-Bud-RU]]/DaybyDay[[#This Row],[Serv-Bud-RU]],"")</f>
        <v>#DIV/0!</v>
      </c>
      <c r="AD74" s="37" t="e">
        <f>IF(DaybyDay[[#This Row],[_Space]],DaybyDay[[#This Row],[Ret-LY-RU]]/DaybyDay[[#This Row],[Serv-LY-RU]],"")</f>
        <v>#DIV/0!</v>
      </c>
      <c r="AE74" s="30">
        <f>WEEKDAY(DaybyDay[[#This Row],[LY-Date]])</f>
        <v>5</v>
      </c>
      <c r="AF74" s="38">
        <f>$E$2+_xlfn.DAYS(DaybyDay[[#This Row],[Date]],minDate)</f>
        <v>42439</v>
      </c>
      <c r="AG74" s="39" t="str" cm="1">
        <f t="array" ref="AG74">IFERROR(INDEX(DaybyDay[],DaybyDay[[#This Row],[FORM_MATCH_HELPER]],8),"")</f>
        <v/>
      </c>
      <c r="AH74" s="39" t="str" cm="1">
        <f t="array" ref="AH74">IFERROR(INDEX(DaybyDay[],DaybyDay[[#This Row],[FORM_MATCH_HELPER]],10),"")</f>
        <v/>
      </c>
      <c r="AI74" s="39" t="str" cm="1">
        <f t="array" ref="AI74">IFERROR(INDEX(DaybyDay[],DaybyDay[[#This Row],[FORM_MATCH_HELPER]],12),"")</f>
        <v/>
      </c>
      <c r="AJ74" s="32">
        <f>IFERROR(DaybyDay[[#This Row],[Serv-LY-RU]]+DaybyDay[[#This Row],[Ret-LY-RU]],"")</f>
        <v>0</v>
      </c>
      <c r="AK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 s="77"/>
      <c r="AM74" s="40" t="str">
        <f>IF(DaybyDay[[#This Row],[Admin Hours]]&gt;0,DaybyDay[[#This Row],[Admin Hours]]*$AM$2+$AM$3,"")</f>
        <v/>
      </c>
      <c r="AN74" s="40">
        <f>SUMIFS(DaybyDay[Est-Admin-Payroll],DaybyDay[Date],"&gt;="&amp;$C$5,DaybyDay[RowYear],"&gt;="&amp;$C$4,DaybyDay[Date],"&lt;="&amp;DaybyDay[[#This Row],[Date]])</f>
        <v>0</v>
      </c>
      <c r="AO74" s="41" t="str">
        <f>IF(AND(DaybyDay[[#This Row],[_Space]],ISNUMBER(DaybyDay[[#This Row],[Admin Hours]])),DaybyDay[[#This Row],[Est-Admin-Payroll]]/(DaybyDay[[#This Row],[Service-Actuals]]+DaybyDay[[#This Row],[Retail-Actuals]]),"")</f>
        <v/>
      </c>
      <c r="AP74" s="41" t="e">
        <f>DaybyDay[[#This Row],[Estimated-Payroll-Rollup]]/DaybyDay[[#This Row],[Simple-Forecast]]</f>
        <v>#DIV/0!</v>
      </c>
      <c r="AQ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 s="77"/>
      <c r="AS74" s="40" t="str">
        <f>IF(DaybyDay[[#This Row],[Retail Hours]]&gt;0,DaybyDay[[#This Row],[Retail Hours]]*$AS$2,"")</f>
        <v/>
      </c>
      <c r="AT74" s="40">
        <f>SUMIFS(DaybyDay[Est-Retail-Payroll],DaybyDay[Date],"&gt;="&amp;$C$5,DaybyDay[RowYear],"&gt;="&amp;$C$4,DaybyDay[Date],"&lt;="&amp;DaybyDay[[#This Row],[Date]])</f>
        <v>0</v>
      </c>
      <c r="AU74" s="82" t="str">
        <f>IF(AND(DaybyDay[[#This Row],[_Space]],ISNUMBER(DaybyDay[[#This Row],[Retail Hours]])),DaybyDay[[#This Row],[Est-Retail-Payroll]]/(DaybyDay[[#This Row],[Retail-Actuals]]),"")</f>
        <v/>
      </c>
      <c r="AV74" s="82" t="e">
        <f>DaybyDay[[#This Row],[Est-Retail-PayrollRU]]/DaybyDay[[#This Row],[Simple-Forecast-Retail]]</f>
        <v>#DIV/0!</v>
      </c>
      <c r="AW74" s="8"/>
    </row>
    <row r="75" spans="3:49" hidden="1" x14ac:dyDescent="0.25">
      <c r="C75" s="26" t="str">
        <f>Tools!$C$1</f>
        <v>Example</v>
      </c>
      <c r="D75" s="27" t="s">
        <v>70</v>
      </c>
      <c r="E75" s="28">
        <v>2017</v>
      </c>
      <c r="F75" s="28">
        <f>MATCH(DaybyDay[[#This Row],[RowMonth]],Table3[SummaryMonth],0)</f>
        <v>3</v>
      </c>
      <c r="G75" s="29" t="e">
        <f>MATCH(DaybyDay[[#This Row],[LY-Date]],DaybyDay[Date],0)</f>
        <v>#N/A</v>
      </c>
      <c r="H75" s="30">
        <f>WEEKDAY(DaybyDay[[#This Row],[Date]])</f>
        <v>6</v>
      </c>
      <c r="I75" s="31">
        <v>42804</v>
      </c>
      <c r="J75" s="74">
        <v>6</v>
      </c>
      <c r="K75" s="32">
        <f>SUMIFS(BudgetSeasonality[365 Seasonality],BudgetSeasonality[MonthAdjustment],DaybyDay[[#This Row],[Date]])*SUMIFS(Budgets[Service-Budget],Budgets[BudgetMonth],DaybyDay[[#This Row],[RowMonth]],Budgets[BudgetYear],DaybyDay[[#This Row],[RowYear]])</f>
        <v>0</v>
      </c>
      <c r="L75" s="75">
        <v>1492.75</v>
      </c>
      <c r="M75" s="32">
        <f>INDEX(BudgetSeasonality[365 Seasonality],MATCH(DaybyDay[[#This Row],[Date]],BudgetSeasonality[MonthAdjustment],0))*SUMIFS(Budgets[Retail-Budget],Budgets[BudgetMonth],DaybyDay[[#This Row],[RowMonth]],Budgets[BudgetYear],DaybyDay[[#This Row],[RowYear]])</f>
        <v>0</v>
      </c>
      <c r="N75" s="75">
        <v>0</v>
      </c>
      <c r="O75" s="33">
        <f>SUMIFS(DaybyDay[Service-Budgets],DaybyDay[Date],"&gt;="&amp;$C$5,DaybyDay[RowYear],"&gt;="&amp;$C$4,DaybyDay[Date],"&lt;="&amp;DaybyDay[[#This Row],[Date]])</f>
        <v>0</v>
      </c>
      <c r="P75" s="33">
        <f>SUMIFS(DaybyDay[Retail-Budgets],DaybyDay[Date],"&gt;="&amp;$C$5,DaybyDay[RowYear],"&gt;="&amp;$C$4,DaybyDay[Date],"&lt;="&amp;DaybyDay[[#This Row],[Date]])</f>
        <v>0</v>
      </c>
      <c r="Q75" s="34">
        <f>SUMIFS(DaybyDay[Service-Actuals],DaybyDay[Date],"&gt;="&amp;$C$5,DaybyDay[RowYear],"&gt;="&amp;$C$4,DaybyDay[Date],"&lt;="&amp;DaybyDay[[#This Row],[Date]])</f>
        <v>0</v>
      </c>
      <c r="R75" s="34">
        <f>SUMIFS(DaybyDay[Retail-Actuals],DaybyDay[Date],"&gt;="&amp;$C$5,DaybyDay[RowYear],"&gt;="&amp;$C$4,DaybyDay[Date],"&lt;="&amp;DaybyDay[[#This Row],[Date]])</f>
        <v>0</v>
      </c>
      <c r="S75" s="35">
        <f>SUMIFS(DaybyDay[Service-LY],DaybyDay[Date],"&gt;="&amp;$C$5,DaybyDay[RowYear],"&gt;="&amp;$C$4,DaybyDay[Date],"&lt;="&amp;DaybyDay[[#This Row],[Date]])</f>
        <v>0</v>
      </c>
      <c r="T75" s="35">
        <f>SUMIFS(DaybyDay[Retail-LY],DaybyDay[Date],"&gt;="&amp;$C$5,DaybyDay[RowYear],"&gt;="&amp;$C$4,DaybyDay[Date],"&lt;="&amp;DaybyDay[[#This Row],[Date]])</f>
        <v>0</v>
      </c>
      <c r="U75" s="32">
        <f>DaybyDay[[#This Row],[Serv-Bud-RU]]+DaybyDay[[#This Row],[Ret-Bud-RU]]</f>
        <v>0</v>
      </c>
      <c r="V75" s="32">
        <f>DaybyDay[[#This Row],[Serv-Act-RU]]+DaybyDay[[#This Row],[Ret-Act-RU]]</f>
        <v>0</v>
      </c>
      <c r="W75" s="36">
        <f>IF(DaybyDay[[#This Row],[_Space]],IFERROR(
((DaybyDay[[#This Row],[Actual-Rollup]]-DaybyDay[[#This Row],[Budget-Rollup]])/DaybyDay[[#This Row],[Budget-Rollup]]),0),"")</f>
        <v>0</v>
      </c>
      <c r="X75" t="b">
        <f>NOT(AND(ISBLANK(DaybyDay[[#This Row],[Appts]]),ISBLANK(DaybyDay[[#This Row],[Service-Actuals]]),ISBLANK(DaybyDay[[#This Row],[Retail-Actuals]])))</f>
        <v>1</v>
      </c>
      <c r="Y75" s="36">
        <f>IF(DaybyDay[[#This Row],[_Space]],IFERROR(
((DaybyDay[[#This Row],[Actual-Rollup]]-DaybyDay[[#This Row],[LY-Rollup]])/DaybyDay[[#This Row],[LY-Rollup]]),0),"")</f>
        <v>0</v>
      </c>
      <c r="Z75"/>
      <c r="AA75" s="37" t="e">
        <f>IF(DaybyDay[[#This Row],[_Space]],DaybyDay[[#This Row],[Ret-Act-RU]]/DaybyDay[[#This Row],[Serv-Act-RU]],"")</f>
        <v>#DIV/0!</v>
      </c>
      <c r="AB75" s="50" t="e">
        <f>IF(DaybyDay[[#This Row],[_Space]],DaybyDay[[#This Row],[RETPEN-Act]]/DaybyDay[[#This Row],[RETPEN-Bud]],"")</f>
        <v>#DIV/0!</v>
      </c>
      <c r="AC75" s="37" t="e">
        <f>IF(DaybyDay[[#This Row],[_Space]],DaybyDay[[#This Row],[Ret-Bud-RU]]/DaybyDay[[#This Row],[Serv-Bud-RU]],"")</f>
        <v>#DIV/0!</v>
      </c>
      <c r="AD75" s="37" t="e">
        <f>IF(DaybyDay[[#This Row],[_Space]],DaybyDay[[#This Row],[Ret-LY-RU]]/DaybyDay[[#This Row],[Serv-LY-RU]],"")</f>
        <v>#DIV/0!</v>
      </c>
      <c r="AE75" s="30">
        <f>WEEKDAY(DaybyDay[[#This Row],[LY-Date]])</f>
        <v>6</v>
      </c>
      <c r="AF75" s="38">
        <f>$E$2+_xlfn.DAYS(DaybyDay[[#This Row],[Date]],minDate)</f>
        <v>42440</v>
      </c>
      <c r="AG75" s="39" t="str" cm="1">
        <f t="array" ref="AG75">IFERROR(INDEX(DaybyDay[],DaybyDay[[#This Row],[FORM_MATCH_HELPER]],8),"")</f>
        <v/>
      </c>
      <c r="AH75" s="39" t="str" cm="1">
        <f t="array" ref="AH75">IFERROR(INDEX(DaybyDay[],DaybyDay[[#This Row],[FORM_MATCH_HELPER]],10),"")</f>
        <v/>
      </c>
      <c r="AI75" s="39" t="str" cm="1">
        <f t="array" ref="AI75">IFERROR(INDEX(DaybyDay[],DaybyDay[[#This Row],[FORM_MATCH_HELPER]],12),"")</f>
        <v/>
      </c>
      <c r="AJ75" s="32">
        <f>IFERROR(DaybyDay[[#This Row],[Serv-LY-RU]]+DaybyDay[[#This Row],[Ret-LY-RU]],"")</f>
        <v>0</v>
      </c>
      <c r="AK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 s="77"/>
      <c r="AM75" s="40" t="str">
        <f>IF(DaybyDay[[#This Row],[Admin Hours]]&gt;0,DaybyDay[[#This Row],[Admin Hours]]*$AM$2+$AM$3,"")</f>
        <v/>
      </c>
      <c r="AN75" s="40">
        <f>SUMIFS(DaybyDay[Est-Admin-Payroll],DaybyDay[Date],"&gt;="&amp;$C$5,DaybyDay[RowYear],"&gt;="&amp;$C$4,DaybyDay[Date],"&lt;="&amp;DaybyDay[[#This Row],[Date]])</f>
        <v>0</v>
      </c>
      <c r="AO75" s="41" t="str">
        <f>IF(AND(DaybyDay[[#This Row],[_Space]],ISNUMBER(DaybyDay[[#This Row],[Admin Hours]])),DaybyDay[[#This Row],[Est-Admin-Payroll]]/(DaybyDay[[#This Row],[Service-Actuals]]+DaybyDay[[#This Row],[Retail-Actuals]]),"")</f>
        <v/>
      </c>
      <c r="AP75" s="41" t="e">
        <f>DaybyDay[[#This Row],[Estimated-Payroll-Rollup]]/DaybyDay[[#This Row],[Simple-Forecast]]</f>
        <v>#DIV/0!</v>
      </c>
      <c r="AQ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 s="77"/>
      <c r="AS75" s="40" t="str">
        <f>IF(DaybyDay[[#This Row],[Retail Hours]]&gt;0,DaybyDay[[#This Row],[Retail Hours]]*$AS$2,"")</f>
        <v/>
      </c>
      <c r="AT75" s="40">
        <f>SUMIFS(DaybyDay[Est-Retail-Payroll],DaybyDay[Date],"&gt;="&amp;$C$5,DaybyDay[RowYear],"&gt;="&amp;$C$4,DaybyDay[Date],"&lt;="&amp;DaybyDay[[#This Row],[Date]])</f>
        <v>0</v>
      </c>
      <c r="AU75" s="82" t="str">
        <f>IF(AND(DaybyDay[[#This Row],[_Space]],ISNUMBER(DaybyDay[[#This Row],[Retail Hours]])),DaybyDay[[#This Row],[Est-Retail-Payroll]]/(DaybyDay[[#This Row],[Retail-Actuals]]),"")</f>
        <v/>
      </c>
      <c r="AV75" s="82" t="e">
        <f>DaybyDay[[#This Row],[Est-Retail-PayrollRU]]/DaybyDay[[#This Row],[Simple-Forecast-Retail]]</f>
        <v>#DIV/0!</v>
      </c>
      <c r="AW75" s="8"/>
    </row>
    <row r="76" spans="3:49" hidden="1" x14ac:dyDescent="0.25">
      <c r="C76" s="26" t="str">
        <f>Tools!$C$1</f>
        <v>Example</v>
      </c>
      <c r="D76" s="27" t="s">
        <v>70</v>
      </c>
      <c r="E76" s="28">
        <v>2017</v>
      </c>
      <c r="F76" s="28">
        <f>MATCH(DaybyDay[[#This Row],[RowMonth]],Table3[SummaryMonth],0)</f>
        <v>3</v>
      </c>
      <c r="G76" s="29" t="e">
        <f>MATCH(DaybyDay[[#This Row],[LY-Date]],DaybyDay[Date],0)</f>
        <v>#N/A</v>
      </c>
      <c r="H76" s="30">
        <f>WEEKDAY(DaybyDay[[#This Row],[Date]])</f>
        <v>7</v>
      </c>
      <c r="I76" s="31">
        <v>42805</v>
      </c>
      <c r="J76" s="74">
        <v>33</v>
      </c>
      <c r="K76" s="32">
        <f>SUMIFS(BudgetSeasonality[365 Seasonality],BudgetSeasonality[MonthAdjustment],DaybyDay[[#This Row],[Date]])*SUMIFS(Budgets[Service-Budget],Budgets[BudgetMonth],DaybyDay[[#This Row],[RowMonth]],Budgets[BudgetYear],DaybyDay[[#This Row],[RowYear]])</f>
        <v>0</v>
      </c>
      <c r="L76" s="75">
        <v>7819</v>
      </c>
      <c r="M76" s="32">
        <f>INDEX(BudgetSeasonality[365 Seasonality],MATCH(DaybyDay[[#This Row],[Date]],BudgetSeasonality[MonthAdjustment],0))*SUMIFS(Budgets[Retail-Budget],Budgets[BudgetMonth],DaybyDay[[#This Row],[RowMonth]],Budgets[BudgetYear],DaybyDay[[#This Row],[RowYear]])</f>
        <v>0</v>
      </c>
      <c r="N76" s="75">
        <v>510</v>
      </c>
      <c r="O76" s="33">
        <f>SUMIFS(DaybyDay[Service-Budgets],DaybyDay[Date],"&gt;="&amp;$C$5,DaybyDay[RowYear],"&gt;="&amp;$C$4,DaybyDay[Date],"&lt;="&amp;DaybyDay[[#This Row],[Date]])</f>
        <v>0</v>
      </c>
      <c r="P76" s="33">
        <f>SUMIFS(DaybyDay[Retail-Budgets],DaybyDay[Date],"&gt;="&amp;$C$5,DaybyDay[RowYear],"&gt;="&amp;$C$4,DaybyDay[Date],"&lt;="&amp;DaybyDay[[#This Row],[Date]])</f>
        <v>0</v>
      </c>
      <c r="Q76" s="34">
        <f>SUMIFS(DaybyDay[Service-Actuals],DaybyDay[Date],"&gt;="&amp;$C$5,DaybyDay[RowYear],"&gt;="&amp;$C$4,DaybyDay[Date],"&lt;="&amp;DaybyDay[[#This Row],[Date]])</f>
        <v>0</v>
      </c>
      <c r="R76" s="34">
        <f>SUMIFS(DaybyDay[Retail-Actuals],DaybyDay[Date],"&gt;="&amp;$C$5,DaybyDay[RowYear],"&gt;="&amp;$C$4,DaybyDay[Date],"&lt;="&amp;DaybyDay[[#This Row],[Date]])</f>
        <v>0</v>
      </c>
      <c r="S76" s="35">
        <f>SUMIFS(DaybyDay[Service-LY],DaybyDay[Date],"&gt;="&amp;$C$5,DaybyDay[RowYear],"&gt;="&amp;$C$4,DaybyDay[Date],"&lt;="&amp;DaybyDay[[#This Row],[Date]])</f>
        <v>0</v>
      </c>
      <c r="T76" s="35">
        <f>SUMIFS(DaybyDay[Retail-LY],DaybyDay[Date],"&gt;="&amp;$C$5,DaybyDay[RowYear],"&gt;="&amp;$C$4,DaybyDay[Date],"&lt;="&amp;DaybyDay[[#This Row],[Date]])</f>
        <v>0</v>
      </c>
      <c r="U76" s="32">
        <f>DaybyDay[[#This Row],[Serv-Bud-RU]]+DaybyDay[[#This Row],[Ret-Bud-RU]]</f>
        <v>0</v>
      </c>
      <c r="V76" s="32">
        <f>DaybyDay[[#This Row],[Serv-Act-RU]]+DaybyDay[[#This Row],[Ret-Act-RU]]</f>
        <v>0</v>
      </c>
      <c r="W76" s="36">
        <f>IF(DaybyDay[[#This Row],[_Space]],IFERROR(
((DaybyDay[[#This Row],[Actual-Rollup]]-DaybyDay[[#This Row],[Budget-Rollup]])/DaybyDay[[#This Row],[Budget-Rollup]]),0),"")</f>
        <v>0</v>
      </c>
      <c r="X76" t="b">
        <f>NOT(AND(ISBLANK(DaybyDay[[#This Row],[Appts]]),ISBLANK(DaybyDay[[#This Row],[Service-Actuals]]),ISBLANK(DaybyDay[[#This Row],[Retail-Actuals]])))</f>
        <v>1</v>
      </c>
      <c r="Y76" s="36">
        <f>IF(DaybyDay[[#This Row],[_Space]],IFERROR(
((DaybyDay[[#This Row],[Actual-Rollup]]-DaybyDay[[#This Row],[LY-Rollup]])/DaybyDay[[#This Row],[LY-Rollup]]),0),"")</f>
        <v>0</v>
      </c>
      <c r="Z76"/>
      <c r="AA76" s="37" t="e">
        <f>IF(DaybyDay[[#This Row],[_Space]],DaybyDay[[#This Row],[Ret-Act-RU]]/DaybyDay[[#This Row],[Serv-Act-RU]],"")</f>
        <v>#DIV/0!</v>
      </c>
      <c r="AB76" s="50" t="e">
        <f>IF(DaybyDay[[#This Row],[_Space]],DaybyDay[[#This Row],[RETPEN-Act]]/DaybyDay[[#This Row],[RETPEN-Bud]],"")</f>
        <v>#DIV/0!</v>
      </c>
      <c r="AC76" s="37" t="e">
        <f>IF(DaybyDay[[#This Row],[_Space]],DaybyDay[[#This Row],[Ret-Bud-RU]]/DaybyDay[[#This Row],[Serv-Bud-RU]],"")</f>
        <v>#DIV/0!</v>
      </c>
      <c r="AD76" s="37" t="e">
        <f>IF(DaybyDay[[#This Row],[_Space]],DaybyDay[[#This Row],[Ret-LY-RU]]/DaybyDay[[#This Row],[Serv-LY-RU]],"")</f>
        <v>#DIV/0!</v>
      </c>
      <c r="AE76" s="30">
        <f>WEEKDAY(DaybyDay[[#This Row],[LY-Date]])</f>
        <v>7</v>
      </c>
      <c r="AF76" s="38">
        <f>$E$2+_xlfn.DAYS(DaybyDay[[#This Row],[Date]],minDate)</f>
        <v>42441</v>
      </c>
      <c r="AG76" s="39" t="str" cm="1">
        <f t="array" ref="AG76">IFERROR(INDEX(DaybyDay[],DaybyDay[[#This Row],[FORM_MATCH_HELPER]],8),"")</f>
        <v/>
      </c>
      <c r="AH76" s="39" t="str" cm="1">
        <f t="array" ref="AH76">IFERROR(INDEX(DaybyDay[],DaybyDay[[#This Row],[FORM_MATCH_HELPER]],10),"")</f>
        <v/>
      </c>
      <c r="AI76" s="39" t="str" cm="1">
        <f t="array" ref="AI76">IFERROR(INDEX(DaybyDay[],DaybyDay[[#This Row],[FORM_MATCH_HELPER]],12),"")</f>
        <v/>
      </c>
      <c r="AJ76" s="32">
        <f>IFERROR(DaybyDay[[#This Row],[Serv-LY-RU]]+DaybyDay[[#This Row],[Ret-LY-RU]],"")</f>
        <v>0</v>
      </c>
      <c r="AK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 s="77"/>
      <c r="AM76" s="40" t="str">
        <f>IF(DaybyDay[[#This Row],[Admin Hours]]&gt;0,DaybyDay[[#This Row],[Admin Hours]]*$AM$2+$AM$3,"")</f>
        <v/>
      </c>
      <c r="AN76" s="40">
        <f>SUMIFS(DaybyDay[Est-Admin-Payroll],DaybyDay[Date],"&gt;="&amp;$C$5,DaybyDay[RowYear],"&gt;="&amp;$C$4,DaybyDay[Date],"&lt;="&amp;DaybyDay[[#This Row],[Date]])</f>
        <v>0</v>
      </c>
      <c r="AO76" s="41" t="str">
        <f>IF(AND(DaybyDay[[#This Row],[_Space]],ISNUMBER(DaybyDay[[#This Row],[Admin Hours]])),DaybyDay[[#This Row],[Est-Admin-Payroll]]/(DaybyDay[[#This Row],[Service-Actuals]]+DaybyDay[[#This Row],[Retail-Actuals]]),"")</f>
        <v/>
      </c>
      <c r="AP76" s="41" t="e">
        <f>DaybyDay[[#This Row],[Estimated-Payroll-Rollup]]/DaybyDay[[#This Row],[Simple-Forecast]]</f>
        <v>#DIV/0!</v>
      </c>
      <c r="AQ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 s="77"/>
      <c r="AS76" s="40" t="str">
        <f>IF(DaybyDay[[#This Row],[Retail Hours]]&gt;0,DaybyDay[[#This Row],[Retail Hours]]*$AS$2,"")</f>
        <v/>
      </c>
      <c r="AT76" s="40">
        <f>SUMIFS(DaybyDay[Est-Retail-Payroll],DaybyDay[Date],"&gt;="&amp;$C$5,DaybyDay[RowYear],"&gt;="&amp;$C$4,DaybyDay[Date],"&lt;="&amp;DaybyDay[[#This Row],[Date]])</f>
        <v>0</v>
      </c>
      <c r="AU76" s="82" t="str">
        <f>IF(AND(DaybyDay[[#This Row],[_Space]],ISNUMBER(DaybyDay[[#This Row],[Retail Hours]])),DaybyDay[[#This Row],[Est-Retail-Payroll]]/(DaybyDay[[#This Row],[Retail-Actuals]]),"")</f>
        <v/>
      </c>
      <c r="AV76" s="82" t="e">
        <f>DaybyDay[[#This Row],[Est-Retail-PayrollRU]]/DaybyDay[[#This Row],[Simple-Forecast-Retail]]</f>
        <v>#DIV/0!</v>
      </c>
      <c r="AW76" s="8"/>
    </row>
    <row r="77" spans="3:49" hidden="1" x14ac:dyDescent="0.25">
      <c r="C77" s="26" t="str">
        <f>Tools!$C$1</f>
        <v>Example</v>
      </c>
      <c r="D77" s="27" t="s">
        <v>70</v>
      </c>
      <c r="E77" s="28">
        <v>2017</v>
      </c>
      <c r="F77" s="28">
        <f>MATCH(DaybyDay[[#This Row],[RowMonth]],Table3[SummaryMonth],0)</f>
        <v>3</v>
      </c>
      <c r="G77" s="29" t="e">
        <f>MATCH(DaybyDay[[#This Row],[LY-Date]],DaybyDay[Date],0)</f>
        <v>#N/A</v>
      </c>
      <c r="H77" s="30">
        <f>WEEKDAY(DaybyDay[[#This Row],[Date]])</f>
        <v>1</v>
      </c>
      <c r="I77" s="31">
        <v>42806</v>
      </c>
      <c r="J77" s="74">
        <v>26</v>
      </c>
      <c r="K77" s="32">
        <f>SUMIFS(BudgetSeasonality[365 Seasonality],BudgetSeasonality[MonthAdjustment],DaybyDay[[#This Row],[Date]])*SUMIFS(Budgets[Service-Budget],Budgets[BudgetMonth],DaybyDay[[#This Row],[RowMonth]],Budgets[BudgetYear],DaybyDay[[#This Row],[RowYear]])</f>
        <v>0</v>
      </c>
      <c r="L77" s="75">
        <v>5243.2</v>
      </c>
      <c r="M77" s="32">
        <f>INDEX(BudgetSeasonality[365 Seasonality],MATCH(DaybyDay[[#This Row],[Date]],BudgetSeasonality[MonthAdjustment],0))*SUMIFS(Budgets[Retail-Budget],Budgets[BudgetMonth],DaybyDay[[#This Row],[RowMonth]],Budgets[BudgetYear],DaybyDay[[#This Row],[RowYear]])</f>
        <v>0</v>
      </c>
      <c r="N77" s="75">
        <v>120.4</v>
      </c>
      <c r="O77" s="33">
        <f>SUMIFS(DaybyDay[Service-Budgets],DaybyDay[Date],"&gt;="&amp;$C$5,DaybyDay[RowYear],"&gt;="&amp;$C$4,DaybyDay[Date],"&lt;="&amp;DaybyDay[[#This Row],[Date]])</f>
        <v>0</v>
      </c>
      <c r="P77" s="33">
        <f>SUMIFS(DaybyDay[Retail-Budgets],DaybyDay[Date],"&gt;="&amp;$C$5,DaybyDay[RowYear],"&gt;="&amp;$C$4,DaybyDay[Date],"&lt;="&amp;DaybyDay[[#This Row],[Date]])</f>
        <v>0</v>
      </c>
      <c r="Q77" s="34">
        <f>SUMIFS(DaybyDay[Service-Actuals],DaybyDay[Date],"&gt;="&amp;$C$5,DaybyDay[RowYear],"&gt;="&amp;$C$4,DaybyDay[Date],"&lt;="&amp;DaybyDay[[#This Row],[Date]])</f>
        <v>0</v>
      </c>
      <c r="R77" s="34">
        <f>SUMIFS(DaybyDay[Retail-Actuals],DaybyDay[Date],"&gt;="&amp;$C$5,DaybyDay[RowYear],"&gt;="&amp;$C$4,DaybyDay[Date],"&lt;="&amp;DaybyDay[[#This Row],[Date]])</f>
        <v>0</v>
      </c>
      <c r="S77" s="35">
        <f>SUMIFS(DaybyDay[Service-LY],DaybyDay[Date],"&gt;="&amp;$C$5,DaybyDay[RowYear],"&gt;="&amp;$C$4,DaybyDay[Date],"&lt;="&amp;DaybyDay[[#This Row],[Date]])</f>
        <v>0</v>
      </c>
      <c r="T77" s="35">
        <f>SUMIFS(DaybyDay[Retail-LY],DaybyDay[Date],"&gt;="&amp;$C$5,DaybyDay[RowYear],"&gt;="&amp;$C$4,DaybyDay[Date],"&lt;="&amp;DaybyDay[[#This Row],[Date]])</f>
        <v>0</v>
      </c>
      <c r="U77" s="32">
        <f>DaybyDay[[#This Row],[Serv-Bud-RU]]+DaybyDay[[#This Row],[Ret-Bud-RU]]</f>
        <v>0</v>
      </c>
      <c r="V77" s="32">
        <f>DaybyDay[[#This Row],[Serv-Act-RU]]+DaybyDay[[#This Row],[Ret-Act-RU]]</f>
        <v>0</v>
      </c>
      <c r="W77" s="36">
        <f>IF(DaybyDay[[#This Row],[_Space]],IFERROR(
((DaybyDay[[#This Row],[Actual-Rollup]]-DaybyDay[[#This Row],[Budget-Rollup]])/DaybyDay[[#This Row],[Budget-Rollup]]),0),"")</f>
        <v>0</v>
      </c>
      <c r="X77" t="b">
        <f>NOT(AND(ISBLANK(DaybyDay[[#This Row],[Appts]]),ISBLANK(DaybyDay[[#This Row],[Service-Actuals]]),ISBLANK(DaybyDay[[#This Row],[Retail-Actuals]])))</f>
        <v>1</v>
      </c>
      <c r="Y77" s="36">
        <f>IF(DaybyDay[[#This Row],[_Space]],IFERROR(
((DaybyDay[[#This Row],[Actual-Rollup]]-DaybyDay[[#This Row],[LY-Rollup]])/DaybyDay[[#This Row],[LY-Rollup]]),0),"")</f>
        <v>0</v>
      </c>
      <c r="Z77"/>
      <c r="AA77" s="37" t="e">
        <f>IF(DaybyDay[[#This Row],[_Space]],DaybyDay[[#This Row],[Ret-Act-RU]]/DaybyDay[[#This Row],[Serv-Act-RU]],"")</f>
        <v>#DIV/0!</v>
      </c>
      <c r="AB77" s="50" t="e">
        <f>IF(DaybyDay[[#This Row],[_Space]],DaybyDay[[#This Row],[RETPEN-Act]]/DaybyDay[[#This Row],[RETPEN-Bud]],"")</f>
        <v>#DIV/0!</v>
      </c>
      <c r="AC77" s="37" t="e">
        <f>IF(DaybyDay[[#This Row],[_Space]],DaybyDay[[#This Row],[Ret-Bud-RU]]/DaybyDay[[#This Row],[Serv-Bud-RU]],"")</f>
        <v>#DIV/0!</v>
      </c>
      <c r="AD77" s="37" t="e">
        <f>IF(DaybyDay[[#This Row],[_Space]],DaybyDay[[#This Row],[Ret-LY-RU]]/DaybyDay[[#This Row],[Serv-LY-RU]],"")</f>
        <v>#DIV/0!</v>
      </c>
      <c r="AE77" s="30">
        <f>WEEKDAY(DaybyDay[[#This Row],[LY-Date]])</f>
        <v>1</v>
      </c>
      <c r="AF77" s="38">
        <f>$E$2+_xlfn.DAYS(DaybyDay[[#This Row],[Date]],minDate)</f>
        <v>42442</v>
      </c>
      <c r="AG77" s="39" t="str" cm="1">
        <f t="array" ref="AG77">IFERROR(INDEX(DaybyDay[],DaybyDay[[#This Row],[FORM_MATCH_HELPER]],8),"")</f>
        <v/>
      </c>
      <c r="AH77" s="39" t="str" cm="1">
        <f t="array" ref="AH77">IFERROR(INDEX(DaybyDay[],DaybyDay[[#This Row],[FORM_MATCH_HELPER]],10),"")</f>
        <v/>
      </c>
      <c r="AI77" s="39" t="str" cm="1">
        <f t="array" ref="AI77">IFERROR(INDEX(DaybyDay[],DaybyDay[[#This Row],[FORM_MATCH_HELPER]],12),"")</f>
        <v/>
      </c>
      <c r="AJ77" s="32">
        <f>IFERROR(DaybyDay[[#This Row],[Serv-LY-RU]]+DaybyDay[[#This Row],[Ret-LY-RU]],"")</f>
        <v>0</v>
      </c>
      <c r="AK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 s="77"/>
      <c r="AM77" s="40" t="str">
        <f>IF(DaybyDay[[#This Row],[Admin Hours]]&gt;0,DaybyDay[[#This Row],[Admin Hours]]*$AM$2+$AM$3,"")</f>
        <v/>
      </c>
      <c r="AN77" s="40">
        <f>SUMIFS(DaybyDay[Est-Admin-Payroll],DaybyDay[Date],"&gt;="&amp;$C$5,DaybyDay[RowYear],"&gt;="&amp;$C$4,DaybyDay[Date],"&lt;="&amp;DaybyDay[[#This Row],[Date]])</f>
        <v>0</v>
      </c>
      <c r="AO77" s="41" t="str">
        <f>IF(AND(DaybyDay[[#This Row],[_Space]],ISNUMBER(DaybyDay[[#This Row],[Admin Hours]])),DaybyDay[[#This Row],[Est-Admin-Payroll]]/(DaybyDay[[#This Row],[Service-Actuals]]+DaybyDay[[#This Row],[Retail-Actuals]]),"")</f>
        <v/>
      </c>
      <c r="AP77" s="41" t="e">
        <f>DaybyDay[[#This Row],[Estimated-Payroll-Rollup]]/DaybyDay[[#This Row],[Simple-Forecast]]</f>
        <v>#DIV/0!</v>
      </c>
      <c r="AQ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 s="77"/>
      <c r="AS77" s="40" t="str">
        <f>IF(DaybyDay[[#This Row],[Retail Hours]]&gt;0,DaybyDay[[#This Row],[Retail Hours]]*$AS$2,"")</f>
        <v/>
      </c>
      <c r="AT77" s="40">
        <f>SUMIFS(DaybyDay[Est-Retail-Payroll],DaybyDay[Date],"&gt;="&amp;$C$5,DaybyDay[RowYear],"&gt;="&amp;$C$4,DaybyDay[Date],"&lt;="&amp;DaybyDay[[#This Row],[Date]])</f>
        <v>0</v>
      </c>
      <c r="AU77" s="82" t="str">
        <f>IF(AND(DaybyDay[[#This Row],[_Space]],ISNUMBER(DaybyDay[[#This Row],[Retail Hours]])),DaybyDay[[#This Row],[Est-Retail-Payroll]]/(DaybyDay[[#This Row],[Retail-Actuals]]),"")</f>
        <v/>
      </c>
      <c r="AV77" s="82" t="e">
        <f>DaybyDay[[#This Row],[Est-Retail-PayrollRU]]/DaybyDay[[#This Row],[Simple-Forecast-Retail]]</f>
        <v>#DIV/0!</v>
      </c>
      <c r="AW77" s="8"/>
    </row>
    <row r="78" spans="3:49" hidden="1" x14ac:dyDescent="0.25">
      <c r="C78" s="26" t="str">
        <f>Tools!$C$1</f>
        <v>Example</v>
      </c>
      <c r="D78" s="27" t="s">
        <v>70</v>
      </c>
      <c r="E78" s="28">
        <v>2017</v>
      </c>
      <c r="F78" s="28">
        <f>MATCH(DaybyDay[[#This Row],[RowMonth]],Table3[SummaryMonth],0)</f>
        <v>3</v>
      </c>
      <c r="G78" s="29" t="e">
        <f>MATCH(DaybyDay[[#This Row],[LY-Date]],DaybyDay[Date],0)</f>
        <v>#N/A</v>
      </c>
      <c r="H78" s="30">
        <f>WEEKDAY(DaybyDay[[#This Row],[Date]])</f>
        <v>2</v>
      </c>
      <c r="I78" s="31">
        <v>42807</v>
      </c>
      <c r="J78" s="74">
        <v>11</v>
      </c>
      <c r="K78" s="32">
        <f>SUMIFS(BudgetSeasonality[365 Seasonality],BudgetSeasonality[MonthAdjustment],DaybyDay[[#This Row],[Date]])*SUMIFS(Budgets[Service-Budget],Budgets[BudgetMonth],DaybyDay[[#This Row],[RowMonth]],Budgets[BudgetYear],DaybyDay[[#This Row],[RowYear]])</f>
        <v>0</v>
      </c>
      <c r="L78" s="75">
        <v>3261.2</v>
      </c>
      <c r="M78" s="32">
        <f>INDEX(BudgetSeasonality[365 Seasonality],MATCH(DaybyDay[[#This Row],[Date]],BudgetSeasonality[MonthAdjustment],0))*SUMIFS(Budgets[Retail-Budget],Budgets[BudgetMonth],DaybyDay[[#This Row],[RowMonth]],Budgets[BudgetYear],DaybyDay[[#This Row],[RowYear]])</f>
        <v>0</v>
      </c>
      <c r="N78" s="75">
        <v>69</v>
      </c>
      <c r="O78" s="33">
        <f>SUMIFS(DaybyDay[Service-Budgets],DaybyDay[Date],"&gt;="&amp;$C$5,DaybyDay[RowYear],"&gt;="&amp;$C$4,DaybyDay[Date],"&lt;="&amp;DaybyDay[[#This Row],[Date]])</f>
        <v>0</v>
      </c>
      <c r="P78" s="33">
        <f>SUMIFS(DaybyDay[Retail-Budgets],DaybyDay[Date],"&gt;="&amp;$C$5,DaybyDay[RowYear],"&gt;="&amp;$C$4,DaybyDay[Date],"&lt;="&amp;DaybyDay[[#This Row],[Date]])</f>
        <v>0</v>
      </c>
      <c r="Q78" s="34">
        <f>SUMIFS(DaybyDay[Service-Actuals],DaybyDay[Date],"&gt;="&amp;$C$5,DaybyDay[RowYear],"&gt;="&amp;$C$4,DaybyDay[Date],"&lt;="&amp;DaybyDay[[#This Row],[Date]])</f>
        <v>0</v>
      </c>
      <c r="R78" s="34">
        <f>SUMIFS(DaybyDay[Retail-Actuals],DaybyDay[Date],"&gt;="&amp;$C$5,DaybyDay[RowYear],"&gt;="&amp;$C$4,DaybyDay[Date],"&lt;="&amp;DaybyDay[[#This Row],[Date]])</f>
        <v>0</v>
      </c>
      <c r="S78" s="35">
        <f>SUMIFS(DaybyDay[Service-LY],DaybyDay[Date],"&gt;="&amp;$C$5,DaybyDay[RowYear],"&gt;="&amp;$C$4,DaybyDay[Date],"&lt;="&amp;DaybyDay[[#This Row],[Date]])</f>
        <v>0</v>
      </c>
      <c r="T78" s="35">
        <f>SUMIFS(DaybyDay[Retail-LY],DaybyDay[Date],"&gt;="&amp;$C$5,DaybyDay[RowYear],"&gt;="&amp;$C$4,DaybyDay[Date],"&lt;="&amp;DaybyDay[[#This Row],[Date]])</f>
        <v>0</v>
      </c>
      <c r="U78" s="32">
        <f>DaybyDay[[#This Row],[Serv-Bud-RU]]+DaybyDay[[#This Row],[Ret-Bud-RU]]</f>
        <v>0</v>
      </c>
      <c r="V78" s="32">
        <f>DaybyDay[[#This Row],[Serv-Act-RU]]+DaybyDay[[#This Row],[Ret-Act-RU]]</f>
        <v>0</v>
      </c>
      <c r="W78" s="36">
        <f>IF(DaybyDay[[#This Row],[_Space]],IFERROR(
((DaybyDay[[#This Row],[Actual-Rollup]]-DaybyDay[[#This Row],[Budget-Rollup]])/DaybyDay[[#This Row],[Budget-Rollup]]),0),"")</f>
        <v>0</v>
      </c>
      <c r="X78" t="b">
        <f>NOT(AND(ISBLANK(DaybyDay[[#This Row],[Appts]]),ISBLANK(DaybyDay[[#This Row],[Service-Actuals]]),ISBLANK(DaybyDay[[#This Row],[Retail-Actuals]])))</f>
        <v>1</v>
      </c>
      <c r="Y78" s="36">
        <f>IF(DaybyDay[[#This Row],[_Space]],IFERROR(
((DaybyDay[[#This Row],[Actual-Rollup]]-DaybyDay[[#This Row],[LY-Rollup]])/DaybyDay[[#This Row],[LY-Rollup]]),0),"")</f>
        <v>0</v>
      </c>
      <c r="Z78"/>
      <c r="AA78" s="37" t="e">
        <f>IF(DaybyDay[[#This Row],[_Space]],DaybyDay[[#This Row],[Ret-Act-RU]]/DaybyDay[[#This Row],[Serv-Act-RU]],"")</f>
        <v>#DIV/0!</v>
      </c>
      <c r="AB78" s="50" t="e">
        <f>IF(DaybyDay[[#This Row],[_Space]],DaybyDay[[#This Row],[RETPEN-Act]]/DaybyDay[[#This Row],[RETPEN-Bud]],"")</f>
        <v>#DIV/0!</v>
      </c>
      <c r="AC78" s="37" t="e">
        <f>IF(DaybyDay[[#This Row],[_Space]],DaybyDay[[#This Row],[Ret-Bud-RU]]/DaybyDay[[#This Row],[Serv-Bud-RU]],"")</f>
        <v>#DIV/0!</v>
      </c>
      <c r="AD78" s="37" t="e">
        <f>IF(DaybyDay[[#This Row],[_Space]],DaybyDay[[#This Row],[Ret-LY-RU]]/DaybyDay[[#This Row],[Serv-LY-RU]],"")</f>
        <v>#DIV/0!</v>
      </c>
      <c r="AE78" s="30">
        <f>WEEKDAY(DaybyDay[[#This Row],[LY-Date]])</f>
        <v>2</v>
      </c>
      <c r="AF78" s="38">
        <f>$E$2+_xlfn.DAYS(DaybyDay[[#This Row],[Date]],minDate)</f>
        <v>42443</v>
      </c>
      <c r="AG78" s="39" t="str" cm="1">
        <f t="array" ref="AG78">IFERROR(INDEX(DaybyDay[],DaybyDay[[#This Row],[FORM_MATCH_HELPER]],8),"")</f>
        <v/>
      </c>
      <c r="AH78" s="39" t="str" cm="1">
        <f t="array" ref="AH78">IFERROR(INDEX(DaybyDay[],DaybyDay[[#This Row],[FORM_MATCH_HELPER]],10),"")</f>
        <v/>
      </c>
      <c r="AI78" s="39" t="str" cm="1">
        <f t="array" ref="AI78">IFERROR(INDEX(DaybyDay[],DaybyDay[[#This Row],[FORM_MATCH_HELPER]],12),"")</f>
        <v/>
      </c>
      <c r="AJ78" s="32">
        <f>IFERROR(DaybyDay[[#This Row],[Serv-LY-RU]]+DaybyDay[[#This Row],[Ret-LY-RU]],"")</f>
        <v>0</v>
      </c>
      <c r="AK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 s="77"/>
      <c r="AM78" s="40" t="str">
        <f>IF(DaybyDay[[#This Row],[Admin Hours]]&gt;0,DaybyDay[[#This Row],[Admin Hours]]*$AM$2+$AM$3,"")</f>
        <v/>
      </c>
      <c r="AN78" s="40">
        <f>SUMIFS(DaybyDay[Est-Admin-Payroll],DaybyDay[Date],"&gt;="&amp;$C$5,DaybyDay[RowYear],"&gt;="&amp;$C$4,DaybyDay[Date],"&lt;="&amp;DaybyDay[[#This Row],[Date]])</f>
        <v>0</v>
      </c>
      <c r="AO78" s="41" t="str">
        <f>IF(AND(DaybyDay[[#This Row],[_Space]],ISNUMBER(DaybyDay[[#This Row],[Admin Hours]])),DaybyDay[[#This Row],[Est-Admin-Payroll]]/(DaybyDay[[#This Row],[Service-Actuals]]+DaybyDay[[#This Row],[Retail-Actuals]]),"")</f>
        <v/>
      </c>
      <c r="AP78" s="41" t="e">
        <f>DaybyDay[[#This Row],[Estimated-Payroll-Rollup]]/DaybyDay[[#This Row],[Simple-Forecast]]</f>
        <v>#DIV/0!</v>
      </c>
      <c r="AQ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 s="77"/>
      <c r="AS78" s="40" t="str">
        <f>IF(DaybyDay[[#This Row],[Retail Hours]]&gt;0,DaybyDay[[#This Row],[Retail Hours]]*$AS$2,"")</f>
        <v/>
      </c>
      <c r="AT78" s="40">
        <f>SUMIFS(DaybyDay[Est-Retail-Payroll],DaybyDay[Date],"&gt;="&amp;$C$5,DaybyDay[RowYear],"&gt;="&amp;$C$4,DaybyDay[Date],"&lt;="&amp;DaybyDay[[#This Row],[Date]])</f>
        <v>0</v>
      </c>
      <c r="AU78" s="82" t="str">
        <f>IF(AND(DaybyDay[[#This Row],[_Space]],ISNUMBER(DaybyDay[[#This Row],[Retail Hours]])),DaybyDay[[#This Row],[Est-Retail-Payroll]]/(DaybyDay[[#This Row],[Retail-Actuals]]),"")</f>
        <v/>
      </c>
      <c r="AV78" s="82" t="e">
        <f>DaybyDay[[#This Row],[Est-Retail-PayrollRU]]/DaybyDay[[#This Row],[Simple-Forecast-Retail]]</f>
        <v>#DIV/0!</v>
      </c>
      <c r="AW78" s="8"/>
    </row>
    <row r="79" spans="3:49" hidden="1" x14ac:dyDescent="0.25">
      <c r="C79" s="26" t="str">
        <f>Tools!$C$1</f>
        <v>Example</v>
      </c>
      <c r="D79" s="27" t="s">
        <v>70</v>
      </c>
      <c r="E79" s="28">
        <v>2017</v>
      </c>
      <c r="F79" s="28">
        <f>MATCH(DaybyDay[[#This Row],[RowMonth]],Table3[SummaryMonth],0)</f>
        <v>3</v>
      </c>
      <c r="G79" s="29" t="e">
        <f>MATCH(DaybyDay[[#This Row],[LY-Date]],DaybyDay[Date],0)</f>
        <v>#N/A</v>
      </c>
      <c r="H79" s="30">
        <f>WEEKDAY(DaybyDay[[#This Row],[Date]])</f>
        <v>3</v>
      </c>
      <c r="I79" s="31">
        <v>42808</v>
      </c>
      <c r="J79" s="74">
        <v>17</v>
      </c>
      <c r="K79" s="32">
        <f>SUMIFS(BudgetSeasonality[365 Seasonality],BudgetSeasonality[MonthAdjustment],DaybyDay[[#This Row],[Date]])*SUMIFS(Budgets[Service-Budget],Budgets[BudgetMonth],DaybyDay[[#This Row],[RowMonth]],Budgets[BudgetYear],DaybyDay[[#This Row],[RowYear]])</f>
        <v>0</v>
      </c>
      <c r="L79" s="75">
        <v>4430</v>
      </c>
      <c r="M79" s="32">
        <f>INDEX(BudgetSeasonality[365 Seasonality],MATCH(DaybyDay[[#This Row],[Date]],BudgetSeasonality[MonthAdjustment],0))*SUMIFS(Budgets[Retail-Budget],Budgets[BudgetMonth],DaybyDay[[#This Row],[RowMonth]],Budgets[BudgetYear],DaybyDay[[#This Row],[RowYear]])</f>
        <v>0</v>
      </c>
      <c r="N79" s="75">
        <v>1890</v>
      </c>
      <c r="O79" s="33">
        <f>SUMIFS(DaybyDay[Service-Budgets],DaybyDay[Date],"&gt;="&amp;$C$5,DaybyDay[RowYear],"&gt;="&amp;$C$4,DaybyDay[Date],"&lt;="&amp;DaybyDay[[#This Row],[Date]])</f>
        <v>0</v>
      </c>
      <c r="P79" s="33">
        <f>SUMIFS(DaybyDay[Retail-Budgets],DaybyDay[Date],"&gt;="&amp;$C$5,DaybyDay[RowYear],"&gt;="&amp;$C$4,DaybyDay[Date],"&lt;="&amp;DaybyDay[[#This Row],[Date]])</f>
        <v>0</v>
      </c>
      <c r="Q79" s="34">
        <f>SUMIFS(DaybyDay[Service-Actuals],DaybyDay[Date],"&gt;="&amp;$C$5,DaybyDay[RowYear],"&gt;="&amp;$C$4,DaybyDay[Date],"&lt;="&amp;DaybyDay[[#This Row],[Date]])</f>
        <v>0</v>
      </c>
      <c r="R79" s="34">
        <f>SUMIFS(DaybyDay[Retail-Actuals],DaybyDay[Date],"&gt;="&amp;$C$5,DaybyDay[RowYear],"&gt;="&amp;$C$4,DaybyDay[Date],"&lt;="&amp;DaybyDay[[#This Row],[Date]])</f>
        <v>0</v>
      </c>
      <c r="S79" s="35">
        <f>SUMIFS(DaybyDay[Service-LY],DaybyDay[Date],"&gt;="&amp;$C$5,DaybyDay[RowYear],"&gt;="&amp;$C$4,DaybyDay[Date],"&lt;="&amp;DaybyDay[[#This Row],[Date]])</f>
        <v>0</v>
      </c>
      <c r="T79" s="35">
        <f>SUMIFS(DaybyDay[Retail-LY],DaybyDay[Date],"&gt;="&amp;$C$5,DaybyDay[RowYear],"&gt;="&amp;$C$4,DaybyDay[Date],"&lt;="&amp;DaybyDay[[#This Row],[Date]])</f>
        <v>0</v>
      </c>
      <c r="U79" s="32">
        <f>DaybyDay[[#This Row],[Serv-Bud-RU]]+DaybyDay[[#This Row],[Ret-Bud-RU]]</f>
        <v>0</v>
      </c>
      <c r="V79" s="32">
        <f>DaybyDay[[#This Row],[Serv-Act-RU]]+DaybyDay[[#This Row],[Ret-Act-RU]]</f>
        <v>0</v>
      </c>
      <c r="W79" s="36">
        <f>IF(DaybyDay[[#This Row],[_Space]],IFERROR(
((DaybyDay[[#This Row],[Actual-Rollup]]-DaybyDay[[#This Row],[Budget-Rollup]])/DaybyDay[[#This Row],[Budget-Rollup]]),0),"")</f>
        <v>0</v>
      </c>
      <c r="X79" t="b">
        <f>NOT(AND(ISBLANK(DaybyDay[[#This Row],[Appts]]),ISBLANK(DaybyDay[[#This Row],[Service-Actuals]]),ISBLANK(DaybyDay[[#This Row],[Retail-Actuals]])))</f>
        <v>1</v>
      </c>
      <c r="Y79" s="36">
        <f>IF(DaybyDay[[#This Row],[_Space]],IFERROR(
((DaybyDay[[#This Row],[Actual-Rollup]]-DaybyDay[[#This Row],[LY-Rollup]])/DaybyDay[[#This Row],[LY-Rollup]]),0),"")</f>
        <v>0</v>
      </c>
      <c r="Z79"/>
      <c r="AA79" s="37" t="e">
        <f>IF(DaybyDay[[#This Row],[_Space]],DaybyDay[[#This Row],[Ret-Act-RU]]/DaybyDay[[#This Row],[Serv-Act-RU]],"")</f>
        <v>#DIV/0!</v>
      </c>
      <c r="AB79" s="50" t="e">
        <f>IF(DaybyDay[[#This Row],[_Space]],DaybyDay[[#This Row],[RETPEN-Act]]/DaybyDay[[#This Row],[RETPEN-Bud]],"")</f>
        <v>#DIV/0!</v>
      </c>
      <c r="AC79" s="37" t="e">
        <f>IF(DaybyDay[[#This Row],[_Space]],DaybyDay[[#This Row],[Ret-Bud-RU]]/DaybyDay[[#This Row],[Serv-Bud-RU]],"")</f>
        <v>#DIV/0!</v>
      </c>
      <c r="AD79" s="37" t="e">
        <f>IF(DaybyDay[[#This Row],[_Space]],DaybyDay[[#This Row],[Ret-LY-RU]]/DaybyDay[[#This Row],[Serv-LY-RU]],"")</f>
        <v>#DIV/0!</v>
      </c>
      <c r="AE79" s="30">
        <f>WEEKDAY(DaybyDay[[#This Row],[LY-Date]])</f>
        <v>3</v>
      </c>
      <c r="AF79" s="38">
        <f>$E$2+_xlfn.DAYS(DaybyDay[[#This Row],[Date]],minDate)</f>
        <v>42444</v>
      </c>
      <c r="AG79" s="39" t="str" cm="1">
        <f t="array" ref="AG79">IFERROR(INDEX(DaybyDay[],DaybyDay[[#This Row],[FORM_MATCH_HELPER]],8),"")</f>
        <v/>
      </c>
      <c r="AH79" s="39" t="str" cm="1">
        <f t="array" ref="AH79">IFERROR(INDEX(DaybyDay[],DaybyDay[[#This Row],[FORM_MATCH_HELPER]],10),"")</f>
        <v/>
      </c>
      <c r="AI79" s="39" t="str" cm="1">
        <f t="array" ref="AI79">IFERROR(INDEX(DaybyDay[],DaybyDay[[#This Row],[FORM_MATCH_HELPER]],12),"")</f>
        <v/>
      </c>
      <c r="AJ79" s="32">
        <f>IFERROR(DaybyDay[[#This Row],[Serv-LY-RU]]+DaybyDay[[#This Row],[Ret-LY-RU]],"")</f>
        <v>0</v>
      </c>
      <c r="AK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 s="77"/>
      <c r="AM79" s="40" t="str">
        <f>IF(DaybyDay[[#This Row],[Admin Hours]]&gt;0,DaybyDay[[#This Row],[Admin Hours]]*$AM$2+$AM$3,"")</f>
        <v/>
      </c>
      <c r="AN79" s="40">
        <f>SUMIFS(DaybyDay[Est-Admin-Payroll],DaybyDay[Date],"&gt;="&amp;$C$5,DaybyDay[RowYear],"&gt;="&amp;$C$4,DaybyDay[Date],"&lt;="&amp;DaybyDay[[#This Row],[Date]])</f>
        <v>0</v>
      </c>
      <c r="AO79" s="41" t="str">
        <f>IF(AND(DaybyDay[[#This Row],[_Space]],ISNUMBER(DaybyDay[[#This Row],[Admin Hours]])),DaybyDay[[#This Row],[Est-Admin-Payroll]]/(DaybyDay[[#This Row],[Service-Actuals]]+DaybyDay[[#This Row],[Retail-Actuals]]),"")</f>
        <v/>
      </c>
      <c r="AP79" s="41" t="e">
        <f>DaybyDay[[#This Row],[Estimated-Payroll-Rollup]]/DaybyDay[[#This Row],[Simple-Forecast]]</f>
        <v>#DIV/0!</v>
      </c>
      <c r="AQ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 s="77"/>
      <c r="AS79" s="40" t="str">
        <f>IF(DaybyDay[[#This Row],[Retail Hours]]&gt;0,DaybyDay[[#This Row],[Retail Hours]]*$AS$2,"")</f>
        <v/>
      </c>
      <c r="AT79" s="40">
        <f>SUMIFS(DaybyDay[Est-Retail-Payroll],DaybyDay[Date],"&gt;="&amp;$C$5,DaybyDay[RowYear],"&gt;="&amp;$C$4,DaybyDay[Date],"&lt;="&amp;DaybyDay[[#This Row],[Date]])</f>
        <v>0</v>
      </c>
      <c r="AU79" s="82" t="str">
        <f>IF(AND(DaybyDay[[#This Row],[_Space]],ISNUMBER(DaybyDay[[#This Row],[Retail Hours]])),DaybyDay[[#This Row],[Est-Retail-Payroll]]/(DaybyDay[[#This Row],[Retail-Actuals]]),"")</f>
        <v/>
      </c>
      <c r="AV79" s="82" t="e">
        <f>DaybyDay[[#This Row],[Est-Retail-PayrollRU]]/DaybyDay[[#This Row],[Simple-Forecast-Retail]]</f>
        <v>#DIV/0!</v>
      </c>
      <c r="AW79" s="8"/>
    </row>
    <row r="80" spans="3:49" hidden="1" x14ac:dyDescent="0.25">
      <c r="C80" s="26" t="str">
        <f>Tools!$C$1</f>
        <v>Example</v>
      </c>
      <c r="D80" s="27" t="s">
        <v>70</v>
      </c>
      <c r="E80" s="28">
        <v>2017</v>
      </c>
      <c r="F80" s="28">
        <f>MATCH(DaybyDay[[#This Row],[RowMonth]],Table3[SummaryMonth],0)</f>
        <v>3</v>
      </c>
      <c r="G80" s="29" t="e">
        <f>MATCH(DaybyDay[[#This Row],[LY-Date]],DaybyDay[Date],0)</f>
        <v>#N/A</v>
      </c>
      <c r="H80" s="30">
        <f>WEEKDAY(DaybyDay[[#This Row],[Date]])</f>
        <v>4</v>
      </c>
      <c r="I80" s="31">
        <v>42809</v>
      </c>
      <c r="J80" s="74">
        <v>18</v>
      </c>
      <c r="K80" s="32">
        <f>SUMIFS(BudgetSeasonality[365 Seasonality],BudgetSeasonality[MonthAdjustment],DaybyDay[[#This Row],[Date]])*SUMIFS(Budgets[Service-Budget],Budgets[BudgetMonth],DaybyDay[[#This Row],[RowMonth]],Budgets[BudgetYear],DaybyDay[[#This Row],[RowYear]])</f>
        <v>0</v>
      </c>
      <c r="L80" s="75">
        <v>2418.4</v>
      </c>
      <c r="M80" s="32">
        <f>INDEX(BudgetSeasonality[365 Seasonality],MATCH(DaybyDay[[#This Row],[Date]],BudgetSeasonality[MonthAdjustment],0))*SUMIFS(Budgets[Retail-Budget],Budgets[BudgetMonth],DaybyDay[[#This Row],[RowMonth]],Budgets[BudgetYear],DaybyDay[[#This Row],[RowYear]])</f>
        <v>0</v>
      </c>
      <c r="N80" s="75">
        <v>69</v>
      </c>
      <c r="O80" s="33">
        <f>SUMIFS(DaybyDay[Service-Budgets],DaybyDay[Date],"&gt;="&amp;$C$5,DaybyDay[RowYear],"&gt;="&amp;$C$4,DaybyDay[Date],"&lt;="&amp;DaybyDay[[#This Row],[Date]])</f>
        <v>0</v>
      </c>
      <c r="P80" s="33">
        <f>SUMIFS(DaybyDay[Retail-Budgets],DaybyDay[Date],"&gt;="&amp;$C$5,DaybyDay[RowYear],"&gt;="&amp;$C$4,DaybyDay[Date],"&lt;="&amp;DaybyDay[[#This Row],[Date]])</f>
        <v>0</v>
      </c>
      <c r="Q80" s="34">
        <f>SUMIFS(DaybyDay[Service-Actuals],DaybyDay[Date],"&gt;="&amp;$C$5,DaybyDay[RowYear],"&gt;="&amp;$C$4,DaybyDay[Date],"&lt;="&amp;DaybyDay[[#This Row],[Date]])</f>
        <v>0</v>
      </c>
      <c r="R80" s="34">
        <f>SUMIFS(DaybyDay[Retail-Actuals],DaybyDay[Date],"&gt;="&amp;$C$5,DaybyDay[RowYear],"&gt;="&amp;$C$4,DaybyDay[Date],"&lt;="&amp;DaybyDay[[#This Row],[Date]])</f>
        <v>0</v>
      </c>
      <c r="S80" s="35">
        <f>SUMIFS(DaybyDay[Service-LY],DaybyDay[Date],"&gt;="&amp;$C$5,DaybyDay[RowYear],"&gt;="&amp;$C$4,DaybyDay[Date],"&lt;="&amp;DaybyDay[[#This Row],[Date]])</f>
        <v>0</v>
      </c>
      <c r="T80" s="35">
        <f>SUMIFS(DaybyDay[Retail-LY],DaybyDay[Date],"&gt;="&amp;$C$5,DaybyDay[RowYear],"&gt;="&amp;$C$4,DaybyDay[Date],"&lt;="&amp;DaybyDay[[#This Row],[Date]])</f>
        <v>0</v>
      </c>
      <c r="U80" s="32">
        <f>DaybyDay[[#This Row],[Serv-Bud-RU]]+DaybyDay[[#This Row],[Ret-Bud-RU]]</f>
        <v>0</v>
      </c>
      <c r="V80" s="32">
        <f>DaybyDay[[#This Row],[Serv-Act-RU]]+DaybyDay[[#This Row],[Ret-Act-RU]]</f>
        <v>0</v>
      </c>
      <c r="W80" s="36">
        <f>IF(DaybyDay[[#This Row],[_Space]],IFERROR(
((DaybyDay[[#This Row],[Actual-Rollup]]-DaybyDay[[#This Row],[Budget-Rollup]])/DaybyDay[[#This Row],[Budget-Rollup]]),0),"")</f>
        <v>0</v>
      </c>
      <c r="X80" t="b">
        <f>NOT(AND(ISBLANK(DaybyDay[[#This Row],[Appts]]),ISBLANK(DaybyDay[[#This Row],[Service-Actuals]]),ISBLANK(DaybyDay[[#This Row],[Retail-Actuals]])))</f>
        <v>1</v>
      </c>
      <c r="Y80" s="36">
        <f>IF(DaybyDay[[#This Row],[_Space]],IFERROR(
((DaybyDay[[#This Row],[Actual-Rollup]]-DaybyDay[[#This Row],[LY-Rollup]])/DaybyDay[[#This Row],[LY-Rollup]]),0),"")</f>
        <v>0</v>
      </c>
      <c r="Z80"/>
      <c r="AA80" s="37" t="e">
        <f>IF(DaybyDay[[#This Row],[_Space]],DaybyDay[[#This Row],[Ret-Act-RU]]/DaybyDay[[#This Row],[Serv-Act-RU]],"")</f>
        <v>#DIV/0!</v>
      </c>
      <c r="AB80" s="50" t="e">
        <f>IF(DaybyDay[[#This Row],[_Space]],DaybyDay[[#This Row],[RETPEN-Act]]/DaybyDay[[#This Row],[RETPEN-Bud]],"")</f>
        <v>#DIV/0!</v>
      </c>
      <c r="AC80" s="37" t="e">
        <f>IF(DaybyDay[[#This Row],[_Space]],DaybyDay[[#This Row],[Ret-Bud-RU]]/DaybyDay[[#This Row],[Serv-Bud-RU]],"")</f>
        <v>#DIV/0!</v>
      </c>
      <c r="AD80" s="37" t="e">
        <f>IF(DaybyDay[[#This Row],[_Space]],DaybyDay[[#This Row],[Ret-LY-RU]]/DaybyDay[[#This Row],[Serv-LY-RU]],"")</f>
        <v>#DIV/0!</v>
      </c>
      <c r="AE80" s="30">
        <f>WEEKDAY(DaybyDay[[#This Row],[LY-Date]])</f>
        <v>4</v>
      </c>
      <c r="AF80" s="38">
        <f>$E$2+_xlfn.DAYS(DaybyDay[[#This Row],[Date]],minDate)</f>
        <v>42445</v>
      </c>
      <c r="AG80" s="39" t="str" cm="1">
        <f t="array" ref="AG80">IFERROR(INDEX(DaybyDay[],DaybyDay[[#This Row],[FORM_MATCH_HELPER]],8),"")</f>
        <v/>
      </c>
      <c r="AH80" s="39" t="str" cm="1">
        <f t="array" ref="AH80">IFERROR(INDEX(DaybyDay[],DaybyDay[[#This Row],[FORM_MATCH_HELPER]],10),"")</f>
        <v/>
      </c>
      <c r="AI80" s="39" t="str" cm="1">
        <f t="array" ref="AI80">IFERROR(INDEX(DaybyDay[],DaybyDay[[#This Row],[FORM_MATCH_HELPER]],12),"")</f>
        <v/>
      </c>
      <c r="AJ80" s="32">
        <f>IFERROR(DaybyDay[[#This Row],[Serv-LY-RU]]+DaybyDay[[#This Row],[Ret-LY-RU]],"")</f>
        <v>0</v>
      </c>
      <c r="AK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 s="77"/>
      <c r="AM80" s="40" t="str">
        <f>IF(DaybyDay[[#This Row],[Admin Hours]]&gt;0,DaybyDay[[#This Row],[Admin Hours]]*$AM$2+$AM$3,"")</f>
        <v/>
      </c>
      <c r="AN80" s="40">
        <f>SUMIFS(DaybyDay[Est-Admin-Payroll],DaybyDay[Date],"&gt;="&amp;$C$5,DaybyDay[RowYear],"&gt;="&amp;$C$4,DaybyDay[Date],"&lt;="&amp;DaybyDay[[#This Row],[Date]])</f>
        <v>0</v>
      </c>
      <c r="AO80" s="41" t="str">
        <f>IF(AND(DaybyDay[[#This Row],[_Space]],ISNUMBER(DaybyDay[[#This Row],[Admin Hours]])),DaybyDay[[#This Row],[Est-Admin-Payroll]]/(DaybyDay[[#This Row],[Service-Actuals]]+DaybyDay[[#This Row],[Retail-Actuals]]),"")</f>
        <v/>
      </c>
      <c r="AP80" s="41" t="e">
        <f>DaybyDay[[#This Row],[Estimated-Payroll-Rollup]]/DaybyDay[[#This Row],[Simple-Forecast]]</f>
        <v>#DIV/0!</v>
      </c>
      <c r="AQ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 s="77"/>
      <c r="AS80" s="40" t="str">
        <f>IF(DaybyDay[[#This Row],[Retail Hours]]&gt;0,DaybyDay[[#This Row],[Retail Hours]]*$AS$2,"")</f>
        <v/>
      </c>
      <c r="AT80" s="40">
        <f>SUMIFS(DaybyDay[Est-Retail-Payroll],DaybyDay[Date],"&gt;="&amp;$C$5,DaybyDay[RowYear],"&gt;="&amp;$C$4,DaybyDay[Date],"&lt;="&amp;DaybyDay[[#This Row],[Date]])</f>
        <v>0</v>
      </c>
      <c r="AU80" s="82" t="str">
        <f>IF(AND(DaybyDay[[#This Row],[_Space]],ISNUMBER(DaybyDay[[#This Row],[Retail Hours]])),DaybyDay[[#This Row],[Est-Retail-Payroll]]/(DaybyDay[[#This Row],[Retail-Actuals]]),"")</f>
        <v/>
      </c>
      <c r="AV80" s="82" t="e">
        <f>DaybyDay[[#This Row],[Est-Retail-PayrollRU]]/DaybyDay[[#This Row],[Simple-Forecast-Retail]]</f>
        <v>#DIV/0!</v>
      </c>
      <c r="AW80" s="8"/>
    </row>
    <row r="81" spans="3:49" hidden="1" x14ac:dyDescent="0.25">
      <c r="C81" s="26" t="str">
        <f>Tools!$C$1</f>
        <v>Example</v>
      </c>
      <c r="D81" s="27" t="s">
        <v>70</v>
      </c>
      <c r="E81" s="28">
        <v>2017</v>
      </c>
      <c r="F81" s="28">
        <f>MATCH(DaybyDay[[#This Row],[RowMonth]],Table3[SummaryMonth],0)</f>
        <v>3</v>
      </c>
      <c r="G81" s="29" t="e">
        <f>MATCH(DaybyDay[[#This Row],[LY-Date]],DaybyDay[Date],0)</f>
        <v>#N/A</v>
      </c>
      <c r="H81" s="30">
        <f>WEEKDAY(DaybyDay[[#This Row],[Date]])</f>
        <v>5</v>
      </c>
      <c r="I81" s="31">
        <v>42810</v>
      </c>
      <c r="J81" s="74">
        <v>15</v>
      </c>
      <c r="K81" s="32">
        <f>SUMIFS(BudgetSeasonality[365 Seasonality],BudgetSeasonality[MonthAdjustment],DaybyDay[[#This Row],[Date]])*SUMIFS(Budgets[Service-Budget],Budgets[BudgetMonth],DaybyDay[[#This Row],[RowMonth]],Budgets[BudgetYear],DaybyDay[[#This Row],[RowYear]])</f>
        <v>0</v>
      </c>
      <c r="L81" s="75">
        <v>3231</v>
      </c>
      <c r="M81" s="32">
        <f>INDEX(BudgetSeasonality[365 Seasonality],MATCH(DaybyDay[[#This Row],[Date]],BudgetSeasonality[MonthAdjustment],0))*SUMIFS(Budgets[Retail-Budget],Budgets[BudgetMonth],DaybyDay[[#This Row],[RowMonth]],Budgets[BudgetYear],DaybyDay[[#This Row],[RowYear]])</f>
        <v>0</v>
      </c>
      <c r="N81" s="75">
        <v>77.75</v>
      </c>
      <c r="O81" s="33">
        <f>SUMIFS(DaybyDay[Service-Budgets],DaybyDay[Date],"&gt;="&amp;$C$5,DaybyDay[RowYear],"&gt;="&amp;$C$4,DaybyDay[Date],"&lt;="&amp;DaybyDay[[#This Row],[Date]])</f>
        <v>0</v>
      </c>
      <c r="P81" s="33">
        <f>SUMIFS(DaybyDay[Retail-Budgets],DaybyDay[Date],"&gt;="&amp;$C$5,DaybyDay[RowYear],"&gt;="&amp;$C$4,DaybyDay[Date],"&lt;="&amp;DaybyDay[[#This Row],[Date]])</f>
        <v>0</v>
      </c>
      <c r="Q81" s="34">
        <f>SUMIFS(DaybyDay[Service-Actuals],DaybyDay[Date],"&gt;="&amp;$C$5,DaybyDay[RowYear],"&gt;="&amp;$C$4,DaybyDay[Date],"&lt;="&amp;DaybyDay[[#This Row],[Date]])</f>
        <v>0</v>
      </c>
      <c r="R81" s="34">
        <f>SUMIFS(DaybyDay[Retail-Actuals],DaybyDay[Date],"&gt;="&amp;$C$5,DaybyDay[RowYear],"&gt;="&amp;$C$4,DaybyDay[Date],"&lt;="&amp;DaybyDay[[#This Row],[Date]])</f>
        <v>0</v>
      </c>
      <c r="S81" s="35">
        <f>SUMIFS(DaybyDay[Service-LY],DaybyDay[Date],"&gt;="&amp;$C$5,DaybyDay[RowYear],"&gt;="&amp;$C$4,DaybyDay[Date],"&lt;="&amp;DaybyDay[[#This Row],[Date]])</f>
        <v>0</v>
      </c>
      <c r="T81" s="35">
        <f>SUMIFS(DaybyDay[Retail-LY],DaybyDay[Date],"&gt;="&amp;$C$5,DaybyDay[RowYear],"&gt;="&amp;$C$4,DaybyDay[Date],"&lt;="&amp;DaybyDay[[#This Row],[Date]])</f>
        <v>0</v>
      </c>
      <c r="U81" s="32">
        <f>DaybyDay[[#This Row],[Serv-Bud-RU]]+DaybyDay[[#This Row],[Ret-Bud-RU]]</f>
        <v>0</v>
      </c>
      <c r="V81" s="32">
        <f>DaybyDay[[#This Row],[Serv-Act-RU]]+DaybyDay[[#This Row],[Ret-Act-RU]]</f>
        <v>0</v>
      </c>
      <c r="W81" s="36">
        <f>IF(DaybyDay[[#This Row],[_Space]],IFERROR(
((DaybyDay[[#This Row],[Actual-Rollup]]-DaybyDay[[#This Row],[Budget-Rollup]])/DaybyDay[[#This Row],[Budget-Rollup]]),0),"")</f>
        <v>0</v>
      </c>
      <c r="X81" t="b">
        <f>NOT(AND(ISBLANK(DaybyDay[[#This Row],[Appts]]),ISBLANK(DaybyDay[[#This Row],[Service-Actuals]]),ISBLANK(DaybyDay[[#This Row],[Retail-Actuals]])))</f>
        <v>1</v>
      </c>
      <c r="Y81" s="36">
        <f>IF(DaybyDay[[#This Row],[_Space]],IFERROR(
((DaybyDay[[#This Row],[Actual-Rollup]]-DaybyDay[[#This Row],[LY-Rollup]])/DaybyDay[[#This Row],[LY-Rollup]]),0),"")</f>
        <v>0</v>
      </c>
      <c r="Z81"/>
      <c r="AA81" s="37" t="e">
        <f>IF(DaybyDay[[#This Row],[_Space]],DaybyDay[[#This Row],[Ret-Act-RU]]/DaybyDay[[#This Row],[Serv-Act-RU]],"")</f>
        <v>#DIV/0!</v>
      </c>
      <c r="AB81" s="50" t="e">
        <f>IF(DaybyDay[[#This Row],[_Space]],DaybyDay[[#This Row],[RETPEN-Act]]/DaybyDay[[#This Row],[RETPEN-Bud]],"")</f>
        <v>#DIV/0!</v>
      </c>
      <c r="AC81" s="37" t="e">
        <f>IF(DaybyDay[[#This Row],[_Space]],DaybyDay[[#This Row],[Ret-Bud-RU]]/DaybyDay[[#This Row],[Serv-Bud-RU]],"")</f>
        <v>#DIV/0!</v>
      </c>
      <c r="AD81" s="37" t="e">
        <f>IF(DaybyDay[[#This Row],[_Space]],DaybyDay[[#This Row],[Ret-LY-RU]]/DaybyDay[[#This Row],[Serv-LY-RU]],"")</f>
        <v>#DIV/0!</v>
      </c>
      <c r="AE81" s="30">
        <f>WEEKDAY(DaybyDay[[#This Row],[LY-Date]])</f>
        <v>5</v>
      </c>
      <c r="AF81" s="38">
        <f>$E$2+_xlfn.DAYS(DaybyDay[[#This Row],[Date]],minDate)</f>
        <v>42446</v>
      </c>
      <c r="AG81" s="39" t="str" cm="1">
        <f t="array" ref="AG81">IFERROR(INDEX(DaybyDay[],DaybyDay[[#This Row],[FORM_MATCH_HELPER]],8),"")</f>
        <v/>
      </c>
      <c r="AH81" s="39" t="str" cm="1">
        <f t="array" ref="AH81">IFERROR(INDEX(DaybyDay[],DaybyDay[[#This Row],[FORM_MATCH_HELPER]],10),"")</f>
        <v/>
      </c>
      <c r="AI81" s="39" t="str" cm="1">
        <f t="array" ref="AI81">IFERROR(INDEX(DaybyDay[],DaybyDay[[#This Row],[FORM_MATCH_HELPER]],12),"")</f>
        <v/>
      </c>
      <c r="AJ81" s="32">
        <f>IFERROR(DaybyDay[[#This Row],[Serv-LY-RU]]+DaybyDay[[#This Row],[Ret-LY-RU]],"")</f>
        <v>0</v>
      </c>
      <c r="AK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 s="77"/>
      <c r="AM81" s="40" t="str">
        <f>IF(DaybyDay[[#This Row],[Admin Hours]]&gt;0,DaybyDay[[#This Row],[Admin Hours]]*$AM$2+$AM$3,"")</f>
        <v/>
      </c>
      <c r="AN81" s="40">
        <f>SUMIFS(DaybyDay[Est-Admin-Payroll],DaybyDay[Date],"&gt;="&amp;$C$5,DaybyDay[RowYear],"&gt;="&amp;$C$4,DaybyDay[Date],"&lt;="&amp;DaybyDay[[#This Row],[Date]])</f>
        <v>0</v>
      </c>
      <c r="AO81" s="41" t="str">
        <f>IF(AND(DaybyDay[[#This Row],[_Space]],ISNUMBER(DaybyDay[[#This Row],[Admin Hours]])),DaybyDay[[#This Row],[Est-Admin-Payroll]]/(DaybyDay[[#This Row],[Service-Actuals]]+DaybyDay[[#This Row],[Retail-Actuals]]),"")</f>
        <v/>
      </c>
      <c r="AP81" s="41" t="e">
        <f>DaybyDay[[#This Row],[Estimated-Payroll-Rollup]]/DaybyDay[[#This Row],[Simple-Forecast]]</f>
        <v>#DIV/0!</v>
      </c>
      <c r="AQ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 s="77"/>
      <c r="AS81" s="40" t="str">
        <f>IF(DaybyDay[[#This Row],[Retail Hours]]&gt;0,DaybyDay[[#This Row],[Retail Hours]]*$AS$2,"")</f>
        <v/>
      </c>
      <c r="AT81" s="40">
        <f>SUMIFS(DaybyDay[Est-Retail-Payroll],DaybyDay[Date],"&gt;="&amp;$C$5,DaybyDay[RowYear],"&gt;="&amp;$C$4,DaybyDay[Date],"&lt;="&amp;DaybyDay[[#This Row],[Date]])</f>
        <v>0</v>
      </c>
      <c r="AU81" s="82" t="str">
        <f>IF(AND(DaybyDay[[#This Row],[_Space]],ISNUMBER(DaybyDay[[#This Row],[Retail Hours]])),DaybyDay[[#This Row],[Est-Retail-Payroll]]/(DaybyDay[[#This Row],[Retail-Actuals]]),"")</f>
        <v/>
      </c>
      <c r="AV81" s="82" t="e">
        <f>DaybyDay[[#This Row],[Est-Retail-PayrollRU]]/DaybyDay[[#This Row],[Simple-Forecast-Retail]]</f>
        <v>#DIV/0!</v>
      </c>
      <c r="AW81" s="8"/>
    </row>
    <row r="82" spans="3:49" hidden="1" x14ac:dyDescent="0.25">
      <c r="C82" s="26" t="str">
        <f>Tools!$C$1</f>
        <v>Example</v>
      </c>
      <c r="D82" s="27" t="s">
        <v>70</v>
      </c>
      <c r="E82" s="28">
        <v>2017</v>
      </c>
      <c r="F82" s="28">
        <f>MATCH(DaybyDay[[#This Row],[RowMonth]],Table3[SummaryMonth],0)</f>
        <v>3</v>
      </c>
      <c r="G82" s="29" t="e">
        <f>MATCH(DaybyDay[[#This Row],[LY-Date]],DaybyDay[Date],0)</f>
        <v>#N/A</v>
      </c>
      <c r="H82" s="30">
        <f>WEEKDAY(DaybyDay[[#This Row],[Date]])</f>
        <v>6</v>
      </c>
      <c r="I82" s="31">
        <v>42811</v>
      </c>
      <c r="J82" s="74">
        <v>9</v>
      </c>
      <c r="K82" s="32">
        <f>SUMIFS(BudgetSeasonality[365 Seasonality],BudgetSeasonality[MonthAdjustment],DaybyDay[[#This Row],[Date]])*SUMIFS(Budgets[Service-Budget],Budgets[BudgetMonth],DaybyDay[[#This Row],[RowMonth]],Budgets[BudgetYear],DaybyDay[[#This Row],[RowYear]])</f>
        <v>0</v>
      </c>
      <c r="L82" s="75">
        <v>2879.99</v>
      </c>
      <c r="M82" s="32">
        <f>INDEX(BudgetSeasonality[365 Seasonality],MATCH(DaybyDay[[#This Row],[Date]],BudgetSeasonality[MonthAdjustment],0))*SUMIFS(Budgets[Retail-Budget],Budgets[BudgetMonth],DaybyDay[[#This Row],[RowMonth]],Budgets[BudgetYear],DaybyDay[[#This Row],[RowYear]])</f>
        <v>0</v>
      </c>
      <c r="N82" s="75">
        <v>2012.35</v>
      </c>
      <c r="O82" s="33">
        <f>SUMIFS(DaybyDay[Service-Budgets],DaybyDay[Date],"&gt;="&amp;$C$5,DaybyDay[RowYear],"&gt;="&amp;$C$4,DaybyDay[Date],"&lt;="&amp;DaybyDay[[#This Row],[Date]])</f>
        <v>0</v>
      </c>
      <c r="P82" s="33">
        <f>SUMIFS(DaybyDay[Retail-Budgets],DaybyDay[Date],"&gt;="&amp;$C$5,DaybyDay[RowYear],"&gt;="&amp;$C$4,DaybyDay[Date],"&lt;="&amp;DaybyDay[[#This Row],[Date]])</f>
        <v>0</v>
      </c>
      <c r="Q82" s="34">
        <f>SUMIFS(DaybyDay[Service-Actuals],DaybyDay[Date],"&gt;="&amp;$C$5,DaybyDay[RowYear],"&gt;="&amp;$C$4,DaybyDay[Date],"&lt;="&amp;DaybyDay[[#This Row],[Date]])</f>
        <v>0</v>
      </c>
      <c r="R82" s="34">
        <f>SUMIFS(DaybyDay[Retail-Actuals],DaybyDay[Date],"&gt;="&amp;$C$5,DaybyDay[RowYear],"&gt;="&amp;$C$4,DaybyDay[Date],"&lt;="&amp;DaybyDay[[#This Row],[Date]])</f>
        <v>0</v>
      </c>
      <c r="S82" s="35">
        <f>SUMIFS(DaybyDay[Service-LY],DaybyDay[Date],"&gt;="&amp;$C$5,DaybyDay[RowYear],"&gt;="&amp;$C$4,DaybyDay[Date],"&lt;="&amp;DaybyDay[[#This Row],[Date]])</f>
        <v>0</v>
      </c>
      <c r="T82" s="35">
        <f>SUMIFS(DaybyDay[Retail-LY],DaybyDay[Date],"&gt;="&amp;$C$5,DaybyDay[RowYear],"&gt;="&amp;$C$4,DaybyDay[Date],"&lt;="&amp;DaybyDay[[#This Row],[Date]])</f>
        <v>0</v>
      </c>
      <c r="U82" s="32">
        <f>DaybyDay[[#This Row],[Serv-Bud-RU]]+DaybyDay[[#This Row],[Ret-Bud-RU]]</f>
        <v>0</v>
      </c>
      <c r="V82" s="32">
        <f>DaybyDay[[#This Row],[Serv-Act-RU]]+DaybyDay[[#This Row],[Ret-Act-RU]]</f>
        <v>0</v>
      </c>
      <c r="W82" s="36">
        <f>IF(DaybyDay[[#This Row],[_Space]],IFERROR(
((DaybyDay[[#This Row],[Actual-Rollup]]-DaybyDay[[#This Row],[Budget-Rollup]])/DaybyDay[[#This Row],[Budget-Rollup]]),0),"")</f>
        <v>0</v>
      </c>
      <c r="X82" t="b">
        <f>NOT(AND(ISBLANK(DaybyDay[[#This Row],[Appts]]),ISBLANK(DaybyDay[[#This Row],[Service-Actuals]]),ISBLANK(DaybyDay[[#This Row],[Retail-Actuals]])))</f>
        <v>1</v>
      </c>
      <c r="Y82" s="36">
        <f>IF(DaybyDay[[#This Row],[_Space]],IFERROR(
((DaybyDay[[#This Row],[Actual-Rollup]]-DaybyDay[[#This Row],[LY-Rollup]])/DaybyDay[[#This Row],[LY-Rollup]]),0),"")</f>
        <v>0</v>
      </c>
      <c r="Z82"/>
      <c r="AA82" s="37" t="e">
        <f>IF(DaybyDay[[#This Row],[_Space]],DaybyDay[[#This Row],[Ret-Act-RU]]/DaybyDay[[#This Row],[Serv-Act-RU]],"")</f>
        <v>#DIV/0!</v>
      </c>
      <c r="AB82" s="50" t="e">
        <f>IF(DaybyDay[[#This Row],[_Space]],DaybyDay[[#This Row],[RETPEN-Act]]/DaybyDay[[#This Row],[RETPEN-Bud]],"")</f>
        <v>#DIV/0!</v>
      </c>
      <c r="AC82" s="37" t="e">
        <f>IF(DaybyDay[[#This Row],[_Space]],DaybyDay[[#This Row],[Ret-Bud-RU]]/DaybyDay[[#This Row],[Serv-Bud-RU]],"")</f>
        <v>#DIV/0!</v>
      </c>
      <c r="AD82" s="37" t="e">
        <f>IF(DaybyDay[[#This Row],[_Space]],DaybyDay[[#This Row],[Ret-LY-RU]]/DaybyDay[[#This Row],[Serv-LY-RU]],"")</f>
        <v>#DIV/0!</v>
      </c>
      <c r="AE82" s="30">
        <f>WEEKDAY(DaybyDay[[#This Row],[LY-Date]])</f>
        <v>6</v>
      </c>
      <c r="AF82" s="38">
        <f>$E$2+_xlfn.DAYS(DaybyDay[[#This Row],[Date]],minDate)</f>
        <v>42447</v>
      </c>
      <c r="AG82" s="39" t="str" cm="1">
        <f t="array" ref="AG82">IFERROR(INDEX(DaybyDay[],DaybyDay[[#This Row],[FORM_MATCH_HELPER]],8),"")</f>
        <v/>
      </c>
      <c r="AH82" s="39" t="str" cm="1">
        <f t="array" ref="AH82">IFERROR(INDEX(DaybyDay[],DaybyDay[[#This Row],[FORM_MATCH_HELPER]],10),"")</f>
        <v/>
      </c>
      <c r="AI82" s="39" t="str" cm="1">
        <f t="array" ref="AI82">IFERROR(INDEX(DaybyDay[],DaybyDay[[#This Row],[FORM_MATCH_HELPER]],12),"")</f>
        <v/>
      </c>
      <c r="AJ82" s="32">
        <f>IFERROR(DaybyDay[[#This Row],[Serv-LY-RU]]+DaybyDay[[#This Row],[Ret-LY-RU]],"")</f>
        <v>0</v>
      </c>
      <c r="AK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 s="77"/>
      <c r="AM82" s="40" t="str">
        <f>IF(DaybyDay[[#This Row],[Admin Hours]]&gt;0,DaybyDay[[#This Row],[Admin Hours]]*$AM$2+$AM$3,"")</f>
        <v/>
      </c>
      <c r="AN82" s="40">
        <f>SUMIFS(DaybyDay[Est-Admin-Payroll],DaybyDay[Date],"&gt;="&amp;$C$5,DaybyDay[RowYear],"&gt;="&amp;$C$4,DaybyDay[Date],"&lt;="&amp;DaybyDay[[#This Row],[Date]])</f>
        <v>0</v>
      </c>
      <c r="AO82" s="41" t="str">
        <f>IF(AND(DaybyDay[[#This Row],[_Space]],ISNUMBER(DaybyDay[[#This Row],[Admin Hours]])),DaybyDay[[#This Row],[Est-Admin-Payroll]]/(DaybyDay[[#This Row],[Service-Actuals]]+DaybyDay[[#This Row],[Retail-Actuals]]),"")</f>
        <v/>
      </c>
      <c r="AP82" s="41" t="e">
        <f>DaybyDay[[#This Row],[Estimated-Payroll-Rollup]]/DaybyDay[[#This Row],[Simple-Forecast]]</f>
        <v>#DIV/0!</v>
      </c>
      <c r="AQ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 s="77"/>
      <c r="AS82" s="40" t="str">
        <f>IF(DaybyDay[[#This Row],[Retail Hours]]&gt;0,DaybyDay[[#This Row],[Retail Hours]]*$AS$2,"")</f>
        <v/>
      </c>
      <c r="AT82" s="40">
        <f>SUMIFS(DaybyDay[Est-Retail-Payroll],DaybyDay[Date],"&gt;="&amp;$C$5,DaybyDay[RowYear],"&gt;="&amp;$C$4,DaybyDay[Date],"&lt;="&amp;DaybyDay[[#This Row],[Date]])</f>
        <v>0</v>
      </c>
      <c r="AU82" s="82" t="str">
        <f>IF(AND(DaybyDay[[#This Row],[_Space]],ISNUMBER(DaybyDay[[#This Row],[Retail Hours]])),DaybyDay[[#This Row],[Est-Retail-Payroll]]/(DaybyDay[[#This Row],[Retail-Actuals]]),"")</f>
        <v/>
      </c>
      <c r="AV82" s="82" t="e">
        <f>DaybyDay[[#This Row],[Est-Retail-PayrollRU]]/DaybyDay[[#This Row],[Simple-Forecast-Retail]]</f>
        <v>#DIV/0!</v>
      </c>
      <c r="AW82" s="8"/>
    </row>
    <row r="83" spans="3:49" hidden="1" x14ac:dyDescent="0.25">
      <c r="C83" s="26" t="str">
        <f>Tools!$C$1</f>
        <v>Example</v>
      </c>
      <c r="D83" s="27" t="s">
        <v>70</v>
      </c>
      <c r="E83" s="28">
        <v>2017</v>
      </c>
      <c r="F83" s="28">
        <f>MATCH(DaybyDay[[#This Row],[RowMonth]],Table3[SummaryMonth],0)</f>
        <v>3</v>
      </c>
      <c r="G83" s="29" t="e">
        <f>MATCH(DaybyDay[[#This Row],[LY-Date]],DaybyDay[Date],0)</f>
        <v>#N/A</v>
      </c>
      <c r="H83" s="30">
        <f>WEEKDAY(DaybyDay[[#This Row],[Date]])</f>
        <v>7</v>
      </c>
      <c r="I83" s="31">
        <v>42812</v>
      </c>
      <c r="J83" s="74">
        <v>34</v>
      </c>
      <c r="K83" s="32">
        <f>SUMIFS(BudgetSeasonality[365 Seasonality],BudgetSeasonality[MonthAdjustment],DaybyDay[[#This Row],[Date]])*SUMIFS(Budgets[Service-Budget],Budgets[BudgetMonth],DaybyDay[[#This Row],[RowMonth]],Budgets[BudgetYear],DaybyDay[[#This Row],[RowYear]])</f>
        <v>0</v>
      </c>
      <c r="L83" s="75">
        <v>6730.2</v>
      </c>
      <c r="M83" s="32">
        <f>INDEX(BudgetSeasonality[365 Seasonality],MATCH(DaybyDay[[#This Row],[Date]],BudgetSeasonality[MonthAdjustment],0))*SUMIFS(Budgets[Retail-Budget],Budgets[BudgetMonth],DaybyDay[[#This Row],[RowMonth]],Budgets[BudgetYear],DaybyDay[[#This Row],[RowYear]])</f>
        <v>0</v>
      </c>
      <c r="N83" s="75">
        <v>1092.5999999999999</v>
      </c>
      <c r="O83" s="33">
        <f>SUMIFS(DaybyDay[Service-Budgets],DaybyDay[Date],"&gt;="&amp;$C$5,DaybyDay[RowYear],"&gt;="&amp;$C$4,DaybyDay[Date],"&lt;="&amp;DaybyDay[[#This Row],[Date]])</f>
        <v>0</v>
      </c>
      <c r="P83" s="33">
        <f>SUMIFS(DaybyDay[Retail-Budgets],DaybyDay[Date],"&gt;="&amp;$C$5,DaybyDay[RowYear],"&gt;="&amp;$C$4,DaybyDay[Date],"&lt;="&amp;DaybyDay[[#This Row],[Date]])</f>
        <v>0</v>
      </c>
      <c r="Q83" s="34">
        <f>SUMIFS(DaybyDay[Service-Actuals],DaybyDay[Date],"&gt;="&amp;$C$5,DaybyDay[RowYear],"&gt;="&amp;$C$4,DaybyDay[Date],"&lt;="&amp;DaybyDay[[#This Row],[Date]])</f>
        <v>0</v>
      </c>
      <c r="R83" s="34">
        <f>SUMIFS(DaybyDay[Retail-Actuals],DaybyDay[Date],"&gt;="&amp;$C$5,DaybyDay[RowYear],"&gt;="&amp;$C$4,DaybyDay[Date],"&lt;="&amp;DaybyDay[[#This Row],[Date]])</f>
        <v>0</v>
      </c>
      <c r="S83" s="35">
        <f>SUMIFS(DaybyDay[Service-LY],DaybyDay[Date],"&gt;="&amp;$C$5,DaybyDay[RowYear],"&gt;="&amp;$C$4,DaybyDay[Date],"&lt;="&amp;DaybyDay[[#This Row],[Date]])</f>
        <v>0</v>
      </c>
      <c r="T83" s="35">
        <f>SUMIFS(DaybyDay[Retail-LY],DaybyDay[Date],"&gt;="&amp;$C$5,DaybyDay[RowYear],"&gt;="&amp;$C$4,DaybyDay[Date],"&lt;="&amp;DaybyDay[[#This Row],[Date]])</f>
        <v>0</v>
      </c>
      <c r="U83" s="32">
        <f>DaybyDay[[#This Row],[Serv-Bud-RU]]+DaybyDay[[#This Row],[Ret-Bud-RU]]</f>
        <v>0</v>
      </c>
      <c r="V83" s="32">
        <f>DaybyDay[[#This Row],[Serv-Act-RU]]+DaybyDay[[#This Row],[Ret-Act-RU]]</f>
        <v>0</v>
      </c>
      <c r="W83" s="36">
        <f>IF(DaybyDay[[#This Row],[_Space]],IFERROR(
((DaybyDay[[#This Row],[Actual-Rollup]]-DaybyDay[[#This Row],[Budget-Rollup]])/DaybyDay[[#This Row],[Budget-Rollup]]),0),"")</f>
        <v>0</v>
      </c>
      <c r="X83" t="b">
        <f>NOT(AND(ISBLANK(DaybyDay[[#This Row],[Appts]]),ISBLANK(DaybyDay[[#This Row],[Service-Actuals]]),ISBLANK(DaybyDay[[#This Row],[Retail-Actuals]])))</f>
        <v>1</v>
      </c>
      <c r="Y83" s="36">
        <f>IF(DaybyDay[[#This Row],[_Space]],IFERROR(
((DaybyDay[[#This Row],[Actual-Rollup]]-DaybyDay[[#This Row],[LY-Rollup]])/DaybyDay[[#This Row],[LY-Rollup]]),0),"")</f>
        <v>0</v>
      </c>
      <c r="Z83"/>
      <c r="AA83" s="37" t="e">
        <f>IF(DaybyDay[[#This Row],[_Space]],DaybyDay[[#This Row],[Ret-Act-RU]]/DaybyDay[[#This Row],[Serv-Act-RU]],"")</f>
        <v>#DIV/0!</v>
      </c>
      <c r="AB83" s="50" t="e">
        <f>IF(DaybyDay[[#This Row],[_Space]],DaybyDay[[#This Row],[RETPEN-Act]]/DaybyDay[[#This Row],[RETPEN-Bud]],"")</f>
        <v>#DIV/0!</v>
      </c>
      <c r="AC83" s="37" t="e">
        <f>IF(DaybyDay[[#This Row],[_Space]],DaybyDay[[#This Row],[Ret-Bud-RU]]/DaybyDay[[#This Row],[Serv-Bud-RU]],"")</f>
        <v>#DIV/0!</v>
      </c>
      <c r="AD83" s="37" t="e">
        <f>IF(DaybyDay[[#This Row],[_Space]],DaybyDay[[#This Row],[Ret-LY-RU]]/DaybyDay[[#This Row],[Serv-LY-RU]],"")</f>
        <v>#DIV/0!</v>
      </c>
      <c r="AE83" s="30">
        <f>WEEKDAY(DaybyDay[[#This Row],[LY-Date]])</f>
        <v>7</v>
      </c>
      <c r="AF83" s="38">
        <f>$E$2+_xlfn.DAYS(DaybyDay[[#This Row],[Date]],minDate)</f>
        <v>42448</v>
      </c>
      <c r="AG83" s="39" t="str" cm="1">
        <f t="array" ref="AG83">IFERROR(INDEX(DaybyDay[],DaybyDay[[#This Row],[FORM_MATCH_HELPER]],8),"")</f>
        <v/>
      </c>
      <c r="AH83" s="39" t="str" cm="1">
        <f t="array" ref="AH83">IFERROR(INDEX(DaybyDay[],DaybyDay[[#This Row],[FORM_MATCH_HELPER]],10),"")</f>
        <v/>
      </c>
      <c r="AI83" s="39" t="str" cm="1">
        <f t="array" ref="AI83">IFERROR(INDEX(DaybyDay[],DaybyDay[[#This Row],[FORM_MATCH_HELPER]],12),"")</f>
        <v/>
      </c>
      <c r="AJ83" s="32">
        <f>IFERROR(DaybyDay[[#This Row],[Serv-LY-RU]]+DaybyDay[[#This Row],[Ret-LY-RU]],"")</f>
        <v>0</v>
      </c>
      <c r="AK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 s="77"/>
      <c r="AM83" s="40" t="str">
        <f>IF(DaybyDay[[#This Row],[Admin Hours]]&gt;0,DaybyDay[[#This Row],[Admin Hours]]*$AM$2+$AM$3,"")</f>
        <v/>
      </c>
      <c r="AN83" s="40">
        <f>SUMIFS(DaybyDay[Est-Admin-Payroll],DaybyDay[Date],"&gt;="&amp;$C$5,DaybyDay[RowYear],"&gt;="&amp;$C$4,DaybyDay[Date],"&lt;="&amp;DaybyDay[[#This Row],[Date]])</f>
        <v>0</v>
      </c>
      <c r="AO83" s="41" t="str">
        <f>IF(AND(DaybyDay[[#This Row],[_Space]],ISNUMBER(DaybyDay[[#This Row],[Admin Hours]])),DaybyDay[[#This Row],[Est-Admin-Payroll]]/(DaybyDay[[#This Row],[Service-Actuals]]+DaybyDay[[#This Row],[Retail-Actuals]]),"")</f>
        <v/>
      </c>
      <c r="AP83" s="41" t="e">
        <f>DaybyDay[[#This Row],[Estimated-Payroll-Rollup]]/DaybyDay[[#This Row],[Simple-Forecast]]</f>
        <v>#DIV/0!</v>
      </c>
      <c r="AQ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 s="77"/>
      <c r="AS83" s="40" t="str">
        <f>IF(DaybyDay[[#This Row],[Retail Hours]]&gt;0,DaybyDay[[#This Row],[Retail Hours]]*$AS$2,"")</f>
        <v/>
      </c>
      <c r="AT83" s="40">
        <f>SUMIFS(DaybyDay[Est-Retail-Payroll],DaybyDay[Date],"&gt;="&amp;$C$5,DaybyDay[RowYear],"&gt;="&amp;$C$4,DaybyDay[Date],"&lt;="&amp;DaybyDay[[#This Row],[Date]])</f>
        <v>0</v>
      </c>
      <c r="AU83" s="82" t="str">
        <f>IF(AND(DaybyDay[[#This Row],[_Space]],ISNUMBER(DaybyDay[[#This Row],[Retail Hours]])),DaybyDay[[#This Row],[Est-Retail-Payroll]]/(DaybyDay[[#This Row],[Retail-Actuals]]),"")</f>
        <v/>
      </c>
      <c r="AV83" s="82" t="e">
        <f>DaybyDay[[#This Row],[Est-Retail-PayrollRU]]/DaybyDay[[#This Row],[Simple-Forecast-Retail]]</f>
        <v>#DIV/0!</v>
      </c>
      <c r="AW83" s="8"/>
    </row>
    <row r="84" spans="3:49" hidden="1" x14ac:dyDescent="0.25">
      <c r="C84" s="26" t="str">
        <f>Tools!$C$1</f>
        <v>Example</v>
      </c>
      <c r="D84" s="27" t="s">
        <v>70</v>
      </c>
      <c r="E84" s="28">
        <v>2017</v>
      </c>
      <c r="F84" s="28">
        <f>MATCH(DaybyDay[[#This Row],[RowMonth]],Table3[SummaryMonth],0)</f>
        <v>3</v>
      </c>
      <c r="G84" s="29" t="e">
        <f>MATCH(DaybyDay[[#This Row],[LY-Date]],DaybyDay[Date],0)</f>
        <v>#N/A</v>
      </c>
      <c r="H84" s="30">
        <f>WEEKDAY(DaybyDay[[#This Row],[Date]])</f>
        <v>1</v>
      </c>
      <c r="I84" s="31">
        <v>42813</v>
      </c>
      <c r="J84" s="74">
        <v>38</v>
      </c>
      <c r="K84" s="32">
        <f>SUMIFS(BudgetSeasonality[365 Seasonality],BudgetSeasonality[MonthAdjustment],DaybyDay[[#This Row],[Date]])*SUMIFS(Budgets[Service-Budget],Budgets[BudgetMonth],DaybyDay[[#This Row],[RowMonth]],Budgets[BudgetYear],DaybyDay[[#This Row],[RowYear]])</f>
        <v>0</v>
      </c>
      <c r="L84" s="75">
        <v>6763.2</v>
      </c>
      <c r="M84" s="32">
        <f>INDEX(BudgetSeasonality[365 Seasonality],MATCH(DaybyDay[[#This Row],[Date]],BudgetSeasonality[MonthAdjustment],0))*SUMIFS(Budgets[Retail-Budget],Budgets[BudgetMonth],DaybyDay[[#This Row],[RowMonth]],Budgets[BudgetYear],DaybyDay[[#This Row],[RowYear]])</f>
        <v>0</v>
      </c>
      <c r="N84" s="75">
        <v>1338</v>
      </c>
      <c r="O84" s="33">
        <f>SUMIFS(DaybyDay[Service-Budgets],DaybyDay[Date],"&gt;="&amp;$C$5,DaybyDay[RowYear],"&gt;="&amp;$C$4,DaybyDay[Date],"&lt;="&amp;DaybyDay[[#This Row],[Date]])</f>
        <v>0</v>
      </c>
      <c r="P84" s="33">
        <f>SUMIFS(DaybyDay[Retail-Budgets],DaybyDay[Date],"&gt;="&amp;$C$5,DaybyDay[RowYear],"&gt;="&amp;$C$4,DaybyDay[Date],"&lt;="&amp;DaybyDay[[#This Row],[Date]])</f>
        <v>0</v>
      </c>
      <c r="Q84" s="34">
        <f>SUMIFS(DaybyDay[Service-Actuals],DaybyDay[Date],"&gt;="&amp;$C$5,DaybyDay[RowYear],"&gt;="&amp;$C$4,DaybyDay[Date],"&lt;="&amp;DaybyDay[[#This Row],[Date]])</f>
        <v>0</v>
      </c>
      <c r="R84" s="34">
        <f>SUMIFS(DaybyDay[Retail-Actuals],DaybyDay[Date],"&gt;="&amp;$C$5,DaybyDay[RowYear],"&gt;="&amp;$C$4,DaybyDay[Date],"&lt;="&amp;DaybyDay[[#This Row],[Date]])</f>
        <v>0</v>
      </c>
      <c r="S84" s="35">
        <f>SUMIFS(DaybyDay[Service-LY],DaybyDay[Date],"&gt;="&amp;$C$5,DaybyDay[RowYear],"&gt;="&amp;$C$4,DaybyDay[Date],"&lt;="&amp;DaybyDay[[#This Row],[Date]])</f>
        <v>0</v>
      </c>
      <c r="T84" s="35">
        <f>SUMIFS(DaybyDay[Retail-LY],DaybyDay[Date],"&gt;="&amp;$C$5,DaybyDay[RowYear],"&gt;="&amp;$C$4,DaybyDay[Date],"&lt;="&amp;DaybyDay[[#This Row],[Date]])</f>
        <v>0</v>
      </c>
      <c r="U84" s="32">
        <f>DaybyDay[[#This Row],[Serv-Bud-RU]]+DaybyDay[[#This Row],[Ret-Bud-RU]]</f>
        <v>0</v>
      </c>
      <c r="V84" s="32">
        <f>DaybyDay[[#This Row],[Serv-Act-RU]]+DaybyDay[[#This Row],[Ret-Act-RU]]</f>
        <v>0</v>
      </c>
      <c r="W84" s="36">
        <f>IF(DaybyDay[[#This Row],[_Space]],IFERROR(
((DaybyDay[[#This Row],[Actual-Rollup]]-DaybyDay[[#This Row],[Budget-Rollup]])/DaybyDay[[#This Row],[Budget-Rollup]]),0),"")</f>
        <v>0</v>
      </c>
      <c r="X84" t="b">
        <f>NOT(AND(ISBLANK(DaybyDay[[#This Row],[Appts]]),ISBLANK(DaybyDay[[#This Row],[Service-Actuals]]),ISBLANK(DaybyDay[[#This Row],[Retail-Actuals]])))</f>
        <v>1</v>
      </c>
      <c r="Y84" s="36">
        <f>IF(DaybyDay[[#This Row],[_Space]],IFERROR(
((DaybyDay[[#This Row],[Actual-Rollup]]-DaybyDay[[#This Row],[LY-Rollup]])/DaybyDay[[#This Row],[LY-Rollup]]),0),"")</f>
        <v>0</v>
      </c>
      <c r="Z84"/>
      <c r="AA84" s="37" t="e">
        <f>IF(DaybyDay[[#This Row],[_Space]],DaybyDay[[#This Row],[Ret-Act-RU]]/DaybyDay[[#This Row],[Serv-Act-RU]],"")</f>
        <v>#DIV/0!</v>
      </c>
      <c r="AB84" s="50" t="e">
        <f>IF(DaybyDay[[#This Row],[_Space]],DaybyDay[[#This Row],[RETPEN-Act]]/DaybyDay[[#This Row],[RETPEN-Bud]],"")</f>
        <v>#DIV/0!</v>
      </c>
      <c r="AC84" s="37" t="e">
        <f>IF(DaybyDay[[#This Row],[_Space]],DaybyDay[[#This Row],[Ret-Bud-RU]]/DaybyDay[[#This Row],[Serv-Bud-RU]],"")</f>
        <v>#DIV/0!</v>
      </c>
      <c r="AD84" s="37" t="e">
        <f>IF(DaybyDay[[#This Row],[_Space]],DaybyDay[[#This Row],[Ret-LY-RU]]/DaybyDay[[#This Row],[Serv-LY-RU]],"")</f>
        <v>#DIV/0!</v>
      </c>
      <c r="AE84" s="30">
        <f>WEEKDAY(DaybyDay[[#This Row],[LY-Date]])</f>
        <v>1</v>
      </c>
      <c r="AF84" s="38">
        <f>$E$2+_xlfn.DAYS(DaybyDay[[#This Row],[Date]],minDate)</f>
        <v>42449</v>
      </c>
      <c r="AG84" s="39" t="str" cm="1">
        <f t="array" ref="AG84">IFERROR(INDEX(DaybyDay[],DaybyDay[[#This Row],[FORM_MATCH_HELPER]],8),"")</f>
        <v/>
      </c>
      <c r="AH84" s="39" t="str" cm="1">
        <f t="array" ref="AH84">IFERROR(INDEX(DaybyDay[],DaybyDay[[#This Row],[FORM_MATCH_HELPER]],10),"")</f>
        <v/>
      </c>
      <c r="AI84" s="39" t="str" cm="1">
        <f t="array" ref="AI84">IFERROR(INDEX(DaybyDay[],DaybyDay[[#This Row],[FORM_MATCH_HELPER]],12),"")</f>
        <v/>
      </c>
      <c r="AJ84" s="32">
        <f>IFERROR(DaybyDay[[#This Row],[Serv-LY-RU]]+DaybyDay[[#This Row],[Ret-LY-RU]],"")</f>
        <v>0</v>
      </c>
      <c r="AK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 s="77"/>
      <c r="AM84" s="40" t="str">
        <f>IF(DaybyDay[[#This Row],[Admin Hours]]&gt;0,DaybyDay[[#This Row],[Admin Hours]]*$AM$2+$AM$3,"")</f>
        <v/>
      </c>
      <c r="AN84" s="40">
        <f>SUMIFS(DaybyDay[Est-Admin-Payroll],DaybyDay[Date],"&gt;="&amp;$C$5,DaybyDay[RowYear],"&gt;="&amp;$C$4,DaybyDay[Date],"&lt;="&amp;DaybyDay[[#This Row],[Date]])</f>
        <v>0</v>
      </c>
      <c r="AO84" s="41" t="str">
        <f>IF(AND(DaybyDay[[#This Row],[_Space]],ISNUMBER(DaybyDay[[#This Row],[Admin Hours]])),DaybyDay[[#This Row],[Est-Admin-Payroll]]/(DaybyDay[[#This Row],[Service-Actuals]]+DaybyDay[[#This Row],[Retail-Actuals]]),"")</f>
        <v/>
      </c>
      <c r="AP84" s="41" t="e">
        <f>DaybyDay[[#This Row],[Estimated-Payroll-Rollup]]/DaybyDay[[#This Row],[Simple-Forecast]]</f>
        <v>#DIV/0!</v>
      </c>
      <c r="AQ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 s="77"/>
      <c r="AS84" s="40" t="str">
        <f>IF(DaybyDay[[#This Row],[Retail Hours]]&gt;0,DaybyDay[[#This Row],[Retail Hours]]*$AS$2,"")</f>
        <v/>
      </c>
      <c r="AT84" s="40">
        <f>SUMIFS(DaybyDay[Est-Retail-Payroll],DaybyDay[Date],"&gt;="&amp;$C$5,DaybyDay[RowYear],"&gt;="&amp;$C$4,DaybyDay[Date],"&lt;="&amp;DaybyDay[[#This Row],[Date]])</f>
        <v>0</v>
      </c>
      <c r="AU84" s="82" t="str">
        <f>IF(AND(DaybyDay[[#This Row],[_Space]],ISNUMBER(DaybyDay[[#This Row],[Retail Hours]])),DaybyDay[[#This Row],[Est-Retail-Payroll]]/(DaybyDay[[#This Row],[Retail-Actuals]]),"")</f>
        <v/>
      </c>
      <c r="AV84" s="82" t="e">
        <f>DaybyDay[[#This Row],[Est-Retail-PayrollRU]]/DaybyDay[[#This Row],[Simple-Forecast-Retail]]</f>
        <v>#DIV/0!</v>
      </c>
      <c r="AW84" s="8"/>
    </row>
    <row r="85" spans="3:49" hidden="1" x14ac:dyDescent="0.25">
      <c r="C85" s="26" t="str">
        <f>Tools!$C$1</f>
        <v>Example</v>
      </c>
      <c r="D85" s="27" t="s">
        <v>70</v>
      </c>
      <c r="E85" s="28">
        <v>2017</v>
      </c>
      <c r="F85" s="28">
        <f>MATCH(DaybyDay[[#This Row],[RowMonth]],Table3[SummaryMonth],0)</f>
        <v>3</v>
      </c>
      <c r="G85" s="29" t="e">
        <f>MATCH(DaybyDay[[#This Row],[LY-Date]],DaybyDay[Date],0)</f>
        <v>#N/A</v>
      </c>
      <c r="H85" s="30">
        <f>WEEKDAY(DaybyDay[[#This Row],[Date]])</f>
        <v>2</v>
      </c>
      <c r="I85" s="31">
        <v>42814</v>
      </c>
      <c r="J85" s="74">
        <v>15</v>
      </c>
      <c r="K85" s="32">
        <f>SUMIFS(BudgetSeasonality[365 Seasonality],BudgetSeasonality[MonthAdjustment],DaybyDay[[#This Row],[Date]])*SUMIFS(Budgets[Service-Budget],Budgets[BudgetMonth],DaybyDay[[#This Row],[RowMonth]],Budgets[BudgetYear],DaybyDay[[#This Row],[RowYear]])</f>
        <v>0</v>
      </c>
      <c r="L85" s="75">
        <v>3130</v>
      </c>
      <c r="M85" s="32">
        <f>INDEX(BudgetSeasonality[365 Seasonality],MATCH(DaybyDay[[#This Row],[Date]],BudgetSeasonality[MonthAdjustment],0))*SUMIFS(Budgets[Retail-Budget],Budgets[BudgetMonth],DaybyDay[[#This Row],[RowMonth]],Budgets[BudgetYear],DaybyDay[[#This Row],[RowYear]])</f>
        <v>0</v>
      </c>
      <c r="N85" s="75">
        <v>0</v>
      </c>
      <c r="O85" s="33">
        <f>SUMIFS(DaybyDay[Service-Budgets],DaybyDay[Date],"&gt;="&amp;$C$5,DaybyDay[RowYear],"&gt;="&amp;$C$4,DaybyDay[Date],"&lt;="&amp;DaybyDay[[#This Row],[Date]])</f>
        <v>0</v>
      </c>
      <c r="P85" s="33">
        <f>SUMIFS(DaybyDay[Retail-Budgets],DaybyDay[Date],"&gt;="&amp;$C$5,DaybyDay[RowYear],"&gt;="&amp;$C$4,DaybyDay[Date],"&lt;="&amp;DaybyDay[[#This Row],[Date]])</f>
        <v>0</v>
      </c>
      <c r="Q85" s="34">
        <f>SUMIFS(DaybyDay[Service-Actuals],DaybyDay[Date],"&gt;="&amp;$C$5,DaybyDay[RowYear],"&gt;="&amp;$C$4,DaybyDay[Date],"&lt;="&amp;DaybyDay[[#This Row],[Date]])</f>
        <v>0</v>
      </c>
      <c r="R85" s="34">
        <f>SUMIFS(DaybyDay[Retail-Actuals],DaybyDay[Date],"&gt;="&amp;$C$5,DaybyDay[RowYear],"&gt;="&amp;$C$4,DaybyDay[Date],"&lt;="&amp;DaybyDay[[#This Row],[Date]])</f>
        <v>0</v>
      </c>
      <c r="S85" s="35">
        <f>SUMIFS(DaybyDay[Service-LY],DaybyDay[Date],"&gt;="&amp;$C$5,DaybyDay[RowYear],"&gt;="&amp;$C$4,DaybyDay[Date],"&lt;="&amp;DaybyDay[[#This Row],[Date]])</f>
        <v>0</v>
      </c>
      <c r="T85" s="35">
        <f>SUMIFS(DaybyDay[Retail-LY],DaybyDay[Date],"&gt;="&amp;$C$5,DaybyDay[RowYear],"&gt;="&amp;$C$4,DaybyDay[Date],"&lt;="&amp;DaybyDay[[#This Row],[Date]])</f>
        <v>0</v>
      </c>
      <c r="U85" s="32">
        <f>DaybyDay[[#This Row],[Serv-Bud-RU]]+DaybyDay[[#This Row],[Ret-Bud-RU]]</f>
        <v>0</v>
      </c>
      <c r="V85" s="32">
        <f>DaybyDay[[#This Row],[Serv-Act-RU]]+DaybyDay[[#This Row],[Ret-Act-RU]]</f>
        <v>0</v>
      </c>
      <c r="W85" s="36">
        <f>IF(DaybyDay[[#This Row],[_Space]],IFERROR(
((DaybyDay[[#This Row],[Actual-Rollup]]-DaybyDay[[#This Row],[Budget-Rollup]])/DaybyDay[[#This Row],[Budget-Rollup]]),0),"")</f>
        <v>0</v>
      </c>
      <c r="X85" t="b">
        <f>NOT(AND(ISBLANK(DaybyDay[[#This Row],[Appts]]),ISBLANK(DaybyDay[[#This Row],[Service-Actuals]]),ISBLANK(DaybyDay[[#This Row],[Retail-Actuals]])))</f>
        <v>1</v>
      </c>
      <c r="Y85" s="36">
        <f>IF(DaybyDay[[#This Row],[_Space]],IFERROR(
((DaybyDay[[#This Row],[Actual-Rollup]]-DaybyDay[[#This Row],[LY-Rollup]])/DaybyDay[[#This Row],[LY-Rollup]]),0),"")</f>
        <v>0</v>
      </c>
      <c r="Z85"/>
      <c r="AA85" s="37" t="e">
        <f>IF(DaybyDay[[#This Row],[_Space]],DaybyDay[[#This Row],[Ret-Act-RU]]/DaybyDay[[#This Row],[Serv-Act-RU]],"")</f>
        <v>#DIV/0!</v>
      </c>
      <c r="AB85" s="50" t="e">
        <f>IF(DaybyDay[[#This Row],[_Space]],DaybyDay[[#This Row],[RETPEN-Act]]/DaybyDay[[#This Row],[RETPEN-Bud]],"")</f>
        <v>#DIV/0!</v>
      </c>
      <c r="AC85" s="37" t="e">
        <f>IF(DaybyDay[[#This Row],[_Space]],DaybyDay[[#This Row],[Ret-Bud-RU]]/DaybyDay[[#This Row],[Serv-Bud-RU]],"")</f>
        <v>#DIV/0!</v>
      </c>
      <c r="AD85" s="37" t="e">
        <f>IF(DaybyDay[[#This Row],[_Space]],DaybyDay[[#This Row],[Ret-LY-RU]]/DaybyDay[[#This Row],[Serv-LY-RU]],"")</f>
        <v>#DIV/0!</v>
      </c>
      <c r="AE85" s="30">
        <f>WEEKDAY(DaybyDay[[#This Row],[LY-Date]])</f>
        <v>2</v>
      </c>
      <c r="AF85" s="38">
        <f>$E$2+_xlfn.DAYS(DaybyDay[[#This Row],[Date]],minDate)</f>
        <v>42450</v>
      </c>
      <c r="AG85" s="39" t="str" cm="1">
        <f t="array" ref="AG85">IFERROR(INDEX(DaybyDay[],DaybyDay[[#This Row],[FORM_MATCH_HELPER]],8),"")</f>
        <v/>
      </c>
      <c r="AH85" s="39" t="str" cm="1">
        <f t="array" ref="AH85">IFERROR(INDEX(DaybyDay[],DaybyDay[[#This Row],[FORM_MATCH_HELPER]],10),"")</f>
        <v/>
      </c>
      <c r="AI85" s="39" t="str" cm="1">
        <f t="array" ref="AI85">IFERROR(INDEX(DaybyDay[],DaybyDay[[#This Row],[FORM_MATCH_HELPER]],12),"")</f>
        <v/>
      </c>
      <c r="AJ85" s="32">
        <f>IFERROR(DaybyDay[[#This Row],[Serv-LY-RU]]+DaybyDay[[#This Row],[Ret-LY-RU]],"")</f>
        <v>0</v>
      </c>
      <c r="AK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 s="77"/>
      <c r="AM85" s="40" t="str">
        <f>IF(DaybyDay[[#This Row],[Admin Hours]]&gt;0,DaybyDay[[#This Row],[Admin Hours]]*$AM$2+$AM$3,"")</f>
        <v/>
      </c>
      <c r="AN85" s="40">
        <f>SUMIFS(DaybyDay[Est-Admin-Payroll],DaybyDay[Date],"&gt;="&amp;$C$5,DaybyDay[RowYear],"&gt;="&amp;$C$4,DaybyDay[Date],"&lt;="&amp;DaybyDay[[#This Row],[Date]])</f>
        <v>0</v>
      </c>
      <c r="AO85" s="41" t="str">
        <f>IF(AND(DaybyDay[[#This Row],[_Space]],ISNUMBER(DaybyDay[[#This Row],[Admin Hours]])),DaybyDay[[#This Row],[Est-Admin-Payroll]]/(DaybyDay[[#This Row],[Service-Actuals]]+DaybyDay[[#This Row],[Retail-Actuals]]),"")</f>
        <v/>
      </c>
      <c r="AP85" s="41" t="e">
        <f>DaybyDay[[#This Row],[Estimated-Payroll-Rollup]]/DaybyDay[[#This Row],[Simple-Forecast]]</f>
        <v>#DIV/0!</v>
      </c>
      <c r="AQ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 s="77"/>
      <c r="AS85" s="40" t="str">
        <f>IF(DaybyDay[[#This Row],[Retail Hours]]&gt;0,DaybyDay[[#This Row],[Retail Hours]]*$AS$2,"")</f>
        <v/>
      </c>
      <c r="AT85" s="40">
        <f>SUMIFS(DaybyDay[Est-Retail-Payroll],DaybyDay[Date],"&gt;="&amp;$C$5,DaybyDay[RowYear],"&gt;="&amp;$C$4,DaybyDay[Date],"&lt;="&amp;DaybyDay[[#This Row],[Date]])</f>
        <v>0</v>
      </c>
      <c r="AU85" s="82" t="str">
        <f>IF(AND(DaybyDay[[#This Row],[_Space]],ISNUMBER(DaybyDay[[#This Row],[Retail Hours]])),DaybyDay[[#This Row],[Est-Retail-Payroll]]/(DaybyDay[[#This Row],[Retail-Actuals]]),"")</f>
        <v/>
      </c>
      <c r="AV85" s="82" t="e">
        <f>DaybyDay[[#This Row],[Est-Retail-PayrollRU]]/DaybyDay[[#This Row],[Simple-Forecast-Retail]]</f>
        <v>#DIV/0!</v>
      </c>
      <c r="AW85" s="8"/>
    </row>
    <row r="86" spans="3:49" hidden="1" x14ac:dyDescent="0.25">
      <c r="C86" s="26" t="str">
        <f>Tools!$C$1</f>
        <v>Example</v>
      </c>
      <c r="D86" s="27" t="s">
        <v>70</v>
      </c>
      <c r="E86" s="28">
        <v>2017</v>
      </c>
      <c r="F86" s="28">
        <f>MATCH(DaybyDay[[#This Row],[RowMonth]],Table3[SummaryMonth],0)</f>
        <v>3</v>
      </c>
      <c r="G86" s="29" t="e">
        <f>MATCH(DaybyDay[[#This Row],[LY-Date]],DaybyDay[Date],0)</f>
        <v>#N/A</v>
      </c>
      <c r="H86" s="30">
        <f>WEEKDAY(DaybyDay[[#This Row],[Date]])</f>
        <v>3</v>
      </c>
      <c r="I86" s="31">
        <v>42815</v>
      </c>
      <c r="J86" s="74">
        <v>15</v>
      </c>
      <c r="K86" s="32">
        <f>SUMIFS(BudgetSeasonality[365 Seasonality],BudgetSeasonality[MonthAdjustment],DaybyDay[[#This Row],[Date]])*SUMIFS(Budgets[Service-Budget],Budgets[BudgetMonth],DaybyDay[[#This Row],[RowMonth]],Budgets[BudgetYear],DaybyDay[[#This Row],[RowYear]])</f>
        <v>0</v>
      </c>
      <c r="L86" s="75">
        <v>2884.6</v>
      </c>
      <c r="M86" s="32">
        <f>INDEX(BudgetSeasonality[365 Seasonality],MATCH(DaybyDay[[#This Row],[Date]],BudgetSeasonality[MonthAdjustment],0))*SUMIFS(Budgets[Retail-Budget],Budgets[BudgetMonth],DaybyDay[[#This Row],[RowMonth]],Budgets[BudgetYear],DaybyDay[[#This Row],[RowYear]])</f>
        <v>0</v>
      </c>
      <c r="N86" s="75">
        <v>271</v>
      </c>
      <c r="O86" s="33">
        <f>SUMIFS(DaybyDay[Service-Budgets],DaybyDay[Date],"&gt;="&amp;$C$5,DaybyDay[RowYear],"&gt;="&amp;$C$4,DaybyDay[Date],"&lt;="&amp;DaybyDay[[#This Row],[Date]])</f>
        <v>0</v>
      </c>
      <c r="P86" s="33">
        <f>SUMIFS(DaybyDay[Retail-Budgets],DaybyDay[Date],"&gt;="&amp;$C$5,DaybyDay[RowYear],"&gt;="&amp;$C$4,DaybyDay[Date],"&lt;="&amp;DaybyDay[[#This Row],[Date]])</f>
        <v>0</v>
      </c>
      <c r="Q86" s="34">
        <f>SUMIFS(DaybyDay[Service-Actuals],DaybyDay[Date],"&gt;="&amp;$C$5,DaybyDay[RowYear],"&gt;="&amp;$C$4,DaybyDay[Date],"&lt;="&amp;DaybyDay[[#This Row],[Date]])</f>
        <v>0</v>
      </c>
      <c r="R86" s="34">
        <f>SUMIFS(DaybyDay[Retail-Actuals],DaybyDay[Date],"&gt;="&amp;$C$5,DaybyDay[RowYear],"&gt;="&amp;$C$4,DaybyDay[Date],"&lt;="&amp;DaybyDay[[#This Row],[Date]])</f>
        <v>0</v>
      </c>
      <c r="S86" s="35">
        <f>SUMIFS(DaybyDay[Service-LY],DaybyDay[Date],"&gt;="&amp;$C$5,DaybyDay[RowYear],"&gt;="&amp;$C$4,DaybyDay[Date],"&lt;="&amp;DaybyDay[[#This Row],[Date]])</f>
        <v>0</v>
      </c>
      <c r="T86" s="35">
        <f>SUMIFS(DaybyDay[Retail-LY],DaybyDay[Date],"&gt;="&amp;$C$5,DaybyDay[RowYear],"&gt;="&amp;$C$4,DaybyDay[Date],"&lt;="&amp;DaybyDay[[#This Row],[Date]])</f>
        <v>0</v>
      </c>
      <c r="U86" s="32">
        <f>DaybyDay[[#This Row],[Serv-Bud-RU]]+DaybyDay[[#This Row],[Ret-Bud-RU]]</f>
        <v>0</v>
      </c>
      <c r="V86" s="32">
        <f>DaybyDay[[#This Row],[Serv-Act-RU]]+DaybyDay[[#This Row],[Ret-Act-RU]]</f>
        <v>0</v>
      </c>
      <c r="W86" s="36">
        <f>IF(DaybyDay[[#This Row],[_Space]],IFERROR(
((DaybyDay[[#This Row],[Actual-Rollup]]-DaybyDay[[#This Row],[Budget-Rollup]])/DaybyDay[[#This Row],[Budget-Rollup]]),0),"")</f>
        <v>0</v>
      </c>
      <c r="X86" t="b">
        <f>NOT(AND(ISBLANK(DaybyDay[[#This Row],[Appts]]),ISBLANK(DaybyDay[[#This Row],[Service-Actuals]]),ISBLANK(DaybyDay[[#This Row],[Retail-Actuals]])))</f>
        <v>1</v>
      </c>
      <c r="Y86" s="36">
        <f>IF(DaybyDay[[#This Row],[_Space]],IFERROR(
((DaybyDay[[#This Row],[Actual-Rollup]]-DaybyDay[[#This Row],[LY-Rollup]])/DaybyDay[[#This Row],[LY-Rollup]]),0),"")</f>
        <v>0</v>
      </c>
      <c r="Z86"/>
      <c r="AA86" s="37" t="e">
        <f>IF(DaybyDay[[#This Row],[_Space]],DaybyDay[[#This Row],[Ret-Act-RU]]/DaybyDay[[#This Row],[Serv-Act-RU]],"")</f>
        <v>#DIV/0!</v>
      </c>
      <c r="AB86" s="50" t="e">
        <f>IF(DaybyDay[[#This Row],[_Space]],DaybyDay[[#This Row],[RETPEN-Act]]/DaybyDay[[#This Row],[RETPEN-Bud]],"")</f>
        <v>#DIV/0!</v>
      </c>
      <c r="AC86" s="37" t="e">
        <f>IF(DaybyDay[[#This Row],[_Space]],DaybyDay[[#This Row],[Ret-Bud-RU]]/DaybyDay[[#This Row],[Serv-Bud-RU]],"")</f>
        <v>#DIV/0!</v>
      </c>
      <c r="AD86" s="37" t="e">
        <f>IF(DaybyDay[[#This Row],[_Space]],DaybyDay[[#This Row],[Ret-LY-RU]]/DaybyDay[[#This Row],[Serv-LY-RU]],"")</f>
        <v>#DIV/0!</v>
      </c>
      <c r="AE86" s="30">
        <f>WEEKDAY(DaybyDay[[#This Row],[LY-Date]])</f>
        <v>3</v>
      </c>
      <c r="AF86" s="38">
        <f>$E$2+_xlfn.DAYS(DaybyDay[[#This Row],[Date]],minDate)</f>
        <v>42451</v>
      </c>
      <c r="AG86" s="39" t="str" cm="1">
        <f t="array" ref="AG86">IFERROR(INDEX(DaybyDay[],DaybyDay[[#This Row],[FORM_MATCH_HELPER]],8),"")</f>
        <v/>
      </c>
      <c r="AH86" s="39" t="str" cm="1">
        <f t="array" ref="AH86">IFERROR(INDEX(DaybyDay[],DaybyDay[[#This Row],[FORM_MATCH_HELPER]],10),"")</f>
        <v/>
      </c>
      <c r="AI86" s="39" t="str" cm="1">
        <f t="array" ref="AI86">IFERROR(INDEX(DaybyDay[],DaybyDay[[#This Row],[FORM_MATCH_HELPER]],12),"")</f>
        <v/>
      </c>
      <c r="AJ86" s="32">
        <f>IFERROR(DaybyDay[[#This Row],[Serv-LY-RU]]+DaybyDay[[#This Row],[Ret-LY-RU]],"")</f>
        <v>0</v>
      </c>
      <c r="AK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 s="77"/>
      <c r="AM86" s="40" t="str">
        <f>IF(DaybyDay[[#This Row],[Admin Hours]]&gt;0,DaybyDay[[#This Row],[Admin Hours]]*$AM$2+$AM$3,"")</f>
        <v/>
      </c>
      <c r="AN86" s="40">
        <f>SUMIFS(DaybyDay[Est-Admin-Payroll],DaybyDay[Date],"&gt;="&amp;$C$5,DaybyDay[RowYear],"&gt;="&amp;$C$4,DaybyDay[Date],"&lt;="&amp;DaybyDay[[#This Row],[Date]])</f>
        <v>0</v>
      </c>
      <c r="AO86" s="41" t="str">
        <f>IF(AND(DaybyDay[[#This Row],[_Space]],ISNUMBER(DaybyDay[[#This Row],[Admin Hours]])),DaybyDay[[#This Row],[Est-Admin-Payroll]]/(DaybyDay[[#This Row],[Service-Actuals]]+DaybyDay[[#This Row],[Retail-Actuals]]),"")</f>
        <v/>
      </c>
      <c r="AP86" s="41" t="e">
        <f>DaybyDay[[#This Row],[Estimated-Payroll-Rollup]]/DaybyDay[[#This Row],[Simple-Forecast]]</f>
        <v>#DIV/0!</v>
      </c>
      <c r="AQ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 s="77"/>
      <c r="AS86" s="40" t="str">
        <f>IF(DaybyDay[[#This Row],[Retail Hours]]&gt;0,DaybyDay[[#This Row],[Retail Hours]]*$AS$2,"")</f>
        <v/>
      </c>
      <c r="AT86" s="40">
        <f>SUMIFS(DaybyDay[Est-Retail-Payroll],DaybyDay[Date],"&gt;="&amp;$C$5,DaybyDay[RowYear],"&gt;="&amp;$C$4,DaybyDay[Date],"&lt;="&amp;DaybyDay[[#This Row],[Date]])</f>
        <v>0</v>
      </c>
      <c r="AU86" s="82" t="str">
        <f>IF(AND(DaybyDay[[#This Row],[_Space]],ISNUMBER(DaybyDay[[#This Row],[Retail Hours]])),DaybyDay[[#This Row],[Est-Retail-Payroll]]/(DaybyDay[[#This Row],[Retail-Actuals]]),"")</f>
        <v/>
      </c>
      <c r="AV86" s="82" t="e">
        <f>DaybyDay[[#This Row],[Est-Retail-PayrollRU]]/DaybyDay[[#This Row],[Simple-Forecast-Retail]]</f>
        <v>#DIV/0!</v>
      </c>
      <c r="AW86" s="8"/>
    </row>
    <row r="87" spans="3:49" hidden="1" x14ac:dyDescent="0.25">
      <c r="C87" s="26" t="str">
        <f>Tools!$C$1</f>
        <v>Example</v>
      </c>
      <c r="D87" s="27" t="s">
        <v>70</v>
      </c>
      <c r="E87" s="28">
        <v>2017</v>
      </c>
      <c r="F87" s="28">
        <f>MATCH(DaybyDay[[#This Row],[RowMonth]],Table3[SummaryMonth],0)</f>
        <v>3</v>
      </c>
      <c r="G87" s="29" t="e">
        <f>MATCH(DaybyDay[[#This Row],[LY-Date]],DaybyDay[Date],0)</f>
        <v>#N/A</v>
      </c>
      <c r="H87" s="30">
        <f>WEEKDAY(DaybyDay[[#This Row],[Date]])</f>
        <v>4</v>
      </c>
      <c r="I87" s="31">
        <v>42816</v>
      </c>
      <c r="J87" s="74">
        <v>15</v>
      </c>
      <c r="K87" s="32">
        <f>SUMIFS(BudgetSeasonality[365 Seasonality],BudgetSeasonality[MonthAdjustment],DaybyDay[[#This Row],[Date]])*SUMIFS(Budgets[Service-Budget],Budgets[BudgetMonth],DaybyDay[[#This Row],[RowMonth]],Budgets[BudgetYear],DaybyDay[[#This Row],[RowYear]])</f>
        <v>0</v>
      </c>
      <c r="L87" s="75">
        <v>4015</v>
      </c>
      <c r="M87" s="32">
        <f>INDEX(BudgetSeasonality[365 Seasonality],MATCH(DaybyDay[[#This Row],[Date]],BudgetSeasonality[MonthAdjustment],0))*SUMIFS(Budgets[Retail-Budget],Budgets[BudgetMonth],DaybyDay[[#This Row],[RowMonth]],Budgets[BudgetYear],DaybyDay[[#This Row],[RowYear]])</f>
        <v>0</v>
      </c>
      <c r="N87" s="75">
        <v>362.5</v>
      </c>
      <c r="O87" s="33">
        <f>SUMIFS(DaybyDay[Service-Budgets],DaybyDay[Date],"&gt;="&amp;$C$5,DaybyDay[RowYear],"&gt;="&amp;$C$4,DaybyDay[Date],"&lt;="&amp;DaybyDay[[#This Row],[Date]])</f>
        <v>0</v>
      </c>
      <c r="P87" s="33">
        <f>SUMIFS(DaybyDay[Retail-Budgets],DaybyDay[Date],"&gt;="&amp;$C$5,DaybyDay[RowYear],"&gt;="&amp;$C$4,DaybyDay[Date],"&lt;="&amp;DaybyDay[[#This Row],[Date]])</f>
        <v>0</v>
      </c>
      <c r="Q87" s="34">
        <f>SUMIFS(DaybyDay[Service-Actuals],DaybyDay[Date],"&gt;="&amp;$C$5,DaybyDay[RowYear],"&gt;="&amp;$C$4,DaybyDay[Date],"&lt;="&amp;DaybyDay[[#This Row],[Date]])</f>
        <v>0</v>
      </c>
      <c r="R87" s="34">
        <f>SUMIFS(DaybyDay[Retail-Actuals],DaybyDay[Date],"&gt;="&amp;$C$5,DaybyDay[RowYear],"&gt;="&amp;$C$4,DaybyDay[Date],"&lt;="&amp;DaybyDay[[#This Row],[Date]])</f>
        <v>0</v>
      </c>
      <c r="S87" s="35">
        <f>SUMIFS(DaybyDay[Service-LY],DaybyDay[Date],"&gt;="&amp;$C$5,DaybyDay[RowYear],"&gt;="&amp;$C$4,DaybyDay[Date],"&lt;="&amp;DaybyDay[[#This Row],[Date]])</f>
        <v>0</v>
      </c>
      <c r="T87" s="35">
        <f>SUMIFS(DaybyDay[Retail-LY],DaybyDay[Date],"&gt;="&amp;$C$5,DaybyDay[RowYear],"&gt;="&amp;$C$4,DaybyDay[Date],"&lt;="&amp;DaybyDay[[#This Row],[Date]])</f>
        <v>0</v>
      </c>
      <c r="U87" s="32">
        <f>DaybyDay[[#This Row],[Serv-Bud-RU]]+DaybyDay[[#This Row],[Ret-Bud-RU]]</f>
        <v>0</v>
      </c>
      <c r="V87" s="32">
        <f>DaybyDay[[#This Row],[Serv-Act-RU]]+DaybyDay[[#This Row],[Ret-Act-RU]]</f>
        <v>0</v>
      </c>
      <c r="W87" s="36">
        <f>IF(DaybyDay[[#This Row],[_Space]],IFERROR(
((DaybyDay[[#This Row],[Actual-Rollup]]-DaybyDay[[#This Row],[Budget-Rollup]])/DaybyDay[[#This Row],[Budget-Rollup]]),0),"")</f>
        <v>0</v>
      </c>
      <c r="X87" t="b">
        <f>NOT(AND(ISBLANK(DaybyDay[[#This Row],[Appts]]),ISBLANK(DaybyDay[[#This Row],[Service-Actuals]]),ISBLANK(DaybyDay[[#This Row],[Retail-Actuals]])))</f>
        <v>1</v>
      </c>
      <c r="Y87" s="36">
        <f>IF(DaybyDay[[#This Row],[_Space]],IFERROR(
((DaybyDay[[#This Row],[Actual-Rollup]]-DaybyDay[[#This Row],[LY-Rollup]])/DaybyDay[[#This Row],[LY-Rollup]]),0),"")</f>
        <v>0</v>
      </c>
      <c r="Z87"/>
      <c r="AA87" s="37" t="e">
        <f>IF(DaybyDay[[#This Row],[_Space]],DaybyDay[[#This Row],[Ret-Act-RU]]/DaybyDay[[#This Row],[Serv-Act-RU]],"")</f>
        <v>#DIV/0!</v>
      </c>
      <c r="AB87" s="50" t="e">
        <f>IF(DaybyDay[[#This Row],[_Space]],DaybyDay[[#This Row],[RETPEN-Act]]/DaybyDay[[#This Row],[RETPEN-Bud]],"")</f>
        <v>#DIV/0!</v>
      </c>
      <c r="AC87" s="37" t="e">
        <f>IF(DaybyDay[[#This Row],[_Space]],DaybyDay[[#This Row],[Ret-Bud-RU]]/DaybyDay[[#This Row],[Serv-Bud-RU]],"")</f>
        <v>#DIV/0!</v>
      </c>
      <c r="AD87" s="37" t="e">
        <f>IF(DaybyDay[[#This Row],[_Space]],DaybyDay[[#This Row],[Ret-LY-RU]]/DaybyDay[[#This Row],[Serv-LY-RU]],"")</f>
        <v>#DIV/0!</v>
      </c>
      <c r="AE87" s="30">
        <f>WEEKDAY(DaybyDay[[#This Row],[LY-Date]])</f>
        <v>4</v>
      </c>
      <c r="AF87" s="38">
        <f>$E$2+_xlfn.DAYS(DaybyDay[[#This Row],[Date]],minDate)</f>
        <v>42452</v>
      </c>
      <c r="AG87" s="39" t="str" cm="1">
        <f t="array" ref="AG87">IFERROR(INDEX(DaybyDay[],DaybyDay[[#This Row],[FORM_MATCH_HELPER]],8),"")</f>
        <v/>
      </c>
      <c r="AH87" s="39" t="str" cm="1">
        <f t="array" ref="AH87">IFERROR(INDEX(DaybyDay[],DaybyDay[[#This Row],[FORM_MATCH_HELPER]],10),"")</f>
        <v/>
      </c>
      <c r="AI87" s="39" t="str" cm="1">
        <f t="array" ref="AI87">IFERROR(INDEX(DaybyDay[],DaybyDay[[#This Row],[FORM_MATCH_HELPER]],12),"")</f>
        <v/>
      </c>
      <c r="AJ87" s="32">
        <f>IFERROR(DaybyDay[[#This Row],[Serv-LY-RU]]+DaybyDay[[#This Row],[Ret-LY-RU]],"")</f>
        <v>0</v>
      </c>
      <c r="AK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 s="77"/>
      <c r="AM87" s="40" t="str">
        <f>IF(DaybyDay[[#This Row],[Admin Hours]]&gt;0,DaybyDay[[#This Row],[Admin Hours]]*$AM$2+$AM$3,"")</f>
        <v/>
      </c>
      <c r="AN87" s="40">
        <f>SUMIFS(DaybyDay[Est-Admin-Payroll],DaybyDay[Date],"&gt;="&amp;$C$5,DaybyDay[RowYear],"&gt;="&amp;$C$4,DaybyDay[Date],"&lt;="&amp;DaybyDay[[#This Row],[Date]])</f>
        <v>0</v>
      </c>
      <c r="AO87" s="41" t="str">
        <f>IF(AND(DaybyDay[[#This Row],[_Space]],ISNUMBER(DaybyDay[[#This Row],[Admin Hours]])),DaybyDay[[#This Row],[Est-Admin-Payroll]]/(DaybyDay[[#This Row],[Service-Actuals]]+DaybyDay[[#This Row],[Retail-Actuals]]),"")</f>
        <v/>
      </c>
      <c r="AP87" s="41" t="e">
        <f>DaybyDay[[#This Row],[Estimated-Payroll-Rollup]]/DaybyDay[[#This Row],[Simple-Forecast]]</f>
        <v>#DIV/0!</v>
      </c>
      <c r="AQ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 s="77"/>
      <c r="AS87" s="40" t="str">
        <f>IF(DaybyDay[[#This Row],[Retail Hours]]&gt;0,DaybyDay[[#This Row],[Retail Hours]]*$AS$2,"")</f>
        <v/>
      </c>
      <c r="AT87" s="40">
        <f>SUMIFS(DaybyDay[Est-Retail-Payroll],DaybyDay[Date],"&gt;="&amp;$C$5,DaybyDay[RowYear],"&gt;="&amp;$C$4,DaybyDay[Date],"&lt;="&amp;DaybyDay[[#This Row],[Date]])</f>
        <v>0</v>
      </c>
      <c r="AU87" s="82" t="str">
        <f>IF(AND(DaybyDay[[#This Row],[_Space]],ISNUMBER(DaybyDay[[#This Row],[Retail Hours]])),DaybyDay[[#This Row],[Est-Retail-Payroll]]/(DaybyDay[[#This Row],[Retail-Actuals]]),"")</f>
        <v/>
      </c>
      <c r="AV87" s="82" t="e">
        <f>DaybyDay[[#This Row],[Est-Retail-PayrollRU]]/DaybyDay[[#This Row],[Simple-Forecast-Retail]]</f>
        <v>#DIV/0!</v>
      </c>
      <c r="AW87" s="8"/>
    </row>
    <row r="88" spans="3:49" hidden="1" x14ac:dyDescent="0.25">
      <c r="C88" s="26" t="str">
        <f>Tools!$C$1</f>
        <v>Example</v>
      </c>
      <c r="D88" s="27" t="s">
        <v>70</v>
      </c>
      <c r="E88" s="28">
        <v>2017</v>
      </c>
      <c r="F88" s="28">
        <f>MATCH(DaybyDay[[#This Row],[RowMonth]],Table3[SummaryMonth],0)</f>
        <v>3</v>
      </c>
      <c r="G88" s="29" t="e">
        <f>MATCH(DaybyDay[[#This Row],[LY-Date]],DaybyDay[Date],0)</f>
        <v>#N/A</v>
      </c>
      <c r="H88" s="30">
        <f>WEEKDAY(DaybyDay[[#This Row],[Date]])</f>
        <v>5</v>
      </c>
      <c r="I88" s="31">
        <v>42817</v>
      </c>
      <c r="J88" s="74">
        <v>9</v>
      </c>
      <c r="K88" s="32">
        <f>SUMIFS(BudgetSeasonality[365 Seasonality],BudgetSeasonality[MonthAdjustment],DaybyDay[[#This Row],[Date]])*SUMIFS(Budgets[Service-Budget],Budgets[BudgetMonth],DaybyDay[[#This Row],[RowMonth]],Budgets[BudgetYear],DaybyDay[[#This Row],[RowYear]])</f>
        <v>0</v>
      </c>
      <c r="L88" s="75">
        <v>1820</v>
      </c>
      <c r="M88" s="32">
        <f>INDEX(BudgetSeasonality[365 Seasonality],MATCH(DaybyDay[[#This Row],[Date]],BudgetSeasonality[MonthAdjustment],0))*SUMIFS(Budgets[Retail-Budget],Budgets[BudgetMonth],DaybyDay[[#This Row],[RowMonth]],Budgets[BudgetYear],DaybyDay[[#This Row],[RowYear]])</f>
        <v>0</v>
      </c>
      <c r="N88" s="75">
        <v>0</v>
      </c>
      <c r="O88" s="33">
        <f>SUMIFS(DaybyDay[Service-Budgets],DaybyDay[Date],"&gt;="&amp;$C$5,DaybyDay[RowYear],"&gt;="&amp;$C$4,DaybyDay[Date],"&lt;="&amp;DaybyDay[[#This Row],[Date]])</f>
        <v>0</v>
      </c>
      <c r="P88" s="33">
        <f>SUMIFS(DaybyDay[Retail-Budgets],DaybyDay[Date],"&gt;="&amp;$C$5,DaybyDay[RowYear],"&gt;="&amp;$C$4,DaybyDay[Date],"&lt;="&amp;DaybyDay[[#This Row],[Date]])</f>
        <v>0</v>
      </c>
      <c r="Q88" s="34">
        <f>SUMIFS(DaybyDay[Service-Actuals],DaybyDay[Date],"&gt;="&amp;$C$5,DaybyDay[RowYear],"&gt;="&amp;$C$4,DaybyDay[Date],"&lt;="&amp;DaybyDay[[#This Row],[Date]])</f>
        <v>0</v>
      </c>
      <c r="R88" s="34">
        <f>SUMIFS(DaybyDay[Retail-Actuals],DaybyDay[Date],"&gt;="&amp;$C$5,DaybyDay[RowYear],"&gt;="&amp;$C$4,DaybyDay[Date],"&lt;="&amp;DaybyDay[[#This Row],[Date]])</f>
        <v>0</v>
      </c>
      <c r="S88" s="35">
        <f>SUMIFS(DaybyDay[Service-LY],DaybyDay[Date],"&gt;="&amp;$C$5,DaybyDay[RowYear],"&gt;="&amp;$C$4,DaybyDay[Date],"&lt;="&amp;DaybyDay[[#This Row],[Date]])</f>
        <v>0</v>
      </c>
      <c r="T88" s="35">
        <f>SUMIFS(DaybyDay[Retail-LY],DaybyDay[Date],"&gt;="&amp;$C$5,DaybyDay[RowYear],"&gt;="&amp;$C$4,DaybyDay[Date],"&lt;="&amp;DaybyDay[[#This Row],[Date]])</f>
        <v>0</v>
      </c>
      <c r="U88" s="32">
        <f>DaybyDay[[#This Row],[Serv-Bud-RU]]+DaybyDay[[#This Row],[Ret-Bud-RU]]</f>
        <v>0</v>
      </c>
      <c r="V88" s="32">
        <f>DaybyDay[[#This Row],[Serv-Act-RU]]+DaybyDay[[#This Row],[Ret-Act-RU]]</f>
        <v>0</v>
      </c>
      <c r="W88" s="36">
        <f>IF(DaybyDay[[#This Row],[_Space]],IFERROR(
((DaybyDay[[#This Row],[Actual-Rollup]]-DaybyDay[[#This Row],[Budget-Rollup]])/DaybyDay[[#This Row],[Budget-Rollup]]),0),"")</f>
        <v>0</v>
      </c>
      <c r="X88" t="b">
        <f>NOT(AND(ISBLANK(DaybyDay[[#This Row],[Appts]]),ISBLANK(DaybyDay[[#This Row],[Service-Actuals]]),ISBLANK(DaybyDay[[#This Row],[Retail-Actuals]])))</f>
        <v>1</v>
      </c>
      <c r="Y88" s="36">
        <f>IF(DaybyDay[[#This Row],[_Space]],IFERROR(
((DaybyDay[[#This Row],[Actual-Rollup]]-DaybyDay[[#This Row],[LY-Rollup]])/DaybyDay[[#This Row],[LY-Rollup]]),0),"")</f>
        <v>0</v>
      </c>
      <c r="Z88"/>
      <c r="AA88" s="37" t="e">
        <f>IF(DaybyDay[[#This Row],[_Space]],DaybyDay[[#This Row],[Ret-Act-RU]]/DaybyDay[[#This Row],[Serv-Act-RU]],"")</f>
        <v>#DIV/0!</v>
      </c>
      <c r="AB88" s="50" t="e">
        <f>IF(DaybyDay[[#This Row],[_Space]],DaybyDay[[#This Row],[RETPEN-Act]]/DaybyDay[[#This Row],[RETPEN-Bud]],"")</f>
        <v>#DIV/0!</v>
      </c>
      <c r="AC88" s="37" t="e">
        <f>IF(DaybyDay[[#This Row],[_Space]],DaybyDay[[#This Row],[Ret-Bud-RU]]/DaybyDay[[#This Row],[Serv-Bud-RU]],"")</f>
        <v>#DIV/0!</v>
      </c>
      <c r="AD88" s="37" t="e">
        <f>IF(DaybyDay[[#This Row],[_Space]],DaybyDay[[#This Row],[Ret-LY-RU]]/DaybyDay[[#This Row],[Serv-LY-RU]],"")</f>
        <v>#DIV/0!</v>
      </c>
      <c r="AE88" s="30">
        <f>WEEKDAY(DaybyDay[[#This Row],[LY-Date]])</f>
        <v>5</v>
      </c>
      <c r="AF88" s="38">
        <f>$E$2+_xlfn.DAYS(DaybyDay[[#This Row],[Date]],minDate)</f>
        <v>42453</v>
      </c>
      <c r="AG88" s="39" t="str" cm="1">
        <f t="array" ref="AG88">IFERROR(INDEX(DaybyDay[],DaybyDay[[#This Row],[FORM_MATCH_HELPER]],8),"")</f>
        <v/>
      </c>
      <c r="AH88" s="39" t="str" cm="1">
        <f t="array" ref="AH88">IFERROR(INDEX(DaybyDay[],DaybyDay[[#This Row],[FORM_MATCH_HELPER]],10),"")</f>
        <v/>
      </c>
      <c r="AI88" s="39" t="str" cm="1">
        <f t="array" ref="AI88">IFERROR(INDEX(DaybyDay[],DaybyDay[[#This Row],[FORM_MATCH_HELPER]],12),"")</f>
        <v/>
      </c>
      <c r="AJ88" s="32">
        <f>IFERROR(DaybyDay[[#This Row],[Serv-LY-RU]]+DaybyDay[[#This Row],[Ret-LY-RU]],"")</f>
        <v>0</v>
      </c>
      <c r="AK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 s="77"/>
      <c r="AM88" s="40" t="str">
        <f>IF(DaybyDay[[#This Row],[Admin Hours]]&gt;0,DaybyDay[[#This Row],[Admin Hours]]*$AM$2+$AM$3,"")</f>
        <v/>
      </c>
      <c r="AN88" s="40">
        <f>SUMIFS(DaybyDay[Est-Admin-Payroll],DaybyDay[Date],"&gt;="&amp;$C$5,DaybyDay[RowYear],"&gt;="&amp;$C$4,DaybyDay[Date],"&lt;="&amp;DaybyDay[[#This Row],[Date]])</f>
        <v>0</v>
      </c>
      <c r="AO88" s="41" t="str">
        <f>IF(AND(DaybyDay[[#This Row],[_Space]],ISNUMBER(DaybyDay[[#This Row],[Admin Hours]])),DaybyDay[[#This Row],[Est-Admin-Payroll]]/(DaybyDay[[#This Row],[Service-Actuals]]+DaybyDay[[#This Row],[Retail-Actuals]]),"")</f>
        <v/>
      </c>
      <c r="AP88" s="41" t="e">
        <f>DaybyDay[[#This Row],[Estimated-Payroll-Rollup]]/DaybyDay[[#This Row],[Simple-Forecast]]</f>
        <v>#DIV/0!</v>
      </c>
      <c r="AQ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 s="77"/>
      <c r="AS88" s="40" t="str">
        <f>IF(DaybyDay[[#This Row],[Retail Hours]]&gt;0,DaybyDay[[#This Row],[Retail Hours]]*$AS$2,"")</f>
        <v/>
      </c>
      <c r="AT88" s="40">
        <f>SUMIFS(DaybyDay[Est-Retail-Payroll],DaybyDay[Date],"&gt;="&amp;$C$5,DaybyDay[RowYear],"&gt;="&amp;$C$4,DaybyDay[Date],"&lt;="&amp;DaybyDay[[#This Row],[Date]])</f>
        <v>0</v>
      </c>
      <c r="AU88" s="82" t="str">
        <f>IF(AND(DaybyDay[[#This Row],[_Space]],ISNUMBER(DaybyDay[[#This Row],[Retail Hours]])),DaybyDay[[#This Row],[Est-Retail-Payroll]]/(DaybyDay[[#This Row],[Retail-Actuals]]),"")</f>
        <v/>
      </c>
      <c r="AV88" s="82" t="e">
        <f>DaybyDay[[#This Row],[Est-Retail-PayrollRU]]/DaybyDay[[#This Row],[Simple-Forecast-Retail]]</f>
        <v>#DIV/0!</v>
      </c>
      <c r="AW88" s="8"/>
    </row>
    <row r="89" spans="3:49" hidden="1" x14ac:dyDescent="0.25">
      <c r="C89" s="26" t="str">
        <f>Tools!$C$1</f>
        <v>Example</v>
      </c>
      <c r="D89" s="27" t="s">
        <v>70</v>
      </c>
      <c r="E89" s="28">
        <v>2017</v>
      </c>
      <c r="F89" s="28">
        <f>MATCH(DaybyDay[[#This Row],[RowMonth]],Table3[SummaryMonth],0)</f>
        <v>3</v>
      </c>
      <c r="G89" s="29" t="e">
        <f>MATCH(DaybyDay[[#This Row],[LY-Date]],DaybyDay[Date],0)</f>
        <v>#N/A</v>
      </c>
      <c r="H89" s="30">
        <f>WEEKDAY(DaybyDay[[#This Row],[Date]])</f>
        <v>6</v>
      </c>
      <c r="I89" s="31">
        <v>42818</v>
      </c>
      <c r="J89" s="74">
        <v>23</v>
      </c>
      <c r="K89" s="32">
        <f>SUMIFS(BudgetSeasonality[365 Seasonality],BudgetSeasonality[MonthAdjustment],DaybyDay[[#This Row],[Date]])*SUMIFS(Budgets[Service-Budget],Budgets[BudgetMonth],DaybyDay[[#This Row],[RowMonth]],Budgets[BudgetYear],DaybyDay[[#This Row],[RowYear]])</f>
        <v>0</v>
      </c>
      <c r="L89" s="75">
        <v>5708</v>
      </c>
      <c r="M89" s="32">
        <f>INDEX(BudgetSeasonality[365 Seasonality],MATCH(DaybyDay[[#This Row],[Date]],BudgetSeasonality[MonthAdjustment],0))*SUMIFS(Budgets[Retail-Budget],Budgets[BudgetMonth],DaybyDay[[#This Row],[RowMonth]],Budgets[BudgetYear],DaybyDay[[#This Row],[RowYear]])</f>
        <v>0</v>
      </c>
      <c r="N89" s="75">
        <v>505</v>
      </c>
      <c r="O89" s="33">
        <f>SUMIFS(DaybyDay[Service-Budgets],DaybyDay[Date],"&gt;="&amp;$C$5,DaybyDay[RowYear],"&gt;="&amp;$C$4,DaybyDay[Date],"&lt;="&amp;DaybyDay[[#This Row],[Date]])</f>
        <v>0</v>
      </c>
      <c r="P89" s="33">
        <f>SUMIFS(DaybyDay[Retail-Budgets],DaybyDay[Date],"&gt;="&amp;$C$5,DaybyDay[RowYear],"&gt;="&amp;$C$4,DaybyDay[Date],"&lt;="&amp;DaybyDay[[#This Row],[Date]])</f>
        <v>0</v>
      </c>
      <c r="Q89" s="34">
        <f>SUMIFS(DaybyDay[Service-Actuals],DaybyDay[Date],"&gt;="&amp;$C$5,DaybyDay[RowYear],"&gt;="&amp;$C$4,DaybyDay[Date],"&lt;="&amp;DaybyDay[[#This Row],[Date]])</f>
        <v>0</v>
      </c>
      <c r="R89" s="34">
        <f>SUMIFS(DaybyDay[Retail-Actuals],DaybyDay[Date],"&gt;="&amp;$C$5,DaybyDay[RowYear],"&gt;="&amp;$C$4,DaybyDay[Date],"&lt;="&amp;DaybyDay[[#This Row],[Date]])</f>
        <v>0</v>
      </c>
      <c r="S89" s="35">
        <f>SUMIFS(DaybyDay[Service-LY],DaybyDay[Date],"&gt;="&amp;$C$5,DaybyDay[RowYear],"&gt;="&amp;$C$4,DaybyDay[Date],"&lt;="&amp;DaybyDay[[#This Row],[Date]])</f>
        <v>0</v>
      </c>
      <c r="T89" s="35">
        <f>SUMIFS(DaybyDay[Retail-LY],DaybyDay[Date],"&gt;="&amp;$C$5,DaybyDay[RowYear],"&gt;="&amp;$C$4,DaybyDay[Date],"&lt;="&amp;DaybyDay[[#This Row],[Date]])</f>
        <v>0</v>
      </c>
      <c r="U89" s="32">
        <f>DaybyDay[[#This Row],[Serv-Bud-RU]]+DaybyDay[[#This Row],[Ret-Bud-RU]]</f>
        <v>0</v>
      </c>
      <c r="V89" s="32">
        <f>DaybyDay[[#This Row],[Serv-Act-RU]]+DaybyDay[[#This Row],[Ret-Act-RU]]</f>
        <v>0</v>
      </c>
      <c r="W89" s="36">
        <f>IF(DaybyDay[[#This Row],[_Space]],IFERROR(
((DaybyDay[[#This Row],[Actual-Rollup]]-DaybyDay[[#This Row],[Budget-Rollup]])/DaybyDay[[#This Row],[Budget-Rollup]]),0),"")</f>
        <v>0</v>
      </c>
      <c r="X89" t="b">
        <f>NOT(AND(ISBLANK(DaybyDay[[#This Row],[Appts]]),ISBLANK(DaybyDay[[#This Row],[Service-Actuals]]),ISBLANK(DaybyDay[[#This Row],[Retail-Actuals]])))</f>
        <v>1</v>
      </c>
      <c r="Y89" s="36">
        <f>IF(DaybyDay[[#This Row],[_Space]],IFERROR(
((DaybyDay[[#This Row],[Actual-Rollup]]-DaybyDay[[#This Row],[LY-Rollup]])/DaybyDay[[#This Row],[LY-Rollup]]),0),"")</f>
        <v>0</v>
      </c>
      <c r="Z89"/>
      <c r="AA89" s="37" t="e">
        <f>IF(DaybyDay[[#This Row],[_Space]],DaybyDay[[#This Row],[Ret-Act-RU]]/DaybyDay[[#This Row],[Serv-Act-RU]],"")</f>
        <v>#DIV/0!</v>
      </c>
      <c r="AB89" s="50" t="e">
        <f>IF(DaybyDay[[#This Row],[_Space]],DaybyDay[[#This Row],[RETPEN-Act]]/DaybyDay[[#This Row],[RETPEN-Bud]],"")</f>
        <v>#DIV/0!</v>
      </c>
      <c r="AC89" s="37" t="e">
        <f>IF(DaybyDay[[#This Row],[_Space]],DaybyDay[[#This Row],[Ret-Bud-RU]]/DaybyDay[[#This Row],[Serv-Bud-RU]],"")</f>
        <v>#DIV/0!</v>
      </c>
      <c r="AD89" s="37" t="e">
        <f>IF(DaybyDay[[#This Row],[_Space]],DaybyDay[[#This Row],[Ret-LY-RU]]/DaybyDay[[#This Row],[Serv-LY-RU]],"")</f>
        <v>#DIV/0!</v>
      </c>
      <c r="AE89" s="30">
        <f>WEEKDAY(DaybyDay[[#This Row],[LY-Date]])</f>
        <v>6</v>
      </c>
      <c r="AF89" s="38">
        <f>$E$2+_xlfn.DAYS(DaybyDay[[#This Row],[Date]],minDate)</f>
        <v>42454</v>
      </c>
      <c r="AG89" s="39" t="str" cm="1">
        <f t="array" ref="AG89">IFERROR(INDEX(DaybyDay[],DaybyDay[[#This Row],[FORM_MATCH_HELPER]],8),"")</f>
        <v/>
      </c>
      <c r="AH89" s="39" t="str" cm="1">
        <f t="array" ref="AH89">IFERROR(INDEX(DaybyDay[],DaybyDay[[#This Row],[FORM_MATCH_HELPER]],10),"")</f>
        <v/>
      </c>
      <c r="AI89" s="39" t="str" cm="1">
        <f t="array" ref="AI89">IFERROR(INDEX(DaybyDay[],DaybyDay[[#This Row],[FORM_MATCH_HELPER]],12),"")</f>
        <v/>
      </c>
      <c r="AJ89" s="32">
        <f>IFERROR(DaybyDay[[#This Row],[Serv-LY-RU]]+DaybyDay[[#This Row],[Ret-LY-RU]],"")</f>
        <v>0</v>
      </c>
      <c r="AK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 s="77"/>
      <c r="AM89" s="40" t="str">
        <f>IF(DaybyDay[[#This Row],[Admin Hours]]&gt;0,DaybyDay[[#This Row],[Admin Hours]]*$AM$2+$AM$3,"")</f>
        <v/>
      </c>
      <c r="AN89" s="40">
        <f>SUMIFS(DaybyDay[Est-Admin-Payroll],DaybyDay[Date],"&gt;="&amp;$C$5,DaybyDay[RowYear],"&gt;="&amp;$C$4,DaybyDay[Date],"&lt;="&amp;DaybyDay[[#This Row],[Date]])</f>
        <v>0</v>
      </c>
      <c r="AO89" s="41" t="str">
        <f>IF(AND(DaybyDay[[#This Row],[_Space]],ISNUMBER(DaybyDay[[#This Row],[Admin Hours]])),DaybyDay[[#This Row],[Est-Admin-Payroll]]/(DaybyDay[[#This Row],[Service-Actuals]]+DaybyDay[[#This Row],[Retail-Actuals]]),"")</f>
        <v/>
      </c>
      <c r="AP89" s="41" t="e">
        <f>DaybyDay[[#This Row],[Estimated-Payroll-Rollup]]/DaybyDay[[#This Row],[Simple-Forecast]]</f>
        <v>#DIV/0!</v>
      </c>
      <c r="AQ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 s="77"/>
      <c r="AS89" s="40" t="str">
        <f>IF(DaybyDay[[#This Row],[Retail Hours]]&gt;0,DaybyDay[[#This Row],[Retail Hours]]*$AS$2,"")</f>
        <v/>
      </c>
      <c r="AT89" s="40">
        <f>SUMIFS(DaybyDay[Est-Retail-Payroll],DaybyDay[Date],"&gt;="&amp;$C$5,DaybyDay[RowYear],"&gt;="&amp;$C$4,DaybyDay[Date],"&lt;="&amp;DaybyDay[[#This Row],[Date]])</f>
        <v>0</v>
      </c>
      <c r="AU89" s="82" t="str">
        <f>IF(AND(DaybyDay[[#This Row],[_Space]],ISNUMBER(DaybyDay[[#This Row],[Retail Hours]])),DaybyDay[[#This Row],[Est-Retail-Payroll]]/(DaybyDay[[#This Row],[Retail-Actuals]]),"")</f>
        <v/>
      </c>
      <c r="AV89" s="82" t="e">
        <f>DaybyDay[[#This Row],[Est-Retail-PayrollRU]]/DaybyDay[[#This Row],[Simple-Forecast-Retail]]</f>
        <v>#DIV/0!</v>
      </c>
      <c r="AW89" s="8"/>
    </row>
    <row r="90" spans="3:49" hidden="1" x14ac:dyDescent="0.25">
      <c r="C90" s="26" t="str">
        <f>Tools!$C$1</f>
        <v>Example</v>
      </c>
      <c r="D90" s="27" t="s">
        <v>70</v>
      </c>
      <c r="E90" s="28">
        <v>2017</v>
      </c>
      <c r="F90" s="28">
        <f>MATCH(DaybyDay[[#This Row],[RowMonth]],Table3[SummaryMonth],0)</f>
        <v>3</v>
      </c>
      <c r="G90" s="29" t="e">
        <f>MATCH(DaybyDay[[#This Row],[LY-Date]],DaybyDay[Date],0)</f>
        <v>#N/A</v>
      </c>
      <c r="H90" s="30">
        <f>WEEKDAY(DaybyDay[[#This Row],[Date]])</f>
        <v>7</v>
      </c>
      <c r="I90" s="31">
        <v>42819</v>
      </c>
      <c r="J90" s="74">
        <v>28</v>
      </c>
      <c r="K90" s="32">
        <f>SUMIFS(BudgetSeasonality[365 Seasonality],BudgetSeasonality[MonthAdjustment],DaybyDay[[#This Row],[Date]])*SUMIFS(Budgets[Service-Budget],Budgets[BudgetMonth],DaybyDay[[#This Row],[RowMonth]],Budgets[BudgetYear],DaybyDay[[#This Row],[RowYear]])</f>
        <v>0</v>
      </c>
      <c r="L90" s="75">
        <v>6509.2</v>
      </c>
      <c r="M90" s="32">
        <f>INDEX(BudgetSeasonality[365 Seasonality],MATCH(DaybyDay[[#This Row],[Date]],BudgetSeasonality[MonthAdjustment],0))*SUMIFS(Budgets[Retail-Budget],Budgets[BudgetMonth],DaybyDay[[#This Row],[RowMonth]],Budgets[BudgetYear],DaybyDay[[#This Row],[RowYear]])</f>
        <v>0</v>
      </c>
      <c r="N90" s="75">
        <v>-761.5</v>
      </c>
      <c r="O90" s="33">
        <f>SUMIFS(DaybyDay[Service-Budgets],DaybyDay[Date],"&gt;="&amp;$C$5,DaybyDay[RowYear],"&gt;="&amp;$C$4,DaybyDay[Date],"&lt;="&amp;DaybyDay[[#This Row],[Date]])</f>
        <v>0</v>
      </c>
      <c r="P90" s="33">
        <f>SUMIFS(DaybyDay[Retail-Budgets],DaybyDay[Date],"&gt;="&amp;$C$5,DaybyDay[RowYear],"&gt;="&amp;$C$4,DaybyDay[Date],"&lt;="&amp;DaybyDay[[#This Row],[Date]])</f>
        <v>0</v>
      </c>
      <c r="Q90" s="34">
        <f>SUMIFS(DaybyDay[Service-Actuals],DaybyDay[Date],"&gt;="&amp;$C$5,DaybyDay[RowYear],"&gt;="&amp;$C$4,DaybyDay[Date],"&lt;="&amp;DaybyDay[[#This Row],[Date]])</f>
        <v>0</v>
      </c>
      <c r="R90" s="34">
        <f>SUMIFS(DaybyDay[Retail-Actuals],DaybyDay[Date],"&gt;="&amp;$C$5,DaybyDay[RowYear],"&gt;="&amp;$C$4,DaybyDay[Date],"&lt;="&amp;DaybyDay[[#This Row],[Date]])</f>
        <v>0</v>
      </c>
      <c r="S90" s="35">
        <f>SUMIFS(DaybyDay[Service-LY],DaybyDay[Date],"&gt;="&amp;$C$5,DaybyDay[RowYear],"&gt;="&amp;$C$4,DaybyDay[Date],"&lt;="&amp;DaybyDay[[#This Row],[Date]])</f>
        <v>0</v>
      </c>
      <c r="T90" s="35">
        <f>SUMIFS(DaybyDay[Retail-LY],DaybyDay[Date],"&gt;="&amp;$C$5,DaybyDay[RowYear],"&gt;="&amp;$C$4,DaybyDay[Date],"&lt;="&amp;DaybyDay[[#This Row],[Date]])</f>
        <v>0</v>
      </c>
      <c r="U90" s="32">
        <f>DaybyDay[[#This Row],[Serv-Bud-RU]]+DaybyDay[[#This Row],[Ret-Bud-RU]]</f>
        <v>0</v>
      </c>
      <c r="V90" s="32">
        <f>DaybyDay[[#This Row],[Serv-Act-RU]]+DaybyDay[[#This Row],[Ret-Act-RU]]</f>
        <v>0</v>
      </c>
      <c r="W90" s="36">
        <f>IF(DaybyDay[[#This Row],[_Space]],IFERROR(
((DaybyDay[[#This Row],[Actual-Rollup]]-DaybyDay[[#This Row],[Budget-Rollup]])/DaybyDay[[#This Row],[Budget-Rollup]]),0),"")</f>
        <v>0</v>
      </c>
      <c r="X90" t="b">
        <f>NOT(AND(ISBLANK(DaybyDay[[#This Row],[Appts]]),ISBLANK(DaybyDay[[#This Row],[Service-Actuals]]),ISBLANK(DaybyDay[[#This Row],[Retail-Actuals]])))</f>
        <v>1</v>
      </c>
      <c r="Y90" s="36">
        <f>IF(DaybyDay[[#This Row],[_Space]],IFERROR(
((DaybyDay[[#This Row],[Actual-Rollup]]-DaybyDay[[#This Row],[LY-Rollup]])/DaybyDay[[#This Row],[LY-Rollup]]),0),"")</f>
        <v>0</v>
      </c>
      <c r="Z90"/>
      <c r="AA90" s="37" t="e">
        <f>IF(DaybyDay[[#This Row],[_Space]],DaybyDay[[#This Row],[Ret-Act-RU]]/DaybyDay[[#This Row],[Serv-Act-RU]],"")</f>
        <v>#DIV/0!</v>
      </c>
      <c r="AB90" s="50" t="e">
        <f>IF(DaybyDay[[#This Row],[_Space]],DaybyDay[[#This Row],[RETPEN-Act]]/DaybyDay[[#This Row],[RETPEN-Bud]],"")</f>
        <v>#DIV/0!</v>
      </c>
      <c r="AC90" s="37" t="e">
        <f>IF(DaybyDay[[#This Row],[_Space]],DaybyDay[[#This Row],[Ret-Bud-RU]]/DaybyDay[[#This Row],[Serv-Bud-RU]],"")</f>
        <v>#DIV/0!</v>
      </c>
      <c r="AD90" s="37" t="e">
        <f>IF(DaybyDay[[#This Row],[_Space]],DaybyDay[[#This Row],[Ret-LY-RU]]/DaybyDay[[#This Row],[Serv-LY-RU]],"")</f>
        <v>#DIV/0!</v>
      </c>
      <c r="AE90" s="30">
        <f>WEEKDAY(DaybyDay[[#This Row],[LY-Date]])</f>
        <v>7</v>
      </c>
      <c r="AF90" s="38">
        <f>$E$2+_xlfn.DAYS(DaybyDay[[#This Row],[Date]],minDate)</f>
        <v>42455</v>
      </c>
      <c r="AG90" s="39" t="str" cm="1">
        <f t="array" ref="AG90">IFERROR(INDEX(DaybyDay[],DaybyDay[[#This Row],[FORM_MATCH_HELPER]],8),"")</f>
        <v/>
      </c>
      <c r="AH90" s="39" t="str" cm="1">
        <f t="array" ref="AH90">IFERROR(INDEX(DaybyDay[],DaybyDay[[#This Row],[FORM_MATCH_HELPER]],10),"")</f>
        <v/>
      </c>
      <c r="AI90" s="39" t="str" cm="1">
        <f t="array" ref="AI90">IFERROR(INDEX(DaybyDay[],DaybyDay[[#This Row],[FORM_MATCH_HELPER]],12),"")</f>
        <v/>
      </c>
      <c r="AJ90" s="32">
        <f>IFERROR(DaybyDay[[#This Row],[Serv-LY-RU]]+DaybyDay[[#This Row],[Ret-LY-RU]],"")</f>
        <v>0</v>
      </c>
      <c r="AK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 s="77"/>
      <c r="AM90" s="40" t="str">
        <f>IF(DaybyDay[[#This Row],[Admin Hours]]&gt;0,DaybyDay[[#This Row],[Admin Hours]]*$AM$2+$AM$3,"")</f>
        <v/>
      </c>
      <c r="AN90" s="40">
        <f>SUMIFS(DaybyDay[Est-Admin-Payroll],DaybyDay[Date],"&gt;="&amp;$C$5,DaybyDay[RowYear],"&gt;="&amp;$C$4,DaybyDay[Date],"&lt;="&amp;DaybyDay[[#This Row],[Date]])</f>
        <v>0</v>
      </c>
      <c r="AO90" s="41" t="str">
        <f>IF(AND(DaybyDay[[#This Row],[_Space]],ISNUMBER(DaybyDay[[#This Row],[Admin Hours]])),DaybyDay[[#This Row],[Est-Admin-Payroll]]/(DaybyDay[[#This Row],[Service-Actuals]]+DaybyDay[[#This Row],[Retail-Actuals]]),"")</f>
        <v/>
      </c>
      <c r="AP90" s="41" t="e">
        <f>DaybyDay[[#This Row],[Estimated-Payroll-Rollup]]/DaybyDay[[#This Row],[Simple-Forecast]]</f>
        <v>#DIV/0!</v>
      </c>
      <c r="AQ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 s="77"/>
      <c r="AS90" s="40" t="str">
        <f>IF(DaybyDay[[#This Row],[Retail Hours]]&gt;0,DaybyDay[[#This Row],[Retail Hours]]*$AS$2,"")</f>
        <v/>
      </c>
      <c r="AT90" s="40">
        <f>SUMIFS(DaybyDay[Est-Retail-Payroll],DaybyDay[Date],"&gt;="&amp;$C$5,DaybyDay[RowYear],"&gt;="&amp;$C$4,DaybyDay[Date],"&lt;="&amp;DaybyDay[[#This Row],[Date]])</f>
        <v>0</v>
      </c>
      <c r="AU90" s="82" t="str">
        <f>IF(AND(DaybyDay[[#This Row],[_Space]],ISNUMBER(DaybyDay[[#This Row],[Retail Hours]])),DaybyDay[[#This Row],[Est-Retail-Payroll]]/(DaybyDay[[#This Row],[Retail-Actuals]]),"")</f>
        <v/>
      </c>
      <c r="AV90" s="82" t="e">
        <f>DaybyDay[[#This Row],[Est-Retail-PayrollRU]]/DaybyDay[[#This Row],[Simple-Forecast-Retail]]</f>
        <v>#DIV/0!</v>
      </c>
      <c r="AW90" s="8"/>
    </row>
    <row r="91" spans="3:49" hidden="1" x14ac:dyDescent="0.25">
      <c r="C91" s="26" t="str">
        <f>Tools!$C$1</f>
        <v>Example</v>
      </c>
      <c r="D91" s="27" t="s">
        <v>70</v>
      </c>
      <c r="E91" s="28">
        <v>2017</v>
      </c>
      <c r="F91" s="28">
        <f>MATCH(DaybyDay[[#This Row],[RowMonth]],Table3[SummaryMonth],0)</f>
        <v>3</v>
      </c>
      <c r="G91" s="29" t="e">
        <f>MATCH(DaybyDay[[#This Row],[LY-Date]],DaybyDay[Date],0)</f>
        <v>#N/A</v>
      </c>
      <c r="H91" s="30">
        <f>WEEKDAY(DaybyDay[[#This Row],[Date]])</f>
        <v>1</v>
      </c>
      <c r="I91" s="31">
        <v>42820</v>
      </c>
      <c r="J91" s="74">
        <v>36</v>
      </c>
      <c r="K91" s="32">
        <f>SUMIFS(BudgetSeasonality[365 Seasonality],BudgetSeasonality[MonthAdjustment],DaybyDay[[#This Row],[Date]])*SUMIFS(Budgets[Service-Budget],Budgets[BudgetMonth],DaybyDay[[#This Row],[RowMonth]],Budgets[BudgetYear],DaybyDay[[#This Row],[RowYear]])</f>
        <v>0</v>
      </c>
      <c r="L91" s="75">
        <v>4885.5</v>
      </c>
      <c r="M91" s="32">
        <f>INDEX(BudgetSeasonality[365 Seasonality],MATCH(DaybyDay[[#This Row],[Date]],BudgetSeasonality[MonthAdjustment],0))*SUMIFS(Budgets[Retail-Budget],Budgets[BudgetMonth],DaybyDay[[#This Row],[RowMonth]],Budgets[BudgetYear],DaybyDay[[#This Row],[RowYear]])</f>
        <v>0</v>
      </c>
      <c r="N91" s="75">
        <v>266</v>
      </c>
      <c r="O91" s="33">
        <f>SUMIFS(DaybyDay[Service-Budgets],DaybyDay[Date],"&gt;="&amp;$C$5,DaybyDay[RowYear],"&gt;="&amp;$C$4,DaybyDay[Date],"&lt;="&amp;DaybyDay[[#This Row],[Date]])</f>
        <v>0</v>
      </c>
      <c r="P91" s="33">
        <f>SUMIFS(DaybyDay[Retail-Budgets],DaybyDay[Date],"&gt;="&amp;$C$5,DaybyDay[RowYear],"&gt;="&amp;$C$4,DaybyDay[Date],"&lt;="&amp;DaybyDay[[#This Row],[Date]])</f>
        <v>0</v>
      </c>
      <c r="Q91" s="34">
        <f>SUMIFS(DaybyDay[Service-Actuals],DaybyDay[Date],"&gt;="&amp;$C$5,DaybyDay[RowYear],"&gt;="&amp;$C$4,DaybyDay[Date],"&lt;="&amp;DaybyDay[[#This Row],[Date]])</f>
        <v>0</v>
      </c>
      <c r="R91" s="34">
        <f>SUMIFS(DaybyDay[Retail-Actuals],DaybyDay[Date],"&gt;="&amp;$C$5,DaybyDay[RowYear],"&gt;="&amp;$C$4,DaybyDay[Date],"&lt;="&amp;DaybyDay[[#This Row],[Date]])</f>
        <v>0</v>
      </c>
      <c r="S91" s="35">
        <f>SUMIFS(DaybyDay[Service-LY],DaybyDay[Date],"&gt;="&amp;$C$5,DaybyDay[RowYear],"&gt;="&amp;$C$4,DaybyDay[Date],"&lt;="&amp;DaybyDay[[#This Row],[Date]])</f>
        <v>0</v>
      </c>
      <c r="T91" s="35">
        <f>SUMIFS(DaybyDay[Retail-LY],DaybyDay[Date],"&gt;="&amp;$C$5,DaybyDay[RowYear],"&gt;="&amp;$C$4,DaybyDay[Date],"&lt;="&amp;DaybyDay[[#This Row],[Date]])</f>
        <v>0</v>
      </c>
      <c r="U91" s="32">
        <f>DaybyDay[[#This Row],[Serv-Bud-RU]]+DaybyDay[[#This Row],[Ret-Bud-RU]]</f>
        <v>0</v>
      </c>
      <c r="V91" s="32">
        <f>DaybyDay[[#This Row],[Serv-Act-RU]]+DaybyDay[[#This Row],[Ret-Act-RU]]</f>
        <v>0</v>
      </c>
      <c r="W91" s="36">
        <f>IF(DaybyDay[[#This Row],[_Space]],IFERROR(
((DaybyDay[[#This Row],[Actual-Rollup]]-DaybyDay[[#This Row],[Budget-Rollup]])/DaybyDay[[#This Row],[Budget-Rollup]]),0),"")</f>
        <v>0</v>
      </c>
      <c r="X91" t="b">
        <f>NOT(AND(ISBLANK(DaybyDay[[#This Row],[Appts]]),ISBLANK(DaybyDay[[#This Row],[Service-Actuals]]),ISBLANK(DaybyDay[[#This Row],[Retail-Actuals]])))</f>
        <v>1</v>
      </c>
      <c r="Y91" s="36">
        <f>IF(DaybyDay[[#This Row],[_Space]],IFERROR(
((DaybyDay[[#This Row],[Actual-Rollup]]-DaybyDay[[#This Row],[LY-Rollup]])/DaybyDay[[#This Row],[LY-Rollup]]),0),"")</f>
        <v>0</v>
      </c>
      <c r="Z91"/>
      <c r="AA91" s="37" t="e">
        <f>IF(DaybyDay[[#This Row],[_Space]],DaybyDay[[#This Row],[Ret-Act-RU]]/DaybyDay[[#This Row],[Serv-Act-RU]],"")</f>
        <v>#DIV/0!</v>
      </c>
      <c r="AB91" s="50" t="e">
        <f>IF(DaybyDay[[#This Row],[_Space]],DaybyDay[[#This Row],[RETPEN-Act]]/DaybyDay[[#This Row],[RETPEN-Bud]],"")</f>
        <v>#DIV/0!</v>
      </c>
      <c r="AC91" s="37" t="e">
        <f>IF(DaybyDay[[#This Row],[_Space]],DaybyDay[[#This Row],[Ret-Bud-RU]]/DaybyDay[[#This Row],[Serv-Bud-RU]],"")</f>
        <v>#DIV/0!</v>
      </c>
      <c r="AD91" s="37" t="e">
        <f>IF(DaybyDay[[#This Row],[_Space]],DaybyDay[[#This Row],[Ret-LY-RU]]/DaybyDay[[#This Row],[Serv-LY-RU]],"")</f>
        <v>#DIV/0!</v>
      </c>
      <c r="AE91" s="30">
        <f>WEEKDAY(DaybyDay[[#This Row],[LY-Date]])</f>
        <v>1</v>
      </c>
      <c r="AF91" s="38">
        <f>$E$2+_xlfn.DAYS(DaybyDay[[#This Row],[Date]],minDate)</f>
        <v>42456</v>
      </c>
      <c r="AG91" s="39" t="str" cm="1">
        <f t="array" ref="AG91">IFERROR(INDEX(DaybyDay[],DaybyDay[[#This Row],[FORM_MATCH_HELPER]],8),"")</f>
        <v/>
      </c>
      <c r="AH91" s="39" t="str" cm="1">
        <f t="array" ref="AH91">IFERROR(INDEX(DaybyDay[],DaybyDay[[#This Row],[FORM_MATCH_HELPER]],10),"")</f>
        <v/>
      </c>
      <c r="AI91" s="39" t="str" cm="1">
        <f t="array" ref="AI91">IFERROR(INDEX(DaybyDay[],DaybyDay[[#This Row],[FORM_MATCH_HELPER]],12),"")</f>
        <v/>
      </c>
      <c r="AJ91" s="32">
        <f>IFERROR(DaybyDay[[#This Row],[Serv-LY-RU]]+DaybyDay[[#This Row],[Ret-LY-RU]],"")</f>
        <v>0</v>
      </c>
      <c r="AK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 s="77"/>
      <c r="AM91" s="40" t="str">
        <f>IF(DaybyDay[[#This Row],[Admin Hours]]&gt;0,DaybyDay[[#This Row],[Admin Hours]]*$AM$2+$AM$3,"")</f>
        <v/>
      </c>
      <c r="AN91" s="40">
        <f>SUMIFS(DaybyDay[Est-Admin-Payroll],DaybyDay[Date],"&gt;="&amp;$C$5,DaybyDay[RowYear],"&gt;="&amp;$C$4,DaybyDay[Date],"&lt;="&amp;DaybyDay[[#This Row],[Date]])</f>
        <v>0</v>
      </c>
      <c r="AO91" s="41" t="str">
        <f>IF(AND(DaybyDay[[#This Row],[_Space]],ISNUMBER(DaybyDay[[#This Row],[Admin Hours]])),DaybyDay[[#This Row],[Est-Admin-Payroll]]/(DaybyDay[[#This Row],[Service-Actuals]]+DaybyDay[[#This Row],[Retail-Actuals]]),"")</f>
        <v/>
      </c>
      <c r="AP91" s="41" t="e">
        <f>DaybyDay[[#This Row],[Estimated-Payroll-Rollup]]/DaybyDay[[#This Row],[Simple-Forecast]]</f>
        <v>#DIV/0!</v>
      </c>
      <c r="AQ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 s="77"/>
      <c r="AS91" s="40" t="str">
        <f>IF(DaybyDay[[#This Row],[Retail Hours]]&gt;0,DaybyDay[[#This Row],[Retail Hours]]*$AS$2,"")</f>
        <v/>
      </c>
      <c r="AT91" s="40">
        <f>SUMIFS(DaybyDay[Est-Retail-Payroll],DaybyDay[Date],"&gt;="&amp;$C$5,DaybyDay[RowYear],"&gt;="&amp;$C$4,DaybyDay[Date],"&lt;="&amp;DaybyDay[[#This Row],[Date]])</f>
        <v>0</v>
      </c>
      <c r="AU91" s="82" t="str">
        <f>IF(AND(DaybyDay[[#This Row],[_Space]],ISNUMBER(DaybyDay[[#This Row],[Retail Hours]])),DaybyDay[[#This Row],[Est-Retail-Payroll]]/(DaybyDay[[#This Row],[Retail-Actuals]]),"")</f>
        <v/>
      </c>
      <c r="AV91" s="82" t="e">
        <f>DaybyDay[[#This Row],[Est-Retail-PayrollRU]]/DaybyDay[[#This Row],[Simple-Forecast-Retail]]</f>
        <v>#DIV/0!</v>
      </c>
      <c r="AW91" s="8"/>
    </row>
    <row r="92" spans="3:49" hidden="1" x14ac:dyDescent="0.25">
      <c r="C92" s="26" t="str">
        <f>Tools!$C$1</f>
        <v>Example</v>
      </c>
      <c r="D92" s="27" t="s">
        <v>70</v>
      </c>
      <c r="E92" s="28">
        <v>2017</v>
      </c>
      <c r="F92" s="28">
        <f>MATCH(DaybyDay[[#This Row],[RowMonth]],Table3[SummaryMonth],0)</f>
        <v>3</v>
      </c>
      <c r="G92" s="29" t="e">
        <f>MATCH(DaybyDay[[#This Row],[LY-Date]],DaybyDay[Date],0)</f>
        <v>#N/A</v>
      </c>
      <c r="H92" s="30">
        <f>WEEKDAY(DaybyDay[[#This Row],[Date]])</f>
        <v>2</v>
      </c>
      <c r="I92" s="31">
        <v>42821</v>
      </c>
      <c r="J92" s="74">
        <v>10</v>
      </c>
      <c r="K92" s="32">
        <f>SUMIFS(BudgetSeasonality[365 Seasonality],BudgetSeasonality[MonthAdjustment],DaybyDay[[#This Row],[Date]])*SUMIFS(Budgets[Service-Budget],Budgets[BudgetMonth],DaybyDay[[#This Row],[RowMonth]],Budgets[BudgetYear],DaybyDay[[#This Row],[RowYear]])</f>
        <v>0</v>
      </c>
      <c r="L92" s="75">
        <v>1470.8</v>
      </c>
      <c r="M92" s="32">
        <f>INDEX(BudgetSeasonality[365 Seasonality],MATCH(DaybyDay[[#This Row],[Date]],BudgetSeasonality[MonthAdjustment],0))*SUMIFS(Budgets[Retail-Budget],Budgets[BudgetMonth],DaybyDay[[#This Row],[RowMonth]],Budgets[BudgetYear],DaybyDay[[#This Row],[RowYear]])</f>
        <v>0</v>
      </c>
      <c r="N92" s="75">
        <v>569.90000000000009</v>
      </c>
      <c r="O92" s="33">
        <f>SUMIFS(DaybyDay[Service-Budgets],DaybyDay[Date],"&gt;="&amp;$C$5,DaybyDay[RowYear],"&gt;="&amp;$C$4,DaybyDay[Date],"&lt;="&amp;DaybyDay[[#This Row],[Date]])</f>
        <v>0</v>
      </c>
      <c r="P92" s="33">
        <f>SUMIFS(DaybyDay[Retail-Budgets],DaybyDay[Date],"&gt;="&amp;$C$5,DaybyDay[RowYear],"&gt;="&amp;$C$4,DaybyDay[Date],"&lt;="&amp;DaybyDay[[#This Row],[Date]])</f>
        <v>0</v>
      </c>
      <c r="Q92" s="34">
        <f>SUMIFS(DaybyDay[Service-Actuals],DaybyDay[Date],"&gt;="&amp;$C$5,DaybyDay[RowYear],"&gt;="&amp;$C$4,DaybyDay[Date],"&lt;="&amp;DaybyDay[[#This Row],[Date]])</f>
        <v>0</v>
      </c>
      <c r="R92" s="34">
        <f>SUMIFS(DaybyDay[Retail-Actuals],DaybyDay[Date],"&gt;="&amp;$C$5,DaybyDay[RowYear],"&gt;="&amp;$C$4,DaybyDay[Date],"&lt;="&amp;DaybyDay[[#This Row],[Date]])</f>
        <v>0</v>
      </c>
      <c r="S92" s="35">
        <f>SUMIFS(DaybyDay[Service-LY],DaybyDay[Date],"&gt;="&amp;$C$5,DaybyDay[RowYear],"&gt;="&amp;$C$4,DaybyDay[Date],"&lt;="&amp;DaybyDay[[#This Row],[Date]])</f>
        <v>0</v>
      </c>
      <c r="T92" s="35">
        <f>SUMIFS(DaybyDay[Retail-LY],DaybyDay[Date],"&gt;="&amp;$C$5,DaybyDay[RowYear],"&gt;="&amp;$C$4,DaybyDay[Date],"&lt;="&amp;DaybyDay[[#This Row],[Date]])</f>
        <v>0</v>
      </c>
      <c r="U92" s="32">
        <f>DaybyDay[[#This Row],[Serv-Bud-RU]]+DaybyDay[[#This Row],[Ret-Bud-RU]]</f>
        <v>0</v>
      </c>
      <c r="V92" s="32">
        <f>DaybyDay[[#This Row],[Serv-Act-RU]]+DaybyDay[[#This Row],[Ret-Act-RU]]</f>
        <v>0</v>
      </c>
      <c r="W92" s="36">
        <f>IF(DaybyDay[[#This Row],[_Space]],IFERROR(
((DaybyDay[[#This Row],[Actual-Rollup]]-DaybyDay[[#This Row],[Budget-Rollup]])/DaybyDay[[#This Row],[Budget-Rollup]]),0),"")</f>
        <v>0</v>
      </c>
      <c r="X92" t="b">
        <f>NOT(AND(ISBLANK(DaybyDay[[#This Row],[Appts]]),ISBLANK(DaybyDay[[#This Row],[Service-Actuals]]),ISBLANK(DaybyDay[[#This Row],[Retail-Actuals]])))</f>
        <v>1</v>
      </c>
      <c r="Y92" s="36">
        <f>IF(DaybyDay[[#This Row],[_Space]],IFERROR(
((DaybyDay[[#This Row],[Actual-Rollup]]-DaybyDay[[#This Row],[LY-Rollup]])/DaybyDay[[#This Row],[LY-Rollup]]),0),"")</f>
        <v>0</v>
      </c>
      <c r="Z92"/>
      <c r="AA92" s="37" t="e">
        <f>IF(DaybyDay[[#This Row],[_Space]],DaybyDay[[#This Row],[Ret-Act-RU]]/DaybyDay[[#This Row],[Serv-Act-RU]],"")</f>
        <v>#DIV/0!</v>
      </c>
      <c r="AB92" s="50" t="e">
        <f>IF(DaybyDay[[#This Row],[_Space]],DaybyDay[[#This Row],[RETPEN-Act]]/DaybyDay[[#This Row],[RETPEN-Bud]],"")</f>
        <v>#DIV/0!</v>
      </c>
      <c r="AC92" s="37" t="e">
        <f>IF(DaybyDay[[#This Row],[_Space]],DaybyDay[[#This Row],[Ret-Bud-RU]]/DaybyDay[[#This Row],[Serv-Bud-RU]],"")</f>
        <v>#DIV/0!</v>
      </c>
      <c r="AD92" s="37" t="e">
        <f>IF(DaybyDay[[#This Row],[_Space]],DaybyDay[[#This Row],[Ret-LY-RU]]/DaybyDay[[#This Row],[Serv-LY-RU]],"")</f>
        <v>#DIV/0!</v>
      </c>
      <c r="AE92" s="30">
        <f>WEEKDAY(DaybyDay[[#This Row],[LY-Date]])</f>
        <v>2</v>
      </c>
      <c r="AF92" s="38">
        <f>$E$2+_xlfn.DAYS(DaybyDay[[#This Row],[Date]],minDate)</f>
        <v>42457</v>
      </c>
      <c r="AG92" s="39" t="str" cm="1">
        <f t="array" ref="AG92">IFERROR(INDEX(DaybyDay[],DaybyDay[[#This Row],[FORM_MATCH_HELPER]],8),"")</f>
        <v/>
      </c>
      <c r="AH92" s="39" t="str" cm="1">
        <f t="array" ref="AH92">IFERROR(INDEX(DaybyDay[],DaybyDay[[#This Row],[FORM_MATCH_HELPER]],10),"")</f>
        <v/>
      </c>
      <c r="AI92" s="39" t="str" cm="1">
        <f t="array" ref="AI92">IFERROR(INDEX(DaybyDay[],DaybyDay[[#This Row],[FORM_MATCH_HELPER]],12),"")</f>
        <v/>
      </c>
      <c r="AJ92" s="32">
        <f>IFERROR(DaybyDay[[#This Row],[Serv-LY-RU]]+DaybyDay[[#This Row],[Ret-LY-RU]],"")</f>
        <v>0</v>
      </c>
      <c r="AK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 s="77"/>
      <c r="AM92" s="40" t="str">
        <f>IF(DaybyDay[[#This Row],[Admin Hours]]&gt;0,DaybyDay[[#This Row],[Admin Hours]]*$AM$2+$AM$3,"")</f>
        <v/>
      </c>
      <c r="AN92" s="40">
        <f>SUMIFS(DaybyDay[Est-Admin-Payroll],DaybyDay[Date],"&gt;="&amp;$C$5,DaybyDay[RowYear],"&gt;="&amp;$C$4,DaybyDay[Date],"&lt;="&amp;DaybyDay[[#This Row],[Date]])</f>
        <v>0</v>
      </c>
      <c r="AO92" s="41" t="str">
        <f>IF(AND(DaybyDay[[#This Row],[_Space]],ISNUMBER(DaybyDay[[#This Row],[Admin Hours]])),DaybyDay[[#This Row],[Est-Admin-Payroll]]/(DaybyDay[[#This Row],[Service-Actuals]]+DaybyDay[[#This Row],[Retail-Actuals]]),"")</f>
        <v/>
      </c>
      <c r="AP92" s="41" t="e">
        <f>DaybyDay[[#This Row],[Estimated-Payroll-Rollup]]/DaybyDay[[#This Row],[Simple-Forecast]]</f>
        <v>#DIV/0!</v>
      </c>
      <c r="AQ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 s="77"/>
      <c r="AS92" s="40" t="str">
        <f>IF(DaybyDay[[#This Row],[Retail Hours]]&gt;0,DaybyDay[[#This Row],[Retail Hours]]*$AS$2,"")</f>
        <v/>
      </c>
      <c r="AT92" s="40">
        <f>SUMIFS(DaybyDay[Est-Retail-Payroll],DaybyDay[Date],"&gt;="&amp;$C$5,DaybyDay[RowYear],"&gt;="&amp;$C$4,DaybyDay[Date],"&lt;="&amp;DaybyDay[[#This Row],[Date]])</f>
        <v>0</v>
      </c>
      <c r="AU92" s="82" t="str">
        <f>IF(AND(DaybyDay[[#This Row],[_Space]],ISNUMBER(DaybyDay[[#This Row],[Retail Hours]])),DaybyDay[[#This Row],[Est-Retail-Payroll]]/(DaybyDay[[#This Row],[Retail-Actuals]]),"")</f>
        <v/>
      </c>
      <c r="AV92" s="82" t="e">
        <f>DaybyDay[[#This Row],[Est-Retail-PayrollRU]]/DaybyDay[[#This Row],[Simple-Forecast-Retail]]</f>
        <v>#DIV/0!</v>
      </c>
      <c r="AW92" s="8"/>
    </row>
    <row r="93" spans="3:49" hidden="1" x14ac:dyDescent="0.25">
      <c r="C93" s="26" t="str">
        <f>Tools!$C$1</f>
        <v>Example</v>
      </c>
      <c r="D93" s="27" t="s">
        <v>70</v>
      </c>
      <c r="E93" s="28">
        <v>2017</v>
      </c>
      <c r="F93" s="28">
        <f>MATCH(DaybyDay[[#This Row],[RowMonth]],Table3[SummaryMonth],0)</f>
        <v>3</v>
      </c>
      <c r="G93" s="29" t="e">
        <f>MATCH(DaybyDay[[#This Row],[LY-Date]],DaybyDay[Date],0)</f>
        <v>#N/A</v>
      </c>
      <c r="H93" s="30">
        <f>WEEKDAY(DaybyDay[[#This Row],[Date]])</f>
        <v>3</v>
      </c>
      <c r="I93" s="31">
        <v>42822</v>
      </c>
      <c r="J93" s="74">
        <v>20</v>
      </c>
      <c r="K93" s="32">
        <f>SUMIFS(BudgetSeasonality[365 Seasonality],BudgetSeasonality[MonthAdjustment],DaybyDay[[#This Row],[Date]])*SUMIFS(Budgets[Service-Budget],Budgets[BudgetMonth],DaybyDay[[#This Row],[RowMonth]],Budgets[BudgetYear],DaybyDay[[#This Row],[RowYear]])</f>
        <v>0</v>
      </c>
      <c r="L93" s="75">
        <v>3603.3999999999996</v>
      </c>
      <c r="M93" s="32">
        <f>INDEX(BudgetSeasonality[365 Seasonality],MATCH(DaybyDay[[#This Row],[Date]],BudgetSeasonality[MonthAdjustment],0))*SUMIFS(Budgets[Retail-Budget],Budgets[BudgetMonth],DaybyDay[[#This Row],[RowMonth]],Budgets[BudgetYear],DaybyDay[[#This Row],[RowYear]])</f>
        <v>0</v>
      </c>
      <c r="N93" s="75">
        <v>987</v>
      </c>
      <c r="O93" s="33">
        <f>SUMIFS(DaybyDay[Service-Budgets],DaybyDay[Date],"&gt;="&amp;$C$5,DaybyDay[RowYear],"&gt;="&amp;$C$4,DaybyDay[Date],"&lt;="&amp;DaybyDay[[#This Row],[Date]])</f>
        <v>0</v>
      </c>
      <c r="P93" s="33">
        <f>SUMIFS(DaybyDay[Retail-Budgets],DaybyDay[Date],"&gt;="&amp;$C$5,DaybyDay[RowYear],"&gt;="&amp;$C$4,DaybyDay[Date],"&lt;="&amp;DaybyDay[[#This Row],[Date]])</f>
        <v>0</v>
      </c>
      <c r="Q93" s="34">
        <f>SUMIFS(DaybyDay[Service-Actuals],DaybyDay[Date],"&gt;="&amp;$C$5,DaybyDay[RowYear],"&gt;="&amp;$C$4,DaybyDay[Date],"&lt;="&amp;DaybyDay[[#This Row],[Date]])</f>
        <v>0</v>
      </c>
      <c r="R93" s="34">
        <f>SUMIFS(DaybyDay[Retail-Actuals],DaybyDay[Date],"&gt;="&amp;$C$5,DaybyDay[RowYear],"&gt;="&amp;$C$4,DaybyDay[Date],"&lt;="&amp;DaybyDay[[#This Row],[Date]])</f>
        <v>0</v>
      </c>
      <c r="S93" s="35">
        <f>SUMIFS(DaybyDay[Service-LY],DaybyDay[Date],"&gt;="&amp;$C$5,DaybyDay[RowYear],"&gt;="&amp;$C$4,DaybyDay[Date],"&lt;="&amp;DaybyDay[[#This Row],[Date]])</f>
        <v>0</v>
      </c>
      <c r="T93" s="35">
        <f>SUMIFS(DaybyDay[Retail-LY],DaybyDay[Date],"&gt;="&amp;$C$5,DaybyDay[RowYear],"&gt;="&amp;$C$4,DaybyDay[Date],"&lt;="&amp;DaybyDay[[#This Row],[Date]])</f>
        <v>0</v>
      </c>
      <c r="U93" s="32">
        <f>DaybyDay[[#This Row],[Serv-Bud-RU]]+DaybyDay[[#This Row],[Ret-Bud-RU]]</f>
        <v>0</v>
      </c>
      <c r="V93" s="32">
        <f>DaybyDay[[#This Row],[Serv-Act-RU]]+DaybyDay[[#This Row],[Ret-Act-RU]]</f>
        <v>0</v>
      </c>
      <c r="W93" s="36">
        <f>IF(DaybyDay[[#This Row],[_Space]],IFERROR(
((DaybyDay[[#This Row],[Actual-Rollup]]-DaybyDay[[#This Row],[Budget-Rollup]])/DaybyDay[[#This Row],[Budget-Rollup]]),0),"")</f>
        <v>0</v>
      </c>
      <c r="X93" t="b">
        <f>NOT(AND(ISBLANK(DaybyDay[[#This Row],[Appts]]),ISBLANK(DaybyDay[[#This Row],[Service-Actuals]]),ISBLANK(DaybyDay[[#This Row],[Retail-Actuals]])))</f>
        <v>1</v>
      </c>
      <c r="Y93" s="36">
        <f>IF(DaybyDay[[#This Row],[_Space]],IFERROR(
((DaybyDay[[#This Row],[Actual-Rollup]]-DaybyDay[[#This Row],[LY-Rollup]])/DaybyDay[[#This Row],[LY-Rollup]]),0),"")</f>
        <v>0</v>
      </c>
      <c r="Z93"/>
      <c r="AA93" s="37" t="e">
        <f>IF(DaybyDay[[#This Row],[_Space]],DaybyDay[[#This Row],[Ret-Act-RU]]/DaybyDay[[#This Row],[Serv-Act-RU]],"")</f>
        <v>#DIV/0!</v>
      </c>
      <c r="AB93" s="50" t="e">
        <f>IF(DaybyDay[[#This Row],[_Space]],DaybyDay[[#This Row],[RETPEN-Act]]/DaybyDay[[#This Row],[RETPEN-Bud]],"")</f>
        <v>#DIV/0!</v>
      </c>
      <c r="AC93" s="37" t="e">
        <f>IF(DaybyDay[[#This Row],[_Space]],DaybyDay[[#This Row],[Ret-Bud-RU]]/DaybyDay[[#This Row],[Serv-Bud-RU]],"")</f>
        <v>#DIV/0!</v>
      </c>
      <c r="AD93" s="37" t="e">
        <f>IF(DaybyDay[[#This Row],[_Space]],DaybyDay[[#This Row],[Ret-LY-RU]]/DaybyDay[[#This Row],[Serv-LY-RU]],"")</f>
        <v>#DIV/0!</v>
      </c>
      <c r="AE93" s="30">
        <f>WEEKDAY(DaybyDay[[#This Row],[LY-Date]])</f>
        <v>3</v>
      </c>
      <c r="AF93" s="38">
        <f>$E$2+_xlfn.DAYS(DaybyDay[[#This Row],[Date]],minDate)</f>
        <v>42458</v>
      </c>
      <c r="AG93" s="39" t="str" cm="1">
        <f t="array" ref="AG93">IFERROR(INDEX(DaybyDay[],DaybyDay[[#This Row],[FORM_MATCH_HELPER]],8),"")</f>
        <v/>
      </c>
      <c r="AH93" s="39" t="str" cm="1">
        <f t="array" ref="AH93">IFERROR(INDEX(DaybyDay[],DaybyDay[[#This Row],[FORM_MATCH_HELPER]],10),"")</f>
        <v/>
      </c>
      <c r="AI93" s="39" t="str" cm="1">
        <f t="array" ref="AI93">IFERROR(INDEX(DaybyDay[],DaybyDay[[#This Row],[FORM_MATCH_HELPER]],12),"")</f>
        <v/>
      </c>
      <c r="AJ93" s="32">
        <f>IFERROR(DaybyDay[[#This Row],[Serv-LY-RU]]+DaybyDay[[#This Row],[Ret-LY-RU]],"")</f>
        <v>0</v>
      </c>
      <c r="AK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 s="77"/>
      <c r="AM93" s="40" t="str">
        <f>IF(DaybyDay[[#This Row],[Admin Hours]]&gt;0,DaybyDay[[#This Row],[Admin Hours]]*$AM$2+$AM$3,"")</f>
        <v/>
      </c>
      <c r="AN93" s="40">
        <f>SUMIFS(DaybyDay[Est-Admin-Payroll],DaybyDay[Date],"&gt;="&amp;$C$5,DaybyDay[RowYear],"&gt;="&amp;$C$4,DaybyDay[Date],"&lt;="&amp;DaybyDay[[#This Row],[Date]])</f>
        <v>0</v>
      </c>
      <c r="AO93" s="41" t="str">
        <f>IF(AND(DaybyDay[[#This Row],[_Space]],ISNUMBER(DaybyDay[[#This Row],[Admin Hours]])),DaybyDay[[#This Row],[Est-Admin-Payroll]]/(DaybyDay[[#This Row],[Service-Actuals]]+DaybyDay[[#This Row],[Retail-Actuals]]),"")</f>
        <v/>
      </c>
      <c r="AP93" s="41" t="e">
        <f>DaybyDay[[#This Row],[Estimated-Payroll-Rollup]]/DaybyDay[[#This Row],[Simple-Forecast]]</f>
        <v>#DIV/0!</v>
      </c>
      <c r="AQ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 s="77"/>
      <c r="AS93" s="40" t="str">
        <f>IF(DaybyDay[[#This Row],[Retail Hours]]&gt;0,DaybyDay[[#This Row],[Retail Hours]]*$AS$2,"")</f>
        <v/>
      </c>
      <c r="AT93" s="40">
        <f>SUMIFS(DaybyDay[Est-Retail-Payroll],DaybyDay[Date],"&gt;="&amp;$C$5,DaybyDay[RowYear],"&gt;="&amp;$C$4,DaybyDay[Date],"&lt;="&amp;DaybyDay[[#This Row],[Date]])</f>
        <v>0</v>
      </c>
      <c r="AU93" s="82" t="str">
        <f>IF(AND(DaybyDay[[#This Row],[_Space]],ISNUMBER(DaybyDay[[#This Row],[Retail Hours]])),DaybyDay[[#This Row],[Est-Retail-Payroll]]/(DaybyDay[[#This Row],[Retail-Actuals]]),"")</f>
        <v/>
      </c>
      <c r="AV93" s="82" t="e">
        <f>DaybyDay[[#This Row],[Est-Retail-PayrollRU]]/DaybyDay[[#This Row],[Simple-Forecast-Retail]]</f>
        <v>#DIV/0!</v>
      </c>
      <c r="AW93" s="8"/>
    </row>
    <row r="94" spans="3:49" hidden="1" x14ac:dyDescent="0.25">
      <c r="C94" s="26" t="str">
        <f>Tools!$C$1</f>
        <v>Example</v>
      </c>
      <c r="D94" s="27" t="s">
        <v>70</v>
      </c>
      <c r="E94" s="28">
        <v>2017</v>
      </c>
      <c r="F94" s="28">
        <f>MATCH(DaybyDay[[#This Row],[RowMonth]],Table3[SummaryMonth],0)</f>
        <v>3</v>
      </c>
      <c r="G94" s="29" t="e">
        <f>MATCH(DaybyDay[[#This Row],[LY-Date]],DaybyDay[Date],0)</f>
        <v>#N/A</v>
      </c>
      <c r="H94" s="30">
        <f>WEEKDAY(DaybyDay[[#This Row],[Date]])</f>
        <v>4</v>
      </c>
      <c r="I94" s="31">
        <v>42823</v>
      </c>
      <c r="J94" s="74">
        <v>18</v>
      </c>
      <c r="K94" s="32">
        <f>SUMIFS(BudgetSeasonality[365 Seasonality],BudgetSeasonality[MonthAdjustment],DaybyDay[[#This Row],[Date]])*SUMIFS(Budgets[Service-Budget],Budgets[BudgetMonth],DaybyDay[[#This Row],[RowMonth]],Budgets[BudgetYear],DaybyDay[[#This Row],[RowYear]])</f>
        <v>0</v>
      </c>
      <c r="L94" s="75">
        <v>3080.09</v>
      </c>
      <c r="M94" s="32">
        <f>INDEX(BudgetSeasonality[365 Seasonality],MATCH(DaybyDay[[#This Row],[Date]],BudgetSeasonality[MonthAdjustment],0))*SUMIFS(Budgets[Retail-Budget],Budgets[BudgetMonth],DaybyDay[[#This Row],[RowMonth]],Budgets[BudgetYear],DaybyDay[[#This Row],[RowYear]])</f>
        <v>0</v>
      </c>
      <c r="N94" s="75">
        <v>135</v>
      </c>
      <c r="O94" s="33">
        <f>SUMIFS(DaybyDay[Service-Budgets],DaybyDay[Date],"&gt;="&amp;$C$5,DaybyDay[RowYear],"&gt;="&amp;$C$4,DaybyDay[Date],"&lt;="&amp;DaybyDay[[#This Row],[Date]])</f>
        <v>0</v>
      </c>
      <c r="P94" s="33">
        <f>SUMIFS(DaybyDay[Retail-Budgets],DaybyDay[Date],"&gt;="&amp;$C$5,DaybyDay[RowYear],"&gt;="&amp;$C$4,DaybyDay[Date],"&lt;="&amp;DaybyDay[[#This Row],[Date]])</f>
        <v>0</v>
      </c>
      <c r="Q94" s="34">
        <f>SUMIFS(DaybyDay[Service-Actuals],DaybyDay[Date],"&gt;="&amp;$C$5,DaybyDay[RowYear],"&gt;="&amp;$C$4,DaybyDay[Date],"&lt;="&amp;DaybyDay[[#This Row],[Date]])</f>
        <v>0</v>
      </c>
      <c r="R94" s="34">
        <f>SUMIFS(DaybyDay[Retail-Actuals],DaybyDay[Date],"&gt;="&amp;$C$5,DaybyDay[RowYear],"&gt;="&amp;$C$4,DaybyDay[Date],"&lt;="&amp;DaybyDay[[#This Row],[Date]])</f>
        <v>0</v>
      </c>
      <c r="S94" s="35">
        <f>SUMIFS(DaybyDay[Service-LY],DaybyDay[Date],"&gt;="&amp;$C$5,DaybyDay[RowYear],"&gt;="&amp;$C$4,DaybyDay[Date],"&lt;="&amp;DaybyDay[[#This Row],[Date]])</f>
        <v>0</v>
      </c>
      <c r="T94" s="35">
        <f>SUMIFS(DaybyDay[Retail-LY],DaybyDay[Date],"&gt;="&amp;$C$5,DaybyDay[RowYear],"&gt;="&amp;$C$4,DaybyDay[Date],"&lt;="&amp;DaybyDay[[#This Row],[Date]])</f>
        <v>0</v>
      </c>
      <c r="U94" s="32">
        <f>DaybyDay[[#This Row],[Serv-Bud-RU]]+DaybyDay[[#This Row],[Ret-Bud-RU]]</f>
        <v>0</v>
      </c>
      <c r="V94" s="32">
        <f>DaybyDay[[#This Row],[Serv-Act-RU]]+DaybyDay[[#This Row],[Ret-Act-RU]]</f>
        <v>0</v>
      </c>
      <c r="W94" s="36">
        <f>IF(DaybyDay[[#This Row],[_Space]],IFERROR(
((DaybyDay[[#This Row],[Actual-Rollup]]-DaybyDay[[#This Row],[Budget-Rollup]])/DaybyDay[[#This Row],[Budget-Rollup]]),0),"")</f>
        <v>0</v>
      </c>
      <c r="X94" t="b">
        <f>NOT(AND(ISBLANK(DaybyDay[[#This Row],[Appts]]),ISBLANK(DaybyDay[[#This Row],[Service-Actuals]]),ISBLANK(DaybyDay[[#This Row],[Retail-Actuals]])))</f>
        <v>1</v>
      </c>
      <c r="Y94" s="36">
        <f>IF(DaybyDay[[#This Row],[_Space]],IFERROR(
((DaybyDay[[#This Row],[Actual-Rollup]]-DaybyDay[[#This Row],[LY-Rollup]])/DaybyDay[[#This Row],[LY-Rollup]]),0),"")</f>
        <v>0</v>
      </c>
      <c r="Z94"/>
      <c r="AA94" s="37" t="e">
        <f>IF(DaybyDay[[#This Row],[_Space]],DaybyDay[[#This Row],[Ret-Act-RU]]/DaybyDay[[#This Row],[Serv-Act-RU]],"")</f>
        <v>#DIV/0!</v>
      </c>
      <c r="AB94" s="50" t="e">
        <f>IF(DaybyDay[[#This Row],[_Space]],DaybyDay[[#This Row],[RETPEN-Act]]/DaybyDay[[#This Row],[RETPEN-Bud]],"")</f>
        <v>#DIV/0!</v>
      </c>
      <c r="AC94" s="37" t="e">
        <f>IF(DaybyDay[[#This Row],[_Space]],DaybyDay[[#This Row],[Ret-Bud-RU]]/DaybyDay[[#This Row],[Serv-Bud-RU]],"")</f>
        <v>#DIV/0!</v>
      </c>
      <c r="AD94" s="37" t="e">
        <f>IF(DaybyDay[[#This Row],[_Space]],DaybyDay[[#This Row],[Ret-LY-RU]]/DaybyDay[[#This Row],[Serv-LY-RU]],"")</f>
        <v>#DIV/0!</v>
      </c>
      <c r="AE94" s="30">
        <f>WEEKDAY(DaybyDay[[#This Row],[LY-Date]])</f>
        <v>4</v>
      </c>
      <c r="AF94" s="38">
        <f>$E$2+_xlfn.DAYS(DaybyDay[[#This Row],[Date]],minDate)</f>
        <v>42459</v>
      </c>
      <c r="AG94" s="39" t="str" cm="1">
        <f t="array" ref="AG94">IFERROR(INDEX(DaybyDay[],DaybyDay[[#This Row],[FORM_MATCH_HELPER]],8),"")</f>
        <v/>
      </c>
      <c r="AH94" s="39" t="str" cm="1">
        <f t="array" ref="AH94">IFERROR(INDEX(DaybyDay[],DaybyDay[[#This Row],[FORM_MATCH_HELPER]],10),"")</f>
        <v/>
      </c>
      <c r="AI94" s="39" t="str" cm="1">
        <f t="array" ref="AI94">IFERROR(INDEX(DaybyDay[],DaybyDay[[#This Row],[FORM_MATCH_HELPER]],12),"")</f>
        <v/>
      </c>
      <c r="AJ94" s="32">
        <f>IFERROR(DaybyDay[[#This Row],[Serv-LY-RU]]+DaybyDay[[#This Row],[Ret-LY-RU]],"")</f>
        <v>0</v>
      </c>
      <c r="AK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 s="77"/>
      <c r="AM94" s="40" t="str">
        <f>IF(DaybyDay[[#This Row],[Admin Hours]]&gt;0,DaybyDay[[#This Row],[Admin Hours]]*$AM$2+$AM$3,"")</f>
        <v/>
      </c>
      <c r="AN94" s="40">
        <f>SUMIFS(DaybyDay[Est-Admin-Payroll],DaybyDay[Date],"&gt;="&amp;$C$5,DaybyDay[RowYear],"&gt;="&amp;$C$4,DaybyDay[Date],"&lt;="&amp;DaybyDay[[#This Row],[Date]])</f>
        <v>0</v>
      </c>
      <c r="AO94" s="41" t="str">
        <f>IF(AND(DaybyDay[[#This Row],[_Space]],ISNUMBER(DaybyDay[[#This Row],[Admin Hours]])),DaybyDay[[#This Row],[Est-Admin-Payroll]]/(DaybyDay[[#This Row],[Service-Actuals]]+DaybyDay[[#This Row],[Retail-Actuals]]),"")</f>
        <v/>
      </c>
      <c r="AP94" s="41" t="e">
        <f>DaybyDay[[#This Row],[Estimated-Payroll-Rollup]]/DaybyDay[[#This Row],[Simple-Forecast]]</f>
        <v>#DIV/0!</v>
      </c>
      <c r="AQ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 s="77"/>
      <c r="AS94" s="40" t="str">
        <f>IF(DaybyDay[[#This Row],[Retail Hours]]&gt;0,DaybyDay[[#This Row],[Retail Hours]]*$AS$2,"")</f>
        <v/>
      </c>
      <c r="AT94" s="40">
        <f>SUMIFS(DaybyDay[Est-Retail-Payroll],DaybyDay[Date],"&gt;="&amp;$C$5,DaybyDay[RowYear],"&gt;="&amp;$C$4,DaybyDay[Date],"&lt;="&amp;DaybyDay[[#This Row],[Date]])</f>
        <v>0</v>
      </c>
      <c r="AU94" s="82" t="str">
        <f>IF(AND(DaybyDay[[#This Row],[_Space]],ISNUMBER(DaybyDay[[#This Row],[Retail Hours]])),DaybyDay[[#This Row],[Est-Retail-Payroll]]/(DaybyDay[[#This Row],[Retail-Actuals]]),"")</f>
        <v/>
      </c>
      <c r="AV94" s="82" t="e">
        <f>DaybyDay[[#This Row],[Est-Retail-PayrollRU]]/DaybyDay[[#This Row],[Simple-Forecast-Retail]]</f>
        <v>#DIV/0!</v>
      </c>
      <c r="AW94" s="8"/>
    </row>
    <row r="95" spans="3:49" hidden="1" x14ac:dyDescent="0.25">
      <c r="C95" s="26" t="str">
        <f>Tools!$C$1</f>
        <v>Example</v>
      </c>
      <c r="D95" s="27" t="s">
        <v>70</v>
      </c>
      <c r="E95" s="28">
        <v>2017</v>
      </c>
      <c r="F95" s="28">
        <f>MATCH(DaybyDay[[#This Row],[RowMonth]],Table3[SummaryMonth],0)</f>
        <v>3</v>
      </c>
      <c r="G95" s="29" t="e">
        <f>MATCH(DaybyDay[[#This Row],[LY-Date]],DaybyDay[Date],0)</f>
        <v>#N/A</v>
      </c>
      <c r="H95" s="30">
        <f>WEEKDAY(DaybyDay[[#This Row],[Date]])</f>
        <v>5</v>
      </c>
      <c r="I95" s="31">
        <v>42824</v>
      </c>
      <c r="J95" s="74">
        <v>22</v>
      </c>
      <c r="K95" s="32">
        <f>SUMIFS(BudgetSeasonality[365 Seasonality],BudgetSeasonality[MonthAdjustment],DaybyDay[[#This Row],[Date]])*SUMIFS(Budgets[Service-Budget],Budgets[BudgetMonth],DaybyDay[[#This Row],[RowMonth]],Budgets[BudgetYear],DaybyDay[[#This Row],[RowYear]])</f>
        <v>0</v>
      </c>
      <c r="L95" s="75">
        <v>4030.8</v>
      </c>
      <c r="M95" s="32">
        <f>INDEX(BudgetSeasonality[365 Seasonality],MATCH(DaybyDay[[#This Row],[Date]],BudgetSeasonality[MonthAdjustment],0))*SUMIFS(Budgets[Retail-Budget],Budgets[BudgetMonth],DaybyDay[[#This Row],[RowMonth]],Budgets[BudgetYear],DaybyDay[[#This Row],[RowYear]])</f>
        <v>0</v>
      </c>
      <c r="N95" s="75">
        <v>356.5</v>
      </c>
      <c r="O95" s="33">
        <f>SUMIFS(DaybyDay[Service-Budgets],DaybyDay[Date],"&gt;="&amp;$C$5,DaybyDay[RowYear],"&gt;="&amp;$C$4,DaybyDay[Date],"&lt;="&amp;DaybyDay[[#This Row],[Date]])</f>
        <v>0</v>
      </c>
      <c r="P95" s="33">
        <f>SUMIFS(DaybyDay[Retail-Budgets],DaybyDay[Date],"&gt;="&amp;$C$5,DaybyDay[RowYear],"&gt;="&amp;$C$4,DaybyDay[Date],"&lt;="&amp;DaybyDay[[#This Row],[Date]])</f>
        <v>0</v>
      </c>
      <c r="Q95" s="34">
        <f>SUMIFS(DaybyDay[Service-Actuals],DaybyDay[Date],"&gt;="&amp;$C$5,DaybyDay[RowYear],"&gt;="&amp;$C$4,DaybyDay[Date],"&lt;="&amp;DaybyDay[[#This Row],[Date]])</f>
        <v>0</v>
      </c>
      <c r="R95" s="34">
        <f>SUMIFS(DaybyDay[Retail-Actuals],DaybyDay[Date],"&gt;="&amp;$C$5,DaybyDay[RowYear],"&gt;="&amp;$C$4,DaybyDay[Date],"&lt;="&amp;DaybyDay[[#This Row],[Date]])</f>
        <v>0</v>
      </c>
      <c r="S95" s="35">
        <f>SUMIFS(DaybyDay[Service-LY],DaybyDay[Date],"&gt;="&amp;$C$5,DaybyDay[RowYear],"&gt;="&amp;$C$4,DaybyDay[Date],"&lt;="&amp;DaybyDay[[#This Row],[Date]])</f>
        <v>0</v>
      </c>
      <c r="T95" s="35">
        <f>SUMIFS(DaybyDay[Retail-LY],DaybyDay[Date],"&gt;="&amp;$C$5,DaybyDay[RowYear],"&gt;="&amp;$C$4,DaybyDay[Date],"&lt;="&amp;DaybyDay[[#This Row],[Date]])</f>
        <v>0</v>
      </c>
      <c r="U95" s="32">
        <f>DaybyDay[[#This Row],[Serv-Bud-RU]]+DaybyDay[[#This Row],[Ret-Bud-RU]]</f>
        <v>0</v>
      </c>
      <c r="V95" s="32">
        <f>DaybyDay[[#This Row],[Serv-Act-RU]]+DaybyDay[[#This Row],[Ret-Act-RU]]</f>
        <v>0</v>
      </c>
      <c r="W95" s="36">
        <f>IF(DaybyDay[[#This Row],[_Space]],IFERROR(
((DaybyDay[[#This Row],[Actual-Rollup]]-DaybyDay[[#This Row],[Budget-Rollup]])/DaybyDay[[#This Row],[Budget-Rollup]]),0),"")</f>
        <v>0</v>
      </c>
      <c r="X95" t="b">
        <f>NOT(AND(ISBLANK(DaybyDay[[#This Row],[Appts]]),ISBLANK(DaybyDay[[#This Row],[Service-Actuals]]),ISBLANK(DaybyDay[[#This Row],[Retail-Actuals]])))</f>
        <v>1</v>
      </c>
      <c r="Y95" s="36">
        <f>IF(DaybyDay[[#This Row],[_Space]],IFERROR(
((DaybyDay[[#This Row],[Actual-Rollup]]-DaybyDay[[#This Row],[LY-Rollup]])/DaybyDay[[#This Row],[LY-Rollup]]),0),"")</f>
        <v>0</v>
      </c>
      <c r="Z95"/>
      <c r="AA95" s="37" t="e">
        <f>IF(DaybyDay[[#This Row],[_Space]],DaybyDay[[#This Row],[Ret-Act-RU]]/DaybyDay[[#This Row],[Serv-Act-RU]],"")</f>
        <v>#DIV/0!</v>
      </c>
      <c r="AB95" s="50" t="e">
        <f>IF(DaybyDay[[#This Row],[_Space]],DaybyDay[[#This Row],[RETPEN-Act]]/DaybyDay[[#This Row],[RETPEN-Bud]],"")</f>
        <v>#DIV/0!</v>
      </c>
      <c r="AC95" s="37" t="e">
        <f>IF(DaybyDay[[#This Row],[_Space]],DaybyDay[[#This Row],[Ret-Bud-RU]]/DaybyDay[[#This Row],[Serv-Bud-RU]],"")</f>
        <v>#DIV/0!</v>
      </c>
      <c r="AD95" s="37" t="e">
        <f>IF(DaybyDay[[#This Row],[_Space]],DaybyDay[[#This Row],[Ret-LY-RU]]/DaybyDay[[#This Row],[Serv-LY-RU]],"")</f>
        <v>#DIV/0!</v>
      </c>
      <c r="AE95" s="30">
        <f>WEEKDAY(DaybyDay[[#This Row],[LY-Date]])</f>
        <v>5</v>
      </c>
      <c r="AF95" s="38">
        <f>$E$2+_xlfn.DAYS(DaybyDay[[#This Row],[Date]],minDate)</f>
        <v>42460</v>
      </c>
      <c r="AG95" s="39" t="str" cm="1">
        <f t="array" ref="AG95">IFERROR(INDEX(DaybyDay[],DaybyDay[[#This Row],[FORM_MATCH_HELPER]],8),"")</f>
        <v/>
      </c>
      <c r="AH95" s="39" t="str" cm="1">
        <f t="array" ref="AH95">IFERROR(INDEX(DaybyDay[],DaybyDay[[#This Row],[FORM_MATCH_HELPER]],10),"")</f>
        <v/>
      </c>
      <c r="AI95" s="39" t="str" cm="1">
        <f t="array" ref="AI95">IFERROR(INDEX(DaybyDay[],DaybyDay[[#This Row],[FORM_MATCH_HELPER]],12),"")</f>
        <v/>
      </c>
      <c r="AJ95" s="32">
        <f>IFERROR(DaybyDay[[#This Row],[Serv-LY-RU]]+DaybyDay[[#This Row],[Ret-LY-RU]],"")</f>
        <v>0</v>
      </c>
      <c r="AK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 s="77"/>
      <c r="AM95" s="40" t="str">
        <f>IF(DaybyDay[[#This Row],[Admin Hours]]&gt;0,DaybyDay[[#This Row],[Admin Hours]]*$AM$2+$AM$3,"")</f>
        <v/>
      </c>
      <c r="AN95" s="40">
        <f>SUMIFS(DaybyDay[Est-Admin-Payroll],DaybyDay[Date],"&gt;="&amp;$C$5,DaybyDay[RowYear],"&gt;="&amp;$C$4,DaybyDay[Date],"&lt;="&amp;DaybyDay[[#This Row],[Date]])</f>
        <v>0</v>
      </c>
      <c r="AO95" s="41" t="str">
        <f>IF(AND(DaybyDay[[#This Row],[_Space]],ISNUMBER(DaybyDay[[#This Row],[Admin Hours]])),DaybyDay[[#This Row],[Est-Admin-Payroll]]/(DaybyDay[[#This Row],[Service-Actuals]]+DaybyDay[[#This Row],[Retail-Actuals]]),"")</f>
        <v/>
      </c>
      <c r="AP95" s="41" t="e">
        <f>DaybyDay[[#This Row],[Estimated-Payroll-Rollup]]/DaybyDay[[#This Row],[Simple-Forecast]]</f>
        <v>#DIV/0!</v>
      </c>
      <c r="AQ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 s="77"/>
      <c r="AS95" s="40" t="str">
        <f>IF(DaybyDay[[#This Row],[Retail Hours]]&gt;0,DaybyDay[[#This Row],[Retail Hours]]*$AS$2,"")</f>
        <v/>
      </c>
      <c r="AT95" s="40">
        <f>SUMIFS(DaybyDay[Est-Retail-Payroll],DaybyDay[Date],"&gt;="&amp;$C$5,DaybyDay[RowYear],"&gt;="&amp;$C$4,DaybyDay[Date],"&lt;="&amp;DaybyDay[[#This Row],[Date]])</f>
        <v>0</v>
      </c>
      <c r="AU95" s="82" t="str">
        <f>IF(AND(DaybyDay[[#This Row],[_Space]],ISNUMBER(DaybyDay[[#This Row],[Retail Hours]])),DaybyDay[[#This Row],[Est-Retail-Payroll]]/(DaybyDay[[#This Row],[Retail-Actuals]]),"")</f>
        <v/>
      </c>
      <c r="AV95" s="82" t="e">
        <f>DaybyDay[[#This Row],[Est-Retail-PayrollRU]]/DaybyDay[[#This Row],[Simple-Forecast-Retail]]</f>
        <v>#DIV/0!</v>
      </c>
      <c r="AW95" s="8"/>
    </row>
    <row r="96" spans="3:49" hidden="1" x14ac:dyDescent="0.25">
      <c r="C96" s="26" t="str">
        <f>Tools!$C$1</f>
        <v>Example</v>
      </c>
      <c r="D96" s="27" t="s">
        <v>70</v>
      </c>
      <c r="E96" s="28">
        <v>2017</v>
      </c>
      <c r="F96" s="28">
        <f>MATCH(DaybyDay[[#This Row],[RowMonth]],Table3[SummaryMonth],0)</f>
        <v>3</v>
      </c>
      <c r="G96" s="29" t="e">
        <f>MATCH(DaybyDay[[#This Row],[LY-Date]],DaybyDay[Date],0)</f>
        <v>#N/A</v>
      </c>
      <c r="H96" s="30">
        <f>WEEKDAY(DaybyDay[[#This Row],[Date]])</f>
        <v>6</v>
      </c>
      <c r="I96" s="31">
        <v>42825</v>
      </c>
      <c r="J96" s="74">
        <v>30</v>
      </c>
      <c r="K96" s="32">
        <f>SUMIFS(BudgetSeasonality[365 Seasonality],BudgetSeasonality[MonthAdjustment],DaybyDay[[#This Row],[Date]])*SUMIFS(Budgets[Service-Budget],Budgets[BudgetMonth],DaybyDay[[#This Row],[RowMonth]],Budgets[BudgetYear],DaybyDay[[#This Row],[RowYear]])</f>
        <v>0</v>
      </c>
      <c r="L96" s="75">
        <v>5833.17</v>
      </c>
      <c r="M96" s="32">
        <f>INDEX(BudgetSeasonality[365 Seasonality],MATCH(DaybyDay[[#This Row],[Date]],BudgetSeasonality[MonthAdjustment],0))*SUMIFS(Budgets[Retail-Budget],Budgets[BudgetMonth],DaybyDay[[#This Row],[RowMonth]],Budgets[BudgetYear],DaybyDay[[#This Row],[RowYear]])</f>
        <v>0</v>
      </c>
      <c r="N96" s="75">
        <v>1476.6</v>
      </c>
      <c r="O96" s="33">
        <f>SUMIFS(DaybyDay[Service-Budgets],DaybyDay[Date],"&gt;="&amp;$C$5,DaybyDay[RowYear],"&gt;="&amp;$C$4,DaybyDay[Date],"&lt;="&amp;DaybyDay[[#This Row],[Date]])</f>
        <v>0</v>
      </c>
      <c r="P96" s="33">
        <f>SUMIFS(DaybyDay[Retail-Budgets],DaybyDay[Date],"&gt;="&amp;$C$5,DaybyDay[RowYear],"&gt;="&amp;$C$4,DaybyDay[Date],"&lt;="&amp;DaybyDay[[#This Row],[Date]])</f>
        <v>0</v>
      </c>
      <c r="Q96" s="34">
        <f>SUMIFS(DaybyDay[Service-Actuals],DaybyDay[Date],"&gt;="&amp;$C$5,DaybyDay[RowYear],"&gt;="&amp;$C$4,DaybyDay[Date],"&lt;="&amp;DaybyDay[[#This Row],[Date]])</f>
        <v>0</v>
      </c>
      <c r="R96" s="34">
        <f>SUMIFS(DaybyDay[Retail-Actuals],DaybyDay[Date],"&gt;="&amp;$C$5,DaybyDay[RowYear],"&gt;="&amp;$C$4,DaybyDay[Date],"&lt;="&amp;DaybyDay[[#This Row],[Date]])</f>
        <v>0</v>
      </c>
      <c r="S96" s="35">
        <f>SUMIFS(DaybyDay[Service-LY],DaybyDay[Date],"&gt;="&amp;$C$5,DaybyDay[RowYear],"&gt;="&amp;$C$4,DaybyDay[Date],"&lt;="&amp;DaybyDay[[#This Row],[Date]])</f>
        <v>0</v>
      </c>
      <c r="T96" s="35">
        <f>SUMIFS(DaybyDay[Retail-LY],DaybyDay[Date],"&gt;="&amp;$C$5,DaybyDay[RowYear],"&gt;="&amp;$C$4,DaybyDay[Date],"&lt;="&amp;DaybyDay[[#This Row],[Date]])</f>
        <v>0</v>
      </c>
      <c r="U96" s="32">
        <f>DaybyDay[[#This Row],[Serv-Bud-RU]]+DaybyDay[[#This Row],[Ret-Bud-RU]]</f>
        <v>0</v>
      </c>
      <c r="V96" s="32">
        <f>DaybyDay[[#This Row],[Serv-Act-RU]]+DaybyDay[[#This Row],[Ret-Act-RU]]</f>
        <v>0</v>
      </c>
      <c r="W96" s="36">
        <f>IF(DaybyDay[[#This Row],[_Space]],IFERROR(
((DaybyDay[[#This Row],[Actual-Rollup]]-DaybyDay[[#This Row],[Budget-Rollup]])/DaybyDay[[#This Row],[Budget-Rollup]]),0),"")</f>
        <v>0</v>
      </c>
      <c r="X96" t="b">
        <f>NOT(AND(ISBLANK(DaybyDay[[#This Row],[Appts]]),ISBLANK(DaybyDay[[#This Row],[Service-Actuals]]),ISBLANK(DaybyDay[[#This Row],[Retail-Actuals]])))</f>
        <v>1</v>
      </c>
      <c r="Y96" s="36">
        <f>IF(DaybyDay[[#This Row],[_Space]],IFERROR(
((DaybyDay[[#This Row],[Actual-Rollup]]-DaybyDay[[#This Row],[LY-Rollup]])/DaybyDay[[#This Row],[LY-Rollup]]),0),"")</f>
        <v>0</v>
      </c>
      <c r="Z96"/>
      <c r="AA96" s="37" t="e">
        <f>IF(DaybyDay[[#This Row],[_Space]],DaybyDay[[#This Row],[Ret-Act-RU]]/DaybyDay[[#This Row],[Serv-Act-RU]],"")</f>
        <v>#DIV/0!</v>
      </c>
      <c r="AB96" s="50" t="e">
        <f>IF(DaybyDay[[#This Row],[_Space]],DaybyDay[[#This Row],[RETPEN-Act]]/DaybyDay[[#This Row],[RETPEN-Bud]],"")</f>
        <v>#DIV/0!</v>
      </c>
      <c r="AC96" s="37" t="e">
        <f>IF(DaybyDay[[#This Row],[_Space]],DaybyDay[[#This Row],[Ret-Bud-RU]]/DaybyDay[[#This Row],[Serv-Bud-RU]],"")</f>
        <v>#DIV/0!</v>
      </c>
      <c r="AD96" s="37" t="e">
        <f>IF(DaybyDay[[#This Row],[_Space]],DaybyDay[[#This Row],[Ret-LY-RU]]/DaybyDay[[#This Row],[Serv-LY-RU]],"")</f>
        <v>#DIV/0!</v>
      </c>
      <c r="AE96" s="30">
        <f>WEEKDAY(DaybyDay[[#This Row],[LY-Date]])</f>
        <v>6</v>
      </c>
      <c r="AF96" s="38">
        <f>$E$2+_xlfn.DAYS(DaybyDay[[#This Row],[Date]],minDate)</f>
        <v>42461</v>
      </c>
      <c r="AG96" s="39" t="str" cm="1">
        <f t="array" ref="AG96">IFERROR(INDEX(DaybyDay[],DaybyDay[[#This Row],[FORM_MATCH_HELPER]],8),"")</f>
        <v/>
      </c>
      <c r="AH96" s="39" t="str" cm="1">
        <f t="array" ref="AH96">IFERROR(INDEX(DaybyDay[],DaybyDay[[#This Row],[FORM_MATCH_HELPER]],10),"")</f>
        <v/>
      </c>
      <c r="AI96" s="39" t="str" cm="1">
        <f t="array" ref="AI96">IFERROR(INDEX(DaybyDay[],DaybyDay[[#This Row],[FORM_MATCH_HELPER]],12),"")</f>
        <v/>
      </c>
      <c r="AJ96" s="32">
        <f>IFERROR(DaybyDay[[#This Row],[Serv-LY-RU]]+DaybyDay[[#This Row],[Ret-LY-RU]],"")</f>
        <v>0</v>
      </c>
      <c r="AK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 s="77"/>
      <c r="AM96" s="40" t="str">
        <f>IF(DaybyDay[[#This Row],[Admin Hours]]&gt;0,DaybyDay[[#This Row],[Admin Hours]]*$AM$2+$AM$3,"")</f>
        <v/>
      </c>
      <c r="AN96" s="40">
        <f>SUMIFS(DaybyDay[Est-Admin-Payroll],DaybyDay[Date],"&gt;="&amp;$C$5,DaybyDay[RowYear],"&gt;="&amp;$C$4,DaybyDay[Date],"&lt;="&amp;DaybyDay[[#This Row],[Date]])</f>
        <v>0</v>
      </c>
      <c r="AO96" s="41" t="str">
        <f>IF(AND(DaybyDay[[#This Row],[_Space]],ISNUMBER(DaybyDay[[#This Row],[Admin Hours]])),DaybyDay[[#This Row],[Est-Admin-Payroll]]/(DaybyDay[[#This Row],[Service-Actuals]]+DaybyDay[[#This Row],[Retail-Actuals]]),"")</f>
        <v/>
      </c>
      <c r="AP96" s="41" t="e">
        <f>DaybyDay[[#This Row],[Estimated-Payroll-Rollup]]/DaybyDay[[#This Row],[Simple-Forecast]]</f>
        <v>#DIV/0!</v>
      </c>
      <c r="AQ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 s="77"/>
      <c r="AS96" s="40" t="str">
        <f>IF(DaybyDay[[#This Row],[Retail Hours]]&gt;0,DaybyDay[[#This Row],[Retail Hours]]*$AS$2,"")</f>
        <v/>
      </c>
      <c r="AT96" s="40">
        <f>SUMIFS(DaybyDay[Est-Retail-Payroll],DaybyDay[Date],"&gt;="&amp;$C$5,DaybyDay[RowYear],"&gt;="&amp;$C$4,DaybyDay[Date],"&lt;="&amp;DaybyDay[[#This Row],[Date]])</f>
        <v>0</v>
      </c>
      <c r="AU96" s="82" t="str">
        <f>IF(AND(DaybyDay[[#This Row],[_Space]],ISNUMBER(DaybyDay[[#This Row],[Retail Hours]])),DaybyDay[[#This Row],[Est-Retail-Payroll]]/(DaybyDay[[#This Row],[Retail-Actuals]]),"")</f>
        <v/>
      </c>
      <c r="AV96" s="82" t="e">
        <f>DaybyDay[[#This Row],[Est-Retail-PayrollRU]]/DaybyDay[[#This Row],[Simple-Forecast-Retail]]</f>
        <v>#DIV/0!</v>
      </c>
      <c r="AW96" s="8"/>
    </row>
    <row r="97" spans="3:49" hidden="1" x14ac:dyDescent="0.25">
      <c r="C97" s="26" t="str">
        <f>Tools!$C$1</f>
        <v>Example</v>
      </c>
      <c r="D97" s="27" t="s">
        <v>70</v>
      </c>
      <c r="E97" s="28">
        <v>2017</v>
      </c>
      <c r="F97" s="28">
        <f>MATCH(DaybyDay[[#This Row],[RowMonth]],Table3[SummaryMonth],0)</f>
        <v>3</v>
      </c>
      <c r="G97" s="29" t="e">
        <f>MATCH(DaybyDay[[#This Row],[LY-Date]],DaybyDay[Date],0)</f>
        <v>#N/A</v>
      </c>
      <c r="H97" s="30">
        <f>WEEKDAY(DaybyDay[[#This Row],[Date]])</f>
        <v>7</v>
      </c>
      <c r="I97" s="31">
        <v>42826</v>
      </c>
      <c r="J97" s="74">
        <v>42</v>
      </c>
      <c r="K97" s="32">
        <f>SUMIFS(BudgetSeasonality[365 Seasonality],BudgetSeasonality[MonthAdjustment],DaybyDay[[#This Row],[Date]])*SUMIFS(Budgets[Service-Budget],Budgets[BudgetMonth],DaybyDay[[#This Row],[RowMonth]],Budgets[BudgetYear],DaybyDay[[#This Row],[RowYear]])</f>
        <v>0</v>
      </c>
      <c r="L97" s="75">
        <v>7774.5</v>
      </c>
      <c r="M97" s="32">
        <f>INDEX(BudgetSeasonality[365 Seasonality],MATCH(DaybyDay[[#This Row],[Date]],BudgetSeasonality[MonthAdjustment],0))*SUMIFS(Budgets[Retail-Budget],Budgets[BudgetMonth],DaybyDay[[#This Row],[RowMonth]],Budgets[BudgetYear],DaybyDay[[#This Row],[RowYear]])</f>
        <v>0</v>
      </c>
      <c r="N97" s="75">
        <v>163.5</v>
      </c>
      <c r="O97" s="33">
        <f>SUMIFS(DaybyDay[Service-Budgets],DaybyDay[Date],"&gt;="&amp;$C$5,DaybyDay[RowYear],"&gt;="&amp;$C$4,DaybyDay[Date],"&lt;="&amp;DaybyDay[[#This Row],[Date]])</f>
        <v>0</v>
      </c>
      <c r="P97" s="33">
        <f>SUMIFS(DaybyDay[Retail-Budgets],DaybyDay[Date],"&gt;="&amp;$C$5,DaybyDay[RowYear],"&gt;="&amp;$C$4,DaybyDay[Date],"&lt;="&amp;DaybyDay[[#This Row],[Date]])</f>
        <v>0</v>
      </c>
      <c r="Q97" s="34">
        <f>SUMIFS(DaybyDay[Service-Actuals],DaybyDay[Date],"&gt;="&amp;$C$5,DaybyDay[RowYear],"&gt;="&amp;$C$4,DaybyDay[Date],"&lt;="&amp;DaybyDay[[#This Row],[Date]])</f>
        <v>0</v>
      </c>
      <c r="R97" s="34">
        <f>SUMIFS(DaybyDay[Retail-Actuals],DaybyDay[Date],"&gt;="&amp;$C$5,DaybyDay[RowYear],"&gt;="&amp;$C$4,DaybyDay[Date],"&lt;="&amp;DaybyDay[[#This Row],[Date]])</f>
        <v>0</v>
      </c>
      <c r="S97" s="35">
        <f>SUMIFS(DaybyDay[Service-LY],DaybyDay[Date],"&gt;="&amp;$C$5,DaybyDay[RowYear],"&gt;="&amp;$C$4,DaybyDay[Date],"&lt;="&amp;DaybyDay[[#This Row],[Date]])</f>
        <v>0</v>
      </c>
      <c r="T97" s="35">
        <f>SUMIFS(DaybyDay[Retail-LY],DaybyDay[Date],"&gt;="&amp;$C$5,DaybyDay[RowYear],"&gt;="&amp;$C$4,DaybyDay[Date],"&lt;="&amp;DaybyDay[[#This Row],[Date]])</f>
        <v>0</v>
      </c>
      <c r="U97" s="32">
        <f>DaybyDay[[#This Row],[Serv-Bud-RU]]+DaybyDay[[#This Row],[Ret-Bud-RU]]</f>
        <v>0</v>
      </c>
      <c r="V97" s="32">
        <f>DaybyDay[[#This Row],[Serv-Act-RU]]+DaybyDay[[#This Row],[Ret-Act-RU]]</f>
        <v>0</v>
      </c>
      <c r="W97" s="36">
        <f>IF(DaybyDay[[#This Row],[_Space]],IFERROR(
((DaybyDay[[#This Row],[Actual-Rollup]]-DaybyDay[[#This Row],[Budget-Rollup]])/DaybyDay[[#This Row],[Budget-Rollup]]),0),"")</f>
        <v>0</v>
      </c>
      <c r="X97" t="b">
        <f>NOT(AND(ISBLANK(DaybyDay[[#This Row],[Appts]]),ISBLANK(DaybyDay[[#This Row],[Service-Actuals]]),ISBLANK(DaybyDay[[#This Row],[Retail-Actuals]])))</f>
        <v>1</v>
      </c>
      <c r="Y97" s="36">
        <f>IF(DaybyDay[[#This Row],[_Space]],IFERROR(
((DaybyDay[[#This Row],[Actual-Rollup]]-DaybyDay[[#This Row],[LY-Rollup]])/DaybyDay[[#This Row],[LY-Rollup]]),0),"")</f>
        <v>0</v>
      </c>
      <c r="Z97"/>
      <c r="AA97" s="37" t="e">
        <f>IF(DaybyDay[[#This Row],[_Space]],DaybyDay[[#This Row],[Ret-Act-RU]]/DaybyDay[[#This Row],[Serv-Act-RU]],"")</f>
        <v>#DIV/0!</v>
      </c>
      <c r="AB97" s="50" t="e">
        <f>IF(DaybyDay[[#This Row],[_Space]],DaybyDay[[#This Row],[RETPEN-Act]]/DaybyDay[[#This Row],[RETPEN-Bud]],"")</f>
        <v>#DIV/0!</v>
      </c>
      <c r="AC97" s="37" t="e">
        <f>IF(DaybyDay[[#This Row],[_Space]],DaybyDay[[#This Row],[Ret-Bud-RU]]/DaybyDay[[#This Row],[Serv-Bud-RU]],"")</f>
        <v>#DIV/0!</v>
      </c>
      <c r="AD97" s="37" t="e">
        <f>IF(DaybyDay[[#This Row],[_Space]],DaybyDay[[#This Row],[Ret-LY-RU]]/DaybyDay[[#This Row],[Serv-LY-RU]],"")</f>
        <v>#DIV/0!</v>
      </c>
      <c r="AE97" s="30">
        <f>WEEKDAY(DaybyDay[[#This Row],[LY-Date]])</f>
        <v>7</v>
      </c>
      <c r="AF97" s="38">
        <f>$E$2+_xlfn.DAYS(DaybyDay[[#This Row],[Date]],minDate)</f>
        <v>42462</v>
      </c>
      <c r="AG97" s="39" t="str" cm="1">
        <f t="array" ref="AG97">IFERROR(INDEX(DaybyDay[],DaybyDay[[#This Row],[FORM_MATCH_HELPER]],8),"")</f>
        <v/>
      </c>
      <c r="AH97" s="39" t="str" cm="1">
        <f t="array" ref="AH97">IFERROR(INDEX(DaybyDay[],DaybyDay[[#This Row],[FORM_MATCH_HELPER]],10),"")</f>
        <v/>
      </c>
      <c r="AI97" s="39" t="str" cm="1">
        <f t="array" ref="AI97">IFERROR(INDEX(DaybyDay[],DaybyDay[[#This Row],[FORM_MATCH_HELPER]],12),"")</f>
        <v/>
      </c>
      <c r="AJ97" s="32">
        <f>IFERROR(DaybyDay[[#This Row],[Serv-LY-RU]]+DaybyDay[[#This Row],[Ret-LY-RU]],"")</f>
        <v>0</v>
      </c>
      <c r="AK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 s="77"/>
      <c r="AM97" s="40" t="str">
        <f>IF(DaybyDay[[#This Row],[Admin Hours]]&gt;0,DaybyDay[[#This Row],[Admin Hours]]*$AM$2+$AM$3,"")</f>
        <v/>
      </c>
      <c r="AN97" s="40">
        <f>SUMIFS(DaybyDay[Est-Admin-Payroll],DaybyDay[Date],"&gt;="&amp;$C$5,DaybyDay[RowYear],"&gt;="&amp;$C$4,DaybyDay[Date],"&lt;="&amp;DaybyDay[[#This Row],[Date]])</f>
        <v>0</v>
      </c>
      <c r="AO97" s="41" t="str">
        <f>IF(AND(DaybyDay[[#This Row],[_Space]],ISNUMBER(DaybyDay[[#This Row],[Admin Hours]])),DaybyDay[[#This Row],[Est-Admin-Payroll]]/(DaybyDay[[#This Row],[Service-Actuals]]+DaybyDay[[#This Row],[Retail-Actuals]]),"")</f>
        <v/>
      </c>
      <c r="AP97" s="41" t="e">
        <f>DaybyDay[[#This Row],[Estimated-Payroll-Rollup]]/DaybyDay[[#This Row],[Simple-Forecast]]</f>
        <v>#DIV/0!</v>
      </c>
      <c r="AQ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 s="77"/>
      <c r="AS97" s="40" t="str">
        <f>IF(DaybyDay[[#This Row],[Retail Hours]]&gt;0,DaybyDay[[#This Row],[Retail Hours]]*$AS$2,"")</f>
        <v/>
      </c>
      <c r="AT97" s="40">
        <f>SUMIFS(DaybyDay[Est-Retail-Payroll],DaybyDay[Date],"&gt;="&amp;$C$5,DaybyDay[RowYear],"&gt;="&amp;$C$4,DaybyDay[Date],"&lt;="&amp;DaybyDay[[#This Row],[Date]])</f>
        <v>0</v>
      </c>
      <c r="AU97" s="82" t="str">
        <f>IF(AND(DaybyDay[[#This Row],[_Space]],ISNUMBER(DaybyDay[[#This Row],[Retail Hours]])),DaybyDay[[#This Row],[Est-Retail-Payroll]]/(DaybyDay[[#This Row],[Retail-Actuals]]),"")</f>
        <v/>
      </c>
      <c r="AV97" s="82" t="e">
        <f>DaybyDay[[#This Row],[Est-Retail-PayrollRU]]/DaybyDay[[#This Row],[Simple-Forecast-Retail]]</f>
        <v>#DIV/0!</v>
      </c>
      <c r="AW97" s="8"/>
    </row>
    <row r="98" spans="3:49" hidden="1" x14ac:dyDescent="0.25">
      <c r="C98" s="26" t="str">
        <f>Tools!$C$1</f>
        <v>Example</v>
      </c>
      <c r="D98" s="27" t="s">
        <v>71</v>
      </c>
      <c r="E98" s="28">
        <v>2017</v>
      </c>
      <c r="F98" s="28">
        <f>MATCH(DaybyDay[[#This Row],[RowMonth]],Table3[SummaryMonth],0)</f>
        <v>4</v>
      </c>
      <c r="G98" s="29" t="e">
        <f>MATCH(DaybyDay[[#This Row],[LY-Date]],DaybyDay[Date],0)</f>
        <v>#N/A</v>
      </c>
      <c r="H98" s="30">
        <f>WEEKDAY(DaybyDay[[#This Row],[Date]])</f>
        <v>1</v>
      </c>
      <c r="I98" s="31">
        <v>42827</v>
      </c>
      <c r="J98" s="74">
        <v>35</v>
      </c>
      <c r="K98" s="32">
        <f>SUMIFS(BudgetSeasonality[365 Seasonality],BudgetSeasonality[MonthAdjustment],DaybyDay[[#This Row],[Date]])*SUMIFS(Budgets[Service-Budget],Budgets[BudgetMonth],DaybyDay[[#This Row],[RowMonth]],Budgets[BudgetYear],DaybyDay[[#This Row],[RowYear]])</f>
        <v>0</v>
      </c>
      <c r="L98" s="75">
        <v>6481.8</v>
      </c>
      <c r="M98" s="32">
        <f>INDEX(BudgetSeasonality[365 Seasonality],MATCH(DaybyDay[[#This Row],[Date]],BudgetSeasonality[MonthAdjustment],0))*SUMIFS(Budgets[Retail-Budget],Budgets[BudgetMonth],DaybyDay[[#This Row],[RowMonth]],Budgets[BudgetYear],DaybyDay[[#This Row],[RowYear]])</f>
        <v>0</v>
      </c>
      <c r="N98" s="75">
        <v>3061</v>
      </c>
      <c r="O98" s="33">
        <f>SUMIFS(DaybyDay[Service-Budgets],DaybyDay[Date],"&gt;="&amp;$C$5,DaybyDay[RowYear],"&gt;="&amp;$C$4,DaybyDay[Date],"&lt;="&amp;DaybyDay[[#This Row],[Date]])</f>
        <v>0</v>
      </c>
      <c r="P98" s="33">
        <f>SUMIFS(DaybyDay[Retail-Budgets],DaybyDay[Date],"&gt;="&amp;$C$5,DaybyDay[RowYear],"&gt;="&amp;$C$4,DaybyDay[Date],"&lt;="&amp;DaybyDay[[#This Row],[Date]])</f>
        <v>0</v>
      </c>
      <c r="Q98" s="34">
        <f>SUMIFS(DaybyDay[Service-Actuals],DaybyDay[Date],"&gt;="&amp;$C$5,DaybyDay[RowYear],"&gt;="&amp;$C$4,DaybyDay[Date],"&lt;="&amp;DaybyDay[[#This Row],[Date]])</f>
        <v>0</v>
      </c>
      <c r="R98" s="34">
        <f>SUMIFS(DaybyDay[Retail-Actuals],DaybyDay[Date],"&gt;="&amp;$C$5,DaybyDay[RowYear],"&gt;="&amp;$C$4,DaybyDay[Date],"&lt;="&amp;DaybyDay[[#This Row],[Date]])</f>
        <v>0</v>
      </c>
      <c r="S98" s="35">
        <f>SUMIFS(DaybyDay[Service-LY],DaybyDay[Date],"&gt;="&amp;$C$5,DaybyDay[RowYear],"&gt;="&amp;$C$4,DaybyDay[Date],"&lt;="&amp;DaybyDay[[#This Row],[Date]])</f>
        <v>0</v>
      </c>
      <c r="T98" s="35">
        <f>SUMIFS(DaybyDay[Retail-LY],DaybyDay[Date],"&gt;="&amp;$C$5,DaybyDay[RowYear],"&gt;="&amp;$C$4,DaybyDay[Date],"&lt;="&amp;DaybyDay[[#This Row],[Date]])</f>
        <v>0</v>
      </c>
      <c r="U98" s="32">
        <f>DaybyDay[[#This Row],[Serv-Bud-RU]]+DaybyDay[[#This Row],[Ret-Bud-RU]]</f>
        <v>0</v>
      </c>
      <c r="V98" s="32">
        <f>DaybyDay[[#This Row],[Serv-Act-RU]]+DaybyDay[[#This Row],[Ret-Act-RU]]</f>
        <v>0</v>
      </c>
      <c r="W98" s="36">
        <f>IF(DaybyDay[[#This Row],[_Space]],IFERROR(
((DaybyDay[[#This Row],[Actual-Rollup]]-DaybyDay[[#This Row],[Budget-Rollup]])/DaybyDay[[#This Row],[Budget-Rollup]]),0),"")</f>
        <v>0</v>
      </c>
      <c r="X98" t="b">
        <f>NOT(AND(ISBLANK(DaybyDay[[#This Row],[Appts]]),ISBLANK(DaybyDay[[#This Row],[Service-Actuals]]),ISBLANK(DaybyDay[[#This Row],[Retail-Actuals]])))</f>
        <v>1</v>
      </c>
      <c r="Y98" s="36">
        <f>IF(DaybyDay[[#This Row],[_Space]],IFERROR(
((DaybyDay[[#This Row],[Actual-Rollup]]-DaybyDay[[#This Row],[LY-Rollup]])/DaybyDay[[#This Row],[LY-Rollup]]),0),"")</f>
        <v>0</v>
      </c>
      <c r="Z98"/>
      <c r="AA98" s="37" t="e">
        <f>IF(DaybyDay[[#This Row],[_Space]],DaybyDay[[#This Row],[Ret-Act-RU]]/DaybyDay[[#This Row],[Serv-Act-RU]],"")</f>
        <v>#DIV/0!</v>
      </c>
      <c r="AB98" s="50" t="e">
        <f>IF(DaybyDay[[#This Row],[_Space]],DaybyDay[[#This Row],[RETPEN-Act]]/DaybyDay[[#This Row],[RETPEN-Bud]],"")</f>
        <v>#DIV/0!</v>
      </c>
      <c r="AC98" s="37" t="e">
        <f>IF(DaybyDay[[#This Row],[_Space]],DaybyDay[[#This Row],[Ret-Bud-RU]]/DaybyDay[[#This Row],[Serv-Bud-RU]],"")</f>
        <v>#DIV/0!</v>
      </c>
      <c r="AD98" s="37" t="e">
        <f>IF(DaybyDay[[#This Row],[_Space]],DaybyDay[[#This Row],[Ret-LY-RU]]/DaybyDay[[#This Row],[Serv-LY-RU]],"")</f>
        <v>#DIV/0!</v>
      </c>
      <c r="AE98" s="30">
        <f>WEEKDAY(DaybyDay[[#This Row],[LY-Date]])</f>
        <v>1</v>
      </c>
      <c r="AF98" s="38">
        <f>$E$2+_xlfn.DAYS(DaybyDay[[#This Row],[Date]],minDate)</f>
        <v>42463</v>
      </c>
      <c r="AG98" s="39" t="str" cm="1">
        <f t="array" ref="AG98">IFERROR(INDEX(DaybyDay[],DaybyDay[[#This Row],[FORM_MATCH_HELPER]],8),"")</f>
        <v/>
      </c>
      <c r="AH98" s="39" t="str" cm="1">
        <f t="array" ref="AH98">IFERROR(INDEX(DaybyDay[],DaybyDay[[#This Row],[FORM_MATCH_HELPER]],10),"")</f>
        <v/>
      </c>
      <c r="AI98" s="39" t="str" cm="1">
        <f t="array" ref="AI98">IFERROR(INDEX(DaybyDay[],DaybyDay[[#This Row],[FORM_MATCH_HELPER]],12),"")</f>
        <v/>
      </c>
      <c r="AJ98" s="32">
        <f>IFERROR(DaybyDay[[#This Row],[Serv-LY-RU]]+DaybyDay[[#This Row],[Ret-LY-RU]],"")</f>
        <v>0</v>
      </c>
      <c r="AK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 s="77"/>
      <c r="AM98" s="40" t="str">
        <f>IF(DaybyDay[[#This Row],[Admin Hours]]&gt;0,DaybyDay[[#This Row],[Admin Hours]]*$AM$2+$AM$3,"")</f>
        <v/>
      </c>
      <c r="AN98" s="40">
        <f>SUMIFS(DaybyDay[Est-Admin-Payroll],DaybyDay[Date],"&gt;="&amp;$C$5,DaybyDay[RowYear],"&gt;="&amp;$C$4,DaybyDay[Date],"&lt;="&amp;DaybyDay[[#This Row],[Date]])</f>
        <v>0</v>
      </c>
      <c r="AO98" s="41" t="str">
        <f>IF(AND(DaybyDay[[#This Row],[_Space]],ISNUMBER(DaybyDay[[#This Row],[Admin Hours]])),DaybyDay[[#This Row],[Est-Admin-Payroll]]/(DaybyDay[[#This Row],[Service-Actuals]]+DaybyDay[[#This Row],[Retail-Actuals]]),"")</f>
        <v/>
      </c>
      <c r="AP98" s="41" t="e">
        <f>DaybyDay[[#This Row],[Estimated-Payroll-Rollup]]/DaybyDay[[#This Row],[Simple-Forecast]]</f>
        <v>#DIV/0!</v>
      </c>
      <c r="AQ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 s="77"/>
      <c r="AS98" s="40" t="str">
        <f>IF(DaybyDay[[#This Row],[Retail Hours]]&gt;0,DaybyDay[[#This Row],[Retail Hours]]*$AS$2,"")</f>
        <v/>
      </c>
      <c r="AT98" s="40">
        <f>SUMIFS(DaybyDay[Est-Retail-Payroll],DaybyDay[Date],"&gt;="&amp;$C$5,DaybyDay[RowYear],"&gt;="&amp;$C$4,DaybyDay[Date],"&lt;="&amp;DaybyDay[[#This Row],[Date]])</f>
        <v>0</v>
      </c>
      <c r="AU98" s="82" t="str">
        <f>IF(AND(DaybyDay[[#This Row],[_Space]],ISNUMBER(DaybyDay[[#This Row],[Retail Hours]])),DaybyDay[[#This Row],[Est-Retail-Payroll]]/(DaybyDay[[#This Row],[Retail-Actuals]]),"")</f>
        <v/>
      </c>
      <c r="AV98" s="82" t="e">
        <f>DaybyDay[[#This Row],[Est-Retail-PayrollRU]]/DaybyDay[[#This Row],[Simple-Forecast-Retail]]</f>
        <v>#DIV/0!</v>
      </c>
      <c r="AW98" s="8"/>
    </row>
    <row r="99" spans="3:49" hidden="1" x14ac:dyDescent="0.25">
      <c r="C99" s="26" t="str">
        <f>Tools!$C$1</f>
        <v>Example</v>
      </c>
      <c r="D99" s="27" t="s">
        <v>71</v>
      </c>
      <c r="E99" s="28">
        <v>2017</v>
      </c>
      <c r="F99" s="28">
        <f>MATCH(DaybyDay[[#This Row],[RowMonth]],Table3[SummaryMonth],0)</f>
        <v>4</v>
      </c>
      <c r="G99" s="29" t="e">
        <f>MATCH(DaybyDay[[#This Row],[LY-Date]],DaybyDay[Date],0)</f>
        <v>#N/A</v>
      </c>
      <c r="H99" s="30">
        <f>WEEKDAY(DaybyDay[[#This Row],[Date]])</f>
        <v>2</v>
      </c>
      <c r="I99" s="31">
        <v>42828</v>
      </c>
      <c r="J99" s="74">
        <v>20</v>
      </c>
      <c r="K99" s="32">
        <f>SUMIFS(BudgetSeasonality[365 Seasonality],BudgetSeasonality[MonthAdjustment],DaybyDay[[#This Row],[Date]])*SUMIFS(Budgets[Service-Budget],Budgets[BudgetMonth],DaybyDay[[#This Row],[RowMonth]],Budgets[BudgetYear],DaybyDay[[#This Row],[RowYear]])</f>
        <v>0</v>
      </c>
      <c r="L99" s="75">
        <v>4357.1000000000004</v>
      </c>
      <c r="M99" s="32">
        <f>INDEX(BudgetSeasonality[365 Seasonality],MATCH(DaybyDay[[#This Row],[Date]],BudgetSeasonality[MonthAdjustment],0))*SUMIFS(Budgets[Retail-Budget],Budgets[BudgetMonth],DaybyDay[[#This Row],[RowMonth]],Budgets[BudgetYear],DaybyDay[[#This Row],[RowYear]])</f>
        <v>0</v>
      </c>
      <c r="N99" s="75">
        <v>0</v>
      </c>
      <c r="O99" s="33">
        <f>SUMIFS(DaybyDay[Service-Budgets],DaybyDay[Date],"&gt;="&amp;$C$5,DaybyDay[RowYear],"&gt;="&amp;$C$4,DaybyDay[Date],"&lt;="&amp;DaybyDay[[#This Row],[Date]])</f>
        <v>0</v>
      </c>
      <c r="P99" s="33">
        <f>SUMIFS(DaybyDay[Retail-Budgets],DaybyDay[Date],"&gt;="&amp;$C$5,DaybyDay[RowYear],"&gt;="&amp;$C$4,DaybyDay[Date],"&lt;="&amp;DaybyDay[[#This Row],[Date]])</f>
        <v>0</v>
      </c>
      <c r="Q99" s="34">
        <f>SUMIFS(DaybyDay[Service-Actuals],DaybyDay[Date],"&gt;="&amp;$C$5,DaybyDay[RowYear],"&gt;="&amp;$C$4,DaybyDay[Date],"&lt;="&amp;DaybyDay[[#This Row],[Date]])</f>
        <v>0</v>
      </c>
      <c r="R99" s="34">
        <f>SUMIFS(DaybyDay[Retail-Actuals],DaybyDay[Date],"&gt;="&amp;$C$5,DaybyDay[RowYear],"&gt;="&amp;$C$4,DaybyDay[Date],"&lt;="&amp;DaybyDay[[#This Row],[Date]])</f>
        <v>0</v>
      </c>
      <c r="S99" s="35">
        <f>SUMIFS(DaybyDay[Service-LY],DaybyDay[Date],"&gt;="&amp;$C$5,DaybyDay[RowYear],"&gt;="&amp;$C$4,DaybyDay[Date],"&lt;="&amp;DaybyDay[[#This Row],[Date]])</f>
        <v>0</v>
      </c>
      <c r="T99" s="35">
        <f>SUMIFS(DaybyDay[Retail-LY],DaybyDay[Date],"&gt;="&amp;$C$5,DaybyDay[RowYear],"&gt;="&amp;$C$4,DaybyDay[Date],"&lt;="&amp;DaybyDay[[#This Row],[Date]])</f>
        <v>0</v>
      </c>
      <c r="U99" s="32">
        <f>DaybyDay[[#This Row],[Serv-Bud-RU]]+DaybyDay[[#This Row],[Ret-Bud-RU]]</f>
        <v>0</v>
      </c>
      <c r="V99" s="32">
        <f>DaybyDay[[#This Row],[Serv-Act-RU]]+DaybyDay[[#This Row],[Ret-Act-RU]]</f>
        <v>0</v>
      </c>
      <c r="W99" s="36">
        <f>IF(DaybyDay[[#This Row],[_Space]],IFERROR(
((DaybyDay[[#This Row],[Actual-Rollup]]-DaybyDay[[#This Row],[Budget-Rollup]])/DaybyDay[[#This Row],[Budget-Rollup]]),0),"")</f>
        <v>0</v>
      </c>
      <c r="X99" t="b">
        <f>NOT(AND(ISBLANK(DaybyDay[[#This Row],[Appts]]),ISBLANK(DaybyDay[[#This Row],[Service-Actuals]]),ISBLANK(DaybyDay[[#This Row],[Retail-Actuals]])))</f>
        <v>1</v>
      </c>
      <c r="Y99" s="36">
        <f>IF(DaybyDay[[#This Row],[_Space]],IFERROR(
((DaybyDay[[#This Row],[Actual-Rollup]]-DaybyDay[[#This Row],[LY-Rollup]])/DaybyDay[[#This Row],[LY-Rollup]]),0),"")</f>
        <v>0</v>
      </c>
      <c r="Z99"/>
      <c r="AA99" s="37" t="e">
        <f>IF(DaybyDay[[#This Row],[_Space]],DaybyDay[[#This Row],[Ret-Act-RU]]/DaybyDay[[#This Row],[Serv-Act-RU]],"")</f>
        <v>#DIV/0!</v>
      </c>
      <c r="AB99" s="50" t="e">
        <f>IF(DaybyDay[[#This Row],[_Space]],DaybyDay[[#This Row],[RETPEN-Act]]/DaybyDay[[#This Row],[RETPEN-Bud]],"")</f>
        <v>#DIV/0!</v>
      </c>
      <c r="AC99" s="37" t="e">
        <f>IF(DaybyDay[[#This Row],[_Space]],DaybyDay[[#This Row],[Ret-Bud-RU]]/DaybyDay[[#This Row],[Serv-Bud-RU]],"")</f>
        <v>#DIV/0!</v>
      </c>
      <c r="AD99" s="37" t="e">
        <f>IF(DaybyDay[[#This Row],[_Space]],DaybyDay[[#This Row],[Ret-LY-RU]]/DaybyDay[[#This Row],[Serv-LY-RU]],"")</f>
        <v>#DIV/0!</v>
      </c>
      <c r="AE99" s="30">
        <f>WEEKDAY(DaybyDay[[#This Row],[LY-Date]])</f>
        <v>2</v>
      </c>
      <c r="AF99" s="38">
        <f>$E$2+_xlfn.DAYS(DaybyDay[[#This Row],[Date]],minDate)</f>
        <v>42464</v>
      </c>
      <c r="AG99" s="39" t="str" cm="1">
        <f t="array" ref="AG99">IFERROR(INDEX(DaybyDay[],DaybyDay[[#This Row],[FORM_MATCH_HELPER]],8),"")</f>
        <v/>
      </c>
      <c r="AH99" s="39" t="str" cm="1">
        <f t="array" ref="AH99">IFERROR(INDEX(DaybyDay[],DaybyDay[[#This Row],[FORM_MATCH_HELPER]],10),"")</f>
        <v/>
      </c>
      <c r="AI99" s="39" t="str" cm="1">
        <f t="array" ref="AI99">IFERROR(INDEX(DaybyDay[],DaybyDay[[#This Row],[FORM_MATCH_HELPER]],12),"")</f>
        <v/>
      </c>
      <c r="AJ99" s="32">
        <f>IFERROR(DaybyDay[[#This Row],[Serv-LY-RU]]+DaybyDay[[#This Row],[Ret-LY-RU]],"")</f>
        <v>0</v>
      </c>
      <c r="AK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 s="77"/>
      <c r="AM99" s="40" t="str">
        <f>IF(DaybyDay[[#This Row],[Admin Hours]]&gt;0,DaybyDay[[#This Row],[Admin Hours]]*$AM$2+$AM$3,"")</f>
        <v/>
      </c>
      <c r="AN99" s="40">
        <f>SUMIFS(DaybyDay[Est-Admin-Payroll],DaybyDay[Date],"&gt;="&amp;$C$5,DaybyDay[RowYear],"&gt;="&amp;$C$4,DaybyDay[Date],"&lt;="&amp;DaybyDay[[#This Row],[Date]])</f>
        <v>0</v>
      </c>
      <c r="AO99" s="41" t="str">
        <f>IF(AND(DaybyDay[[#This Row],[_Space]],ISNUMBER(DaybyDay[[#This Row],[Admin Hours]])),DaybyDay[[#This Row],[Est-Admin-Payroll]]/(DaybyDay[[#This Row],[Service-Actuals]]+DaybyDay[[#This Row],[Retail-Actuals]]),"")</f>
        <v/>
      </c>
      <c r="AP99" s="41" t="e">
        <f>DaybyDay[[#This Row],[Estimated-Payroll-Rollup]]/DaybyDay[[#This Row],[Simple-Forecast]]</f>
        <v>#DIV/0!</v>
      </c>
      <c r="AQ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 s="77"/>
      <c r="AS99" s="40" t="str">
        <f>IF(DaybyDay[[#This Row],[Retail Hours]]&gt;0,DaybyDay[[#This Row],[Retail Hours]]*$AS$2,"")</f>
        <v/>
      </c>
      <c r="AT99" s="40">
        <f>SUMIFS(DaybyDay[Est-Retail-Payroll],DaybyDay[Date],"&gt;="&amp;$C$5,DaybyDay[RowYear],"&gt;="&amp;$C$4,DaybyDay[Date],"&lt;="&amp;DaybyDay[[#This Row],[Date]])</f>
        <v>0</v>
      </c>
      <c r="AU99" s="82" t="str">
        <f>IF(AND(DaybyDay[[#This Row],[_Space]],ISNUMBER(DaybyDay[[#This Row],[Retail Hours]])),DaybyDay[[#This Row],[Est-Retail-Payroll]]/(DaybyDay[[#This Row],[Retail-Actuals]]),"")</f>
        <v/>
      </c>
      <c r="AV99" s="82" t="e">
        <f>DaybyDay[[#This Row],[Est-Retail-PayrollRU]]/DaybyDay[[#This Row],[Simple-Forecast-Retail]]</f>
        <v>#DIV/0!</v>
      </c>
      <c r="AW99" s="8"/>
    </row>
    <row r="100" spans="3:49" hidden="1" x14ac:dyDescent="0.25">
      <c r="C100" s="26" t="str">
        <f>Tools!$C$1</f>
        <v>Example</v>
      </c>
      <c r="D100" s="27" t="s">
        <v>71</v>
      </c>
      <c r="E100" s="28">
        <v>2017</v>
      </c>
      <c r="F100" s="28">
        <f>MATCH(DaybyDay[[#This Row],[RowMonth]],Table3[SummaryMonth],0)</f>
        <v>4</v>
      </c>
      <c r="G100" s="29" t="e">
        <f>MATCH(DaybyDay[[#This Row],[LY-Date]],DaybyDay[Date],0)</f>
        <v>#N/A</v>
      </c>
      <c r="H100" s="30">
        <f>WEEKDAY(DaybyDay[[#This Row],[Date]])</f>
        <v>3</v>
      </c>
      <c r="I100" s="31">
        <v>42829</v>
      </c>
      <c r="J100" s="74">
        <v>23</v>
      </c>
      <c r="K100" s="32">
        <f>SUMIFS(BudgetSeasonality[365 Seasonality],BudgetSeasonality[MonthAdjustment],DaybyDay[[#This Row],[Date]])*SUMIFS(Budgets[Service-Budget],Budgets[BudgetMonth],DaybyDay[[#This Row],[RowMonth]],Budgets[BudgetYear],DaybyDay[[#This Row],[RowYear]])</f>
        <v>0</v>
      </c>
      <c r="L100" s="75">
        <v>4872.6499999999996</v>
      </c>
      <c r="M100" s="32">
        <f>INDEX(BudgetSeasonality[365 Seasonality],MATCH(DaybyDay[[#This Row],[Date]],BudgetSeasonality[MonthAdjustment],0))*SUMIFS(Budgets[Retail-Budget],Budgets[BudgetMonth],DaybyDay[[#This Row],[RowMonth]],Budgets[BudgetYear],DaybyDay[[#This Row],[RowYear]])</f>
        <v>0</v>
      </c>
      <c r="N100" s="75">
        <v>1698.25</v>
      </c>
      <c r="O100" s="33">
        <f>SUMIFS(DaybyDay[Service-Budgets],DaybyDay[Date],"&gt;="&amp;$C$5,DaybyDay[RowYear],"&gt;="&amp;$C$4,DaybyDay[Date],"&lt;="&amp;DaybyDay[[#This Row],[Date]])</f>
        <v>0</v>
      </c>
      <c r="P100" s="33">
        <f>SUMIFS(DaybyDay[Retail-Budgets],DaybyDay[Date],"&gt;="&amp;$C$5,DaybyDay[RowYear],"&gt;="&amp;$C$4,DaybyDay[Date],"&lt;="&amp;DaybyDay[[#This Row],[Date]])</f>
        <v>0</v>
      </c>
      <c r="Q100" s="34">
        <f>SUMIFS(DaybyDay[Service-Actuals],DaybyDay[Date],"&gt;="&amp;$C$5,DaybyDay[RowYear],"&gt;="&amp;$C$4,DaybyDay[Date],"&lt;="&amp;DaybyDay[[#This Row],[Date]])</f>
        <v>0</v>
      </c>
      <c r="R100" s="34">
        <f>SUMIFS(DaybyDay[Retail-Actuals],DaybyDay[Date],"&gt;="&amp;$C$5,DaybyDay[RowYear],"&gt;="&amp;$C$4,DaybyDay[Date],"&lt;="&amp;DaybyDay[[#This Row],[Date]])</f>
        <v>0</v>
      </c>
      <c r="S100" s="35">
        <f>SUMIFS(DaybyDay[Service-LY],DaybyDay[Date],"&gt;="&amp;$C$5,DaybyDay[RowYear],"&gt;="&amp;$C$4,DaybyDay[Date],"&lt;="&amp;DaybyDay[[#This Row],[Date]])</f>
        <v>0</v>
      </c>
      <c r="T100" s="35">
        <f>SUMIFS(DaybyDay[Retail-LY],DaybyDay[Date],"&gt;="&amp;$C$5,DaybyDay[RowYear],"&gt;="&amp;$C$4,DaybyDay[Date],"&lt;="&amp;DaybyDay[[#This Row],[Date]])</f>
        <v>0</v>
      </c>
      <c r="U100" s="32">
        <f>DaybyDay[[#This Row],[Serv-Bud-RU]]+DaybyDay[[#This Row],[Ret-Bud-RU]]</f>
        <v>0</v>
      </c>
      <c r="V100" s="32">
        <f>DaybyDay[[#This Row],[Serv-Act-RU]]+DaybyDay[[#This Row],[Ret-Act-RU]]</f>
        <v>0</v>
      </c>
      <c r="W100" s="36">
        <f>IF(DaybyDay[[#This Row],[_Space]],IFERROR(
((DaybyDay[[#This Row],[Actual-Rollup]]-DaybyDay[[#This Row],[Budget-Rollup]])/DaybyDay[[#This Row],[Budget-Rollup]]),0),"")</f>
        <v>0</v>
      </c>
      <c r="X100" t="b">
        <f>NOT(AND(ISBLANK(DaybyDay[[#This Row],[Appts]]),ISBLANK(DaybyDay[[#This Row],[Service-Actuals]]),ISBLANK(DaybyDay[[#This Row],[Retail-Actuals]])))</f>
        <v>1</v>
      </c>
      <c r="Y100" s="36">
        <f>IF(DaybyDay[[#This Row],[_Space]],IFERROR(
((DaybyDay[[#This Row],[Actual-Rollup]]-DaybyDay[[#This Row],[LY-Rollup]])/DaybyDay[[#This Row],[LY-Rollup]]),0),"")</f>
        <v>0</v>
      </c>
      <c r="Z100"/>
      <c r="AA100" s="37" t="e">
        <f>IF(DaybyDay[[#This Row],[_Space]],DaybyDay[[#This Row],[Ret-Act-RU]]/DaybyDay[[#This Row],[Serv-Act-RU]],"")</f>
        <v>#DIV/0!</v>
      </c>
      <c r="AB100" s="50" t="e">
        <f>IF(DaybyDay[[#This Row],[_Space]],DaybyDay[[#This Row],[RETPEN-Act]]/DaybyDay[[#This Row],[RETPEN-Bud]],"")</f>
        <v>#DIV/0!</v>
      </c>
      <c r="AC100" s="37" t="e">
        <f>IF(DaybyDay[[#This Row],[_Space]],DaybyDay[[#This Row],[Ret-Bud-RU]]/DaybyDay[[#This Row],[Serv-Bud-RU]],"")</f>
        <v>#DIV/0!</v>
      </c>
      <c r="AD100" s="37" t="e">
        <f>IF(DaybyDay[[#This Row],[_Space]],DaybyDay[[#This Row],[Ret-LY-RU]]/DaybyDay[[#This Row],[Serv-LY-RU]],"")</f>
        <v>#DIV/0!</v>
      </c>
      <c r="AE100" s="30">
        <f>WEEKDAY(DaybyDay[[#This Row],[LY-Date]])</f>
        <v>3</v>
      </c>
      <c r="AF100" s="38">
        <f>$E$2+_xlfn.DAYS(DaybyDay[[#This Row],[Date]],minDate)</f>
        <v>42465</v>
      </c>
      <c r="AG100" s="39" t="str" cm="1">
        <f t="array" ref="AG100">IFERROR(INDEX(DaybyDay[],DaybyDay[[#This Row],[FORM_MATCH_HELPER]],8),"")</f>
        <v/>
      </c>
      <c r="AH100" s="39" t="str" cm="1">
        <f t="array" ref="AH100">IFERROR(INDEX(DaybyDay[],DaybyDay[[#This Row],[FORM_MATCH_HELPER]],10),"")</f>
        <v/>
      </c>
      <c r="AI100" s="39" t="str" cm="1">
        <f t="array" ref="AI100">IFERROR(INDEX(DaybyDay[],DaybyDay[[#This Row],[FORM_MATCH_HELPER]],12),"")</f>
        <v/>
      </c>
      <c r="AJ100" s="32">
        <f>IFERROR(DaybyDay[[#This Row],[Serv-LY-RU]]+DaybyDay[[#This Row],[Ret-LY-RU]],"")</f>
        <v>0</v>
      </c>
      <c r="AK1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 s="77"/>
      <c r="AM100" s="40" t="str">
        <f>IF(DaybyDay[[#This Row],[Admin Hours]]&gt;0,DaybyDay[[#This Row],[Admin Hours]]*$AM$2+$AM$3,"")</f>
        <v/>
      </c>
      <c r="AN100" s="40">
        <f>SUMIFS(DaybyDay[Est-Admin-Payroll],DaybyDay[Date],"&gt;="&amp;$C$5,DaybyDay[RowYear],"&gt;="&amp;$C$4,DaybyDay[Date],"&lt;="&amp;DaybyDay[[#This Row],[Date]])</f>
        <v>0</v>
      </c>
      <c r="AO100" s="41" t="str">
        <f>IF(AND(DaybyDay[[#This Row],[_Space]],ISNUMBER(DaybyDay[[#This Row],[Admin Hours]])),DaybyDay[[#This Row],[Est-Admin-Payroll]]/(DaybyDay[[#This Row],[Service-Actuals]]+DaybyDay[[#This Row],[Retail-Actuals]]),"")</f>
        <v/>
      </c>
      <c r="AP100" s="41" t="e">
        <f>DaybyDay[[#This Row],[Estimated-Payroll-Rollup]]/DaybyDay[[#This Row],[Simple-Forecast]]</f>
        <v>#DIV/0!</v>
      </c>
      <c r="AQ1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 s="77"/>
      <c r="AS100" s="40" t="str">
        <f>IF(DaybyDay[[#This Row],[Retail Hours]]&gt;0,DaybyDay[[#This Row],[Retail Hours]]*$AS$2,"")</f>
        <v/>
      </c>
      <c r="AT100" s="40">
        <f>SUMIFS(DaybyDay[Est-Retail-Payroll],DaybyDay[Date],"&gt;="&amp;$C$5,DaybyDay[RowYear],"&gt;="&amp;$C$4,DaybyDay[Date],"&lt;="&amp;DaybyDay[[#This Row],[Date]])</f>
        <v>0</v>
      </c>
      <c r="AU100" s="82" t="str">
        <f>IF(AND(DaybyDay[[#This Row],[_Space]],ISNUMBER(DaybyDay[[#This Row],[Retail Hours]])),DaybyDay[[#This Row],[Est-Retail-Payroll]]/(DaybyDay[[#This Row],[Retail-Actuals]]),"")</f>
        <v/>
      </c>
      <c r="AV100" s="82" t="e">
        <f>DaybyDay[[#This Row],[Est-Retail-PayrollRU]]/DaybyDay[[#This Row],[Simple-Forecast-Retail]]</f>
        <v>#DIV/0!</v>
      </c>
      <c r="AW100" s="8"/>
    </row>
    <row r="101" spans="3:49" hidden="1" x14ac:dyDescent="0.25">
      <c r="C101" s="26" t="str">
        <f>Tools!$C$1</f>
        <v>Example</v>
      </c>
      <c r="D101" s="27" t="s">
        <v>71</v>
      </c>
      <c r="E101" s="28">
        <v>2017</v>
      </c>
      <c r="F101" s="28">
        <f>MATCH(DaybyDay[[#This Row],[RowMonth]],Table3[SummaryMonth],0)</f>
        <v>4</v>
      </c>
      <c r="G101" s="29" t="e">
        <f>MATCH(DaybyDay[[#This Row],[LY-Date]],DaybyDay[Date],0)</f>
        <v>#N/A</v>
      </c>
      <c r="H101" s="30">
        <f>WEEKDAY(DaybyDay[[#This Row],[Date]])</f>
        <v>4</v>
      </c>
      <c r="I101" s="31">
        <v>42830</v>
      </c>
      <c r="J101" s="74">
        <v>25</v>
      </c>
      <c r="K101" s="32">
        <f>SUMIFS(BudgetSeasonality[365 Seasonality],BudgetSeasonality[MonthAdjustment],DaybyDay[[#This Row],[Date]])*SUMIFS(Budgets[Service-Budget],Budgets[BudgetMonth],DaybyDay[[#This Row],[RowMonth]],Budgets[BudgetYear],DaybyDay[[#This Row],[RowYear]])</f>
        <v>0</v>
      </c>
      <c r="L101" s="75">
        <v>4846.3999999999996</v>
      </c>
      <c r="M101" s="32">
        <f>INDEX(BudgetSeasonality[365 Seasonality],MATCH(DaybyDay[[#This Row],[Date]],BudgetSeasonality[MonthAdjustment],0))*SUMIFS(Budgets[Retail-Budget],Budgets[BudgetMonth],DaybyDay[[#This Row],[RowMonth]],Budgets[BudgetYear],DaybyDay[[#This Row],[RowYear]])</f>
        <v>0</v>
      </c>
      <c r="N101" s="75">
        <v>1998.7</v>
      </c>
      <c r="O101" s="33">
        <f>SUMIFS(DaybyDay[Service-Budgets],DaybyDay[Date],"&gt;="&amp;$C$5,DaybyDay[RowYear],"&gt;="&amp;$C$4,DaybyDay[Date],"&lt;="&amp;DaybyDay[[#This Row],[Date]])</f>
        <v>0</v>
      </c>
      <c r="P101" s="33">
        <f>SUMIFS(DaybyDay[Retail-Budgets],DaybyDay[Date],"&gt;="&amp;$C$5,DaybyDay[RowYear],"&gt;="&amp;$C$4,DaybyDay[Date],"&lt;="&amp;DaybyDay[[#This Row],[Date]])</f>
        <v>0</v>
      </c>
      <c r="Q101" s="34">
        <f>SUMIFS(DaybyDay[Service-Actuals],DaybyDay[Date],"&gt;="&amp;$C$5,DaybyDay[RowYear],"&gt;="&amp;$C$4,DaybyDay[Date],"&lt;="&amp;DaybyDay[[#This Row],[Date]])</f>
        <v>0</v>
      </c>
      <c r="R101" s="34">
        <f>SUMIFS(DaybyDay[Retail-Actuals],DaybyDay[Date],"&gt;="&amp;$C$5,DaybyDay[RowYear],"&gt;="&amp;$C$4,DaybyDay[Date],"&lt;="&amp;DaybyDay[[#This Row],[Date]])</f>
        <v>0</v>
      </c>
      <c r="S101" s="35">
        <f>SUMIFS(DaybyDay[Service-LY],DaybyDay[Date],"&gt;="&amp;$C$5,DaybyDay[RowYear],"&gt;="&amp;$C$4,DaybyDay[Date],"&lt;="&amp;DaybyDay[[#This Row],[Date]])</f>
        <v>0</v>
      </c>
      <c r="T101" s="35">
        <f>SUMIFS(DaybyDay[Retail-LY],DaybyDay[Date],"&gt;="&amp;$C$5,DaybyDay[RowYear],"&gt;="&amp;$C$4,DaybyDay[Date],"&lt;="&amp;DaybyDay[[#This Row],[Date]])</f>
        <v>0</v>
      </c>
      <c r="U101" s="32">
        <f>DaybyDay[[#This Row],[Serv-Bud-RU]]+DaybyDay[[#This Row],[Ret-Bud-RU]]</f>
        <v>0</v>
      </c>
      <c r="V101" s="32">
        <f>DaybyDay[[#This Row],[Serv-Act-RU]]+DaybyDay[[#This Row],[Ret-Act-RU]]</f>
        <v>0</v>
      </c>
      <c r="W101" s="36">
        <f>IF(DaybyDay[[#This Row],[_Space]],IFERROR(
((DaybyDay[[#This Row],[Actual-Rollup]]-DaybyDay[[#This Row],[Budget-Rollup]])/DaybyDay[[#This Row],[Budget-Rollup]]),0),"")</f>
        <v>0</v>
      </c>
      <c r="X101" t="b">
        <f>NOT(AND(ISBLANK(DaybyDay[[#This Row],[Appts]]),ISBLANK(DaybyDay[[#This Row],[Service-Actuals]]),ISBLANK(DaybyDay[[#This Row],[Retail-Actuals]])))</f>
        <v>1</v>
      </c>
      <c r="Y101" s="36">
        <f>IF(DaybyDay[[#This Row],[_Space]],IFERROR(
((DaybyDay[[#This Row],[Actual-Rollup]]-DaybyDay[[#This Row],[LY-Rollup]])/DaybyDay[[#This Row],[LY-Rollup]]),0),"")</f>
        <v>0</v>
      </c>
      <c r="Z101"/>
      <c r="AA101" s="37" t="e">
        <f>IF(DaybyDay[[#This Row],[_Space]],DaybyDay[[#This Row],[Ret-Act-RU]]/DaybyDay[[#This Row],[Serv-Act-RU]],"")</f>
        <v>#DIV/0!</v>
      </c>
      <c r="AB101" s="50" t="e">
        <f>IF(DaybyDay[[#This Row],[_Space]],DaybyDay[[#This Row],[RETPEN-Act]]/DaybyDay[[#This Row],[RETPEN-Bud]],"")</f>
        <v>#DIV/0!</v>
      </c>
      <c r="AC101" s="37" t="e">
        <f>IF(DaybyDay[[#This Row],[_Space]],DaybyDay[[#This Row],[Ret-Bud-RU]]/DaybyDay[[#This Row],[Serv-Bud-RU]],"")</f>
        <v>#DIV/0!</v>
      </c>
      <c r="AD101" s="37" t="e">
        <f>IF(DaybyDay[[#This Row],[_Space]],DaybyDay[[#This Row],[Ret-LY-RU]]/DaybyDay[[#This Row],[Serv-LY-RU]],"")</f>
        <v>#DIV/0!</v>
      </c>
      <c r="AE101" s="30">
        <f>WEEKDAY(DaybyDay[[#This Row],[LY-Date]])</f>
        <v>4</v>
      </c>
      <c r="AF101" s="38">
        <f>$E$2+_xlfn.DAYS(DaybyDay[[#This Row],[Date]],minDate)</f>
        <v>42466</v>
      </c>
      <c r="AG101" s="39" t="str" cm="1">
        <f t="array" ref="AG101">IFERROR(INDEX(DaybyDay[],DaybyDay[[#This Row],[FORM_MATCH_HELPER]],8),"")</f>
        <v/>
      </c>
      <c r="AH101" s="39" t="str" cm="1">
        <f t="array" ref="AH101">IFERROR(INDEX(DaybyDay[],DaybyDay[[#This Row],[FORM_MATCH_HELPER]],10),"")</f>
        <v/>
      </c>
      <c r="AI101" s="39" t="str" cm="1">
        <f t="array" ref="AI101">IFERROR(INDEX(DaybyDay[],DaybyDay[[#This Row],[FORM_MATCH_HELPER]],12),"")</f>
        <v/>
      </c>
      <c r="AJ101" s="32">
        <f>IFERROR(DaybyDay[[#This Row],[Serv-LY-RU]]+DaybyDay[[#This Row],[Ret-LY-RU]],"")</f>
        <v>0</v>
      </c>
      <c r="AK1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 s="77"/>
      <c r="AM101" s="40" t="str">
        <f>IF(DaybyDay[[#This Row],[Admin Hours]]&gt;0,DaybyDay[[#This Row],[Admin Hours]]*$AM$2+$AM$3,"")</f>
        <v/>
      </c>
      <c r="AN101" s="40">
        <f>SUMIFS(DaybyDay[Est-Admin-Payroll],DaybyDay[Date],"&gt;="&amp;$C$5,DaybyDay[RowYear],"&gt;="&amp;$C$4,DaybyDay[Date],"&lt;="&amp;DaybyDay[[#This Row],[Date]])</f>
        <v>0</v>
      </c>
      <c r="AO101" s="41" t="str">
        <f>IF(AND(DaybyDay[[#This Row],[_Space]],ISNUMBER(DaybyDay[[#This Row],[Admin Hours]])),DaybyDay[[#This Row],[Est-Admin-Payroll]]/(DaybyDay[[#This Row],[Service-Actuals]]+DaybyDay[[#This Row],[Retail-Actuals]]),"")</f>
        <v/>
      </c>
      <c r="AP101" s="41" t="e">
        <f>DaybyDay[[#This Row],[Estimated-Payroll-Rollup]]/DaybyDay[[#This Row],[Simple-Forecast]]</f>
        <v>#DIV/0!</v>
      </c>
      <c r="AQ1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 s="77"/>
      <c r="AS101" s="40" t="str">
        <f>IF(DaybyDay[[#This Row],[Retail Hours]]&gt;0,DaybyDay[[#This Row],[Retail Hours]]*$AS$2,"")</f>
        <v/>
      </c>
      <c r="AT101" s="40">
        <f>SUMIFS(DaybyDay[Est-Retail-Payroll],DaybyDay[Date],"&gt;="&amp;$C$5,DaybyDay[RowYear],"&gt;="&amp;$C$4,DaybyDay[Date],"&lt;="&amp;DaybyDay[[#This Row],[Date]])</f>
        <v>0</v>
      </c>
      <c r="AU101" s="82" t="str">
        <f>IF(AND(DaybyDay[[#This Row],[_Space]],ISNUMBER(DaybyDay[[#This Row],[Retail Hours]])),DaybyDay[[#This Row],[Est-Retail-Payroll]]/(DaybyDay[[#This Row],[Retail-Actuals]]),"")</f>
        <v/>
      </c>
      <c r="AV101" s="82" t="e">
        <f>DaybyDay[[#This Row],[Est-Retail-PayrollRU]]/DaybyDay[[#This Row],[Simple-Forecast-Retail]]</f>
        <v>#DIV/0!</v>
      </c>
      <c r="AW101" s="8"/>
    </row>
    <row r="102" spans="3:49" hidden="1" x14ac:dyDescent="0.25">
      <c r="C102" s="26" t="str">
        <f>Tools!$C$1</f>
        <v>Example</v>
      </c>
      <c r="D102" s="27" t="s">
        <v>71</v>
      </c>
      <c r="E102" s="28">
        <v>2017</v>
      </c>
      <c r="F102" s="28">
        <f>MATCH(DaybyDay[[#This Row],[RowMonth]],Table3[SummaryMonth],0)</f>
        <v>4</v>
      </c>
      <c r="G102" s="29" t="e">
        <f>MATCH(DaybyDay[[#This Row],[LY-Date]],DaybyDay[Date],0)</f>
        <v>#N/A</v>
      </c>
      <c r="H102" s="30">
        <f>WEEKDAY(DaybyDay[[#This Row],[Date]])</f>
        <v>5</v>
      </c>
      <c r="I102" s="31">
        <v>42831</v>
      </c>
      <c r="J102" s="74">
        <v>21</v>
      </c>
      <c r="K102" s="32">
        <f>SUMIFS(BudgetSeasonality[365 Seasonality],BudgetSeasonality[MonthAdjustment],DaybyDay[[#This Row],[Date]])*SUMIFS(Budgets[Service-Budget],Budgets[BudgetMonth],DaybyDay[[#This Row],[RowMonth]],Budgets[BudgetYear],DaybyDay[[#This Row],[RowYear]])</f>
        <v>0</v>
      </c>
      <c r="L102" s="75">
        <v>3962.6974999999998</v>
      </c>
      <c r="M102" s="32">
        <f>INDEX(BudgetSeasonality[365 Seasonality],MATCH(DaybyDay[[#This Row],[Date]],BudgetSeasonality[MonthAdjustment],0))*SUMIFS(Budgets[Retail-Budget],Budgets[BudgetMonth],DaybyDay[[#This Row],[RowMonth]],Budgets[BudgetYear],DaybyDay[[#This Row],[RowYear]])</f>
        <v>0</v>
      </c>
      <c r="N102" s="75">
        <v>1814.0025000000001</v>
      </c>
      <c r="O102" s="33">
        <f>SUMIFS(DaybyDay[Service-Budgets],DaybyDay[Date],"&gt;="&amp;$C$5,DaybyDay[RowYear],"&gt;="&amp;$C$4,DaybyDay[Date],"&lt;="&amp;DaybyDay[[#This Row],[Date]])</f>
        <v>0</v>
      </c>
      <c r="P102" s="33">
        <f>SUMIFS(DaybyDay[Retail-Budgets],DaybyDay[Date],"&gt;="&amp;$C$5,DaybyDay[RowYear],"&gt;="&amp;$C$4,DaybyDay[Date],"&lt;="&amp;DaybyDay[[#This Row],[Date]])</f>
        <v>0</v>
      </c>
      <c r="Q102" s="34">
        <f>SUMIFS(DaybyDay[Service-Actuals],DaybyDay[Date],"&gt;="&amp;$C$5,DaybyDay[RowYear],"&gt;="&amp;$C$4,DaybyDay[Date],"&lt;="&amp;DaybyDay[[#This Row],[Date]])</f>
        <v>0</v>
      </c>
      <c r="R102" s="34">
        <f>SUMIFS(DaybyDay[Retail-Actuals],DaybyDay[Date],"&gt;="&amp;$C$5,DaybyDay[RowYear],"&gt;="&amp;$C$4,DaybyDay[Date],"&lt;="&amp;DaybyDay[[#This Row],[Date]])</f>
        <v>0</v>
      </c>
      <c r="S102" s="35">
        <f>SUMIFS(DaybyDay[Service-LY],DaybyDay[Date],"&gt;="&amp;$C$5,DaybyDay[RowYear],"&gt;="&amp;$C$4,DaybyDay[Date],"&lt;="&amp;DaybyDay[[#This Row],[Date]])</f>
        <v>0</v>
      </c>
      <c r="T102" s="35">
        <f>SUMIFS(DaybyDay[Retail-LY],DaybyDay[Date],"&gt;="&amp;$C$5,DaybyDay[RowYear],"&gt;="&amp;$C$4,DaybyDay[Date],"&lt;="&amp;DaybyDay[[#This Row],[Date]])</f>
        <v>0</v>
      </c>
      <c r="U102" s="32">
        <f>DaybyDay[[#This Row],[Serv-Bud-RU]]+DaybyDay[[#This Row],[Ret-Bud-RU]]</f>
        <v>0</v>
      </c>
      <c r="V102" s="32">
        <f>DaybyDay[[#This Row],[Serv-Act-RU]]+DaybyDay[[#This Row],[Ret-Act-RU]]</f>
        <v>0</v>
      </c>
      <c r="W102" s="36">
        <f>IF(DaybyDay[[#This Row],[_Space]],IFERROR(
((DaybyDay[[#This Row],[Actual-Rollup]]-DaybyDay[[#This Row],[Budget-Rollup]])/DaybyDay[[#This Row],[Budget-Rollup]]),0),"")</f>
        <v>0</v>
      </c>
      <c r="X102" t="b">
        <f>NOT(AND(ISBLANK(DaybyDay[[#This Row],[Appts]]),ISBLANK(DaybyDay[[#This Row],[Service-Actuals]]),ISBLANK(DaybyDay[[#This Row],[Retail-Actuals]])))</f>
        <v>1</v>
      </c>
      <c r="Y102" s="36">
        <f>IF(DaybyDay[[#This Row],[_Space]],IFERROR(
((DaybyDay[[#This Row],[Actual-Rollup]]-DaybyDay[[#This Row],[LY-Rollup]])/DaybyDay[[#This Row],[LY-Rollup]]),0),"")</f>
        <v>0</v>
      </c>
      <c r="Z102"/>
      <c r="AA102" s="37" t="e">
        <f>IF(DaybyDay[[#This Row],[_Space]],DaybyDay[[#This Row],[Ret-Act-RU]]/DaybyDay[[#This Row],[Serv-Act-RU]],"")</f>
        <v>#DIV/0!</v>
      </c>
      <c r="AB102" s="50" t="e">
        <f>IF(DaybyDay[[#This Row],[_Space]],DaybyDay[[#This Row],[RETPEN-Act]]/DaybyDay[[#This Row],[RETPEN-Bud]],"")</f>
        <v>#DIV/0!</v>
      </c>
      <c r="AC102" s="37" t="e">
        <f>IF(DaybyDay[[#This Row],[_Space]],DaybyDay[[#This Row],[Ret-Bud-RU]]/DaybyDay[[#This Row],[Serv-Bud-RU]],"")</f>
        <v>#DIV/0!</v>
      </c>
      <c r="AD102" s="37" t="e">
        <f>IF(DaybyDay[[#This Row],[_Space]],DaybyDay[[#This Row],[Ret-LY-RU]]/DaybyDay[[#This Row],[Serv-LY-RU]],"")</f>
        <v>#DIV/0!</v>
      </c>
      <c r="AE102" s="30">
        <f>WEEKDAY(DaybyDay[[#This Row],[LY-Date]])</f>
        <v>5</v>
      </c>
      <c r="AF102" s="38">
        <f>$E$2+_xlfn.DAYS(DaybyDay[[#This Row],[Date]],minDate)</f>
        <v>42467</v>
      </c>
      <c r="AG102" s="39" t="str" cm="1">
        <f t="array" ref="AG102">IFERROR(INDEX(DaybyDay[],DaybyDay[[#This Row],[FORM_MATCH_HELPER]],8),"")</f>
        <v/>
      </c>
      <c r="AH102" s="39" t="str" cm="1">
        <f t="array" ref="AH102">IFERROR(INDEX(DaybyDay[],DaybyDay[[#This Row],[FORM_MATCH_HELPER]],10),"")</f>
        <v/>
      </c>
      <c r="AI102" s="39" t="str" cm="1">
        <f t="array" ref="AI102">IFERROR(INDEX(DaybyDay[],DaybyDay[[#This Row],[FORM_MATCH_HELPER]],12),"")</f>
        <v/>
      </c>
      <c r="AJ102" s="32">
        <f>IFERROR(DaybyDay[[#This Row],[Serv-LY-RU]]+DaybyDay[[#This Row],[Ret-LY-RU]],"")</f>
        <v>0</v>
      </c>
      <c r="AK1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 s="77"/>
      <c r="AM102" s="40" t="str">
        <f>IF(DaybyDay[[#This Row],[Admin Hours]]&gt;0,DaybyDay[[#This Row],[Admin Hours]]*$AM$2+$AM$3,"")</f>
        <v/>
      </c>
      <c r="AN102" s="40">
        <f>SUMIFS(DaybyDay[Est-Admin-Payroll],DaybyDay[Date],"&gt;="&amp;$C$5,DaybyDay[RowYear],"&gt;="&amp;$C$4,DaybyDay[Date],"&lt;="&amp;DaybyDay[[#This Row],[Date]])</f>
        <v>0</v>
      </c>
      <c r="AO102" s="41" t="str">
        <f>IF(AND(DaybyDay[[#This Row],[_Space]],ISNUMBER(DaybyDay[[#This Row],[Admin Hours]])),DaybyDay[[#This Row],[Est-Admin-Payroll]]/(DaybyDay[[#This Row],[Service-Actuals]]+DaybyDay[[#This Row],[Retail-Actuals]]),"")</f>
        <v/>
      </c>
      <c r="AP102" s="41" t="e">
        <f>DaybyDay[[#This Row],[Estimated-Payroll-Rollup]]/DaybyDay[[#This Row],[Simple-Forecast]]</f>
        <v>#DIV/0!</v>
      </c>
      <c r="AQ1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 s="77"/>
      <c r="AS102" s="40" t="str">
        <f>IF(DaybyDay[[#This Row],[Retail Hours]]&gt;0,DaybyDay[[#This Row],[Retail Hours]]*$AS$2,"")</f>
        <v/>
      </c>
      <c r="AT102" s="40">
        <f>SUMIFS(DaybyDay[Est-Retail-Payroll],DaybyDay[Date],"&gt;="&amp;$C$5,DaybyDay[RowYear],"&gt;="&amp;$C$4,DaybyDay[Date],"&lt;="&amp;DaybyDay[[#This Row],[Date]])</f>
        <v>0</v>
      </c>
      <c r="AU102" s="82" t="str">
        <f>IF(AND(DaybyDay[[#This Row],[_Space]],ISNUMBER(DaybyDay[[#This Row],[Retail Hours]])),DaybyDay[[#This Row],[Est-Retail-Payroll]]/(DaybyDay[[#This Row],[Retail-Actuals]]),"")</f>
        <v/>
      </c>
      <c r="AV102" s="82" t="e">
        <f>DaybyDay[[#This Row],[Est-Retail-PayrollRU]]/DaybyDay[[#This Row],[Simple-Forecast-Retail]]</f>
        <v>#DIV/0!</v>
      </c>
      <c r="AW102" s="8"/>
    </row>
    <row r="103" spans="3:49" hidden="1" x14ac:dyDescent="0.25">
      <c r="C103" s="26" t="str">
        <f>Tools!$C$1</f>
        <v>Example</v>
      </c>
      <c r="D103" s="27" t="s">
        <v>71</v>
      </c>
      <c r="E103" s="28">
        <v>2017</v>
      </c>
      <c r="F103" s="28">
        <f>MATCH(DaybyDay[[#This Row],[RowMonth]],Table3[SummaryMonth],0)</f>
        <v>4</v>
      </c>
      <c r="G103" s="29" t="e">
        <f>MATCH(DaybyDay[[#This Row],[LY-Date]],DaybyDay[Date],0)</f>
        <v>#N/A</v>
      </c>
      <c r="H103" s="30">
        <f>WEEKDAY(DaybyDay[[#This Row],[Date]])</f>
        <v>6</v>
      </c>
      <c r="I103" s="31">
        <v>42832</v>
      </c>
      <c r="J103" s="74">
        <v>38</v>
      </c>
      <c r="K103" s="32">
        <f>SUMIFS(BudgetSeasonality[365 Seasonality],BudgetSeasonality[MonthAdjustment],DaybyDay[[#This Row],[Date]])*SUMIFS(Budgets[Service-Budget],Budgets[BudgetMonth],DaybyDay[[#This Row],[RowMonth]],Budgets[BudgetYear],DaybyDay[[#This Row],[RowYear]])</f>
        <v>0</v>
      </c>
      <c r="L103" s="75">
        <v>7289.65</v>
      </c>
      <c r="M103" s="32">
        <f>INDEX(BudgetSeasonality[365 Seasonality],MATCH(DaybyDay[[#This Row],[Date]],BudgetSeasonality[MonthAdjustment],0))*SUMIFS(Budgets[Retail-Budget],Budgets[BudgetMonth],DaybyDay[[#This Row],[RowMonth]],Budgets[BudgetYear],DaybyDay[[#This Row],[RowYear]])</f>
        <v>0</v>
      </c>
      <c r="N103" s="75">
        <v>1735</v>
      </c>
      <c r="O103" s="33">
        <f>SUMIFS(DaybyDay[Service-Budgets],DaybyDay[Date],"&gt;="&amp;$C$5,DaybyDay[RowYear],"&gt;="&amp;$C$4,DaybyDay[Date],"&lt;="&amp;DaybyDay[[#This Row],[Date]])</f>
        <v>0</v>
      </c>
      <c r="P103" s="33">
        <f>SUMIFS(DaybyDay[Retail-Budgets],DaybyDay[Date],"&gt;="&amp;$C$5,DaybyDay[RowYear],"&gt;="&amp;$C$4,DaybyDay[Date],"&lt;="&amp;DaybyDay[[#This Row],[Date]])</f>
        <v>0</v>
      </c>
      <c r="Q103" s="34">
        <f>SUMIFS(DaybyDay[Service-Actuals],DaybyDay[Date],"&gt;="&amp;$C$5,DaybyDay[RowYear],"&gt;="&amp;$C$4,DaybyDay[Date],"&lt;="&amp;DaybyDay[[#This Row],[Date]])</f>
        <v>0</v>
      </c>
      <c r="R103" s="34">
        <f>SUMIFS(DaybyDay[Retail-Actuals],DaybyDay[Date],"&gt;="&amp;$C$5,DaybyDay[RowYear],"&gt;="&amp;$C$4,DaybyDay[Date],"&lt;="&amp;DaybyDay[[#This Row],[Date]])</f>
        <v>0</v>
      </c>
      <c r="S103" s="35">
        <f>SUMIFS(DaybyDay[Service-LY],DaybyDay[Date],"&gt;="&amp;$C$5,DaybyDay[RowYear],"&gt;="&amp;$C$4,DaybyDay[Date],"&lt;="&amp;DaybyDay[[#This Row],[Date]])</f>
        <v>0</v>
      </c>
      <c r="T103" s="35">
        <f>SUMIFS(DaybyDay[Retail-LY],DaybyDay[Date],"&gt;="&amp;$C$5,DaybyDay[RowYear],"&gt;="&amp;$C$4,DaybyDay[Date],"&lt;="&amp;DaybyDay[[#This Row],[Date]])</f>
        <v>0</v>
      </c>
      <c r="U103" s="32">
        <f>DaybyDay[[#This Row],[Serv-Bud-RU]]+DaybyDay[[#This Row],[Ret-Bud-RU]]</f>
        <v>0</v>
      </c>
      <c r="V103" s="32">
        <f>DaybyDay[[#This Row],[Serv-Act-RU]]+DaybyDay[[#This Row],[Ret-Act-RU]]</f>
        <v>0</v>
      </c>
      <c r="W103" s="36">
        <f>IF(DaybyDay[[#This Row],[_Space]],IFERROR(
((DaybyDay[[#This Row],[Actual-Rollup]]-DaybyDay[[#This Row],[Budget-Rollup]])/DaybyDay[[#This Row],[Budget-Rollup]]),0),"")</f>
        <v>0</v>
      </c>
      <c r="X103" t="b">
        <f>NOT(AND(ISBLANK(DaybyDay[[#This Row],[Appts]]),ISBLANK(DaybyDay[[#This Row],[Service-Actuals]]),ISBLANK(DaybyDay[[#This Row],[Retail-Actuals]])))</f>
        <v>1</v>
      </c>
      <c r="Y103" s="36">
        <f>IF(DaybyDay[[#This Row],[_Space]],IFERROR(
((DaybyDay[[#This Row],[Actual-Rollup]]-DaybyDay[[#This Row],[LY-Rollup]])/DaybyDay[[#This Row],[LY-Rollup]]),0),"")</f>
        <v>0</v>
      </c>
      <c r="Z103"/>
      <c r="AA103" s="37" t="e">
        <f>IF(DaybyDay[[#This Row],[_Space]],DaybyDay[[#This Row],[Ret-Act-RU]]/DaybyDay[[#This Row],[Serv-Act-RU]],"")</f>
        <v>#DIV/0!</v>
      </c>
      <c r="AB103" s="50" t="e">
        <f>IF(DaybyDay[[#This Row],[_Space]],DaybyDay[[#This Row],[RETPEN-Act]]/DaybyDay[[#This Row],[RETPEN-Bud]],"")</f>
        <v>#DIV/0!</v>
      </c>
      <c r="AC103" s="37" t="e">
        <f>IF(DaybyDay[[#This Row],[_Space]],DaybyDay[[#This Row],[Ret-Bud-RU]]/DaybyDay[[#This Row],[Serv-Bud-RU]],"")</f>
        <v>#DIV/0!</v>
      </c>
      <c r="AD103" s="37" t="e">
        <f>IF(DaybyDay[[#This Row],[_Space]],DaybyDay[[#This Row],[Ret-LY-RU]]/DaybyDay[[#This Row],[Serv-LY-RU]],"")</f>
        <v>#DIV/0!</v>
      </c>
      <c r="AE103" s="30">
        <f>WEEKDAY(DaybyDay[[#This Row],[LY-Date]])</f>
        <v>6</v>
      </c>
      <c r="AF103" s="38">
        <f>$E$2+_xlfn.DAYS(DaybyDay[[#This Row],[Date]],minDate)</f>
        <v>42468</v>
      </c>
      <c r="AG103" s="39" t="str" cm="1">
        <f t="array" ref="AG103">IFERROR(INDEX(DaybyDay[],DaybyDay[[#This Row],[FORM_MATCH_HELPER]],8),"")</f>
        <v/>
      </c>
      <c r="AH103" s="39" t="str" cm="1">
        <f t="array" ref="AH103">IFERROR(INDEX(DaybyDay[],DaybyDay[[#This Row],[FORM_MATCH_HELPER]],10),"")</f>
        <v/>
      </c>
      <c r="AI103" s="39" t="str" cm="1">
        <f t="array" ref="AI103">IFERROR(INDEX(DaybyDay[],DaybyDay[[#This Row],[FORM_MATCH_HELPER]],12),"")</f>
        <v/>
      </c>
      <c r="AJ103" s="32">
        <f>IFERROR(DaybyDay[[#This Row],[Serv-LY-RU]]+DaybyDay[[#This Row],[Ret-LY-RU]],"")</f>
        <v>0</v>
      </c>
      <c r="AK1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 s="77"/>
      <c r="AM103" s="40" t="str">
        <f>IF(DaybyDay[[#This Row],[Admin Hours]]&gt;0,DaybyDay[[#This Row],[Admin Hours]]*$AM$2+$AM$3,"")</f>
        <v/>
      </c>
      <c r="AN103" s="40">
        <f>SUMIFS(DaybyDay[Est-Admin-Payroll],DaybyDay[Date],"&gt;="&amp;$C$5,DaybyDay[RowYear],"&gt;="&amp;$C$4,DaybyDay[Date],"&lt;="&amp;DaybyDay[[#This Row],[Date]])</f>
        <v>0</v>
      </c>
      <c r="AO103" s="41" t="str">
        <f>IF(AND(DaybyDay[[#This Row],[_Space]],ISNUMBER(DaybyDay[[#This Row],[Admin Hours]])),DaybyDay[[#This Row],[Est-Admin-Payroll]]/(DaybyDay[[#This Row],[Service-Actuals]]+DaybyDay[[#This Row],[Retail-Actuals]]),"")</f>
        <v/>
      </c>
      <c r="AP103" s="41" t="e">
        <f>DaybyDay[[#This Row],[Estimated-Payroll-Rollup]]/DaybyDay[[#This Row],[Simple-Forecast]]</f>
        <v>#DIV/0!</v>
      </c>
      <c r="AQ1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 s="77"/>
      <c r="AS103" s="40" t="str">
        <f>IF(DaybyDay[[#This Row],[Retail Hours]]&gt;0,DaybyDay[[#This Row],[Retail Hours]]*$AS$2,"")</f>
        <v/>
      </c>
      <c r="AT103" s="40">
        <f>SUMIFS(DaybyDay[Est-Retail-Payroll],DaybyDay[Date],"&gt;="&amp;$C$5,DaybyDay[RowYear],"&gt;="&amp;$C$4,DaybyDay[Date],"&lt;="&amp;DaybyDay[[#This Row],[Date]])</f>
        <v>0</v>
      </c>
      <c r="AU103" s="82" t="str">
        <f>IF(AND(DaybyDay[[#This Row],[_Space]],ISNUMBER(DaybyDay[[#This Row],[Retail Hours]])),DaybyDay[[#This Row],[Est-Retail-Payroll]]/(DaybyDay[[#This Row],[Retail-Actuals]]),"")</f>
        <v/>
      </c>
      <c r="AV103" s="82" t="e">
        <f>DaybyDay[[#This Row],[Est-Retail-PayrollRU]]/DaybyDay[[#This Row],[Simple-Forecast-Retail]]</f>
        <v>#DIV/0!</v>
      </c>
      <c r="AW103" s="8"/>
    </row>
    <row r="104" spans="3:49" hidden="1" x14ac:dyDescent="0.25">
      <c r="C104" s="26" t="str">
        <f>Tools!$C$1</f>
        <v>Example</v>
      </c>
      <c r="D104" s="27" t="s">
        <v>71</v>
      </c>
      <c r="E104" s="28">
        <v>2017</v>
      </c>
      <c r="F104" s="28">
        <f>MATCH(DaybyDay[[#This Row],[RowMonth]],Table3[SummaryMonth],0)</f>
        <v>4</v>
      </c>
      <c r="G104" s="29" t="e">
        <f>MATCH(DaybyDay[[#This Row],[LY-Date]],DaybyDay[Date],0)</f>
        <v>#N/A</v>
      </c>
      <c r="H104" s="30">
        <f>WEEKDAY(DaybyDay[[#This Row],[Date]])</f>
        <v>7</v>
      </c>
      <c r="I104" s="31">
        <v>42833</v>
      </c>
      <c r="J104" s="74">
        <v>31</v>
      </c>
      <c r="K104" s="32">
        <f>SUMIFS(BudgetSeasonality[365 Seasonality],BudgetSeasonality[MonthAdjustment],DaybyDay[[#This Row],[Date]])*SUMIFS(Budgets[Service-Budget],Budgets[BudgetMonth],DaybyDay[[#This Row],[RowMonth]],Budgets[BudgetYear],DaybyDay[[#This Row],[RowYear]])</f>
        <v>0</v>
      </c>
      <c r="L104" s="75">
        <v>7020.79</v>
      </c>
      <c r="M104" s="32">
        <f>INDEX(BudgetSeasonality[365 Seasonality],MATCH(DaybyDay[[#This Row],[Date]],BudgetSeasonality[MonthAdjustment],0))*SUMIFS(Budgets[Retail-Budget],Budgets[BudgetMonth],DaybyDay[[#This Row],[RowMonth]],Budgets[BudgetYear],DaybyDay[[#This Row],[RowYear]])</f>
        <v>0</v>
      </c>
      <c r="N104" s="75">
        <v>946</v>
      </c>
      <c r="O104" s="33">
        <f>SUMIFS(DaybyDay[Service-Budgets],DaybyDay[Date],"&gt;="&amp;$C$5,DaybyDay[RowYear],"&gt;="&amp;$C$4,DaybyDay[Date],"&lt;="&amp;DaybyDay[[#This Row],[Date]])</f>
        <v>0</v>
      </c>
      <c r="P104" s="33">
        <f>SUMIFS(DaybyDay[Retail-Budgets],DaybyDay[Date],"&gt;="&amp;$C$5,DaybyDay[RowYear],"&gt;="&amp;$C$4,DaybyDay[Date],"&lt;="&amp;DaybyDay[[#This Row],[Date]])</f>
        <v>0</v>
      </c>
      <c r="Q104" s="34">
        <f>SUMIFS(DaybyDay[Service-Actuals],DaybyDay[Date],"&gt;="&amp;$C$5,DaybyDay[RowYear],"&gt;="&amp;$C$4,DaybyDay[Date],"&lt;="&amp;DaybyDay[[#This Row],[Date]])</f>
        <v>0</v>
      </c>
      <c r="R104" s="34">
        <f>SUMIFS(DaybyDay[Retail-Actuals],DaybyDay[Date],"&gt;="&amp;$C$5,DaybyDay[RowYear],"&gt;="&amp;$C$4,DaybyDay[Date],"&lt;="&amp;DaybyDay[[#This Row],[Date]])</f>
        <v>0</v>
      </c>
      <c r="S104" s="35">
        <f>SUMIFS(DaybyDay[Service-LY],DaybyDay[Date],"&gt;="&amp;$C$5,DaybyDay[RowYear],"&gt;="&amp;$C$4,DaybyDay[Date],"&lt;="&amp;DaybyDay[[#This Row],[Date]])</f>
        <v>0</v>
      </c>
      <c r="T104" s="35">
        <f>SUMIFS(DaybyDay[Retail-LY],DaybyDay[Date],"&gt;="&amp;$C$5,DaybyDay[RowYear],"&gt;="&amp;$C$4,DaybyDay[Date],"&lt;="&amp;DaybyDay[[#This Row],[Date]])</f>
        <v>0</v>
      </c>
      <c r="U104" s="32">
        <f>DaybyDay[[#This Row],[Serv-Bud-RU]]+DaybyDay[[#This Row],[Ret-Bud-RU]]</f>
        <v>0</v>
      </c>
      <c r="V104" s="32">
        <f>DaybyDay[[#This Row],[Serv-Act-RU]]+DaybyDay[[#This Row],[Ret-Act-RU]]</f>
        <v>0</v>
      </c>
      <c r="W104" s="36">
        <f>IF(DaybyDay[[#This Row],[_Space]],IFERROR(
((DaybyDay[[#This Row],[Actual-Rollup]]-DaybyDay[[#This Row],[Budget-Rollup]])/DaybyDay[[#This Row],[Budget-Rollup]]),0),"")</f>
        <v>0</v>
      </c>
      <c r="X104" t="b">
        <f>NOT(AND(ISBLANK(DaybyDay[[#This Row],[Appts]]),ISBLANK(DaybyDay[[#This Row],[Service-Actuals]]),ISBLANK(DaybyDay[[#This Row],[Retail-Actuals]])))</f>
        <v>1</v>
      </c>
      <c r="Y104" s="36">
        <f>IF(DaybyDay[[#This Row],[_Space]],IFERROR(
((DaybyDay[[#This Row],[Actual-Rollup]]-DaybyDay[[#This Row],[LY-Rollup]])/DaybyDay[[#This Row],[LY-Rollup]]),0),"")</f>
        <v>0</v>
      </c>
      <c r="Z104"/>
      <c r="AA104" s="37" t="e">
        <f>IF(DaybyDay[[#This Row],[_Space]],DaybyDay[[#This Row],[Ret-Act-RU]]/DaybyDay[[#This Row],[Serv-Act-RU]],"")</f>
        <v>#DIV/0!</v>
      </c>
      <c r="AB104" s="50" t="e">
        <f>IF(DaybyDay[[#This Row],[_Space]],DaybyDay[[#This Row],[RETPEN-Act]]/DaybyDay[[#This Row],[RETPEN-Bud]],"")</f>
        <v>#DIV/0!</v>
      </c>
      <c r="AC104" s="37" t="e">
        <f>IF(DaybyDay[[#This Row],[_Space]],DaybyDay[[#This Row],[Ret-Bud-RU]]/DaybyDay[[#This Row],[Serv-Bud-RU]],"")</f>
        <v>#DIV/0!</v>
      </c>
      <c r="AD104" s="37" t="e">
        <f>IF(DaybyDay[[#This Row],[_Space]],DaybyDay[[#This Row],[Ret-LY-RU]]/DaybyDay[[#This Row],[Serv-LY-RU]],"")</f>
        <v>#DIV/0!</v>
      </c>
      <c r="AE104" s="30">
        <f>WEEKDAY(DaybyDay[[#This Row],[LY-Date]])</f>
        <v>7</v>
      </c>
      <c r="AF104" s="38">
        <f>$E$2+_xlfn.DAYS(DaybyDay[[#This Row],[Date]],minDate)</f>
        <v>42469</v>
      </c>
      <c r="AG104" s="39" t="str" cm="1">
        <f t="array" ref="AG104">IFERROR(INDEX(DaybyDay[],DaybyDay[[#This Row],[FORM_MATCH_HELPER]],8),"")</f>
        <v/>
      </c>
      <c r="AH104" s="39" t="str" cm="1">
        <f t="array" ref="AH104">IFERROR(INDEX(DaybyDay[],DaybyDay[[#This Row],[FORM_MATCH_HELPER]],10),"")</f>
        <v/>
      </c>
      <c r="AI104" s="39" t="str" cm="1">
        <f t="array" ref="AI104">IFERROR(INDEX(DaybyDay[],DaybyDay[[#This Row],[FORM_MATCH_HELPER]],12),"")</f>
        <v/>
      </c>
      <c r="AJ104" s="32">
        <f>IFERROR(DaybyDay[[#This Row],[Serv-LY-RU]]+DaybyDay[[#This Row],[Ret-LY-RU]],"")</f>
        <v>0</v>
      </c>
      <c r="AK1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 s="77"/>
      <c r="AM104" s="40" t="str">
        <f>IF(DaybyDay[[#This Row],[Admin Hours]]&gt;0,DaybyDay[[#This Row],[Admin Hours]]*$AM$2+$AM$3,"")</f>
        <v/>
      </c>
      <c r="AN104" s="40">
        <f>SUMIFS(DaybyDay[Est-Admin-Payroll],DaybyDay[Date],"&gt;="&amp;$C$5,DaybyDay[RowYear],"&gt;="&amp;$C$4,DaybyDay[Date],"&lt;="&amp;DaybyDay[[#This Row],[Date]])</f>
        <v>0</v>
      </c>
      <c r="AO104" s="41" t="str">
        <f>IF(AND(DaybyDay[[#This Row],[_Space]],ISNUMBER(DaybyDay[[#This Row],[Admin Hours]])),DaybyDay[[#This Row],[Est-Admin-Payroll]]/(DaybyDay[[#This Row],[Service-Actuals]]+DaybyDay[[#This Row],[Retail-Actuals]]),"")</f>
        <v/>
      </c>
      <c r="AP104" s="41" t="e">
        <f>DaybyDay[[#This Row],[Estimated-Payroll-Rollup]]/DaybyDay[[#This Row],[Simple-Forecast]]</f>
        <v>#DIV/0!</v>
      </c>
      <c r="AQ1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 s="77"/>
      <c r="AS104" s="40" t="str">
        <f>IF(DaybyDay[[#This Row],[Retail Hours]]&gt;0,DaybyDay[[#This Row],[Retail Hours]]*$AS$2,"")</f>
        <v/>
      </c>
      <c r="AT104" s="40">
        <f>SUMIFS(DaybyDay[Est-Retail-Payroll],DaybyDay[Date],"&gt;="&amp;$C$5,DaybyDay[RowYear],"&gt;="&amp;$C$4,DaybyDay[Date],"&lt;="&amp;DaybyDay[[#This Row],[Date]])</f>
        <v>0</v>
      </c>
      <c r="AU104" s="82" t="str">
        <f>IF(AND(DaybyDay[[#This Row],[_Space]],ISNUMBER(DaybyDay[[#This Row],[Retail Hours]])),DaybyDay[[#This Row],[Est-Retail-Payroll]]/(DaybyDay[[#This Row],[Retail-Actuals]]),"")</f>
        <v/>
      </c>
      <c r="AV104" s="82" t="e">
        <f>DaybyDay[[#This Row],[Est-Retail-PayrollRU]]/DaybyDay[[#This Row],[Simple-Forecast-Retail]]</f>
        <v>#DIV/0!</v>
      </c>
      <c r="AW104" s="8"/>
    </row>
    <row r="105" spans="3:49" hidden="1" x14ac:dyDescent="0.25">
      <c r="C105" s="26" t="str">
        <f>Tools!$C$1</f>
        <v>Example</v>
      </c>
      <c r="D105" s="27" t="s">
        <v>71</v>
      </c>
      <c r="E105" s="28">
        <v>2017</v>
      </c>
      <c r="F105" s="28">
        <f>MATCH(DaybyDay[[#This Row],[RowMonth]],Table3[SummaryMonth],0)</f>
        <v>4</v>
      </c>
      <c r="G105" s="29" t="e">
        <f>MATCH(DaybyDay[[#This Row],[LY-Date]],DaybyDay[Date],0)</f>
        <v>#N/A</v>
      </c>
      <c r="H105" s="30">
        <f>WEEKDAY(DaybyDay[[#This Row],[Date]])</f>
        <v>1</v>
      </c>
      <c r="I105" s="31">
        <v>42834</v>
      </c>
      <c r="J105" s="74">
        <v>30</v>
      </c>
      <c r="K105" s="32">
        <f>SUMIFS(BudgetSeasonality[365 Seasonality],BudgetSeasonality[MonthAdjustment],DaybyDay[[#This Row],[Date]])*SUMIFS(Budgets[Service-Budget],Budgets[BudgetMonth],DaybyDay[[#This Row],[RowMonth]],Budgets[BudgetYear],DaybyDay[[#This Row],[RowYear]])</f>
        <v>0</v>
      </c>
      <c r="L105" s="75">
        <v>5017.6000000000004</v>
      </c>
      <c r="M105" s="32">
        <f>INDEX(BudgetSeasonality[365 Seasonality],MATCH(DaybyDay[[#This Row],[Date]],BudgetSeasonality[MonthAdjustment],0))*SUMIFS(Budgets[Retail-Budget],Budgets[BudgetMonth],DaybyDay[[#This Row],[RowMonth]],Budgets[BudgetYear],DaybyDay[[#This Row],[RowYear]])</f>
        <v>0</v>
      </c>
      <c r="N105" s="75">
        <v>746.6</v>
      </c>
      <c r="O105" s="33">
        <f>SUMIFS(DaybyDay[Service-Budgets],DaybyDay[Date],"&gt;="&amp;$C$5,DaybyDay[RowYear],"&gt;="&amp;$C$4,DaybyDay[Date],"&lt;="&amp;DaybyDay[[#This Row],[Date]])</f>
        <v>0</v>
      </c>
      <c r="P105" s="33">
        <f>SUMIFS(DaybyDay[Retail-Budgets],DaybyDay[Date],"&gt;="&amp;$C$5,DaybyDay[RowYear],"&gt;="&amp;$C$4,DaybyDay[Date],"&lt;="&amp;DaybyDay[[#This Row],[Date]])</f>
        <v>0</v>
      </c>
      <c r="Q105" s="34">
        <f>SUMIFS(DaybyDay[Service-Actuals],DaybyDay[Date],"&gt;="&amp;$C$5,DaybyDay[RowYear],"&gt;="&amp;$C$4,DaybyDay[Date],"&lt;="&amp;DaybyDay[[#This Row],[Date]])</f>
        <v>0</v>
      </c>
      <c r="R105" s="34">
        <f>SUMIFS(DaybyDay[Retail-Actuals],DaybyDay[Date],"&gt;="&amp;$C$5,DaybyDay[RowYear],"&gt;="&amp;$C$4,DaybyDay[Date],"&lt;="&amp;DaybyDay[[#This Row],[Date]])</f>
        <v>0</v>
      </c>
      <c r="S105" s="35">
        <f>SUMIFS(DaybyDay[Service-LY],DaybyDay[Date],"&gt;="&amp;$C$5,DaybyDay[RowYear],"&gt;="&amp;$C$4,DaybyDay[Date],"&lt;="&amp;DaybyDay[[#This Row],[Date]])</f>
        <v>0</v>
      </c>
      <c r="T105" s="35">
        <f>SUMIFS(DaybyDay[Retail-LY],DaybyDay[Date],"&gt;="&amp;$C$5,DaybyDay[RowYear],"&gt;="&amp;$C$4,DaybyDay[Date],"&lt;="&amp;DaybyDay[[#This Row],[Date]])</f>
        <v>0</v>
      </c>
      <c r="U105" s="32">
        <f>DaybyDay[[#This Row],[Serv-Bud-RU]]+DaybyDay[[#This Row],[Ret-Bud-RU]]</f>
        <v>0</v>
      </c>
      <c r="V105" s="32">
        <f>DaybyDay[[#This Row],[Serv-Act-RU]]+DaybyDay[[#This Row],[Ret-Act-RU]]</f>
        <v>0</v>
      </c>
      <c r="W105" s="36">
        <f>IF(DaybyDay[[#This Row],[_Space]],IFERROR(
((DaybyDay[[#This Row],[Actual-Rollup]]-DaybyDay[[#This Row],[Budget-Rollup]])/DaybyDay[[#This Row],[Budget-Rollup]]),0),"")</f>
        <v>0</v>
      </c>
      <c r="X105" t="b">
        <f>NOT(AND(ISBLANK(DaybyDay[[#This Row],[Appts]]),ISBLANK(DaybyDay[[#This Row],[Service-Actuals]]),ISBLANK(DaybyDay[[#This Row],[Retail-Actuals]])))</f>
        <v>1</v>
      </c>
      <c r="Y105" s="36">
        <f>IF(DaybyDay[[#This Row],[_Space]],IFERROR(
((DaybyDay[[#This Row],[Actual-Rollup]]-DaybyDay[[#This Row],[LY-Rollup]])/DaybyDay[[#This Row],[LY-Rollup]]),0),"")</f>
        <v>0</v>
      </c>
      <c r="Z105"/>
      <c r="AA105" s="37" t="e">
        <f>IF(DaybyDay[[#This Row],[_Space]],DaybyDay[[#This Row],[Ret-Act-RU]]/DaybyDay[[#This Row],[Serv-Act-RU]],"")</f>
        <v>#DIV/0!</v>
      </c>
      <c r="AB105" s="50" t="e">
        <f>IF(DaybyDay[[#This Row],[_Space]],DaybyDay[[#This Row],[RETPEN-Act]]/DaybyDay[[#This Row],[RETPEN-Bud]],"")</f>
        <v>#DIV/0!</v>
      </c>
      <c r="AC105" s="37" t="e">
        <f>IF(DaybyDay[[#This Row],[_Space]],DaybyDay[[#This Row],[Ret-Bud-RU]]/DaybyDay[[#This Row],[Serv-Bud-RU]],"")</f>
        <v>#DIV/0!</v>
      </c>
      <c r="AD105" s="37" t="e">
        <f>IF(DaybyDay[[#This Row],[_Space]],DaybyDay[[#This Row],[Ret-LY-RU]]/DaybyDay[[#This Row],[Serv-LY-RU]],"")</f>
        <v>#DIV/0!</v>
      </c>
      <c r="AE105" s="30">
        <f>WEEKDAY(DaybyDay[[#This Row],[LY-Date]])</f>
        <v>1</v>
      </c>
      <c r="AF105" s="38">
        <f>$E$2+_xlfn.DAYS(DaybyDay[[#This Row],[Date]],minDate)</f>
        <v>42470</v>
      </c>
      <c r="AG105" s="39" t="str" cm="1">
        <f t="array" ref="AG105">IFERROR(INDEX(DaybyDay[],DaybyDay[[#This Row],[FORM_MATCH_HELPER]],8),"")</f>
        <v/>
      </c>
      <c r="AH105" s="39" t="str" cm="1">
        <f t="array" ref="AH105">IFERROR(INDEX(DaybyDay[],DaybyDay[[#This Row],[FORM_MATCH_HELPER]],10),"")</f>
        <v/>
      </c>
      <c r="AI105" s="39" t="str" cm="1">
        <f t="array" ref="AI105">IFERROR(INDEX(DaybyDay[],DaybyDay[[#This Row],[FORM_MATCH_HELPER]],12),"")</f>
        <v/>
      </c>
      <c r="AJ105" s="32">
        <f>IFERROR(DaybyDay[[#This Row],[Serv-LY-RU]]+DaybyDay[[#This Row],[Ret-LY-RU]],"")</f>
        <v>0</v>
      </c>
      <c r="AK1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 s="77"/>
      <c r="AM105" s="40" t="str">
        <f>IF(DaybyDay[[#This Row],[Admin Hours]]&gt;0,DaybyDay[[#This Row],[Admin Hours]]*$AM$2+$AM$3,"")</f>
        <v/>
      </c>
      <c r="AN105" s="40">
        <f>SUMIFS(DaybyDay[Est-Admin-Payroll],DaybyDay[Date],"&gt;="&amp;$C$5,DaybyDay[RowYear],"&gt;="&amp;$C$4,DaybyDay[Date],"&lt;="&amp;DaybyDay[[#This Row],[Date]])</f>
        <v>0</v>
      </c>
      <c r="AO105" s="41" t="str">
        <f>IF(AND(DaybyDay[[#This Row],[_Space]],ISNUMBER(DaybyDay[[#This Row],[Admin Hours]])),DaybyDay[[#This Row],[Est-Admin-Payroll]]/(DaybyDay[[#This Row],[Service-Actuals]]+DaybyDay[[#This Row],[Retail-Actuals]]),"")</f>
        <v/>
      </c>
      <c r="AP105" s="41" t="e">
        <f>DaybyDay[[#This Row],[Estimated-Payroll-Rollup]]/DaybyDay[[#This Row],[Simple-Forecast]]</f>
        <v>#DIV/0!</v>
      </c>
      <c r="AQ1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 s="77"/>
      <c r="AS105" s="40" t="str">
        <f>IF(DaybyDay[[#This Row],[Retail Hours]]&gt;0,DaybyDay[[#This Row],[Retail Hours]]*$AS$2,"")</f>
        <v/>
      </c>
      <c r="AT105" s="40">
        <f>SUMIFS(DaybyDay[Est-Retail-Payroll],DaybyDay[Date],"&gt;="&amp;$C$5,DaybyDay[RowYear],"&gt;="&amp;$C$4,DaybyDay[Date],"&lt;="&amp;DaybyDay[[#This Row],[Date]])</f>
        <v>0</v>
      </c>
      <c r="AU105" s="82" t="str">
        <f>IF(AND(DaybyDay[[#This Row],[_Space]],ISNUMBER(DaybyDay[[#This Row],[Retail Hours]])),DaybyDay[[#This Row],[Est-Retail-Payroll]]/(DaybyDay[[#This Row],[Retail-Actuals]]),"")</f>
        <v/>
      </c>
      <c r="AV105" s="82" t="e">
        <f>DaybyDay[[#This Row],[Est-Retail-PayrollRU]]/DaybyDay[[#This Row],[Simple-Forecast-Retail]]</f>
        <v>#DIV/0!</v>
      </c>
      <c r="AW105" s="8"/>
    </row>
    <row r="106" spans="3:49" hidden="1" x14ac:dyDescent="0.25">
      <c r="C106" s="26" t="str">
        <f>Tools!$C$1</f>
        <v>Example</v>
      </c>
      <c r="D106" s="27" t="s">
        <v>71</v>
      </c>
      <c r="E106" s="28">
        <v>2017</v>
      </c>
      <c r="F106" s="28">
        <f>MATCH(DaybyDay[[#This Row],[RowMonth]],Table3[SummaryMonth],0)</f>
        <v>4</v>
      </c>
      <c r="G106" s="29" t="e">
        <f>MATCH(DaybyDay[[#This Row],[LY-Date]],DaybyDay[Date],0)</f>
        <v>#N/A</v>
      </c>
      <c r="H106" s="30">
        <f>WEEKDAY(DaybyDay[[#This Row],[Date]])</f>
        <v>2</v>
      </c>
      <c r="I106" s="31">
        <v>42835</v>
      </c>
      <c r="J106" s="74">
        <v>12</v>
      </c>
      <c r="K106" s="32">
        <f>SUMIFS(BudgetSeasonality[365 Seasonality],BudgetSeasonality[MonthAdjustment],DaybyDay[[#This Row],[Date]])*SUMIFS(Budgets[Service-Budget],Budgets[BudgetMonth],DaybyDay[[#This Row],[RowMonth]],Budgets[BudgetYear],DaybyDay[[#This Row],[RowYear]])</f>
        <v>0</v>
      </c>
      <c r="L106" s="75">
        <v>3110.2</v>
      </c>
      <c r="M106" s="32">
        <f>INDEX(BudgetSeasonality[365 Seasonality],MATCH(DaybyDay[[#This Row],[Date]],BudgetSeasonality[MonthAdjustment],0))*SUMIFS(Budgets[Retail-Budget],Budgets[BudgetMonth],DaybyDay[[#This Row],[RowMonth]],Budgets[BudgetYear],DaybyDay[[#This Row],[RowYear]])</f>
        <v>0</v>
      </c>
      <c r="N106" s="75">
        <v>558.4</v>
      </c>
      <c r="O106" s="33">
        <f>SUMIFS(DaybyDay[Service-Budgets],DaybyDay[Date],"&gt;="&amp;$C$5,DaybyDay[RowYear],"&gt;="&amp;$C$4,DaybyDay[Date],"&lt;="&amp;DaybyDay[[#This Row],[Date]])</f>
        <v>0</v>
      </c>
      <c r="P106" s="33">
        <f>SUMIFS(DaybyDay[Retail-Budgets],DaybyDay[Date],"&gt;="&amp;$C$5,DaybyDay[RowYear],"&gt;="&amp;$C$4,DaybyDay[Date],"&lt;="&amp;DaybyDay[[#This Row],[Date]])</f>
        <v>0</v>
      </c>
      <c r="Q106" s="34">
        <f>SUMIFS(DaybyDay[Service-Actuals],DaybyDay[Date],"&gt;="&amp;$C$5,DaybyDay[RowYear],"&gt;="&amp;$C$4,DaybyDay[Date],"&lt;="&amp;DaybyDay[[#This Row],[Date]])</f>
        <v>0</v>
      </c>
      <c r="R106" s="34">
        <f>SUMIFS(DaybyDay[Retail-Actuals],DaybyDay[Date],"&gt;="&amp;$C$5,DaybyDay[RowYear],"&gt;="&amp;$C$4,DaybyDay[Date],"&lt;="&amp;DaybyDay[[#This Row],[Date]])</f>
        <v>0</v>
      </c>
      <c r="S106" s="35">
        <f>SUMIFS(DaybyDay[Service-LY],DaybyDay[Date],"&gt;="&amp;$C$5,DaybyDay[RowYear],"&gt;="&amp;$C$4,DaybyDay[Date],"&lt;="&amp;DaybyDay[[#This Row],[Date]])</f>
        <v>0</v>
      </c>
      <c r="T106" s="35">
        <f>SUMIFS(DaybyDay[Retail-LY],DaybyDay[Date],"&gt;="&amp;$C$5,DaybyDay[RowYear],"&gt;="&amp;$C$4,DaybyDay[Date],"&lt;="&amp;DaybyDay[[#This Row],[Date]])</f>
        <v>0</v>
      </c>
      <c r="U106" s="32">
        <f>DaybyDay[[#This Row],[Serv-Bud-RU]]+DaybyDay[[#This Row],[Ret-Bud-RU]]</f>
        <v>0</v>
      </c>
      <c r="V106" s="32">
        <f>DaybyDay[[#This Row],[Serv-Act-RU]]+DaybyDay[[#This Row],[Ret-Act-RU]]</f>
        <v>0</v>
      </c>
      <c r="W106" s="36">
        <f>IF(DaybyDay[[#This Row],[_Space]],IFERROR(
((DaybyDay[[#This Row],[Actual-Rollup]]-DaybyDay[[#This Row],[Budget-Rollup]])/DaybyDay[[#This Row],[Budget-Rollup]]),0),"")</f>
        <v>0</v>
      </c>
      <c r="X106" t="b">
        <f>NOT(AND(ISBLANK(DaybyDay[[#This Row],[Appts]]),ISBLANK(DaybyDay[[#This Row],[Service-Actuals]]),ISBLANK(DaybyDay[[#This Row],[Retail-Actuals]])))</f>
        <v>1</v>
      </c>
      <c r="Y106" s="36">
        <f>IF(DaybyDay[[#This Row],[_Space]],IFERROR(
((DaybyDay[[#This Row],[Actual-Rollup]]-DaybyDay[[#This Row],[LY-Rollup]])/DaybyDay[[#This Row],[LY-Rollup]]),0),"")</f>
        <v>0</v>
      </c>
      <c r="Z106"/>
      <c r="AA106" s="37" t="e">
        <f>IF(DaybyDay[[#This Row],[_Space]],DaybyDay[[#This Row],[Ret-Act-RU]]/DaybyDay[[#This Row],[Serv-Act-RU]],"")</f>
        <v>#DIV/0!</v>
      </c>
      <c r="AB106" s="50" t="e">
        <f>IF(DaybyDay[[#This Row],[_Space]],DaybyDay[[#This Row],[RETPEN-Act]]/DaybyDay[[#This Row],[RETPEN-Bud]],"")</f>
        <v>#DIV/0!</v>
      </c>
      <c r="AC106" s="37" t="e">
        <f>IF(DaybyDay[[#This Row],[_Space]],DaybyDay[[#This Row],[Ret-Bud-RU]]/DaybyDay[[#This Row],[Serv-Bud-RU]],"")</f>
        <v>#DIV/0!</v>
      </c>
      <c r="AD106" s="37" t="e">
        <f>IF(DaybyDay[[#This Row],[_Space]],DaybyDay[[#This Row],[Ret-LY-RU]]/DaybyDay[[#This Row],[Serv-LY-RU]],"")</f>
        <v>#DIV/0!</v>
      </c>
      <c r="AE106" s="30">
        <f>WEEKDAY(DaybyDay[[#This Row],[LY-Date]])</f>
        <v>2</v>
      </c>
      <c r="AF106" s="38">
        <f>$E$2+_xlfn.DAYS(DaybyDay[[#This Row],[Date]],minDate)</f>
        <v>42471</v>
      </c>
      <c r="AG106" s="39" t="str" cm="1">
        <f t="array" ref="AG106">IFERROR(INDEX(DaybyDay[],DaybyDay[[#This Row],[FORM_MATCH_HELPER]],8),"")</f>
        <v/>
      </c>
      <c r="AH106" s="39" t="str" cm="1">
        <f t="array" ref="AH106">IFERROR(INDEX(DaybyDay[],DaybyDay[[#This Row],[FORM_MATCH_HELPER]],10),"")</f>
        <v/>
      </c>
      <c r="AI106" s="39" t="str" cm="1">
        <f t="array" ref="AI106">IFERROR(INDEX(DaybyDay[],DaybyDay[[#This Row],[FORM_MATCH_HELPER]],12),"")</f>
        <v/>
      </c>
      <c r="AJ106" s="32">
        <f>IFERROR(DaybyDay[[#This Row],[Serv-LY-RU]]+DaybyDay[[#This Row],[Ret-LY-RU]],"")</f>
        <v>0</v>
      </c>
      <c r="AK1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 s="77"/>
      <c r="AM106" s="40" t="str">
        <f>IF(DaybyDay[[#This Row],[Admin Hours]]&gt;0,DaybyDay[[#This Row],[Admin Hours]]*$AM$2+$AM$3,"")</f>
        <v/>
      </c>
      <c r="AN106" s="40">
        <f>SUMIFS(DaybyDay[Est-Admin-Payroll],DaybyDay[Date],"&gt;="&amp;$C$5,DaybyDay[RowYear],"&gt;="&amp;$C$4,DaybyDay[Date],"&lt;="&amp;DaybyDay[[#This Row],[Date]])</f>
        <v>0</v>
      </c>
      <c r="AO106" s="41" t="str">
        <f>IF(AND(DaybyDay[[#This Row],[_Space]],ISNUMBER(DaybyDay[[#This Row],[Admin Hours]])),DaybyDay[[#This Row],[Est-Admin-Payroll]]/(DaybyDay[[#This Row],[Service-Actuals]]+DaybyDay[[#This Row],[Retail-Actuals]]),"")</f>
        <v/>
      </c>
      <c r="AP106" s="41" t="e">
        <f>DaybyDay[[#This Row],[Estimated-Payroll-Rollup]]/DaybyDay[[#This Row],[Simple-Forecast]]</f>
        <v>#DIV/0!</v>
      </c>
      <c r="AQ1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 s="77"/>
      <c r="AS106" s="40" t="str">
        <f>IF(DaybyDay[[#This Row],[Retail Hours]]&gt;0,DaybyDay[[#This Row],[Retail Hours]]*$AS$2,"")</f>
        <v/>
      </c>
      <c r="AT106" s="40">
        <f>SUMIFS(DaybyDay[Est-Retail-Payroll],DaybyDay[Date],"&gt;="&amp;$C$5,DaybyDay[RowYear],"&gt;="&amp;$C$4,DaybyDay[Date],"&lt;="&amp;DaybyDay[[#This Row],[Date]])</f>
        <v>0</v>
      </c>
      <c r="AU106" s="82" t="str">
        <f>IF(AND(DaybyDay[[#This Row],[_Space]],ISNUMBER(DaybyDay[[#This Row],[Retail Hours]])),DaybyDay[[#This Row],[Est-Retail-Payroll]]/(DaybyDay[[#This Row],[Retail-Actuals]]),"")</f>
        <v/>
      </c>
      <c r="AV106" s="82" t="e">
        <f>DaybyDay[[#This Row],[Est-Retail-PayrollRU]]/DaybyDay[[#This Row],[Simple-Forecast-Retail]]</f>
        <v>#DIV/0!</v>
      </c>
      <c r="AW106" s="8"/>
    </row>
    <row r="107" spans="3:49" hidden="1" x14ac:dyDescent="0.25">
      <c r="C107" s="26" t="str">
        <f>Tools!$C$1</f>
        <v>Example</v>
      </c>
      <c r="D107" s="27" t="s">
        <v>71</v>
      </c>
      <c r="E107" s="28">
        <v>2017</v>
      </c>
      <c r="F107" s="28">
        <f>MATCH(DaybyDay[[#This Row],[RowMonth]],Table3[SummaryMonth],0)</f>
        <v>4</v>
      </c>
      <c r="G107" s="29" t="e">
        <f>MATCH(DaybyDay[[#This Row],[LY-Date]],DaybyDay[Date],0)</f>
        <v>#N/A</v>
      </c>
      <c r="H107" s="30">
        <f>WEEKDAY(DaybyDay[[#This Row],[Date]])</f>
        <v>3</v>
      </c>
      <c r="I107" s="31">
        <v>42836</v>
      </c>
      <c r="J107" s="74">
        <v>22</v>
      </c>
      <c r="K107" s="32">
        <f>SUMIFS(BudgetSeasonality[365 Seasonality],BudgetSeasonality[MonthAdjustment],DaybyDay[[#This Row],[Date]])*SUMIFS(Budgets[Service-Budget],Budgets[BudgetMonth],DaybyDay[[#This Row],[RowMonth]],Budgets[BudgetYear],DaybyDay[[#This Row],[RowYear]])</f>
        <v>0</v>
      </c>
      <c r="L107" s="75">
        <v>4115.8999999999996</v>
      </c>
      <c r="M107" s="32">
        <f>INDEX(BudgetSeasonality[365 Seasonality],MATCH(DaybyDay[[#This Row],[Date]],BudgetSeasonality[MonthAdjustment],0))*SUMIFS(Budgets[Retail-Budget],Budgets[BudgetMonth],DaybyDay[[#This Row],[RowMonth]],Budgets[BudgetYear],DaybyDay[[#This Row],[RowYear]])</f>
        <v>0</v>
      </c>
      <c r="N107" s="75">
        <v>357.75</v>
      </c>
      <c r="O107" s="33">
        <f>SUMIFS(DaybyDay[Service-Budgets],DaybyDay[Date],"&gt;="&amp;$C$5,DaybyDay[RowYear],"&gt;="&amp;$C$4,DaybyDay[Date],"&lt;="&amp;DaybyDay[[#This Row],[Date]])</f>
        <v>0</v>
      </c>
      <c r="P107" s="33">
        <f>SUMIFS(DaybyDay[Retail-Budgets],DaybyDay[Date],"&gt;="&amp;$C$5,DaybyDay[RowYear],"&gt;="&amp;$C$4,DaybyDay[Date],"&lt;="&amp;DaybyDay[[#This Row],[Date]])</f>
        <v>0</v>
      </c>
      <c r="Q107" s="34">
        <f>SUMIFS(DaybyDay[Service-Actuals],DaybyDay[Date],"&gt;="&amp;$C$5,DaybyDay[RowYear],"&gt;="&amp;$C$4,DaybyDay[Date],"&lt;="&amp;DaybyDay[[#This Row],[Date]])</f>
        <v>0</v>
      </c>
      <c r="R107" s="34">
        <f>SUMIFS(DaybyDay[Retail-Actuals],DaybyDay[Date],"&gt;="&amp;$C$5,DaybyDay[RowYear],"&gt;="&amp;$C$4,DaybyDay[Date],"&lt;="&amp;DaybyDay[[#This Row],[Date]])</f>
        <v>0</v>
      </c>
      <c r="S107" s="35">
        <f>SUMIFS(DaybyDay[Service-LY],DaybyDay[Date],"&gt;="&amp;$C$5,DaybyDay[RowYear],"&gt;="&amp;$C$4,DaybyDay[Date],"&lt;="&amp;DaybyDay[[#This Row],[Date]])</f>
        <v>0</v>
      </c>
      <c r="T107" s="35">
        <f>SUMIFS(DaybyDay[Retail-LY],DaybyDay[Date],"&gt;="&amp;$C$5,DaybyDay[RowYear],"&gt;="&amp;$C$4,DaybyDay[Date],"&lt;="&amp;DaybyDay[[#This Row],[Date]])</f>
        <v>0</v>
      </c>
      <c r="U107" s="32">
        <f>DaybyDay[[#This Row],[Serv-Bud-RU]]+DaybyDay[[#This Row],[Ret-Bud-RU]]</f>
        <v>0</v>
      </c>
      <c r="V107" s="32">
        <f>DaybyDay[[#This Row],[Serv-Act-RU]]+DaybyDay[[#This Row],[Ret-Act-RU]]</f>
        <v>0</v>
      </c>
      <c r="W107" s="36">
        <f>IF(DaybyDay[[#This Row],[_Space]],IFERROR(
((DaybyDay[[#This Row],[Actual-Rollup]]-DaybyDay[[#This Row],[Budget-Rollup]])/DaybyDay[[#This Row],[Budget-Rollup]]),0),"")</f>
        <v>0</v>
      </c>
      <c r="X107" t="b">
        <f>NOT(AND(ISBLANK(DaybyDay[[#This Row],[Appts]]),ISBLANK(DaybyDay[[#This Row],[Service-Actuals]]),ISBLANK(DaybyDay[[#This Row],[Retail-Actuals]])))</f>
        <v>1</v>
      </c>
      <c r="Y107" s="36">
        <f>IF(DaybyDay[[#This Row],[_Space]],IFERROR(
((DaybyDay[[#This Row],[Actual-Rollup]]-DaybyDay[[#This Row],[LY-Rollup]])/DaybyDay[[#This Row],[LY-Rollup]]),0),"")</f>
        <v>0</v>
      </c>
      <c r="Z107"/>
      <c r="AA107" s="37" t="e">
        <f>IF(DaybyDay[[#This Row],[_Space]],DaybyDay[[#This Row],[Ret-Act-RU]]/DaybyDay[[#This Row],[Serv-Act-RU]],"")</f>
        <v>#DIV/0!</v>
      </c>
      <c r="AB107" s="50" t="e">
        <f>IF(DaybyDay[[#This Row],[_Space]],DaybyDay[[#This Row],[RETPEN-Act]]/DaybyDay[[#This Row],[RETPEN-Bud]],"")</f>
        <v>#DIV/0!</v>
      </c>
      <c r="AC107" s="37" t="e">
        <f>IF(DaybyDay[[#This Row],[_Space]],DaybyDay[[#This Row],[Ret-Bud-RU]]/DaybyDay[[#This Row],[Serv-Bud-RU]],"")</f>
        <v>#DIV/0!</v>
      </c>
      <c r="AD107" s="37" t="e">
        <f>IF(DaybyDay[[#This Row],[_Space]],DaybyDay[[#This Row],[Ret-LY-RU]]/DaybyDay[[#This Row],[Serv-LY-RU]],"")</f>
        <v>#DIV/0!</v>
      </c>
      <c r="AE107" s="30">
        <f>WEEKDAY(DaybyDay[[#This Row],[LY-Date]])</f>
        <v>3</v>
      </c>
      <c r="AF107" s="38">
        <f>$E$2+_xlfn.DAYS(DaybyDay[[#This Row],[Date]],minDate)</f>
        <v>42472</v>
      </c>
      <c r="AG107" s="39" t="str" cm="1">
        <f t="array" ref="AG107">IFERROR(INDEX(DaybyDay[],DaybyDay[[#This Row],[FORM_MATCH_HELPER]],8),"")</f>
        <v/>
      </c>
      <c r="AH107" s="39" t="str" cm="1">
        <f t="array" ref="AH107">IFERROR(INDEX(DaybyDay[],DaybyDay[[#This Row],[FORM_MATCH_HELPER]],10),"")</f>
        <v/>
      </c>
      <c r="AI107" s="39" t="str" cm="1">
        <f t="array" ref="AI107">IFERROR(INDEX(DaybyDay[],DaybyDay[[#This Row],[FORM_MATCH_HELPER]],12),"")</f>
        <v/>
      </c>
      <c r="AJ107" s="32">
        <f>IFERROR(DaybyDay[[#This Row],[Serv-LY-RU]]+DaybyDay[[#This Row],[Ret-LY-RU]],"")</f>
        <v>0</v>
      </c>
      <c r="AK1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 s="77"/>
      <c r="AM107" s="40" t="str">
        <f>IF(DaybyDay[[#This Row],[Admin Hours]]&gt;0,DaybyDay[[#This Row],[Admin Hours]]*$AM$2+$AM$3,"")</f>
        <v/>
      </c>
      <c r="AN107" s="40">
        <f>SUMIFS(DaybyDay[Est-Admin-Payroll],DaybyDay[Date],"&gt;="&amp;$C$5,DaybyDay[RowYear],"&gt;="&amp;$C$4,DaybyDay[Date],"&lt;="&amp;DaybyDay[[#This Row],[Date]])</f>
        <v>0</v>
      </c>
      <c r="AO107" s="41" t="str">
        <f>IF(AND(DaybyDay[[#This Row],[_Space]],ISNUMBER(DaybyDay[[#This Row],[Admin Hours]])),DaybyDay[[#This Row],[Est-Admin-Payroll]]/(DaybyDay[[#This Row],[Service-Actuals]]+DaybyDay[[#This Row],[Retail-Actuals]]),"")</f>
        <v/>
      </c>
      <c r="AP107" s="41" t="e">
        <f>DaybyDay[[#This Row],[Estimated-Payroll-Rollup]]/DaybyDay[[#This Row],[Simple-Forecast]]</f>
        <v>#DIV/0!</v>
      </c>
      <c r="AQ1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 s="77"/>
      <c r="AS107" s="40" t="str">
        <f>IF(DaybyDay[[#This Row],[Retail Hours]]&gt;0,DaybyDay[[#This Row],[Retail Hours]]*$AS$2,"")</f>
        <v/>
      </c>
      <c r="AT107" s="40">
        <f>SUMIFS(DaybyDay[Est-Retail-Payroll],DaybyDay[Date],"&gt;="&amp;$C$5,DaybyDay[RowYear],"&gt;="&amp;$C$4,DaybyDay[Date],"&lt;="&amp;DaybyDay[[#This Row],[Date]])</f>
        <v>0</v>
      </c>
      <c r="AU107" s="82" t="str">
        <f>IF(AND(DaybyDay[[#This Row],[_Space]],ISNUMBER(DaybyDay[[#This Row],[Retail Hours]])),DaybyDay[[#This Row],[Est-Retail-Payroll]]/(DaybyDay[[#This Row],[Retail-Actuals]]),"")</f>
        <v/>
      </c>
      <c r="AV107" s="82" t="e">
        <f>DaybyDay[[#This Row],[Est-Retail-PayrollRU]]/DaybyDay[[#This Row],[Simple-Forecast-Retail]]</f>
        <v>#DIV/0!</v>
      </c>
      <c r="AW107" s="8"/>
    </row>
    <row r="108" spans="3:49" hidden="1" x14ac:dyDescent="0.25">
      <c r="C108" s="26" t="str">
        <f>Tools!$C$1</f>
        <v>Example</v>
      </c>
      <c r="D108" s="27" t="s">
        <v>71</v>
      </c>
      <c r="E108" s="28">
        <v>2017</v>
      </c>
      <c r="F108" s="28">
        <f>MATCH(DaybyDay[[#This Row],[RowMonth]],Table3[SummaryMonth],0)</f>
        <v>4</v>
      </c>
      <c r="G108" s="29" t="e">
        <f>MATCH(DaybyDay[[#This Row],[LY-Date]],DaybyDay[Date],0)</f>
        <v>#N/A</v>
      </c>
      <c r="H108" s="30">
        <f>WEEKDAY(DaybyDay[[#This Row],[Date]])</f>
        <v>4</v>
      </c>
      <c r="I108" s="31">
        <v>42837</v>
      </c>
      <c r="J108" s="74">
        <v>18</v>
      </c>
      <c r="K108" s="32">
        <f>SUMIFS(BudgetSeasonality[365 Seasonality],BudgetSeasonality[MonthAdjustment],DaybyDay[[#This Row],[Date]])*SUMIFS(Budgets[Service-Budget],Budgets[BudgetMonth],DaybyDay[[#This Row],[RowMonth]],Budgets[BudgetYear],DaybyDay[[#This Row],[RowYear]])</f>
        <v>0</v>
      </c>
      <c r="L108" s="75">
        <v>3669.2</v>
      </c>
      <c r="M108" s="32">
        <f>INDEX(BudgetSeasonality[365 Seasonality],MATCH(DaybyDay[[#This Row],[Date]],BudgetSeasonality[MonthAdjustment],0))*SUMIFS(Budgets[Retail-Budget],Budgets[BudgetMonth],DaybyDay[[#This Row],[RowMonth]],Budgets[BudgetYear],DaybyDay[[#This Row],[RowYear]])</f>
        <v>0</v>
      </c>
      <c r="N108" s="75">
        <v>1196</v>
      </c>
      <c r="O108" s="33">
        <f>SUMIFS(DaybyDay[Service-Budgets],DaybyDay[Date],"&gt;="&amp;$C$5,DaybyDay[RowYear],"&gt;="&amp;$C$4,DaybyDay[Date],"&lt;="&amp;DaybyDay[[#This Row],[Date]])</f>
        <v>0</v>
      </c>
      <c r="P108" s="33">
        <f>SUMIFS(DaybyDay[Retail-Budgets],DaybyDay[Date],"&gt;="&amp;$C$5,DaybyDay[RowYear],"&gt;="&amp;$C$4,DaybyDay[Date],"&lt;="&amp;DaybyDay[[#This Row],[Date]])</f>
        <v>0</v>
      </c>
      <c r="Q108" s="34">
        <f>SUMIFS(DaybyDay[Service-Actuals],DaybyDay[Date],"&gt;="&amp;$C$5,DaybyDay[RowYear],"&gt;="&amp;$C$4,DaybyDay[Date],"&lt;="&amp;DaybyDay[[#This Row],[Date]])</f>
        <v>0</v>
      </c>
      <c r="R108" s="34">
        <f>SUMIFS(DaybyDay[Retail-Actuals],DaybyDay[Date],"&gt;="&amp;$C$5,DaybyDay[RowYear],"&gt;="&amp;$C$4,DaybyDay[Date],"&lt;="&amp;DaybyDay[[#This Row],[Date]])</f>
        <v>0</v>
      </c>
      <c r="S108" s="35">
        <f>SUMIFS(DaybyDay[Service-LY],DaybyDay[Date],"&gt;="&amp;$C$5,DaybyDay[RowYear],"&gt;="&amp;$C$4,DaybyDay[Date],"&lt;="&amp;DaybyDay[[#This Row],[Date]])</f>
        <v>0</v>
      </c>
      <c r="T108" s="35">
        <f>SUMIFS(DaybyDay[Retail-LY],DaybyDay[Date],"&gt;="&amp;$C$5,DaybyDay[RowYear],"&gt;="&amp;$C$4,DaybyDay[Date],"&lt;="&amp;DaybyDay[[#This Row],[Date]])</f>
        <v>0</v>
      </c>
      <c r="U108" s="32">
        <f>DaybyDay[[#This Row],[Serv-Bud-RU]]+DaybyDay[[#This Row],[Ret-Bud-RU]]</f>
        <v>0</v>
      </c>
      <c r="V108" s="32">
        <f>DaybyDay[[#This Row],[Serv-Act-RU]]+DaybyDay[[#This Row],[Ret-Act-RU]]</f>
        <v>0</v>
      </c>
      <c r="W108" s="36">
        <f>IF(DaybyDay[[#This Row],[_Space]],IFERROR(
((DaybyDay[[#This Row],[Actual-Rollup]]-DaybyDay[[#This Row],[Budget-Rollup]])/DaybyDay[[#This Row],[Budget-Rollup]]),0),"")</f>
        <v>0</v>
      </c>
      <c r="X108" t="b">
        <f>NOT(AND(ISBLANK(DaybyDay[[#This Row],[Appts]]),ISBLANK(DaybyDay[[#This Row],[Service-Actuals]]),ISBLANK(DaybyDay[[#This Row],[Retail-Actuals]])))</f>
        <v>1</v>
      </c>
      <c r="Y108" s="36">
        <f>IF(DaybyDay[[#This Row],[_Space]],IFERROR(
((DaybyDay[[#This Row],[Actual-Rollup]]-DaybyDay[[#This Row],[LY-Rollup]])/DaybyDay[[#This Row],[LY-Rollup]]),0),"")</f>
        <v>0</v>
      </c>
      <c r="Z108"/>
      <c r="AA108" s="37" t="e">
        <f>IF(DaybyDay[[#This Row],[_Space]],DaybyDay[[#This Row],[Ret-Act-RU]]/DaybyDay[[#This Row],[Serv-Act-RU]],"")</f>
        <v>#DIV/0!</v>
      </c>
      <c r="AB108" s="50" t="e">
        <f>IF(DaybyDay[[#This Row],[_Space]],DaybyDay[[#This Row],[RETPEN-Act]]/DaybyDay[[#This Row],[RETPEN-Bud]],"")</f>
        <v>#DIV/0!</v>
      </c>
      <c r="AC108" s="37" t="e">
        <f>IF(DaybyDay[[#This Row],[_Space]],DaybyDay[[#This Row],[Ret-Bud-RU]]/DaybyDay[[#This Row],[Serv-Bud-RU]],"")</f>
        <v>#DIV/0!</v>
      </c>
      <c r="AD108" s="37" t="e">
        <f>IF(DaybyDay[[#This Row],[_Space]],DaybyDay[[#This Row],[Ret-LY-RU]]/DaybyDay[[#This Row],[Serv-LY-RU]],"")</f>
        <v>#DIV/0!</v>
      </c>
      <c r="AE108" s="30">
        <f>WEEKDAY(DaybyDay[[#This Row],[LY-Date]])</f>
        <v>4</v>
      </c>
      <c r="AF108" s="38">
        <f>$E$2+_xlfn.DAYS(DaybyDay[[#This Row],[Date]],minDate)</f>
        <v>42473</v>
      </c>
      <c r="AG108" s="39" t="str" cm="1">
        <f t="array" ref="AG108">IFERROR(INDEX(DaybyDay[],DaybyDay[[#This Row],[FORM_MATCH_HELPER]],8),"")</f>
        <v/>
      </c>
      <c r="AH108" s="39" t="str" cm="1">
        <f t="array" ref="AH108">IFERROR(INDEX(DaybyDay[],DaybyDay[[#This Row],[FORM_MATCH_HELPER]],10),"")</f>
        <v/>
      </c>
      <c r="AI108" s="39" t="str" cm="1">
        <f t="array" ref="AI108">IFERROR(INDEX(DaybyDay[],DaybyDay[[#This Row],[FORM_MATCH_HELPER]],12),"")</f>
        <v/>
      </c>
      <c r="AJ108" s="32">
        <f>IFERROR(DaybyDay[[#This Row],[Serv-LY-RU]]+DaybyDay[[#This Row],[Ret-LY-RU]],"")</f>
        <v>0</v>
      </c>
      <c r="AK1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 s="77"/>
      <c r="AM108" s="40" t="str">
        <f>IF(DaybyDay[[#This Row],[Admin Hours]]&gt;0,DaybyDay[[#This Row],[Admin Hours]]*$AM$2+$AM$3,"")</f>
        <v/>
      </c>
      <c r="AN108" s="40">
        <f>SUMIFS(DaybyDay[Est-Admin-Payroll],DaybyDay[Date],"&gt;="&amp;$C$5,DaybyDay[RowYear],"&gt;="&amp;$C$4,DaybyDay[Date],"&lt;="&amp;DaybyDay[[#This Row],[Date]])</f>
        <v>0</v>
      </c>
      <c r="AO108" s="41" t="str">
        <f>IF(AND(DaybyDay[[#This Row],[_Space]],ISNUMBER(DaybyDay[[#This Row],[Admin Hours]])),DaybyDay[[#This Row],[Est-Admin-Payroll]]/(DaybyDay[[#This Row],[Service-Actuals]]+DaybyDay[[#This Row],[Retail-Actuals]]),"")</f>
        <v/>
      </c>
      <c r="AP108" s="41" t="e">
        <f>DaybyDay[[#This Row],[Estimated-Payroll-Rollup]]/DaybyDay[[#This Row],[Simple-Forecast]]</f>
        <v>#DIV/0!</v>
      </c>
      <c r="AQ1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 s="77"/>
      <c r="AS108" s="40" t="str">
        <f>IF(DaybyDay[[#This Row],[Retail Hours]]&gt;0,DaybyDay[[#This Row],[Retail Hours]]*$AS$2,"")</f>
        <v/>
      </c>
      <c r="AT108" s="40">
        <f>SUMIFS(DaybyDay[Est-Retail-Payroll],DaybyDay[Date],"&gt;="&amp;$C$5,DaybyDay[RowYear],"&gt;="&amp;$C$4,DaybyDay[Date],"&lt;="&amp;DaybyDay[[#This Row],[Date]])</f>
        <v>0</v>
      </c>
      <c r="AU108" s="82" t="str">
        <f>IF(AND(DaybyDay[[#This Row],[_Space]],ISNUMBER(DaybyDay[[#This Row],[Retail Hours]])),DaybyDay[[#This Row],[Est-Retail-Payroll]]/(DaybyDay[[#This Row],[Retail-Actuals]]),"")</f>
        <v/>
      </c>
      <c r="AV108" s="82" t="e">
        <f>DaybyDay[[#This Row],[Est-Retail-PayrollRU]]/DaybyDay[[#This Row],[Simple-Forecast-Retail]]</f>
        <v>#DIV/0!</v>
      </c>
      <c r="AW108" s="8"/>
    </row>
    <row r="109" spans="3:49" hidden="1" x14ac:dyDescent="0.25">
      <c r="C109" s="26" t="str">
        <f>Tools!$C$1</f>
        <v>Example</v>
      </c>
      <c r="D109" s="27" t="s">
        <v>71</v>
      </c>
      <c r="E109" s="28">
        <v>2017</v>
      </c>
      <c r="F109" s="28">
        <f>MATCH(DaybyDay[[#This Row],[RowMonth]],Table3[SummaryMonth],0)</f>
        <v>4</v>
      </c>
      <c r="G109" s="29" t="e">
        <f>MATCH(DaybyDay[[#This Row],[LY-Date]],DaybyDay[Date],0)</f>
        <v>#N/A</v>
      </c>
      <c r="H109" s="30">
        <f>WEEKDAY(DaybyDay[[#This Row],[Date]])</f>
        <v>5</v>
      </c>
      <c r="I109" s="31">
        <v>42838</v>
      </c>
      <c r="J109" s="74">
        <v>33</v>
      </c>
      <c r="K109" s="32">
        <f>SUMIFS(BudgetSeasonality[365 Seasonality],BudgetSeasonality[MonthAdjustment],DaybyDay[[#This Row],[Date]])*SUMIFS(Budgets[Service-Budget],Budgets[BudgetMonth],DaybyDay[[#This Row],[RowMonth]],Budgets[BudgetYear],DaybyDay[[#This Row],[RowYear]])</f>
        <v>0</v>
      </c>
      <c r="L109" s="75">
        <v>9675.4</v>
      </c>
      <c r="M109" s="32">
        <f>INDEX(BudgetSeasonality[365 Seasonality],MATCH(DaybyDay[[#This Row],[Date]],BudgetSeasonality[MonthAdjustment],0))*SUMIFS(Budgets[Retail-Budget],Budgets[BudgetMonth],DaybyDay[[#This Row],[RowMonth]],Budgets[BudgetYear],DaybyDay[[#This Row],[RowYear]])</f>
        <v>0</v>
      </c>
      <c r="N109" s="75">
        <v>1678.75</v>
      </c>
      <c r="O109" s="33">
        <f>SUMIFS(DaybyDay[Service-Budgets],DaybyDay[Date],"&gt;="&amp;$C$5,DaybyDay[RowYear],"&gt;="&amp;$C$4,DaybyDay[Date],"&lt;="&amp;DaybyDay[[#This Row],[Date]])</f>
        <v>0</v>
      </c>
      <c r="P109" s="33">
        <f>SUMIFS(DaybyDay[Retail-Budgets],DaybyDay[Date],"&gt;="&amp;$C$5,DaybyDay[RowYear],"&gt;="&amp;$C$4,DaybyDay[Date],"&lt;="&amp;DaybyDay[[#This Row],[Date]])</f>
        <v>0</v>
      </c>
      <c r="Q109" s="34">
        <f>SUMIFS(DaybyDay[Service-Actuals],DaybyDay[Date],"&gt;="&amp;$C$5,DaybyDay[RowYear],"&gt;="&amp;$C$4,DaybyDay[Date],"&lt;="&amp;DaybyDay[[#This Row],[Date]])</f>
        <v>0</v>
      </c>
      <c r="R109" s="34">
        <f>SUMIFS(DaybyDay[Retail-Actuals],DaybyDay[Date],"&gt;="&amp;$C$5,DaybyDay[RowYear],"&gt;="&amp;$C$4,DaybyDay[Date],"&lt;="&amp;DaybyDay[[#This Row],[Date]])</f>
        <v>0</v>
      </c>
      <c r="S109" s="35">
        <f>SUMIFS(DaybyDay[Service-LY],DaybyDay[Date],"&gt;="&amp;$C$5,DaybyDay[RowYear],"&gt;="&amp;$C$4,DaybyDay[Date],"&lt;="&amp;DaybyDay[[#This Row],[Date]])</f>
        <v>0</v>
      </c>
      <c r="T109" s="35">
        <f>SUMIFS(DaybyDay[Retail-LY],DaybyDay[Date],"&gt;="&amp;$C$5,DaybyDay[RowYear],"&gt;="&amp;$C$4,DaybyDay[Date],"&lt;="&amp;DaybyDay[[#This Row],[Date]])</f>
        <v>0</v>
      </c>
      <c r="U109" s="32">
        <f>DaybyDay[[#This Row],[Serv-Bud-RU]]+DaybyDay[[#This Row],[Ret-Bud-RU]]</f>
        <v>0</v>
      </c>
      <c r="V109" s="32">
        <f>DaybyDay[[#This Row],[Serv-Act-RU]]+DaybyDay[[#This Row],[Ret-Act-RU]]</f>
        <v>0</v>
      </c>
      <c r="W109" s="36">
        <f>IF(DaybyDay[[#This Row],[_Space]],IFERROR(
((DaybyDay[[#This Row],[Actual-Rollup]]-DaybyDay[[#This Row],[Budget-Rollup]])/DaybyDay[[#This Row],[Budget-Rollup]]),0),"")</f>
        <v>0</v>
      </c>
      <c r="X109" t="b">
        <f>NOT(AND(ISBLANK(DaybyDay[[#This Row],[Appts]]),ISBLANK(DaybyDay[[#This Row],[Service-Actuals]]),ISBLANK(DaybyDay[[#This Row],[Retail-Actuals]])))</f>
        <v>1</v>
      </c>
      <c r="Y109" s="36">
        <f>IF(DaybyDay[[#This Row],[_Space]],IFERROR(
((DaybyDay[[#This Row],[Actual-Rollup]]-DaybyDay[[#This Row],[LY-Rollup]])/DaybyDay[[#This Row],[LY-Rollup]]),0),"")</f>
        <v>0</v>
      </c>
      <c r="Z109"/>
      <c r="AA109" s="37" t="e">
        <f>IF(DaybyDay[[#This Row],[_Space]],DaybyDay[[#This Row],[Ret-Act-RU]]/DaybyDay[[#This Row],[Serv-Act-RU]],"")</f>
        <v>#DIV/0!</v>
      </c>
      <c r="AB109" s="50" t="e">
        <f>IF(DaybyDay[[#This Row],[_Space]],DaybyDay[[#This Row],[RETPEN-Act]]/DaybyDay[[#This Row],[RETPEN-Bud]],"")</f>
        <v>#DIV/0!</v>
      </c>
      <c r="AC109" s="37" t="e">
        <f>IF(DaybyDay[[#This Row],[_Space]],DaybyDay[[#This Row],[Ret-Bud-RU]]/DaybyDay[[#This Row],[Serv-Bud-RU]],"")</f>
        <v>#DIV/0!</v>
      </c>
      <c r="AD109" s="37" t="e">
        <f>IF(DaybyDay[[#This Row],[_Space]],DaybyDay[[#This Row],[Ret-LY-RU]]/DaybyDay[[#This Row],[Serv-LY-RU]],"")</f>
        <v>#DIV/0!</v>
      </c>
      <c r="AE109" s="30">
        <f>WEEKDAY(DaybyDay[[#This Row],[LY-Date]])</f>
        <v>5</v>
      </c>
      <c r="AF109" s="38">
        <f>$E$2+_xlfn.DAYS(DaybyDay[[#This Row],[Date]],minDate)</f>
        <v>42474</v>
      </c>
      <c r="AG109" s="39" t="str" cm="1">
        <f t="array" ref="AG109">IFERROR(INDEX(DaybyDay[],DaybyDay[[#This Row],[FORM_MATCH_HELPER]],8),"")</f>
        <v/>
      </c>
      <c r="AH109" s="39" t="str" cm="1">
        <f t="array" ref="AH109">IFERROR(INDEX(DaybyDay[],DaybyDay[[#This Row],[FORM_MATCH_HELPER]],10),"")</f>
        <v/>
      </c>
      <c r="AI109" s="39" t="str" cm="1">
        <f t="array" ref="AI109">IFERROR(INDEX(DaybyDay[],DaybyDay[[#This Row],[FORM_MATCH_HELPER]],12),"")</f>
        <v/>
      </c>
      <c r="AJ109" s="32">
        <f>IFERROR(DaybyDay[[#This Row],[Serv-LY-RU]]+DaybyDay[[#This Row],[Ret-LY-RU]],"")</f>
        <v>0</v>
      </c>
      <c r="AK1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 s="77"/>
      <c r="AM109" s="40" t="str">
        <f>IF(DaybyDay[[#This Row],[Admin Hours]]&gt;0,DaybyDay[[#This Row],[Admin Hours]]*$AM$2+$AM$3,"")</f>
        <v/>
      </c>
      <c r="AN109" s="40">
        <f>SUMIFS(DaybyDay[Est-Admin-Payroll],DaybyDay[Date],"&gt;="&amp;$C$5,DaybyDay[RowYear],"&gt;="&amp;$C$4,DaybyDay[Date],"&lt;="&amp;DaybyDay[[#This Row],[Date]])</f>
        <v>0</v>
      </c>
      <c r="AO109" s="41" t="str">
        <f>IF(AND(DaybyDay[[#This Row],[_Space]],ISNUMBER(DaybyDay[[#This Row],[Admin Hours]])),DaybyDay[[#This Row],[Est-Admin-Payroll]]/(DaybyDay[[#This Row],[Service-Actuals]]+DaybyDay[[#This Row],[Retail-Actuals]]),"")</f>
        <v/>
      </c>
      <c r="AP109" s="41" t="e">
        <f>DaybyDay[[#This Row],[Estimated-Payroll-Rollup]]/DaybyDay[[#This Row],[Simple-Forecast]]</f>
        <v>#DIV/0!</v>
      </c>
      <c r="AQ1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 s="77"/>
      <c r="AS109" s="40" t="str">
        <f>IF(DaybyDay[[#This Row],[Retail Hours]]&gt;0,DaybyDay[[#This Row],[Retail Hours]]*$AS$2,"")</f>
        <v/>
      </c>
      <c r="AT109" s="40">
        <f>SUMIFS(DaybyDay[Est-Retail-Payroll],DaybyDay[Date],"&gt;="&amp;$C$5,DaybyDay[RowYear],"&gt;="&amp;$C$4,DaybyDay[Date],"&lt;="&amp;DaybyDay[[#This Row],[Date]])</f>
        <v>0</v>
      </c>
      <c r="AU109" s="82" t="str">
        <f>IF(AND(DaybyDay[[#This Row],[_Space]],ISNUMBER(DaybyDay[[#This Row],[Retail Hours]])),DaybyDay[[#This Row],[Est-Retail-Payroll]]/(DaybyDay[[#This Row],[Retail-Actuals]]),"")</f>
        <v/>
      </c>
      <c r="AV109" s="82" t="e">
        <f>DaybyDay[[#This Row],[Est-Retail-PayrollRU]]/DaybyDay[[#This Row],[Simple-Forecast-Retail]]</f>
        <v>#DIV/0!</v>
      </c>
      <c r="AW109" s="8"/>
    </row>
    <row r="110" spans="3:49" hidden="1" x14ac:dyDescent="0.25">
      <c r="C110" s="26" t="str">
        <f>Tools!$C$1</f>
        <v>Example</v>
      </c>
      <c r="D110" s="27" t="s">
        <v>71</v>
      </c>
      <c r="E110" s="28">
        <v>2017</v>
      </c>
      <c r="F110" s="28">
        <f>MATCH(DaybyDay[[#This Row],[RowMonth]],Table3[SummaryMonth],0)</f>
        <v>4</v>
      </c>
      <c r="G110" s="29" t="e">
        <f>MATCH(DaybyDay[[#This Row],[LY-Date]],DaybyDay[Date],0)</f>
        <v>#N/A</v>
      </c>
      <c r="H110" s="30">
        <f>WEEKDAY(DaybyDay[[#This Row],[Date]])</f>
        <v>6</v>
      </c>
      <c r="I110" s="31">
        <v>42839</v>
      </c>
      <c r="J110" s="74">
        <v>40</v>
      </c>
      <c r="K110" s="32">
        <f>SUMIFS(BudgetSeasonality[365 Seasonality],BudgetSeasonality[MonthAdjustment],DaybyDay[[#This Row],[Date]])*SUMIFS(Budgets[Service-Budget],Budgets[BudgetMonth],DaybyDay[[#This Row],[RowMonth]],Budgets[BudgetYear],DaybyDay[[#This Row],[RowYear]])</f>
        <v>0</v>
      </c>
      <c r="L110" s="75">
        <v>6714.89</v>
      </c>
      <c r="M110" s="32">
        <f>INDEX(BudgetSeasonality[365 Seasonality],MATCH(DaybyDay[[#This Row],[Date]],BudgetSeasonality[MonthAdjustment],0))*SUMIFS(Budgets[Retail-Budget],Budgets[BudgetMonth],DaybyDay[[#This Row],[RowMonth]],Budgets[BudgetYear],DaybyDay[[#This Row],[RowYear]])</f>
        <v>0</v>
      </c>
      <c r="N110" s="75">
        <v>2543.75</v>
      </c>
      <c r="O110" s="33">
        <f>SUMIFS(DaybyDay[Service-Budgets],DaybyDay[Date],"&gt;="&amp;$C$5,DaybyDay[RowYear],"&gt;="&amp;$C$4,DaybyDay[Date],"&lt;="&amp;DaybyDay[[#This Row],[Date]])</f>
        <v>0</v>
      </c>
      <c r="P110" s="33">
        <f>SUMIFS(DaybyDay[Retail-Budgets],DaybyDay[Date],"&gt;="&amp;$C$5,DaybyDay[RowYear],"&gt;="&amp;$C$4,DaybyDay[Date],"&lt;="&amp;DaybyDay[[#This Row],[Date]])</f>
        <v>0</v>
      </c>
      <c r="Q110" s="34">
        <f>SUMIFS(DaybyDay[Service-Actuals],DaybyDay[Date],"&gt;="&amp;$C$5,DaybyDay[RowYear],"&gt;="&amp;$C$4,DaybyDay[Date],"&lt;="&amp;DaybyDay[[#This Row],[Date]])</f>
        <v>0</v>
      </c>
      <c r="R110" s="34">
        <f>SUMIFS(DaybyDay[Retail-Actuals],DaybyDay[Date],"&gt;="&amp;$C$5,DaybyDay[RowYear],"&gt;="&amp;$C$4,DaybyDay[Date],"&lt;="&amp;DaybyDay[[#This Row],[Date]])</f>
        <v>0</v>
      </c>
      <c r="S110" s="35">
        <f>SUMIFS(DaybyDay[Service-LY],DaybyDay[Date],"&gt;="&amp;$C$5,DaybyDay[RowYear],"&gt;="&amp;$C$4,DaybyDay[Date],"&lt;="&amp;DaybyDay[[#This Row],[Date]])</f>
        <v>0</v>
      </c>
      <c r="T110" s="35">
        <f>SUMIFS(DaybyDay[Retail-LY],DaybyDay[Date],"&gt;="&amp;$C$5,DaybyDay[RowYear],"&gt;="&amp;$C$4,DaybyDay[Date],"&lt;="&amp;DaybyDay[[#This Row],[Date]])</f>
        <v>0</v>
      </c>
      <c r="U110" s="32">
        <f>DaybyDay[[#This Row],[Serv-Bud-RU]]+DaybyDay[[#This Row],[Ret-Bud-RU]]</f>
        <v>0</v>
      </c>
      <c r="V110" s="32">
        <f>DaybyDay[[#This Row],[Serv-Act-RU]]+DaybyDay[[#This Row],[Ret-Act-RU]]</f>
        <v>0</v>
      </c>
      <c r="W110" s="36">
        <f>IF(DaybyDay[[#This Row],[_Space]],IFERROR(
((DaybyDay[[#This Row],[Actual-Rollup]]-DaybyDay[[#This Row],[Budget-Rollup]])/DaybyDay[[#This Row],[Budget-Rollup]]),0),"")</f>
        <v>0</v>
      </c>
      <c r="X110" t="b">
        <f>NOT(AND(ISBLANK(DaybyDay[[#This Row],[Appts]]),ISBLANK(DaybyDay[[#This Row],[Service-Actuals]]),ISBLANK(DaybyDay[[#This Row],[Retail-Actuals]])))</f>
        <v>1</v>
      </c>
      <c r="Y110" s="36">
        <f>IF(DaybyDay[[#This Row],[_Space]],IFERROR(
((DaybyDay[[#This Row],[Actual-Rollup]]-DaybyDay[[#This Row],[LY-Rollup]])/DaybyDay[[#This Row],[LY-Rollup]]),0),"")</f>
        <v>0</v>
      </c>
      <c r="Z110"/>
      <c r="AA110" s="37" t="e">
        <f>IF(DaybyDay[[#This Row],[_Space]],DaybyDay[[#This Row],[Ret-Act-RU]]/DaybyDay[[#This Row],[Serv-Act-RU]],"")</f>
        <v>#DIV/0!</v>
      </c>
      <c r="AB110" s="50" t="e">
        <f>IF(DaybyDay[[#This Row],[_Space]],DaybyDay[[#This Row],[RETPEN-Act]]/DaybyDay[[#This Row],[RETPEN-Bud]],"")</f>
        <v>#DIV/0!</v>
      </c>
      <c r="AC110" s="37" t="e">
        <f>IF(DaybyDay[[#This Row],[_Space]],DaybyDay[[#This Row],[Ret-Bud-RU]]/DaybyDay[[#This Row],[Serv-Bud-RU]],"")</f>
        <v>#DIV/0!</v>
      </c>
      <c r="AD110" s="37" t="e">
        <f>IF(DaybyDay[[#This Row],[_Space]],DaybyDay[[#This Row],[Ret-LY-RU]]/DaybyDay[[#This Row],[Serv-LY-RU]],"")</f>
        <v>#DIV/0!</v>
      </c>
      <c r="AE110" s="30">
        <f>WEEKDAY(DaybyDay[[#This Row],[LY-Date]])</f>
        <v>6</v>
      </c>
      <c r="AF110" s="38">
        <f>$E$2+_xlfn.DAYS(DaybyDay[[#This Row],[Date]],minDate)</f>
        <v>42475</v>
      </c>
      <c r="AG110" s="39" t="str" cm="1">
        <f t="array" ref="AG110">IFERROR(INDEX(DaybyDay[],DaybyDay[[#This Row],[FORM_MATCH_HELPER]],8),"")</f>
        <v/>
      </c>
      <c r="AH110" s="39" t="str" cm="1">
        <f t="array" ref="AH110">IFERROR(INDEX(DaybyDay[],DaybyDay[[#This Row],[FORM_MATCH_HELPER]],10),"")</f>
        <v/>
      </c>
      <c r="AI110" s="39" t="str" cm="1">
        <f t="array" ref="AI110">IFERROR(INDEX(DaybyDay[],DaybyDay[[#This Row],[FORM_MATCH_HELPER]],12),"")</f>
        <v/>
      </c>
      <c r="AJ110" s="32">
        <f>IFERROR(DaybyDay[[#This Row],[Serv-LY-RU]]+DaybyDay[[#This Row],[Ret-LY-RU]],"")</f>
        <v>0</v>
      </c>
      <c r="AK1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0" s="77"/>
      <c r="AM110" s="40" t="str">
        <f>IF(DaybyDay[[#This Row],[Admin Hours]]&gt;0,DaybyDay[[#This Row],[Admin Hours]]*$AM$2+$AM$3,"")</f>
        <v/>
      </c>
      <c r="AN110" s="40">
        <f>SUMIFS(DaybyDay[Est-Admin-Payroll],DaybyDay[Date],"&gt;="&amp;$C$5,DaybyDay[RowYear],"&gt;="&amp;$C$4,DaybyDay[Date],"&lt;="&amp;DaybyDay[[#This Row],[Date]])</f>
        <v>0</v>
      </c>
      <c r="AO110" s="41" t="str">
        <f>IF(AND(DaybyDay[[#This Row],[_Space]],ISNUMBER(DaybyDay[[#This Row],[Admin Hours]])),DaybyDay[[#This Row],[Est-Admin-Payroll]]/(DaybyDay[[#This Row],[Service-Actuals]]+DaybyDay[[#This Row],[Retail-Actuals]]),"")</f>
        <v/>
      </c>
      <c r="AP110" s="41" t="e">
        <f>DaybyDay[[#This Row],[Estimated-Payroll-Rollup]]/DaybyDay[[#This Row],[Simple-Forecast]]</f>
        <v>#DIV/0!</v>
      </c>
      <c r="AQ1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0" s="77"/>
      <c r="AS110" s="40" t="str">
        <f>IF(DaybyDay[[#This Row],[Retail Hours]]&gt;0,DaybyDay[[#This Row],[Retail Hours]]*$AS$2,"")</f>
        <v/>
      </c>
      <c r="AT110" s="40">
        <f>SUMIFS(DaybyDay[Est-Retail-Payroll],DaybyDay[Date],"&gt;="&amp;$C$5,DaybyDay[RowYear],"&gt;="&amp;$C$4,DaybyDay[Date],"&lt;="&amp;DaybyDay[[#This Row],[Date]])</f>
        <v>0</v>
      </c>
      <c r="AU110" s="82" t="str">
        <f>IF(AND(DaybyDay[[#This Row],[_Space]],ISNUMBER(DaybyDay[[#This Row],[Retail Hours]])),DaybyDay[[#This Row],[Est-Retail-Payroll]]/(DaybyDay[[#This Row],[Retail-Actuals]]),"")</f>
        <v/>
      </c>
      <c r="AV110" s="82" t="e">
        <f>DaybyDay[[#This Row],[Est-Retail-PayrollRU]]/DaybyDay[[#This Row],[Simple-Forecast-Retail]]</f>
        <v>#DIV/0!</v>
      </c>
      <c r="AW110" s="8"/>
    </row>
    <row r="111" spans="3:49" hidden="1" x14ac:dyDescent="0.25">
      <c r="C111" s="26" t="str">
        <f>Tools!$C$1</f>
        <v>Example</v>
      </c>
      <c r="D111" s="27" t="s">
        <v>71</v>
      </c>
      <c r="E111" s="28">
        <v>2017</v>
      </c>
      <c r="F111" s="28">
        <f>MATCH(DaybyDay[[#This Row],[RowMonth]],Table3[SummaryMonth],0)</f>
        <v>4</v>
      </c>
      <c r="G111" s="29" t="e">
        <f>MATCH(DaybyDay[[#This Row],[LY-Date]],DaybyDay[Date],0)</f>
        <v>#N/A</v>
      </c>
      <c r="H111" s="30">
        <f>WEEKDAY(DaybyDay[[#This Row],[Date]])</f>
        <v>7</v>
      </c>
      <c r="I111" s="31">
        <v>42840</v>
      </c>
      <c r="J111" s="74">
        <v>31</v>
      </c>
      <c r="K111" s="32">
        <f>SUMIFS(BudgetSeasonality[365 Seasonality],BudgetSeasonality[MonthAdjustment],DaybyDay[[#This Row],[Date]])*SUMIFS(Budgets[Service-Budget],Budgets[BudgetMonth],DaybyDay[[#This Row],[RowMonth]],Budgets[BudgetYear],DaybyDay[[#This Row],[RowYear]])</f>
        <v>0</v>
      </c>
      <c r="L111" s="75">
        <v>6304.5</v>
      </c>
      <c r="M111" s="32">
        <f>INDEX(BudgetSeasonality[365 Seasonality],MATCH(DaybyDay[[#This Row],[Date]],BudgetSeasonality[MonthAdjustment],0))*SUMIFS(Budgets[Retail-Budget],Budgets[BudgetMonth],DaybyDay[[#This Row],[RowMonth]],Budgets[BudgetYear],DaybyDay[[#This Row],[RowYear]])</f>
        <v>0</v>
      </c>
      <c r="N111" s="75">
        <v>523</v>
      </c>
      <c r="O111" s="33">
        <f>SUMIFS(DaybyDay[Service-Budgets],DaybyDay[Date],"&gt;="&amp;$C$5,DaybyDay[RowYear],"&gt;="&amp;$C$4,DaybyDay[Date],"&lt;="&amp;DaybyDay[[#This Row],[Date]])</f>
        <v>0</v>
      </c>
      <c r="P111" s="33">
        <f>SUMIFS(DaybyDay[Retail-Budgets],DaybyDay[Date],"&gt;="&amp;$C$5,DaybyDay[RowYear],"&gt;="&amp;$C$4,DaybyDay[Date],"&lt;="&amp;DaybyDay[[#This Row],[Date]])</f>
        <v>0</v>
      </c>
      <c r="Q111" s="34">
        <f>SUMIFS(DaybyDay[Service-Actuals],DaybyDay[Date],"&gt;="&amp;$C$5,DaybyDay[RowYear],"&gt;="&amp;$C$4,DaybyDay[Date],"&lt;="&amp;DaybyDay[[#This Row],[Date]])</f>
        <v>0</v>
      </c>
      <c r="R111" s="34">
        <f>SUMIFS(DaybyDay[Retail-Actuals],DaybyDay[Date],"&gt;="&amp;$C$5,DaybyDay[RowYear],"&gt;="&amp;$C$4,DaybyDay[Date],"&lt;="&amp;DaybyDay[[#This Row],[Date]])</f>
        <v>0</v>
      </c>
      <c r="S111" s="35">
        <f>SUMIFS(DaybyDay[Service-LY],DaybyDay[Date],"&gt;="&amp;$C$5,DaybyDay[RowYear],"&gt;="&amp;$C$4,DaybyDay[Date],"&lt;="&amp;DaybyDay[[#This Row],[Date]])</f>
        <v>0</v>
      </c>
      <c r="T111" s="35">
        <f>SUMIFS(DaybyDay[Retail-LY],DaybyDay[Date],"&gt;="&amp;$C$5,DaybyDay[RowYear],"&gt;="&amp;$C$4,DaybyDay[Date],"&lt;="&amp;DaybyDay[[#This Row],[Date]])</f>
        <v>0</v>
      </c>
      <c r="U111" s="32">
        <f>DaybyDay[[#This Row],[Serv-Bud-RU]]+DaybyDay[[#This Row],[Ret-Bud-RU]]</f>
        <v>0</v>
      </c>
      <c r="V111" s="32">
        <f>DaybyDay[[#This Row],[Serv-Act-RU]]+DaybyDay[[#This Row],[Ret-Act-RU]]</f>
        <v>0</v>
      </c>
      <c r="W111" s="36">
        <f>IF(DaybyDay[[#This Row],[_Space]],IFERROR(
((DaybyDay[[#This Row],[Actual-Rollup]]-DaybyDay[[#This Row],[Budget-Rollup]])/DaybyDay[[#This Row],[Budget-Rollup]]),0),"")</f>
        <v>0</v>
      </c>
      <c r="X111" t="b">
        <f>NOT(AND(ISBLANK(DaybyDay[[#This Row],[Appts]]),ISBLANK(DaybyDay[[#This Row],[Service-Actuals]]),ISBLANK(DaybyDay[[#This Row],[Retail-Actuals]])))</f>
        <v>1</v>
      </c>
      <c r="Y111" s="36">
        <f>IF(DaybyDay[[#This Row],[_Space]],IFERROR(
((DaybyDay[[#This Row],[Actual-Rollup]]-DaybyDay[[#This Row],[LY-Rollup]])/DaybyDay[[#This Row],[LY-Rollup]]),0),"")</f>
        <v>0</v>
      </c>
      <c r="Z111"/>
      <c r="AA111" s="37" t="e">
        <f>IF(DaybyDay[[#This Row],[_Space]],DaybyDay[[#This Row],[Ret-Act-RU]]/DaybyDay[[#This Row],[Serv-Act-RU]],"")</f>
        <v>#DIV/0!</v>
      </c>
      <c r="AB111" s="50" t="e">
        <f>IF(DaybyDay[[#This Row],[_Space]],DaybyDay[[#This Row],[RETPEN-Act]]/DaybyDay[[#This Row],[RETPEN-Bud]],"")</f>
        <v>#DIV/0!</v>
      </c>
      <c r="AC111" s="37" t="e">
        <f>IF(DaybyDay[[#This Row],[_Space]],DaybyDay[[#This Row],[Ret-Bud-RU]]/DaybyDay[[#This Row],[Serv-Bud-RU]],"")</f>
        <v>#DIV/0!</v>
      </c>
      <c r="AD111" s="37" t="e">
        <f>IF(DaybyDay[[#This Row],[_Space]],DaybyDay[[#This Row],[Ret-LY-RU]]/DaybyDay[[#This Row],[Serv-LY-RU]],"")</f>
        <v>#DIV/0!</v>
      </c>
      <c r="AE111" s="30">
        <f>WEEKDAY(DaybyDay[[#This Row],[LY-Date]])</f>
        <v>7</v>
      </c>
      <c r="AF111" s="38">
        <f>$E$2+_xlfn.DAYS(DaybyDay[[#This Row],[Date]],minDate)</f>
        <v>42476</v>
      </c>
      <c r="AG111" s="39" t="str" cm="1">
        <f t="array" ref="AG111">IFERROR(INDEX(DaybyDay[],DaybyDay[[#This Row],[FORM_MATCH_HELPER]],8),"")</f>
        <v/>
      </c>
      <c r="AH111" s="39" t="str" cm="1">
        <f t="array" ref="AH111">IFERROR(INDEX(DaybyDay[],DaybyDay[[#This Row],[FORM_MATCH_HELPER]],10),"")</f>
        <v/>
      </c>
      <c r="AI111" s="39" t="str" cm="1">
        <f t="array" ref="AI111">IFERROR(INDEX(DaybyDay[],DaybyDay[[#This Row],[FORM_MATCH_HELPER]],12),"")</f>
        <v/>
      </c>
      <c r="AJ111" s="32">
        <f>IFERROR(DaybyDay[[#This Row],[Serv-LY-RU]]+DaybyDay[[#This Row],[Ret-LY-RU]],"")</f>
        <v>0</v>
      </c>
      <c r="AK1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1" s="77"/>
      <c r="AM111" s="40" t="str">
        <f>IF(DaybyDay[[#This Row],[Admin Hours]]&gt;0,DaybyDay[[#This Row],[Admin Hours]]*$AM$2+$AM$3,"")</f>
        <v/>
      </c>
      <c r="AN111" s="40">
        <f>SUMIFS(DaybyDay[Est-Admin-Payroll],DaybyDay[Date],"&gt;="&amp;$C$5,DaybyDay[RowYear],"&gt;="&amp;$C$4,DaybyDay[Date],"&lt;="&amp;DaybyDay[[#This Row],[Date]])</f>
        <v>0</v>
      </c>
      <c r="AO111" s="41" t="str">
        <f>IF(AND(DaybyDay[[#This Row],[_Space]],ISNUMBER(DaybyDay[[#This Row],[Admin Hours]])),DaybyDay[[#This Row],[Est-Admin-Payroll]]/(DaybyDay[[#This Row],[Service-Actuals]]+DaybyDay[[#This Row],[Retail-Actuals]]),"")</f>
        <v/>
      </c>
      <c r="AP111" s="41" t="e">
        <f>DaybyDay[[#This Row],[Estimated-Payroll-Rollup]]/DaybyDay[[#This Row],[Simple-Forecast]]</f>
        <v>#DIV/0!</v>
      </c>
      <c r="AQ1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1" s="77"/>
      <c r="AS111" s="40" t="str">
        <f>IF(DaybyDay[[#This Row],[Retail Hours]]&gt;0,DaybyDay[[#This Row],[Retail Hours]]*$AS$2,"")</f>
        <v/>
      </c>
      <c r="AT111" s="40">
        <f>SUMIFS(DaybyDay[Est-Retail-Payroll],DaybyDay[Date],"&gt;="&amp;$C$5,DaybyDay[RowYear],"&gt;="&amp;$C$4,DaybyDay[Date],"&lt;="&amp;DaybyDay[[#This Row],[Date]])</f>
        <v>0</v>
      </c>
      <c r="AU111" s="82" t="str">
        <f>IF(AND(DaybyDay[[#This Row],[_Space]],ISNUMBER(DaybyDay[[#This Row],[Retail Hours]])),DaybyDay[[#This Row],[Est-Retail-Payroll]]/(DaybyDay[[#This Row],[Retail-Actuals]]),"")</f>
        <v/>
      </c>
      <c r="AV111" s="82" t="e">
        <f>DaybyDay[[#This Row],[Est-Retail-PayrollRU]]/DaybyDay[[#This Row],[Simple-Forecast-Retail]]</f>
        <v>#DIV/0!</v>
      </c>
      <c r="AW111" s="8"/>
    </row>
    <row r="112" spans="3:49" hidden="1" x14ac:dyDescent="0.25">
      <c r="C112" s="26" t="str">
        <f>Tools!$C$1</f>
        <v>Example</v>
      </c>
      <c r="D112" s="27" t="s">
        <v>71</v>
      </c>
      <c r="E112" s="28">
        <v>2017</v>
      </c>
      <c r="F112" s="28">
        <f>MATCH(DaybyDay[[#This Row],[RowMonth]],Table3[SummaryMonth],0)</f>
        <v>4</v>
      </c>
      <c r="G112" s="29" t="e">
        <f>MATCH(DaybyDay[[#This Row],[LY-Date]],DaybyDay[Date],0)</f>
        <v>#N/A</v>
      </c>
      <c r="H112" s="30">
        <f>WEEKDAY(DaybyDay[[#This Row],[Date]])</f>
        <v>1</v>
      </c>
      <c r="I112" s="31">
        <v>42841</v>
      </c>
      <c r="J112" s="74">
        <v>7</v>
      </c>
      <c r="K112" s="32">
        <f>SUMIFS(BudgetSeasonality[365 Seasonality],BudgetSeasonality[MonthAdjustment],DaybyDay[[#This Row],[Date]])*SUMIFS(Budgets[Service-Budget],Budgets[BudgetMonth],DaybyDay[[#This Row],[RowMonth]],Budgets[BudgetYear],DaybyDay[[#This Row],[RowYear]])</f>
        <v>0</v>
      </c>
      <c r="L112" s="75">
        <v>1953.5</v>
      </c>
      <c r="M112" s="32">
        <f>INDEX(BudgetSeasonality[365 Seasonality],MATCH(DaybyDay[[#This Row],[Date]],BudgetSeasonality[MonthAdjustment],0))*SUMIFS(Budgets[Retail-Budget],Budgets[BudgetMonth],DaybyDay[[#This Row],[RowMonth]],Budgets[BudgetYear],DaybyDay[[#This Row],[RowYear]])</f>
        <v>0</v>
      </c>
      <c r="N112" s="75">
        <v>314</v>
      </c>
      <c r="O112" s="33">
        <f>SUMIFS(DaybyDay[Service-Budgets],DaybyDay[Date],"&gt;="&amp;$C$5,DaybyDay[RowYear],"&gt;="&amp;$C$4,DaybyDay[Date],"&lt;="&amp;DaybyDay[[#This Row],[Date]])</f>
        <v>0</v>
      </c>
      <c r="P112" s="33">
        <f>SUMIFS(DaybyDay[Retail-Budgets],DaybyDay[Date],"&gt;="&amp;$C$5,DaybyDay[RowYear],"&gt;="&amp;$C$4,DaybyDay[Date],"&lt;="&amp;DaybyDay[[#This Row],[Date]])</f>
        <v>0</v>
      </c>
      <c r="Q112" s="34">
        <f>SUMIFS(DaybyDay[Service-Actuals],DaybyDay[Date],"&gt;="&amp;$C$5,DaybyDay[RowYear],"&gt;="&amp;$C$4,DaybyDay[Date],"&lt;="&amp;DaybyDay[[#This Row],[Date]])</f>
        <v>0</v>
      </c>
      <c r="R112" s="34">
        <f>SUMIFS(DaybyDay[Retail-Actuals],DaybyDay[Date],"&gt;="&amp;$C$5,DaybyDay[RowYear],"&gt;="&amp;$C$4,DaybyDay[Date],"&lt;="&amp;DaybyDay[[#This Row],[Date]])</f>
        <v>0</v>
      </c>
      <c r="S112" s="35">
        <f>SUMIFS(DaybyDay[Service-LY],DaybyDay[Date],"&gt;="&amp;$C$5,DaybyDay[RowYear],"&gt;="&amp;$C$4,DaybyDay[Date],"&lt;="&amp;DaybyDay[[#This Row],[Date]])</f>
        <v>0</v>
      </c>
      <c r="T112" s="35">
        <f>SUMIFS(DaybyDay[Retail-LY],DaybyDay[Date],"&gt;="&amp;$C$5,DaybyDay[RowYear],"&gt;="&amp;$C$4,DaybyDay[Date],"&lt;="&amp;DaybyDay[[#This Row],[Date]])</f>
        <v>0</v>
      </c>
      <c r="U112" s="32">
        <f>DaybyDay[[#This Row],[Serv-Bud-RU]]+DaybyDay[[#This Row],[Ret-Bud-RU]]</f>
        <v>0</v>
      </c>
      <c r="V112" s="32">
        <f>DaybyDay[[#This Row],[Serv-Act-RU]]+DaybyDay[[#This Row],[Ret-Act-RU]]</f>
        <v>0</v>
      </c>
      <c r="W112" s="36">
        <f>IF(DaybyDay[[#This Row],[_Space]],IFERROR(
((DaybyDay[[#This Row],[Actual-Rollup]]-DaybyDay[[#This Row],[Budget-Rollup]])/DaybyDay[[#This Row],[Budget-Rollup]]),0),"")</f>
        <v>0</v>
      </c>
      <c r="X112" t="b">
        <f>NOT(AND(ISBLANK(DaybyDay[[#This Row],[Appts]]),ISBLANK(DaybyDay[[#This Row],[Service-Actuals]]),ISBLANK(DaybyDay[[#This Row],[Retail-Actuals]])))</f>
        <v>1</v>
      </c>
      <c r="Y112" s="36">
        <f>IF(DaybyDay[[#This Row],[_Space]],IFERROR(
((DaybyDay[[#This Row],[Actual-Rollup]]-DaybyDay[[#This Row],[LY-Rollup]])/DaybyDay[[#This Row],[LY-Rollup]]),0),"")</f>
        <v>0</v>
      </c>
      <c r="Z112"/>
      <c r="AA112" s="37" t="e">
        <f>IF(DaybyDay[[#This Row],[_Space]],DaybyDay[[#This Row],[Ret-Act-RU]]/DaybyDay[[#This Row],[Serv-Act-RU]],"")</f>
        <v>#DIV/0!</v>
      </c>
      <c r="AB112" s="50" t="e">
        <f>IF(DaybyDay[[#This Row],[_Space]],DaybyDay[[#This Row],[RETPEN-Act]]/DaybyDay[[#This Row],[RETPEN-Bud]],"")</f>
        <v>#DIV/0!</v>
      </c>
      <c r="AC112" s="37" t="e">
        <f>IF(DaybyDay[[#This Row],[_Space]],DaybyDay[[#This Row],[Ret-Bud-RU]]/DaybyDay[[#This Row],[Serv-Bud-RU]],"")</f>
        <v>#DIV/0!</v>
      </c>
      <c r="AD112" s="37" t="e">
        <f>IF(DaybyDay[[#This Row],[_Space]],DaybyDay[[#This Row],[Ret-LY-RU]]/DaybyDay[[#This Row],[Serv-LY-RU]],"")</f>
        <v>#DIV/0!</v>
      </c>
      <c r="AE112" s="30">
        <f>WEEKDAY(DaybyDay[[#This Row],[LY-Date]])</f>
        <v>1</v>
      </c>
      <c r="AF112" s="38">
        <f>$E$2+_xlfn.DAYS(DaybyDay[[#This Row],[Date]],minDate)</f>
        <v>42477</v>
      </c>
      <c r="AG112" s="39" t="str" cm="1">
        <f t="array" ref="AG112">IFERROR(INDEX(DaybyDay[],DaybyDay[[#This Row],[FORM_MATCH_HELPER]],8),"")</f>
        <v/>
      </c>
      <c r="AH112" s="39" t="str" cm="1">
        <f t="array" ref="AH112">IFERROR(INDEX(DaybyDay[],DaybyDay[[#This Row],[FORM_MATCH_HELPER]],10),"")</f>
        <v/>
      </c>
      <c r="AI112" s="39" t="str" cm="1">
        <f t="array" ref="AI112">IFERROR(INDEX(DaybyDay[],DaybyDay[[#This Row],[FORM_MATCH_HELPER]],12),"")</f>
        <v/>
      </c>
      <c r="AJ112" s="32">
        <f>IFERROR(DaybyDay[[#This Row],[Serv-LY-RU]]+DaybyDay[[#This Row],[Ret-LY-RU]],"")</f>
        <v>0</v>
      </c>
      <c r="AK1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2" s="77"/>
      <c r="AM112" s="40" t="str">
        <f>IF(DaybyDay[[#This Row],[Admin Hours]]&gt;0,DaybyDay[[#This Row],[Admin Hours]]*$AM$2+$AM$3,"")</f>
        <v/>
      </c>
      <c r="AN112" s="40">
        <f>SUMIFS(DaybyDay[Est-Admin-Payroll],DaybyDay[Date],"&gt;="&amp;$C$5,DaybyDay[RowYear],"&gt;="&amp;$C$4,DaybyDay[Date],"&lt;="&amp;DaybyDay[[#This Row],[Date]])</f>
        <v>0</v>
      </c>
      <c r="AO112" s="41" t="str">
        <f>IF(AND(DaybyDay[[#This Row],[_Space]],ISNUMBER(DaybyDay[[#This Row],[Admin Hours]])),DaybyDay[[#This Row],[Est-Admin-Payroll]]/(DaybyDay[[#This Row],[Service-Actuals]]+DaybyDay[[#This Row],[Retail-Actuals]]),"")</f>
        <v/>
      </c>
      <c r="AP112" s="41" t="e">
        <f>DaybyDay[[#This Row],[Estimated-Payroll-Rollup]]/DaybyDay[[#This Row],[Simple-Forecast]]</f>
        <v>#DIV/0!</v>
      </c>
      <c r="AQ1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2" s="77"/>
      <c r="AS112" s="40" t="str">
        <f>IF(DaybyDay[[#This Row],[Retail Hours]]&gt;0,DaybyDay[[#This Row],[Retail Hours]]*$AS$2,"")</f>
        <v/>
      </c>
      <c r="AT112" s="40">
        <f>SUMIFS(DaybyDay[Est-Retail-Payroll],DaybyDay[Date],"&gt;="&amp;$C$5,DaybyDay[RowYear],"&gt;="&amp;$C$4,DaybyDay[Date],"&lt;="&amp;DaybyDay[[#This Row],[Date]])</f>
        <v>0</v>
      </c>
      <c r="AU112" s="82" t="str">
        <f>IF(AND(DaybyDay[[#This Row],[_Space]],ISNUMBER(DaybyDay[[#This Row],[Retail Hours]])),DaybyDay[[#This Row],[Est-Retail-Payroll]]/(DaybyDay[[#This Row],[Retail-Actuals]]),"")</f>
        <v/>
      </c>
      <c r="AV112" s="82" t="e">
        <f>DaybyDay[[#This Row],[Est-Retail-PayrollRU]]/DaybyDay[[#This Row],[Simple-Forecast-Retail]]</f>
        <v>#DIV/0!</v>
      </c>
      <c r="AW112" s="8"/>
    </row>
    <row r="113" spans="3:49" hidden="1" x14ac:dyDescent="0.25">
      <c r="C113" s="26" t="str">
        <f>Tools!$C$1</f>
        <v>Example</v>
      </c>
      <c r="D113" s="27" t="s">
        <v>71</v>
      </c>
      <c r="E113" s="28">
        <v>2017</v>
      </c>
      <c r="F113" s="28">
        <f>MATCH(DaybyDay[[#This Row],[RowMonth]],Table3[SummaryMonth],0)</f>
        <v>4</v>
      </c>
      <c r="G113" s="29" t="e">
        <f>MATCH(DaybyDay[[#This Row],[LY-Date]],DaybyDay[Date],0)</f>
        <v>#N/A</v>
      </c>
      <c r="H113" s="30">
        <f>WEEKDAY(DaybyDay[[#This Row],[Date]])</f>
        <v>2</v>
      </c>
      <c r="I113" s="31">
        <v>42842</v>
      </c>
      <c r="J113" s="74">
        <v>16</v>
      </c>
      <c r="K113" s="32">
        <f>SUMIFS(BudgetSeasonality[365 Seasonality],BudgetSeasonality[MonthAdjustment],DaybyDay[[#This Row],[Date]])*SUMIFS(Budgets[Service-Budget],Budgets[BudgetMonth],DaybyDay[[#This Row],[RowMonth]],Budgets[BudgetYear],DaybyDay[[#This Row],[RowYear]])</f>
        <v>0</v>
      </c>
      <c r="L113" s="75">
        <v>2615.9899999999998</v>
      </c>
      <c r="M113" s="32">
        <f>INDEX(BudgetSeasonality[365 Seasonality],MATCH(DaybyDay[[#This Row],[Date]],BudgetSeasonality[MonthAdjustment],0))*SUMIFS(Budgets[Retail-Budget],Budgets[BudgetMonth],DaybyDay[[#This Row],[RowMonth]],Budgets[BudgetYear],DaybyDay[[#This Row],[RowYear]])</f>
        <v>0</v>
      </c>
      <c r="N113" s="75">
        <v>130</v>
      </c>
      <c r="O113" s="33">
        <f>SUMIFS(DaybyDay[Service-Budgets],DaybyDay[Date],"&gt;="&amp;$C$5,DaybyDay[RowYear],"&gt;="&amp;$C$4,DaybyDay[Date],"&lt;="&amp;DaybyDay[[#This Row],[Date]])</f>
        <v>0</v>
      </c>
      <c r="P113" s="33">
        <f>SUMIFS(DaybyDay[Retail-Budgets],DaybyDay[Date],"&gt;="&amp;$C$5,DaybyDay[RowYear],"&gt;="&amp;$C$4,DaybyDay[Date],"&lt;="&amp;DaybyDay[[#This Row],[Date]])</f>
        <v>0</v>
      </c>
      <c r="Q113" s="34">
        <f>SUMIFS(DaybyDay[Service-Actuals],DaybyDay[Date],"&gt;="&amp;$C$5,DaybyDay[RowYear],"&gt;="&amp;$C$4,DaybyDay[Date],"&lt;="&amp;DaybyDay[[#This Row],[Date]])</f>
        <v>0</v>
      </c>
      <c r="R113" s="34">
        <f>SUMIFS(DaybyDay[Retail-Actuals],DaybyDay[Date],"&gt;="&amp;$C$5,DaybyDay[RowYear],"&gt;="&amp;$C$4,DaybyDay[Date],"&lt;="&amp;DaybyDay[[#This Row],[Date]])</f>
        <v>0</v>
      </c>
      <c r="S113" s="35">
        <f>SUMIFS(DaybyDay[Service-LY],DaybyDay[Date],"&gt;="&amp;$C$5,DaybyDay[RowYear],"&gt;="&amp;$C$4,DaybyDay[Date],"&lt;="&amp;DaybyDay[[#This Row],[Date]])</f>
        <v>0</v>
      </c>
      <c r="T113" s="35">
        <f>SUMIFS(DaybyDay[Retail-LY],DaybyDay[Date],"&gt;="&amp;$C$5,DaybyDay[RowYear],"&gt;="&amp;$C$4,DaybyDay[Date],"&lt;="&amp;DaybyDay[[#This Row],[Date]])</f>
        <v>0</v>
      </c>
      <c r="U113" s="32">
        <f>DaybyDay[[#This Row],[Serv-Bud-RU]]+DaybyDay[[#This Row],[Ret-Bud-RU]]</f>
        <v>0</v>
      </c>
      <c r="V113" s="32">
        <f>DaybyDay[[#This Row],[Serv-Act-RU]]+DaybyDay[[#This Row],[Ret-Act-RU]]</f>
        <v>0</v>
      </c>
      <c r="W113" s="36">
        <f>IF(DaybyDay[[#This Row],[_Space]],IFERROR(
((DaybyDay[[#This Row],[Actual-Rollup]]-DaybyDay[[#This Row],[Budget-Rollup]])/DaybyDay[[#This Row],[Budget-Rollup]]),0),"")</f>
        <v>0</v>
      </c>
      <c r="X113" t="b">
        <f>NOT(AND(ISBLANK(DaybyDay[[#This Row],[Appts]]),ISBLANK(DaybyDay[[#This Row],[Service-Actuals]]),ISBLANK(DaybyDay[[#This Row],[Retail-Actuals]])))</f>
        <v>1</v>
      </c>
      <c r="Y113" s="36">
        <f>IF(DaybyDay[[#This Row],[_Space]],IFERROR(
((DaybyDay[[#This Row],[Actual-Rollup]]-DaybyDay[[#This Row],[LY-Rollup]])/DaybyDay[[#This Row],[LY-Rollup]]),0),"")</f>
        <v>0</v>
      </c>
      <c r="Z113"/>
      <c r="AA113" s="37" t="e">
        <f>IF(DaybyDay[[#This Row],[_Space]],DaybyDay[[#This Row],[Ret-Act-RU]]/DaybyDay[[#This Row],[Serv-Act-RU]],"")</f>
        <v>#DIV/0!</v>
      </c>
      <c r="AB113" s="50" t="e">
        <f>IF(DaybyDay[[#This Row],[_Space]],DaybyDay[[#This Row],[RETPEN-Act]]/DaybyDay[[#This Row],[RETPEN-Bud]],"")</f>
        <v>#DIV/0!</v>
      </c>
      <c r="AC113" s="37" t="e">
        <f>IF(DaybyDay[[#This Row],[_Space]],DaybyDay[[#This Row],[Ret-Bud-RU]]/DaybyDay[[#This Row],[Serv-Bud-RU]],"")</f>
        <v>#DIV/0!</v>
      </c>
      <c r="AD113" s="37" t="e">
        <f>IF(DaybyDay[[#This Row],[_Space]],DaybyDay[[#This Row],[Ret-LY-RU]]/DaybyDay[[#This Row],[Serv-LY-RU]],"")</f>
        <v>#DIV/0!</v>
      </c>
      <c r="AE113" s="30">
        <f>WEEKDAY(DaybyDay[[#This Row],[LY-Date]])</f>
        <v>2</v>
      </c>
      <c r="AF113" s="38">
        <f>$E$2+_xlfn.DAYS(DaybyDay[[#This Row],[Date]],minDate)</f>
        <v>42478</v>
      </c>
      <c r="AG113" s="39" t="str" cm="1">
        <f t="array" ref="AG113">IFERROR(INDEX(DaybyDay[],DaybyDay[[#This Row],[FORM_MATCH_HELPER]],8),"")</f>
        <v/>
      </c>
      <c r="AH113" s="39" t="str" cm="1">
        <f t="array" ref="AH113">IFERROR(INDEX(DaybyDay[],DaybyDay[[#This Row],[FORM_MATCH_HELPER]],10),"")</f>
        <v/>
      </c>
      <c r="AI113" s="39" t="str" cm="1">
        <f t="array" ref="AI113">IFERROR(INDEX(DaybyDay[],DaybyDay[[#This Row],[FORM_MATCH_HELPER]],12),"")</f>
        <v/>
      </c>
      <c r="AJ113" s="32">
        <f>IFERROR(DaybyDay[[#This Row],[Serv-LY-RU]]+DaybyDay[[#This Row],[Ret-LY-RU]],"")</f>
        <v>0</v>
      </c>
      <c r="AK1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3" s="77"/>
      <c r="AM113" s="40" t="str">
        <f>IF(DaybyDay[[#This Row],[Admin Hours]]&gt;0,DaybyDay[[#This Row],[Admin Hours]]*$AM$2+$AM$3,"")</f>
        <v/>
      </c>
      <c r="AN113" s="40">
        <f>SUMIFS(DaybyDay[Est-Admin-Payroll],DaybyDay[Date],"&gt;="&amp;$C$5,DaybyDay[RowYear],"&gt;="&amp;$C$4,DaybyDay[Date],"&lt;="&amp;DaybyDay[[#This Row],[Date]])</f>
        <v>0</v>
      </c>
      <c r="AO113" s="41" t="str">
        <f>IF(AND(DaybyDay[[#This Row],[_Space]],ISNUMBER(DaybyDay[[#This Row],[Admin Hours]])),DaybyDay[[#This Row],[Est-Admin-Payroll]]/(DaybyDay[[#This Row],[Service-Actuals]]+DaybyDay[[#This Row],[Retail-Actuals]]),"")</f>
        <v/>
      </c>
      <c r="AP113" s="41" t="e">
        <f>DaybyDay[[#This Row],[Estimated-Payroll-Rollup]]/DaybyDay[[#This Row],[Simple-Forecast]]</f>
        <v>#DIV/0!</v>
      </c>
      <c r="AQ1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3" s="77"/>
      <c r="AS113" s="40" t="str">
        <f>IF(DaybyDay[[#This Row],[Retail Hours]]&gt;0,DaybyDay[[#This Row],[Retail Hours]]*$AS$2,"")</f>
        <v/>
      </c>
      <c r="AT113" s="40">
        <f>SUMIFS(DaybyDay[Est-Retail-Payroll],DaybyDay[Date],"&gt;="&amp;$C$5,DaybyDay[RowYear],"&gt;="&amp;$C$4,DaybyDay[Date],"&lt;="&amp;DaybyDay[[#This Row],[Date]])</f>
        <v>0</v>
      </c>
      <c r="AU113" s="82" t="str">
        <f>IF(AND(DaybyDay[[#This Row],[_Space]],ISNUMBER(DaybyDay[[#This Row],[Retail Hours]])),DaybyDay[[#This Row],[Est-Retail-Payroll]]/(DaybyDay[[#This Row],[Retail-Actuals]]),"")</f>
        <v/>
      </c>
      <c r="AV113" s="82" t="e">
        <f>DaybyDay[[#This Row],[Est-Retail-PayrollRU]]/DaybyDay[[#This Row],[Simple-Forecast-Retail]]</f>
        <v>#DIV/0!</v>
      </c>
      <c r="AW113" s="8"/>
    </row>
    <row r="114" spans="3:49" hidden="1" x14ac:dyDescent="0.25">
      <c r="C114" s="26" t="str">
        <f>Tools!$C$1</f>
        <v>Example</v>
      </c>
      <c r="D114" s="27" t="s">
        <v>71</v>
      </c>
      <c r="E114" s="28">
        <v>2017</v>
      </c>
      <c r="F114" s="28">
        <f>MATCH(DaybyDay[[#This Row],[RowMonth]],Table3[SummaryMonth],0)</f>
        <v>4</v>
      </c>
      <c r="G114" s="29" t="e">
        <f>MATCH(DaybyDay[[#This Row],[LY-Date]],DaybyDay[Date],0)</f>
        <v>#N/A</v>
      </c>
      <c r="H114" s="30">
        <f>WEEKDAY(DaybyDay[[#This Row],[Date]])</f>
        <v>3</v>
      </c>
      <c r="I114" s="31">
        <v>42843</v>
      </c>
      <c r="J114" s="74">
        <v>15</v>
      </c>
      <c r="K114" s="32">
        <f>SUMIFS(BudgetSeasonality[365 Seasonality],BudgetSeasonality[MonthAdjustment],DaybyDay[[#This Row],[Date]])*SUMIFS(Budgets[Service-Budget],Budgets[BudgetMonth],DaybyDay[[#This Row],[RowMonth]],Budgets[BudgetYear],DaybyDay[[#This Row],[RowYear]])</f>
        <v>0</v>
      </c>
      <c r="L114" s="75">
        <v>2437</v>
      </c>
      <c r="M114" s="32">
        <f>INDEX(BudgetSeasonality[365 Seasonality],MATCH(DaybyDay[[#This Row],[Date]],BudgetSeasonality[MonthAdjustment],0))*SUMIFS(Budgets[Retail-Budget],Budgets[BudgetMonth],DaybyDay[[#This Row],[RowMonth]],Budgets[BudgetYear],DaybyDay[[#This Row],[RowYear]])</f>
        <v>0</v>
      </c>
      <c r="N114" s="75">
        <v>0</v>
      </c>
      <c r="O114" s="33">
        <f>SUMIFS(DaybyDay[Service-Budgets],DaybyDay[Date],"&gt;="&amp;$C$5,DaybyDay[RowYear],"&gt;="&amp;$C$4,DaybyDay[Date],"&lt;="&amp;DaybyDay[[#This Row],[Date]])</f>
        <v>0</v>
      </c>
      <c r="P114" s="33">
        <f>SUMIFS(DaybyDay[Retail-Budgets],DaybyDay[Date],"&gt;="&amp;$C$5,DaybyDay[RowYear],"&gt;="&amp;$C$4,DaybyDay[Date],"&lt;="&amp;DaybyDay[[#This Row],[Date]])</f>
        <v>0</v>
      </c>
      <c r="Q114" s="34">
        <f>SUMIFS(DaybyDay[Service-Actuals],DaybyDay[Date],"&gt;="&amp;$C$5,DaybyDay[RowYear],"&gt;="&amp;$C$4,DaybyDay[Date],"&lt;="&amp;DaybyDay[[#This Row],[Date]])</f>
        <v>0</v>
      </c>
      <c r="R114" s="34">
        <f>SUMIFS(DaybyDay[Retail-Actuals],DaybyDay[Date],"&gt;="&amp;$C$5,DaybyDay[RowYear],"&gt;="&amp;$C$4,DaybyDay[Date],"&lt;="&amp;DaybyDay[[#This Row],[Date]])</f>
        <v>0</v>
      </c>
      <c r="S114" s="35">
        <f>SUMIFS(DaybyDay[Service-LY],DaybyDay[Date],"&gt;="&amp;$C$5,DaybyDay[RowYear],"&gt;="&amp;$C$4,DaybyDay[Date],"&lt;="&amp;DaybyDay[[#This Row],[Date]])</f>
        <v>0</v>
      </c>
      <c r="T114" s="35">
        <f>SUMIFS(DaybyDay[Retail-LY],DaybyDay[Date],"&gt;="&amp;$C$5,DaybyDay[RowYear],"&gt;="&amp;$C$4,DaybyDay[Date],"&lt;="&amp;DaybyDay[[#This Row],[Date]])</f>
        <v>0</v>
      </c>
      <c r="U114" s="32">
        <f>DaybyDay[[#This Row],[Serv-Bud-RU]]+DaybyDay[[#This Row],[Ret-Bud-RU]]</f>
        <v>0</v>
      </c>
      <c r="V114" s="32">
        <f>DaybyDay[[#This Row],[Serv-Act-RU]]+DaybyDay[[#This Row],[Ret-Act-RU]]</f>
        <v>0</v>
      </c>
      <c r="W114" s="36">
        <f>IF(DaybyDay[[#This Row],[_Space]],IFERROR(
((DaybyDay[[#This Row],[Actual-Rollup]]-DaybyDay[[#This Row],[Budget-Rollup]])/DaybyDay[[#This Row],[Budget-Rollup]]),0),"")</f>
        <v>0</v>
      </c>
      <c r="X114" t="b">
        <f>NOT(AND(ISBLANK(DaybyDay[[#This Row],[Appts]]),ISBLANK(DaybyDay[[#This Row],[Service-Actuals]]),ISBLANK(DaybyDay[[#This Row],[Retail-Actuals]])))</f>
        <v>1</v>
      </c>
      <c r="Y114" s="36">
        <f>IF(DaybyDay[[#This Row],[_Space]],IFERROR(
((DaybyDay[[#This Row],[Actual-Rollup]]-DaybyDay[[#This Row],[LY-Rollup]])/DaybyDay[[#This Row],[LY-Rollup]]),0),"")</f>
        <v>0</v>
      </c>
      <c r="Z114"/>
      <c r="AA114" s="37" t="e">
        <f>IF(DaybyDay[[#This Row],[_Space]],DaybyDay[[#This Row],[Ret-Act-RU]]/DaybyDay[[#This Row],[Serv-Act-RU]],"")</f>
        <v>#DIV/0!</v>
      </c>
      <c r="AB114" s="50" t="e">
        <f>IF(DaybyDay[[#This Row],[_Space]],DaybyDay[[#This Row],[RETPEN-Act]]/DaybyDay[[#This Row],[RETPEN-Bud]],"")</f>
        <v>#DIV/0!</v>
      </c>
      <c r="AC114" s="37" t="e">
        <f>IF(DaybyDay[[#This Row],[_Space]],DaybyDay[[#This Row],[Ret-Bud-RU]]/DaybyDay[[#This Row],[Serv-Bud-RU]],"")</f>
        <v>#DIV/0!</v>
      </c>
      <c r="AD114" s="37" t="e">
        <f>IF(DaybyDay[[#This Row],[_Space]],DaybyDay[[#This Row],[Ret-LY-RU]]/DaybyDay[[#This Row],[Serv-LY-RU]],"")</f>
        <v>#DIV/0!</v>
      </c>
      <c r="AE114" s="30">
        <f>WEEKDAY(DaybyDay[[#This Row],[LY-Date]])</f>
        <v>3</v>
      </c>
      <c r="AF114" s="38">
        <f>$E$2+_xlfn.DAYS(DaybyDay[[#This Row],[Date]],minDate)</f>
        <v>42479</v>
      </c>
      <c r="AG114" s="39" t="str" cm="1">
        <f t="array" ref="AG114">IFERROR(INDEX(DaybyDay[],DaybyDay[[#This Row],[FORM_MATCH_HELPER]],8),"")</f>
        <v/>
      </c>
      <c r="AH114" s="39" t="str" cm="1">
        <f t="array" ref="AH114">IFERROR(INDEX(DaybyDay[],DaybyDay[[#This Row],[FORM_MATCH_HELPER]],10),"")</f>
        <v/>
      </c>
      <c r="AI114" s="39" t="str" cm="1">
        <f t="array" ref="AI114">IFERROR(INDEX(DaybyDay[],DaybyDay[[#This Row],[FORM_MATCH_HELPER]],12),"")</f>
        <v/>
      </c>
      <c r="AJ114" s="32">
        <f>IFERROR(DaybyDay[[#This Row],[Serv-LY-RU]]+DaybyDay[[#This Row],[Ret-LY-RU]],"")</f>
        <v>0</v>
      </c>
      <c r="AK1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4" s="77"/>
      <c r="AM114" s="40" t="str">
        <f>IF(DaybyDay[[#This Row],[Admin Hours]]&gt;0,DaybyDay[[#This Row],[Admin Hours]]*$AM$2+$AM$3,"")</f>
        <v/>
      </c>
      <c r="AN114" s="40">
        <f>SUMIFS(DaybyDay[Est-Admin-Payroll],DaybyDay[Date],"&gt;="&amp;$C$5,DaybyDay[RowYear],"&gt;="&amp;$C$4,DaybyDay[Date],"&lt;="&amp;DaybyDay[[#This Row],[Date]])</f>
        <v>0</v>
      </c>
      <c r="AO114" s="41" t="str">
        <f>IF(AND(DaybyDay[[#This Row],[_Space]],ISNUMBER(DaybyDay[[#This Row],[Admin Hours]])),DaybyDay[[#This Row],[Est-Admin-Payroll]]/(DaybyDay[[#This Row],[Service-Actuals]]+DaybyDay[[#This Row],[Retail-Actuals]]),"")</f>
        <v/>
      </c>
      <c r="AP114" s="41" t="e">
        <f>DaybyDay[[#This Row],[Estimated-Payroll-Rollup]]/DaybyDay[[#This Row],[Simple-Forecast]]</f>
        <v>#DIV/0!</v>
      </c>
      <c r="AQ1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4" s="77"/>
      <c r="AS114" s="40" t="str">
        <f>IF(DaybyDay[[#This Row],[Retail Hours]]&gt;0,DaybyDay[[#This Row],[Retail Hours]]*$AS$2,"")</f>
        <v/>
      </c>
      <c r="AT114" s="40">
        <f>SUMIFS(DaybyDay[Est-Retail-Payroll],DaybyDay[Date],"&gt;="&amp;$C$5,DaybyDay[RowYear],"&gt;="&amp;$C$4,DaybyDay[Date],"&lt;="&amp;DaybyDay[[#This Row],[Date]])</f>
        <v>0</v>
      </c>
      <c r="AU114" s="82" t="str">
        <f>IF(AND(DaybyDay[[#This Row],[_Space]],ISNUMBER(DaybyDay[[#This Row],[Retail Hours]])),DaybyDay[[#This Row],[Est-Retail-Payroll]]/(DaybyDay[[#This Row],[Retail-Actuals]]),"")</f>
        <v/>
      </c>
      <c r="AV114" s="82" t="e">
        <f>DaybyDay[[#This Row],[Est-Retail-PayrollRU]]/DaybyDay[[#This Row],[Simple-Forecast-Retail]]</f>
        <v>#DIV/0!</v>
      </c>
      <c r="AW114" s="8"/>
    </row>
    <row r="115" spans="3:49" hidden="1" x14ac:dyDescent="0.25">
      <c r="C115" s="26" t="str">
        <f>Tools!$C$1</f>
        <v>Example</v>
      </c>
      <c r="D115" s="27" t="s">
        <v>71</v>
      </c>
      <c r="E115" s="28">
        <v>2017</v>
      </c>
      <c r="F115" s="28">
        <f>MATCH(DaybyDay[[#This Row],[RowMonth]],Table3[SummaryMonth],0)</f>
        <v>4</v>
      </c>
      <c r="G115" s="29" t="e">
        <f>MATCH(DaybyDay[[#This Row],[LY-Date]],DaybyDay[Date],0)</f>
        <v>#N/A</v>
      </c>
      <c r="H115" s="30">
        <f>WEEKDAY(DaybyDay[[#This Row],[Date]])</f>
        <v>4</v>
      </c>
      <c r="I115" s="31">
        <v>42844</v>
      </c>
      <c r="J115" s="74">
        <v>28</v>
      </c>
      <c r="K115" s="32">
        <f>SUMIFS(BudgetSeasonality[365 Seasonality],BudgetSeasonality[MonthAdjustment],DaybyDay[[#This Row],[Date]])*SUMIFS(Budgets[Service-Budget],Budgets[BudgetMonth],DaybyDay[[#This Row],[RowMonth]],Budgets[BudgetYear],DaybyDay[[#This Row],[RowYear]])</f>
        <v>0</v>
      </c>
      <c r="L115" s="75">
        <v>4023.6</v>
      </c>
      <c r="M115" s="32">
        <f>INDEX(BudgetSeasonality[365 Seasonality],MATCH(DaybyDay[[#This Row],[Date]],BudgetSeasonality[MonthAdjustment],0))*SUMIFS(Budgets[Retail-Budget],Budgets[BudgetMonth],DaybyDay[[#This Row],[RowMonth]],Budgets[BudgetYear],DaybyDay[[#This Row],[RowYear]])</f>
        <v>0</v>
      </c>
      <c r="N115" s="75">
        <v>1226</v>
      </c>
      <c r="O115" s="33">
        <f>SUMIFS(DaybyDay[Service-Budgets],DaybyDay[Date],"&gt;="&amp;$C$5,DaybyDay[RowYear],"&gt;="&amp;$C$4,DaybyDay[Date],"&lt;="&amp;DaybyDay[[#This Row],[Date]])</f>
        <v>0</v>
      </c>
      <c r="P115" s="33">
        <f>SUMIFS(DaybyDay[Retail-Budgets],DaybyDay[Date],"&gt;="&amp;$C$5,DaybyDay[RowYear],"&gt;="&amp;$C$4,DaybyDay[Date],"&lt;="&amp;DaybyDay[[#This Row],[Date]])</f>
        <v>0</v>
      </c>
      <c r="Q115" s="34">
        <f>SUMIFS(DaybyDay[Service-Actuals],DaybyDay[Date],"&gt;="&amp;$C$5,DaybyDay[RowYear],"&gt;="&amp;$C$4,DaybyDay[Date],"&lt;="&amp;DaybyDay[[#This Row],[Date]])</f>
        <v>0</v>
      </c>
      <c r="R115" s="34">
        <f>SUMIFS(DaybyDay[Retail-Actuals],DaybyDay[Date],"&gt;="&amp;$C$5,DaybyDay[RowYear],"&gt;="&amp;$C$4,DaybyDay[Date],"&lt;="&amp;DaybyDay[[#This Row],[Date]])</f>
        <v>0</v>
      </c>
      <c r="S115" s="35">
        <f>SUMIFS(DaybyDay[Service-LY],DaybyDay[Date],"&gt;="&amp;$C$5,DaybyDay[RowYear],"&gt;="&amp;$C$4,DaybyDay[Date],"&lt;="&amp;DaybyDay[[#This Row],[Date]])</f>
        <v>0</v>
      </c>
      <c r="T115" s="35">
        <f>SUMIFS(DaybyDay[Retail-LY],DaybyDay[Date],"&gt;="&amp;$C$5,DaybyDay[RowYear],"&gt;="&amp;$C$4,DaybyDay[Date],"&lt;="&amp;DaybyDay[[#This Row],[Date]])</f>
        <v>0</v>
      </c>
      <c r="U115" s="32">
        <f>DaybyDay[[#This Row],[Serv-Bud-RU]]+DaybyDay[[#This Row],[Ret-Bud-RU]]</f>
        <v>0</v>
      </c>
      <c r="V115" s="32">
        <f>DaybyDay[[#This Row],[Serv-Act-RU]]+DaybyDay[[#This Row],[Ret-Act-RU]]</f>
        <v>0</v>
      </c>
      <c r="W115" s="36">
        <f>IF(DaybyDay[[#This Row],[_Space]],IFERROR(
((DaybyDay[[#This Row],[Actual-Rollup]]-DaybyDay[[#This Row],[Budget-Rollup]])/DaybyDay[[#This Row],[Budget-Rollup]]),0),"")</f>
        <v>0</v>
      </c>
      <c r="X115" t="b">
        <f>NOT(AND(ISBLANK(DaybyDay[[#This Row],[Appts]]),ISBLANK(DaybyDay[[#This Row],[Service-Actuals]]),ISBLANK(DaybyDay[[#This Row],[Retail-Actuals]])))</f>
        <v>1</v>
      </c>
      <c r="Y115" s="36">
        <f>IF(DaybyDay[[#This Row],[_Space]],IFERROR(
((DaybyDay[[#This Row],[Actual-Rollup]]-DaybyDay[[#This Row],[LY-Rollup]])/DaybyDay[[#This Row],[LY-Rollup]]),0),"")</f>
        <v>0</v>
      </c>
      <c r="Z115"/>
      <c r="AA115" s="37" t="e">
        <f>IF(DaybyDay[[#This Row],[_Space]],DaybyDay[[#This Row],[Ret-Act-RU]]/DaybyDay[[#This Row],[Serv-Act-RU]],"")</f>
        <v>#DIV/0!</v>
      </c>
      <c r="AB115" s="50" t="e">
        <f>IF(DaybyDay[[#This Row],[_Space]],DaybyDay[[#This Row],[RETPEN-Act]]/DaybyDay[[#This Row],[RETPEN-Bud]],"")</f>
        <v>#DIV/0!</v>
      </c>
      <c r="AC115" s="37" t="e">
        <f>IF(DaybyDay[[#This Row],[_Space]],DaybyDay[[#This Row],[Ret-Bud-RU]]/DaybyDay[[#This Row],[Serv-Bud-RU]],"")</f>
        <v>#DIV/0!</v>
      </c>
      <c r="AD115" s="37" t="e">
        <f>IF(DaybyDay[[#This Row],[_Space]],DaybyDay[[#This Row],[Ret-LY-RU]]/DaybyDay[[#This Row],[Serv-LY-RU]],"")</f>
        <v>#DIV/0!</v>
      </c>
      <c r="AE115" s="30">
        <f>WEEKDAY(DaybyDay[[#This Row],[LY-Date]])</f>
        <v>4</v>
      </c>
      <c r="AF115" s="38">
        <f>$E$2+_xlfn.DAYS(DaybyDay[[#This Row],[Date]],minDate)</f>
        <v>42480</v>
      </c>
      <c r="AG115" s="39" t="str" cm="1">
        <f t="array" ref="AG115">IFERROR(INDEX(DaybyDay[],DaybyDay[[#This Row],[FORM_MATCH_HELPER]],8),"")</f>
        <v/>
      </c>
      <c r="AH115" s="39" t="str" cm="1">
        <f t="array" ref="AH115">IFERROR(INDEX(DaybyDay[],DaybyDay[[#This Row],[FORM_MATCH_HELPER]],10),"")</f>
        <v/>
      </c>
      <c r="AI115" s="39" t="str" cm="1">
        <f t="array" ref="AI115">IFERROR(INDEX(DaybyDay[],DaybyDay[[#This Row],[FORM_MATCH_HELPER]],12),"")</f>
        <v/>
      </c>
      <c r="AJ115" s="32">
        <f>IFERROR(DaybyDay[[#This Row],[Serv-LY-RU]]+DaybyDay[[#This Row],[Ret-LY-RU]],"")</f>
        <v>0</v>
      </c>
      <c r="AK1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5" s="77"/>
      <c r="AM115" s="40" t="str">
        <f>IF(DaybyDay[[#This Row],[Admin Hours]]&gt;0,DaybyDay[[#This Row],[Admin Hours]]*$AM$2+$AM$3,"")</f>
        <v/>
      </c>
      <c r="AN115" s="40">
        <f>SUMIFS(DaybyDay[Est-Admin-Payroll],DaybyDay[Date],"&gt;="&amp;$C$5,DaybyDay[RowYear],"&gt;="&amp;$C$4,DaybyDay[Date],"&lt;="&amp;DaybyDay[[#This Row],[Date]])</f>
        <v>0</v>
      </c>
      <c r="AO115" s="41" t="str">
        <f>IF(AND(DaybyDay[[#This Row],[_Space]],ISNUMBER(DaybyDay[[#This Row],[Admin Hours]])),DaybyDay[[#This Row],[Est-Admin-Payroll]]/(DaybyDay[[#This Row],[Service-Actuals]]+DaybyDay[[#This Row],[Retail-Actuals]]),"")</f>
        <v/>
      </c>
      <c r="AP115" s="41" t="e">
        <f>DaybyDay[[#This Row],[Estimated-Payroll-Rollup]]/DaybyDay[[#This Row],[Simple-Forecast]]</f>
        <v>#DIV/0!</v>
      </c>
      <c r="AQ1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5" s="77"/>
      <c r="AS115" s="40" t="str">
        <f>IF(DaybyDay[[#This Row],[Retail Hours]]&gt;0,DaybyDay[[#This Row],[Retail Hours]]*$AS$2,"")</f>
        <v/>
      </c>
      <c r="AT115" s="40">
        <f>SUMIFS(DaybyDay[Est-Retail-Payroll],DaybyDay[Date],"&gt;="&amp;$C$5,DaybyDay[RowYear],"&gt;="&amp;$C$4,DaybyDay[Date],"&lt;="&amp;DaybyDay[[#This Row],[Date]])</f>
        <v>0</v>
      </c>
      <c r="AU115" s="82" t="str">
        <f>IF(AND(DaybyDay[[#This Row],[_Space]],ISNUMBER(DaybyDay[[#This Row],[Retail Hours]])),DaybyDay[[#This Row],[Est-Retail-Payroll]]/(DaybyDay[[#This Row],[Retail-Actuals]]),"")</f>
        <v/>
      </c>
      <c r="AV115" s="82" t="e">
        <f>DaybyDay[[#This Row],[Est-Retail-PayrollRU]]/DaybyDay[[#This Row],[Simple-Forecast-Retail]]</f>
        <v>#DIV/0!</v>
      </c>
      <c r="AW115" s="8"/>
    </row>
    <row r="116" spans="3:49" hidden="1" x14ac:dyDescent="0.25">
      <c r="C116" s="26" t="str">
        <f>Tools!$C$1</f>
        <v>Example</v>
      </c>
      <c r="D116" s="27" t="s">
        <v>71</v>
      </c>
      <c r="E116" s="28">
        <v>2017</v>
      </c>
      <c r="F116" s="28">
        <f>MATCH(DaybyDay[[#This Row],[RowMonth]],Table3[SummaryMonth],0)</f>
        <v>4</v>
      </c>
      <c r="G116" s="29" t="e">
        <f>MATCH(DaybyDay[[#This Row],[LY-Date]],DaybyDay[Date],0)</f>
        <v>#N/A</v>
      </c>
      <c r="H116" s="30">
        <f>WEEKDAY(DaybyDay[[#This Row],[Date]])</f>
        <v>5</v>
      </c>
      <c r="I116" s="31">
        <v>42845</v>
      </c>
      <c r="J116" s="74">
        <v>23</v>
      </c>
      <c r="K116" s="32">
        <f>SUMIFS(BudgetSeasonality[365 Seasonality],BudgetSeasonality[MonthAdjustment],DaybyDay[[#This Row],[Date]])*SUMIFS(Budgets[Service-Budget],Budgets[BudgetMonth],DaybyDay[[#This Row],[RowMonth]],Budgets[BudgetYear],DaybyDay[[#This Row],[RowYear]])</f>
        <v>0</v>
      </c>
      <c r="L116" s="75">
        <v>4348</v>
      </c>
      <c r="M116" s="32">
        <f>INDEX(BudgetSeasonality[365 Seasonality],MATCH(DaybyDay[[#This Row],[Date]],BudgetSeasonality[MonthAdjustment],0))*SUMIFS(Budgets[Retail-Budget],Budgets[BudgetMonth],DaybyDay[[#This Row],[RowMonth]],Budgets[BudgetYear],DaybyDay[[#This Row],[RowYear]])</f>
        <v>0</v>
      </c>
      <c r="N116" s="75">
        <v>695</v>
      </c>
      <c r="O116" s="33">
        <f>SUMIFS(DaybyDay[Service-Budgets],DaybyDay[Date],"&gt;="&amp;$C$5,DaybyDay[RowYear],"&gt;="&amp;$C$4,DaybyDay[Date],"&lt;="&amp;DaybyDay[[#This Row],[Date]])</f>
        <v>0</v>
      </c>
      <c r="P116" s="33">
        <f>SUMIFS(DaybyDay[Retail-Budgets],DaybyDay[Date],"&gt;="&amp;$C$5,DaybyDay[RowYear],"&gt;="&amp;$C$4,DaybyDay[Date],"&lt;="&amp;DaybyDay[[#This Row],[Date]])</f>
        <v>0</v>
      </c>
      <c r="Q116" s="34">
        <f>SUMIFS(DaybyDay[Service-Actuals],DaybyDay[Date],"&gt;="&amp;$C$5,DaybyDay[RowYear],"&gt;="&amp;$C$4,DaybyDay[Date],"&lt;="&amp;DaybyDay[[#This Row],[Date]])</f>
        <v>0</v>
      </c>
      <c r="R116" s="34">
        <f>SUMIFS(DaybyDay[Retail-Actuals],DaybyDay[Date],"&gt;="&amp;$C$5,DaybyDay[RowYear],"&gt;="&amp;$C$4,DaybyDay[Date],"&lt;="&amp;DaybyDay[[#This Row],[Date]])</f>
        <v>0</v>
      </c>
      <c r="S116" s="35">
        <f>SUMIFS(DaybyDay[Service-LY],DaybyDay[Date],"&gt;="&amp;$C$5,DaybyDay[RowYear],"&gt;="&amp;$C$4,DaybyDay[Date],"&lt;="&amp;DaybyDay[[#This Row],[Date]])</f>
        <v>0</v>
      </c>
      <c r="T116" s="35">
        <f>SUMIFS(DaybyDay[Retail-LY],DaybyDay[Date],"&gt;="&amp;$C$5,DaybyDay[RowYear],"&gt;="&amp;$C$4,DaybyDay[Date],"&lt;="&amp;DaybyDay[[#This Row],[Date]])</f>
        <v>0</v>
      </c>
      <c r="U116" s="32">
        <f>DaybyDay[[#This Row],[Serv-Bud-RU]]+DaybyDay[[#This Row],[Ret-Bud-RU]]</f>
        <v>0</v>
      </c>
      <c r="V116" s="32">
        <f>DaybyDay[[#This Row],[Serv-Act-RU]]+DaybyDay[[#This Row],[Ret-Act-RU]]</f>
        <v>0</v>
      </c>
      <c r="W116" s="36">
        <f>IF(DaybyDay[[#This Row],[_Space]],IFERROR(
((DaybyDay[[#This Row],[Actual-Rollup]]-DaybyDay[[#This Row],[Budget-Rollup]])/DaybyDay[[#This Row],[Budget-Rollup]]),0),"")</f>
        <v>0</v>
      </c>
      <c r="X116" t="b">
        <f>NOT(AND(ISBLANK(DaybyDay[[#This Row],[Appts]]),ISBLANK(DaybyDay[[#This Row],[Service-Actuals]]),ISBLANK(DaybyDay[[#This Row],[Retail-Actuals]])))</f>
        <v>1</v>
      </c>
      <c r="Y116" s="36">
        <f>IF(DaybyDay[[#This Row],[_Space]],IFERROR(
((DaybyDay[[#This Row],[Actual-Rollup]]-DaybyDay[[#This Row],[LY-Rollup]])/DaybyDay[[#This Row],[LY-Rollup]]),0),"")</f>
        <v>0</v>
      </c>
      <c r="Z116"/>
      <c r="AA116" s="37" t="e">
        <f>IF(DaybyDay[[#This Row],[_Space]],DaybyDay[[#This Row],[Ret-Act-RU]]/DaybyDay[[#This Row],[Serv-Act-RU]],"")</f>
        <v>#DIV/0!</v>
      </c>
      <c r="AB116" s="50" t="e">
        <f>IF(DaybyDay[[#This Row],[_Space]],DaybyDay[[#This Row],[RETPEN-Act]]/DaybyDay[[#This Row],[RETPEN-Bud]],"")</f>
        <v>#DIV/0!</v>
      </c>
      <c r="AC116" s="37" t="e">
        <f>IF(DaybyDay[[#This Row],[_Space]],DaybyDay[[#This Row],[Ret-Bud-RU]]/DaybyDay[[#This Row],[Serv-Bud-RU]],"")</f>
        <v>#DIV/0!</v>
      </c>
      <c r="AD116" s="37" t="e">
        <f>IF(DaybyDay[[#This Row],[_Space]],DaybyDay[[#This Row],[Ret-LY-RU]]/DaybyDay[[#This Row],[Serv-LY-RU]],"")</f>
        <v>#DIV/0!</v>
      </c>
      <c r="AE116" s="30">
        <f>WEEKDAY(DaybyDay[[#This Row],[LY-Date]])</f>
        <v>5</v>
      </c>
      <c r="AF116" s="38">
        <f>$E$2+_xlfn.DAYS(DaybyDay[[#This Row],[Date]],minDate)</f>
        <v>42481</v>
      </c>
      <c r="AG116" s="39" t="str" cm="1">
        <f t="array" ref="AG116">IFERROR(INDEX(DaybyDay[],DaybyDay[[#This Row],[FORM_MATCH_HELPER]],8),"")</f>
        <v/>
      </c>
      <c r="AH116" s="39" t="str" cm="1">
        <f t="array" ref="AH116">IFERROR(INDEX(DaybyDay[],DaybyDay[[#This Row],[FORM_MATCH_HELPER]],10),"")</f>
        <v/>
      </c>
      <c r="AI116" s="39" t="str" cm="1">
        <f t="array" ref="AI116">IFERROR(INDEX(DaybyDay[],DaybyDay[[#This Row],[FORM_MATCH_HELPER]],12),"")</f>
        <v/>
      </c>
      <c r="AJ116" s="32">
        <f>IFERROR(DaybyDay[[#This Row],[Serv-LY-RU]]+DaybyDay[[#This Row],[Ret-LY-RU]],"")</f>
        <v>0</v>
      </c>
      <c r="AK1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6" s="77"/>
      <c r="AM116" s="40" t="str">
        <f>IF(DaybyDay[[#This Row],[Admin Hours]]&gt;0,DaybyDay[[#This Row],[Admin Hours]]*$AM$2+$AM$3,"")</f>
        <v/>
      </c>
      <c r="AN116" s="40">
        <f>SUMIFS(DaybyDay[Est-Admin-Payroll],DaybyDay[Date],"&gt;="&amp;$C$5,DaybyDay[RowYear],"&gt;="&amp;$C$4,DaybyDay[Date],"&lt;="&amp;DaybyDay[[#This Row],[Date]])</f>
        <v>0</v>
      </c>
      <c r="AO116" s="41" t="str">
        <f>IF(AND(DaybyDay[[#This Row],[_Space]],ISNUMBER(DaybyDay[[#This Row],[Admin Hours]])),DaybyDay[[#This Row],[Est-Admin-Payroll]]/(DaybyDay[[#This Row],[Service-Actuals]]+DaybyDay[[#This Row],[Retail-Actuals]]),"")</f>
        <v/>
      </c>
      <c r="AP116" s="41" t="e">
        <f>DaybyDay[[#This Row],[Estimated-Payroll-Rollup]]/DaybyDay[[#This Row],[Simple-Forecast]]</f>
        <v>#DIV/0!</v>
      </c>
      <c r="AQ1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6" s="77"/>
      <c r="AS116" s="40" t="str">
        <f>IF(DaybyDay[[#This Row],[Retail Hours]]&gt;0,DaybyDay[[#This Row],[Retail Hours]]*$AS$2,"")</f>
        <v/>
      </c>
      <c r="AT116" s="40">
        <f>SUMIFS(DaybyDay[Est-Retail-Payroll],DaybyDay[Date],"&gt;="&amp;$C$5,DaybyDay[RowYear],"&gt;="&amp;$C$4,DaybyDay[Date],"&lt;="&amp;DaybyDay[[#This Row],[Date]])</f>
        <v>0</v>
      </c>
      <c r="AU116" s="82" t="str">
        <f>IF(AND(DaybyDay[[#This Row],[_Space]],ISNUMBER(DaybyDay[[#This Row],[Retail Hours]])),DaybyDay[[#This Row],[Est-Retail-Payroll]]/(DaybyDay[[#This Row],[Retail-Actuals]]),"")</f>
        <v/>
      </c>
      <c r="AV116" s="82" t="e">
        <f>DaybyDay[[#This Row],[Est-Retail-PayrollRU]]/DaybyDay[[#This Row],[Simple-Forecast-Retail]]</f>
        <v>#DIV/0!</v>
      </c>
      <c r="AW116" s="8"/>
    </row>
    <row r="117" spans="3:49" hidden="1" x14ac:dyDescent="0.25">
      <c r="C117" s="26" t="str">
        <f>Tools!$C$1</f>
        <v>Example</v>
      </c>
      <c r="D117" s="27" t="s">
        <v>71</v>
      </c>
      <c r="E117" s="28">
        <v>2017</v>
      </c>
      <c r="F117" s="28">
        <f>MATCH(DaybyDay[[#This Row],[RowMonth]],Table3[SummaryMonth],0)</f>
        <v>4</v>
      </c>
      <c r="G117" s="29" t="e">
        <f>MATCH(DaybyDay[[#This Row],[LY-Date]],DaybyDay[Date],0)</f>
        <v>#N/A</v>
      </c>
      <c r="H117" s="30">
        <f>WEEKDAY(DaybyDay[[#This Row],[Date]])</f>
        <v>6</v>
      </c>
      <c r="I117" s="31">
        <v>42846</v>
      </c>
      <c r="J117" s="74">
        <v>27</v>
      </c>
      <c r="K117" s="32">
        <f>SUMIFS(BudgetSeasonality[365 Seasonality],BudgetSeasonality[MonthAdjustment],DaybyDay[[#This Row],[Date]])*SUMIFS(Budgets[Service-Budget],Budgets[BudgetMonth],DaybyDay[[#This Row],[RowMonth]],Budgets[BudgetYear],DaybyDay[[#This Row],[RowYear]])</f>
        <v>0</v>
      </c>
      <c r="L117" s="75">
        <v>5853.89</v>
      </c>
      <c r="M117" s="32">
        <f>INDEX(BudgetSeasonality[365 Seasonality],MATCH(DaybyDay[[#This Row],[Date]],BudgetSeasonality[MonthAdjustment],0))*SUMIFS(Budgets[Retail-Budget],Budgets[BudgetMonth],DaybyDay[[#This Row],[RowMonth]],Budgets[BudgetYear],DaybyDay[[#This Row],[RowYear]])</f>
        <v>0</v>
      </c>
      <c r="N117" s="75">
        <v>1589.5</v>
      </c>
      <c r="O117" s="33">
        <f>SUMIFS(DaybyDay[Service-Budgets],DaybyDay[Date],"&gt;="&amp;$C$5,DaybyDay[RowYear],"&gt;="&amp;$C$4,DaybyDay[Date],"&lt;="&amp;DaybyDay[[#This Row],[Date]])</f>
        <v>0</v>
      </c>
      <c r="P117" s="33">
        <f>SUMIFS(DaybyDay[Retail-Budgets],DaybyDay[Date],"&gt;="&amp;$C$5,DaybyDay[RowYear],"&gt;="&amp;$C$4,DaybyDay[Date],"&lt;="&amp;DaybyDay[[#This Row],[Date]])</f>
        <v>0</v>
      </c>
      <c r="Q117" s="34">
        <f>SUMIFS(DaybyDay[Service-Actuals],DaybyDay[Date],"&gt;="&amp;$C$5,DaybyDay[RowYear],"&gt;="&amp;$C$4,DaybyDay[Date],"&lt;="&amp;DaybyDay[[#This Row],[Date]])</f>
        <v>0</v>
      </c>
      <c r="R117" s="34">
        <f>SUMIFS(DaybyDay[Retail-Actuals],DaybyDay[Date],"&gt;="&amp;$C$5,DaybyDay[RowYear],"&gt;="&amp;$C$4,DaybyDay[Date],"&lt;="&amp;DaybyDay[[#This Row],[Date]])</f>
        <v>0</v>
      </c>
      <c r="S117" s="35">
        <f>SUMIFS(DaybyDay[Service-LY],DaybyDay[Date],"&gt;="&amp;$C$5,DaybyDay[RowYear],"&gt;="&amp;$C$4,DaybyDay[Date],"&lt;="&amp;DaybyDay[[#This Row],[Date]])</f>
        <v>0</v>
      </c>
      <c r="T117" s="35">
        <f>SUMIFS(DaybyDay[Retail-LY],DaybyDay[Date],"&gt;="&amp;$C$5,DaybyDay[RowYear],"&gt;="&amp;$C$4,DaybyDay[Date],"&lt;="&amp;DaybyDay[[#This Row],[Date]])</f>
        <v>0</v>
      </c>
      <c r="U117" s="32">
        <f>DaybyDay[[#This Row],[Serv-Bud-RU]]+DaybyDay[[#This Row],[Ret-Bud-RU]]</f>
        <v>0</v>
      </c>
      <c r="V117" s="32">
        <f>DaybyDay[[#This Row],[Serv-Act-RU]]+DaybyDay[[#This Row],[Ret-Act-RU]]</f>
        <v>0</v>
      </c>
      <c r="W117" s="36">
        <f>IF(DaybyDay[[#This Row],[_Space]],IFERROR(
((DaybyDay[[#This Row],[Actual-Rollup]]-DaybyDay[[#This Row],[Budget-Rollup]])/DaybyDay[[#This Row],[Budget-Rollup]]),0),"")</f>
        <v>0</v>
      </c>
      <c r="X117" t="b">
        <f>NOT(AND(ISBLANK(DaybyDay[[#This Row],[Appts]]),ISBLANK(DaybyDay[[#This Row],[Service-Actuals]]),ISBLANK(DaybyDay[[#This Row],[Retail-Actuals]])))</f>
        <v>1</v>
      </c>
      <c r="Y117" s="36">
        <f>IF(DaybyDay[[#This Row],[_Space]],IFERROR(
((DaybyDay[[#This Row],[Actual-Rollup]]-DaybyDay[[#This Row],[LY-Rollup]])/DaybyDay[[#This Row],[LY-Rollup]]),0),"")</f>
        <v>0</v>
      </c>
      <c r="Z117"/>
      <c r="AA117" s="37" t="e">
        <f>IF(DaybyDay[[#This Row],[_Space]],DaybyDay[[#This Row],[Ret-Act-RU]]/DaybyDay[[#This Row],[Serv-Act-RU]],"")</f>
        <v>#DIV/0!</v>
      </c>
      <c r="AB117" s="50" t="e">
        <f>IF(DaybyDay[[#This Row],[_Space]],DaybyDay[[#This Row],[RETPEN-Act]]/DaybyDay[[#This Row],[RETPEN-Bud]],"")</f>
        <v>#DIV/0!</v>
      </c>
      <c r="AC117" s="37" t="e">
        <f>IF(DaybyDay[[#This Row],[_Space]],DaybyDay[[#This Row],[Ret-Bud-RU]]/DaybyDay[[#This Row],[Serv-Bud-RU]],"")</f>
        <v>#DIV/0!</v>
      </c>
      <c r="AD117" s="37" t="e">
        <f>IF(DaybyDay[[#This Row],[_Space]],DaybyDay[[#This Row],[Ret-LY-RU]]/DaybyDay[[#This Row],[Serv-LY-RU]],"")</f>
        <v>#DIV/0!</v>
      </c>
      <c r="AE117" s="30">
        <f>WEEKDAY(DaybyDay[[#This Row],[LY-Date]])</f>
        <v>6</v>
      </c>
      <c r="AF117" s="38">
        <f>$E$2+_xlfn.DAYS(DaybyDay[[#This Row],[Date]],minDate)</f>
        <v>42482</v>
      </c>
      <c r="AG117" s="39" t="str" cm="1">
        <f t="array" ref="AG117">IFERROR(INDEX(DaybyDay[],DaybyDay[[#This Row],[FORM_MATCH_HELPER]],8),"")</f>
        <v/>
      </c>
      <c r="AH117" s="39" t="str" cm="1">
        <f t="array" ref="AH117">IFERROR(INDEX(DaybyDay[],DaybyDay[[#This Row],[FORM_MATCH_HELPER]],10),"")</f>
        <v/>
      </c>
      <c r="AI117" s="39" t="str" cm="1">
        <f t="array" ref="AI117">IFERROR(INDEX(DaybyDay[],DaybyDay[[#This Row],[FORM_MATCH_HELPER]],12),"")</f>
        <v/>
      </c>
      <c r="AJ117" s="32">
        <f>IFERROR(DaybyDay[[#This Row],[Serv-LY-RU]]+DaybyDay[[#This Row],[Ret-LY-RU]],"")</f>
        <v>0</v>
      </c>
      <c r="AK1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7" s="77"/>
      <c r="AM117" s="40" t="str">
        <f>IF(DaybyDay[[#This Row],[Admin Hours]]&gt;0,DaybyDay[[#This Row],[Admin Hours]]*$AM$2+$AM$3,"")</f>
        <v/>
      </c>
      <c r="AN117" s="40">
        <f>SUMIFS(DaybyDay[Est-Admin-Payroll],DaybyDay[Date],"&gt;="&amp;$C$5,DaybyDay[RowYear],"&gt;="&amp;$C$4,DaybyDay[Date],"&lt;="&amp;DaybyDay[[#This Row],[Date]])</f>
        <v>0</v>
      </c>
      <c r="AO117" s="41" t="str">
        <f>IF(AND(DaybyDay[[#This Row],[_Space]],ISNUMBER(DaybyDay[[#This Row],[Admin Hours]])),DaybyDay[[#This Row],[Est-Admin-Payroll]]/(DaybyDay[[#This Row],[Service-Actuals]]+DaybyDay[[#This Row],[Retail-Actuals]]),"")</f>
        <v/>
      </c>
      <c r="AP117" s="41" t="e">
        <f>DaybyDay[[#This Row],[Estimated-Payroll-Rollup]]/DaybyDay[[#This Row],[Simple-Forecast]]</f>
        <v>#DIV/0!</v>
      </c>
      <c r="AQ1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7" s="77"/>
      <c r="AS117" s="40" t="str">
        <f>IF(DaybyDay[[#This Row],[Retail Hours]]&gt;0,DaybyDay[[#This Row],[Retail Hours]]*$AS$2,"")</f>
        <v/>
      </c>
      <c r="AT117" s="40">
        <f>SUMIFS(DaybyDay[Est-Retail-Payroll],DaybyDay[Date],"&gt;="&amp;$C$5,DaybyDay[RowYear],"&gt;="&amp;$C$4,DaybyDay[Date],"&lt;="&amp;DaybyDay[[#This Row],[Date]])</f>
        <v>0</v>
      </c>
      <c r="AU117" s="82" t="str">
        <f>IF(AND(DaybyDay[[#This Row],[_Space]],ISNUMBER(DaybyDay[[#This Row],[Retail Hours]])),DaybyDay[[#This Row],[Est-Retail-Payroll]]/(DaybyDay[[#This Row],[Retail-Actuals]]),"")</f>
        <v/>
      </c>
      <c r="AV117" s="82" t="e">
        <f>DaybyDay[[#This Row],[Est-Retail-PayrollRU]]/DaybyDay[[#This Row],[Simple-Forecast-Retail]]</f>
        <v>#DIV/0!</v>
      </c>
      <c r="AW117" s="8"/>
    </row>
    <row r="118" spans="3:49" hidden="1" x14ac:dyDescent="0.25">
      <c r="C118" s="26" t="str">
        <f>Tools!$C$1</f>
        <v>Example</v>
      </c>
      <c r="D118" s="27" t="s">
        <v>71</v>
      </c>
      <c r="E118" s="28">
        <v>2017</v>
      </c>
      <c r="F118" s="28">
        <f>MATCH(DaybyDay[[#This Row],[RowMonth]],Table3[SummaryMonth],0)</f>
        <v>4</v>
      </c>
      <c r="G118" s="29" t="e">
        <f>MATCH(DaybyDay[[#This Row],[LY-Date]],DaybyDay[Date],0)</f>
        <v>#N/A</v>
      </c>
      <c r="H118" s="30">
        <f>WEEKDAY(DaybyDay[[#This Row],[Date]])</f>
        <v>7</v>
      </c>
      <c r="I118" s="31">
        <v>42847</v>
      </c>
      <c r="J118" s="74">
        <v>39</v>
      </c>
      <c r="K118" s="32">
        <f>SUMIFS(BudgetSeasonality[365 Seasonality],BudgetSeasonality[MonthAdjustment],DaybyDay[[#This Row],[Date]])*SUMIFS(Budgets[Service-Budget],Budgets[BudgetMonth],DaybyDay[[#This Row],[RowMonth]],Budgets[BudgetYear],DaybyDay[[#This Row],[RowYear]])</f>
        <v>0</v>
      </c>
      <c r="L118" s="75">
        <v>6230.65</v>
      </c>
      <c r="M118" s="32">
        <f>INDEX(BudgetSeasonality[365 Seasonality],MATCH(DaybyDay[[#This Row],[Date]],BudgetSeasonality[MonthAdjustment],0))*SUMIFS(Budgets[Retail-Budget],Budgets[BudgetMonth],DaybyDay[[#This Row],[RowMonth]],Budgets[BudgetYear],DaybyDay[[#This Row],[RowYear]])</f>
        <v>0</v>
      </c>
      <c r="N118" s="75">
        <v>958.75</v>
      </c>
      <c r="O118" s="33">
        <f>SUMIFS(DaybyDay[Service-Budgets],DaybyDay[Date],"&gt;="&amp;$C$5,DaybyDay[RowYear],"&gt;="&amp;$C$4,DaybyDay[Date],"&lt;="&amp;DaybyDay[[#This Row],[Date]])</f>
        <v>0</v>
      </c>
      <c r="P118" s="33">
        <f>SUMIFS(DaybyDay[Retail-Budgets],DaybyDay[Date],"&gt;="&amp;$C$5,DaybyDay[RowYear],"&gt;="&amp;$C$4,DaybyDay[Date],"&lt;="&amp;DaybyDay[[#This Row],[Date]])</f>
        <v>0</v>
      </c>
      <c r="Q118" s="34">
        <f>SUMIFS(DaybyDay[Service-Actuals],DaybyDay[Date],"&gt;="&amp;$C$5,DaybyDay[RowYear],"&gt;="&amp;$C$4,DaybyDay[Date],"&lt;="&amp;DaybyDay[[#This Row],[Date]])</f>
        <v>0</v>
      </c>
      <c r="R118" s="34">
        <f>SUMIFS(DaybyDay[Retail-Actuals],DaybyDay[Date],"&gt;="&amp;$C$5,DaybyDay[RowYear],"&gt;="&amp;$C$4,DaybyDay[Date],"&lt;="&amp;DaybyDay[[#This Row],[Date]])</f>
        <v>0</v>
      </c>
      <c r="S118" s="35">
        <f>SUMIFS(DaybyDay[Service-LY],DaybyDay[Date],"&gt;="&amp;$C$5,DaybyDay[RowYear],"&gt;="&amp;$C$4,DaybyDay[Date],"&lt;="&amp;DaybyDay[[#This Row],[Date]])</f>
        <v>0</v>
      </c>
      <c r="T118" s="35">
        <f>SUMIFS(DaybyDay[Retail-LY],DaybyDay[Date],"&gt;="&amp;$C$5,DaybyDay[RowYear],"&gt;="&amp;$C$4,DaybyDay[Date],"&lt;="&amp;DaybyDay[[#This Row],[Date]])</f>
        <v>0</v>
      </c>
      <c r="U118" s="32">
        <f>DaybyDay[[#This Row],[Serv-Bud-RU]]+DaybyDay[[#This Row],[Ret-Bud-RU]]</f>
        <v>0</v>
      </c>
      <c r="V118" s="32">
        <f>DaybyDay[[#This Row],[Serv-Act-RU]]+DaybyDay[[#This Row],[Ret-Act-RU]]</f>
        <v>0</v>
      </c>
      <c r="W118" s="36">
        <f>IF(DaybyDay[[#This Row],[_Space]],IFERROR(
((DaybyDay[[#This Row],[Actual-Rollup]]-DaybyDay[[#This Row],[Budget-Rollup]])/DaybyDay[[#This Row],[Budget-Rollup]]),0),"")</f>
        <v>0</v>
      </c>
      <c r="X118" t="b">
        <f>NOT(AND(ISBLANK(DaybyDay[[#This Row],[Appts]]),ISBLANK(DaybyDay[[#This Row],[Service-Actuals]]),ISBLANK(DaybyDay[[#This Row],[Retail-Actuals]])))</f>
        <v>1</v>
      </c>
      <c r="Y118" s="36">
        <f>IF(DaybyDay[[#This Row],[_Space]],IFERROR(
((DaybyDay[[#This Row],[Actual-Rollup]]-DaybyDay[[#This Row],[LY-Rollup]])/DaybyDay[[#This Row],[LY-Rollup]]),0),"")</f>
        <v>0</v>
      </c>
      <c r="Z118"/>
      <c r="AA118" s="37" t="e">
        <f>IF(DaybyDay[[#This Row],[_Space]],DaybyDay[[#This Row],[Ret-Act-RU]]/DaybyDay[[#This Row],[Serv-Act-RU]],"")</f>
        <v>#DIV/0!</v>
      </c>
      <c r="AB118" s="50" t="e">
        <f>IF(DaybyDay[[#This Row],[_Space]],DaybyDay[[#This Row],[RETPEN-Act]]/DaybyDay[[#This Row],[RETPEN-Bud]],"")</f>
        <v>#DIV/0!</v>
      </c>
      <c r="AC118" s="37" t="e">
        <f>IF(DaybyDay[[#This Row],[_Space]],DaybyDay[[#This Row],[Ret-Bud-RU]]/DaybyDay[[#This Row],[Serv-Bud-RU]],"")</f>
        <v>#DIV/0!</v>
      </c>
      <c r="AD118" s="37" t="e">
        <f>IF(DaybyDay[[#This Row],[_Space]],DaybyDay[[#This Row],[Ret-LY-RU]]/DaybyDay[[#This Row],[Serv-LY-RU]],"")</f>
        <v>#DIV/0!</v>
      </c>
      <c r="AE118" s="30">
        <f>WEEKDAY(DaybyDay[[#This Row],[LY-Date]])</f>
        <v>7</v>
      </c>
      <c r="AF118" s="38">
        <f>$E$2+_xlfn.DAYS(DaybyDay[[#This Row],[Date]],minDate)</f>
        <v>42483</v>
      </c>
      <c r="AG118" s="39" t="str" cm="1">
        <f t="array" ref="AG118">IFERROR(INDEX(DaybyDay[],DaybyDay[[#This Row],[FORM_MATCH_HELPER]],8),"")</f>
        <v/>
      </c>
      <c r="AH118" s="39" t="str" cm="1">
        <f t="array" ref="AH118">IFERROR(INDEX(DaybyDay[],DaybyDay[[#This Row],[FORM_MATCH_HELPER]],10),"")</f>
        <v/>
      </c>
      <c r="AI118" s="39" t="str" cm="1">
        <f t="array" ref="AI118">IFERROR(INDEX(DaybyDay[],DaybyDay[[#This Row],[FORM_MATCH_HELPER]],12),"")</f>
        <v/>
      </c>
      <c r="AJ118" s="32">
        <f>IFERROR(DaybyDay[[#This Row],[Serv-LY-RU]]+DaybyDay[[#This Row],[Ret-LY-RU]],"")</f>
        <v>0</v>
      </c>
      <c r="AK1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8" s="77"/>
      <c r="AM118" s="40" t="str">
        <f>IF(DaybyDay[[#This Row],[Admin Hours]]&gt;0,DaybyDay[[#This Row],[Admin Hours]]*$AM$2+$AM$3,"")</f>
        <v/>
      </c>
      <c r="AN118" s="40">
        <f>SUMIFS(DaybyDay[Est-Admin-Payroll],DaybyDay[Date],"&gt;="&amp;$C$5,DaybyDay[RowYear],"&gt;="&amp;$C$4,DaybyDay[Date],"&lt;="&amp;DaybyDay[[#This Row],[Date]])</f>
        <v>0</v>
      </c>
      <c r="AO118" s="41" t="str">
        <f>IF(AND(DaybyDay[[#This Row],[_Space]],ISNUMBER(DaybyDay[[#This Row],[Admin Hours]])),DaybyDay[[#This Row],[Est-Admin-Payroll]]/(DaybyDay[[#This Row],[Service-Actuals]]+DaybyDay[[#This Row],[Retail-Actuals]]),"")</f>
        <v/>
      </c>
      <c r="AP118" s="41" t="e">
        <f>DaybyDay[[#This Row],[Estimated-Payroll-Rollup]]/DaybyDay[[#This Row],[Simple-Forecast]]</f>
        <v>#DIV/0!</v>
      </c>
      <c r="AQ1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8" s="77"/>
      <c r="AS118" s="40" t="str">
        <f>IF(DaybyDay[[#This Row],[Retail Hours]]&gt;0,DaybyDay[[#This Row],[Retail Hours]]*$AS$2,"")</f>
        <v/>
      </c>
      <c r="AT118" s="40">
        <f>SUMIFS(DaybyDay[Est-Retail-Payroll],DaybyDay[Date],"&gt;="&amp;$C$5,DaybyDay[RowYear],"&gt;="&amp;$C$4,DaybyDay[Date],"&lt;="&amp;DaybyDay[[#This Row],[Date]])</f>
        <v>0</v>
      </c>
      <c r="AU118" s="82" t="str">
        <f>IF(AND(DaybyDay[[#This Row],[_Space]],ISNUMBER(DaybyDay[[#This Row],[Retail Hours]])),DaybyDay[[#This Row],[Est-Retail-Payroll]]/(DaybyDay[[#This Row],[Retail-Actuals]]),"")</f>
        <v/>
      </c>
      <c r="AV118" s="82" t="e">
        <f>DaybyDay[[#This Row],[Est-Retail-PayrollRU]]/DaybyDay[[#This Row],[Simple-Forecast-Retail]]</f>
        <v>#DIV/0!</v>
      </c>
      <c r="AW118" s="8"/>
    </row>
    <row r="119" spans="3:49" hidden="1" x14ac:dyDescent="0.25">
      <c r="C119" s="26" t="str">
        <f>Tools!$C$1</f>
        <v>Example</v>
      </c>
      <c r="D119" s="27" t="s">
        <v>71</v>
      </c>
      <c r="E119" s="28">
        <v>2017</v>
      </c>
      <c r="F119" s="28">
        <f>MATCH(DaybyDay[[#This Row],[RowMonth]],Table3[SummaryMonth],0)</f>
        <v>4</v>
      </c>
      <c r="G119" s="29" t="e">
        <f>MATCH(DaybyDay[[#This Row],[LY-Date]],DaybyDay[Date],0)</f>
        <v>#N/A</v>
      </c>
      <c r="H119" s="30">
        <f>WEEKDAY(DaybyDay[[#This Row],[Date]])</f>
        <v>1</v>
      </c>
      <c r="I119" s="31">
        <v>42848</v>
      </c>
      <c r="J119" s="74">
        <v>42</v>
      </c>
      <c r="K119" s="32">
        <f>SUMIFS(BudgetSeasonality[365 Seasonality],BudgetSeasonality[MonthAdjustment],DaybyDay[[#This Row],[Date]])*SUMIFS(Budgets[Service-Budget],Budgets[BudgetMonth],DaybyDay[[#This Row],[RowMonth]],Budgets[BudgetYear],DaybyDay[[#This Row],[RowYear]])</f>
        <v>0</v>
      </c>
      <c r="L119" s="75">
        <v>6696.35</v>
      </c>
      <c r="M119" s="32">
        <f>INDEX(BudgetSeasonality[365 Seasonality],MATCH(DaybyDay[[#This Row],[Date]],BudgetSeasonality[MonthAdjustment],0))*SUMIFS(Budgets[Retail-Budget],Budgets[BudgetMonth],DaybyDay[[#This Row],[RowMonth]],Budgets[BudgetYear],DaybyDay[[#This Row],[RowYear]])</f>
        <v>0</v>
      </c>
      <c r="N119" s="75">
        <v>1927.5</v>
      </c>
      <c r="O119" s="33">
        <f>SUMIFS(DaybyDay[Service-Budgets],DaybyDay[Date],"&gt;="&amp;$C$5,DaybyDay[RowYear],"&gt;="&amp;$C$4,DaybyDay[Date],"&lt;="&amp;DaybyDay[[#This Row],[Date]])</f>
        <v>0</v>
      </c>
      <c r="P119" s="33">
        <f>SUMIFS(DaybyDay[Retail-Budgets],DaybyDay[Date],"&gt;="&amp;$C$5,DaybyDay[RowYear],"&gt;="&amp;$C$4,DaybyDay[Date],"&lt;="&amp;DaybyDay[[#This Row],[Date]])</f>
        <v>0</v>
      </c>
      <c r="Q119" s="34">
        <f>SUMIFS(DaybyDay[Service-Actuals],DaybyDay[Date],"&gt;="&amp;$C$5,DaybyDay[RowYear],"&gt;="&amp;$C$4,DaybyDay[Date],"&lt;="&amp;DaybyDay[[#This Row],[Date]])</f>
        <v>0</v>
      </c>
      <c r="R119" s="34">
        <f>SUMIFS(DaybyDay[Retail-Actuals],DaybyDay[Date],"&gt;="&amp;$C$5,DaybyDay[RowYear],"&gt;="&amp;$C$4,DaybyDay[Date],"&lt;="&amp;DaybyDay[[#This Row],[Date]])</f>
        <v>0</v>
      </c>
      <c r="S119" s="35">
        <f>SUMIFS(DaybyDay[Service-LY],DaybyDay[Date],"&gt;="&amp;$C$5,DaybyDay[RowYear],"&gt;="&amp;$C$4,DaybyDay[Date],"&lt;="&amp;DaybyDay[[#This Row],[Date]])</f>
        <v>0</v>
      </c>
      <c r="T119" s="35">
        <f>SUMIFS(DaybyDay[Retail-LY],DaybyDay[Date],"&gt;="&amp;$C$5,DaybyDay[RowYear],"&gt;="&amp;$C$4,DaybyDay[Date],"&lt;="&amp;DaybyDay[[#This Row],[Date]])</f>
        <v>0</v>
      </c>
      <c r="U119" s="32">
        <f>DaybyDay[[#This Row],[Serv-Bud-RU]]+DaybyDay[[#This Row],[Ret-Bud-RU]]</f>
        <v>0</v>
      </c>
      <c r="V119" s="32">
        <f>DaybyDay[[#This Row],[Serv-Act-RU]]+DaybyDay[[#This Row],[Ret-Act-RU]]</f>
        <v>0</v>
      </c>
      <c r="W119" s="36">
        <f>IF(DaybyDay[[#This Row],[_Space]],IFERROR(
((DaybyDay[[#This Row],[Actual-Rollup]]-DaybyDay[[#This Row],[Budget-Rollup]])/DaybyDay[[#This Row],[Budget-Rollup]]),0),"")</f>
        <v>0</v>
      </c>
      <c r="X119" t="b">
        <f>NOT(AND(ISBLANK(DaybyDay[[#This Row],[Appts]]),ISBLANK(DaybyDay[[#This Row],[Service-Actuals]]),ISBLANK(DaybyDay[[#This Row],[Retail-Actuals]])))</f>
        <v>1</v>
      </c>
      <c r="Y119" s="36">
        <f>IF(DaybyDay[[#This Row],[_Space]],IFERROR(
((DaybyDay[[#This Row],[Actual-Rollup]]-DaybyDay[[#This Row],[LY-Rollup]])/DaybyDay[[#This Row],[LY-Rollup]]),0),"")</f>
        <v>0</v>
      </c>
      <c r="Z119"/>
      <c r="AA119" s="37" t="e">
        <f>IF(DaybyDay[[#This Row],[_Space]],DaybyDay[[#This Row],[Ret-Act-RU]]/DaybyDay[[#This Row],[Serv-Act-RU]],"")</f>
        <v>#DIV/0!</v>
      </c>
      <c r="AB119" s="50" t="e">
        <f>IF(DaybyDay[[#This Row],[_Space]],DaybyDay[[#This Row],[RETPEN-Act]]/DaybyDay[[#This Row],[RETPEN-Bud]],"")</f>
        <v>#DIV/0!</v>
      </c>
      <c r="AC119" s="37" t="e">
        <f>IF(DaybyDay[[#This Row],[_Space]],DaybyDay[[#This Row],[Ret-Bud-RU]]/DaybyDay[[#This Row],[Serv-Bud-RU]],"")</f>
        <v>#DIV/0!</v>
      </c>
      <c r="AD119" s="37" t="e">
        <f>IF(DaybyDay[[#This Row],[_Space]],DaybyDay[[#This Row],[Ret-LY-RU]]/DaybyDay[[#This Row],[Serv-LY-RU]],"")</f>
        <v>#DIV/0!</v>
      </c>
      <c r="AE119" s="30">
        <f>WEEKDAY(DaybyDay[[#This Row],[LY-Date]])</f>
        <v>1</v>
      </c>
      <c r="AF119" s="38">
        <f>$E$2+_xlfn.DAYS(DaybyDay[[#This Row],[Date]],minDate)</f>
        <v>42484</v>
      </c>
      <c r="AG119" s="39" t="str" cm="1">
        <f t="array" ref="AG119">IFERROR(INDEX(DaybyDay[],DaybyDay[[#This Row],[FORM_MATCH_HELPER]],8),"")</f>
        <v/>
      </c>
      <c r="AH119" s="39" t="str" cm="1">
        <f t="array" ref="AH119">IFERROR(INDEX(DaybyDay[],DaybyDay[[#This Row],[FORM_MATCH_HELPER]],10),"")</f>
        <v/>
      </c>
      <c r="AI119" s="39" t="str" cm="1">
        <f t="array" ref="AI119">IFERROR(INDEX(DaybyDay[],DaybyDay[[#This Row],[FORM_MATCH_HELPER]],12),"")</f>
        <v/>
      </c>
      <c r="AJ119" s="32">
        <f>IFERROR(DaybyDay[[#This Row],[Serv-LY-RU]]+DaybyDay[[#This Row],[Ret-LY-RU]],"")</f>
        <v>0</v>
      </c>
      <c r="AK1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9" s="77"/>
      <c r="AM119" s="40" t="str">
        <f>IF(DaybyDay[[#This Row],[Admin Hours]]&gt;0,DaybyDay[[#This Row],[Admin Hours]]*$AM$2+$AM$3,"")</f>
        <v/>
      </c>
      <c r="AN119" s="40">
        <f>SUMIFS(DaybyDay[Est-Admin-Payroll],DaybyDay[Date],"&gt;="&amp;$C$5,DaybyDay[RowYear],"&gt;="&amp;$C$4,DaybyDay[Date],"&lt;="&amp;DaybyDay[[#This Row],[Date]])</f>
        <v>0</v>
      </c>
      <c r="AO119" s="41" t="str">
        <f>IF(AND(DaybyDay[[#This Row],[_Space]],ISNUMBER(DaybyDay[[#This Row],[Admin Hours]])),DaybyDay[[#This Row],[Est-Admin-Payroll]]/(DaybyDay[[#This Row],[Service-Actuals]]+DaybyDay[[#This Row],[Retail-Actuals]]),"")</f>
        <v/>
      </c>
      <c r="AP119" s="41" t="e">
        <f>DaybyDay[[#This Row],[Estimated-Payroll-Rollup]]/DaybyDay[[#This Row],[Simple-Forecast]]</f>
        <v>#DIV/0!</v>
      </c>
      <c r="AQ1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9" s="77"/>
      <c r="AS119" s="40" t="str">
        <f>IF(DaybyDay[[#This Row],[Retail Hours]]&gt;0,DaybyDay[[#This Row],[Retail Hours]]*$AS$2,"")</f>
        <v/>
      </c>
      <c r="AT119" s="40">
        <f>SUMIFS(DaybyDay[Est-Retail-Payroll],DaybyDay[Date],"&gt;="&amp;$C$5,DaybyDay[RowYear],"&gt;="&amp;$C$4,DaybyDay[Date],"&lt;="&amp;DaybyDay[[#This Row],[Date]])</f>
        <v>0</v>
      </c>
      <c r="AU119" s="82" t="str">
        <f>IF(AND(DaybyDay[[#This Row],[_Space]],ISNUMBER(DaybyDay[[#This Row],[Retail Hours]])),DaybyDay[[#This Row],[Est-Retail-Payroll]]/(DaybyDay[[#This Row],[Retail-Actuals]]),"")</f>
        <v/>
      </c>
      <c r="AV119" s="82" t="e">
        <f>DaybyDay[[#This Row],[Est-Retail-PayrollRU]]/DaybyDay[[#This Row],[Simple-Forecast-Retail]]</f>
        <v>#DIV/0!</v>
      </c>
      <c r="AW119" s="8"/>
    </row>
    <row r="120" spans="3:49" hidden="1" x14ac:dyDescent="0.25">
      <c r="C120" s="26" t="str">
        <f>Tools!$C$1</f>
        <v>Example</v>
      </c>
      <c r="D120" s="27" t="s">
        <v>71</v>
      </c>
      <c r="E120" s="28">
        <v>2017</v>
      </c>
      <c r="F120" s="28">
        <f>MATCH(DaybyDay[[#This Row],[RowMonth]],Table3[SummaryMonth],0)</f>
        <v>4</v>
      </c>
      <c r="G120" s="29" t="e">
        <f>MATCH(DaybyDay[[#This Row],[LY-Date]],DaybyDay[Date],0)</f>
        <v>#N/A</v>
      </c>
      <c r="H120" s="30">
        <f>WEEKDAY(DaybyDay[[#This Row],[Date]])</f>
        <v>2</v>
      </c>
      <c r="I120" s="31">
        <v>42849</v>
      </c>
      <c r="J120" s="74">
        <v>15</v>
      </c>
      <c r="K120" s="32">
        <f>SUMIFS(BudgetSeasonality[365 Seasonality],BudgetSeasonality[MonthAdjustment],DaybyDay[[#This Row],[Date]])*SUMIFS(Budgets[Service-Budget],Budgets[BudgetMonth],DaybyDay[[#This Row],[RowMonth]],Budgets[BudgetYear],DaybyDay[[#This Row],[RowYear]])</f>
        <v>0</v>
      </c>
      <c r="L120" s="75">
        <v>2540.89</v>
      </c>
      <c r="M120" s="32">
        <f>INDEX(BudgetSeasonality[365 Seasonality],MATCH(DaybyDay[[#This Row],[Date]],BudgetSeasonality[MonthAdjustment],0))*SUMIFS(Budgets[Retail-Budget],Budgets[BudgetMonth],DaybyDay[[#This Row],[RowMonth]],Budgets[BudgetYear],DaybyDay[[#This Row],[RowYear]])</f>
        <v>0</v>
      </c>
      <c r="N120" s="75">
        <v>65</v>
      </c>
      <c r="O120" s="33">
        <f>SUMIFS(DaybyDay[Service-Budgets],DaybyDay[Date],"&gt;="&amp;$C$5,DaybyDay[RowYear],"&gt;="&amp;$C$4,DaybyDay[Date],"&lt;="&amp;DaybyDay[[#This Row],[Date]])</f>
        <v>0</v>
      </c>
      <c r="P120" s="33">
        <f>SUMIFS(DaybyDay[Retail-Budgets],DaybyDay[Date],"&gt;="&amp;$C$5,DaybyDay[RowYear],"&gt;="&amp;$C$4,DaybyDay[Date],"&lt;="&amp;DaybyDay[[#This Row],[Date]])</f>
        <v>0</v>
      </c>
      <c r="Q120" s="34">
        <f>SUMIFS(DaybyDay[Service-Actuals],DaybyDay[Date],"&gt;="&amp;$C$5,DaybyDay[RowYear],"&gt;="&amp;$C$4,DaybyDay[Date],"&lt;="&amp;DaybyDay[[#This Row],[Date]])</f>
        <v>0</v>
      </c>
      <c r="R120" s="34">
        <f>SUMIFS(DaybyDay[Retail-Actuals],DaybyDay[Date],"&gt;="&amp;$C$5,DaybyDay[RowYear],"&gt;="&amp;$C$4,DaybyDay[Date],"&lt;="&amp;DaybyDay[[#This Row],[Date]])</f>
        <v>0</v>
      </c>
      <c r="S120" s="35">
        <f>SUMIFS(DaybyDay[Service-LY],DaybyDay[Date],"&gt;="&amp;$C$5,DaybyDay[RowYear],"&gt;="&amp;$C$4,DaybyDay[Date],"&lt;="&amp;DaybyDay[[#This Row],[Date]])</f>
        <v>0</v>
      </c>
      <c r="T120" s="35">
        <f>SUMIFS(DaybyDay[Retail-LY],DaybyDay[Date],"&gt;="&amp;$C$5,DaybyDay[RowYear],"&gt;="&amp;$C$4,DaybyDay[Date],"&lt;="&amp;DaybyDay[[#This Row],[Date]])</f>
        <v>0</v>
      </c>
      <c r="U120" s="32">
        <f>DaybyDay[[#This Row],[Serv-Bud-RU]]+DaybyDay[[#This Row],[Ret-Bud-RU]]</f>
        <v>0</v>
      </c>
      <c r="V120" s="32">
        <f>DaybyDay[[#This Row],[Serv-Act-RU]]+DaybyDay[[#This Row],[Ret-Act-RU]]</f>
        <v>0</v>
      </c>
      <c r="W120" s="36">
        <f>IF(DaybyDay[[#This Row],[_Space]],IFERROR(
((DaybyDay[[#This Row],[Actual-Rollup]]-DaybyDay[[#This Row],[Budget-Rollup]])/DaybyDay[[#This Row],[Budget-Rollup]]),0),"")</f>
        <v>0</v>
      </c>
      <c r="X120" t="b">
        <f>NOT(AND(ISBLANK(DaybyDay[[#This Row],[Appts]]),ISBLANK(DaybyDay[[#This Row],[Service-Actuals]]),ISBLANK(DaybyDay[[#This Row],[Retail-Actuals]])))</f>
        <v>1</v>
      </c>
      <c r="Y120" s="36">
        <f>IF(DaybyDay[[#This Row],[_Space]],IFERROR(
((DaybyDay[[#This Row],[Actual-Rollup]]-DaybyDay[[#This Row],[LY-Rollup]])/DaybyDay[[#This Row],[LY-Rollup]]),0),"")</f>
        <v>0</v>
      </c>
      <c r="Z120"/>
      <c r="AA120" s="37" t="e">
        <f>IF(DaybyDay[[#This Row],[_Space]],DaybyDay[[#This Row],[Ret-Act-RU]]/DaybyDay[[#This Row],[Serv-Act-RU]],"")</f>
        <v>#DIV/0!</v>
      </c>
      <c r="AB120" s="50" t="e">
        <f>IF(DaybyDay[[#This Row],[_Space]],DaybyDay[[#This Row],[RETPEN-Act]]/DaybyDay[[#This Row],[RETPEN-Bud]],"")</f>
        <v>#DIV/0!</v>
      </c>
      <c r="AC120" s="37" t="e">
        <f>IF(DaybyDay[[#This Row],[_Space]],DaybyDay[[#This Row],[Ret-Bud-RU]]/DaybyDay[[#This Row],[Serv-Bud-RU]],"")</f>
        <v>#DIV/0!</v>
      </c>
      <c r="AD120" s="37" t="e">
        <f>IF(DaybyDay[[#This Row],[_Space]],DaybyDay[[#This Row],[Ret-LY-RU]]/DaybyDay[[#This Row],[Serv-LY-RU]],"")</f>
        <v>#DIV/0!</v>
      </c>
      <c r="AE120" s="30">
        <f>WEEKDAY(DaybyDay[[#This Row],[LY-Date]])</f>
        <v>2</v>
      </c>
      <c r="AF120" s="38">
        <f>$E$2+_xlfn.DAYS(DaybyDay[[#This Row],[Date]],minDate)</f>
        <v>42485</v>
      </c>
      <c r="AG120" s="39" t="str" cm="1">
        <f t="array" ref="AG120">IFERROR(INDEX(DaybyDay[],DaybyDay[[#This Row],[FORM_MATCH_HELPER]],8),"")</f>
        <v/>
      </c>
      <c r="AH120" s="39" t="str" cm="1">
        <f t="array" ref="AH120">IFERROR(INDEX(DaybyDay[],DaybyDay[[#This Row],[FORM_MATCH_HELPER]],10),"")</f>
        <v/>
      </c>
      <c r="AI120" s="39" t="str" cm="1">
        <f t="array" ref="AI120">IFERROR(INDEX(DaybyDay[],DaybyDay[[#This Row],[FORM_MATCH_HELPER]],12),"")</f>
        <v/>
      </c>
      <c r="AJ120" s="32">
        <f>IFERROR(DaybyDay[[#This Row],[Serv-LY-RU]]+DaybyDay[[#This Row],[Ret-LY-RU]],"")</f>
        <v>0</v>
      </c>
      <c r="AK1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0" s="77"/>
      <c r="AM120" s="40" t="str">
        <f>IF(DaybyDay[[#This Row],[Admin Hours]]&gt;0,DaybyDay[[#This Row],[Admin Hours]]*$AM$2+$AM$3,"")</f>
        <v/>
      </c>
      <c r="AN120" s="40">
        <f>SUMIFS(DaybyDay[Est-Admin-Payroll],DaybyDay[Date],"&gt;="&amp;$C$5,DaybyDay[RowYear],"&gt;="&amp;$C$4,DaybyDay[Date],"&lt;="&amp;DaybyDay[[#This Row],[Date]])</f>
        <v>0</v>
      </c>
      <c r="AO120" s="41" t="str">
        <f>IF(AND(DaybyDay[[#This Row],[_Space]],ISNUMBER(DaybyDay[[#This Row],[Admin Hours]])),DaybyDay[[#This Row],[Est-Admin-Payroll]]/(DaybyDay[[#This Row],[Service-Actuals]]+DaybyDay[[#This Row],[Retail-Actuals]]),"")</f>
        <v/>
      </c>
      <c r="AP120" s="41" t="e">
        <f>DaybyDay[[#This Row],[Estimated-Payroll-Rollup]]/DaybyDay[[#This Row],[Simple-Forecast]]</f>
        <v>#DIV/0!</v>
      </c>
      <c r="AQ1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0" s="77"/>
      <c r="AS120" s="40" t="str">
        <f>IF(DaybyDay[[#This Row],[Retail Hours]]&gt;0,DaybyDay[[#This Row],[Retail Hours]]*$AS$2,"")</f>
        <v/>
      </c>
      <c r="AT120" s="40">
        <f>SUMIFS(DaybyDay[Est-Retail-Payroll],DaybyDay[Date],"&gt;="&amp;$C$5,DaybyDay[RowYear],"&gt;="&amp;$C$4,DaybyDay[Date],"&lt;="&amp;DaybyDay[[#This Row],[Date]])</f>
        <v>0</v>
      </c>
      <c r="AU120" s="82" t="str">
        <f>IF(AND(DaybyDay[[#This Row],[_Space]],ISNUMBER(DaybyDay[[#This Row],[Retail Hours]])),DaybyDay[[#This Row],[Est-Retail-Payroll]]/(DaybyDay[[#This Row],[Retail-Actuals]]),"")</f>
        <v/>
      </c>
      <c r="AV120" s="82" t="e">
        <f>DaybyDay[[#This Row],[Est-Retail-PayrollRU]]/DaybyDay[[#This Row],[Simple-Forecast-Retail]]</f>
        <v>#DIV/0!</v>
      </c>
      <c r="AW120" s="8"/>
    </row>
    <row r="121" spans="3:49" hidden="1" x14ac:dyDescent="0.25">
      <c r="C121" s="26" t="str">
        <f>Tools!$C$1</f>
        <v>Example</v>
      </c>
      <c r="D121" s="27" t="s">
        <v>71</v>
      </c>
      <c r="E121" s="28">
        <v>2017</v>
      </c>
      <c r="F121" s="28">
        <f>MATCH(DaybyDay[[#This Row],[RowMonth]],Table3[SummaryMonth],0)</f>
        <v>4</v>
      </c>
      <c r="G121" s="29" t="e">
        <f>MATCH(DaybyDay[[#This Row],[LY-Date]],DaybyDay[Date],0)</f>
        <v>#N/A</v>
      </c>
      <c r="H121" s="30">
        <f>WEEKDAY(DaybyDay[[#This Row],[Date]])</f>
        <v>3</v>
      </c>
      <c r="I121" s="31">
        <v>42850</v>
      </c>
      <c r="J121" s="74">
        <v>15</v>
      </c>
      <c r="K121" s="32">
        <f>SUMIFS(BudgetSeasonality[365 Seasonality],BudgetSeasonality[MonthAdjustment],DaybyDay[[#This Row],[Date]])*SUMIFS(Budgets[Service-Budget],Budgets[BudgetMonth],DaybyDay[[#This Row],[RowMonth]],Budgets[BudgetYear],DaybyDay[[#This Row],[RowYear]])</f>
        <v>0</v>
      </c>
      <c r="L121" s="75">
        <v>2789.1</v>
      </c>
      <c r="M121" s="32">
        <f>INDEX(BudgetSeasonality[365 Seasonality],MATCH(DaybyDay[[#This Row],[Date]],BudgetSeasonality[MonthAdjustment],0))*SUMIFS(Budgets[Retail-Budget],Budgets[BudgetMonth],DaybyDay[[#This Row],[RowMonth]],Budgets[BudgetYear],DaybyDay[[#This Row],[RowYear]])</f>
        <v>0</v>
      </c>
      <c r="N121" s="75">
        <v>257</v>
      </c>
      <c r="O121" s="33">
        <f>SUMIFS(DaybyDay[Service-Budgets],DaybyDay[Date],"&gt;="&amp;$C$5,DaybyDay[RowYear],"&gt;="&amp;$C$4,DaybyDay[Date],"&lt;="&amp;DaybyDay[[#This Row],[Date]])</f>
        <v>0</v>
      </c>
      <c r="P121" s="33">
        <f>SUMIFS(DaybyDay[Retail-Budgets],DaybyDay[Date],"&gt;="&amp;$C$5,DaybyDay[RowYear],"&gt;="&amp;$C$4,DaybyDay[Date],"&lt;="&amp;DaybyDay[[#This Row],[Date]])</f>
        <v>0</v>
      </c>
      <c r="Q121" s="34">
        <f>SUMIFS(DaybyDay[Service-Actuals],DaybyDay[Date],"&gt;="&amp;$C$5,DaybyDay[RowYear],"&gt;="&amp;$C$4,DaybyDay[Date],"&lt;="&amp;DaybyDay[[#This Row],[Date]])</f>
        <v>0</v>
      </c>
      <c r="R121" s="34">
        <f>SUMIFS(DaybyDay[Retail-Actuals],DaybyDay[Date],"&gt;="&amp;$C$5,DaybyDay[RowYear],"&gt;="&amp;$C$4,DaybyDay[Date],"&lt;="&amp;DaybyDay[[#This Row],[Date]])</f>
        <v>0</v>
      </c>
      <c r="S121" s="35">
        <f>SUMIFS(DaybyDay[Service-LY],DaybyDay[Date],"&gt;="&amp;$C$5,DaybyDay[RowYear],"&gt;="&amp;$C$4,DaybyDay[Date],"&lt;="&amp;DaybyDay[[#This Row],[Date]])</f>
        <v>0</v>
      </c>
      <c r="T121" s="35">
        <f>SUMIFS(DaybyDay[Retail-LY],DaybyDay[Date],"&gt;="&amp;$C$5,DaybyDay[RowYear],"&gt;="&amp;$C$4,DaybyDay[Date],"&lt;="&amp;DaybyDay[[#This Row],[Date]])</f>
        <v>0</v>
      </c>
      <c r="U121" s="32">
        <f>DaybyDay[[#This Row],[Serv-Bud-RU]]+DaybyDay[[#This Row],[Ret-Bud-RU]]</f>
        <v>0</v>
      </c>
      <c r="V121" s="32">
        <f>DaybyDay[[#This Row],[Serv-Act-RU]]+DaybyDay[[#This Row],[Ret-Act-RU]]</f>
        <v>0</v>
      </c>
      <c r="W121" s="36">
        <f>IF(DaybyDay[[#This Row],[_Space]],IFERROR(
((DaybyDay[[#This Row],[Actual-Rollup]]-DaybyDay[[#This Row],[Budget-Rollup]])/DaybyDay[[#This Row],[Budget-Rollup]]),0),"")</f>
        <v>0</v>
      </c>
      <c r="X121" t="b">
        <f>NOT(AND(ISBLANK(DaybyDay[[#This Row],[Appts]]),ISBLANK(DaybyDay[[#This Row],[Service-Actuals]]),ISBLANK(DaybyDay[[#This Row],[Retail-Actuals]])))</f>
        <v>1</v>
      </c>
      <c r="Y121" s="36">
        <f>IF(DaybyDay[[#This Row],[_Space]],IFERROR(
((DaybyDay[[#This Row],[Actual-Rollup]]-DaybyDay[[#This Row],[LY-Rollup]])/DaybyDay[[#This Row],[LY-Rollup]]),0),"")</f>
        <v>0</v>
      </c>
      <c r="Z121"/>
      <c r="AA121" s="37" t="e">
        <f>IF(DaybyDay[[#This Row],[_Space]],DaybyDay[[#This Row],[Ret-Act-RU]]/DaybyDay[[#This Row],[Serv-Act-RU]],"")</f>
        <v>#DIV/0!</v>
      </c>
      <c r="AB121" s="50" t="e">
        <f>IF(DaybyDay[[#This Row],[_Space]],DaybyDay[[#This Row],[RETPEN-Act]]/DaybyDay[[#This Row],[RETPEN-Bud]],"")</f>
        <v>#DIV/0!</v>
      </c>
      <c r="AC121" s="37" t="e">
        <f>IF(DaybyDay[[#This Row],[_Space]],DaybyDay[[#This Row],[Ret-Bud-RU]]/DaybyDay[[#This Row],[Serv-Bud-RU]],"")</f>
        <v>#DIV/0!</v>
      </c>
      <c r="AD121" s="37" t="e">
        <f>IF(DaybyDay[[#This Row],[_Space]],DaybyDay[[#This Row],[Ret-LY-RU]]/DaybyDay[[#This Row],[Serv-LY-RU]],"")</f>
        <v>#DIV/0!</v>
      </c>
      <c r="AE121" s="30">
        <f>WEEKDAY(DaybyDay[[#This Row],[LY-Date]])</f>
        <v>3</v>
      </c>
      <c r="AF121" s="38">
        <f>$E$2+_xlfn.DAYS(DaybyDay[[#This Row],[Date]],minDate)</f>
        <v>42486</v>
      </c>
      <c r="AG121" s="39" t="str" cm="1">
        <f t="array" ref="AG121">IFERROR(INDEX(DaybyDay[],DaybyDay[[#This Row],[FORM_MATCH_HELPER]],8),"")</f>
        <v/>
      </c>
      <c r="AH121" s="39" t="str" cm="1">
        <f t="array" ref="AH121">IFERROR(INDEX(DaybyDay[],DaybyDay[[#This Row],[FORM_MATCH_HELPER]],10),"")</f>
        <v/>
      </c>
      <c r="AI121" s="39" t="str" cm="1">
        <f t="array" ref="AI121">IFERROR(INDEX(DaybyDay[],DaybyDay[[#This Row],[FORM_MATCH_HELPER]],12),"")</f>
        <v/>
      </c>
      <c r="AJ121" s="32">
        <f>IFERROR(DaybyDay[[#This Row],[Serv-LY-RU]]+DaybyDay[[#This Row],[Ret-LY-RU]],"")</f>
        <v>0</v>
      </c>
      <c r="AK1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1" s="77"/>
      <c r="AM121" s="40" t="str">
        <f>IF(DaybyDay[[#This Row],[Admin Hours]]&gt;0,DaybyDay[[#This Row],[Admin Hours]]*$AM$2+$AM$3,"")</f>
        <v/>
      </c>
      <c r="AN121" s="40">
        <f>SUMIFS(DaybyDay[Est-Admin-Payroll],DaybyDay[Date],"&gt;="&amp;$C$5,DaybyDay[RowYear],"&gt;="&amp;$C$4,DaybyDay[Date],"&lt;="&amp;DaybyDay[[#This Row],[Date]])</f>
        <v>0</v>
      </c>
      <c r="AO121" s="41" t="str">
        <f>IF(AND(DaybyDay[[#This Row],[_Space]],ISNUMBER(DaybyDay[[#This Row],[Admin Hours]])),DaybyDay[[#This Row],[Est-Admin-Payroll]]/(DaybyDay[[#This Row],[Service-Actuals]]+DaybyDay[[#This Row],[Retail-Actuals]]),"")</f>
        <v/>
      </c>
      <c r="AP121" s="41" t="e">
        <f>DaybyDay[[#This Row],[Estimated-Payroll-Rollup]]/DaybyDay[[#This Row],[Simple-Forecast]]</f>
        <v>#DIV/0!</v>
      </c>
      <c r="AQ1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1" s="77"/>
      <c r="AS121" s="40" t="str">
        <f>IF(DaybyDay[[#This Row],[Retail Hours]]&gt;0,DaybyDay[[#This Row],[Retail Hours]]*$AS$2,"")</f>
        <v/>
      </c>
      <c r="AT121" s="40">
        <f>SUMIFS(DaybyDay[Est-Retail-Payroll],DaybyDay[Date],"&gt;="&amp;$C$5,DaybyDay[RowYear],"&gt;="&amp;$C$4,DaybyDay[Date],"&lt;="&amp;DaybyDay[[#This Row],[Date]])</f>
        <v>0</v>
      </c>
      <c r="AU121" s="82" t="str">
        <f>IF(AND(DaybyDay[[#This Row],[_Space]],ISNUMBER(DaybyDay[[#This Row],[Retail Hours]])),DaybyDay[[#This Row],[Est-Retail-Payroll]]/(DaybyDay[[#This Row],[Retail-Actuals]]),"")</f>
        <v/>
      </c>
      <c r="AV121" s="82" t="e">
        <f>DaybyDay[[#This Row],[Est-Retail-PayrollRU]]/DaybyDay[[#This Row],[Simple-Forecast-Retail]]</f>
        <v>#DIV/0!</v>
      </c>
      <c r="AW121" s="8"/>
    </row>
    <row r="122" spans="3:49" hidden="1" x14ac:dyDescent="0.25">
      <c r="C122" s="26" t="str">
        <f>Tools!$C$1</f>
        <v>Example</v>
      </c>
      <c r="D122" s="27" t="s">
        <v>71</v>
      </c>
      <c r="E122" s="28">
        <v>2017</v>
      </c>
      <c r="F122" s="28">
        <f>MATCH(DaybyDay[[#This Row],[RowMonth]],Table3[SummaryMonth],0)</f>
        <v>4</v>
      </c>
      <c r="G122" s="29" t="e">
        <f>MATCH(DaybyDay[[#This Row],[LY-Date]],DaybyDay[Date],0)</f>
        <v>#N/A</v>
      </c>
      <c r="H122" s="30">
        <f>WEEKDAY(DaybyDay[[#This Row],[Date]])</f>
        <v>4</v>
      </c>
      <c r="I122" s="31">
        <v>42851</v>
      </c>
      <c r="J122" s="74">
        <v>25</v>
      </c>
      <c r="K122" s="32">
        <f>SUMIFS(BudgetSeasonality[365 Seasonality],BudgetSeasonality[MonthAdjustment],DaybyDay[[#This Row],[Date]])*SUMIFS(Budgets[Service-Budget],Budgets[BudgetMonth],DaybyDay[[#This Row],[RowMonth]],Budgets[BudgetYear],DaybyDay[[#This Row],[RowYear]])</f>
        <v>0</v>
      </c>
      <c r="L122" s="75">
        <v>3144.36</v>
      </c>
      <c r="M122" s="32">
        <f>INDEX(BudgetSeasonality[365 Seasonality],MATCH(DaybyDay[[#This Row],[Date]],BudgetSeasonality[MonthAdjustment],0))*SUMIFS(Budgets[Retail-Budget],Budgets[BudgetMonth],DaybyDay[[#This Row],[RowMonth]],Budgets[BudgetYear],DaybyDay[[#This Row],[RowYear]])</f>
        <v>0</v>
      </c>
      <c r="N122" s="75">
        <v>967.45</v>
      </c>
      <c r="O122" s="33">
        <f>SUMIFS(DaybyDay[Service-Budgets],DaybyDay[Date],"&gt;="&amp;$C$5,DaybyDay[RowYear],"&gt;="&amp;$C$4,DaybyDay[Date],"&lt;="&amp;DaybyDay[[#This Row],[Date]])</f>
        <v>0</v>
      </c>
      <c r="P122" s="33">
        <f>SUMIFS(DaybyDay[Retail-Budgets],DaybyDay[Date],"&gt;="&amp;$C$5,DaybyDay[RowYear],"&gt;="&amp;$C$4,DaybyDay[Date],"&lt;="&amp;DaybyDay[[#This Row],[Date]])</f>
        <v>0</v>
      </c>
      <c r="Q122" s="34">
        <f>SUMIFS(DaybyDay[Service-Actuals],DaybyDay[Date],"&gt;="&amp;$C$5,DaybyDay[RowYear],"&gt;="&amp;$C$4,DaybyDay[Date],"&lt;="&amp;DaybyDay[[#This Row],[Date]])</f>
        <v>0</v>
      </c>
      <c r="R122" s="34">
        <f>SUMIFS(DaybyDay[Retail-Actuals],DaybyDay[Date],"&gt;="&amp;$C$5,DaybyDay[RowYear],"&gt;="&amp;$C$4,DaybyDay[Date],"&lt;="&amp;DaybyDay[[#This Row],[Date]])</f>
        <v>0</v>
      </c>
      <c r="S122" s="35">
        <f>SUMIFS(DaybyDay[Service-LY],DaybyDay[Date],"&gt;="&amp;$C$5,DaybyDay[RowYear],"&gt;="&amp;$C$4,DaybyDay[Date],"&lt;="&amp;DaybyDay[[#This Row],[Date]])</f>
        <v>0</v>
      </c>
      <c r="T122" s="35">
        <f>SUMIFS(DaybyDay[Retail-LY],DaybyDay[Date],"&gt;="&amp;$C$5,DaybyDay[RowYear],"&gt;="&amp;$C$4,DaybyDay[Date],"&lt;="&amp;DaybyDay[[#This Row],[Date]])</f>
        <v>0</v>
      </c>
      <c r="U122" s="32">
        <f>DaybyDay[[#This Row],[Serv-Bud-RU]]+DaybyDay[[#This Row],[Ret-Bud-RU]]</f>
        <v>0</v>
      </c>
      <c r="V122" s="32">
        <f>DaybyDay[[#This Row],[Serv-Act-RU]]+DaybyDay[[#This Row],[Ret-Act-RU]]</f>
        <v>0</v>
      </c>
      <c r="W122" s="36">
        <f>IF(DaybyDay[[#This Row],[_Space]],IFERROR(
((DaybyDay[[#This Row],[Actual-Rollup]]-DaybyDay[[#This Row],[Budget-Rollup]])/DaybyDay[[#This Row],[Budget-Rollup]]),0),"")</f>
        <v>0</v>
      </c>
      <c r="X122" t="b">
        <f>NOT(AND(ISBLANK(DaybyDay[[#This Row],[Appts]]),ISBLANK(DaybyDay[[#This Row],[Service-Actuals]]),ISBLANK(DaybyDay[[#This Row],[Retail-Actuals]])))</f>
        <v>1</v>
      </c>
      <c r="Y122" s="36">
        <f>IF(DaybyDay[[#This Row],[_Space]],IFERROR(
((DaybyDay[[#This Row],[Actual-Rollup]]-DaybyDay[[#This Row],[LY-Rollup]])/DaybyDay[[#This Row],[LY-Rollup]]),0),"")</f>
        <v>0</v>
      </c>
      <c r="Z122"/>
      <c r="AA122" s="37" t="e">
        <f>IF(DaybyDay[[#This Row],[_Space]],DaybyDay[[#This Row],[Ret-Act-RU]]/DaybyDay[[#This Row],[Serv-Act-RU]],"")</f>
        <v>#DIV/0!</v>
      </c>
      <c r="AB122" s="50" t="e">
        <f>IF(DaybyDay[[#This Row],[_Space]],DaybyDay[[#This Row],[RETPEN-Act]]/DaybyDay[[#This Row],[RETPEN-Bud]],"")</f>
        <v>#DIV/0!</v>
      </c>
      <c r="AC122" s="37" t="e">
        <f>IF(DaybyDay[[#This Row],[_Space]],DaybyDay[[#This Row],[Ret-Bud-RU]]/DaybyDay[[#This Row],[Serv-Bud-RU]],"")</f>
        <v>#DIV/0!</v>
      </c>
      <c r="AD122" s="37" t="e">
        <f>IF(DaybyDay[[#This Row],[_Space]],DaybyDay[[#This Row],[Ret-LY-RU]]/DaybyDay[[#This Row],[Serv-LY-RU]],"")</f>
        <v>#DIV/0!</v>
      </c>
      <c r="AE122" s="30">
        <f>WEEKDAY(DaybyDay[[#This Row],[LY-Date]])</f>
        <v>4</v>
      </c>
      <c r="AF122" s="38">
        <f>$E$2+_xlfn.DAYS(DaybyDay[[#This Row],[Date]],minDate)</f>
        <v>42487</v>
      </c>
      <c r="AG122" s="39" t="str" cm="1">
        <f t="array" ref="AG122">IFERROR(INDEX(DaybyDay[],DaybyDay[[#This Row],[FORM_MATCH_HELPER]],8),"")</f>
        <v/>
      </c>
      <c r="AH122" s="39" t="str" cm="1">
        <f t="array" ref="AH122">IFERROR(INDEX(DaybyDay[],DaybyDay[[#This Row],[FORM_MATCH_HELPER]],10),"")</f>
        <v/>
      </c>
      <c r="AI122" s="39" t="str" cm="1">
        <f t="array" ref="AI122">IFERROR(INDEX(DaybyDay[],DaybyDay[[#This Row],[FORM_MATCH_HELPER]],12),"")</f>
        <v/>
      </c>
      <c r="AJ122" s="32">
        <f>IFERROR(DaybyDay[[#This Row],[Serv-LY-RU]]+DaybyDay[[#This Row],[Ret-LY-RU]],"")</f>
        <v>0</v>
      </c>
      <c r="AK1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2" s="77"/>
      <c r="AM122" s="40" t="str">
        <f>IF(DaybyDay[[#This Row],[Admin Hours]]&gt;0,DaybyDay[[#This Row],[Admin Hours]]*$AM$2+$AM$3,"")</f>
        <v/>
      </c>
      <c r="AN122" s="40">
        <f>SUMIFS(DaybyDay[Est-Admin-Payroll],DaybyDay[Date],"&gt;="&amp;$C$5,DaybyDay[RowYear],"&gt;="&amp;$C$4,DaybyDay[Date],"&lt;="&amp;DaybyDay[[#This Row],[Date]])</f>
        <v>0</v>
      </c>
      <c r="AO122" s="41" t="str">
        <f>IF(AND(DaybyDay[[#This Row],[_Space]],ISNUMBER(DaybyDay[[#This Row],[Admin Hours]])),DaybyDay[[#This Row],[Est-Admin-Payroll]]/(DaybyDay[[#This Row],[Service-Actuals]]+DaybyDay[[#This Row],[Retail-Actuals]]),"")</f>
        <v/>
      </c>
      <c r="AP122" s="41" t="e">
        <f>DaybyDay[[#This Row],[Estimated-Payroll-Rollup]]/DaybyDay[[#This Row],[Simple-Forecast]]</f>
        <v>#DIV/0!</v>
      </c>
      <c r="AQ1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2" s="77"/>
      <c r="AS122" s="40" t="str">
        <f>IF(DaybyDay[[#This Row],[Retail Hours]]&gt;0,DaybyDay[[#This Row],[Retail Hours]]*$AS$2,"")</f>
        <v/>
      </c>
      <c r="AT122" s="40">
        <f>SUMIFS(DaybyDay[Est-Retail-Payroll],DaybyDay[Date],"&gt;="&amp;$C$5,DaybyDay[RowYear],"&gt;="&amp;$C$4,DaybyDay[Date],"&lt;="&amp;DaybyDay[[#This Row],[Date]])</f>
        <v>0</v>
      </c>
      <c r="AU122" s="82" t="str">
        <f>IF(AND(DaybyDay[[#This Row],[_Space]],ISNUMBER(DaybyDay[[#This Row],[Retail Hours]])),DaybyDay[[#This Row],[Est-Retail-Payroll]]/(DaybyDay[[#This Row],[Retail-Actuals]]),"")</f>
        <v/>
      </c>
      <c r="AV122" s="82" t="e">
        <f>DaybyDay[[#This Row],[Est-Retail-PayrollRU]]/DaybyDay[[#This Row],[Simple-Forecast-Retail]]</f>
        <v>#DIV/0!</v>
      </c>
      <c r="AW122" s="8"/>
    </row>
    <row r="123" spans="3:49" hidden="1" x14ac:dyDescent="0.25">
      <c r="C123" s="26" t="str">
        <f>Tools!$C$1</f>
        <v>Example</v>
      </c>
      <c r="D123" s="27" t="s">
        <v>71</v>
      </c>
      <c r="E123" s="28">
        <v>2017</v>
      </c>
      <c r="F123" s="28">
        <f>MATCH(DaybyDay[[#This Row],[RowMonth]],Table3[SummaryMonth],0)</f>
        <v>4</v>
      </c>
      <c r="G123" s="29" t="e">
        <f>MATCH(DaybyDay[[#This Row],[LY-Date]],DaybyDay[Date],0)</f>
        <v>#N/A</v>
      </c>
      <c r="H123" s="30">
        <f>WEEKDAY(DaybyDay[[#This Row],[Date]])</f>
        <v>5</v>
      </c>
      <c r="I123" s="31">
        <v>42852</v>
      </c>
      <c r="J123" s="74">
        <v>15</v>
      </c>
      <c r="K123" s="32">
        <f>SUMIFS(BudgetSeasonality[365 Seasonality],BudgetSeasonality[MonthAdjustment],DaybyDay[[#This Row],[Date]])*SUMIFS(Budgets[Service-Budget],Budgets[BudgetMonth],DaybyDay[[#This Row],[RowMonth]],Budgets[BudgetYear],DaybyDay[[#This Row],[RowYear]])</f>
        <v>0</v>
      </c>
      <c r="L123" s="75">
        <v>2803</v>
      </c>
      <c r="M123" s="32">
        <f>INDEX(BudgetSeasonality[365 Seasonality],MATCH(DaybyDay[[#This Row],[Date]],BudgetSeasonality[MonthAdjustment],0))*SUMIFS(Budgets[Retail-Budget],Budgets[BudgetMonth],DaybyDay[[#This Row],[RowMonth]],Budgets[BudgetYear],DaybyDay[[#This Row],[RowYear]])</f>
        <v>0</v>
      </c>
      <c r="N123" s="75">
        <v>2088.25</v>
      </c>
      <c r="O123" s="33">
        <f>SUMIFS(DaybyDay[Service-Budgets],DaybyDay[Date],"&gt;="&amp;$C$5,DaybyDay[RowYear],"&gt;="&amp;$C$4,DaybyDay[Date],"&lt;="&amp;DaybyDay[[#This Row],[Date]])</f>
        <v>0</v>
      </c>
      <c r="P123" s="33">
        <f>SUMIFS(DaybyDay[Retail-Budgets],DaybyDay[Date],"&gt;="&amp;$C$5,DaybyDay[RowYear],"&gt;="&amp;$C$4,DaybyDay[Date],"&lt;="&amp;DaybyDay[[#This Row],[Date]])</f>
        <v>0</v>
      </c>
      <c r="Q123" s="34">
        <f>SUMIFS(DaybyDay[Service-Actuals],DaybyDay[Date],"&gt;="&amp;$C$5,DaybyDay[RowYear],"&gt;="&amp;$C$4,DaybyDay[Date],"&lt;="&amp;DaybyDay[[#This Row],[Date]])</f>
        <v>0</v>
      </c>
      <c r="R123" s="34">
        <f>SUMIFS(DaybyDay[Retail-Actuals],DaybyDay[Date],"&gt;="&amp;$C$5,DaybyDay[RowYear],"&gt;="&amp;$C$4,DaybyDay[Date],"&lt;="&amp;DaybyDay[[#This Row],[Date]])</f>
        <v>0</v>
      </c>
      <c r="S123" s="35">
        <f>SUMIFS(DaybyDay[Service-LY],DaybyDay[Date],"&gt;="&amp;$C$5,DaybyDay[RowYear],"&gt;="&amp;$C$4,DaybyDay[Date],"&lt;="&amp;DaybyDay[[#This Row],[Date]])</f>
        <v>0</v>
      </c>
      <c r="T123" s="35">
        <f>SUMIFS(DaybyDay[Retail-LY],DaybyDay[Date],"&gt;="&amp;$C$5,DaybyDay[RowYear],"&gt;="&amp;$C$4,DaybyDay[Date],"&lt;="&amp;DaybyDay[[#This Row],[Date]])</f>
        <v>0</v>
      </c>
      <c r="U123" s="32">
        <f>DaybyDay[[#This Row],[Serv-Bud-RU]]+DaybyDay[[#This Row],[Ret-Bud-RU]]</f>
        <v>0</v>
      </c>
      <c r="V123" s="32">
        <f>DaybyDay[[#This Row],[Serv-Act-RU]]+DaybyDay[[#This Row],[Ret-Act-RU]]</f>
        <v>0</v>
      </c>
      <c r="W123" s="36">
        <f>IF(DaybyDay[[#This Row],[_Space]],IFERROR(
((DaybyDay[[#This Row],[Actual-Rollup]]-DaybyDay[[#This Row],[Budget-Rollup]])/DaybyDay[[#This Row],[Budget-Rollup]]),0),"")</f>
        <v>0</v>
      </c>
      <c r="X123" t="b">
        <f>NOT(AND(ISBLANK(DaybyDay[[#This Row],[Appts]]),ISBLANK(DaybyDay[[#This Row],[Service-Actuals]]),ISBLANK(DaybyDay[[#This Row],[Retail-Actuals]])))</f>
        <v>1</v>
      </c>
      <c r="Y123" s="36">
        <f>IF(DaybyDay[[#This Row],[_Space]],IFERROR(
((DaybyDay[[#This Row],[Actual-Rollup]]-DaybyDay[[#This Row],[LY-Rollup]])/DaybyDay[[#This Row],[LY-Rollup]]),0),"")</f>
        <v>0</v>
      </c>
      <c r="Z123"/>
      <c r="AA123" s="37" t="e">
        <f>IF(DaybyDay[[#This Row],[_Space]],DaybyDay[[#This Row],[Ret-Act-RU]]/DaybyDay[[#This Row],[Serv-Act-RU]],"")</f>
        <v>#DIV/0!</v>
      </c>
      <c r="AB123" s="50" t="e">
        <f>IF(DaybyDay[[#This Row],[_Space]],DaybyDay[[#This Row],[RETPEN-Act]]/DaybyDay[[#This Row],[RETPEN-Bud]],"")</f>
        <v>#DIV/0!</v>
      </c>
      <c r="AC123" s="37" t="e">
        <f>IF(DaybyDay[[#This Row],[_Space]],DaybyDay[[#This Row],[Ret-Bud-RU]]/DaybyDay[[#This Row],[Serv-Bud-RU]],"")</f>
        <v>#DIV/0!</v>
      </c>
      <c r="AD123" s="37" t="e">
        <f>IF(DaybyDay[[#This Row],[_Space]],DaybyDay[[#This Row],[Ret-LY-RU]]/DaybyDay[[#This Row],[Serv-LY-RU]],"")</f>
        <v>#DIV/0!</v>
      </c>
      <c r="AE123" s="30">
        <f>WEEKDAY(DaybyDay[[#This Row],[LY-Date]])</f>
        <v>5</v>
      </c>
      <c r="AF123" s="38">
        <f>$E$2+_xlfn.DAYS(DaybyDay[[#This Row],[Date]],minDate)</f>
        <v>42488</v>
      </c>
      <c r="AG123" s="39" t="str" cm="1">
        <f t="array" ref="AG123">IFERROR(INDEX(DaybyDay[],DaybyDay[[#This Row],[FORM_MATCH_HELPER]],8),"")</f>
        <v/>
      </c>
      <c r="AH123" s="39" t="str" cm="1">
        <f t="array" ref="AH123">IFERROR(INDEX(DaybyDay[],DaybyDay[[#This Row],[FORM_MATCH_HELPER]],10),"")</f>
        <v/>
      </c>
      <c r="AI123" s="39" t="str" cm="1">
        <f t="array" ref="AI123">IFERROR(INDEX(DaybyDay[],DaybyDay[[#This Row],[FORM_MATCH_HELPER]],12),"")</f>
        <v/>
      </c>
      <c r="AJ123" s="32">
        <f>IFERROR(DaybyDay[[#This Row],[Serv-LY-RU]]+DaybyDay[[#This Row],[Ret-LY-RU]],"")</f>
        <v>0</v>
      </c>
      <c r="AK1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3" s="77"/>
      <c r="AM123" s="40" t="str">
        <f>IF(DaybyDay[[#This Row],[Admin Hours]]&gt;0,DaybyDay[[#This Row],[Admin Hours]]*$AM$2+$AM$3,"")</f>
        <v/>
      </c>
      <c r="AN123" s="40">
        <f>SUMIFS(DaybyDay[Est-Admin-Payroll],DaybyDay[Date],"&gt;="&amp;$C$5,DaybyDay[RowYear],"&gt;="&amp;$C$4,DaybyDay[Date],"&lt;="&amp;DaybyDay[[#This Row],[Date]])</f>
        <v>0</v>
      </c>
      <c r="AO123" s="41" t="str">
        <f>IF(AND(DaybyDay[[#This Row],[_Space]],ISNUMBER(DaybyDay[[#This Row],[Admin Hours]])),DaybyDay[[#This Row],[Est-Admin-Payroll]]/(DaybyDay[[#This Row],[Service-Actuals]]+DaybyDay[[#This Row],[Retail-Actuals]]),"")</f>
        <v/>
      </c>
      <c r="AP123" s="41" t="e">
        <f>DaybyDay[[#This Row],[Estimated-Payroll-Rollup]]/DaybyDay[[#This Row],[Simple-Forecast]]</f>
        <v>#DIV/0!</v>
      </c>
      <c r="AQ1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3" s="77"/>
      <c r="AS123" s="40" t="str">
        <f>IF(DaybyDay[[#This Row],[Retail Hours]]&gt;0,DaybyDay[[#This Row],[Retail Hours]]*$AS$2,"")</f>
        <v/>
      </c>
      <c r="AT123" s="40">
        <f>SUMIFS(DaybyDay[Est-Retail-Payroll],DaybyDay[Date],"&gt;="&amp;$C$5,DaybyDay[RowYear],"&gt;="&amp;$C$4,DaybyDay[Date],"&lt;="&amp;DaybyDay[[#This Row],[Date]])</f>
        <v>0</v>
      </c>
      <c r="AU123" s="82" t="str">
        <f>IF(AND(DaybyDay[[#This Row],[_Space]],ISNUMBER(DaybyDay[[#This Row],[Retail Hours]])),DaybyDay[[#This Row],[Est-Retail-Payroll]]/(DaybyDay[[#This Row],[Retail-Actuals]]),"")</f>
        <v/>
      </c>
      <c r="AV123" s="82" t="e">
        <f>DaybyDay[[#This Row],[Est-Retail-PayrollRU]]/DaybyDay[[#This Row],[Simple-Forecast-Retail]]</f>
        <v>#DIV/0!</v>
      </c>
      <c r="AW123" s="8"/>
    </row>
    <row r="124" spans="3:49" hidden="1" x14ac:dyDescent="0.25">
      <c r="C124" s="26" t="str">
        <f>Tools!$C$1</f>
        <v>Example</v>
      </c>
      <c r="D124" s="27" t="s">
        <v>71</v>
      </c>
      <c r="E124" s="28">
        <v>2017</v>
      </c>
      <c r="F124" s="28">
        <f>MATCH(DaybyDay[[#This Row],[RowMonth]],Table3[SummaryMonth],0)</f>
        <v>4</v>
      </c>
      <c r="G124" s="29" t="e">
        <f>MATCH(DaybyDay[[#This Row],[LY-Date]],DaybyDay[Date],0)</f>
        <v>#N/A</v>
      </c>
      <c r="H124" s="30">
        <f>WEEKDAY(DaybyDay[[#This Row],[Date]])</f>
        <v>6</v>
      </c>
      <c r="I124" s="31">
        <v>42853</v>
      </c>
      <c r="J124" s="74">
        <v>19</v>
      </c>
      <c r="K124" s="32">
        <f>SUMIFS(BudgetSeasonality[365 Seasonality],BudgetSeasonality[MonthAdjustment],DaybyDay[[#This Row],[Date]])*SUMIFS(Budgets[Service-Budget],Budgets[BudgetMonth],DaybyDay[[#This Row],[RowMonth]],Budgets[BudgetYear],DaybyDay[[#This Row],[RowYear]])</f>
        <v>0</v>
      </c>
      <c r="L124" s="75">
        <v>3623.9</v>
      </c>
      <c r="M124" s="32">
        <f>INDEX(BudgetSeasonality[365 Seasonality],MATCH(DaybyDay[[#This Row],[Date]],BudgetSeasonality[MonthAdjustment],0))*SUMIFS(Budgets[Retail-Budget],Budgets[BudgetMonth],DaybyDay[[#This Row],[RowMonth]],Budgets[BudgetYear],DaybyDay[[#This Row],[RowYear]])</f>
        <v>0</v>
      </c>
      <c r="N124" s="75">
        <v>861.1</v>
      </c>
      <c r="O124" s="33">
        <f>SUMIFS(DaybyDay[Service-Budgets],DaybyDay[Date],"&gt;="&amp;$C$5,DaybyDay[RowYear],"&gt;="&amp;$C$4,DaybyDay[Date],"&lt;="&amp;DaybyDay[[#This Row],[Date]])</f>
        <v>0</v>
      </c>
      <c r="P124" s="33">
        <f>SUMIFS(DaybyDay[Retail-Budgets],DaybyDay[Date],"&gt;="&amp;$C$5,DaybyDay[RowYear],"&gt;="&amp;$C$4,DaybyDay[Date],"&lt;="&amp;DaybyDay[[#This Row],[Date]])</f>
        <v>0</v>
      </c>
      <c r="Q124" s="34">
        <f>SUMIFS(DaybyDay[Service-Actuals],DaybyDay[Date],"&gt;="&amp;$C$5,DaybyDay[RowYear],"&gt;="&amp;$C$4,DaybyDay[Date],"&lt;="&amp;DaybyDay[[#This Row],[Date]])</f>
        <v>0</v>
      </c>
      <c r="R124" s="34">
        <f>SUMIFS(DaybyDay[Retail-Actuals],DaybyDay[Date],"&gt;="&amp;$C$5,DaybyDay[RowYear],"&gt;="&amp;$C$4,DaybyDay[Date],"&lt;="&amp;DaybyDay[[#This Row],[Date]])</f>
        <v>0</v>
      </c>
      <c r="S124" s="35">
        <f>SUMIFS(DaybyDay[Service-LY],DaybyDay[Date],"&gt;="&amp;$C$5,DaybyDay[RowYear],"&gt;="&amp;$C$4,DaybyDay[Date],"&lt;="&amp;DaybyDay[[#This Row],[Date]])</f>
        <v>0</v>
      </c>
      <c r="T124" s="35">
        <f>SUMIFS(DaybyDay[Retail-LY],DaybyDay[Date],"&gt;="&amp;$C$5,DaybyDay[RowYear],"&gt;="&amp;$C$4,DaybyDay[Date],"&lt;="&amp;DaybyDay[[#This Row],[Date]])</f>
        <v>0</v>
      </c>
      <c r="U124" s="32">
        <f>DaybyDay[[#This Row],[Serv-Bud-RU]]+DaybyDay[[#This Row],[Ret-Bud-RU]]</f>
        <v>0</v>
      </c>
      <c r="V124" s="32">
        <f>DaybyDay[[#This Row],[Serv-Act-RU]]+DaybyDay[[#This Row],[Ret-Act-RU]]</f>
        <v>0</v>
      </c>
      <c r="W124" s="36">
        <f>IF(DaybyDay[[#This Row],[_Space]],IFERROR(
((DaybyDay[[#This Row],[Actual-Rollup]]-DaybyDay[[#This Row],[Budget-Rollup]])/DaybyDay[[#This Row],[Budget-Rollup]]),0),"")</f>
        <v>0</v>
      </c>
      <c r="X124" t="b">
        <f>NOT(AND(ISBLANK(DaybyDay[[#This Row],[Appts]]),ISBLANK(DaybyDay[[#This Row],[Service-Actuals]]),ISBLANK(DaybyDay[[#This Row],[Retail-Actuals]])))</f>
        <v>1</v>
      </c>
      <c r="Y124" s="36">
        <f>IF(DaybyDay[[#This Row],[_Space]],IFERROR(
((DaybyDay[[#This Row],[Actual-Rollup]]-DaybyDay[[#This Row],[LY-Rollup]])/DaybyDay[[#This Row],[LY-Rollup]]),0),"")</f>
        <v>0</v>
      </c>
      <c r="Z124"/>
      <c r="AA124" s="37" t="e">
        <f>IF(DaybyDay[[#This Row],[_Space]],DaybyDay[[#This Row],[Ret-Act-RU]]/DaybyDay[[#This Row],[Serv-Act-RU]],"")</f>
        <v>#DIV/0!</v>
      </c>
      <c r="AB124" s="50" t="e">
        <f>IF(DaybyDay[[#This Row],[_Space]],DaybyDay[[#This Row],[RETPEN-Act]]/DaybyDay[[#This Row],[RETPEN-Bud]],"")</f>
        <v>#DIV/0!</v>
      </c>
      <c r="AC124" s="37" t="e">
        <f>IF(DaybyDay[[#This Row],[_Space]],DaybyDay[[#This Row],[Ret-Bud-RU]]/DaybyDay[[#This Row],[Serv-Bud-RU]],"")</f>
        <v>#DIV/0!</v>
      </c>
      <c r="AD124" s="37" t="e">
        <f>IF(DaybyDay[[#This Row],[_Space]],DaybyDay[[#This Row],[Ret-LY-RU]]/DaybyDay[[#This Row],[Serv-LY-RU]],"")</f>
        <v>#DIV/0!</v>
      </c>
      <c r="AE124" s="30">
        <f>WEEKDAY(DaybyDay[[#This Row],[LY-Date]])</f>
        <v>6</v>
      </c>
      <c r="AF124" s="38">
        <f>$E$2+_xlfn.DAYS(DaybyDay[[#This Row],[Date]],minDate)</f>
        <v>42489</v>
      </c>
      <c r="AG124" s="39" t="str" cm="1">
        <f t="array" ref="AG124">IFERROR(INDEX(DaybyDay[],DaybyDay[[#This Row],[FORM_MATCH_HELPER]],8),"")</f>
        <v/>
      </c>
      <c r="AH124" s="39" t="str" cm="1">
        <f t="array" ref="AH124">IFERROR(INDEX(DaybyDay[],DaybyDay[[#This Row],[FORM_MATCH_HELPER]],10),"")</f>
        <v/>
      </c>
      <c r="AI124" s="39" t="str" cm="1">
        <f t="array" ref="AI124">IFERROR(INDEX(DaybyDay[],DaybyDay[[#This Row],[FORM_MATCH_HELPER]],12),"")</f>
        <v/>
      </c>
      <c r="AJ124" s="32">
        <f>IFERROR(DaybyDay[[#This Row],[Serv-LY-RU]]+DaybyDay[[#This Row],[Ret-LY-RU]],"")</f>
        <v>0</v>
      </c>
      <c r="AK1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4" s="77"/>
      <c r="AM124" s="40" t="str">
        <f>IF(DaybyDay[[#This Row],[Admin Hours]]&gt;0,DaybyDay[[#This Row],[Admin Hours]]*$AM$2+$AM$3,"")</f>
        <v/>
      </c>
      <c r="AN124" s="40">
        <f>SUMIFS(DaybyDay[Est-Admin-Payroll],DaybyDay[Date],"&gt;="&amp;$C$5,DaybyDay[RowYear],"&gt;="&amp;$C$4,DaybyDay[Date],"&lt;="&amp;DaybyDay[[#This Row],[Date]])</f>
        <v>0</v>
      </c>
      <c r="AO124" s="41" t="str">
        <f>IF(AND(DaybyDay[[#This Row],[_Space]],ISNUMBER(DaybyDay[[#This Row],[Admin Hours]])),DaybyDay[[#This Row],[Est-Admin-Payroll]]/(DaybyDay[[#This Row],[Service-Actuals]]+DaybyDay[[#This Row],[Retail-Actuals]]),"")</f>
        <v/>
      </c>
      <c r="AP124" s="41" t="e">
        <f>DaybyDay[[#This Row],[Estimated-Payroll-Rollup]]/DaybyDay[[#This Row],[Simple-Forecast]]</f>
        <v>#DIV/0!</v>
      </c>
      <c r="AQ1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4" s="77"/>
      <c r="AS124" s="40" t="str">
        <f>IF(DaybyDay[[#This Row],[Retail Hours]]&gt;0,DaybyDay[[#This Row],[Retail Hours]]*$AS$2,"")</f>
        <v/>
      </c>
      <c r="AT124" s="40">
        <f>SUMIFS(DaybyDay[Est-Retail-Payroll],DaybyDay[Date],"&gt;="&amp;$C$5,DaybyDay[RowYear],"&gt;="&amp;$C$4,DaybyDay[Date],"&lt;="&amp;DaybyDay[[#This Row],[Date]])</f>
        <v>0</v>
      </c>
      <c r="AU124" s="82" t="str">
        <f>IF(AND(DaybyDay[[#This Row],[_Space]],ISNUMBER(DaybyDay[[#This Row],[Retail Hours]])),DaybyDay[[#This Row],[Est-Retail-Payroll]]/(DaybyDay[[#This Row],[Retail-Actuals]]),"")</f>
        <v/>
      </c>
      <c r="AV124" s="82" t="e">
        <f>DaybyDay[[#This Row],[Est-Retail-PayrollRU]]/DaybyDay[[#This Row],[Simple-Forecast-Retail]]</f>
        <v>#DIV/0!</v>
      </c>
      <c r="AW124" s="8"/>
    </row>
    <row r="125" spans="3:49" hidden="1" x14ac:dyDescent="0.25">
      <c r="C125" s="26" t="str">
        <f>Tools!$C$1</f>
        <v>Example</v>
      </c>
      <c r="D125" s="27" t="s">
        <v>71</v>
      </c>
      <c r="E125" s="28">
        <v>2017</v>
      </c>
      <c r="F125" s="28">
        <f>MATCH(DaybyDay[[#This Row],[RowMonth]],Table3[SummaryMonth],0)</f>
        <v>4</v>
      </c>
      <c r="G125" s="29" t="e">
        <f>MATCH(DaybyDay[[#This Row],[LY-Date]],DaybyDay[Date],0)</f>
        <v>#N/A</v>
      </c>
      <c r="H125" s="30">
        <f>WEEKDAY(DaybyDay[[#This Row],[Date]])</f>
        <v>7</v>
      </c>
      <c r="I125" s="31">
        <v>42854</v>
      </c>
      <c r="J125" s="74">
        <v>31</v>
      </c>
      <c r="K125" s="32">
        <f>SUMIFS(BudgetSeasonality[365 Seasonality],BudgetSeasonality[MonthAdjustment],DaybyDay[[#This Row],[Date]])*SUMIFS(Budgets[Service-Budget],Budgets[BudgetMonth],DaybyDay[[#This Row],[RowMonth]],Budgets[BudgetYear],DaybyDay[[#This Row],[RowYear]])</f>
        <v>0</v>
      </c>
      <c r="L125" s="75">
        <v>8205</v>
      </c>
      <c r="M125" s="32">
        <f>INDEX(BudgetSeasonality[365 Seasonality],MATCH(DaybyDay[[#This Row],[Date]],BudgetSeasonality[MonthAdjustment],0))*SUMIFS(Budgets[Retail-Budget],Budgets[BudgetMonth],DaybyDay[[#This Row],[RowMonth]],Budgets[BudgetYear],DaybyDay[[#This Row],[RowYear]])</f>
        <v>0</v>
      </c>
      <c r="N125" s="75">
        <v>522</v>
      </c>
      <c r="O125" s="33">
        <f>SUMIFS(DaybyDay[Service-Budgets],DaybyDay[Date],"&gt;="&amp;$C$5,DaybyDay[RowYear],"&gt;="&amp;$C$4,DaybyDay[Date],"&lt;="&amp;DaybyDay[[#This Row],[Date]])</f>
        <v>0</v>
      </c>
      <c r="P125" s="33">
        <f>SUMIFS(DaybyDay[Retail-Budgets],DaybyDay[Date],"&gt;="&amp;$C$5,DaybyDay[RowYear],"&gt;="&amp;$C$4,DaybyDay[Date],"&lt;="&amp;DaybyDay[[#This Row],[Date]])</f>
        <v>0</v>
      </c>
      <c r="Q125" s="34">
        <f>SUMIFS(DaybyDay[Service-Actuals],DaybyDay[Date],"&gt;="&amp;$C$5,DaybyDay[RowYear],"&gt;="&amp;$C$4,DaybyDay[Date],"&lt;="&amp;DaybyDay[[#This Row],[Date]])</f>
        <v>0</v>
      </c>
      <c r="R125" s="34">
        <f>SUMIFS(DaybyDay[Retail-Actuals],DaybyDay[Date],"&gt;="&amp;$C$5,DaybyDay[RowYear],"&gt;="&amp;$C$4,DaybyDay[Date],"&lt;="&amp;DaybyDay[[#This Row],[Date]])</f>
        <v>0</v>
      </c>
      <c r="S125" s="35">
        <f>SUMIFS(DaybyDay[Service-LY],DaybyDay[Date],"&gt;="&amp;$C$5,DaybyDay[RowYear],"&gt;="&amp;$C$4,DaybyDay[Date],"&lt;="&amp;DaybyDay[[#This Row],[Date]])</f>
        <v>0</v>
      </c>
      <c r="T125" s="35">
        <f>SUMIFS(DaybyDay[Retail-LY],DaybyDay[Date],"&gt;="&amp;$C$5,DaybyDay[RowYear],"&gt;="&amp;$C$4,DaybyDay[Date],"&lt;="&amp;DaybyDay[[#This Row],[Date]])</f>
        <v>0</v>
      </c>
      <c r="U125" s="32">
        <f>DaybyDay[[#This Row],[Serv-Bud-RU]]+DaybyDay[[#This Row],[Ret-Bud-RU]]</f>
        <v>0</v>
      </c>
      <c r="V125" s="32">
        <f>DaybyDay[[#This Row],[Serv-Act-RU]]+DaybyDay[[#This Row],[Ret-Act-RU]]</f>
        <v>0</v>
      </c>
      <c r="W125" s="36">
        <f>IF(DaybyDay[[#This Row],[_Space]],IFERROR(
((DaybyDay[[#This Row],[Actual-Rollup]]-DaybyDay[[#This Row],[Budget-Rollup]])/DaybyDay[[#This Row],[Budget-Rollup]]),0),"")</f>
        <v>0</v>
      </c>
      <c r="X125" t="b">
        <f>NOT(AND(ISBLANK(DaybyDay[[#This Row],[Appts]]),ISBLANK(DaybyDay[[#This Row],[Service-Actuals]]),ISBLANK(DaybyDay[[#This Row],[Retail-Actuals]])))</f>
        <v>1</v>
      </c>
      <c r="Y125" s="36">
        <f>IF(DaybyDay[[#This Row],[_Space]],IFERROR(
((DaybyDay[[#This Row],[Actual-Rollup]]-DaybyDay[[#This Row],[LY-Rollup]])/DaybyDay[[#This Row],[LY-Rollup]]),0),"")</f>
        <v>0</v>
      </c>
      <c r="Z125"/>
      <c r="AA125" s="37" t="e">
        <f>IF(DaybyDay[[#This Row],[_Space]],DaybyDay[[#This Row],[Ret-Act-RU]]/DaybyDay[[#This Row],[Serv-Act-RU]],"")</f>
        <v>#DIV/0!</v>
      </c>
      <c r="AB125" s="50" t="e">
        <f>IF(DaybyDay[[#This Row],[_Space]],DaybyDay[[#This Row],[RETPEN-Act]]/DaybyDay[[#This Row],[RETPEN-Bud]],"")</f>
        <v>#DIV/0!</v>
      </c>
      <c r="AC125" s="37" t="e">
        <f>IF(DaybyDay[[#This Row],[_Space]],DaybyDay[[#This Row],[Ret-Bud-RU]]/DaybyDay[[#This Row],[Serv-Bud-RU]],"")</f>
        <v>#DIV/0!</v>
      </c>
      <c r="AD125" s="37" t="e">
        <f>IF(DaybyDay[[#This Row],[_Space]],DaybyDay[[#This Row],[Ret-LY-RU]]/DaybyDay[[#This Row],[Serv-LY-RU]],"")</f>
        <v>#DIV/0!</v>
      </c>
      <c r="AE125" s="30">
        <f>WEEKDAY(DaybyDay[[#This Row],[LY-Date]])</f>
        <v>7</v>
      </c>
      <c r="AF125" s="38">
        <f>$E$2+_xlfn.DAYS(DaybyDay[[#This Row],[Date]],minDate)</f>
        <v>42490</v>
      </c>
      <c r="AG125" s="39" t="str" cm="1">
        <f t="array" ref="AG125">IFERROR(INDEX(DaybyDay[],DaybyDay[[#This Row],[FORM_MATCH_HELPER]],8),"")</f>
        <v/>
      </c>
      <c r="AH125" s="39" t="str" cm="1">
        <f t="array" ref="AH125">IFERROR(INDEX(DaybyDay[],DaybyDay[[#This Row],[FORM_MATCH_HELPER]],10),"")</f>
        <v/>
      </c>
      <c r="AI125" s="39" t="str" cm="1">
        <f t="array" ref="AI125">IFERROR(INDEX(DaybyDay[],DaybyDay[[#This Row],[FORM_MATCH_HELPER]],12),"")</f>
        <v/>
      </c>
      <c r="AJ125" s="32">
        <f>IFERROR(DaybyDay[[#This Row],[Serv-LY-RU]]+DaybyDay[[#This Row],[Ret-LY-RU]],"")</f>
        <v>0</v>
      </c>
      <c r="AK1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5" s="77"/>
      <c r="AM125" s="40" t="str">
        <f>IF(DaybyDay[[#This Row],[Admin Hours]]&gt;0,DaybyDay[[#This Row],[Admin Hours]]*$AM$2+$AM$3,"")</f>
        <v/>
      </c>
      <c r="AN125" s="40">
        <f>SUMIFS(DaybyDay[Est-Admin-Payroll],DaybyDay[Date],"&gt;="&amp;$C$5,DaybyDay[RowYear],"&gt;="&amp;$C$4,DaybyDay[Date],"&lt;="&amp;DaybyDay[[#This Row],[Date]])</f>
        <v>0</v>
      </c>
      <c r="AO125" s="41" t="str">
        <f>IF(AND(DaybyDay[[#This Row],[_Space]],ISNUMBER(DaybyDay[[#This Row],[Admin Hours]])),DaybyDay[[#This Row],[Est-Admin-Payroll]]/(DaybyDay[[#This Row],[Service-Actuals]]+DaybyDay[[#This Row],[Retail-Actuals]]),"")</f>
        <v/>
      </c>
      <c r="AP125" s="41" t="e">
        <f>DaybyDay[[#This Row],[Estimated-Payroll-Rollup]]/DaybyDay[[#This Row],[Simple-Forecast]]</f>
        <v>#DIV/0!</v>
      </c>
      <c r="AQ1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5" s="77"/>
      <c r="AS125" s="40" t="str">
        <f>IF(DaybyDay[[#This Row],[Retail Hours]]&gt;0,DaybyDay[[#This Row],[Retail Hours]]*$AS$2,"")</f>
        <v/>
      </c>
      <c r="AT125" s="40">
        <f>SUMIFS(DaybyDay[Est-Retail-Payroll],DaybyDay[Date],"&gt;="&amp;$C$5,DaybyDay[RowYear],"&gt;="&amp;$C$4,DaybyDay[Date],"&lt;="&amp;DaybyDay[[#This Row],[Date]])</f>
        <v>0</v>
      </c>
      <c r="AU125" s="82" t="str">
        <f>IF(AND(DaybyDay[[#This Row],[_Space]],ISNUMBER(DaybyDay[[#This Row],[Retail Hours]])),DaybyDay[[#This Row],[Est-Retail-Payroll]]/(DaybyDay[[#This Row],[Retail-Actuals]]),"")</f>
        <v/>
      </c>
      <c r="AV125" s="82" t="e">
        <f>DaybyDay[[#This Row],[Est-Retail-PayrollRU]]/DaybyDay[[#This Row],[Simple-Forecast-Retail]]</f>
        <v>#DIV/0!</v>
      </c>
      <c r="AW125" s="8"/>
    </row>
    <row r="126" spans="3:49" hidden="1" x14ac:dyDescent="0.25">
      <c r="C126" s="26" t="str">
        <f>Tools!$C$1</f>
        <v>Example</v>
      </c>
      <c r="D126" s="27" t="s">
        <v>72</v>
      </c>
      <c r="E126" s="28">
        <v>2017</v>
      </c>
      <c r="F126" s="28">
        <f>MATCH(DaybyDay[[#This Row],[RowMonth]],Table3[SummaryMonth],0)</f>
        <v>5</v>
      </c>
      <c r="G126" s="29" t="e">
        <f>MATCH(DaybyDay[[#This Row],[LY-Date]],DaybyDay[Date],0)</f>
        <v>#N/A</v>
      </c>
      <c r="H126" s="30">
        <f>WEEKDAY(DaybyDay[[#This Row],[Date]])</f>
        <v>1</v>
      </c>
      <c r="I126" s="31">
        <v>42855</v>
      </c>
      <c r="J126" s="74">
        <v>27</v>
      </c>
      <c r="K126" s="32">
        <f>SUMIFS(BudgetSeasonality[365 Seasonality],BudgetSeasonality[MonthAdjustment],DaybyDay[[#This Row],[Date]])*SUMIFS(Budgets[Service-Budget],Budgets[BudgetMonth],DaybyDay[[#This Row],[RowMonth]],Budgets[BudgetYear],DaybyDay[[#This Row],[RowYear]])</f>
        <v>0</v>
      </c>
      <c r="L126" s="75">
        <v>4811</v>
      </c>
      <c r="M126" s="32">
        <f>INDEX(BudgetSeasonality[365 Seasonality],MATCH(DaybyDay[[#This Row],[Date]],BudgetSeasonality[MonthAdjustment],0))*SUMIFS(Budgets[Retail-Budget],Budgets[BudgetMonth],DaybyDay[[#This Row],[RowMonth]],Budgets[BudgetYear],DaybyDay[[#This Row],[RowYear]])</f>
        <v>0</v>
      </c>
      <c r="N126" s="75">
        <v>0</v>
      </c>
      <c r="O126" s="33">
        <f>SUMIFS(DaybyDay[Service-Budgets],DaybyDay[Date],"&gt;="&amp;$C$5,DaybyDay[RowYear],"&gt;="&amp;$C$4,DaybyDay[Date],"&lt;="&amp;DaybyDay[[#This Row],[Date]])</f>
        <v>0</v>
      </c>
      <c r="P126" s="33">
        <f>SUMIFS(DaybyDay[Retail-Budgets],DaybyDay[Date],"&gt;="&amp;$C$5,DaybyDay[RowYear],"&gt;="&amp;$C$4,DaybyDay[Date],"&lt;="&amp;DaybyDay[[#This Row],[Date]])</f>
        <v>0</v>
      </c>
      <c r="Q126" s="34">
        <f>SUMIFS(DaybyDay[Service-Actuals],DaybyDay[Date],"&gt;="&amp;$C$5,DaybyDay[RowYear],"&gt;="&amp;$C$4,DaybyDay[Date],"&lt;="&amp;DaybyDay[[#This Row],[Date]])</f>
        <v>0</v>
      </c>
      <c r="R126" s="34">
        <f>SUMIFS(DaybyDay[Retail-Actuals],DaybyDay[Date],"&gt;="&amp;$C$5,DaybyDay[RowYear],"&gt;="&amp;$C$4,DaybyDay[Date],"&lt;="&amp;DaybyDay[[#This Row],[Date]])</f>
        <v>0</v>
      </c>
      <c r="S126" s="35">
        <f>SUMIFS(DaybyDay[Service-LY],DaybyDay[Date],"&gt;="&amp;$C$5,DaybyDay[RowYear],"&gt;="&amp;$C$4,DaybyDay[Date],"&lt;="&amp;DaybyDay[[#This Row],[Date]])</f>
        <v>0</v>
      </c>
      <c r="T126" s="35">
        <f>SUMIFS(DaybyDay[Retail-LY],DaybyDay[Date],"&gt;="&amp;$C$5,DaybyDay[RowYear],"&gt;="&amp;$C$4,DaybyDay[Date],"&lt;="&amp;DaybyDay[[#This Row],[Date]])</f>
        <v>0</v>
      </c>
      <c r="U126" s="32">
        <f>DaybyDay[[#This Row],[Serv-Bud-RU]]+DaybyDay[[#This Row],[Ret-Bud-RU]]</f>
        <v>0</v>
      </c>
      <c r="V126" s="32">
        <f>DaybyDay[[#This Row],[Serv-Act-RU]]+DaybyDay[[#This Row],[Ret-Act-RU]]</f>
        <v>0</v>
      </c>
      <c r="W126" s="36">
        <f>IF(DaybyDay[[#This Row],[_Space]],IFERROR(
((DaybyDay[[#This Row],[Actual-Rollup]]-DaybyDay[[#This Row],[Budget-Rollup]])/DaybyDay[[#This Row],[Budget-Rollup]]),0),"")</f>
        <v>0</v>
      </c>
      <c r="X126" t="b">
        <f>NOT(AND(ISBLANK(DaybyDay[[#This Row],[Appts]]),ISBLANK(DaybyDay[[#This Row],[Service-Actuals]]),ISBLANK(DaybyDay[[#This Row],[Retail-Actuals]])))</f>
        <v>1</v>
      </c>
      <c r="Y126" s="36">
        <f>IF(DaybyDay[[#This Row],[_Space]],IFERROR(
((DaybyDay[[#This Row],[Actual-Rollup]]-DaybyDay[[#This Row],[LY-Rollup]])/DaybyDay[[#This Row],[LY-Rollup]]),0),"")</f>
        <v>0</v>
      </c>
      <c r="Z126"/>
      <c r="AA126" s="37" t="e">
        <f>IF(DaybyDay[[#This Row],[_Space]],DaybyDay[[#This Row],[Ret-Act-RU]]/DaybyDay[[#This Row],[Serv-Act-RU]],"")</f>
        <v>#DIV/0!</v>
      </c>
      <c r="AB126" s="50" t="e">
        <f>IF(DaybyDay[[#This Row],[_Space]],DaybyDay[[#This Row],[RETPEN-Act]]/DaybyDay[[#This Row],[RETPEN-Bud]],"")</f>
        <v>#DIV/0!</v>
      </c>
      <c r="AC126" s="37" t="e">
        <f>IF(DaybyDay[[#This Row],[_Space]],DaybyDay[[#This Row],[Ret-Bud-RU]]/DaybyDay[[#This Row],[Serv-Bud-RU]],"")</f>
        <v>#DIV/0!</v>
      </c>
      <c r="AD126" s="37" t="e">
        <f>IF(DaybyDay[[#This Row],[_Space]],DaybyDay[[#This Row],[Ret-LY-RU]]/DaybyDay[[#This Row],[Serv-LY-RU]],"")</f>
        <v>#DIV/0!</v>
      </c>
      <c r="AE126" s="30">
        <f>WEEKDAY(DaybyDay[[#This Row],[LY-Date]])</f>
        <v>1</v>
      </c>
      <c r="AF126" s="38">
        <f>$E$2+_xlfn.DAYS(DaybyDay[[#This Row],[Date]],minDate)</f>
        <v>42491</v>
      </c>
      <c r="AG126" s="39" t="str" cm="1">
        <f t="array" ref="AG126">IFERROR(INDEX(DaybyDay[],DaybyDay[[#This Row],[FORM_MATCH_HELPER]],8),"")</f>
        <v/>
      </c>
      <c r="AH126" s="39" t="str" cm="1">
        <f t="array" ref="AH126">IFERROR(INDEX(DaybyDay[],DaybyDay[[#This Row],[FORM_MATCH_HELPER]],10),"")</f>
        <v/>
      </c>
      <c r="AI126" s="39" t="str" cm="1">
        <f t="array" ref="AI126">IFERROR(INDEX(DaybyDay[],DaybyDay[[#This Row],[FORM_MATCH_HELPER]],12),"")</f>
        <v/>
      </c>
      <c r="AJ126" s="32">
        <f>IFERROR(DaybyDay[[#This Row],[Serv-LY-RU]]+DaybyDay[[#This Row],[Ret-LY-RU]],"")</f>
        <v>0</v>
      </c>
      <c r="AK1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6" s="77"/>
      <c r="AM126" s="40" t="str">
        <f>IF(DaybyDay[[#This Row],[Admin Hours]]&gt;0,DaybyDay[[#This Row],[Admin Hours]]*$AM$2+$AM$3,"")</f>
        <v/>
      </c>
      <c r="AN126" s="40">
        <f>SUMIFS(DaybyDay[Est-Admin-Payroll],DaybyDay[Date],"&gt;="&amp;$C$5,DaybyDay[RowYear],"&gt;="&amp;$C$4,DaybyDay[Date],"&lt;="&amp;DaybyDay[[#This Row],[Date]])</f>
        <v>0</v>
      </c>
      <c r="AO126" s="41" t="str">
        <f>IF(AND(DaybyDay[[#This Row],[_Space]],ISNUMBER(DaybyDay[[#This Row],[Admin Hours]])),DaybyDay[[#This Row],[Est-Admin-Payroll]]/(DaybyDay[[#This Row],[Service-Actuals]]+DaybyDay[[#This Row],[Retail-Actuals]]),"")</f>
        <v/>
      </c>
      <c r="AP126" s="41" t="e">
        <f>DaybyDay[[#This Row],[Estimated-Payroll-Rollup]]/DaybyDay[[#This Row],[Simple-Forecast]]</f>
        <v>#DIV/0!</v>
      </c>
      <c r="AQ1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6" s="77"/>
      <c r="AS126" s="40" t="str">
        <f>IF(DaybyDay[[#This Row],[Retail Hours]]&gt;0,DaybyDay[[#This Row],[Retail Hours]]*$AS$2,"")</f>
        <v/>
      </c>
      <c r="AT126" s="40">
        <f>SUMIFS(DaybyDay[Est-Retail-Payroll],DaybyDay[Date],"&gt;="&amp;$C$5,DaybyDay[RowYear],"&gt;="&amp;$C$4,DaybyDay[Date],"&lt;="&amp;DaybyDay[[#This Row],[Date]])</f>
        <v>0</v>
      </c>
      <c r="AU126" s="82" t="str">
        <f>IF(AND(DaybyDay[[#This Row],[_Space]],ISNUMBER(DaybyDay[[#This Row],[Retail Hours]])),DaybyDay[[#This Row],[Est-Retail-Payroll]]/(DaybyDay[[#This Row],[Retail-Actuals]]),"")</f>
        <v/>
      </c>
      <c r="AV126" s="82" t="e">
        <f>DaybyDay[[#This Row],[Est-Retail-PayrollRU]]/DaybyDay[[#This Row],[Simple-Forecast-Retail]]</f>
        <v>#DIV/0!</v>
      </c>
      <c r="AW126" s="8"/>
    </row>
    <row r="127" spans="3:49" hidden="1" x14ac:dyDescent="0.25">
      <c r="C127" s="26" t="str">
        <f>Tools!$C$1</f>
        <v>Example</v>
      </c>
      <c r="D127" s="27" t="s">
        <v>72</v>
      </c>
      <c r="E127" s="28">
        <v>2017</v>
      </c>
      <c r="F127" s="28">
        <f>MATCH(DaybyDay[[#This Row],[RowMonth]],Table3[SummaryMonth],0)</f>
        <v>5</v>
      </c>
      <c r="G127" s="29" t="e">
        <f>MATCH(DaybyDay[[#This Row],[LY-Date]],DaybyDay[Date],0)</f>
        <v>#N/A</v>
      </c>
      <c r="H127" s="30">
        <f>WEEKDAY(DaybyDay[[#This Row],[Date]])</f>
        <v>2</v>
      </c>
      <c r="I127" s="31">
        <v>42856</v>
      </c>
      <c r="J127" s="74">
        <v>12</v>
      </c>
      <c r="K127" s="32">
        <f>SUMIFS(BudgetSeasonality[365 Seasonality],BudgetSeasonality[MonthAdjustment],DaybyDay[[#This Row],[Date]])*SUMIFS(Budgets[Service-Budget],Budgets[BudgetMonth],DaybyDay[[#This Row],[RowMonth]],Budgets[BudgetYear],DaybyDay[[#This Row],[RowYear]])</f>
        <v>0</v>
      </c>
      <c r="L127" s="75">
        <v>2885.2</v>
      </c>
      <c r="M127" s="32">
        <f>INDEX(BudgetSeasonality[365 Seasonality],MATCH(DaybyDay[[#This Row],[Date]],BudgetSeasonality[MonthAdjustment],0))*SUMIFS(Budgets[Retail-Budget],Budgets[BudgetMonth],DaybyDay[[#This Row],[RowMonth]],Budgets[BudgetYear],DaybyDay[[#This Row],[RowYear]])</f>
        <v>0</v>
      </c>
      <c r="N127" s="75">
        <v>502</v>
      </c>
      <c r="O127" s="33">
        <f>SUMIFS(DaybyDay[Service-Budgets],DaybyDay[Date],"&gt;="&amp;$C$5,DaybyDay[RowYear],"&gt;="&amp;$C$4,DaybyDay[Date],"&lt;="&amp;DaybyDay[[#This Row],[Date]])</f>
        <v>0</v>
      </c>
      <c r="P127" s="33">
        <f>SUMIFS(DaybyDay[Retail-Budgets],DaybyDay[Date],"&gt;="&amp;$C$5,DaybyDay[RowYear],"&gt;="&amp;$C$4,DaybyDay[Date],"&lt;="&amp;DaybyDay[[#This Row],[Date]])</f>
        <v>0</v>
      </c>
      <c r="Q127" s="34">
        <f>SUMIFS(DaybyDay[Service-Actuals],DaybyDay[Date],"&gt;="&amp;$C$5,DaybyDay[RowYear],"&gt;="&amp;$C$4,DaybyDay[Date],"&lt;="&amp;DaybyDay[[#This Row],[Date]])</f>
        <v>0</v>
      </c>
      <c r="R127" s="34">
        <f>SUMIFS(DaybyDay[Retail-Actuals],DaybyDay[Date],"&gt;="&amp;$C$5,DaybyDay[RowYear],"&gt;="&amp;$C$4,DaybyDay[Date],"&lt;="&amp;DaybyDay[[#This Row],[Date]])</f>
        <v>0</v>
      </c>
      <c r="S127" s="35">
        <f>SUMIFS(DaybyDay[Service-LY],DaybyDay[Date],"&gt;="&amp;$C$5,DaybyDay[RowYear],"&gt;="&amp;$C$4,DaybyDay[Date],"&lt;="&amp;DaybyDay[[#This Row],[Date]])</f>
        <v>0</v>
      </c>
      <c r="T127" s="35">
        <f>SUMIFS(DaybyDay[Retail-LY],DaybyDay[Date],"&gt;="&amp;$C$5,DaybyDay[RowYear],"&gt;="&amp;$C$4,DaybyDay[Date],"&lt;="&amp;DaybyDay[[#This Row],[Date]])</f>
        <v>0</v>
      </c>
      <c r="U127" s="32">
        <f>DaybyDay[[#This Row],[Serv-Bud-RU]]+DaybyDay[[#This Row],[Ret-Bud-RU]]</f>
        <v>0</v>
      </c>
      <c r="V127" s="32">
        <f>DaybyDay[[#This Row],[Serv-Act-RU]]+DaybyDay[[#This Row],[Ret-Act-RU]]</f>
        <v>0</v>
      </c>
      <c r="W127" s="36">
        <f>IF(DaybyDay[[#This Row],[_Space]],IFERROR(
((DaybyDay[[#This Row],[Actual-Rollup]]-DaybyDay[[#This Row],[Budget-Rollup]])/DaybyDay[[#This Row],[Budget-Rollup]]),0),"")</f>
        <v>0</v>
      </c>
      <c r="X127" t="b">
        <f>NOT(AND(ISBLANK(DaybyDay[[#This Row],[Appts]]),ISBLANK(DaybyDay[[#This Row],[Service-Actuals]]),ISBLANK(DaybyDay[[#This Row],[Retail-Actuals]])))</f>
        <v>1</v>
      </c>
      <c r="Y127" s="36">
        <f>IF(DaybyDay[[#This Row],[_Space]],IFERROR(
((DaybyDay[[#This Row],[Actual-Rollup]]-DaybyDay[[#This Row],[LY-Rollup]])/DaybyDay[[#This Row],[LY-Rollup]]),0),"")</f>
        <v>0</v>
      </c>
      <c r="Z127"/>
      <c r="AA127" s="37" t="e">
        <f>IF(DaybyDay[[#This Row],[_Space]],DaybyDay[[#This Row],[Ret-Act-RU]]/DaybyDay[[#This Row],[Serv-Act-RU]],"")</f>
        <v>#DIV/0!</v>
      </c>
      <c r="AB127" s="50" t="e">
        <f>IF(DaybyDay[[#This Row],[_Space]],DaybyDay[[#This Row],[RETPEN-Act]]/DaybyDay[[#This Row],[RETPEN-Bud]],"")</f>
        <v>#DIV/0!</v>
      </c>
      <c r="AC127" s="37" t="e">
        <f>IF(DaybyDay[[#This Row],[_Space]],DaybyDay[[#This Row],[Ret-Bud-RU]]/DaybyDay[[#This Row],[Serv-Bud-RU]],"")</f>
        <v>#DIV/0!</v>
      </c>
      <c r="AD127" s="37" t="e">
        <f>IF(DaybyDay[[#This Row],[_Space]],DaybyDay[[#This Row],[Ret-LY-RU]]/DaybyDay[[#This Row],[Serv-LY-RU]],"")</f>
        <v>#DIV/0!</v>
      </c>
      <c r="AE127" s="30">
        <f>WEEKDAY(DaybyDay[[#This Row],[LY-Date]])</f>
        <v>2</v>
      </c>
      <c r="AF127" s="38">
        <f>$E$2+_xlfn.DAYS(DaybyDay[[#This Row],[Date]],minDate)</f>
        <v>42492</v>
      </c>
      <c r="AG127" s="39" t="str" cm="1">
        <f t="array" ref="AG127">IFERROR(INDEX(DaybyDay[],DaybyDay[[#This Row],[FORM_MATCH_HELPER]],8),"")</f>
        <v/>
      </c>
      <c r="AH127" s="39" t="str" cm="1">
        <f t="array" ref="AH127">IFERROR(INDEX(DaybyDay[],DaybyDay[[#This Row],[FORM_MATCH_HELPER]],10),"")</f>
        <v/>
      </c>
      <c r="AI127" s="39" t="str" cm="1">
        <f t="array" ref="AI127">IFERROR(INDEX(DaybyDay[],DaybyDay[[#This Row],[FORM_MATCH_HELPER]],12),"")</f>
        <v/>
      </c>
      <c r="AJ127" s="32">
        <f>IFERROR(DaybyDay[[#This Row],[Serv-LY-RU]]+DaybyDay[[#This Row],[Ret-LY-RU]],"")</f>
        <v>0</v>
      </c>
      <c r="AK1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7" s="77"/>
      <c r="AM127" s="40" t="str">
        <f>IF(DaybyDay[[#This Row],[Admin Hours]]&gt;0,DaybyDay[[#This Row],[Admin Hours]]*$AM$2+$AM$3,"")</f>
        <v/>
      </c>
      <c r="AN127" s="40">
        <f>SUMIFS(DaybyDay[Est-Admin-Payroll],DaybyDay[Date],"&gt;="&amp;$C$5,DaybyDay[RowYear],"&gt;="&amp;$C$4,DaybyDay[Date],"&lt;="&amp;DaybyDay[[#This Row],[Date]])</f>
        <v>0</v>
      </c>
      <c r="AO127" s="41" t="str">
        <f>IF(AND(DaybyDay[[#This Row],[_Space]],ISNUMBER(DaybyDay[[#This Row],[Admin Hours]])),DaybyDay[[#This Row],[Est-Admin-Payroll]]/(DaybyDay[[#This Row],[Service-Actuals]]+DaybyDay[[#This Row],[Retail-Actuals]]),"")</f>
        <v/>
      </c>
      <c r="AP127" s="41" t="e">
        <f>DaybyDay[[#This Row],[Estimated-Payroll-Rollup]]/DaybyDay[[#This Row],[Simple-Forecast]]</f>
        <v>#DIV/0!</v>
      </c>
      <c r="AQ1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7" s="77"/>
      <c r="AS127" s="40" t="str">
        <f>IF(DaybyDay[[#This Row],[Retail Hours]]&gt;0,DaybyDay[[#This Row],[Retail Hours]]*$AS$2,"")</f>
        <v/>
      </c>
      <c r="AT127" s="40">
        <f>SUMIFS(DaybyDay[Est-Retail-Payroll],DaybyDay[Date],"&gt;="&amp;$C$5,DaybyDay[RowYear],"&gt;="&amp;$C$4,DaybyDay[Date],"&lt;="&amp;DaybyDay[[#This Row],[Date]])</f>
        <v>0</v>
      </c>
      <c r="AU127" s="82" t="str">
        <f>IF(AND(DaybyDay[[#This Row],[_Space]],ISNUMBER(DaybyDay[[#This Row],[Retail Hours]])),DaybyDay[[#This Row],[Est-Retail-Payroll]]/(DaybyDay[[#This Row],[Retail-Actuals]]),"")</f>
        <v/>
      </c>
      <c r="AV127" s="82" t="e">
        <f>DaybyDay[[#This Row],[Est-Retail-PayrollRU]]/DaybyDay[[#This Row],[Simple-Forecast-Retail]]</f>
        <v>#DIV/0!</v>
      </c>
      <c r="AW127" s="8"/>
    </row>
    <row r="128" spans="3:49" hidden="1" x14ac:dyDescent="0.25">
      <c r="C128" s="26" t="str">
        <f>Tools!$C$1</f>
        <v>Example</v>
      </c>
      <c r="D128" s="27" t="s">
        <v>72</v>
      </c>
      <c r="E128" s="28">
        <v>2017</v>
      </c>
      <c r="F128" s="28">
        <f>MATCH(DaybyDay[[#This Row],[RowMonth]],Table3[SummaryMonth],0)</f>
        <v>5</v>
      </c>
      <c r="G128" s="29" t="e">
        <f>MATCH(DaybyDay[[#This Row],[LY-Date]],DaybyDay[Date],0)</f>
        <v>#N/A</v>
      </c>
      <c r="H128" s="30">
        <f>WEEKDAY(DaybyDay[[#This Row],[Date]])</f>
        <v>3</v>
      </c>
      <c r="I128" s="31">
        <v>42857</v>
      </c>
      <c r="J128" s="74">
        <v>20</v>
      </c>
      <c r="K128" s="32">
        <f>SUMIFS(BudgetSeasonality[365 Seasonality],BudgetSeasonality[MonthAdjustment],DaybyDay[[#This Row],[Date]])*SUMIFS(Budgets[Service-Budget],Budgets[BudgetMonth],DaybyDay[[#This Row],[RowMonth]],Budgets[BudgetYear],DaybyDay[[#This Row],[RowYear]])</f>
        <v>0</v>
      </c>
      <c r="L128" s="75">
        <v>3203.4</v>
      </c>
      <c r="M128" s="32">
        <f>INDEX(BudgetSeasonality[365 Seasonality],MATCH(DaybyDay[[#This Row],[Date]],BudgetSeasonality[MonthAdjustment],0))*SUMIFS(Budgets[Retail-Budget],Budgets[BudgetMonth],DaybyDay[[#This Row],[RowMonth]],Budgets[BudgetYear],DaybyDay[[#This Row],[RowYear]])</f>
        <v>0</v>
      </c>
      <c r="N128" s="75">
        <v>189</v>
      </c>
      <c r="O128" s="33">
        <f>SUMIFS(DaybyDay[Service-Budgets],DaybyDay[Date],"&gt;="&amp;$C$5,DaybyDay[RowYear],"&gt;="&amp;$C$4,DaybyDay[Date],"&lt;="&amp;DaybyDay[[#This Row],[Date]])</f>
        <v>0</v>
      </c>
      <c r="P128" s="33">
        <f>SUMIFS(DaybyDay[Retail-Budgets],DaybyDay[Date],"&gt;="&amp;$C$5,DaybyDay[RowYear],"&gt;="&amp;$C$4,DaybyDay[Date],"&lt;="&amp;DaybyDay[[#This Row],[Date]])</f>
        <v>0</v>
      </c>
      <c r="Q128" s="34">
        <f>SUMIFS(DaybyDay[Service-Actuals],DaybyDay[Date],"&gt;="&amp;$C$5,DaybyDay[RowYear],"&gt;="&amp;$C$4,DaybyDay[Date],"&lt;="&amp;DaybyDay[[#This Row],[Date]])</f>
        <v>0</v>
      </c>
      <c r="R128" s="34">
        <f>SUMIFS(DaybyDay[Retail-Actuals],DaybyDay[Date],"&gt;="&amp;$C$5,DaybyDay[RowYear],"&gt;="&amp;$C$4,DaybyDay[Date],"&lt;="&amp;DaybyDay[[#This Row],[Date]])</f>
        <v>0</v>
      </c>
      <c r="S128" s="35">
        <f>SUMIFS(DaybyDay[Service-LY],DaybyDay[Date],"&gt;="&amp;$C$5,DaybyDay[RowYear],"&gt;="&amp;$C$4,DaybyDay[Date],"&lt;="&amp;DaybyDay[[#This Row],[Date]])</f>
        <v>0</v>
      </c>
      <c r="T128" s="35">
        <f>SUMIFS(DaybyDay[Retail-LY],DaybyDay[Date],"&gt;="&amp;$C$5,DaybyDay[RowYear],"&gt;="&amp;$C$4,DaybyDay[Date],"&lt;="&amp;DaybyDay[[#This Row],[Date]])</f>
        <v>0</v>
      </c>
      <c r="U128" s="32">
        <f>DaybyDay[[#This Row],[Serv-Bud-RU]]+DaybyDay[[#This Row],[Ret-Bud-RU]]</f>
        <v>0</v>
      </c>
      <c r="V128" s="32">
        <f>DaybyDay[[#This Row],[Serv-Act-RU]]+DaybyDay[[#This Row],[Ret-Act-RU]]</f>
        <v>0</v>
      </c>
      <c r="W128" s="36">
        <f>IF(DaybyDay[[#This Row],[_Space]],IFERROR(
((DaybyDay[[#This Row],[Actual-Rollup]]-DaybyDay[[#This Row],[Budget-Rollup]])/DaybyDay[[#This Row],[Budget-Rollup]]),0),"")</f>
        <v>0</v>
      </c>
      <c r="X128" t="b">
        <f>NOT(AND(ISBLANK(DaybyDay[[#This Row],[Appts]]),ISBLANK(DaybyDay[[#This Row],[Service-Actuals]]),ISBLANK(DaybyDay[[#This Row],[Retail-Actuals]])))</f>
        <v>1</v>
      </c>
      <c r="Y128" s="36">
        <f>IF(DaybyDay[[#This Row],[_Space]],IFERROR(
((DaybyDay[[#This Row],[Actual-Rollup]]-DaybyDay[[#This Row],[LY-Rollup]])/DaybyDay[[#This Row],[LY-Rollup]]),0),"")</f>
        <v>0</v>
      </c>
      <c r="Z128"/>
      <c r="AA128" s="37" t="e">
        <f>IF(DaybyDay[[#This Row],[_Space]],DaybyDay[[#This Row],[Ret-Act-RU]]/DaybyDay[[#This Row],[Serv-Act-RU]],"")</f>
        <v>#DIV/0!</v>
      </c>
      <c r="AB128" s="50" t="e">
        <f>IF(DaybyDay[[#This Row],[_Space]],DaybyDay[[#This Row],[RETPEN-Act]]/DaybyDay[[#This Row],[RETPEN-Bud]],"")</f>
        <v>#DIV/0!</v>
      </c>
      <c r="AC128" s="37" t="e">
        <f>IF(DaybyDay[[#This Row],[_Space]],DaybyDay[[#This Row],[Ret-Bud-RU]]/DaybyDay[[#This Row],[Serv-Bud-RU]],"")</f>
        <v>#DIV/0!</v>
      </c>
      <c r="AD128" s="37" t="e">
        <f>IF(DaybyDay[[#This Row],[_Space]],DaybyDay[[#This Row],[Ret-LY-RU]]/DaybyDay[[#This Row],[Serv-LY-RU]],"")</f>
        <v>#DIV/0!</v>
      </c>
      <c r="AE128" s="30">
        <f>WEEKDAY(DaybyDay[[#This Row],[LY-Date]])</f>
        <v>3</v>
      </c>
      <c r="AF128" s="38">
        <f>$E$2+_xlfn.DAYS(DaybyDay[[#This Row],[Date]],minDate)</f>
        <v>42493</v>
      </c>
      <c r="AG128" s="39" t="str" cm="1">
        <f t="array" ref="AG128">IFERROR(INDEX(DaybyDay[],DaybyDay[[#This Row],[FORM_MATCH_HELPER]],8),"")</f>
        <v/>
      </c>
      <c r="AH128" s="39" t="str" cm="1">
        <f t="array" ref="AH128">IFERROR(INDEX(DaybyDay[],DaybyDay[[#This Row],[FORM_MATCH_HELPER]],10),"")</f>
        <v/>
      </c>
      <c r="AI128" s="39" t="str" cm="1">
        <f t="array" ref="AI128">IFERROR(INDEX(DaybyDay[],DaybyDay[[#This Row],[FORM_MATCH_HELPER]],12),"")</f>
        <v/>
      </c>
      <c r="AJ128" s="32">
        <f>IFERROR(DaybyDay[[#This Row],[Serv-LY-RU]]+DaybyDay[[#This Row],[Ret-LY-RU]],"")</f>
        <v>0</v>
      </c>
      <c r="AK1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8" s="77"/>
      <c r="AM128" s="40" t="str">
        <f>IF(DaybyDay[[#This Row],[Admin Hours]]&gt;0,DaybyDay[[#This Row],[Admin Hours]]*$AM$2+$AM$3,"")</f>
        <v/>
      </c>
      <c r="AN128" s="40">
        <f>SUMIFS(DaybyDay[Est-Admin-Payroll],DaybyDay[Date],"&gt;="&amp;$C$5,DaybyDay[RowYear],"&gt;="&amp;$C$4,DaybyDay[Date],"&lt;="&amp;DaybyDay[[#This Row],[Date]])</f>
        <v>0</v>
      </c>
      <c r="AO128" s="41" t="str">
        <f>IF(AND(DaybyDay[[#This Row],[_Space]],ISNUMBER(DaybyDay[[#This Row],[Admin Hours]])),DaybyDay[[#This Row],[Est-Admin-Payroll]]/(DaybyDay[[#This Row],[Service-Actuals]]+DaybyDay[[#This Row],[Retail-Actuals]]),"")</f>
        <v/>
      </c>
      <c r="AP128" s="41" t="e">
        <f>DaybyDay[[#This Row],[Estimated-Payroll-Rollup]]/DaybyDay[[#This Row],[Simple-Forecast]]</f>
        <v>#DIV/0!</v>
      </c>
      <c r="AQ1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8" s="77"/>
      <c r="AS128" s="40" t="str">
        <f>IF(DaybyDay[[#This Row],[Retail Hours]]&gt;0,DaybyDay[[#This Row],[Retail Hours]]*$AS$2,"")</f>
        <v/>
      </c>
      <c r="AT128" s="40">
        <f>SUMIFS(DaybyDay[Est-Retail-Payroll],DaybyDay[Date],"&gt;="&amp;$C$5,DaybyDay[RowYear],"&gt;="&amp;$C$4,DaybyDay[Date],"&lt;="&amp;DaybyDay[[#This Row],[Date]])</f>
        <v>0</v>
      </c>
      <c r="AU128" s="82" t="str">
        <f>IF(AND(DaybyDay[[#This Row],[_Space]],ISNUMBER(DaybyDay[[#This Row],[Retail Hours]])),DaybyDay[[#This Row],[Est-Retail-Payroll]]/(DaybyDay[[#This Row],[Retail-Actuals]]),"")</f>
        <v/>
      </c>
      <c r="AV128" s="82" t="e">
        <f>DaybyDay[[#This Row],[Est-Retail-PayrollRU]]/DaybyDay[[#This Row],[Simple-Forecast-Retail]]</f>
        <v>#DIV/0!</v>
      </c>
      <c r="AW128" s="8"/>
    </row>
    <row r="129" spans="3:49" hidden="1" x14ac:dyDescent="0.25">
      <c r="C129" s="26" t="str">
        <f>Tools!$C$1</f>
        <v>Example</v>
      </c>
      <c r="D129" s="27" t="s">
        <v>72</v>
      </c>
      <c r="E129" s="28">
        <v>2017</v>
      </c>
      <c r="F129" s="28">
        <f>MATCH(DaybyDay[[#This Row],[RowMonth]],Table3[SummaryMonth],0)</f>
        <v>5</v>
      </c>
      <c r="G129" s="29" t="e">
        <f>MATCH(DaybyDay[[#This Row],[LY-Date]],DaybyDay[Date],0)</f>
        <v>#N/A</v>
      </c>
      <c r="H129" s="30">
        <f>WEEKDAY(DaybyDay[[#This Row],[Date]])</f>
        <v>4</v>
      </c>
      <c r="I129" s="31">
        <v>42858</v>
      </c>
      <c r="J129" s="74">
        <v>13</v>
      </c>
      <c r="K129" s="32">
        <f>SUMIFS(BudgetSeasonality[365 Seasonality],BudgetSeasonality[MonthAdjustment],DaybyDay[[#This Row],[Date]])*SUMIFS(Budgets[Service-Budget],Budgets[BudgetMonth],DaybyDay[[#This Row],[RowMonth]],Budgets[BudgetYear],DaybyDay[[#This Row],[RowYear]])</f>
        <v>0</v>
      </c>
      <c r="L129" s="75">
        <v>2357.6</v>
      </c>
      <c r="M129" s="32">
        <f>INDEX(BudgetSeasonality[365 Seasonality],MATCH(DaybyDay[[#This Row],[Date]],BudgetSeasonality[MonthAdjustment],0))*SUMIFS(Budgets[Retail-Budget],Budgets[BudgetMonth],DaybyDay[[#This Row],[RowMonth]],Budgets[BudgetYear],DaybyDay[[#This Row],[RowYear]])</f>
        <v>0</v>
      </c>
      <c r="N129" s="75">
        <v>363</v>
      </c>
      <c r="O129" s="33">
        <f>SUMIFS(DaybyDay[Service-Budgets],DaybyDay[Date],"&gt;="&amp;$C$5,DaybyDay[RowYear],"&gt;="&amp;$C$4,DaybyDay[Date],"&lt;="&amp;DaybyDay[[#This Row],[Date]])</f>
        <v>0</v>
      </c>
      <c r="P129" s="33">
        <f>SUMIFS(DaybyDay[Retail-Budgets],DaybyDay[Date],"&gt;="&amp;$C$5,DaybyDay[RowYear],"&gt;="&amp;$C$4,DaybyDay[Date],"&lt;="&amp;DaybyDay[[#This Row],[Date]])</f>
        <v>0</v>
      </c>
      <c r="Q129" s="34">
        <f>SUMIFS(DaybyDay[Service-Actuals],DaybyDay[Date],"&gt;="&amp;$C$5,DaybyDay[RowYear],"&gt;="&amp;$C$4,DaybyDay[Date],"&lt;="&amp;DaybyDay[[#This Row],[Date]])</f>
        <v>0</v>
      </c>
      <c r="R129" s="34">
        <f>SUMIFS(DaybyDay[Retail-Actuals],DaybyDay[Date],"&gt;="&amp;$C$5,DaybyDay[RowYear],"&gt;="&amp;$C$4,DaybyDay[Date],"&lt;="&amp;DaybyDay[[#This Row],[Date]])</f>
        <v>0</v>
      </c>
      <c r="S129" s="35">
        <f>SUMIFS(DaybyDay[Service-LY],DaybyDay[Date],"&gt;="&amp;$C$5,DaybyDay[RowYear],"&gt;="&amp;$C$4,DaybyDay[Date],"&lt;="&amp;DaybyDay[[#This Row],[Date]])</f>
        <v>0</v>
      </c>
      <c r="T129" s="35">
        <f>SUMIFS(DaybyDay[Retail-LY],DaybyDay[Date],"&gt;="&amp;$C$5,DaybyDay[RowYear],"&gt;="&amp;$C$4,DaybyDay[Date],"&lt;="&amp;DaybyDay[[#This Row],[Date]])</f>
        <v>0</v>
      </c>
      <c r="U129" s="32">
        <f>DaybyDay[[#This Row],[Serv-Bud-RU]]+DaybyDay[[#This Row],[Ret-Bud-RU]]</f>
        <v>0</v>
      </c>
      <c r="V129" s="32">
        <f>DaybyDay[[#This Row],[Serv-Act-RU]]+DaybyDay[[#This Row],[Ret-Act-RU]]</f>
        <v>0</v>
      </c>
      <c r="W129" s="36">
        <f>IF(DaybyDay[[#This Row],[_Space]],IFERROR(
((DaybyDay[[#This Row],[Actual-Rollup]]-DaybyDay[[#This Row],[Budget-Rollup]])/DaybyDay[[#This Row],[Budget-Rollup]]),0),"")</f>
        <v>0</v>
      </c>
      <c r="X129" t="b">
        <f>NOT(AND(ISBLANK(DaybyDay[[#This Row],[Appts]]),ISBLANK(DaybyDay[[#This Row],[Service-Actuals]]),ISBLANK(DaybyDay[[#This Row],[Retail-Actuals]])))</f>
        <v>1</v>
      </c>
      <c r="Y129" s="36">
        <f>IF(DaybyDay[[#This Row],[_Space]],IFERROR(
((DaybyDay[[#This Row],[Actual-Rollup]]-DaybyDay[[#This Row],[LY-Rollup]])/DaybyDay[[#This Row],[LY-Rollup]]),0),"")</f>
        <v>0</v>
      </c>
      <c r="Z129"/>
      <c r="AA129" s="37" t="e">
        <f>IF(DaybyDay[[#This Row],[_Space]],DaybyDay[[#This Row],[Ret-Act-RU]]/DaybyDay[[#This Row],[Serv-Act-RU]],"")</f>
        <v>#DIV/0!</v>
      </c>
      <c r="AB129" s="50" t="e">
        <f>IF(DaybyDay[[#This Row],[_Space]],DaybyDay[[#This Row],[RETPEN-Act]]/DaybyDay[[#This Row],[RETPEN-Bud]],"")</f>
        <v>#DIV/0!</v>
      </c>
      <c r="AC129" s="37" t="e">
        <f>IF(DaybyDay[[#This Row],[_Space]],DaybyDay[[#This Row],[Ret-Bud-RU]]/DaybyDay[[#This Row],[Serv-Bud-RU]],"")</f>
        <v>#DIV/0!</v>
      </c>
      <c r="AD129" s="37" t="e">
        <f>IF(DaybyDay[[#This Row],[_Space]],DaybyDay[[#This Row],[Ret-LY-RU]]/DaybyDay[[#This Row],[Serv-LY-RU]],"")</f>
        <v>#DIV/0!</v>
      </c>
      <c r="AE129" s="30">
        <f>WEEKDAY(DaybyDay[[#This Row],[LY-Date]])</f>
        <v>4</v>
      </c>
      <c r="AF129" s="38">
        <f>$E$2+_xlfn.DAYS(DaybyDay[[#This Row],[Date]],minDate)</f>
        <v>42494</v>
      </c>
      <c r="AG129" s="39" t="str" cm="1">
        <f t="array" ref="AG129">IFERROR(INDEX(DaybyDay[],DaybyDay[[#This Row],[FORM_MATCH_HELPER]],8),"")</f>
        <v/>
      </c>
      <c r="AH129" s="39" t="str" cm="1">
        <f t="array" ref="AH129">IFERROR(INDEX(DaybyDay[],DaybyDay[[#This Row],[FORM_MATCH_HELPER]],10),"")</f>
        <v/>
      </c>
      <c r="AI129" s="39" t="str" cm="1">
        <f t="array" ref="AI129">IFERROR(INDEX(DaybyDay[],DaybyDay[[#This Row],[FORM_MATCH_HELPER]],12),"")</f>
        <v/>
      </c>
      <c r="AJ129" s="32">
        <f>IFERROR(DaybyDay[[#This Row],[Serv-LY-RU]]+DaybyDay[[#This Row],[Ret-LY-RU]],"")</f>
        <v>0</v>
      </c>
      <c r="AK1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29" s="77"/>
      <c r="AM129" s="40" t="str">
        <f>IF(DaybyDay[[#This Row],[Admin Hours]]&gt;0,DaybyDay[[#This Row],[Admin Hours]]*$AM$2+$AM$3,"")</f>
        <v/>
      </c>
      <c r="AN129" s="40">
        <f>SUMIFS(DaybyDay[Est-Admin-Payroll],DaybyDay[Date],"&gt;="&amp;$C$5,DaybyDay[RowYear],"&gt;="&amp;$C$4,DaybyDay[Date],"&lt;="&amp;DaybyDay[[#This Row],[Date]])</f>
        <v>0</v>
      </c>
      <c r="AO129" s="41" t="str">
        <f>IF(AND(DaybyDay[[#This Row],[_Space]],ISNUMBER(DaybyDay[[#This Row],[Admin Hours]])),DaybyDay[[#This Row],[Est-Admin-Payroll]]/(DaybyDay[[#This Row],[Service-Actuals]]+DaybyDay[[#This Row],[Retail-Actuals]]),"")</f>
        <v/>
      </c>
      <c r="AP129" s="41" t="e">
        <f>DaybyDay[[#This Row],[Estimated-Payroll-Rollup]]/DaybyDay[[#This Row],[Simple-Forecast]]</f>
        <v>#DIV/0!</v>
      </c>
      <c r="AQ1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29" s="77"/>
      <c r="AS129" s="40" t="str">
        <f>IF(DaybyDay[[#This Row],[Retail Hours]]&gt;0,DaybyDay[[#This Row],[Retail Hours]]*$AS$2,"")</f>
        <v/>
      </c>
      <c r="AT129" s="40">
        <f>SUMIFS(DaybyDay[Est-Retail-Payroll],DaybyDay[Date],"&gt;="&amp;$C$5,DaybyDay[RowYear],"&gt;="&amp;$C$4,DaybyDay[Date],"&lt;="&amp;DaybyDay[[#This Row],[Date]])</f>
        <v>0</v>
      </c>
      <c r="AU129" s="82" t="str">
        <f>IF(AND(DaybyDay[[#This Row],[_Space]],ISNUMBER(DaybyDay[[#This Row],[Retail Hours]])),DaybyDay[[#This Row],[Est-Retail-Payroll]]/(DaybyDay[[#This Row],[Retail-Actuals]]),"")</f>
        <v/>
      </c>
      <c r="AV129" s="82" t="e">
        <f>DaybyDay[[#This Row],[Est-Retail-PayrollRU]]/DaybyDay[[#This Row],[Simple-Forecast-Retail]]</f>
        <v>#DIV/0!</v>
      </c>
      <c r="AW129" s="8"/>
    </row>
    <row r="130" spans="3:49" hidden="1" x14ac:dyDescent="0.25">
      <c r="C130" s="26" t="str">
        <f>Tools!$C$1</f>
        <v>Example</v>
      </c>
      <c r="D130" s="27" t="s">
        <v>72</v>
      </c>
      <c r="E130" s="28">
        <v>2017</v>
      </c>
      <c r="F130" s="28">
        <f>MATCH(DaybyDay[[#This Row],[RowMonth]],Table3[SummaryMonth],0)</f>
        <v>5</v>
      </c>
      <c r="G130" s="29" t="e">
        <f>MATCH(DaybyDay[[#This Row],[LY-Date]],DaybyDay[Date],0)</f>
        <v>#N/A</v>
      </c>
      <c r="H130" s="30">
        <f>WEEKDAY(DaybyDay[[#This Row],[Date]])</f>
        <v>5</v>
      </c>
      <c r="I130" s="31">
        <v>42859</v>
      </c>
      <c r="J130" s="74">
        <v>32</v>
      </c>
      <c r="K130" s="32">
        <f>SUMIFS(BudgetSeasonality[365 Seasonality],BudgetSeasonality[MonthAdjustment],DaybyDay[[#This Row],[Date]])*SUMIFS(Budgets[Service-Budget],Budgets[BudgetMonth],DaybyDay[[#This Row],[RowMonth]],Budgets[BudgetYear],DaybyDay[[#This Row],[RowYear]])</f>
        <v>0</v>
      </c>
      <c r="L130" s="75">
        <v>3829.6</v>
      </c>
      <c r="M130" s="32">
        <f>INDEX(BudgetSeasonality[365 Seasonality],MATCH(DaybyDay[[#This Row],[Date]],BudgetSeasonality[MonthAdjustment],0))*SUMIFS(Budgets[Retail-Budget],Budgets[BudgetMonth],DaybyDay[[#This Row],[RowMonth]],Budgets[BudgetYear],DaybyDay[[#This Row],[RowYear]])</f>
        <v>0</v>
      </c>
      <c r="N130" s="75">
        <v>3147.8</v>
      </c>
      <c r="O130" s="33">
        <f>SUMIFS(DaybyDay[Service-Budgets],DaybyDay[Date],"&gt;="&amp;$C$5,DaybyDay[RowYear],"&gt;="&amp;$C$4,DaybyDay[Date],"&lt;="&amp;DaybyDay[[#This Row],[Date]])</f>
        <v>0</v>
      </c>
      <c r="P130" s="33">
        <f>SUMIFS(DaybyDay[Retail-Budgets],DaybyDay[Date],"&gt;="&amp;$C$5,DaybyDay[RowYear],"&gt;="&amp;$C$4,DaybyDay[Date],"&lt;="&amp;DaybyDay[[#This Row],[Date]])</f>
        <v>0</v>
      </c>
      <c r="Q130" s="34">
        <f>SUMIFS(DaybyDay[Service-Actuals],DaybyDay[Date],"&gt;="&amp;$C$5,DaybyDay[RowYear],"&gt;="&amp;$C$4,DaybyDay[Date],"&lt;="&amp;DaybyDay[[#This Row],[Date]])</f>
        <v>0</v>
      </c>
      <c r="R130" s="34">
        <f>SUMIFS(DaybyDay[Retail-Actuals],DaybyDay[Date],"&gt;="&amp;$C$5,DaybyDay[RowYear],"&gt;="&amp;$C$4,DaybyDay[Date],"&lt;="&amp;DaybyDay[[#This Row],[Date]])</f>
        <v>0</v>
      </c>
      <c r="S130" s="35">
        <f>SUMIFS(DaybyDay[Service-LY],DaybyDay[Date],"&gt;="&amp;$C$5,DaybyDay[RowYear],"&gt;="&amp;$C$4,DaybyDay[Date],"&lt;="&amp;DaybyDay[[#This Row],[Date]])</f>
        <v>0</v>
      </c>
      <c r="T130" s="35">
        <f>SUMIFS(DaybyDay[Retail-LY],DaybyDay[Date],"&gt;="&amp;$C$5,DaybyDay[RowYear],"&gt;="&amp;$C$4,DaybyDay[Date],"&lt;="&amp;DaybyDay[[#This Row],[Date]])</f>
        <v>0</v>
      </c>
      <c r="U130" s="32">
        <f>DaybyDay[[#This Row],[Serv-Bud-RU]]+DaybyDay[[#This Row],[Ret-Bud-RU]]</f>
        <v>0</v>
      </c>
      <c r="V130" s="32">
        <f>DaybyDay[[#This Row],[Serv-Act-RU]]+DaybyDay[[#This Row],[Ret-Act-RU]]</f>
        <v>0</v>
      </c>
      <c r="W130" s="36">
        <f>IF(DaybyDay[[#This Row],[_Space]],IFERROR(
((DaybyDay[[#This Row],[Actual-Rollup]]-DaybyDay[[#This Row],[Budget-Rollup]])/DaybyDay[[#This Row],[Budget-Rollup]]),0),"")</f>
        <v>0</v>
      </c>
      <c r="X130" t="b">
        <f>NOT(AND(ISBLANK(DaybyDay[[#This Row],[Appts]]),ISBLANK(DaybyDay[[#This Row],[Service-Actuals]]),ISBLANK(DaybyDay[[#This Row],[Retail-Actuals]])))</f>
        <v>1</v>
      </c>
      <c r="Y130" s="36">
        <f>IF(DaybyDay[[#This Row],[_Space]],IFERROR(
((DaybyDay[[#This Row],[Actual-Rollup]]-DaybyDay[[#This Row],[LY-Rollup]])/DaybyDay[[#This Row],[LY-Rollup]]),0),"")</f>
        <v>0</v>
      </c>
      <c r="Z130"/>
      <c r="AA130" s="37" t="e">
        <f>IF(DaybyDay[[#This Row],[_Space]],DaybyDay[[#This Row],[Ret-Act-RU]]/DaybyDay[[#This Row],[Serv-Act-RU]],"")</f>
        <v>#DIV/0!</v>
      </c>
      <c r="AB130" s="50" t="e">
        <f>IF(DaybyDay[[#This Row],[_Space]],DaybyDay[[#This Row],[RETPEN-Act]]/DaybyDay[[#This Row],[RETPEN-Bud]],"")</f>
        <v>#DIV/0!</v>
      </c>
      <c r="AC130" s="37" t="e">
        <f>IF(DaybyDay[[#This Row],[_Space]],DaybyDay[[#This Row],[Ret-Bud-RU]]/DaybyDay[[#This Row],[Serv-Bud-RU]],"")</f>
        <v>#DIV/0!</v>
      </c>
      <c r="AD130" s="37" t="e">
        <f>IF(DaybyDay[[#This Row],[_Space]],DaybyDay[[#This Row],[Ret-LY-RU]]/DaybyDay[[#This Row],[Serv-LY-RU]],"")</f>
        <v>#DIV/0!</v>
      </c>
      <c r="AE130" s="30">
        <f>WEEKDAY(DaybyDay[[#This Row],[LY-Date]])</f>
        <v>5</v>
      </c>
      <c r="AF130" s="38">
        <f>$E$2+_xlfn.DAYS(DaybyDay[[#This Row],[Date]],minDate)</f>
        <v>42495</v>
      </c>
      <c r="AG130" s="39" t="str" cm="1">
        <f t="array" ref="AG130">IFERROR(INDEX(DaybyDay[],DaybyDay[[#This Row],[FORM_MATCH_HELPER]],8),"")</f>
        <v/>
      </c>
      <c r="AH130" s="39" t="str" cm="1">
        <f t="array" ref="AH130">IFERROR(INDEX(DaybyDay[],DaybyDay[[#This Row],[FORM_MATCH_HELPER]],10),"")</f>
        <v/>
      </c>
      <c r="AI130" s="39" t="str" cm="1">
        <f t="array" ref="AI130">IFERROR(INDEX(DaybyDay[],DaybyDay[[#This Row],[FORM_MATCH_HELPER]],12),"")</f>
        <v/>
      </c>
      <c r="AJ130" s="32">
        <f>IFERROR(DaybyDay[[#This Row],[Serv-LY-RU]]+DaybyDay[[#This Row],[Ret-LY-RU]],"")</f>
        <v>0</v>
      </c>
      <c r="AK1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0" s="77"/>
      <c r="AM130" s="40" t="str">
        <f>IF(DaybyDay[[#This Row],[Admin Hours]]&gt;0,DaybyDay[[#This Row],[Admin Hours]]*$AM$2+$AM$3,"")</f>
        <v/>
      </c>
      <c r="AN130" s="40">
        <f>SUMIFS(DaybyDay[Est-Admin-Payroll],DaybyDay[Date],"&gt;="&amp;$C$5,DaybyDay[RowYear],"&gt;="&amp;$C$4,DaybyDay[Date],"&lt;="&amp;DaybyDay[[#This Row],[Date]])</f>
        <v>0</v>
      </c>
      <c r="AO130" s="41" t="str">
        <f>IF(AND(DaybyDay[[#This Row],[_Space]],ISNUMBER(DaybyDay[[#This Row],[Admin Hours]])),DaybyDay[[#This Row],[Est-Admin-Payroll]]/(DaybyDay[[#This Row],[Service-Actuals]]+DaybyDay[[#This Row],[Retail-Actuals]]),"")</f>
        <v/>
      </c>
      <c r="AP130" s="41" t="e">
        <f>DaybyDay[[#This Row],[Estimated-Payroll-Rollup]]/DaybyDay[[#This Row],[Simple-Forecast]]</f>
        <v>#DIV/0!</v>
      </c>
      <c r="AQ1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0" s="77"/>
      <c r="AS130" s="40" t="str">
        <f>IF(DaybyDay[[#This Row],[Retail Hours]]&gt;0,DaybyDay[[#This Row],[Retail Hours]]*$AS$2,"")</f>
        <v/>
      </c>
      <c r="AT130" s="40">
        <f>SUMIFS(DaybyDay[Est-Retail-Payroll],DaybyDay[Date],"&gt;="&amp;$C$5,DaybyDay[RowYear],"&gt;="&amp;$C$4,DaybyDay[Date],"&lt;="&amp;DaybyDay[[#This Row],[Date]])</f>
        <v>0</v>
      </c>
      <c r="AU130" s="82" t="str">
        <f>IF(AND(DaybyDay[[#This Row],[_Space]],ISNUMBER(DaybyDay[[#This Row],[Retail Hours]])),DaybyDay[[#This Row],[Est-Retail-Payroll]]/(DaybyDay[[#This Row],[Retail-Actuals]]),"")</f>
        <v/>
      </c>
      <c r="AV130" s="82" t="e">
        <f>DaybyDay[[#This Row],[Est-Retail-PayrollRU]]/DaybyDay[[#This Row],[Simple-Forecast-Retail]]</f>
        <v>#DIV/0!</v>
      </c>
      <c r="AW130" s="8"/>
    </row>
    <row r="131" spans="3:49" hidden="1" x14ac:dyDescent="0.25">
      <c r="C131" s="26" t="str">
        <f>Tools!$C$1</f>
        <v>Example</v>
      </c>
      <c r="D131" s="27" t="s">
        <v>72</v>
      </c>
      <c r="E131" s="28">
        <v>2017</v>
      </c>
      <c r="F131" s="28">
        <f>MATCH(DaybyDay[[#This Row],[RowMonth]],Table3[SummaryMonth],0)</f>
        <v>5</v>
      </c>
      <c r="G131" s="29" t="e">
        <f>MATCH(DaybyDay[[#This Row],[LY-Date]],DaybyDay[Date],0)</f>
        <v>#N/A</v>
      </c>
      <c r="H131" s="30">
        <f>WEEKDAY(DaybyDay[[#This Row],[Date]])</f>
        <v>6</v>
      </c>
      <c r="I131" s="31">
        <v>42860</v>
      </c>
      <c r="J131" s="74">
        <v>30</v>
      </c>
      <c r="K131" s="32">
        <f>SUMIFS(BudgetSeasonality[365 Seasonality],BudgetSeasonality[MonthAdjustment],DaybyDay[[#This Row],[Date]])*SUMIFS(Budgets[Service-Budget],Budgets[BudgetMonth],DaybyDay[[#This Row],[RowMonth]],Budgets[BudgetYear],DaybyDay[[#This Row],[RowYear]])</f>
        <v>0</v>
      </c>
      <c r="L131" s="75">
        <v>6271</v>
      </c>
      <c r="M131" s="32">
        <f>INDEX(BudgetSeasonality[365 Seasonality],MATCH(DaybyDay[[#This Row],[Date]],BudgetSeasonality[MonthAdjustment],0))*SUMIFS(Budgets[Retail-Budget],Budgets[BudgetMonth],DaybyDay[[#This Row],[RowMonth]],Budgets[BudgetYear],DaybyDay[[#This Row],[RowYear]])</f>
        <v>0</v>
      </c>
      <c r="N131" s="75">
        <v>767</v>
      </c>
      <c r="O131" s="33">
        <f>SUMIFS(DaybyDay[Service-Budgets],DaybyDay[Date],"&gt;="&amp;$C$5,DaybyDay[RowYear],"&gt;="&amp;$C$4,DaybyDay[Date],"&lt;="&amp;DaybyDay[[#This Row],[Date]])</f>
        <v>0</v>
      </c>
      <c r="P131" s="33">
        <f>SUMIFS(DaybyDay[Retail-Budgets],DaybyDay[Date],"&gt;="&amp;$C$5,DaybyDay[RowYear],"&gt;="&amp;$C$4,DaybyDay[Date],"&lt;="&amp;DaybyDay[[#This Row],[Date]])</f>
        <v>0</v>
      </c>
      <c r="Q131" s="34">
        <f>SUMIFS(DaybyDay[Service-Actuals],DaybyDay[Date],"&gt;="&amp;$C$5,DaybyDay[RowYear],"&gt;="&amp;$C$4,DaybyDay[Date],"&lt;="&amp;DaybyDay[[#This Row],[Date]])</f>
        <v>0</v>
      </c>
      <c r="R131" s="34">
        <f>SUMIFS(DaybyDay[Retail-Actuals],DaybyDay[Date],"&gt;="&amp;$C$5,DaybyDay[RowYear],"&gt;="&amp;$C$4,DaybyDay[Date],"&lt;="&amp;DaybyDay[[#This Row],[Date]])</f>
        <v>0</v>
      </c>
      <c r="S131" s="35">
        <f>SUMIFS(DaybyDay[Service-LY],DaybyDay[Date],"&gt;="&amp;$C$5,DaybyDay[RowYear],"&gt;="&amp;$C$4,DaybyDay[Date],"&lt;="&amp;DaybyDay[[#This Row],[Date]])</f>
        <v>0</v>
      </c>
      <c r="T131" s="35">
        <f>SUMIFS(DaybyDay[Retail-LY],DaybyDay[Date],"&gt;="&amp;$C$5,DaybyDay[RowYear],"&gt;="&amp;$C$4,DaybyDay[Date],"&lt;="&amp;DaybyDay[[#This Row],[Date]])</f>
        <v>0</v>
      </c>
      <c r="U131" s="32">
        <f>DaybyDay[[#This Row],[Serv-Bud-RU]]+DaybyDay[[#This Row],[Ret-Bud-RU]]</f>
        <v>0</v>
      </c>
      <c r="V131" s="32">
        <f>DaybyDay[[#This Row],[Serv-Act-RU]]+DaybyDay[[#This Row],[Ret-Act-RU]]</f>
        <v>0</v>
      </c>
      <c r="W131" s="36">
        <f>IF(DaybyDay[[#This Row],[_Space]],IFERROR(
((DaybyDay[[#This Row],[Actual-Rollup]]-DaybyDay[[#This Row],[Budget-Rollup]])/DaybyDay[[#This Row],[Budget-Rollup]]),0),"")</f>
        <v>0</v>
      </c>
      <c r="X131" t="b">
        <f>NOT(AND(ISBLANK(DaybyDay[[#This Row],[Appts]]),ISBLANK(DaybyDay[[#This Row],[Service-Actuals]]),ISBLANK(DaybyDay[[#This Row],[Retail-Actuals]])))</f>
        <v>1</v>
      </c>
      <c r="Y131" s="36">
        <f>IF(DaybyDay[[#This Row],[_Space]],IFERROR(
((DaybyDay[[#This Row],[Actual-Rollup]]-DaybyDay[[#This Row],[LY-Rollup]])/DaybyDay[[#This Row],[LY-Rollup]]),0),"")</f>
        <v>0</v>
      </c>
      <c r="Z131"/>
      <c r="AA131" s="37" t="e">
        <f>IF(DaybyDay[[#This Row],[_Space]],DaybyDay[[#This Row],[Ret-Act-RU]]/DaybyDay[[#This Row],[Serv-Act-RU]],"")</f>
        <v>#DIV/0!</v>
      </c>
      <c r="AB131" s="50" t="e">
        <f>IF(DaybyDay[[#This Row],[_Space]],DaybyDay[[#This Row],[RETPEN-Act]]/DaybyDay[[#This Row],[RETPEN-Bud]],"")</f>
        <v>#DIV/0!</v>
      </c>
      <c r="AC131" s="37" t="e">
        <f>IF(DaybyDay[[#This Row],[_Space]],DaybyDay[[#This Row],[Ret-Bud-RU]]/DaybyDay[[#This Row],[Serv-Bud-RU]],"")</f>
        <v>#DIV/0!</v>
      </c>
      <c r="AD131" s="37" t="e">
        <f>IF(DaybyDay[[#This Row],[_Space]],DaybyDay[[#This Row],[Ret-LY-RU]]/DaybyDay[[#This Row],[Serv-LY-RU]],"")</f>
        <v>#DIV/0!</v>
      </c>
      <c r="AE131" s="30">
        <f>WEEKDAY(DaybyDay[[#This Row],[LY-Date]])</f>
        <v>6</v>
      </c>
      <c r="AF131" s="38">
        <f>$E$2+_xlfn.DAYS(DaybyDay[[#This Row],[Date]],minDate)</f>
        <v>42496</v>
      </c>
      <c r="AG131" s="39" t="str" cm="1">
        <f t="array" ref="AG131">IFERROR(INDEX(DaybyDay[],DaybyDay[[#This Row],[FORM_MATCH_HELPER]],8),"")</f>
        <v/>
      </c>
      <c r="AH131" s="39" t="str" cm="1">
        <f t="array" ref="AH131">IFERROR(INDEX(DaybyDay[],DaybyDay[[#This Row],[FORM_MATCH_HELPER]],10),"")</f>
        <v/>
      </c>
      <c r="AI131" s="39" t="str" cm="1">
        <f t="array" ref="AI131">IFERROR(INDEX(DaybyDay[],DaybyDay[[#This Row],[FORM_MATCH_HELPER]],12),"")</f>
        <v/>
      </c>
      <c r="AJ131" s="32">
        <f>IFERROR(DaybyDay[[#This Row],[Serv-LY-RU]]+DaybyDay[[#This Row],[Ret-LY-RU]],"")</f>
        <v>0</v>
      </c>
      <c r="AK1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1" s="77"/>
      <c r="AM131" s="40" t="str">
        <f>IF(DaybyDay[[#This Row],[Admin Hours]]&gt;0,DaybyDay[[#This Row],[Admin Hours]]*$AM$2+$AM$3,"")</f>
        <v/>
      </c>
      <c r="AN131" s="40">
        <f>SUMIFS(DaybyDay[Est-Admin-Payroll],DaybyDay[Date],"&gt;="&amp;$C$5,DaybyDay[RowYear],"&gt;="&amp;$C$4,DaybyDay[Date],"&lt;="&amp;DaybyDay[[#This Row],[Date]])</f>
        <v>0</v>
      </c>
      <c r="AO131" s="41" t="str">
        <f>IF(AND(DaybyDay[[#This Row],[_Space]],ISNUMBER(DaybyDay[[#This Row],[Admin Hours]])),DaybyDay[[#This Row],[Est-Admin-Payroll]]/(DaybyDay[[#This Row],[Service-Actuals]]+DaybyDay[[#This Row],[Retail-Actuals]]),"")</f>
        <v/>
      </c>
      <c r="AP131" s="41" t="e">
        <f>DaybyDay[[#This Row],[Estimated-Payroll-Rollup]]/DaybyDay[[#This Row],[Simple-Forecast]]</f>
        <v>#DIV/0!</v>
      </c>
      <c r="AQ1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1" s="77"/>
      <c r="AS131" s="40" t="str">
        <f>IF(DaybyDay[[#This Row],[Retail Hours]]&gt;0,DaybyDay[[#This Row],[Retail Hours]]*$AS$2,"")</f>
        <v/>
      </c>
      <c r="AT131" s="40">
        <f>SUMIFS(DaybyDay[Est-Retail-Payroll],DaybyDay[Date],"&gt;="&amp;$C$5,DaybyDay[RowYear],"&gt;="&amp;$C$4,DaybyDay[Date],"&lt;="&amp;DaybyDay[[#This Row],[Date]])</f>
        <v>0</v>
      </c>
      <c r="AU131" s="82" t="str">
        <f>IF(AND(DaybyDay[[#This Row],[_Space]],ISNUMBER(DaybyDay[[#This Row],[Retail Hours]])),DaybyDay[[#This Row],[Est-Retail-Payroll]]/(DaybyDay[[#This Row],[Retail-Actuals]]),"")</f>
        <v/>
      </c>
      <c r="AV131" s="82" t="e">
        <f>DaybyDay[[#This Row],[Est-Retail-PayrollRU]]/DaybyDay[[#This Row],[Simple-Forecast-Retail]]</f>
        <v>#DIV/0!</v>
      </c>
      <c r="AW131" s="8"/>
    </row>
    <row r="132" spans="3:49" hidden="1" x14ac:dyDescent="0.25">
      <c r="C132" s="26" t="str">
        <f>Tools!$C$1</f>
        <v>Example</v>
      </c>
      <c r="D132" s="27" t="s">
        <v>72</v>
      </c>
      <c r="E132" s="28">
        <v>2017</v>
      </c>
      <c r="F132" s="28">
        <f>MATCH(DaybyDay[[#This Row],[RowMonth]],Table3[SummaryMonth],0)</f>
        <v>5</v>
      </c>
      <c r="G132" s="29" t="e">
        <f>MATCH(DaybyDay[[#This Row],[LY-Date]],DaybyDay[Date],0)</f>
        <v>#N/A</v>
      </c>
      <c r="H132" s="30">
        <f>WEEKDAY(DaybyDay[[#This Row],[Date]])</f>
        <v>7</v>
      </c>
      <c r="I132" s="31">
        <v>42861</v>
      </c>
      <c r="J132" s="74">
        <v>32</v>
      </c>
      <c r="K132" s="32">
        <f>SUMIFS(BudgetSeasonality[365 Seasonality],BudgetSeasonality[MonthAdjustment],DaybyDay[[#This Row],[Date]])*SUMIFS(Budgets[Service-Budget],Budgets[BudgetMonth],DaybyDay[[#This Row],[RowMonth]],Budgets[BudgetYear],DaybyDay[[#This Row],[RowYear]])</f>
        <v>0</v>
      </c>
      <c r="L132" s="75">
        <v>6732.3</v>
      </c>
      <c r="M132" s="32">
        <f>INDEX(BudgetSeasonality[365 Seasonality],MATCH(DaybyDay[[#This Row],[Date]],BudgetSeasonality[MonthAdjustment],0))*SUMIFS(Budgets[Retail-Budget],Budgets[BudgetMonth],DaybyDay[[#This Row],[RowMonth]],Budgets[BudgetYear],DaybyDay[[#This Row],[RowYear]])</f>
        <v>0</v>
      </c>
      <c r="N132" s="75">
        <v>542</v>
      </c>
      <c r="O132" s="33">
        <f>SUMIFS(DaybyDay[Service-Budgets],DaybyDay[Date],"&gt;="&amp;$C$5,DaybyDay[RowYear],"&gt;="&amp;$C$4,DaybyDay[Date],"&lt;="&amp;DaybyDay[[#This Row],[Date]])</f>
        <v>0</v>
      </c>
      <c r="P132" s="33">
        <f>SUMIFS(DaybyDay[Retail-Budgets],DaybyDay[Date],"&gt;="&amp;$C$5,DaybyDay[RowYear],"&gt;="&amp;$C$4,DaybyDay[Date],"&lt;="&amp;DaybyDay[[#This Row],[Date]])</f>
        <v>0</v>
      </c>
      <c r="Q132" s="34">
        <f>SUMIFS(DaybyDay[Service-Actuals],DaybyDay[Date],"&gt;="&amp;$C$5,DaybyDay[RowYear],"&gt;="&amp;$C$4,DaybyDay[Date],"&lt;="&amp;DaybyDay[[#This Row],[Date]])</f>
        <v>0</v>
      </c>
      <c r="R132" s="34">
        <f>SUMIFS(DaybyDay[Retail-Actuals],DaybyDay[Date],"&gt;="&amp;$C$5,DaybyDay[RowYear],"&gt;="&amp;$C$4,DaybyDay[Date],"&lt;="&amp;DaybyDay[[#This Row],[Date]])</f>
        <v>0</v>
      </c>
      <c r="S132" s="35">
        <f>SUMIFS(DaybyDay[Service-LY],DaybyDay[Date],"&gt;="&amp;$C$5,DaybyDay[RowYear],"&gt;="&amp;$C$4,DaybyDay[Date],"&lt;="&amp;DaybyDay[[#This Row],[Date]])</f>
        <v>0</v>
      </c>
      <c r="T132" s="35">
        <f>SUMIFS(DaybyDay[Retail-LY],DaybyDay[Date],"&gt;="&amp;$C$5,DaybyDay[RowYear],"&gt;="&amp;$C$4,DaybyDay[Date],"&lt;="&amp;DaybyDay[[#This Row],[Date]])</f>
        <v>0</v>
      </c>
      <c r="U132" s="32">
        <f>DaybyDay[[#This Row],[Serv-Bud-RU]]+DaybyDay[[#This Row],[Ret-Bud-RU]]</f>
        <v>0</v>
      </c>
      <c r="V132" s="32">
        <f>DaybyDay[[#This Row],[Serv-Act-RU]]+DaybyDay[[#This Row],[Ret-Act-RU]]</f>
        <v>0</v>
      </c>
      <c r="W132" s="36">
        <f>IF(DaybyDay[[#This Row],[_Space]],IFERROR(
((DaybyDay[[#This Row],[Actual-Rollup]]-DaybyDay[[#This Row],[Budget-Rollup]])/DaybyDay[[#This Row],[Budget-Rollup]]),0),"")</f>
        <v>0</v>
      </c>
      <c r="X132" t="b">
        <f>NOT(AND(ISBLANK(DaybyDay[[#This Row],[Appts]]),ISBLANK(DaybyDay[[#This Row],[Service-Actuals]]),ISBLANK(DaybyDay[[#This Row],[Retail-Actuals]])))</f>
        <v>1</v>
      </c>
      <c r="Y132" s="36">
        <f>IF(DaybyDay[[#This Row],[_Space]],IFERROR(
((DaybyDay[[#This Row],[Actual-Rollup]]-DaybyDay[[#This Row],[LY-Rollup]])/DaybyDay[[#This Row],[LY-Rollup]]),0),"")</f>
        <v>0</v>
      </c>
      <c r="Z132"/>
      <c r="AA132" s="37" t="e">
        <f>IF(DaybyDay[[#This Row],[_Space]],DaybyDay[[#This Row],[Ret-Act-RU]]/DaybyDay[[#This Row],[Serv-Act-RU]],"")</f>
        <v>#DIV/0!</v>
      </c>
      <c r="AB132" s="50" t="e">
        <f>IF(DaybyDay[[#This Row],[_Space]],DaybyDay[[#This Row],[RETPEN-Act]]/DaybyDay[[#This Row],[RETPEN-Bud]],"")</f>
        <v>#DIV/0!</v>
      </c>
      <c r="AC132" s="37" t="e">
        <f>IF(DaybyDay[[#This Row],[_Space]],DaybyDay[[#This Row],[Ret-Bud-RU]]/DaybyDay[[#This Row],[Serv-Bud-RU]],"")</f>
        <v>#DIV/0!</v>
      </c>
      <c r="AD132" s="37" t="e">
        <f>IF(DaybyDay[[#This Row],[_Space]],DaybyDay[[#This Row],[Ret-LY-RU]]/DaybyDay[[#This Row],[Serv-LY-RU]],"")</f>
        <v>#DIV/0!</v>
      </c>
      <c r="AE132" s="30">
        <f>WEEKDAY(DaybyDay[[#This Row],[LY-Date]])</f>
        <v>7</v>
      </c>
      <c r="AF132" s="38">
        <f>$E$2+_xlfn.DAYS(DaybyDay[[#This Row],[Date]],minDate)</f>
        <v>42497</v>
      </c>
      <c r="AG132" s="39" t="str" cm="1">
        <f t="array" ref="AG132">IFERROR(INDEX(DaybyDay[],DaybyDay[[#This Row],[FORM_MATCH_HELPER]],8),"")</f>
        <v/>
      </c>
      <c r="AH132" s="39" t="str" cm="1">
        <f t="array" ref="AH132">IFERROR(INDEX(DaybyDay[],DaybyDay[[#This Row],[FORM_MATCH_HELPER]],10),"")</f>
        <v/>
      </c>
      <c r="AI132" s="39" t="str" cm="1">
        <f t="array" ref="AI132">IFERROR(INDEX(DaybyDay[],DaybyDay[[#This Row],[FORM_MATCH_HELPER]],12),"")</f>
        <v/>
      </c>
      <c r="AJ132" s="32">
        <f>IFERROR(DaybyDay[[#This Row],[Serv-LY-RU]]+DaybyDay[[#This Row],[Ret-LY-RU]],"")</f>
        <v>0</v>
      </c>
      <c r="AK1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2" s="77"/>
      <c r="AM132" s="40" t="str">
        <f>IF(DaybyDay[[#This Row],[Admin Hours]]&gt;0,DaybyDay[[#This Row],[Admin Hours]]*$AM$2+$AM$3,"")</f>
        <v/>
      </c>
      <c r="AN132" s="40">
        <f>SUMIFS(DaybyDay[Est-Admin-Payroll],DaybyDay[Date],"&gt;="&amp;$C$5,DaybyDay[RowYear],"&gt;="&amp;$C$4,DaybyDay[Date],"&lt;="&amp;DaybyDay[[#This Row],[Date]])</f>
        <v>0</v>
      </c>
      <c r="AO132" s="41" t="str">
        <f>IF(AND(DaybyDay[[#This Row],[_Space]],ISNUMBER(DaybyDay[[#This Row],[Admin Hours]])),DaybyDay[[#This Row],[Est-Admin-Payroll]]/(DaybyDay[[#This Row],[Service-Actuals]]+DaybyDay[[#This Row],[Retail-Actuals]]),"")</f>
        <v/>
      </c>
      <c r="AP132" s="41" t="e">
        <f>DaybyDay[[#This Row],[Estimated-Payroll-Rollup]]/DaybyDay[[#This Row],[Simple-Forecast]]</f>
        <v>#DIV/0!</v>
      </c>
      <c r="AQ1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2" s="77"/>
      <c r="AS132" s="40" t="str">
        <f>IF(DaybyDay[[#This Row],[Retail Hours]]&gt;0,DaybyDay[[#This Row],[Retail Hours]]*$AS$2,"")</f>
        <v/>
      </c>
      <c r="AT132" s="40">
        <f>SUMIFS(DaybyDay[Est-Retail-Payroll],DaybyDay[Date],"&gt;="&amp;$C$5,DaybyDay[RowYear],"&gt;="&amp;$C$4,DaybyDay[Date],"&lt;="&amp;DaybyDay[[#This Row],[Date]])</f>
        <v>0</v>
      </c>
      <c r="AU132" s="82" t="str">
        <f>IF(AND(DaybyDay[[#This Row],[_Space]],ISNUMBER(DaybyDay[[#This Row],[Retail Hours]])),DaybyDay[[#This Row],[Est-Retail-Payroll]]/(DaybyDay[[#This Row],[Retail-Actuals]]),"")</f>
        <v/>
      </c>
      <c r="AV132" s="82" t="e">
        <f>DaybyDay[[#This Row],[Est-Retail-PayrollRU]]/DaybyDay[[#This Row],[Simple-Forecast-Retail]]</f>
        <v>#DIV/0!</v>
      </c>
      <c r="AW132" s="8"/>
    </row>
    <row r="133" spans="3:49" hidden="1" x14ac:dyDescent="0.25">
      <c r="C133" s="26" t="str">
        <f>Tools!$C$1</f>
        <v>Example</v>
      </c>
      <c r="D133" s="27" t="s">
        <v>72</v>
      </c>
      <c r="E133" s="28">
        <v>2017</v>
      </c>
      <c r="F133" s="28">
        <f>MATCH(DaybyDay[[#This Row],[RowMonth]],Table3[SummaryMonth],0)</f>
        <v>5</v>
      </c>
      <c r="G133" s="29" t="e">
        <f>MATCH(DaybyDay[[#This Row],[LY-Date]],DaybyDay[Date],0)</f>
        <v>#N/A</v>
      </c>
      <c r="H133" s="30">
        <f>WEEKDAY(DaybyDay[[#This Row],[Date]])</f>
        <v>1</v>
      </c>
      <c r="I133" s="31">
        <v>42862</v>
      </c>
      <c r="J133" s="74">
        <v>29</v>
      </c>
      <c r="K133" s="32">
        <f>SUMIFS(BudgetSeasonality[365 Seasonality],BudgetSeasonality[MonthAdjustment],DaybyDay[[#This Row],[Date]])*SUMIFS(Budgets[Service-Budget],Budgets[BudgetMonth],DaybyDay[[#This Row],[RowMonth]],Budgets[BudgetYear],DaybyDay[[#This Row],[RowYear]])</f>
        <v>0</v>
      </c>
      <c r="L133" s="75">
        <v>5984.6</v>
      </c>
      <c r="M133" s="32">
        <f>INDEX(BudgetSeasonality[365 Seasonality],MATCH(DaybyDay[[#This Row],[Date]],BudgetSeasonality[MonthAdjustment],0))*SUMIFS(Budgets[Retail-Budget],Budgets[BudgetMonth],DaybyDay[[#This Row],[RowMonth]],Budgets[BudgetYear],DaybyDay[[#This Row],[RowYear]])</f>
        <v>0</v>
      </c>
      <c r="N133" s="75">
        <v>426.5</v>
      </c>
      <c r="O133" s="33">
        <f>SUMIFS(DaybyDay[Service-Budgets],DaybyDay[Date],"&gt;="&amp;$C$5,DaybyDay[RowYear],"&gt;="&amp;$C$4,DaybyDay[Date],"&lt;="&amp;DaybyDay[[#This Row],[Date]])</f>
        <v>0</v>
      </c>
      <c r="P133" s="33">
        <f>SUMIFS(DaybyDay[Retail-Budgets],DaybyDay[Date],"&gt;="&amp;$C$5,DaybyDay[RowYear],"&gt;="&amp;$C$4,DaybyDay[Date],"&lt;="&amp;DaybyDay[[#This Row],[Date]])</f>
        <v>0</v>
      </c>
      <c r="Q133" s="34">
        <f>SUMIFS(DaybyDay[Service-Actuals],DaybyDay[Date],"&gt;="&amp;$C$5,DaybyDay[RowYear],"&gt;="&amp;$C$4,DaybyDay[Date],"&lt;="&amp;DaybyDay[[#This Row],[Date]])</f>
        <v>0</v>
      </c>
      <c r="R133" s="34">
        <f>SUMIFS(DaybyDay[Retail-Actuals],DaybyDay[Date],"&gt;="&amp;$C$5,DaybyDay[RowYear],"&gt;="&amp;$C$4,DaybyDay[Date],"&lt;="&amp;DaybyDay[[#This Row],[Date]])</f>
        <v>0</v>
      </c>
      <c r="S133" s="35">
        <f>SUMIFS(DaybyDay[Service-LY],DaybyDay[Date],"&gt;="&amp;$C$5,DaybyDay[RowYear],"&gt;="&amp;$C$4,DaybyDay[Date],"&lt;="&amp;DaybyDay[[#This Row],[Date]])</f>
        <v>0</v>
      </c>
      <c r="T133" s="35">
        <f>SUMIFS(DaybyDay[Retail-LY],DaybyDay[Date],"&gt;="&amp;$C$5,DaybyDay[RowYear],"&gt;="&amp;$C$4,DaybyDay[Date],"&lt;="&amp;DaybyDay[[#This Row],[Date]])</f>
        <v>0</v>
      </c>
      <c r="U133" s="32">
        <f>DaybyDay[[#This Row],[Serv-Bud-RU]]+DaybyDay[[#This Row],[Ret-Bud-RU]]</f>
        <v>0</v>
      </c>
      <c r="V133" s="32">
        <f>DaybyDay[[#This Row],[Serv-Act-RU]]+DaybyDay[[#This Row],[Ret-Act-RU]]</f>
        <v>0</v>
      </c>
      <c r="W133" s="36">
        <f>IF(DaybyDay[[#This Row],[_Space]],IFERROR(
((DaybyDay[[#This Row],[Actual-Rollup]]-DaybyDay[[#This Row],[Budget-Rollup]])/DaybyDay[[#This Row],[Budget-Rollup]]),0),"")</f>
        <v>0</v>
      </c>
      <c r="X133" t="b">
        <f>NOT(AND(ISBLANK(DaybyDay[[#This Row],[Appts]]),ISBLANK(DaybyDay[[#This Row],[Service-Actuals]]),ISBLANK(DaybyDay[[#This Row],[Retail-Actuals]])))</f>
        <v>1</v>
      </c>
      <c r="Y133" s="36">
        <f>IF(DaybyDay[[#This Row],[_Space]],IFERROR(
((DaybyDay[[#This Row],[Actual-Rollup]]-DaybyDay[[#This Row],[LY-Rollup]])/DaybyDay[[#This Row],[LY-Rollup]]),0),"")</f>
        <v>0</v>
      </c>
      <c r="Z133"/>
      <c r="AA133" s="37" t="e">
        <f>IF(DaybyDay[[#This Row],[_Space]],DaybyDay[[#This Row],[Ret-Act-RU]]/DaybyDay[[#This Row],[Serv-Act-RU]],"")</f>
        <v>#DIV/0!</v>
      </c>
      <c r="AB133" s="50" t="e">
        <f>IF(DaybyDay[[#This Row],[_Space]],DaybyDay[[#This Row],[RETPEN-Act]]/DaybyDay[[#This Row],[RETPEN-Bud]],"")</f>
        <v>#DIV/0!</v>
      </c>
      <c r="AC133" s="37" t="e">
        <f>IF(DaybyDay[[#This Row],[_Space]],DaybyDay[[#This Row],[Ret-Bud-RU]]/DaybyDay[[#This Row],[Serv-Bud-RU]],"")</f>
        <v>#DIV/0!</v>
      </c>
      <c r="AD133" s="37" t="e">
        <f>IF(DaybyDay[[#This Row],[_Space]],DaybyDay[[#This Row],[Ret-LY-RU]]/DaybyDay[[#This Row],[Serv-LY-RU]],"")</f>
        <v>#DIV/0!</v>
      </c>
      <c r="AE133" s="30">
        <f>WEEKDAY(DaybyDay[[#This Row],[LY-Date]])</f>
        <v>1</v>
      </c>
      <c r="AF133" s="38">
        <f>$E$2+_xlfn.DAYS(DaybyDay[[#This Row],[Date]],minDate)</f>
        <v>42498</v>
      </c>
      <c r="AG133" s="39" t="str" cm="1">
        <f t="array" ref="AG133">IFERROR(INDEX(DaybyDay[],DaybyDay[[#This Row],[FORM_MATCH_HELPER]],8),"")</f>
        <v/>
      </c>
      <c r="AH133" s="39" t="str" cm="1">
        <f t="array" ref="AH133">IFERROR(INDEX(DaybyDay[],DaybyDay[[#This Row],[FORM_MATCH_HELPER]],10),"")</f>
        <v/>
      </c>
      <c r="AI133" s="39" t="str" cm="1">
        <f t="array" ref="AI133">IFERROR(INDEX(DaybyDay[],DaybyDay[[#This Row],[FORM_MATCH_HELPER]],12),"")</f>
        <v/>
      </c>
      <c r="AJ133" s="32">
        <f>IFERROR(DaybyDay[[#This Row],[Serv-LY-RU]]+DaybyDay[[#This Row],[Ret-LY-RU]],"")</f>
        <v>0</v>
      </c>
      <c r="AK1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3" s="77"/>
      <c r="AM133" s="40" t="str">
        <f>IF(DaybyDay[[#This Row],[Admin Hours]]&gt;0,DaybyDay[[#This Row],[Admin Hours]]*$AM$2+$AM$3,"")</f>
        <v/>
      </c>
      <c r="AN133" s="40">
        <f>SUMIFS(DaybyDay[Est-Admin-Payroll],DaybyDay[Date],"&gt;="&amp;$C$5,DaybyDay[RowYear],"&gt;="&amp;$C$4,DaybyDay[Date],"&lt;="&amp;DaybyDay[[#This Row],[Date]])</f>
        <v>0</v>
      </c>
      <c r="AO133" s="41" t="str">
        <f>IF(AND(DaybyDay[[#This Row],[_Space]],ISNUMBER(DaybyDay[[#This Row],[Admin Hours]])),DaybyDay[[#This Row],[Est-Admin-Payroll]]/(DaybyDay[[#This Row],[Service-Actuals]]+DaybyDay[[#This Row],[Retail-Actuals]]),"")</f>
        <v/>
      </c>
      <c r="AP133" s="41" t="e">
        <f>DaybyDay[[#This Row],[Estimated-Payroll-Rollup]]/DaybyDay[[#This Row],[Simple-Forecast]]</f>
        <v>#DIV/0!</v>
      </c>
      <c r="AQ1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3" s="77"/>
      <c r="AS133" s="40" t="str">
        <f>IF(DaybyDay[[#This Row],[Retail Hours]]&gt;0,DaybyDay[[#This Row],[Retail Hours]]*$AS$2,"")</f>
        <v/>
      </c>
      <c r="AT133" s="40">
        <f>SUMIFS(DaybyDay[Est-Retail-Payroll],DaybyDay[Date],"&gt;="&amp;$C$5,DaybyDay[RowYear],"&gt;="&amp;$C$4,DaybyDay[Date],"&lt;="&amp;DaybyDay[[#This Row],[Date]])</f>
        <v>0</v>
      </c>
      <c r="AU133" s="82" t="str">
        <f>IF(AND(DaybyDay[[#This Row],[_Space]],ISNUMBER(DaybyDay[[#This Row],[Retail Hours]])),DaybyDay[[#This Row],[Est-Retail-Payroll]]/(DaybyDay[[#This Row],[Retail-Actuals]]),"")</f>
        <v/>
      </c>
      <c r="AV133" s="82" t="e">
        <f>DaybyDay[[#This Row],[Est-Retail-PayrollRU]]/DaybyDay[[#This Row],[Simple-Forecast-Retail]]</f>
        <v>#DIV/0!</v>
      </c>
      <c r="AW133" s="8"/>
    </row>
    <row r="134" spans="3:49" hidden="1" x14ac:dyDescent="0.25">
      <c r="C134" s="26" t="str">
        <f>Tools!$C$1</f>
        <v>Example</v>
      </c>
      <c r="D134" s="27" t="s">
        <v>72</v>
      </c>
      <c r="E134" s="28">
        <v>2017</v>
      </c>
      <c r="F134" s="28">
        <f>MATCH(DaybyDay[[#This Row],[RowMonth]],Table3[SummaryMonth],0)</f>
        <v>5</v>
      </c>
      <c r="G134" s="29" t="e">
        <f>MATCH(DaybyDay[[#This Row],[LY-Date]],DaybyDay[Date],0)</f>
        <v>#N/A</v>
      </c>
      <c r="H134" s="30">
        <f>WEEKDAY(DaybyDay[[#This Row],[Date]])</f>
        <v>2</v>
      </c>
      <c r="I134" s="31">
        <v>42863</v>
      </c>
      <c r="J134" s="74">
        <v>11</v>
      </c>
      <c r="K134" s="32">
        <f>SUMIFS(BudgetSeasonality[365 Seasonality],BudgetSeasonality[MonthAdjustment],DaybyDay[[#This Row],[Date]])*SUMIFS(Budgets[Service-Budget],Budgets[BudgetMonth],DaybyDay[[#This Row],[RowMonth]],Budgets[BudgetYear],DaybyDay[[#This Row],[RowYear]])</f>
        <v>0</v>
      </c>
      <c r="L134" s="75">
        <v>3014.2</v>
      </c>
      <c r="M134" s="32">
        <f>INDEX(BudgetSeasonality[365 Seasonality],MATCH(DaybyDay[[#This Row],[Date]],BudgetSeasonality[MonthAdjustment],0))*SUMIFS(Budgets[Retail-Budget],Budgets[BudgetMonth],DaybyDay[[#This Row],[RowMonth]],Budgets[BudgetYear],DaybyDay[[#This Row],[RowYear]])</f>
        <v>0</v>
      </c>
      <c r="N134" s="75">
        <v>848</v>
      </c>
      <c r="O134" s="33">
        <f>SUMIFS(DaybyDay[Service-Budgets],DaybyDay[Date],"&gt;="&amp;$C$5,DaybyDay[RowYear],"&gt;="&amp;$C$4,DaybyDay[Date],"&lt;="&amp;DaybyDay[[#This Row],[Date]])</f>
        <v>0</v>
      </c>
      <c r="P134" s="33">
        <f>SUMIFS(DaybyDay[Retail-Budgets],DaybyDay[Date],"&gt;="&amp;$C$5,DaybyDay[RowYear],"&gt;="&amp;$C$4,DaybyDay[Date],"&lt;="&amp;DaybyDay[[#This Row],[Date]])</f>
        <v>0</v>
      </c>
      <c r="Q134" s="34">
        <f>SUMIFS(DaybyDay[Service-Actuals],DaybyDay[Date],"&gt;="&amp;$C$5,DaybyDay[RowYear],"&gt;="&amp;$C$4,DaybyDay[Date],"&lt;="&amp;DaybyDay[[#This Row],[Date]])</f>
        <v>0</v>
      </c>
      <c r="R134" s="34">
        <f>SUMIFS(DaybyDay[Retail-Actuals],DaybyDay[Date],"&gt;="&amp;$C$5,DaybyDay[RowYear],"&gt;="&amp;$C$4,DaybyDay[Date],"&lt;="&amp;DaybyDay[[#This Row],[Date]])</f>
        <v>0</v>
      </c>
      <c r="S134" s="35">
        <f>SUMIFS(DaybyDay[Service-LY],DaybyDay[Date],"&gt;="&amp;$C$5,DaybyDay[RowYear],"&gt;="&amp;$C$4,DaybyDay[Date],"&lt;="&amp;DaybyDay[[#This Row],[Date]])</f>
        <v>0</v>
      </c>
      <c r="T134" s="35">
        <f>SUMIFS(DaybyDay[Retail-LY],DaybyDay[Date],"&gt;="&amp;$C$5,DaybyDay[RowYear],"&gt;="&amp;$C$4,DaybyDay[Date],"&lt;="&amp;DaybyDay[[#This Row],[Date]])</f>
        <v>0</v>
      </c>
      <c r="U134" s="32">
        <f>DaybyDay[[#This Row],[Serv-Bud-RU]]+DaybyDay[[#This Row],[Ret-Bud-RU]]</f>
        <v>0</v>
      </c>
      <c r="V134" s="32">
        <f>DaybyDay[[#This Row],[Serv-Act-RU]]+DaybyDay[[#This Row],[Ret-Act-RU]]</f>
        <v>0</v>
      </c>
      <c r="W134" s="36">
        <f>IF(DaybyDay[[#This Row],[_Space]],IFERROR(
((DaybyDay[[#This Row],[Actual-Rollup]]-DaybyDay[[#This Row],[Budget-Rollup]])/DaybyDay[[#This Row],[Budget-Rollup]]),0),"")</f>
        <v>0</v>
      </c>
      <c r="X134" t="b">
        <f>NOT(AND(ISBLANK(DaybyDay[[#This Row],[Appts]]),ISBLANK(DaybyDay[[#This Row],[Service-Actuals]]),ISBLANK(DaybyDay[[#This Row],[Retail-Actuals]])))</f>
        <v>1</v>
      </c>
      <c r="Y134" s="36">
        <f>IF(DaybyDay[[#This Row],[_Space]],IFERROR(
((DaybyDay[[#This Row],[Actual-Rollup]]-DaybyDay[[#This Row],[LY-Rollup]])/DaybyDay[[#This Row],[LY-Rollup]]),0),"")</f>
        <v>0</v>
      </c>
      <c r="Z134"/>
      <c r="AA134" s="37" t="e">
        <f>IF(DaybyDay[[#This Row],[_Space]],DaybyDay[[#This Row],[Ret-Act-RU]]/DaybyDay[[#This Row],[Serv-Act-RU]],"")</f>
        <v>#DIV/0!</v>
      </c>
      <c r="AB134" s="50" t="e">
        <f>IF(DaybyDay[[#This Row],[_Space]],DaybyDay[[#This Row],[RETPEN-Act]]/DaybyDay[[#This Row],[RETPEN-Bud]],"")</f>
        <v>#DIV/0!</v>
      </c>
      <c r="AC134" s="37" t="e">
        <f>IF(DaybyDay[[#This Row],[_Space]],DaybyDay[[#This Row],[Ret-Bud-RU]]/DaybyDay[[#This Row],[Serv-Bud-RU]],"")</f>
        <v>#DIV/0!</v>
      </c>
      <c r="AD134" s="37" t="e">
        <f>IF(DaybyDay[[#This Row],[_Space]],DaybyDay[[#This Row],[Ret-LY-RU]]/DaybyDay[[#This Row],[Serv-LY-RU]],"")</f>
        <v>#DIV/0!</v>
      </c>
      <c r="AE134" s="30">
        <f>WEEKDAY(DaybyDay[[#This Row],[LY-Date]])</f>
        <v>2</v>
      </c>
      <c r="AF134" s="38">
        <f>$E$2+_xlfn.DAYS(DaybyDay[[#This Row],[Date]],minDate)</f>
        <v>42499</v>
      </c>
      <c r="AG134" s="39" t="str" cm="1">
        <f t="array" ref="AG134">IFERROR(INDEX(DaybyDay[],DaybyDay[[#This Row],[FORM_MATCH_HELPER]],8),"")</f>
        <v/>
      </c>
      <c r="AH134" s="39" t="str" cm="1">
        <f t="array" ref="AH134">IFERROR(INDEX(DaybyDay[],DaybyDay[[#This Row],[FORM_MATCH_HELPER]],10),"")</f>
        <v/>
      </c>
      <c r="AI134" s="39" t="str" cm="1">
        <f t="array" ref="AI134">IFERROR(INDEX(DaybyDay[],DaybyDay[[#This Row],[FORM_MATCH_HELPER]],12),"")</f>
        <v/>
      </c>
      <c r="AJ134" s="32">
        <f>IFERROR(DaybyDay[[#This Row],[Serv-LY-RU]]+DaybyDay[[#This Row],[Ret-LY-RU]],"")</f>
        <v>0</v>
      </c>
      <c r="AK1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4" s="77"/>
      <c r="AM134" s="40" t="str">
        <f>IF(DaybyDay[[#This Row],[Admin Hours]]&gt;0,DaybyDay[[#This Row],[Admin Hours]]*$AM$2+$AM$3,"")</f>
        <v/>
      </c>
      <c r="AN134" s="40">
        <f>SUMIFS(DaybyDay[Est-Admin-Payroll],DaybyDay[Date],"&gt;="&amp;$C$5,DaybyDay[RowYear],"&gt;="&amp;$C$4,DaybyDay[Date],"&lt;="&amp;DaybyDay[[#This Row],[Date]])</f>
        <v>0</v>
      </c>
      <c r="AO134" s="41" t="str">
        <f>IF(AND(DaybyDay[[#This Row],[_Space]],ISNUMBER(DaybyDay[[#This Row],[Admin Hours]])),DaybyDay[[#This Row],[Est-Admin-Payroll]]/(DaybyDay[[#This Row],[Service-Actuals]]+DaybyDay[[#This Row],[Retail-Actuals]]),"")</f>
        <v/>
      </c>
      <c r="AP134" s="41" t="e">
        <f>DaybyDay[[#This Row],[Estimated-Payroll-Rollup]]/DaybyDay[[#This Row],[Simple-Forecast]]</f>
        <v>#DIV/0!</v>
      </c>
      <c r="AQ1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4" s="77"/>
      <c r="AS134" s="40" t="str">
        <f>IF(DaybyDay[[#This Row],[Retail Hours]]&gt;0,DaybyDay[[#This Row],[Retail Hours]]*$AS$2,"")</f>
        <v/>
      </c>
      <c r="AT134" s="40">
        <f>SUMIFS(DaybyDay[Est-Retail-Payroll],DaybyDay[Date],"&gt;="&amp;$C$5,DaybyDay[RowYear],"&gt;="&amp;$C$4,DaybyDay[Date],"&lt;="&amp;DaybyDay[[#This Row],[Date]])</f>
        <v>0</v>
      </c>
      <c r="AU134" s="82" t="str">
        <f>IF(AND(DaybyDay[[#This Row],[_Space]],ISNUMBER(DaybyDay[[#This Row],[Retail Hours]])),DaybyDay[[#This Row],[Est-Retail-Payroll]]/(DaybyDay[[#This Row],[Retail-Actuals]]),"")</f>
        <v/>
      </c>
      <c r="AV134" s="82" t="e">
        <f>DaybyDay[[#This Row],[Est-Retail-PayrollRU]]/DaybyDay[[#This Row],[Simple-Forecast-Retail]]</f>
        <v>#DIV/0!</v>
      </c>
      <c r="AW134" s="8"/>
    </row>
    <row r="135" spans="3:49" hidden="1" x14ac:dyDescent="0.25">
      <c r="C135" s="26" t="str">
        <f>Tools!$C$1</f>
        <v>Example</v>
      </c>
      <c r="D135" s="27" t="s">
        <v>72</v>
      </c>
      <c r="E135" s="28">
        <v>2017</v>
      </c>
      <c r="F135" s="28">
        <f>MATCH(DaybyDay[[#This Row],[RowMonth]],Table3[SummaryMonth],0)</f>
        <v>5</v>
      </c>
      <c r="G135" s="29" t="e">
        <f>MATCH(DaybyDay[[#This Row],[LY-Date]],DaybyDay[Date],0)</f>
        <v>#N/A</v>
      </c>
      <c r="H135" s="30">
        <f>WEEKDAY(DaybyDay[[#This Row],[Date]])</f>
        <v>3</v>
      </c>
      <c r="I135" s="31">
        <v>42864</v>
      </c>
      <c r="J135" s="74">
        <v>21</v>
      </c>
      <c r="K135" s="32">
        <f>SUMIFS(BudgetSeasonality[365 Seasonality],BudgetSeasonality[MonthAdjustment],DaybyDay[[#This Row],[Date]])*SUMIFS(Budgets[Service-Budget],Budgets[BudgetMonth],DaybyDay[[#This Row],[RowMonth]],Budgets[BudgetYear],DaybyDay[[#This Row],[RowYear]])</f>
        <v>0</v>
      </c>
      <c r="L135" s="75">
        <v>4347.2</v>
      </c>
      <c r="M135" s="32">
        <f>INDEX(BudgetSeasonality[365 Seasonality],MATCH(DaybyDay[[#This Row],[Date]],BudgetSeasonality[MonthAdjustment],0))*SUMIFS(Budgets[Retail-Budget],Budgets[BudgetMonth],DaybyDay[[#This Row],[RowMonth]],Budgets[BudgetYear],DaybyDay[[#This Row],[RowYear]])</f>
        <v>0</v>
      </c>
      <c r="N135" s="75">
        <v>792</v>
      </c>
      <c r="O135" s="33">
        <f>SUMIFS(DaybyDay[Service-Budgets],DaybyDay[Date],"&gt;="&amp;$C$5,DaybyDay[RowYear],"&gt;="&amp;$C$4,DaybyDay[Date],"&lt;="&amp;DaybyDay[[#This Row],[Date]])</f>
        <v>0</v>
      </c>
      <c r="P135" s="33">
        <f>SUMIFS(DaybyDay[Retail-Budgets],DaybyDay[Date],"&gt;="&amp;$C$5,DaybyDay[RowYear],"&gt;="&amp;$C$4,DaybyDay[Date],"&lt;="&amp;DaybyDay[[#This Row],[Date]])</f>
        <v>0</v>
      </c>
      <c r="Q135" s="34">
        <f>SUMIFS(DaybyDay[Service-Actuals],DaybyDay[Date],"&gt;="&amp;$C$5,DaybyDay[RowYear],"&gt;="&amp;$C$4,DaybyDay[Date],"&lt;="&amp;DaybyDay[[#This Row],[Date]])</f>
        <v>0</v>
      </c>
      <c r="R135" s="34">
        <f>SUMIFS(DaybyDay[Retail-Actuals],DaybyDay[Date],"&gt;="&amp;$C$5,DaybyDay[RowYear],"&gt;="&amp;$C$4,DaybyDay[Date],"&lt;="&amp;DaybyDay[[#This Row],[Date]])</f>
        <v>0</v>
      </c>
      <c r="S135" s="35">
        <f>SUMIFS(DaybyDay[Service-LY],DaybyDay[Date],"&gt;="&amp;$C$5,DaybyDay[RowYear],"&gt;="&amp;$C$4,DaybyDay[Date],"&lt;="&amp;DaybyDay[[#This Row],[Date]])</f>
        <v>0</v>
      </c>
      <c r="T135" s="35">
        <f>SUMIFS(DaybyDay[Retail-LY],DaybyDay[Date],"&gt;="&amp;$C$5,DaybyDay[RowYear],"&gt;="&amp;$C$4,DaybyDay[Date],"&lt;="&amp;DaybyDay[[#This Row],[Date]])</f>
        <v>0</v>
      </c>
      <c r="U135" s="32">
        <f>DaybyDay[[#This Row],[Serv-Bud-RU]]+DaybyDay[[#This Row],[Ret-Bud-RU]]</f>
        <v>0</v>
      </c>
      <c r="V135" s="32">
        <f>DaybyDay[[#This Row],[Serv-Act-RU]]+DaybyDay[[#This Row],[Ret-Act-RU]]</f>
        <v>0</v>
      </c>
      <c r="W135" s="36">
        <f>IF(DaybyDay[[#This Row],[_Space]],IFERROR(
((DaybyDay[[#This Row],[Actual-Rollup]]-DaybyDay[[#This Row],[Budget-Rollup]])/DaybyDay[[#This Row],[Budget-Rollup]]),0),"")</f>
        <v>0</v>
      </c>
      <c r="X135" t="b">
        <f>NOT(AND(ISBLANK(DaybyDay[[#This Row],[Appts]]),ISBLANK(DaybyDay[[#This Row],[Service-Actuals]]),ISBLANK(DaybyDay[[#This Row],[Retail-Actuals]])))</f>
        <v>1</v>
      </c>
      <c r="Y135" s="36">
        <f>IF(DaybyDay[[#This Row],[_Space]],IFERROR(
((DaybyDay[[#This Row],[Actual-Rollup]]-DaybyDay[[#This Row],[LY-Rollup]])/DaybyDay[[#This Row],[LY-Rollup]]),0),"")</f>
        <v>0</v>
      </c>
      <c r="Z135"/>
      <c r="AA135" s="37" t="e">
        <f>IF(DaybyDay[[#This Row],[_Space]],DaybyDay[[#This Row],[Ret-Act-RU]]/DaybyDay[[#This Row],[Serv-Act-RU]],"")</f>
        <v>#DIV/0!</v>
      </c>
      <c r="AB135" s="50" t="e">
        <f>IF(DaybyDay[[#This Row],[_Space]],DaybyDay[[#This Row],[RETPEN-Act]]/DaybyDay[[#This Row],[RETPEN-Bud]],"")</f>
        <v>#DIV/0!</v>
      </c>
      <c r="AC135" s="37" t="e">
        <f>IF(DaybyDay[[#This Row],[_Space]],DaybyDay[[#This Row],[Ret-Bud-RU]]/DaybyDay[[#This Row],[Serv-Bud-RU]],"")</f>
        <v>#DIV/0!</v>
      </c>
      <c r="AD135" s="37" t="e">
        <f>IF(DaybyDay[[#This Row],[_Space]],DaybyDay[[#This Row],[Ret-LY-RU]]/DaybyDay[[#This Row],[Serv-LY-RU]],"")</f>
        <v>#DIV/0!</v>
      </c>
      <c r="AE135" s="30">
        <f>WEEKDAY(DaybyDay[[#This Row],[LY-Date]])</f>
        <v>3</v>
      </c>
      <c r="AF135" s="38">
        <f>$E$2+_xlfn.DAYS(DaybyDay[[#This Row],[Date]],minDate)</f>
        <v>42500</v>
      </c>
      <c r="AG135" s="39" t="str" cm="1">
        <f t="array" ref="AG135">IFERROR(INDEX(DaybyDay[],DaybyDay[[#This Row],[FORM_MATCH_HELPER]],8),"")</f>
        <v/>
      </c>
      <c r="AH135" s="39" t="str" cm="1">
        <f t="array" ref="AH135">IFERROR(INDEX(DaybyDay[],DaybyDay[[#This Row],[FORM_MATCH_HELPER]],10),"")</f>
        <v/>
      </c>
      <c r="AI135" s="39" t="str" cm="1">
        <f t="array" ref="AI135">IFERROR(INDEX(DaybyDay[],DaybyDay[[#This Row],[FORM_MATCH_HELPER]],12),"")</f>
        <v/>
      </c>
      <c r="AJ135" s="32">
        <f>IFERROR(DaybyDay[[#This Row],[Serv-LY-RU]]+DaybyDay[[#This Row],[Ret-LY-RU]],"")</f>
        <v>0</v>
      </c>
      <c r="AK1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5" s="77"/>
      <c r="AM135" s="40" t="str">
        <f>IF(DaybyDay[[#This Row],[Admin Hours]]&gt;0,DaybyDay[[#This Row],[Admin Hours]]*$AM$2+$AM$3,"")</f>
        <v/>
      </c>
      <c r="AN135" s="40">
        <f>SUMIFS(DaybyDay[Est-Admin-Payroll],DaybyDay[Date],"&gt;="&amp;$C$5,DaybyDay[RowYear],"&gt;="&amp;$C$4,DaybyDay[Date],"&lt;="&amp;DaybyDay[[#This Row],[Date]])</f>
        <v>0</v>
      </c>
      <c r="AO135" s="41" t="str">
        <f>IF(AND(DaybyDay[[#This Row],[_Space]],ISNUMBER(DaybyDay[[#This Row],[Admin Hours]])),DaybyDay[[#This Row],[Est-Admin-Payroll]]/(DaybyDay[[#This Row],[Service-Actuals]]+DaybyDay[[#This Row],[Retail-Actuals]]),"")</f>
        <v/>
      </c>
      <c r="AP135" s="41" t="e">
        <f>DaybyDay[[#This Row],[Estimated-Payroll-Rollup]]/DaybyDay[[#This Row],[Simple-Forecast]]</f>
        <v>#DIV/0!</v>
      </c>
      <c r="AQ1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5" s="77"/>
      <c r="AS135" s="40" t="str">
        <f>IF(DaybyDay[[#This Row],[Retail Hours]]&gt;0,DaybyDay[[#This Row],[Retail Hours]]*$AS$2,"")</f>
        <v/>
      </c>
      <c r="AT135" s="40">
        <f>SUMIFS(DaybyDay[Est-Retail-Payroll],DaybyDay[Date],"&gt;="&amp;$C$5,DaybyDay[RowYear],"&gt;="&amp;$C$4,DaybyDay[Date],"&lt;="&amp;DaybyDay[[#This Row],[Date]])</f>
        <v>0</v>
      </c>
      <c r="AU135" s="82" t="str">
        <f>IF(AND(DaybyDay[[#This Row],[_Space]],ISNUMBER(DaybyDay[[#This Row],[Retail Hours]])),DaybyDay[[#This Row],[Est-Retail-Payroll]]/(DaybyDay[[#This Row],[Retail-Actuals]]),"")</f>
        <v/>
      </c>
      <c r="AV135" s="82" t="e">
        <f>DaybyDay[[#This Row],[Est-Retail-PayrollRU]]/DaybyDay[[#This Row],[Simple-Forecast-Retail]]</f>
        <v>#DIV/0!</v>
      </c>
      <c r="AW135" s="8"/>
    </row>
    <row r="136" spans="3:49" hidden="1" x14ac:dyDescent="0.25">
      <c r="C136" s="26" t="str">
        <f>Tools!$C$1</f>
        <v>Example</v>
      </c>
      <c r="D136" s="27" t="s">
        <v>72</v>
      </c>
      <c r="E136" s="28">
        <v>2017</v>
      </c>
      <c r="F136" s="28">
        <f>MATCH(DaybyDay[[#This Row],[RowMonth]],Table3[SummaryMonth],0)</f>
        <v>5</v>
      </c>
      <c r="G136" s="29" t="e">
        <f>MATCH(DaybyDay[[#This Row],[LY-Date]],DaybyDay[Date],0)</f>
        <v>#N/A</v>
      </c>
      <c r="H136" s="30">
        <f>WEEKDAY(DaybyDay[[#This Row],[Date]])</f>
        <v>4</v>
      </c>
      <c r="I136" s="31">
        <v>42865</v>
      </c>
      <c r="J136" s="74">
        <v>21</v>
      </c>
      <c r="K136" s="32">
        <f>SUMIFS(BudgetSeasonality[365 Seasonality],BudgetSeasonality[MonthAdjustment],DaybyDay[[#This Row],[Date]])*SUMIFS(Budgets[Service-Budget],Budgets[BudgetMonth],DaybyDay[[#This Row],[RowMonth]],Budgets[BudgetYear],DaybyDay[[#This Row],[RowYear]])</f>
        <v>0</v>
      </c>
      <c r="L136" s="75">
        <v>3357</v>
      </c>
      <c r="M136" s="32">
        <f>INDEX(BudgetSeasonality[365 Seasonality],MATCH(DaybyDay[[#This Row],[Date]],BudgetSeasonality[MonthAdjustment],0))*SUMIFS(Budgets[Retail-Budget],Budgets[BudgetMonth],DaybyDay[[#This Row],[RowMonth]],Budgets[BudgetYear],DaybyDay[[#This Row],[RowYear]])</f>
        <v>0</v>
      </c>
      <c r="N136" s="75">
        <v>2819.67</v>
      </c>
      <c r="O136" s="33">
        <f>SUMIFS(DaybyDay[Service-Budgets],DaybyDay[Date],"&gt;="&amp;$C$5,DaybyDay[RowYear],"&gt;="&amp;$C$4,DaybyDay[Date],"&lt;="&amp;DaybyDay[[#This Row],[Date]])</f>
        <v>0</v>
      </c>
      <c r="P136" s="33">
        <f>SUMIFS(DaybyDay[Retail-Budgets],DaybyDay[Date],"&gt;="&amp;$C$5,DaybyDay[RowYear],"&gt;="&amp;$C$4,DaybyDay[Date],"&lt;="&amp;DaybyDay[[#This Row],[Date]])</f>
        <v>0</v>
      </c>
      <c r="Q136" s="34">
        <f>SUMIFS(DaybyDay[Service-Actuals],DaybyDay[Date],"&gt;="&amp;$C$5,DaybyDay[RowYear],"&gt;="&amp;$C$4,DaybyDay[Date],"&lt;="&amp;DaybyDay[[#This Row],[Date]])</f>
        <v>0</v>
      </c>
      <c r="R136" s="34">
        <f>SUMIFS(DaybyDay[Retail-Actuals],DaybyDay[Date],"&gt;="&amp;$C$5,DaybyDay[RowYear],"&gt;="&amp;$C$4,DaybyDay[Date],"&lt;="&amp;DaybyDay[[#This Row],[Date]])</f>
        <v>0</v>
      </c>
      <c r="S136" s="35">
        <f>SUMIFS(DaybyDay[Service-LY],DaybyDay[Date],"&gt;="&amp;$C$5,DaybyDay[RowYear],"&gt;="&amp;$C$4,DaybyDay[Date],"&lt;="&amp;DaybyDay[[#This Row],[Date]])</f>
        <v>0</v>
      </c>
      <c r="T136" s="35">
        <f>SUMIFS(DaybyDay[Retail-LY],DaybyDay[Date],"&gt;="&amp;$C$5,DaybyDay[RowYear],"&gt;="&amp;$C$4,DaybyDay[Date],"&lt;="&amp;DaybyDay[[#This Row],[Date]])</f>
        <v>0</v>
      </c>
      <c r="U136" s="32">
        <f>DaybyDay[[#This Row],[Serv-Bud-RU]]+DaybyDay[[#This Row],[Ret-Bud-RU]]</f>
        <v>0</v>
      </c>
      <c r="V136" s="32">
        <f>DaybyDay[[#This Row],[Serv-Act-RU]]+DaybyDay[[#This Row],[Ret-Act-RU]]</f>
        <v>0</v>
      </c>
      <c r="W136" s="36">
        <f>IF(DaybyDay[[#This Row],[_Space]],IFERROR(
((DaybyDay[[#This Row],[Actual-Rollup]]-DaybyDay[[#This Row],[Budget-Rollup]])/DaybyDay[[#This Row],[Budget-Rollup]]),0),"")</f>
        <v>0</v>
      </c>
      <c r="X136" t="b">
        <f>NOT(AND(ISBLANK(DaybyDay[[#This Row],[Appts]]),ISBLANK(DaybyDay[[#This Row],[Service-Actuals]]),ISBLANK(DaybyDay[[#This Row],[Retail-Actuals]])))</f>
        <v>1</v>
      </c>
      <c r="Y136" s="36">
        <f>IF(DaybyDay[[#This Row],[_Space]],IFERROR(
((DaybyDay[[#This Row],[Actual-Rollup]]-DaybyDay[[#This Row],[LY-Rollup]])/DaybyDay[[#This Row],[LY-Rollup]]),0),"")</f>
        <v>0</v>
      </c>
      <c r="Z136"/>
      <c r="AA136" s="37" t="e">
        <f>IF(DaybyDay[[#This Row],[_Space]],DaybyDay[[#This Row],[Ret-Act-RU]]/DaybyDay[[#This Row],[Serv-Act-RU]],"")</f>
        <v>#DIV/0!</v>
      </c>
      <c r="AB136" s="50" t="e">
        <f>IF(DaybyDay[[#This Row],[_Space]],DaybyDay[[#This Row],[RETPEN-Act]]/DaybyDay[[#This Row],[RETPEN-Bud]],"")</f>
        <v>#DIV/0!</v>
      </c>
      <c r="AC136" s="37" t="e">
        <f>IF(DaybyDay[[#This Row],[_Space]],DaybyDay[[#This Row],[Ret-Bud-RU]]/DaybyDay[[#This Row],[Serv-Bud-RU]],"")</f>
        <v>#DIV/0!</v>
      </c>
      <c r="AD136" s="37" t="e">
        <f>IF(DaybyDay[[#This Row],[_Space]],DaybyDay[[#This Row],[Ret-LY-RU]]/DaybyDay[[#This Row],[Serv-LY-RU]],"")</f>
        <v>#DIV/0!</v>
      </c>
      <c r="AE136" s="30">
        <f>WEEKDAY(DaybyDay[[#This Row],[LY-Date]])</f>
        <v>4</v>
      </c>
      <c r="AF136" s="38">
        <f>$E$2+_xlfn.DAYS(DaybyDay[[#This Row],[Date]],minDate)</f>
        <v>42501</v>
      </c>
      <c r="AG136" s="39" t="str" cm="1">
        <f t="array" ref="AG136">IFERROR(INDEX(DaybyDay[],DaybyDay[[#This Row],[FORM_MATCH_HELPER]],8),"")</f>
        <v/>
      </c>
      <c r="AH136" s="39" t="str" cm="1">
        <f t="array" ref="AH136">IFERROR(INDEX(DaybyDay[],DaybyDay[[#This Row],[FORM_MATCH_HELPER]],10),"")</f>
        <v/>
      </c>
      <c r="AI136" s="39" t="str" cm="1">
        <f t="array" ref="AI136">IFERROR(INDEX(DaybyDay[],DaybyDay[[#This Row],[FORM_MATCH_HELPER]],12),"")</f>
        <v/>
      </c>
      <c r="AJ136" s="32">
        <f>IFERROR(DaybyDay[[#This Row],[Serv-LY-RU]]+DaybyDay[[#This Row],[Ret-LY-RU]],"")</f>
        <v>0</v>
      </c>
      <c r="AK1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6" s="77"/>
      <c r="AM136" s="40" t="str">
        <f>IF(DaybyDay[[#This Row],[Admin Hours]]&gt;0,DaybyDay[[#This Row],[Admin Hours]]*$AM$2+$AM$3,"")</f>
        <v/>
      </c>
      <c r="AN136" s="40">
        <f>SUMIFS(DaybyDay[Est-Admin-Payroll],DaybyDay[Date],"&gt;="&amp;$C$5,DaybyDay[RowYear],"&gt;="&amp;$C$4,DaybyDay[Date],"&lt;="&amp;DaybyDay[[#This Row],[Date]])</f>
        <v>0</v>
      </c>
      <c r="AO136" s="41" t="str">
        <f>IF(AND(DaybyDay[[#This Row],[_Space]],ISNUMBER(DaybyDay[[#This Row],[Admin Hours]])),DaybyDay[[#This Row],[Est-Admin-Payroll]]/(DaybyDay[[#This Row],[Service-Actuals]]+DaybyDay[[#This Row],[Retail-Actuals]]),"")</f>
        <v/>
      </c>
      <c r="AP136" s="41" t="e">
        <f>DaybyDay[[#This Row],[Estimated-Payroll-Rollup]]/DaybyDay[[#This Row],[Simple-Forecast]]</f>
        <v>#DIV/0!</v>
      </c>
      <c r="AQ1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6" s="77"/>
      <c r="AS136" s="40" t="str">
        <f>IF(DaybyDay[[#This Row],[Retail Hours]]&gt;0,DaybyDay[[#This Row],[Retail Hours]]*$AS$2,"")</f>
        <v/>
      </c>
      <c r="AT136" s="40">
        <f>SUMIFS(DaybyDay[Est-Retail-Payroll],DaybyDay[Date],"&gt;="&amp;$C$5,DaybyDay[RowYear],"&gt;="&amp;$C$4,DaybyDay[Date],"&lt;="&amp;DaybyDay[[#This Row],[Date]])</f>
        <v>0</v>
      </c>
      <c r="AU136" s="82" t="str">
        <f>IF(AND(DaybyDay[[#This Row],[_Space]],ISNUMBER(DaybyDay[[#This Row],[Retail Hours]])),DaybyDay[[#This Row],[Est-Retail-Payroll]]/(DaybyDay[[#This Row],[Retail-Actuals]]),"")</f>
        <v/>
      </c>
      <c r="AV136" s="82" t="e">
        <f>DaybyDay[[#This Row],[Est-Retail-PayrollRU]]/DaybyDay[[#This Row],[Simple-Forecast-Retail]]</f>
        <v>#DIV/0!</v>
      </c>
      <c r="AW136" s="8"/>
    </row>
    <row r="137" spans="3:49" hidden="1" x14ac:dyDescent="0.25">
      <c r="C137" s="26" t="str">
        <f>Tools!$C$1</f>
        <v>Example</v>
      </c>
      <c r="D137" s="27" t="s">
        <v>72</v>
      </c>
      <c r="E137" s="28">
        <v>2017</v>
      </c>
      <c r="F137" s="28">
        <f>MATCH(DaybyDay[[#This Row],[RowMonth]],Table3[SummaryMonth],0)</f>
        <v>5</v>
      </c>
      <c r="G137" s="29" t="e">
        <f>MATCH(DaybyDay[[#This Row],[LY-Date]],DaybyDay[Date],0)</f>
        <v>#N/A</v>
      </c>
      <c r="H137" s="30">
        <f>WEEKDAY(DaybyDay[[#This Row],[Date]])</f>
        <v>5</v>
      </c>
      <c r="I137" s="31">
        <v>42866</v>
      </c>
      <c r="J137" s="74">
        <v>18</v>
      </c>
      <c r="K137" s="32">
        <f>SUMIFS(BudgetSeasonality[365 Seasonality],BudgetSeasonality[MonthAdjustment],DaybyDay[[#This Row],[Date]])*SUMIFS(Budgets[Service-Budget],Budgets[BudgetMonth],DaybyDay[[#This Row],[RowMonth]],Budgets[BudgetYear],DaybyDay[[#This Row],[RowYear]])</f>
        <v>0</v>
      </c>
      <c r="L137" s="75">
        <v>3669.3</v>
      </c>
      <c r="M137" s="32">
        <f>INDEX(BudgetSeasonality[365 Seasonality],MATCH(DaybyDay[[#This Row],[Date]],BudgetSeasonality[MonthAdjustment],0))*SUMIFS(Budgets[Retail-Budget],Budgets[BudgetMonth],DaybyDay[[#This Row],[RowMonth]],Budgets[BudgetYear],DaybyDay[[#This Row],[RowYear]])</f>
        <v>0</v>
      </c>
      <c r="N137" s="75">
        <v>459.5</v>
      </c>
      <c r="O137" s="33">
        <f>SUMIFS(DaybyDay[Service-Budgets],DaybyDay[Date],"&gt;="&amp;$C$5,DaybyDay[RowYear],"&gt;="&amp;$C$4,DaybyDay[Date],"&lt;="&amp;DaybyDay[[#This Row],[Date]])</f>
        <v>0</v>
      </c>
      <c r="P137" s="33">
        <f>SUMIFS(DaybyDay[Retail-Budgets],DaybyDay[Date],"&gt;="&amp;$C$5,DaybyDay[RowYear],"&gt;="&amp;$C$4,DaybyDay[Date],"&lt;="&amp;DaybyDay[[#This Row],[Date]])</f>
        <v>0</v>
      </c>
      <c r="Q137" s="34">
        <f>SUMIFS(DaybyDay[Service-Actuals],DaybyDay[Date],"&gt;="&amp;$C$5,DaybyDay[RowYear],"&gt;="&amp;$C$4,DaybyDay[Date],"&lt;="&amp;DaybyDay[[#This Row],[Date]])</f>
        <v>0</v>
      </c>
      <c r="R137" s="34">
        <f>SUMIFS(DaybyDay[Retail-Actuals],DaybyDay[Date],"&gt;="&amp;$C$5,DaybyDay[RowYear],"&gt;="&amp;$C$4,DaybyDay[Date],"&lt;="&amp;DaybyDay[[#This Row],[Date]])</f>
        <v>0</v>
      </c>
      <c r="S137" s="35">
        <f>SUMIFS(DaybyDay[Service-LY],DaybyDay[Date],"&gt;="&amp;$C$5,DaybyDay[RowYear],"&gt;="&amp;$C$4,DaybyDay[Date],"&lt;="&amp;DaybyDay[[#This Row],[Date]])</f>
        <v>0</v>
      </c>
      <c r="T137" s="35">
        <f>SUMIFS(DaybyDay[Retail-LY],DaybyDay[Date],"&gt;="&amp;$C$5,DaybyDay[RowYear],"&gt;="&amp;$C$4,DaybyDay[Date],"&lt;="&amp;DaybyDay[[#This Row],[Date]])</f>
        <v>0</v>
      </c>
      <c r="U137" s="32">
        <f>DaybyDay[[#This Row],[Serv-Bud-RU]]+DaybyDay[[#This Row],[Ret-Bud-RU]]</f>
        <v>0</v>
      </c>
      <c r="V137" s="32">
        <f>DaybyDay[[#This Row],[Serv-Act-RU]]+DaybyDay[[#This Row],[Ret-Act-RU]]</f>
        <v>0</v>
      </c>
      <c r="W137" s="36">
        <f>IF(DaybyDay[[#This Row],[_Space]],IFERROR(
((DaybyDay[[#This Row],[Actual-Rollup]]-DaybyDay[[#This Row],[Budget-Rollup]])/DaybyDay[[#This Row],[Budget-Rollup]]),0),"")</f>
        <v>0</v>
      </c>
      <c r="X137" t="b">
        <f>NOT(AND(ISBLANK(DaybyDay[[#This Row],[Appts]]),ISBLANK(DaybyDay[[#This Row],[Service-Actuals]]),ISBLANK(DaybyDay[[#This Row],[Retail-Actuals]])))</f>
        <v>1</v>
      </c>
      <c r="Y137" s="36">
        <f>IF(DaybyDay[[#This Row],[_Space]],IFERROR(
((DaybyDay[[#This Row],[Actual-Rollup]]-DaybyDay[[#This Row],[LY-Rollup]])/DaybyDay[[#This Row],[LY-Rollup]]),0),"")</f>
        <v>0</v>
      </c>
      <c r="Z137"/>
      <c r="AA137" s="37" t="e">
        <f>IF(DaybyDay[[#This Row],[_Space]],DaybyDay[[#This Row],[Ret-Act-RU]]/DaybyDay[[#This Row],[Serv-Act-RU]],"")</f>
        <v>#DIV/0!</v>
      </c>
      <c r="AB137" s="50" t="e">
        <f>IF(DaybyDay[[#This Row],[_Space]],DaybyDay[[#This Row],[RETPEN-Act]]/DaybyDay[[#This Row],[RETPEN-Bud]],"")</f>
        <v>#DIV/0!</v>
      </c>
      <c r="AC137" s="37" t="e">
        <f>IF(DaybyDay[[#This Row],[_Space]],DaybyDay[[#This Row],[Ret-Bud-RU]]/DaybyDay[[#This Row],[Serv-Bud-RU]],"")</f>
        <v>#DIV/0!</v>
      </c>
      <c r="AD137" s="37" t="e">
        <f>IF(DaybyDay[[#This Row],[_Space]],DaybyDay[[#This Row],[Ret-LY-RU]]/DaybyDay[[#This Row],[Serv-LY-RU]],"")</f>
        <v>#DIV/0!</v>
      </c>
      <c r="AE137" s="30">
        <f>WEEKDAY(DaybyDay[[#This Row],[LY-Date]])</f>
        <v>5</v>
      </c>
      <c r="AF137" s="38">
        <f>$E$2+_xlfn.DAYS(DaybyDay[[#This Row],[Date]],minDate)</f>
        <v>42502</v>
      </c>
      <c r="AG137" s="39" t="str" cm="1">
        <f t="array" ref="AG137">IFERROR(INDEX(DaybyDay[],DaybyDay[[#This Row],[FORM_MATCH_HELPER]],8),"")</f>
        <v/>
      </c>
      <c r="AH137" s="39" t="str" cm="1">
        <f t="array" ref="AH137">IFERROR(INDEX(DaybyDay[],DaybyDay[[#This Row],[FORM_MATCH_HELPER]],10),"")</f>
        <v/>
      </c>
      <c r="AI137" s="39" t="str" cm="1">
        <f t="array" ref="AI137">IFERROR(INDEX(DaybyDay[],DaybyDay[[#This Row],[FORM_MATCH_HELPER]],12),"")</f>
        <v/>
      </c>
      <c r="AJ137" s="32">
        <f>IFERROR(DaybyDay[[#This Row],[Serv-LY-RU]]+DaybyDay[[#This Row],[Ret-LY-RU]],"")</f>
        <v>0</v>
      </c>
      <c r="AK1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7" s="77"/>
      <c r="AM137" s="40" t="str">
        <f>IF(DaybyDay[[#This Row],[Admin Hours]]&gt;0,DaybyDay[[#This Row],[Admin Hours]]*$AM$2+$AM$3,"")</f>
        <v/>
      </c>
      <c r="AN137" s="40">
        <f>SUMIFS(DaybyDay[Est-Admin-Payroll],DaybyDay[Date],"&gt;="&amp;$C$5,DaybyDay[RowYear],"&gt;="&amp;$C$4,DaybyDay[Date],"&lt;="&amp;DaybyDay[[#This Row],[Date]])</f>
        <v>0</v>
      </c>
      <c r="AO137" s="41" t="str">
        <f>IF(AND(DaybyDay[[#This Row],[_Space]],ISNUMBER(DaybyDay[[#This Row],[Admin Hours]])),DaybyDay[[#This Row],[Est-Admin-Payroll]]/(DaybyDay[[#This Row],[Service-Actuals]]+DaybyDay[[#This Row],[Retail-Actuals]]),"")</f>
        <v/>
      </c>
      <c r="AP137" s="41" t="e">
        <f>DaybyDay[[#This Row],[Estimated-Payroll-Rollup]]/DaybyDay[[#This Row],[Simple-Forecast]]</f>
        <v>#DIV/0!</v>
      </c>
      <c r="AQ1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7" s="77"/>
      <c r="AS137" s="40" t="str">
        <f>IF(DaybyDay[[#This Row],[Retail Hours]]&gt;0,DaybyDay[[#This Row],[Retail Hours]]*$AS$2,"")</f>
        <v/>
      </c>
      <c r="AT137" s="40">
        <f>SUMIFS(DaybyDay[Est-Retail-Payroll],DaybyDay[Date],"&gt;="&amp;$C$5,DaybyDay[RowYear],"&gt;="&amp;$C$4,DaybyDay[Date],"&lt;="&amp;DaybyDay[[#This Row],[Date]])</f>
        <v>0</v>
      </c>
      <c r="AU137" s="82" t="str">
        <f>IF(AND(DaybyDay[[#This Row],[_Space]],ISNUMBER(DaybyDay[[#This Row],[Retail Hours]])),DaybyDay[[#This Row],[Est-Retail-Payroll]]/(DaybyDay[[#This Row],[Retail-Actuals]]),"")</f>
        <v/>
      </c>
      <c r="AV137" s="82" t="e">
        <f>DaybyDay[[#This Row],[Est-Retail-PayrollRU]]/DaybyDay[[#This Row],[Simple-Forecast-Retail]]</f>
        <v>#DIV/0!</v>
      </c>
      <c r="AW137" s="8"/>
    </row>
    <row r="138" spans="3:49" hidden="1" x14ac:dyDescent="0.25">
      <c r="C138" s="26" t="str">
        <f>Tools!$C$1</f>
        <v>Example</v>
      </c>
      <c r="D138" s="27" t="s">
        <v>72</v>
      </c>
      <c r="E138" s="28">
        <v>2017</v>
      </c>
      <c r="F138" s="28">
        <f>MATCH(DaybyDay[[#This Row],[RowMonth]],Table3[SummaryMonth],0)</f>
        <v>5</v>
      </c>
      <c r="G138" s="29" t="e">
        <f>MATCH(DaybyDay[[#This Row],[LY-Date]],DaybyDay[Date],0)</f>
        <v>#N/A</v>
      </c>
      <c r="H138" s="30">
        <f>WEEKDAY(DaybyDay[[#This Row],[Date]])</f>
        <v>6</v>
      </c>
      <c r="I138" s="31">
        <v>42867</v>
      </c>
      <c r="J138" s="74">
        <v>28</v>
      </c>
      <c r="K138" s="32">
        <f>SUMIFS(BudgetSeasonality[365 Seasonality],BudgetSeasonality[MonthAdjustment],DaybyDay[[#This Row],[Date]])*SUMIFS(Budgets[Service-Budget],Budgets[BudgetMonth],DaybyDay[[#This Row],[RowMonth]],Budgets[BudgetYear],DaybyDay[[#This Row],[RowYear]])</f>
        <v>0</v>
      </c>
      <c r="L138" s="75">
        <v>4743.8</v>
      </c>
      <c r="M138" s="32">
        <f>INDEX(BudgetSeasonality[365 Seasonality],MATCH(DaybyDay[[#This Row],[Date]],BudgetSeasonality[MonthAdjustment],0))*SUMIFS(Budgets[Retail-Budget],Budgets[BudgetMonth],DaybyDay[[#This Row],[RowMonth]],Budgets[BudgetYear],DaybyDay[[#This Row],[RowYear]])</f>
        <v>0</v>
      </c>
      <c r="N138" s="75">
        <v>1305</v>
      </c>
      <c r="O138" s="33">
        <f>SUMIFS(DaybyDay[Service-Budgets],DaybyDay[Date],"&gt;="&amp;$C$5,DaybyDay[RowYear],"&gt;="&amp;$C$4,DaybyDay[Date],"&lt;="&amp;DaybyDay[[#This Row],[Date]])</f>
        <v>0</v>
      </c>
      <c r="P138" s="33">
        <f>SUMIFS(DaybyDay[Retail-Budgets],DaybyDay[Date],"&gt;="&amp;$C$5,DaybyDay[RowYear],"&gt;="&amp;$C$4,DaybyDay[Date],"&lt;="&amp;DaybyDay[[#This Row],[Date]])</f>
        <v>0</v>
      </c>
      <c r="Q138" s="34">
        <f>SUMIFS(DaybyDay[Service-Actuals],DaybyDay[Date],"&gt;="&amp;$C$5,DaybyDay[RowYear],"&gt;="&amp;$C$4,DaybyDay[Date],"&lt;="&amp;DaybyDay[[#This Row],[Date]])</f>
        <v>0</v>
      </c>
      <c r="R138" s="34">
        <f>SUMIFS(DaybyDay[Retail-Actuals],DaybyDay[Date],"&gt;="&amp;$C$5,DaybyDay[RowYear],"&gt;="&amp;$C$4,DaybyDay[Date],"&lt;="&amp;DaybyDay[[#This Row],[Date]])</f>
        <v>0</v>
      </c>
      <c r="S138" s="35">
        <f>SUMIFS(DaybyDay[Service-LY],DaybyDay[Date],"&gt;="&amp;$C$5,DaybyDay[RowYear],"&gt;="&amp;$C$4,DaybyDay[Date],"&lt;="&amp;DaybyDay[[#This Row],[Date]])</f>
        <v>0</v>
      </c>
      <c r="T138" s="35">
        <f>SUMIFS(DaybyDay[Retail-LY],DaybyDay[Date],"&gt;="&amp;$C$5,DaybyDay[RowYear],"&gt;="&amp;$C$4,DaybyDay[Date],"&lt;="&amp;DaybyDay[[#This Row],[Date]])</f>
        <v>0</v>
      </c>
      <c r="U138" s="32">
        <f>DaybyDay[[#This Row],[Serv-Bud-RU]]+DaybyDay[[#This Row],[Ret-Bud-RU]]</f>
        <v>0</v>
      </c>
      <c r="V138" s="32">
        <f>DaybyDay[[#This Row],[Serv-Act-RU]]+DaybyDay[[#This Row],[Ret-Act-RU]]</f>
        <v>0</v>
      </c>
      <c r="W138" s="36">
        <f>IF(DaybyDay[[#This Row],[_Space]],IFERROR(
((DaybyDay[[#This Row],[Actual-Rollup]]-DaybyDay[[#This Row],[Budget-Rollup]])/DaybyDay[[#This Row],[Budget-Rollup]]),0),"")</f>
        <v>0</v>
      </c>
      <c r="X138" t="b">
        <f>NOT(AND(ISBLANK(DaybyDay[[#This Row],[Appts]]),ISBLANK(DaybyDay[[#This Row],[Service-Actuals]]),ISBLANK(DaybyDay[[#This Row],[Retail-Actuals]])))</f>
        <v>1</v>
      </c>
      <c r="Y138" s="36">
        <f>IF(DaybyDay[[#This Row],[_Space]],IFERROR(
((DaybyDay[[#This Row],[Actual-Rollup]]-DaybyDay[[#This Row],[LY-Rollup]])/DaybyDay[[#This Row],[LY-Rollup]]),0),"")</f>
        <v>0</v>
      </c>
      <c r="Z138"/>
      <c r="AA138" s="37" t="e">
        <f>IF(DaybyDay[[#This Row],[_Space]],DaybyDay[[#This Row],[Ret-Act-RU]]/DaybyDay[[#This Row],[Serv-Act-RU]],"")</f>
        <v>#DIV/0!</v>
      </c>
      <c r="AB138" s="50" t="e">
        <f>IF(DaybyDay[[#This Row],[_Space]],DaybyDay[[#This Row],[RETPEN-Act]]/DaybyDay[[#This Row],[RETPEN-Bud]],"")</f>
        <v>#DIV/0!</v>
      </c>
      <c r="AC138" s="37" t="e">
        <f>IF(DaybyDay[[#This Row],[_Space]],DaybyDay[[#This Row],[Ret-Bud-RU]]/DaybyDay[[#This Row],[Serv-Bud-RU]],"")</f>
        <v>#DIV/0!</v>
      </c>
      <c r="AD138" s="37" t="e">
        <f>IF(DaybyDay[[#This Row],[_Space]],DaybyDay[[#This Row],[Ret-LY-RU]]/DaybyDay[[#This Row],[Serv-LY-RU]],"")</f>
        <v>#DIV/0!</v>
      </c>
      <c r="AE138" s="30">
        <f>WEEKDAY(DaybyDay[[#This Row],[LY-Date]])</f>
        <v>6</v>
      </c>
      <c r="AF138" s="38">
        <f>$E$2+_xlfn.DAYS(DaybyDay[[#This Row],[Date]],minDate)</f>
        <v>42503</v>
      </c>
      <c r="AG138" s="39" t="str" cm="1">
        <f t="array" ref="AG138">IFERROR(INDEX(DaybyDay[],DaybyDay[[#This Row],[FORM_MATCH_HELPER]],8),"")</f>
        <v/>
      </c>
      <c r="AH138" s="39" t="str" cm="1">
        <f t="array" ref="AH138">IFERROR(INDEX(DaybyDay[],DaybyDay[[#This Row],[FORM_MATCH_HELPER]],10),"")</f>
        <v/>
      </c>
      <c r="AI138" s="39" t="str" cm="1">
        <f t="array" ref="AI138">IFERROR(INDEX(DaybyDay[],DaybyDay[[#This Row],[FORM_MATCH_HELPER]],12),"")</f>
        <v/>
      </c>
      <c r="AJ138" s="32">
        <f>IFERROR(DaybyDay[[#This Row],[Serv-LY-RU]]+DaybyDay[[#This Row],[Ret-LY-RU]],"")</f>
        <v>0</v>
      </c>
      <c r="AK1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8" s="77"/>
      <c r="AM138" s="40" t="str">
        <f>IF(DaybyDay[[#This Row],[Admin Hours]]&gt;0,DaybyDay[[#This Row],[Admin Hours]]*$AM$2+$AM$3,"")</f>
        <v/>
      </c>
      <c r="AN138" s="40">
        <f>SUMIFS(DaybyDay[Est-Admin-Payroll],DaybyDay[Date],"&gt;="&amp;$C$5,DaybyDay[RowYear],"&gt;="&amp;$C$4,DaybyDay[Date],"&lt;="&amp;DaybyDay[[#This Row],[Date]])</f>
        <v>0</v>
      </c>
      <c r="AO138" s="41" t="str">
        <f>IF(AND(DaybyDay[[#This Row],[_Space]],ISNUMBER(DaybyDay[[#This Row],[Admin Hours]])),DaybyDay[[#This Row],[Est-Admin-Payroll]]/(DaybyDay[[#This Row],[Service-Actuals]]+DaybyDay[[#This Row],[Retail-Actuals]]),"")</f>
        <v/>
      </c>
      <c r="AP138" s="41" t="e">
        <f>DaybyDay[[#This Row],[Estimated-Payroll-Rollup]]/DaybyDay[[#This Row],[Simple-Forecast]]</f>
        <v>#DIV/0!</v>
      </c>
      <c r="AQ1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8" s="77"/>
      <c r="AS138" s="40" t="str">
        <f>IF(DaybyDay[[#This Row],[Retail Hours]]&gt;0,DaybyDay[[#This Row],[Retail Hours]]*$AS$2,"")</f>
        <v/>
      </c>
      <c r="AT138" s="40">
        <f>SUMIFS(DaybyDay[Est-Retail-Payroll],DaybyDay[Date],"&gt;="&amp;$C$5,DaybyDay[RowYear],"&gt;="&amp;$C$4,DaybyDay[Date],"&lt;="&amp;DaybyDay[[#This Row],[Date]])</f>
        <v>0</v>
      </c>
      <c r="AU138" s="82" t="str">
        <f>IF(AND(DaybyDay[[#This Row],[_Space]],ISNUMBER(DaybyDay[[#This Row],[Retail Hours]])),DaybyDay[[#This Row],[Est-Retail-Payroll]]/(DaybyDay[[#This Row],[Retail-Actuals]]),"")</f>
        <v/>
      </c>
      <c r="AV138" s="82" t="e">
        <f>DaybyDay[[#This Row],[Est-Retail-PayrollRU]]/DaybyDay[[#This Row],[Simple-Forecast-Retail]]</f>
        <v>#DIV/0!</v>
      </c>
      <c r="AW138" s="8"/>
    </row>
    <row r="139" spans="3:49" hidden="1" x14ac:dyDescent="0.25">
      <c r="C139" s="26" t="str">
        <f>Tools!$C$1</f>
        <v>Example</v>
      </c>
      <c r="D139" s="27" t="s">
        <v>72</v>
      </c>
      <c r="E139" s="28">
        <v>2017</v>
      </c>
      <c r="F139" s="28">
        <f>MATCH(DaybyDay[[#This Row],[RowMonth]],Table3[SummaryMonth],0)</f>
        <v>5</v>
      </c>
      <c r="G139" s="29" t="e">
        <f>MATCH(DaybyDay[[#This Row],[LY-Date]],DaybyDay[Date],0)</f>
        <v>#N/A</v>
      </c>
      <c r="H139" s="30">
        <f>WEEKDAY(DaybyDay[[#This Row],[Date]])</f>
        <v>7</v>
      </c>
      <c r="I139" s="31">
        <v>42868</v>
      </c>
      <c r="J139" s="74">
        <v>43</v>
      </c>
      <c r="K139" s="32">
        <f>SUMIFS(BudgetSeasonality[365 Seasonality],BudgetSeasonality[MonthAdjustment],DaybyDay[[#This Row],[Date]])*SUMIFS(Budgets[Service-Budget],Budgets[BudgetMonth],DaybyDay[[#This Row],[RowMonth]],Budgets[BudgetYear],DaybyDay[[#This Row],[RowYear]])</f>
        <v>0</v>
      </c>
      <c r="L139" s="75">
        <v>8119</v>
      </c>
      <c r="M139" s="32">
        <f>INDEX(BudgetSeasonality[365 Seasonality],MATCH(DaybyDay[[#This Row],[Date]],BudgetSeasonality[MonthAdjustment],0))*SUMIFS(Budgets[Retail-Budget],Budgets[BudgetMonth],DaybyDay[[#This Row],[RowMonth]],Budgets[BudgetYear],DaybyDay[[#This Row],[RowYear]])</f>
        <v>0</v>
      </c>
      <c r="N139" s="75">
        <v>1347.5</v>
      </c>
      <c r="O139" s="33">
        <f>SUMIFS(DaybyDay[Service-Budgets],DaybyDay[Date],"&gt;="&amp;$C$5,DaybyDay[RowYear],"&gt;="&amp;$C$4,DaybyDay[Date],"&lt;="&amp;DaybyDay[[#This Row],[Date]])</f>
        <v>0</v>
      </c>
      <c r="P139" s="33">
        <f>SUMIFS(DaybyDay[Retail-Budgets],DaybyDay[Date],"&gt;="&amp;$C$5,DaybyDay[RowYear],"&gt;="&amp;$C$4,DaybyDay[Date],"&lt;="&amp;DaybyDay[[#This Row],[Date]])</f>
        <v>0</v>
      </c>
      <c r="Q139" s="34">
        <f>SUMIFS(DaybyDay[Service-Actuals],DaybyDay[Date],"&gt;="&amp;$C$5,DaybyDay[RowYear],"&gt;="&amp;$C$4,DaybyDay[Date],"&lt;="&amp;DaybyDay[[#This Row],[Date]])</f>
        <v>0</v>
      </c>
      <c r="R139" s="34">
        <f>SUMIFS(DaybyDay[Retail-Actuals],DaybyDay[Date],"&gt;="&amp;$C$5,DaybyDay[RowYear],"&gt;="&amp;$C$4,DaybyDay[Date],"&lt;="&amp;DaybyDay[[#This Row],[Date]])</f>
        <v>0</v>
      </c>
      <c r="S139" s="35">
        <f>SUMIFS(DaybyDay[Service-LY],DaybyDay[Date],"&gt;="&amp;$C$5,DaybyDay[RowYear],"&gt;="&amp;$C$4,DaybyDay[Date],"&lt;="&amp;DaybyDay[[#This Row],[Date]])</f>
        <v>0</v>
      </c>
      <c r="T139" s="35">
        <f>SUMIFS(DaybyDay[Retail-LY],DaybyDay[Date],"&gt;="&amp;$C$5,DaybyDay[RowYear],"&gt;="&amp;$C$4,DaybyDay[Date],"&lt;="&amp;DaybyDay[[#This Row],[Date]])</f>
        <v>0</v>
      </c>
      <c r="U139" s="32">
        <f>DaybyDay[[#This Row],[Serv-Bud-RU]]+DaybyDay[[#This Row],[Ret-Bud-RU]]</f>
        <v>0</v>
      </c>
      <c r="V139" s="32">
        <f>DaybyDay[[#This Row],[Serv-Act-RU]]+DaybyDay[[#This Row],[Ret-Act-RU]]</f>
        <v>0</v>
      </c>
      <c r="W139" s="36">
        <f>IF(DaybyDay[[#This Row],[_Space]],IFERROR(
((DaybyDay[[#This Row],[Actual-Rollup]]-DaybyDay[[#This Row],[Budget-Rollup]])/DaybyDay[[#This Row],[Budget-Rollup]]),0),"")</f>
        <v>0</v>
      </c>
      <c r="X139" t="b">
        <f>NOT(AND(ISBLANK(DaybyDay[[#This Row],[Appts]]),ISBLANK(DaybyDay[[#This Row],[Service-Actuals]]),ISBLANK(DaybyDay[[#This Row],[Retail-Actuals]])))</f>
        <v>1</v>
      </c>
      <c r="Y139" s="36">
        <f>IF(DaybyDay[[#This Row],[_Space]],IFERROR(
((DaybyDay[[#This Row],[Actual-Rollup]]-DaybyDay[[#This Row],[LY-Rollup]])/DaybyDay[[#This Row],[LY-Rollup]]),0),"")</f>
        <v>0</v>
      </c>
      <c r="Z139"/>
      <c r="AA139" s="37" t="e">
        <f>IF(DaybyDay[[#This Row],[_Space]],DaybyDay[[#This Row],[Ret-Act-RU]]/DaybyDay[[#This Row],[Serv-Act-RU]],"")</f>
        <v>#DIV/0!</v>
      </c>
      <c r="AB139" s="50" t="e">
        <f>IF(DaybyDay[[#This Row],[_Space]],DaybyDay[[#This Row],[RETPEN-Act]]/DaybyDay[[#This Row],[RETPEN-Bud]],"")</f>
        <v>#DIV/0!</v>
      </c>
      <c r="AC139" s="37" t="e">
        <f>IF(DaybyDay[[#This Row],[_Space]],DaybyDay[[#This Row],[Ret-Bud-RU]]/DaybyDay[[#This Row],[Serv-Bud-RU]],"")</f>
        <v>#DIV/0!</v>
      </c>
      <c r="AD139" s="37" t="e">
        <f>IF(DaybyDay[[#This Row],[_Space]],DaybyDay[[#This Row],[Ret-LY-RU]]/DaybyDay[[#This Row],[Serv-LY-RU]],"")</f>
        <v>#DIV/0!</v>
      </c>
      <c r="AE139" s="30">
        <f>WEEKDAY(DaybyDay[[#This Row],[LY-Date]])</f>
        <v>7</v>
      </c>
      <c r="AF139" s="38">
        <f>$E$2+_xlfn.DAYS(DaybyDay[[#This Row],[Date]],minDate)</f>
        <v>42504</v>
      </c>
      <c r="AG139" s="39" t="str" cm="1">
        <f t="array" ref="AG139">IFERROR(INDEX(DaybyDay[],DaybyDay[[#This Row],[FORM_MATCH_HELPER]],8),"")</f>
        <v/>
      </c>
      <c r="AH139" s="39" t="str" cm="1">
        <f t="array" ref="AH139">IFERROR(INDEX(DaybyDay[],DaybyDay[[#This Row],[FORM_MATCH_HELPER]],10),"")</f>
        <v/>
      </c>
      <c r="AI139" s="39" t="str" cm="1">
        <f t="array" ref="AI139">IFERROR(INDEX(DaybyDay[],DaybyDay[[#This Row],[FORM_MATCH_HELPER]],12),"")</f>
        <v/>
      </c>
      <c r="AJ139" s="32">
        <f>IFERROR(DaybyDay[[#This Row],[Serv-LY-RU]]+DaybyDay[[#This Row],[Ret-LY-RU]],"")</f>
        <v>0</v>
      </c>
      <c r="AK1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39" s="77"/>
      <c r="AM139" s="40" t="str">
        <f>IF(DaybyDay[[#This Row],[Admin Hours]]&gt;0,DaybyDay[[#This Row],[Admin Hours]]*$AM$2+$AM$3,"")</f>
        <v/>
      </c>
      <c r="AN139" s="40">
        <f>SUMIFS(DaybyDay[Est-Admin-Payroll],DaybyDay[Date],"&gt;="&amp;$C$5,DaybyDay[RowYear],"&gt;="&amp;$C$4,DaybyDay[Date],"&lt;="&amp;DaybyDay[[#This Row],[Date]])</f>
        <v>0</v>
      </c>
      <c r="AO139" s="41" t="str">
        <f>IF(AND(DaybyDay[[#This Row],[_Space]],ISNUMBER(DaybyDay[[#This Row],[Admin Hours]])),DaybyDay[[#This Row],[Est-Admin-Payroll]]/(DaybyDay[[#This Row],[Service-Actuals]]+DaybyDay[[#This Row],[Retail-Actuals]]),"")</f>
        <v/>
      </c>
      <c r="AP139" s="41" t="e">
        <f>DaybyDay[[#This Row],[Estimated-Payroll-Rollup]]/DaybyDay[[#This Row],[Simple-Forecast]]</f>
        <v>#DIV/0!</v>
      </c>
      <c r="AQ1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39" s="77"/>
      <c r="AS139" s="40" t="str">
        <f>IF(DaybyDay[[#This Row],[Retail Hours]]&gt;0,DaybyDay[[#This Row],[Retail Hours]]*$AS$2,"")</f>
        <v/>
      </c>
      <c r="AT139" s="40">
        <f>SUMIFS(DaybyDay[Est-Retail-Payroll],DaybyDay[Date],"&gt;="&amp;$C$5,DaybyDay[RowYear],"&gt;="&amp;$C$4,DaybyDay[Date],"&lt;="&amp;DaybyDay[[#This Row],[Date]])</f>
        <v>0</v>
      </c>
      <c r="AU139" s="82" t="str">
        <f>IF(AND(DaybyDay[[#This Row],[_Space]],ISNUMBER(DaybyDay[[#This Row],[Retail Hours]])),DaybyDay[[#This Row],[Est-Retail-Payroll]]/(DaybyDay[[#This Row],[Retail-Actuals]]),"")</f>
        <v/>
      </c>
      <c r="AV139" s="82" t="e">
        <f>DaybyDay[[#This Row],[Est-Retail-PayrollRU]]/DaybyDay[[#This Row],[Simple-Forecast-Retail]]</f>
        <v>#DIV/0!</v>
      </c>
      <c r="AW139" s="8"/>
    </row>
    <row r="140" spans="3:49" hidden="1" x14ac:dyDescent="0.25">
      <c r="C140" s="26" t="str">
        <f>Tools!$C$1</f>
        <v>Example</v>
      </c>
      <c r="D140" s="27" t="s">
        <v>72</v>
      </c>
      <c r="E140" s="28">
        <v>2017</v>
      </c>
      <c r="F140" s="28">
        <f>MATCH(DaybyDay[[#This Row],[RowMonth]],Table3[SummaryMonth],0)</f>
        <v>5</v>
      </c>
      <c r="G140" s="29" t="e">
        <f>MATCH(DaybyDay[[#This Row],[LY-Date]],DaybyDay[Date],0)</f>
        <v>#N/A</v>
      </c>
      <c r="H140" s="30">
        <f>WEEKDAY(DaybyDay[[#This Row],[Date]])</f>
        <v>1</v>
      </c>
      <c r="I140" s="31">
        <v>42869</v>
      </c>
      <c r="J140" s="74">
        <v>47</v>
      </c>
      <c r="K140" s="32">
        <f>SUMIFS(BudgetSeasonality[365 Seasonality],BudgetSeasonality[MonthAdjustment],DaybyDay[[#This Row],[Date]])*SUMIFS(Budgets[Service-Budget],Budgets[BudgetMonth],DaybyDay[[#This Row],[RowMonth]],Budgets[BudgetYear],DaybyDay[[#This Row],[RowYear]])</f>
        <v>0</v>
      </c>
      <c r="L140" s="75">
        <v>9882.4</v>
      </c>
      <c r="M140" s="32">
        <f>INDEX(BudgetSeasonality[365 Seasonality],MATCH(DaybyDay[[#This Row],[Date]],BudgetSeasonality[MonthAdjustment],0))*SUMIFS(Budgets[Retail-Budget],Budgets[BudgetMonth],DaybyDay[[#This Row],[RowMonth]],Budgets[BudgetYear],DaybyDay[[#This Row],[RowYear]])</f>
        <v>0</v>
      </c>
      <c r="N140" s="75">
        <v>-251</v>
      </c>
      <c r="O140" s="33">
        <f>SUMIFS(DaybyDay[Service-Budgets],DaybyDay[Date],"&gt;="&amp;$C$5,DaybyDay[RowYear],"&gt;="&amp;$C$4,DaybyDay[Date],"&lt;="&amp;DaybyDay[[#This Row],[Date]])</f>
        <v>0</v>
      </c>
      <c r="P140" s="33">
        <f>SUMIFS(DaybyDay[Retail-Budgets],DaybyDay[Date],"&gt;="&amp;$C$5,DaybyDay[RowYear],"&gt;="&amp;$C$4,DaybyDay[Date],"&lt;="&amp;DaybyDay[[#This Row],[Date]])</f>
        <v>0</v>
      </c>
      <c r="Q140" s="34">
        <f>SUMIFS(DaybyDay[Service-Actuals],DaybyDay[Date],"&gt;="&amp;$C$5,DaybyDay[RowYear],"&gt;="&amp;$C$4,DaybyDay[Date],"&lt;="&amp;DaybyDay[[#This Row],[Date]])</f>
        <v>0</v>
      </c>
      <c r="R140" s="34">
        <f>SUMIFS(DaybyDay[Retail-Actuals],DaybyDay[Date],"&gt;="&amp;$C$5,DaybyDay[RowYear],"&gt;="&amp;$C$4,DaybyDay[Date],"&lt;="&amp;DaybyDay[[#This Row],[Date]])</f>
        <v>0</v>
      </c>
      <c r="S140" s="35">
        <f>SUMIFS(DaybyDay[Service-LY],DaybyDay[Date],"&gt;="&amp;$C$5,DaybyDay[RowYear],"&gt;="&amp;$C$4,DaybyDay[Date],"&lt;="&amp;DaybyDay[[#This Row],[Date]])</f>
        <v>0</v>
      </c>
      <c r="T140" s="35">
        <f>SUMIFS(DaybyDay[Retail-LY],DaybyDay[Date],"&gt;="&amp;$C$5,DaybyDay[RowYear],"&gt;="&amp;$C$4,DaybyDay[Date],"&lt;="&amp;DaybyDay[[#This Row],[Date]])</f>
        <v>0</v>
      </c>
      <c r="U140" s="32">
        <f>DaybyDay[[#This Row],[Serv-Bud-RU]]+DaybyDay[[#This Row],[Ret-Bud-RU]]</f>
        <v>0</v>
      </c>
      <c r="V140" s="32">
        <f>DaybyDay[[#This Row],[Serv-Act-RU]]+DaybyDay[[#This Row],[Ret-Act-RU]]</f>
        <v>0</v>
      </c>
      <c r="W140" s="36">
        <f>IF(DaybyDay[[#This Row],[_Space]],IFERROR(
((DaybyDay[[#This Row],[Actual-Rollup]]-DaybyDay[[#This Row],[Budget-Rollup]])/DaybyDay[[#This Row],[Budget-Rollup]]),0),"")</f>
        <v>0</v>
      </c>
      <c r="X140" t="b">
        <f>NOT(AND(ISBLANK(DaybyDay[[#This Row],[Appts]]),ISBLANK(DaybyDay[[#This Row],[Service-Actuals]]),ISBLANK(DaybyDay[[#This Row],[Retail-Actuals]])))</f>
        <v>1</v>
      </c>
      <c r="Y140" s="36">
        <f>IF(DaybyDay[[#This Row],[_Space]],IFERROR(
((DaybyDay[[#This Row],[Actual-Rollup]]-DaybyDay[[#This Row],[LY-Rollup]])/DaybyDay[[#This Row],[LY-Rollup]]),0),"")</f>
        <v>0</v>
      </c>
      <c r="Z140"/>
      <c r="AA140" s="37" t="e">
        <f>IF(DaybyDay[[#This Row],[_Space]],DaybyDay[[#This Row],[Ret-Act-RU]]/DaybyDay[[#This Row],[Serv-Act-RU]],"")</f>
        <v>#DIV/0!</v>
      </c>
      <c r="AB140" s="50" t="e">
        <f>IF(DaybyDay[[#This Row],[_Space]],DaybyDay[[#This Row],[RETPEN-Act]]/DaybyDay[[#This Row],[RETPEN-Bud]],"")</f>
        <v>#DIV/0!</v>
      </c>
      <c r="AC140" s="37" t="e">
        <f>IF(DaybyDay[[#This Row],[_Space]],DaybyDay[[#This Row],[Ret-Bud-RU]]/DaybyDay[[#This Row],[Serv-Bud-RU]],"")</f>
        <v>#DIV/0!</v>
      </c>
      <c r="AD140" s="37" t="e">
        <f>IF(DaybyDay[[#This Row],[_Space]],DaybyDay[[#This Row],[Ret-LY-RU]]/DaybyDay[[#This Row],[Serv-LY-RU]],"")</f>
        <v>#DIV/0!</v>
      </c>
      <c r="AE140" s="30">
        <f>WEEKDAY(DaybyDay[[#This Row],[LY-Date]])</f>
        <v>1</v>
      </c>
      <c r="AF140" s="38">
        <f>$E$2+_xlfn.DAYS(DaybyDay[[#This Row],[Date]],minDate)</f>
        <v>42505</v>
      </c>
      <c r="AG140" s="39" t="str" cm="1">
        <f t="array" ref="AG140">IFERROR(INDEX(DaybyDay[],DaybyDay[[#This Row],[FORM_MATCH_HELPER]],8),"")</f>
        <v/>
      </c>
      <c r="AH140" s="39" t="str" cm="1">
        <f t="array" ref="AH140">IFERROR(INDEX(DaybyDay[],DaybyDay[[#This Row],[FORM_MATCH_HELPER]],10),"")</f>
        <v/>
      </c>
      <c r="AI140" s="39" t="str" cm="1">
        <f t="array" ref="AI140">IFERROR(INDEX(DaybyDay[],DaybyDay[[#This Row],[FORM_MATCH_HELPER]],12),"")</f>
        <v/>
      </c>
      <c r="AJ140" s="32">
        <f>IFERROR(DaybyDay[[#This Row],[Serv-LY-RU]]+DaybyDay[[#This Row],[Ret-LY-RU]],"")</f>
        <v>0</v>
      </c>
      <c r="AK1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0" s="77"/>
      <c r="AM140" s="40" t="str">
        <f>IF(DaybyDay[[#This Row],[Admin Hours]]&gt;0,DaybyDay[[#This Row],[Admin Hours]]*$AM$2+$AM$3,"")</f>
        <v/>
      </c>
      <c r="AN140" s="40">
        <f>SUMIFS(DaybyDay[Est-Admin-Payroll],DaybyDay[Date],"&gt;="&amp;$C$5,DaybyDay[RowYear],"&gt;="&amp;$C$4,DaybyDay[Date],"&lt;="&amp;DaybyDay[[#This Row],[Date]])</f>
        <v>0</v>
      </c>
      <c r="AO140" s="41" t="str">
        <f>IF(AND(DaybyDay[[#This Row],[_Space]],ISNUMBER(DaybyDay[[#This Row],[Admin Hours]])),DaybyDay[[#This Row],[Est-Admin-Payroll]]/(DaybyDay[[#This Row],[Service-Actuals]]+DaybyDay[[#This Row],[Retail-Actuals]]),"")</f>
        <v/>
      </c>
      <c r="AP140" s="41" t="e">
        <f>DaybyDay[[#This Row],[Estimated-Payroll-Rollup]]/DaybyDay[[#This Row],[Simple-Forecast]]</f>
        <v>#DIV/0!</v>
      </c>
      <c r="AQ1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0" s="77"/>
      <c r="AS140" s="40" t="str">
        <f>IF(DaybyDay[[#This Row],[Retail Hours]]&gt;0,DaybyDay[[#This Row],[Retail Hours]]*$AS$2,"")</f>
        <v/>
      </c>
      <c r="AT140" s="40">
        <f>SUMIFS(DaybyDay[Est-Retail-Payroll],DaybyDay[Date],"&gt;="&amp;$C$5,DaybyDay[RowYear],"&gt;="&amp;$C$4,DaybyDay[Date],"&lt;="&amp;DaybyDay[[#This Row],[Date]])</f>
        <v>0</v>
      </c>
      <c r="AU140" s="82" t="str">
        <f>IF(AND(DaybyDay[[#This Row],[_Space]],ISNUMBER(DaybyDay[[#This Row],[Retail Hours]])),DaybyDay[[#This Row],[Est-Retail-Payroll]]/(DaybyDay[[#This Row],[Retail-Actuals]]),"")</f>
        <v/>
      </c>
      <c r="AV140" s="82" t="e">
        <f>DaybyDay[[#This Row],[Est-Retail-PayrollRU]]/DaybyDay[[#This Row],[Simple-Forecast-Retail]]</f>
        <v>#DIV/0!</v>
      </c>
      <c r="AW140" s="8"/>
    </row>
    <row r="141" spans="3:49" hidden="1" x14ac:dyDescent="0.25">
      <c r="C141" s="26" t="str">
        <f>Tools!$C$1</f>
        <v>Example</v>
      </c>
      <c r="D141" s="27" t="s">
        <v>72</v>
      </c>
      <c r="E141" s="28">
        <v>2017</v>
      </c>
      <c r="F141" s="28">
        <f>MATCH(DaybyDay[[#This Row],[RowMonth]],Table3[SummaryMonth],0)</f>
        <v>5</v>
      </c>
      <c r="G141" s="29" t="e">
        <f>MATCH(DaybyDay[[#This Row],[LY-Date]],DaybyDay[Date],0)</f>
        <v>#N/A</v>
      </c>
      <c r="H141" s="30">
        <f>WEEKDAY(DaybyDay[[#This Row],[Date]])</f>
        <v>2</v>
      </c>
      <c r="I141" s="31">
        <v>42870</v>
      </c>
      <c r="J141" s="74">
        <v>21</v>
      </c>
      <c r="K141" s="32">
        <f>SUMIFS(BudgetSeasonality[365 Seasonality],BudgetSeasonality[MonthAdjustment],DaybyDay[[#This Row],[Date]])*SUMIFS(Budgets[Service-Budget],Budgets[BudgetMonth],DaybyDay[[#This Row],[RowMonth]],Budgets[BudgetYear],DaybyDay[[#This Row],[RowYear]])</f>
        <v>0</v>
      </c>
      <c r="L141" s="75">
        <v>5168.3500000000004</v>
      </c>
      <c r="M141" s="32">
        <f>INDEX(BudgetSeasonality[365 Seasonality],MATCH(DaybyDay[[#This Row],[Date]],BudgetSeasonality[MonthAdjustment],0))*SUMIFS(Budgets[Retail-Budget],Budgets[BudgetMonth],DaybyDay[[#This Row],[RowMonth]],Budgets[BudgetYear],DaybyDay[[#This Row],[RowYear]])</f>
        <v>0</v>
      </c>
      <c r="N141" s="75">
        <v>2067</v>
      </c>
      <c r="O141" s="33">
        <f>SUMIFS(DaybyDay[Service-Budgets],DaybyDay[Date],"&gt;="&amp;$C$5,DaybyDay[RowYear],"&gt;="&amp;$C$4,DaybyDay[Date],"&lt;="&amp;DaybyDay[[#This Row],[Date]])</f>
        <v>0</v>
      </c>
      <c r="P141" s="33">
        <f>SUMIFS(DaybyDay[Retail-Budgets],DaybyDay[Date],"&gt;="&amp;$C$5,DaybyDay[RowYear],"&gt;="&amp;$C$4,DaybyDay[Date],"&lt;="&amp;DaybyDay[[#This Row],[Date]])</f>
        <v>0</v>
      </c>
      <c r="Q141" s="34">
        <f>SUMIFS(DaybyDay[Service-Actuals],DaybyDay[Date],"&gt;="&amp;$C$5,DaybyDay[RowYear],"&gt;="&amp;$C$4,DaybyDay[Date],"&lt;="&amp;DaybyDay[[#This Row],[Date]])</f>
        <v>0</v>
      </c>
      <c r="R141" s="34">
        <f>SUMIFS(DaybyDay[Retail-Actuals],DaybyDay[Date],"&gt;="&amp;$C$5,DaybyDay[RowYear],"&gt;="&amp;$C$4,DaybyDay[Date],"&lt;="&amp;DaybyDay[[#This Row],[Date]])</f>
        <v>0</v>
      </c>
      <c r="S141" s="35">
        <f>SUMIFS(DaybyDay[Service-LY],DaybyDay[Date],"&gt;="&amp;$C$5,DaybyDay[RowYear],"&gt;="&amp;$C$4,DaybyDay[Date],"&lt;="&amp;DaybyDay[[#This Row],[Date]])</f>
        <v>0</v>
      </c>
      <c r="T141" s="35">
        <f>SUMIFS(DaybyDay[Retail-LY],DaybyDay[Date],"&gt;="&amp;$C$5,DaybyDay[RowYear],"&gt;="&amp;$C$4,DaybyDay[Date],"&lt;="&amp;DaybyDay[[#This Row],[Date]])</f>
        <v>0</v>
      </c>
      <c r="U141" s="32">
        <f>DaybyDay[[#This Row],[Serv-Bud-RU]]+DaybyDay[[#This Row],[Ret-Bud-RU]]</f>
        <v>0</v>
      </c>
      <c r="V141" s="32">
        <f>DaybyDay[[#This Row],[Serv-Act-RU]]+DaybyDay[[#This Row],[Ret-Act-RU]]</f>
        <v>0</v>
      </c>
      <c r="W141" s="36">
        <f>IF(DaybyDay[[#This Row],[_Space]],IFERROR(
((DaybyDay[[#This Row],[Actual-Rollup]]-DaybyDay[[#This Row],[Budget-Rollup]])/DaybyDay[[#This Row],[Budget-Rollup]]),0),"")</f>
        <v>0</v>
      </c>
      <c r="X141" t="b">
        <f>NOT(AND(ISBLANK(DaybyDay[[#This Row],[Appts]]),ISBLANK(DaybyDay[[#This Row],[Service-Actuals]]),ISBLANK(DaybyDay[[#This Row],[Retail-Actuals]])))</f>
        <v>1</v>
      </c>
      <c r="Y141" s="36">
        <f>IF(DaybyDay[[#This Row],[_Space]],IFERROR(
((DaybyDay[[#This Row],[Actual-Rollup]]-DaybyDay[[#This Row],[LY-Rollup]])/DaybyDay[[#This Row],[LY-Rollup]]),0),"")</f>
        <v>0</v>
      </c>
      <c r="Z141"/>
      <c r="AA141" s="37" t="e">
        <f>IF(DaybyDay[[#This Row],[_Space]],DaybyDay[[#This Row],[Ret-Act-RU]]/DaybyDay[[#This Row],[Serv-Act-RU]],"")</f>
        <v>#DIV/0!</v>
      </c>
      <c r="AB141" s="50" t="e">
        <f>IF(DaybyDay[[#This Row],[_Space]],DaybyDay[[#This Row],[RETPEN-Act]]/DaybyDay[[#This Row],[RETPEN-Bud]],"")</f>
        <v>#DIV/0!</v>
      </c>
      <c r="AC141" s="37" t="e">
        <f>IF(DaybyDay[[#This Row],[_Space]],DaybyDay[[#This Row],[Ret-Bud-RU]]/DaybyDay[[#This Row],[Serv-Bud-RU]],"")</f>
        <v>#DIV/0!</v>
      </c>
      <c r="AD141" s="37" t="e">
        <f>IF(DaybyDay[[#This Row],[_Space]],DaybyDay[[#This Row],[Ret-LY-RU]]/DaybyDay[[#This Row],[Serv-LY-RU]],"")</f>
        <v>#DIV/0!</v>
      </c>
      <c r="AE141" s="30">
        <f>WEEKDAY(DaybyDay[[#This Row],[LY-Date]])</f>
        <v>2</v>
      </c>
      <c r="AF141" s="38">
        <f>$E$2+_xlfn.DAYS(DaybyDay[[#This Row],[Date]],minDate)</f>
        <v>42506</v>
      </c>
      <c r="AG141" s="39" t="str" cm="1">
        <f t="array" ref="AG141">IFERROR(INDEX(DaybyDay[],DaybyDay[[#This Row],[FORM_MATCH_HELPER]],8),"")</f>
        <v/>
      </c>
      <c r="AH141" s="39" t="str" cm="1">
        <f t="array" ref="AH141">IFERROR(INDEX(DaybyDay[],DaybyDay[[#This Row],[FORM_MATCH_HELPER]],10),"")</f>
        <v/>
      </c>
      <c r="AI141" s="39" t="str" cm="1">
        <f t="array" ref="AI141">IFERROR(INDEX(DaybyDay[],DaybyDay[[#This Row],[FORM_MATCH_HELPER]],12),"")</f>
        <v/>
      </c>
      <c r="AJ141" s="32">
        <f>IFERROR(DaybyDay[[#This Row],[Serv-LY-RU]]+DaybyDay[[#This Row],[Ret-LY-RU]],"")</f>
        <v>0</v>
      </c>
      <c r="AK1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1" s="77"/>
      <c r="AM141" s="40" t="str">
        <f>IF(DaybyDay[[#This Row],[Admin Hours]]&gt;0,DaybyDay[[#This Row],[Admin Hours]]*$AM$2+$AM$3,"")</f>
        <v/>
      </c>
      <c r="AN141" s="40">
        <f>SUMIFS(DaybyDay[Est-Admin-Payroll],DaybyDay[Date],"&gt;="&amp;$C$5,DaybyDay[RowYear],"&gt;="&amp;$C$4,DaybyDay[Date],"&lt;="&amp;DaybyDay[[#This Row],[Date]])</f>
        <v>0</v>
      </c>
      <c r="AO141" s="41" t="str">
        <f>IF(AND(DaybyDay[[#This Row],[_Space]],ISNUMBER(DaybyDay[[#This Row],[Admin Hours]])),DaybyDay[[#This Row],[Est-Admin-Payroll]]/(DaybyDay[[#This Row],[Service-Actuals]]+DaybyDay[[#This Row],[Retail-Actuals]]),"")</f>
        <v/>
      </c>
      <c r="AP141" s="41" t="e">
        <f>DaybyDay[[#This Row],[Estimated-Payroll-Rollup]]/DaybyDay[[#This Row],[Simple-Forecast]]</f>
        <v>#DIV/0!</v>
      </c>
      <c r="AQ1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1" s="77"/>
      <c r="AS141" s="40" t="str">
        <f>IF(DaybyDay[[#This Row],[Retail Hours]]&gt;0,DaybyDay[[#This Row],[Retail Hours]]*$AS$2,"")</f>
        <v/>
      </c>
      <c r="AT141" s="40">
        <f>SUMIFS(DaybyDay[Est-Retail-Payroll],DaybyDay[Date],"&gt;="&amp;$C$5,DaybyDay[RowYear],"&gt;="&amp;$C$4,DaybyDay[Date],"&lt;="&amp;DaybyDay[[#This Row],[Date]])</f>
        <v>0</v>
      </c>
      <c r="AU141" s="82" t="str">
        <f>IF(AND(DaybyDay[[#This Row],[_Space]],ISNUMBER(DaybyDay[[#This Row],[Retail Hours]])),DaybyDay[[#This Row],[Est-Retail-Payroll]]/(DaybyDay[[#This Row],[Retail-Actuals]]),"")</f>
        <v/>
      </c>
      <c r="AV141" s="82" t="e">
        <f>DaybyDay[[#This Row],[Est-Retail-PayrollRU]]/DaybyDay[[#This Row],[Simple-Forecast-Retail]]</f>
        <v>#DIV/0!</v>
      </c>
      <c r="AW141" s="8"/>
    </row>
    <row r="142" spans="3:49" hidden="1" x14ac:dyDescent="0.25">
      <c r="C142" s="26" t="str">
        <f>Tools!$C$1</f>
        <v>Example</v>
      </c>
      <c r="D142" s="27" t="s">
        <v>72</v>
      </c>
      <c r="E142" s="28">
        <v>2017</v>
      </c>
      <c r="F142" s="28">
        <f>MATCH(DaybyDay[[#This Row],[RowMonth]],Table3[SummaryMonth],0)</f>
        <v>5</v>
      </c>
      <c r="G142" s="29" t="e">
        <f>MATCH(DaybyDay[[#This Row],[LY-Date]],DaybyDay[Date],0)</f>
        <v>#N/A</v>
      </c>
      <c r="H142" s="30">
        <f>WEEKDAY(DaybyDay[[#This Row],[Date]])</f>
        <v>3</v>
      </c>
      <c r="I142" s="31">
        <v>42871</v>
      </c>
      <c r="J142" s="74">
        <v>28</v>
      </c>
      <c r="K142" s="32">
        <f>SUMIFS(BudgetSeasonality[365 Seasonality],BudgetSeasonality[MonthAdjustment],DaybyDay[[#This Row],[Date]])*SUMIFS(Budgets[Service-Budget],Budgets[BudgetMonth],DaybyDay[[#This Row],[RowMonth]],Budgets[BudgetYear],DaybyDay[[#This Row],[RowYear]])</f>
        <v>0</v>
      </c>
      <c r="L142" s="75">
        <v>5270.2</v>
      </c>
      <c r="M142" s="32">
        <f>INDEX(BudgetSeasonality[365 Seasonality],MATCH(DaybyDay[[#This Row],[Date]],BudgetSeasonality[MonthAdjustment],0))*SUMIFS(Budgets[Retail-Budget],Budgets[BudgetMonth],DaybyDay[[#This Row],[RowMonth]],Budgets[BudgetYear],DaybyDay[[#This Row],[RowYear]])</f>
        <v>0</v>
      </c>
      <c r="N142" s="75">
        <v>260</v>
      </c>
      <c r="O142" s="33">
        <f>SUMIFS(DaybyDay[Service-Budgets],DaybyDay[Date],"&gt;="&amp;$C$5,DaybyDay[RowYear],"&gt;="&amp;$C$4,DaybyDay[Date],"&lt;="&amp;DaybyDay[[#This Row],[Date]])</f>
        <v>0</v>
      </c>
      <c r="P142" s="33">
        <f>SUMIFS(DaybyDay[Retail-Budgets],DaybyDay[Date],"&gt;="&amp;$C$5,DaybyDay[RowYear],"&gt;="&amp;$C$4,DaybyDay[Date],"&lt;="&amp;DaybyDay[[#This Row],[Date]])</f>
        <v>0</v>
      </c>
      <c r="Q142" s="34">
        <f>SUMIFS(DaybyDay[Service-Actuals],DaybyDay[Date],"&gt;="&amp;$C$5,DaybyDay[RowYear],"&gt;="&amp;$C$4,DaybyDay[Date],"&lt;="&amp;DaybyDay[[#This Row],[Date]])</f>
        <v>0</v>
      </c>
      <c r="R142" s="34">
        <f>SUMIFS(DaybyDay[Retail-Actuals],DaybyDay[Date],"&gt;="&amp;$C$5,DaybyDay[RowYear],"&gt;="&amp;$C$4,DaybyDay[Date],"&lt;="&amp;DaybyDay[[#This Row],[Date]])</f>
        <v>0</v>
      </c>
      <c r="S142" s="35">
        <f>SUMIFS(DaybyDay[Service-LY],DaybyDay[Date],"&gt;="&amp;$C$5,DaybyDay[RowYear],"&gt;="&amp;$C$4,DaybyDay[Date],"&lt;="&amp;DaybyDay[[#This Row],[Date]])</f>
        <v>0</v>
      </c>
      <c r="T142" s="35">
        <f>SUMIFS(DaybyDay[Retail-LY],DaybyDay[Date],"&gt;="&amp;$C$5,DaybyDay[RowYear],"&gt;="&amp;$C$4,DaybyDay[Date],"&lt;="&amp;DaybyDay[[#This Row],[Date]])</f>
        <v>0</v>
      </c>
      <c r="U142" s="32">
        <f>DaybyDay[[#This Row],[Serv-Bud-RU]]+DaybyDay[[#This Row],[Ret-Bud-RU]]</f>
        <v>0</v>
      </c>
      <c r="V142" s="32">
        <f>DaybyDay[[#This Row],[Serv-Act-RU]]+DaybyDay[[#This Row],[Ret-Act-RU]]</f>
        <v>0</v>
      </c>
      <c r="W142" s="36">
        <f>IF(DaybyDay[[#This Row],[_Space]],IFERROR(
((DaybyDay[[#This Row],[Actual-Rollup]]-DaybyDay[[#This Row],[Budget-Rollup]])/DaybyDay[[#This Row],[Budget-Rollup]]),0),"")</f>
        <v>0</v>
      </c>
      <c r="X142" t="b">
        <f>NOT(AND(ISBLANK(DaybyDay[[#This Row],[Appts]]),ISBLANK(DaybyDay[[#This Row],[Service-Actuals]]),ISBLANK(DaybyDay[[#This Row],[Retail-Actuals]])))</f>
        <v>1</v>
      </c>
      <c r="Y142" s="36">
        <f>IF(DaybyDay[[#This Row],[_Space]],IFERROR(
((DaybyDay[[#This Row],[Actual-Rollup]]-DaybyDay[[#This Row],[LY-Rollup]])/DaybyDay[[#This Row],[LY-Rollup]]),0),"")</f>
        <v>0</v>
      </c>
      <c r="Z142"/>
      <c r="AA142" s="37" t="e">
        <f>IF(DaybyDay[[#This Row],[_Space]],DaybyDay[[#This Row],[Ret-Act-RU]]/DaybyDay[[#This Row],[Serv-Act-RU]],"")</f>
        <v>#DIV/0!</v>
      </c>
      <c r="AB142" s="50" t="e">
        <f>IF(DaybyDay[[#This Row],[_Space]],DaybyDay[[#This Row],[RETPEN-Act]]/DaybyDay[[#This Row],[RETPEN-Bud]],"")</f>
        <v>#DIV/0!</v>
      </c>
      <c r="AC142" s="37" t="e">
        <f>IF(DaybyDay[[#This Row],[_Space]],DaybyDay[[#This Row],[Ret-Bud-RU]]/DaybyDay[[#This Row],[Serv-Bud-RU]],"")</f>
        <v>#DIV/0!</v>
      </c>
      <c r="AD142" s="37" t="e">
        <f>IF(DaybyDay[[#This Row],[_Space]],DaybyDay[[#This Row],[Ret-LY-RU]]/DaybyDay[[#This Row],[Serv-LY-RU]],"")</f>
        <v>#DIV/0!</v>
      </c>
      <c r="AE142" s="30">
        <f>WEEKDAY(DaybyDay[[#This Row],[LY-Date]])</f>
        <v>3</v>
      </c>
      <c r="AF142" s="38">
        <f>$E$2+_xlfn.DAYS(DaybyDay[[#This Row],[Date]],minDate)</f>
        <v>42507</v>
      </c>
      <c r="AG142" s="39" t="str" cm="1">
        <f t="array" ref="AG142">IFERROR(INDEX(DaybyDay[],DaybyDay[[#This Row],[FORM_MATCH_HELPER]],8),"")</f>
        <v/>
      </c>
      <c r="AH142" s="39" t="str" cm="1">
        <f t="array" ref="AH142">IFERROR(INDEX(DaybyDay[],DaybyDay[[#This Row],[FORM_MATCH_HELPER]],10),"")</f>
        <v/>
      </c>
      <c r="AI142" s="39" t="str" cm="1">
        <f t="array" ref="AI142">IFERROR(INDEX(DaybyDay[],DaybyDay[[#This Row],[FORM_MATCH_HELPER]],12),"")</f>
        <v/>
      </c>
      <c r="AJ142" s="32">
        <f>IFERROR(DaybyDay[[#This Row],[Serv-LY-RU]]+DaybyDay[[#This Row],[Ret-LY-RU]],"")</f>
        <v>0</v>
      </c>
      <c r="AK1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2" s="77"/>
      <c r="AM142" s="40" t="str">
        <f>IF(DaybyDay[[#This Row],[Admin Hours]]&gt;0,DaybyDay[[#This Row],[Admin Hours]]*$AM$2+$AM$3,"")</f>
        <v/>
      </c>
      <c r="AN142" s="40">
        <f>SUMIFS(DaybyDay[Est-Admin-Payroll],DaybyDay[Date],"&gt;="&amp;$C$5,DaybyDay[RowYear],"&gt;="&amp;$C$4,DaybyDay[Date],"&lt;="&amp;DaybyDay[[#This Row],[Date]])</f>
        <v>0</v>
      </c>
      <c r="AO142" s="41" t="str">
        <f>IF(AND(DaybyDay[[#This Row],[_Space]],ISNUMBER(DaybyDay[[#This Row],[Admin Hours]])),DaybyDay[[#This Row],[Est-Admin-Payroll]]/(DaybyDay[[#This Row],[Service-Actuals]]+DaybyDay[[#This Row],[Retail-Actuals]]),"")</f>
        <v/>
      </c>
      <c r="AP142" s="41" t="e">
        <f>DaybyDay[[#This Row],[Estimated-Payroll-Rollup]]/DaybyDay[[#This Row],[Simple-Forecast]]</f>
        <v>#DIV/0!</v>
      </c>
      <c r="AQ1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2" s="77"/>
      <c r="AS142" s="40" t="str">
        <f>IF(DaybyDay[[#This Row],[Retail Hours]]&gt;0,DaybyDay[[#This Row],[Retail Hours]]*$AS$2,"")</f>
        <v/>
      </c>
      <c r="AT142" s="40">
        <f>SUMIFS(DaybyDay[Est-Retail-Payroll],DaybyDay[Date],"&gt;="&amp;$C$5,DaybyDay[RowYear],"&gt;="&amp;$C$4,DaybyDay[Date],"&lt;="&amp;DaybyDay[[#This Row],[Date]])</f>
        <v>0</v>
      </c>
      <c r="AU142" s="82" t="str">
        <f>IF(AND(DaybyDay[[#This Row],[_Space]],ISNUMBER(DaybyDay[[#This Row],[Retail Hours]])),DaybyDay[[#This Row],[Est-Retail-Payroll]]/(DaybyDay[[#This Row],[Retail-Actuals]]),"")</f>
        <v/>
      </c>
      <c r="AV142" s="82" t="e">
        <f>DaybyDay[[#This Row],[Est-Retail-PayrollRU]]/DaybyDay[[#This Row],[Simple-Forecast-Retail]]</f>
        <v>#DIV/0!</v>
      </c>
      <c r="AW142" s="8"/>
    </row>
    <row r="143" spans="3:49" hidden="1" x14ac:dyDescent="0.25">
      <c r="C143" s="26" t="str">
        <f>Tools!$C$1</f>
        <v>Example</v>
      </c>
      <c r="D143" s="27" t="s">
        <v>72</v>
      </c>
      <c r="E143" s="28">
        <v>2017</v>
      </c>
      <c r="F143" s="28">
        <f>MATCH(DaybyDay[[#This Row],[RowMonth]],Table3[SummaryMonth],0)</f>
        <v>5</v>
      </c>
      <c r="G143" s="29" t="e">
        <f>MATCH(DaybyDay[[#This Row],[LY-Date]],DaybyDay[Date],0)</f>
        <v>#N/A</v>
      </c>
      <c r="H143" s="30">
        <f>WEEKDAY(DaybyDay[[#This Row],[Date]])</f>
        <v>4</v>
      </c>
      <c r="I143" s="31">
        <v>42872</v>
      </c>
      <c r="J143" s="74">
        <v>23</v>
      </c>
      <c r="K143" s="32">
        <f>SUMIFS(BudgetSeasonality[365 Seasonality],BudgetSeasonality[MonthAdjustment],DaybyDay[[#This Row],[Date]])*SUMIFS(Budgets[Service-Budget],Budgets[BudgetMonth],DaybyDay[[#This Row],[RowMonth]],Budgets[BudgetYear],DaybyDay[[#This Row],[RowYear]])</f>
        <v>0</v>
      </c>
      <c r="L143" s="75">
        <v>4932.6000000000004</v>
      </c>
      <c r="M143" s="32">
        <f>INDEX(BudgetSeasonality[365 Seasonality],MATCH(DaybyDay[[#This Row],[Date]],BudgetSeasonality[MonthAdjustment],0))*SUMIFS(Budgets[Retail-Budget],Budgets[BudgetMonth],DaybyDay[[#This Row],[RowMonth]],Budgets[BudgetYear],DaybyDay[[#This Row],[RowYear]])</f>
        <v>0</v>
      </c>
      <c r="N143" s="75">
        <v>1282.2</v>
      </c>
      <c r="O143" s="33">
        <f>SUMIFS(DaybyDay[Service-Budgets],DaybyDay[Date],"&gt;="&amp;$C$5,DaybyDay[RowYear],"&gt;="&amp;$C$4,DaybyDay[Date],"&lt;="&amp;DaybyDay[[#This Row],[Date]])</f>
        <v>0</v>
      </c>
      <c r="P143" s="33">
        <f>SUMIFS(DaybyDay[Retail-Budgets],DaybyDay[Date],"&gt;="&amp;$C$5,DaybyDay[RowYear],"&gt;="&amp;$C$4,DaybyDay[Date],"&lt;="&amp;DaybyDay[[#This Row],[Date]])</f>
        <v>0</v>
      </c>
      <c r="Q143" s="34">
        <f>SUMIFS(DaybyDay[Service-Actuals],DaybyDay[Date],"&gt;="&amp;$C$5,DaybyDay[RowYear],"&gt;="&amp;$C$4,DaybyDay[Date],"&lt;="&amp;DaybyDay[[#This Row],[Date]])</f>
        <v>0</v>
      </c>
      <c r="R143" s="34">
        <f>SUMIFS(DaybyDay[Retail-Actuals],DaybyDay[Date],"&gt;="&amp;$C$5,DaybyDay[RowYear],"&gt;="&amp;$C$4,DaybyDay[Date],"&lt;="&amp;DaybyDay[[#This Row],[Date]])</f>
        <v>0</v>
      </c>
      <c r="S143" s="35">
        <f>SUMIFS(DaybyDay[Service-LY],DaybyDay[Date],"&gt;="&amp;$C$5,DaybyDay[RowYear],"&gt;="&amp;$C$4,DaybyDay[Date],"&lt;="&amp;DaybyDay[[#This Row],[Date]])</f>
        <v>0</v>
      </c>
      <c r="T143" s="35">
        <f>SUMIFS(DaybyDay[Retail-LY],DaybyDay[Date],"&gt;="&amp;$C$5,DaybyDay[RowYear],"&gt;="&amp;$C$4,DaybyDay[Date],"&lt;="&amp;DaybyDay[[#This Row],[Date]])</f>
        <v>0</v>
      </c>
      <c r="U143" s="32">
        <f>DaybyDay[[#This Row],[Serv-Bud-RU]]+DaybyDay[[#This Row],[Ret-Bud-RU]]</f>
        <v>0</v>
      </c>
      <c r="V143" s="32">
        <f>DaybyDay[[#This Row],[Serv-Act-RU]]+DaybyDay[[#This Row],[Ret-Act-RU]]</f>
        <v>0</v>
      </c>
      <c r="W143" s="36">
        <f>IF(DaybyDay[[#This Row],[_Space]],IFERROR(
((DaybyDay[[#This Row],[Actual-Rollup]]-DaybyDay[[#This Row],[Budget-Rollup]])/DaybyDay[[#This Row],[Budget-Rollup]]),0),"")</f>
        <v>0</v>
      </c>
      <c r="X143" t="b">
        <f>NOT(AND(ISBLANK(DaybyDay[[#This Row],[Appts]]),ISBLANK(DaybyDay[[#This Row],[Service-Actuals]]),ISBLANK(DaybyDay[[#This Row],[Retail-Actuals]])))</f>
        <v>1</v>
      </c>
      <c r="Y143" s="36">
        <f>IF(DaybyDay[[#This Row],[_Space]],IFERROR(
((DaybyDay[[#This Row],[Actual-Rollup]]-DaybyDay[[#This Row],[LY-Rollup]])/DaybyDay[[#This Row],[LY-Rollup]]),0),"")</f>
        <v>0</v>
      </c>
      <c r="Z143"/>
      <c r="AA143" s="37" t="e">
        <f>IF(DaybyDay[[#This Row],[_Space]],DaybyDay[[#This Row],[Ret-Act-RU]]/DaybyDay[[#This Row],[Serv-Act-RU]],"")</f>
        <v>#DIV/0!</v>
      </c>
      <c r="AB143" s="50" t="e">
        <f>IF(DaybyDay[[#This Row],[_Space]],DaybyDay[[#This Row],[RETPEN-Act]]/DaybyDay[[#This Row],[RETPEN-Bud]],"")</f>
        <v>#DIV/0!</v>
      </c>
      <c r="AC143" s="37" t="e">
        <f>IF(DaybyDay[[#This Row],[_Space]],DaybyDay[[#This Row],[Ret-Bud-RU]]/DaybyDay[[#This Row],[Serv-Bud-RU]],"")</f>
        <v>#DIV/0!</v>
      </c>
      <c r="AD143" s="37" t="e">
        <f>IF(DaybyDay[[#This Row],[_Space]],DaybyDay[[#This Row],[Ret-LY-RU]]/DaybyDay[[#This Row],[Serv-LY-RU]],"")</f>
        <v>#DIV/0!</v>
      </c>
      <c r="AE143" s="30">
        <f>WEEKDAY(DaybyDay[[#This Row],[LY-Date]])</f>
        <v>4</v>
      </c>
      <c r="AF143" s="38">
        <f>$E$2+_xlfn.DAYS(DaybyDay[[#This Row],[Date]],minDate)</f>
        <v>42508</v>
      </c>
      <c r="AG143" s="39" t="str" cm="1">
        <f t="array" ref="AG143">IFERROR(INDEX(DaybyDay[],DaybyDay[[#This Row],[FORM_MATCH_HELPER]],8),"")</f>
        <v/>
      </c>
      <c r="AH143" s="39" t="str" cm="1">
        <f t="array" ref="AH143">IFERROR(INDEX(DaybyDay[],DaybyDay[[#This Row],[FORM_MATCH_HELPER]],10),"")</f>
        <v/>
      </c>
      <c r="AI143" s="39" t="str" cm="1">
        <f t="array" ref="AI143">IFERROR(INDEX(DaybyDay[],DaybyDay[[#This Row],[FORM_MATCH_HELPER]],12),"")</f>
        <v/>
      </c>
      <c r="AJ143" s="32">
        <f>IFERROR(DaybyDay[[#This Row],[Serv-LY-RU]]+DaybyDay[[#This Row],[Ret-LY-RU]],"")</f>
        <v>0</v>
      </c>
      <c r="AK1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3" s="77"/>
      <c r="AM143" s="40" t="str">
        <f>IF(DaybyDay[[#This Row],[Admin Hours]]&gt;0,DaybyDay[[#This Row],[Admin Hours]]*$AM$2+$AM$3,"")</f>
        <v/>
      </c>
      <c r="AN143" s="40">
        <f>SUMIFS(DaybyDay[Est-Admin-Payroll],DaybyDay[Date],"&gt;="&amp;$C$5,DaybyDay[RowYear],"&gt;="&amp;$C$4,DaybyDay[Date],"&lt;="&amp;DaybyDay[[#This Row],[Date]])</f>
        <v>0</v>
      </c>
      <c r="AO143" s="41" t="str">
        <f>IF(AND(DaybyDay[[#This Row],[_Space]],ISNUMBER(DaybyDay[[#This Row],[Admin Hours]])),DaybyDay[[#This Row],[Est-Admin-Payroll]]/(DaybyDay[[#This Row],[Service-Actuals]]+DaybyDay[[#This Row],[Retail-Actuals]]),"")</f>
        <v/>
      </c>
      <c r="AP143" s="41" t="e">
        <f>DaybyDay[[#This Row],[Estimated-Payroll-Rollup]]/DaybyDay[[#This Row],[Simple-Forecast]]</f>
        <v>#DIV/0!</v>
      </c>
      <c r="AQ1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3" s="77"/>
      <c r="AS143" s="40" t="str">
        <f>IF(DaybyDay[[#This Row],[Retail Hours]]&gt;0,DaybyDay[[#This Row],[Retail Hours]]*$AS$2,"")</f>
        <v/>
      </c>
      <c r="AT143" s="40">
        <f>SUMIFS(DaybyDay[Est-Retail-Payroll],DaybyDay[Date],"&gt;="&amp;$C$5,DaybyDay[RowYear],"&gt;="&amp;$C$4,DaybyDay[Date],"&lt;="&amp;DaybyDay[[#This Row],[Date]])</f>
        <v>0</v>
      </c>
      <c r="AU143" s="82" t="str">
        <f>IF(AND(DaybyDay[[#This Row],[_Space]],ISNUMBER(DaybyDay[[#This Row],[Retail Hours]])),DaybyDay[[#This Row],[Est-Retail-Payroll]]/(DaybyDay[[#This Row],[Retail-Actuals]]),"")</f>
        <v/>
      </c>
      <c r="AV143" s="82" t="e">
        <f>DaybyDay[[#This Row],[Est-Retail-PayrollRU]]/DaybyDay[[#This Row],[Simple-Forecast-Retail]]</f>
        <v>#DIV/0!</v>
      </c>
      <c r="AW143" s="8"/>
    </row>
    <row r="144" spans="3:49" hidden="1" x14ac:dyDescent="0.25">
      <c r="C144" s="26" t="str">
        <f>Tools!$C$1</f>
        <v>Example</v>
      </c>
      <c r="D144" s="27" t="s">
        <v>72</v>
      </c>
      <c r="E144" s="28">
        <v>2017</v>
      </c>
      <c r="F144" s="28">
        <f>MATCH(DaybyDay[[#This Row],[RowMonth]],Table3[SummaryMonth],0)</f>
        <v>5</v>
      </c>
      <c r="G144" s="29" t="e">
        <f>MATCH(DaybyDay[[#This Row],[LY-Date]],DaybyDay[Date],0)</f>
        <v>#N/A</v>
      </c>
      <c r="H144" s="30">
        <f>WEEKDAY(DaybyDay[[#This Row],[Date]])</f>
        <v>5</v>
      </c>
      <c r="I144" s="31">
        <v>42873</v>
      </c>
      <c r="J144" s="74">
        <v>25</v>
      </c>
      <c r="K144" s="32">
        <f>SUMIFS(BudgetSeasonality[365 Seasonality],BudgetSeasonality[MonthAdjustment],DaybyDay[[#This Row],[Date]])*SUMIFS(Budgets[Service-Budget],Budgets[BudgetMonth],DaybyDay[[#This Row],[RowMonth]],Budgets[BudgetYear],DaybyDay[[#This Row],[RowYear]])</f>
        <v>0</v>
      </c>
      <c r="L144" s="75">
        <v>4534.6000000000004</v>
      </c>
      <c r="M144" s="32">
        <f>INDEX(BudgetSeasonality[365 Seasonality],MATCH(DaybyDay[[#This Row],[Date]],BudgetSeasonality[MonthAdjustment],0))*SUMIFS(Budgets[Retail-Budget],Budgets[BudgetMonth],DaybyDay[[#This Row],[RowMonth]],Budgets[BudgetYear],DaybyDay[[#This Row],[RowYear]])</f>
        <v>0</v>
      </c>
      <c r="N144" s="75">
        <v>846.6</v>
      </c>
      <c r="O144" s="33">
        <f>SUMIFS(DaybyDay[Service-Budgets],DaybyDay[Date],"&gt;="&amp;$C$5,DaybyDay[RowYear],"&gt;="&amp;$C$4,DaybyDay[Date],"&lt;="&amp;DaybyDay[[#This Row],[Date]])</f>
        <v>0</v>
      </c>
      <c r="P144" s="33">
        <f>SUMIFS(DaybyDay[Retail-Budgets],DaybyDay[Date],"&gt;="&amp;$C$5,DaybyDay[RowYear],"&gt;="&amp;$C$4,DaybyDay[Date],"&lt;="&amp;DaybyDay[[#This Row],[Date]])</f>
        <v>0</v>
      </c>
      <c r="Q144" s="34">
        <f>SUMIFS(DaybyDay[Service-Actuals],DaybyDay[Date],"&gt;="&amp;$C$5,DaybyDay[RowYear],"&gt;="&amp;$C$4,DaybyDay[Date],"&lt;="&amp;DaybyDay[[#This Row],[Date]])</f>
        <v>0</v>
      </c>
      <c r="R144" s="34">
        <f>SUMIFS(DaybyDay[Retail-Actuals],DaybyDay[Date],"&gt;="&amp;$C$5,DaybyDay[RowYear],"&gt;="&amp;$C$4,DaybyDay[Date],"&lt;="&amp;DaybyDay[[#This Row],[Date]])</f>
        <v>0</v>
      </c>
      <c r="S144" s="35">
        <f>SUMIFS(DaybyDay[Service-LY],DaybyDay[Date],"&gt;="&amp;$C$5,DaybyDay[RowYear],"&gt;="&amp;$C$4,DaybyDay[Date],"&lt;="&amp;DaybyDay[[#This Row],[Date]])</f>
        <v>0</v>
      </c>
      <c r="T144" s="35">
        <f>SUMIFS(DaybyDay[Retail-LY],DaybyDay[Date],"&gt;="&amp;$C$5,DaybyDay[RowYear],"&gt;="&amp;$C$4,DaybyDay[Date],"&lt;="&amp;DaybyDay[[#This Row],[Date]])</f>
        <v>0</v>
      </c>
      <c r="U144" s="32">
        <f>DaybyDay[[#This Row],[Serv-Bud-RU]]+DaybyDay[[#This Row],[Ret-Bud-RU]]</f>
        <v>0</v>
      </c>
      <c r="V144" s="32">
        <f>DaybyDay[[#This Row],[Serv-Act-RU]]+DaybyDay[[#This Row],[Ret-Act-RU]]</f>
        <v>0</v>
      </c>
      <c r="W144" s="36">
        <f>IF(DaybyDay[[#This Row],[_Space]],IFERROR(
((DaybyDay[[#This Row],[Actual-Rollup]]-DaybyDay[[#This Row],[Budget-Rollup]])/DaybyDay[[#This Row],[Budget-Rollup]]),0),"")</f>
        <v>0</v>
      </c>
      <c r="X144" t="b">
        <f>NOT(AND(ISBLANK(DaybyDay[[#This Row],[Appts]]),ISBLANK(DaybyDay[[#This Row],[Service-Actuals]]),ISBLANK(DaybyDay[[#This Row],[Retail-Actuals]])))</f>
        <v>1</v>
      </c>
      <c r="Y144" s="36">
        <f>IF(DaybyDay[[#This Row],[_Space]],IFERROR(
((DaybyDay[[#This Row],[Actual-Rollup]]-DaybyDay[[#This Row],[LY-Rollup]])/DaybyDay[[#This Row],[LY-Rollup]]),0),"")</f>
        <v>0</v>
      </c>
      <c r="Z144"/>
      <c r="AA144" s="37" t="e">
        <f>IF(DaybyDay[[#This Row],[_Space]],DaybyDay[[#This Row],[Ret-Act-RU]]/DaybyDay[[#This Row],[Serv-Act-RU]],"")</f>
        <v>#DIV/0!</v>
      </c>
      <c r="AB144" s="50" t="e">
        <f>IF(DaybyDay[[#This Row],[_Space]],DaybyDay[[#This Row],[RETPEN-Act]]/DaybyDay[[#This Row],[RETPEN-Bud]],"")</f>
        <v>#DIV/0!</v>
      </c>
      <c r="AC144" s="37" t="e">
        <f>IF(DaybyDay[[#This Row],[_Space]],DaybyDay[[#This Row],[Ret-Bud-RU]]/DaybyDay[[#This Row],[Serv-Bud-RU]],"")</f>
        <v>#DIV/0!</v>
      </c>
      <c r="AD144" s="37" t="e">
        <f>IF(DaybyDay[[#This Row],[_Space]],DaybyDay[[#This Row],[Ret-LY-RU]]/DaybyDay[[#This Row],[Serv-LY-RU]],"")</f>
        <v>#DIV/0!</v>
      </c>
      <c r="AE144" s="30">
        <f>WEEKDAY(DaybyDay[[#This Row],[LY-Date]])</f>
        <v>5</v>
      </c>
      <c r="AF144" s="38">
        <f>$E$2+_xlfn.DAYS(DaybyDay[[#This Row],[Date]],minDate)</f>
        <v>42509</v>
      </c>
      <c r="AG144" s="39" t="str" cm="1">
        <f t="array" ref="AG144">IFERROR(INDEX(DaybyDay[],DaybyDay[[#This Row],[FORM_MATCH_HELPER]],8),"")</f>
        <v/>
      </c>
      <c r="AH144" s="39" t="str" cm="1">
        <f t="array" ref="AH144">IFERROR(INDEX(DaybyDay[],DaybyDay[[#This Row],[FORM_MATCH_HELPER]],10),"")</f>
        <v/>
      </c>
      <c r="AI144" s="39" t="str" cm="1">
        <f t="array" ref="AI144">IFERROR(INDEX(DaybyDay[],DaybyDay[[#This Row],[FORM_MATCH_HELPER]],12),"")</f>
        <v/>
      </c>
      <c r="AJ144" s="32">
        <f>IFERROR(DaybyDay[[#This Row],[Serv-LY-RU]]+DaybyDay[[#This Row],[Ret-LY-RU]],"")</f>
        <v>0</v>
      </c>
      <c r="AK1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4" s="77"/>
      <c r="AM144" s="40" t="str">
        <f>IF(DaybyDay[[#This Row],[Admin Hours]]&gt;0,DaybyDay[[#This Row],[Admin Hours]]*$AM$2+$AM$3,"")</f>
        <v/>
      </c>
      <c r="AN144" s="40">
        <f>SUMIFS(DaybyDay[Est-Admin-Payroll],DaybyDay[Date],"&gt;="&amp;$C$5,DaybyDay[RowYear],"&gt;="&amp;$C$4,DaybyDay[Date],"&lt;="&amp;DaybyDay[[#This Row],[Date]])</f>
        <v>0</v>
      </c>
      <c r="AO144" s="41" t="str">
        <f>IF(AND(DaybyDay[[#This Row],[_Space]],ISNUMBER(DaybyDay[[#This Row],[Admin Hours]])),DaybyDay[[#This Row],[Est-Admin-Payroll]]/(DaybyDay[[#This Row],[Service-Actuals]]+DaybyDay[[#This Row],[Retail-Actuals]]),"")</f>
        <v/>
      </c>
      <c r="AP144" s="41" t="e">
        <f>DaybyDay[[#This Row],[Estimated-Payroll-Rollup]]/DaybyDay[[#This Row],[Simple-Forecast]]</f>
        <v>#DIV/0!</v>
      </c>
      <c r="AQ1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4" s="77"/>
      <c r="AS144" s="40" t="str">
        <f>IF(DaybyDay[[#This Row],[Retail Hours]]&gt;0,DaybyDay[[#This Row],[Retail Hours]]*$AS$2,"")</f>
        <v/>
      </c>
      <c r="AT144" s="40">
        <f>SUMIFS(DaybyDay[Est-Retail-Payroll],DaybyDay[Date],"&gt;="&amp;$C$5,DaybyDay[RowYear],"&gt;="&amp;$C$4,DaybyDay[Date],"&lt;="&amp;DaybyDay[[#This Row],[Date]])</f>
        <v>0</v>
      </c>
      <c r="AU144" s="82" t="str">
        <f>IF(AND(DaybyDay[[#This Row],[_Space]],ISNUMBER(DaybyDay[[#This Row],[Retail Hours]])),DaybyDay[[#This Row],[Est-Retail-Payroll]]/(DaybyDay[[#This Row],[Retail-Actuals]]),"")</f>
        <v/>
      </c>
      <c r="AV144" s="82" t="e">
        <f>DaybyDay[[#This Row],[Est-Retail-PayrollRU]]/DaybyDay[[#This Row],[Simple-Forecast-Retail]]</f>
        <v>#DIV/0!</v>
      </c>
      <c r="AW144" s="8"/>
    </row>
    <row r="145" spans="3:49" hidden="1" x14ac:dyDescent="0.25">
      <c r="C145" s="26" t="str">
        <f>Tools!$C$1</f>
        <v>Example</v>
      </c>
      <c r="D145" s="27" t="s">
        <v>72</v>
      </c>
      <c r="E145" s="28">
        <v>2017</v>
      </c>
      <c r="F145" s="28">
        <f>MATCH(DaybyDay[[#This Row],[RowMonth]],Table3[SummaryMonth],0)</f>
        <v>5</v>
      </c>
      <c r="G145" s="29" t="e">
        <f>MATCH(DaybyDay[[#This Row],[LY-Date]],DaybyDay[Date],0)</f>
        <v>#N/A</v>
      </c>
      <c r="H145" s="30">
        <f>WEEKDAY(DaybyDay[[#This Row],[Date]])</f>
        <v>6</v>
      </c>
      <c r="I145" s="31">
        <v>42874</v>
      </c>
      <c r="J145" s="74">
        <v>24</v>
      </c>
      <c r="K145" s="32">
        <f>SUMIFS(BudgetSeasonality[365 Seasonality],BudgetSeasonality[MonthAdjustment],DaybyDay[[#This Row],[Date]])*SUMIFS(Budgets[Service-Budget],Budgets[BudgetMonth],DaybyDay[[#This Row],[RowMonth]],Budgets[BudgetYear],DaybyDay[[#This Row],[RowYear]])</f>
        <v>0</v>
      </c>
      <c r="L145" s="75">
        <v>3230.4</v>
      </c>
      <c r="M145" s="32">
        <f>INDEX(BudgetSeasonality[365 Seasonality],MATCH(DaybyDay[[#This Row],[Date]],BudgetSeasonality[MonthAdjustment],0))*SUMIFS(Budgets[Retail-Budget],Budgets[BudgetMonth],DaybyDay[[#This Row],[RowMonth]],Budgets[BudgetYear],DaybyDay[[#This Row],[RowYear]])</f>
        <v>0</v>
      </c>
      <c r="N145" s="75">
        <v>564</v>
      </c>
      <c r="O145" s="33">
        <f>SUMIFS(DaybyDay[Service-Budgets],DaybyDay[Date],"&gt;="&amp;$C$5,DaybyDay[RowYear],"&gt;="&amp;$C$4,DaybyDay[Date],"&lt;="&amp;DaybyDay[[#This Row],[Date]])</f>
        <v>0</v>
      </c>
      <c r="P145" s="33">
        <f>SUMIFS(DaybyDay[Retail-Budgets],DaybyDay[Date],"&gt;="&amp;$C$5,DaybyDay[RowYear],"&gt;="&amp;$C$4,DaybyDay[Date],"&lt;="&amp;DaybyDay[[#This Row],[Date]])</f>
        <v>0</v>
      </c>
      <c r="Q145" s="34">
        <f>SUMIFS(DaybyDay[Service-Actuals],DaybyDay[Date],"&gt;="&amp;$C$5,DaybyDay[RowYear],"&gt;="&amp;$C$4,DaybyDay[Date],"&lt;="&amp;DaybyDay[[#This Row],[Date]])</f>
        <v>0</v>
      </c>
      <c r="R145" s="34">
        <f>SUMIFS(DaybyDay[Retail-Actuals],DaybyDay[Date],"&gt;="&amp;$C$5,DaybyDay[RowYear],"&gt;="&amp;$C$4,DaybyDay[Date],"&lt;="&amp;DaybyDay[[#This Row],[Date]])</f>
        <v>0</v>
      </c>
      <c r="S145" s="35">
        <f>SUMIFS(DaybyDay[Service-LY],DaybyDay[Date],"&gt;="&amp;$C$5,DaybyDay[RowYear],"&gt;="&amp;$C$4,DaybyDay[Date],"&lt;="&amp;DaybyDay[[#This Row],[Date]])</f>
        <v>0</v>
      </c>
      <c r="T145" s="35">
        <f>SUMIFS(DaybyDay[Retail-LY],DaybyDay[Date],"&gt;="&amp;$C$5,DaybyDay[RowYear],"&gt;="&amp;$C$4,DaybyDay[Date],"&lt;="&amp;DaybyDay[[#This Row],[Date]])</f>
        <v>0</v>
      </c>
      <c r="U145" s="32">
        <f>DaybyDay[[#This Row],[Serv-Bud-RU]]+DaybyDay[[#This Row],[Ret-Bud-RU]]</f>
        <v>0</v>
      </c>
      <c r="V145" s="32">
        <f>DaybyDay[[#This Row],[Serv-Act-RU]]+DaybyDay[[#This Row],[Ret-Act-RU]]</f>
        <v>0</v>
      </c>
      <c r="W145" s="36">
        <f>IF(DaybyDay[[#This Row],[_Space]],IFERROR(
((DaybyDay[[#This Row],[Actual-Rollup]]-DaybyDay[[#This Row],[Budget-Rollup]])/DaybyDay[[#This Row],[Budget-Rollup]]),0),"")</f>
        <v>0</v>
      </c>
      <c r="X145" t="b">
        <f>NOT(AND(ISBLANK(DaybyDay[[#This Row],[Appts]]),ISBLANK(DaybyDay[[#This Row],[Service-Actuals]]),ISBLANK(DaybyDay[[#This Row],[Retail-Actuals]])))</f>
        <v>1</v>
      </c>
      <c r="Y145" s="36">
        <f>IF(DaybyDay[[#This Row],[_Space]],IFERROR(
((DaybyDay[[#This Row],[Actual-Rollup]]-DaybyDay[[#This Row],[LY-Rollup]])/DaybyDay[[#This Row],[LY-Rollup]]),0),"")</f>
        <v>0</v>
      </c>
      <c r="Z145"/>
      <c r="AA145" s="37" t="e">
        <f>IF(DaybyDay[[#This Row],[_Space]],DaybyDay[[#This Row],[Ret-Act-RU]]/DaybyDay[[#This Row],[Serv-Act-RU]],"")</f>
        <v>#DIV/0!</v>
      </c>
      <c r="AB145" s="50" t="e">
        <f>IF(DaybyDay[[#This Row],[_Space]],DaybyDay[[#This Row],[RETPEN-Act]]/DaybyDay[[#This Row],[RETPEN-Bud]],"")</f>
        <v>#DIV/0!</v>
      </c>
      <c r="AC145" s="37" t="e">
        <f>IF(DaybyDay[[#This Row],[_Space]],DaybyDay[[#This Row],[Ret-Bud-RU]]/DaybyDay[[#This Row],[Serv-Bud-RU]],"")</f>
        <v>#DIV/0!</v>
      </c>
      <c r="AD145" s="37" t="e">
        <f>IF(DaybyDay[[#This Row],[_Space]],DaybyDay[[#This Row],[Ret-LY-RU]]/DaybyDay[[#This Row],[Serv-LY-RU]],"")</f>
        <v>#DIV/0!</v>
      </c>
      <c r="AE145" s="30">
        <f>WEEKDAY(DaybyDay[[#This Row],[LY-Date]])</f>
        <v>6</v>
      </c>
      <c r="AF145" s="38">
        <f>$E$2+_xlfn.DAYS(DaybyDay[[#This Row],[Date]],minDate)</f>
        <v>42510</v>
      </c>
      <c r="AG145" s="39" t="str" cm="1">
        <f t="array" ref="AG145">IFERROR(INDEX(DaybyDay[],DaybyDay[[#This Row],[FORM_MATCH_HELPER]],8),"")</f>
        <v/>
      </c>
      <c r="AH145" s="39" t="str" cm="1">
        <f t="array" ref="AH145">IFERROR(INDEX(DaybyDay[],DaybyDay[[#This Row],[FORM_MATCH_HELPER]],10),"")</f>
        <v/>
      </c>
      <c r="AI145" s="39" t="str" cm="1">
        <f t="array" ref="AI145">IFERROR(INDEX(DaybyDay[],DaybyDay[[#This Row],[FORM_MATCH_HELPER]],12),"")</f>
        <v/>
      </c>
      <c r="AJ145" s="32">
        <f>IFERROR(DaybyDay[[#This Row],[Serv-LY-RU]]+DaybyDay[[#This Row],[Ret-LY-RU]],"")</f>
        <v>0</v>
      </c>
      <c r="AK1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5" s="77"/>
      <c r="AM145" s="40" t="str">
        <f>IF(DaybyDay[[#This Row],[Admin Hours]]&gt;0,DaybyDay[[#This Row],[Admin Hours]]*$AM$2+$AM$3,"")</f>
        <v/>
      </c>
      <c r="AN145" s="40">
        <f>SUMIFS(DaybyDay[Est-Admin-Payroll],DaybyDay[Date],"&gt;="&amp;$C$5,DaybyDay[RowYear],"&gt;="&amp;$C$4,DaybyDay[Date],"&lt;="&amp;DaybyDay[[#This Row],[Date]])</f>
        <v>0</v>
      </c>
      <c r="AO145" s="41" t="str">
        <f>IF(AND(DaybyDay[[#This Row],[_Space]],ISNUMBER(DaybyDay[[#This Row],[Admin Hours]])),DaybyDay[[#This Row],[Est-Admin-Payroll]]/(DaybyDay[[#This Row],[Service-Actuals]]+DaybyDay[[#This Row],[Retail-Actuals]]),"")</f>
        <v/>
      </c>
      <c r="AP145" s="41" t="e">
        <f>DaybyDay[[#This Row],[Estimated-Payroll-Rollup]]/DaybyDay[[#This Row],[Simple-Forecast]]</f>
        <v>#DIV/0!</v>
      </c>
      <c r="AQ1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5" s="77"/>
      <c r="AS145" s="40" t="str">
        <f>IF(DaybyDay[[#This Row],[Retail Hours]]&gt;0,DaybyDay[[#This Row],[Retail Hours]]*$AS$2,"")</f>
        <v/>
      </c>
      <c r="AT145" s="40">
        <f>SUMIFS(DaybyDay[Est-Retail-Payroll],DaybyDay[Date],"&gt;="&amp;$C$5,DaybyDay[RowYear],"&gt;="&amp;$C$4,DaybyDay[Date],"&lt;="&amp;DaybyDay[[#This Row],[Date]])</f>
        <v>0</v>
      </c>
      <c r="AU145" s="82" t="str">
        <f>IF(AND(DaybyDay[[#This Row],[_Space]],ISNUMBER(DaybyDay[[#This Row],[Retail Hours]])),DaybyDay[[#This Row],[Est-Retail-Payroll]]/(DaybyDay[[#This Row],[Retail-Actuals]]),"")</f>
        <v/>
      </c>
      <c r="AV145" s="82" t="e">
        <f>DaybyDay[[#This Row],[Est-Retail-PayrollRU]]/DaybyDay[[#This Row],[Simple-Forecast-Retail]]</f>
        <v>#DIV/0!</v>
      </c>
      <c r="AW145" s="8"/>
    </row>
    <row r="146" spans="3:49" hidden="1" x14ac:dyDescent="0.25">
      <c r="C146" s="26" t="str">
        <f>Tools!$C$1</f>
        <v>Example</v>
      </c>
      <c r="D146" s="27" t="s">
        <v>72</v>
      </c>
      <c r="E146" s="28">
        <v>2017</v>
      </c>
      <c r="F146" s="28">
        <f>MATCH(DaybyDay[[#This Row],[RowMonth]],Table3[SummaryMonth],0)</f>
        <v>5</v>
      </c>
      <c r="G146" s="29" t="e">
        <f>MATCH(DaybyDay[[#This Row],[LY-Date]],DaybyDay[Date],0)</f>
        <v>#N/A</v>
      </c>
      <c r="H146" s="30">
        <f>WEEKDAY(DaybyDay[[#This Row],[Date]])</f>
        <v>7</v>
      </c>
      <c r="I146" s="31">
        <v>42875</v>
      </c>
      <c r="J146" s="74">
        <v>29</v>
      </c>
      <c r="K146" s="32">
        <f>SUMIFS(BudgetSeasonality[365 Seasonality],BudgetSeasonality[MonthAdjustment],DaybyDay[[#This Row],[Date]])*SUMIFS(Budgets[Service-Budget],Budgets[BudgetMonth],DaybyDay[[#This Row],[RowMonth]],Budgets[BudgetYear],DaybyDay[[#This Row],[RowYear]])</f>
        <v>0</v>
      </c>
      <c r="L146" s="75">
        <v>7725.2</v>
      </c>
      <c r="M146" s="32">
        <f>INDEX(BudgetSeasonality[365 Seasonality],MATCH(DaybyDay[[#This Row],[Date]],BudgetSeasonality[MonthAdjustment],0))*SUMIFS(Budgets[Retail-Budget],Budgets[BudgetMonth],DaybyDay[[#This Row],[RowMonth]],Budgets[BudgetYear],DaybyDay[[#This Row],[RowYear]])</f>
        <v>0</v>
      </c>
      <c r="N146" s="75">
        <v>1258.73</v>
      </c>
      <c r="O146" s="33">
        <f>SUMIFS(DaybyDay[Service-Budgets],DaybyDay[Date],"&gt;="&amp;$C$5,DaybyDay[RowYear],"&gt;="&amp;$C$4,DaybyDay[Date],"&lt;="&amp;DaybyDay[[#This Row],[Date]])</f>
        <v>0</v>
      </c>
      <c r="P146" s="33">
        <f>SUMIFS(DaybyDay[Retail-Budgets],DaybyDay[Date],"&gt;="&amp;$C$5,DaybyDay[RowYear],"&gt;="&amp;$C$4,DaybyDay[Date],"&lt;="&amp;DaybyDay[[#This Row],[Date]])</f>
        <v>0</v>
      </c>
      <c r="Q146" s="34">
        <f>SUMIFS(DaybyDay[Service-Actuals],DaybyDay[Date],"&gt;="&amp;$C$5,DaybyDay[RowYear],"&gt;="&amp;$C$4,DaybyDay[Date],"&lt;="&amp;DaybyDay[[#This Row],[Date]])</f>
        <v>0</v>
      </c>
      <c r="R146" s="34">
        <f>SUMIFS(DaybyDay[Retail-Actuals],DaybyDay[Date],"&gt;="&amp;$C$5,DaybyDay[RowYear],"&gt;="&amp;$C$4,DaybyDay[Date],"&lt;="&amp;DaybyDay[[#This Row],[Date]])</f>
        <v>0</v>
      </c>
      <c r="S146" s="35">
        <f>SUMIFS(DaybyDay[Service-LY],DaybyDay[Date],"&gt;="&amp;$C$5,DaybyDay[RowYear],"&gt;="&amp;$C$4,DaybyDay[Date],"&lt;="&amp;DaybyDay[[#This Row],[Date]])</f>
        <v>0</v>
      </c>
      <c r="T146" s="35">
        <f>SUMIFS(DaybyDay[Retail-LY],DaybyDay[Date],"&gt;="&amp;$C$5,DaybyDay[RowYear],"&gt;="&amp;$C$4,DaybyDay[Date],"&lt;="&amp;DaybyDay[[#This Row],[Date]])</f>
        <v>0</v>
      </c>
      <c r="U146" s="32">
        <f>DaybyDay[[#This Row],[Serv-Bud-RU]]+DaybyDay[[#This Row],[Ret-Bud-RU]]</f>
        <v>0</v>
      </c>
      <c r="V146" s="32">
        <f>DaybyDay[[#This Row],[Serv-Act-RU]]+DaybyDay[[#This Row],[Ret-Act-RU]]</f>
        <v>0</v>
      </c>
      <c r="W146" s="36">
        <f>IF(DaybyDay[[#This Row],[_Space]],IFERROR(
((DaybyDay[[#This Row],[Actual-Rollup]]-DaybyDay[[#This Row],[Budget-Rollup]])/DaybyDay[[#This Row],[Budget-Rollup]]),0),"")</f>
        <v>0</v>
      </c>
      <c r="X146" t="b">
        <f>NOT(AND(ISBLANK(DaybyDay[[#This Row],[Appts]]),ISBLANK(DaybyDay[[#This Row],[Service-Actuals]]),ISBLANK(DaybyDay[[#This Row],[Retail-Actuals]])))</f>
        <v>1</v>
      </c>
      <c r="Y146" s="36">
        <f>IF(DaybyDay[[#This Row],[_Space]],IFERROR(
((DaybyDay[[#This Row],[Actual-Rollup]]-DaybyDay[[#This Row],[LY-Rollup]])/DaybyDay[[#This Row],[LY-Rollup]]),0),"")</f>
        <v>0</v>
      </c>
      <c r="Z146"/>
      <c r="AA146" s="37" t="e">
        <f>IF(DaybyDay[[#This Row],[_Space]],DaybyDay[[#This Row],[Ret-Act-RU]]/DaybyDay[[#This Row],[Serv-Act-RU]],"")</f>
        <v>#DIV/0!</v>
      </c>
      <c r="AB146" s="50" t="e">
        <f>IF(DaybyDay[[#This Row],[_Space]],DaybyDay[[#This Row],[RETPEN-Act]]/DaybyDay[[#This Row],[RETPEN-Bud]],"")</f>
        <v>#DIV/0!</v>
      </c>
      <c r="AC146" s="37" t="e">
        <f>IF(DaybyDay[[#This Row],[_Space]],DaybyDay[[#This Row],[Ret-Bud-RU]]/DaybyDay[[#This Row],[Serv-Bud-RU]],"")</f>
        <v>#DIV/0!</v>
      </c>
      <c r="AD146" s="37" t="e">
        <f>IF(DaybyDay[[#This Row],[_Space]],DaybyDay[[#This Row],[Ret-LY-RU]]/DaybyDay[[#This Row],[Serv-LY-RU]],"")</f>
        <v>#DIV/0!</v>
      </c>
      <c r="AE146" s="30">
        <f>WEEKDAY(DaybyDay[[#This Row],[LY-Date]])</f>
        <v>7</v>
      </c>
      <c r="AF146" s="38">
        <f>$E$2+_xlfn.DAYS(DaybyDay[[#This Row],[Date]],minDate)</f>
        <v>42511</v>
      </c>
      <c r="AG146" s="39" t="str" cm="1">
        <f t="array" ref="AG146">IFERROR(INDEX(DaybyDay[],DaybyDay[[#This Row],[FORM_MATCH_HELPER]],8),"")</f>
        <v/>
      </c>
      <c r="AH146" s="39" t="str" cm="1">
        <f t="array" ref="AH146">IFERROR(INDEX(DaybyDay[],DaybyDay[[#This Row],[FORM_MATCH_HELPER]],10),"")</f>
        <v/>
      </c>
      <c r="AI146" s="39" t="str" cm="1">
        <f t="array" ref="AI146">IFERROR(INDEX(DaybyDay[],DaybyDay[[#This Row],[FORM_MATCH_HELPER]],12),"")</f>
        <v/>
      </c>
      <c r="AJ146" s="32">
        <f>IFERROR(DaybyDay[[#This Row],[Serv-LY-RU]]+DaybyDay[[#This Row],[Ret-LY-RU]],"")</f>
        <v>0</v>
      </c>
      <c r="AK1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6" s="77"/>
      <c r="AM146" s="40" t="str">
        <f>IF(DaybyDay[[#This Row],[Admin Hours]]&gt;0,DaybyDay[[#This Row],[Admin Hours]]*$AM$2+$AM$3,"")</f>
        <v/>
      </c>
      <c r="AN146" s="40">
        <f>SUMIFS(DaybyDay[Est-Admin-Payroll],DaybyDay[Date],"&gt;="&amp;$C$5,DaybyDay[RowYear],"&gt;="&amp;$C$4,DaybyDay[Date],"&lt;="&amp;DaybyDay[[#This Row],[Date]])</f>
        <v>0</v>
      </c>
      <c r="AO146" s="41" t="str">
        <f>IF(AND(DaybyDay[[#This Row],[_Space]],ISNUMBER(DaybyDay[[#This Row],[Admin Hours]])),DaybyDay[[#This Row],[Est-Admin-Payroll]]/(DaybyDay[[#This Row],[Service-Actuals]]+DaybyDay[[#This Row],[Retail-Actuals]]),"")</f>
        <v/>
      </c>
      <c r="AP146" s="41" t="e">
        <f>DaybyDay[[#This Row],[Estimated-Payroll-Rollup]]/DaybyDay[[#This Row],[Simple-Forecast]]</f>
        <v>#DIV/0!</v>
      </c>
      <c r="AQ1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6" s="77"/>
      <c r="AS146" s="40" t="str">
        <f>IF(DaybyDay[[#This Row],[Retail Hours]]&gt;0,DaybyDay[[#This Row],[Retail Hours]]*$AS$2,"")</f>
        <v/>
      </c>
      <c r="AT146" s="40">
        <f>SUMIFS(DaybyDay[Est-Retail-Payroll],DaybyDay[Date],"&gt;="&amp;$C$5,DaybyDay[RowYear],"&gt;="&amp;$C$4,DaybyDay[Date],"&lt;="&amp;DaybyDay[[#This Row],[Date]])</f>
        <v>0</v>
      </c>
      <c r="AU146" s="82" t="str">
        <f>IF(AND(DaybyDay[[#This Row],[_Space]],ISNUMBER(DaybyDay[[#This Row],[Retail Hours]])),DaybyDay[[#This Row],[Est-Retail-Payroll]]/(DaybyDay[[#This Row],[Retail-Actuals]]),"")</f>
        <v/>
      </c>
      <c r="AV146" s="82" t="e">
        <f>DaybyDay[[#This Row],[Est-Retail-PayrollRU]]/DaybyDay[[#This Row],[Simple-Forecast-Retail]]</f>
        <v>#DIV/0!</v>
      </c>
      <c r="AW146" s="8"/>
    </row>
    <row r="147" spans="3:49" hidden="1" x14ac:dyDescent="0.25">
      <c r="C147" s="26" t="str">
        <f>Tools!$C$1</f>
        <v>Example</v>
      </c>
      <c r="D147" s="27" t="s">
        <v>72</v>
      </c>
      <c r="E147" s="28">
        <v>2017</v>
      </c>
      <c r="F147" s="28">
        <f>MATCH(DaybyDay[[#This Row],[RowMonth]],Table3[SummaryMonth],0)</f>
        <v>5</v>
      </c>
      <c r="G147" s="29" t="e">
        <f>MATCH(DaybyDay[[#This Row],[LY-Date]],DaybyDay[Date],0)</f>
        <v>#N/A</v>
      </c>
      <c r="H147" s="30">
        <f>WEEKDAY(DaybyDay[[#This Row],[Date]])</f>
        <v>1</v>
      </c>
      <c r="I147" s="31">
        <v>42876</v>
      </c>
      <c r="J147" s="74">
        <v>41</v>
      </c>
      <c r="K147" s="32">
        <f>SUMIFS(BudgetSeasonality[365 Seasonality],BudgetSeasonality[MonthAdjustment],DaybyDay[[#This Row],[Date]])*SUMIFS(Budgets[Service-Budget],Budgets[BudgetMonth],DaybyDay[[#This Row],[RowMonth]],Budgets[BudgetYear],DaybyDay[[#This Row],[RowYear]])</f>
        <v>0</v>
      </c>
      <c r="L147" s="75">
        <v>7650.8</v>
      </c>
      <c r="M147" s="32">
        <f>INDEX(BudgetSeasonality[365 Seasonality],MATCH(DaybyDay[[#This Row],[Date]],BudgetSeasonality[MonthAdjustment],0))*SUMIFS(Budgets[Retail-Budget],Budgets[BudgetMonth],DaybyDay[[#This Row],[RowMonth]],Budgets[BudgetYear],DaybyDay[[#This Row],[RowYear]])</f>
        <v>0</v>
      </c>
      <c r="N147" s="75">
        <v>559.5</v>
      </c>
      <c r="O147" s="33">
        <f>SUMIFS(DaybyDay[Service-Budgets],DaybyDay[Date],"&gt;="&amp;$C$5,DaybyDay[RowYear],"&gt;="&amp;$C$4,DaybyDay[Date],"&lt;="&amp;DaybyDay[[#This Row],[Date]])</f>
        <v>0</v>
      </c>
      <c r="P147" s="33">
        <f>SUMIFS(DaybyDay[Retail-Budgets],DaybyDay[Date],"&gt;="&amp;$C$5,DaybyDay[RowYear],"&gt;="&amp;$C$4,DaybyDay[Date],"&lt;="&amp;DaybyDay[[#This Row],[Date]])</f>
        <v>0</v>
      </c>
      <c r="Q147" s="34">
        <f>SUMIFS(DaybyDay[Service-Actuals],DaybyDay[Date],"&gt;="&amp;$C$5,DaybyDay[RowYear],"&gt;="&amp;$C$4,DaybyDay[Date],"&lt;="&amp;DaybyDay[[#This Row],[Date]])</f>
        <v>0</v>
      </c>
      <c r="R147" s="34">
        <f>SUMIFS(DaybyDay[Retail-Actuals],DaybyDay[Date],"&gt;="&amp;$C$5,DaybyDay[RowYear],"&gt;="&amp;$C$4,DaybyDay[Date],"&lt;="&amp;DaybyDay[[#This Row],[Date]])</f>
        <v>0</v>
      </c>
      <c r="S147" s="35">
        <f>SUMIFS(DaybyDay[Service-LY],DaybyDay[Date],"&gt;="&amp;$C$5,DaybyDay[RowYear],"&gt;="&amp;$C$4,DaybyDay[Date],"&lt;="&amp;DaybyDay[[#This Row],[Date]])</f>
        <v>0</v>
      </c>
      <c r="T147" s="35">
        <f>SUMIFS(DaybyDay[Retail-LY],DaybyDay[Date],"&gt;="&amp;$C$5,DaybyDay[RowYear],"&gt;="&amp;$C$4,DaybyDay[Date],"&lt;="&amp;DaybyDay[[#This Row],[Date]])</f>
        <v>0</v>
      </c>
      <c r="U147" s="32">
        <f>DaybyDay[[#This Row],[Serv-Bud-RU]]+DaybyDay[[#This Row],[Ret-Bud-RU]]</f>
        <v>0</v>
      </c>
      <c r="V147" s="32">
        <f>DaybyDay[[#This Row],[Serv-Act-RU]]+DaybyDay[[#This Row],[Ret-Act-RU]]</f>
        <v>0</v>
      </c>
      <c r="W147" s="36">
        <f>IF(DaybyDay[[#This Row],[_Space]],IFERROR(
((DaybyDay[[#This Row],[Actual-Rollup]]-DaybyDay[[#This Row],[Budget-Rollup]])/DaybyDay[[#This Row],[Budget-Rollup]]),0),"")</f>
        <v>0</v>
      </c>
      <c r="X147" t="b">
        <f>NOT(AND(ISBLANK(DaybyDay[[#This Row],[Appts]]),ISBLANK(DaybyDay[[#This Row],[Service-Actuals]]),ISBLANK(DaybyDay[[#This Row],[Retail-Actuals]])))</f>
        <v>1</v>
      </c>
      <c r="Y147" s="36">
        <f>IF(DaybyDay[[#This Row],[_Space]],IFERROR(
((DaybyDay[[#This Row],[Actual-Rollup]]-DaybyDay[[#This Row],[LY-Rollup]])/DaybyDay[[#This Row],[LY-Rollup]]),0),"")</f>
        <v>0</v>
      </c>
      <c r="Z147"/>
      <c r="AA147" s="37" t="e">
        <f>IF(DaybyDay[[#This Row],[_Space]],DaybyDay[[#This Row],[Ret-Act-RU]]/DaybyDay[[#This Row],[Serv-Act-RU]],"")</f>
        <v>#DIV/0!</v>
      </c>
      <c r="AB147" s="50" t="e">
        <f>IF(DaybyDay[[#This Row],[_Space]],DaybyDay[[#This Row],[RETPEN-Act]]/DaybyDay[[#This Row],[RETPEN-Bud]],"")</f>
        <v>#DIV/0!</v>
      </c>
      <c r="AC147" s="37" t="e">
        <f>IF(DaybyDay[[#This Row],[_Space]],DaybyDay[[#This Row],[Ret-Bud-RU]]/DaybyDay[[#This Row],[Serv-Bud-RU]],"")</f>
        <v>#DIV/0!</v>
      </c>
      <c r="AD147" s="37" t="e">
        <f>IF(DaybyDay[[#This Row],[_Space]],DaybyDay[[#This Row],[Ret-LY-RU]]/DaybyDay[[#This Row],[Serv-LY-RU]],"")</f>
        <v>#DIV/0!</v>
      </c>
      <c r="AE147" s="30">
        <f>WEEKDAY(DaybyDay[[#This Row],[LY-Date]])</f>
        <v>1</v>
      </c>
      <c r="AF147" s="38">
        <f>$E$2+_xlfn.DAYS(DaybyDay[[#This Row],[Date]],minDate)</f>
        <v>42512</v>
      </c>
      <c r="AG147" s="39" t="str" cm="1">
        <f t="array" ref="AG147">IFERROR(INDEX(DaybyDay[],DaybyDay[[#This Row],[FORM_MATCH_HELPER]],8),"")</f>
        <v/>
      </c>
      <c r="AH147" s="39" t="str" cm="1">
        <f t="array" ref="AH147">IFERROR(INDEX(DaybyDay[],DaybyDay[[#This Row],[FORM_MATCH_HELPER]],10),"")</f>
        <v/>
      </c>
      <c r="AI147" s="39" t="str" cm="1">
        <f t="array" ref="AI147">IFERROR(INDEX(DaybyDay[],DaybyDay[[#This Row],[FORM_MATCH_HELPER]],12),"")</f>
        <v/>
      </c>
      <c r="AJ147" s="32">
        <f>IFERROR(DaybyDay[[#This Row],[Serv-LY-RU]]+DaybyDay[[#This Row],[Ret-LY-RU]],"")</f>
        <v>0</v>
      </c>
      <c r="AK1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7" s="77"/>
      <c r="AM147" s="40" t="str">
        <f>IF(DaybyDay[[#This Row],[Admin Hours]]&gt;0,DaybyDay[[#This Row],[Admin Hours]]*$AM$2+$AM$3,"")</f>
        <v/>
      </c>
      <c r="AN147" s="40">
        <f>SUMIFS(DaybyDay[Est-Admin-Payroll],DaybyDay[Date],"&gt;="&amp;$C$5,DaybyDay[RowYear],"&gt;="&amp;$C$4,DaybyDay[Date],"&lt;="&amp;DaybyDay[[#This Row],[Date]])</f>
        <v>0</v>
      </c>
      <c r="AO147" s="41" t="str">
        <f>IF(AND(DaybyDay[[#This Row],[_Space]],ISNUMBER(DaybyDay[[#This Row],[Admin Hours]])),DaybyDay[[#This Row],[Est-Admin-Payroll]]/(DaybyDay[[#This Row],[Service-Actuals]]+DaybyDay[[#This Row],[Retail-Actuals]]),"")</f>
        <v/>
      </c>
      <c r="AP147" s="41" t="e">
        <f>DaybyDay[[#This Row],[Estimated-Payroll-Rollup]]/DaybyDay[[#This Row],[Simple-Forecast]]</f>
        <v>#DIV/0!</v>
      </c>
      <c r="AQ1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7" s="77"/>
      <c r="AS147" s="40" t="str">
        <f>IF(DaybyDay[[#This Row],[Retail Hours]]&gt;0,DaybyDay[[#This Row],[Retail Hours]]*$AS$2,"")</f>
        <v/>
      </c>
      <c r="AT147" s="40">
        <f>SUMIFS(DaybyDay[Est-Retail-Payroll],DaybyDay[Date],"&gt;="&amp;$C$5,DaybyDay[RowYear],"&gt;="&amp;$C$4,DaybyDay[Date],"&lt;="&amp;DaybyDay[[#This Row],[Date]])</f>
        <v>0</v>
      </c>
      <c r="AU147" s="82" t="str">
        <f>IF(AND(DaybyDay[[#This Row],[_Space]],ISNUMBER(DaybyDay[[#This Row],[Retail Hours]])),DaybyDay[[#This Row],[Est-Retail-Payroll]]/(DaybyDay[[#This Row],[Retail-Actuals]]),"")</f>
        <v/>
      </c>
      <c r="AV147" s="82" t="e">
        <f>DaybyDay[[#This Row],[Est-Retail-PayrollRU]]/DaybyDay[[#This Row],[Simple-Forecast-Retail]]</f>
        <v>#DIV/0!</v>
      </c>
      <c r="AW147" s="8"/>
    </row>
    <row r="148" spans="3:49" hidden="1" x14ac:dyDescent="0.25">
      <c r="C148" s="26" t="str">
        <f>Tools!$C$1</f>
        <v>Example</v>
      </c>
      <c r="D148" s="27" t="s">
        <v>72</v>
      </c>
      <c r="E148" s="28">
        <v>2017</v>
      </c>
      <c r="F148" s="28">
        <f>MATCH(DaybyDay[[#This Row],[RowMonth]],Table3[SummaryMonth],0)</f>
        <v>5</v>
      </c>
      <c r="G148" s="29" t="e">
        <f>MATCH(DaybyDay[[#This Row],[LY-Date]],DaybyDay[Date],0)</f>
        <v>#N/A</v>
      </c>
      <c r="H148" s="30">
        <f>WEEKDAY(DaybyDay[[#This Row],[Date]])</f>
        <v>2</v>
      </c>
      <c r="I148" s="31">
        <v>42877</v>
      </c>
      <c r="J148" s="74">
        <v>27</v>
      </c>
      <c r="K148" s="32">
        <f>SUMIFS(BudgetSeasonality[365 Seasonality],BudgetSeasonality[MonthAdjustment],DaybyDay[[#This Row],[Date]])*SUMIFS(Budgets[Service-Budget],Budgets[BudgetMonth],DaybyDay[[#This Row],[RowMonth]],Budgets[BudgetYear],DaybyDay[[#This Row],[RowYear]])</f>
        <v>0</v>
      </c>
      <c r="L148" s="75">
        <v>5591</v>
      </c>
      <c r="M148" s="32">
        <f>INDEX(BudgetSeasonality[365 Seasonality],MATCH(DaybyDay[[#This Row],[Date]],BudgetSeasonality[MonthAdjustment],0))*SUMIFS(Budgets[Retail-Budget],Budgets[BudgetMonth],DaybyDay[[#This Row],[RowMonth]],Budgets[BudgetYear],DaybyDay[[#This Row],[RowYear]])</f>
        <v>0</v>
      </c>
      <c r="N148" s="75">
        <v>986.05</v>
      </c>
      <c r="O148" s="33">
        <f>SUMIFS(DaybyDay[Service-Budgets],DaybyDay[Date],"&gt;="&amp;$C$5,DaybyDay[RowYear],"&gt;="&amp;$C$4,DaybyDay[Date],"&lt;="&amp;DaybyDay[[#This Row],[Date]])</f>
        <v>0</v>
      </c>
      <c r="P148" s="33">
        <f>SUMIFS(DaybyDay[Retail-Budgets],DaybyDay[Date],"&gt;="&amp;$C$5,DaybyDay[RowYear],"&gt;="&amp;$C$4,DaybyDay[Date],"&lt;="&amp;DaybyDay[[#This Row],[Date]])</f>
        <v>0</v>
      </c>
      <c r="Q148" s="34">
        <f>SUMIFS(DaybyDay[Service-Actuals],DaybyDay[Date],"&gt;="&amp;$C$5,DaybyDay[RowYear],"&gt;="&amp;$C$4,DaybyDay[Date],"&lt;="&amp;DaybyDay[[#This Row],[Date]])</f>
        <v>0</v>
      </c>
      <c r="R148" s="34">
        <f>SUMIFS(DaybyDay[Retail-Actuals],DaybyDay[Date],"&gt;="&amp;$C$5,DaybyDay[RowYear],"&gt;="&amp;$C$4,DaybyDay[Date],"&lt;="&amp;DaybyDay[[#This Row],[Date]])</f>
        <v>0</v>
      </c>
      <c r="S148" s="35">
        <f>SUMIFS(DaybyDay[Service-LY],DaybyDay[Date],"&gt;="&amp;$C$5,DaybyDay[RowYear],"&gt;="&amp;$C$4,DaybyDay[Date],"&lt;="&amp;DaybyDay[[#This Row],[Date]])</f>
        <v>0</v>
      </c>
      <c r="T148" s="35">
        <f>SUMIFS(DaybyDay[Retail-LY],DaybyDay[Date],"&gt;="&amp;$C$5,DaybyDay[RowYear],"&gt;="&amp;$C$4,DaybyDay[Date],"&lt;="&amp;DaybyDay[[#This Row],[Date]])</f>
        <v>0</v>
      </c>
      <c r="U148" s="32">
        <f>DaybyDay[[#This Row],[Serv-Bud-RU]]+DaybyDay[[#This Row],[Ret-Bud-RU]]</f>
        <v>0</v>
      </c>
      <c r="V148" s="32">
        <f>DaybyDay[[#This Row],[Serv-Act-RU]]+DaybyDay[[#This Row],[Ret-Act-RU]]</f>
        <v>0</v>
      </c>
      <c r="W148" s="36">
        <f>IF(DaybyDay[[#This Row],[_Space]],IFERROR(
((DaybyDay[[#This Row],[Actual-Rollup]]-DaybyDay[[#This Row],[Budget-Rollup]])/DaybyDay[[#This Row],[Budget-Rollup]]),0),"")</f>
        <v>0</v>
      </c>
      <c r="X148" t="b">
        <f>NOT(AND(ISBLANK(DaybyDay[[#This Row],[Appts]]),ISBLANK(DaybyDay[[#This Row],[Service-Actuals]]),ISBLANK(DaybyDay[[#This Row],[Retail-Actuals]])))</f>
        <v>1</v>
      </c>
      <c r="Y148" s="36">
        <f>IF(DaybyDay[[#This Row],[_Space]],IFERROR(
((DaybyDay[[#This Row],[Actual-Rollup]]-DaybyDay[[#This Row],[LY-Rollup]])/DaybyDay[[#This Row],[LY-Rollup]]),0),"")</f>
        <v>0</v>
      </c>
      <c r="Z148"/>
      <c r="AA148" s="37" t="e">
        <f>IF(DaybyDay[[#This Row],[_Space]],DaybyDay[[#This Row],[Ret-Act-RU]]/DaybyDay[[#This Row],[Serv-Act-RU]],"")</f>
        <v>#DIV/0!</v>
      </c>
      <c r="AB148" s="50" t="e">
        <f>IF(DaybyDay[[#This Row],[_Space]],DaybyDay[[#This Row],[RETPEN-Act]]/DaybyDay[[#This Row],[RETPEN-Bud]],"")</f>
        <v>#DIV/0!</v>
      </c>
      <c r="AC148" s="37" t="e">
        <f>IF(DaybyDay[[#This Row],[_Space]],DaybyDay[[#This Row],[Ret-Bud-RU]]/DaybyDay[[#This Row],[Serv-Bud-RU]],"")</f>
        <v>#DIV/0!</v>
      </c>
      <c r="AD148" s="37" t="e">
        <f>IF(DaybyDay[[#This Row],[_Space]],DaybyDay[[#This Row],[Ret-LY-RU]]/DaybyDay[[#This Row],[Serv-LY-RU]],"")</f>
        <v>#DIV/0!</v>
      </c>
      <c r="AE148" s="30">
        <f>WEEKDAY(DaybyDay[[#This Row],[LY-Date]])</f>
        <v>2</v>
      </c>
      <c r="AF148" s="38">
        <f>$E$2+_xlfn.DAYS(DaybyDay[[#This Row],[Date]],minDate)</f>
        <v>42513</v>
      </c>
      <c r="AG148" s="39" t="str" cm="1">
        <f t="array" ref="AG148">IFERROR(INDEX(DaybyDay[],DaybyDay[[#This Row],[FORM_MATCH_HELPER]],8),"")</f>
        <v/>
      </c>
      <c r="AH148" s="39" t="str" cm="1">
        <f t="array" ref="AH148">IFERROR(INDEX(DaybyDay[],DaybyDay[[#This Row],[FORM_MATCH_HELPER]],10),"")</f>
        <v/>
      </c>
      <c r="AI148" s="39" t="str" cm="1">
        <f t="array" ref="AI148">IFERROR(INDEX(DaybyDay[],DaybyDay[[#This Row],[FORM_MATCH_HELPER]],12),"")</f>
        <v/>
      </c>
      <c r="AJ148" s="32">
        <f>IFERROR(DaybyDay[[#This Row],[Serv-LY-RU]]+DaybyDay[[#This Row],[Ret-LY-RU]],"")</f>
        <v>0</v>
      </c>
      <c r="AK1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8" s="77"/>
      <c r="AM148" s="40" t="str">
        <f>IF(DaybyDay[[#This Row],[Admin Hours]]&gt;0,DaybyDay[[#This Row],[Admin Hours]]*$AM$2+$AM$3,"")</f>
        <v/>
      </c>
      <c r="AN148" s="40">
        <f>SUMIFS(DaybyDay[Est-Admin-Payroll],DaybyDay[Date],"&gt;="&amp;$C$5,DaybyDay[RowYear],"&gt;="&amp;$C$4,DaybyDay[Date],"&lt;="&amp;DaybyDay[[#This Row],[Date]])</f>
        <v>0</v>
      </c>
      <c r="AO148" s="41" t="str">
        <f>IF(AND(DaybyDay[[#This Row],[_Space]],ISNUMBER(DaybyDay[[#This Row],[Admin Hours]])),DaybyDay[[#This Row],[Est-Admin-Payroll]]/(DaybyDay[[#This Row],[Service-Actuals]]+DaybyDay[[#This Row],[Retail-Actuals]]),"")</f>
        <v/>
      </c>
      <c r="AP148" s="41" t="e">
        <f>DaybyDay[[#This Row],[Estimated-Payroll-Rollup]]/DaybyDay[[#This Row],[Simple-Forecast]]</f>
        <v>#DIV/0!</v>
      </c>
      <c r="AQ1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8" s="77"/>
      <c r="AS148" s="40" t="str">
        <f>IF(DaybyDay[[#This Row],[Retail Hours]]&gt;0,DaybyDay[[#This Row],[Retail Hours]]*$AS$2,"")</f>
        <v/>
      </c>
      <c r="AT148" s="40">
        <f>SUMIFS(DaybyDay[Est-Retail-Payroll],DaybyDay[Date],"&gt;="&amp;$C$5,DaybyDay[RowYear],"&gt;="&amp;$C$4,DaybyDay[Date],"&lt;="&amp;DaybyDay[[#This Row],[Date]])</f>
        <v>0</v>
      </c>
      <c r="AU148" s="82" t="str">
        <f>IF(AND(DaybyDay[[#This Row],[_Space]],ISNUMBER(DaybyDay[[#This Row],[Retail Hours]])),DaybyDay[[#This Row],[Est-Retail-Payroll]]/(DaybyDay[[#This Row],[Retail-Actuals]]),"")</f>
        <v/>
      </c>
      <c r="AV148" s="82" t="e">
        <f>DaybyDay[[#This Row],[Est-Retail-PayrollRU]]/DaybyDay[[#This Row],[Simple-Forecast-Retail]]</f>
        <v>#DIV/0!</v>
      </c>
      <c r="AW148" s="8"/>
    </row>
    <row r="149" spans="3:49" hidden="1" x14ac:dyDescent="0.25">
      <c r="C149" s="26" t="str">
        <f>Tools!$C$1</f>
        <v>Example</v>
      </c>
      <c r="D149" s="27" t="s">
        <v>72</v>
      </c>
      <c r="E149" s="28">
        <v>2017</v>
      </c>
      <c r="F149" s="28">
        <f>MATCH(DaybyDay[[#This Row],[RowMonth]],Table3[SummaryMonth],0)</f>
        <v>5</v>
      </c>
      <c r="G149" s="29" t="e">
        <f>MATCH(DaybyDay[[#This Row],[LY-Date]],DaybyDay[Date],0)</f>
        <v>#N/A</v>
      </c>
      <c r="H149" s="30">
        <f>WEEKDAY(DaybyDay[[#This Row],[Date]])</f>
        <v>3</v>
      </c>
      <c r="I149" s="31">
        <v>42878</v>
      </c>
      <c r="J149" s="74">
        <v>14</v>
      </c>
      <c r="K149" s="32">
        <f>SUMIFS(BudgetSeasonality[365 Seasonality],BudgetSeasonality[MonthAdjustment],DaybyDay[[#This Row],[Date]])*SUMIFS(Budgets[Service-Budget],Budgets[BudgetMonth],DaybyDay[[#This Row],[RowMonth]],Budgets[BudgetYear],DaybyDay[[#This Row],[RowYear]])</f>
        <v>0</v>
      </c>
      <c r="L149" s="75">
        <v>2719.6</v>
      </c>
      <c r="M149" s="32">
        <f>INDEX(BudgetSeasonality[365 Seasonality],MATCH(DaybyDay[[#This Row],[Date]],BudgetSeasonality[MonthAdjustment],0))*SUMIFS(Budgets[Retail-Budget],Budgets[BudgetMonth],DaybyDay[[#This Row],[RowMonth]],Budgets[BudgetYear],DaybyDay[[#This Row],[RowYear]])</f>
        <v>0</v>
      </c>
      <c r="N149" s="75">
        <v>256</v>
      </c>
      <c r="O149" s="33">
        <f>SUMIFS(DaybyDay[Service-Budgets],DaybyDay[Date],"&gt;="&amp;$C$5,DaybyDay[RowYear],"&gt;="&amp;$C$4,DaybyDay[Date],"&lt;="&amp;DaybyDay[[#This Row],[Date]])</f>
        <v>0</v>
      </c>
      <c r="P149" s="33">
        <f>SUMIFS(DaybyDay[Retail-Budgets],DaybyDay[Date],"&gt;="&amp;$C$5,DaybyDay[RowYear],"&gt;="&amp;$C$4,DaybyDay[Date],"&lt;="&amp;DaybyDay[[#This Row],[Date]])</f>
        <v>0</v>
      </c>
      <c r="Q149" s="34">
        <f>SUMIFS(DaybyDay[Service-Actuals],DaybyDay[Date],"&gt;="&amp;$C$5,DaybyDay[RowYear],"&gt;="&amp;$C$4,DaybyDay[Date],"&lt;="&amp;DaybyDay[[#This Row],[Date]])</f>
        <v>0</v>
      </c>
      <c r="R149" s="34">
        <f>SUMIFS(DaybyDay[Retail-Actuals],DaybyDay[Date],"&gt;="&amp;$C$5,DaybyDay[RowYear],"&gt;="&amp;$C$4,DaybyDay[Date],"&lt;="&amp;DaybyDay[[#This Row],[Date]])</f>
        <v>0</v>
      </c>
      <c r="S149" s="35">
        <f>SUMIFS(DaybyDay[Service-LY],DaybyDay[Date],"&gt;="&amp;$C$5,DaybyDay[RowYear],"&gt;="&amp;$C$4,DaybyDay[Date],"&lt;="&amp;DaybyDay[[#This Row],[Date]])</f>
        <v>0</v>
      </c>
      <c r="T149" s="35">
        <f>SUMIFS(DaybyDay[Retail-LY],DaybyDay[Date],"&gt;="&amp;$C$5,DaybyDay[RowYear],"&gt;="&amp;$C$4,DaybyDay[Date],"&lt;="&amp;DaybyDay[[#This Row],[Date]])</f>
        <v>0</v>
      </c>
      <c r="U149" s="32">
        <f>DaybyDay[[#This Row],[Serv-Bud-RU]]+DaybyDay[[#This Row],[Ret-Bud-RU]]</f>
        <v>0</v>
      </c>
      <c r="V149" s="32">
        <f>DaybyDay[[#This Row],[Serv-Act-RU]]+DaybyDay[[#This Row],[Ret-Act-RU]]</f>
        <v>0</v>
      </c>
      <c r="W149" s="36">
        <f>IF(DaybyDay[[#This Row],[_Space]],IFERROR(
((DaybyDay[[#This Row],[Actual-Rollup]]-DaybyDay[[#This Row],[Budget-Rollup]])/DaybyDay[[#This Row],[Budget-Rollup]]),0),"")</f>
        <v>0</v>
      </c>
      <c r="X149" t="b">
        <f>NOT(AND(ISBLANK(DaybyDay[[#This Row],[Appts]]),ISBLANK(DaybyDay[[#This Row],[Service-Actuals]]),ISBLANK(DaybyDay[[#This Row],[Retail-Actuals]])))</f>
        <v>1</v>
      </c>
      <c r="Y149" s="36">
        <f>IF(DaybyDay[[#This Row],[_Space]],IFERROR(
((DaybyDay[[#This Row],[Actual-Rollup]]-DaybyDay[[#This Row],[LY-Rollup]])/DaybyDay[[#This Row],[LY-Rollup]]),0),"")</f>
        <v>0</v>
      </c>
      <c r="Z149"/>
      <c r="AA149" s="37" t="e">
        <f>IF(DaybyDay[[#This Row],[_Space]],DaybyDay[[#This Row],[Ret-Act-RU]]/DaybyDay[[#This Row],[Serv-Act-RU]],"")</f>
        <v>#DIV/0!</v>
      </c>
      <c r="AB149" s="50" t="e">
        <f>IF(DaybyDay[[#This Row],[_Space]],DaybyDay[[#This Row],[RETPEN-Act]]/DaybyDay[[#This Row],[RETPEN-Bud]],"")</f>
        <v>#DIV/0!</v>
      </c>
      <c r="AC149" s="37" t="e">
        <f>IF(DaybyDay[[#This Row],[_Space]],DaybyDay[[#This Row],[Ret-Bud-RU]]/DaybyDay[[#This Row],[Serv-Bud-RU]],"")</f>
        <v>#DIV/0!</v>
      </c>
      <c r="AD149" s="37" t="e">
        <f>IF(DaybyDay[[#This Row],[_Space]],DaybyDay[[#This Row],[Ret-LY-RU]]/DaybyDay[[#This Row],[Serv-LY-RU]],"")</f>
        <v>#DIV/0!</v>
      </c>
      <c r="AE149" s="30">
        <f>WEEKDAY(DaybyDay[[#This Row],[LY-Date]])</f>
        <v>3</v>
      </c>
      <c r="AF149" s="38">
        <f>$E$2+_xlfn.DAYS(DaybyDay[[#This Row],[Date]],minDate)</f>
        <v>42514</v>
      </c>
      <c r="AG149" s="39" t="str" cm="1">
        <f t="array" ref="AG149">IFERROR(INDEX(DaybyDay[],DaybyDay[[#This Row],[FORM_MATCH_HELPER]],8),"")</f>
        <v/>
      </c>
      <c r="AH149" s="39" t="str" cm="1">
        <f t="array" ref="AH149">IFERROR(INDEX(DaybyDay[],DaybyDay[[#This Row],[FORM_MATCH_HELPER]],10),"")</f>
        <v/>
      </c>
      <c r="AI149" s="39" t="str" cm="1">
        <f t="array" ref="AI149">IFERROR(INDEX(DaybyDay[],DaybyDay[[#This Row],[FORM_MATCH_HELPER]],12),"")</f>
        <v/>
      </c>
      <c r="AJ149" s="32">
        <f>IFERROR(DaybyDay[[#This Row],[Serv-LY-RU]]+DaybyDay[[#This Row],[Ret-LY-RU]],"")</f>
        <v>0</v>
      </c>
      <c r="AK1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49" s="77"/>
      <c r="AM149" s="40" t="str">
        <f>IF(DaybyDay[[#This Row],[Admin Hours]]&gt;0,DaybyDay[[#This Row],[Admin Hours]]*$AM$2+$AM$3,"")</f>
        <v/>
      </c>
      <c r="AN149" s="40">
        <f>SUMIFS(DaybyDay[Est-Admin-Payroll],DaybyDay[Date],"&gt;="&amp;$C$5,DaybyDay[RowYear],"&gt;="&amp;$C$4,DaybyDay[Date],"&lt;="&amp;DaybyDay[[#This Row],[Date]])</f>
        <v>0</v>
      </c>
      <c r="AO149" s="41" t="str">
        <f>IF(AND(DaybyDay[[#This Row],[_Space]],ISNUMBER(DaybyDay[[#This Row],[Admin Hours]])),DaybyDay[[#This Row],[Est-Admin-Payroll]]/(DaybyDay[[#This Row],[Service-Actuals]]+DaybyDay[[#This Row],[Retail-Actuals]]),"")</f>
        <v/>
      </c>
      <c r="AP149" s="41" t="e">
        <f>DaybyDay[[#This Row],[Estimated-Payroll-Rollup]]/DaybyDay[[#This Row],[Simple-Forecast]]</f>
        <v>#DIV/0!</v>
      </c>
      <c r="AQ1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49" s="77"/>
      <c r="AS149" s="40" t="str">
        <f>IF(DaybyDay[[#This Row],[Retail Hours]]&gt;0,DaybyDay[[#This Row],[Retail Hours]]*$AS$2,"")</f>
        <v/>
      </c>
      <c r="AT149" s="40">
        <f>SUMIFS(DaybyDay[Est-Retail-Payroll],DaybyDay[Date],"&gt;="&amp;$C$5,DaybyDay[RowYear],"&gt;="&amp;$C$4,DaybyDay[Date],"&lt;="&amp;DaybyDay[[#This Row],[Date]])</f>
        <v>0</v>
      </c>
      <c r="AU149" s="82" t="str">
        <f>IF(AND(DaybyDay[[#This Row],[_Space]],ISNUMBER(DaybyDay[[#This Row],[Retail Hours]])),DaybyDay[[#This Row],[Est-Retail-Payroll]]/(DaybyDay[[#This Row],[Retail-Actuals]]),"")</f>
        <v/>
      </c>
      <c r="AV149" s="82" t="e">
        <f>DaybyDay[[#This Row],[Est-Retail-PayrollRU]]/DaybyDay[[#This Row],[Simple-Forecast-Retail]]</f>
        <v>#DIV/0!</v>
      </c>
      <c r="AW149" s="8"/>
    </row>
    <row r="150" spans="3:49" hidden="1" x14ac:dyDescent="0.25">
      <c r="C150" s="26" t="str">
        <f>Tools!$C$1</f>
        <v>Example</v>
      </c>
      <c r="D150" s="27" t="s">
        <v>72</v>
      </c>
      <c r="E150" s="28">
        <v>2017</v>
      </c>
      <c r="F150" s="28">
        <f>MATCH(DaybyDay[[#This Row],[RowMonth]],Table3[SummaryMonth],0)</f>
        <v>5</v>
      </c>
      <c r="G150" s="29" t="e">
        <f>MATCH(DaybyDay[[#This Row],[LY-Date]],DaybyDay[Date],0)</f>
        <v>#N/A</v>
      </c>
      <c r="H150" s="30">
        <f>WEEKDAY(DaybyDay[[#This Row],[Date]])</f>
        <v>4</v>
      </c>
      <c r="I150" s="31">
        <v>42879</v>
      </c>
      <c r="J150" s="74">
        <v>26</v>
      </c>
      <c r="K150" s="32">
        <f>SUMIFS(BudgetSeasonality[365 Seasonality],BudgetSeasonality[MonthAdjustment],DaybyDay[[#This Row],[Date]])*SUMIFS(Budgets[Service-Budget],Budgets[BudgetMonth],DaybyDay[[#This Row],[RowMonth]],Budgets[BudgetYear],DaybyDay[[#This Row],[RowYear]])</f>
        <v>0</v>
      </c>
      <c r="L150" s="75">
        <v>3611</v>
      </c>
      <c r="M150" s="32">
        <f>INDEX(BudgetSeasonality[365 Seasonality],MATCH(DaybyDay[[#This Row],[Date]],BudgetSeasonality[MonthAdjustment],0))*SUMIFS(Budgets[Retail-Budget],Budgets[BudgetMonth],DaybyDay[[#This Row],[RowMonth]],Budgets[BudgetYear],DaybyDay[[#This Row],[RowYear]])</f>
        <v>0</v>
      </c>
      <c r="N150" s="75">
        <v>3280.2</v>
      </c>
      <c r="O150" s="33">
        <f>SUMIFS(DaybyDay[Service-Budgets],DaybyDay[Date],"&gt;="&amp;$C$5,DaybyDay[RowYear],"&gt;="&amp;$C$4,DaybyDay[Date],"&lt;="&amp;DaybyDay[[#This Row],[Date]])</f>
        <v>0</v>
      </c>
      <c r="P150" s="33">
        <f>SUMIFS(DaybyDay[Retail-Budgets],DaybyDay[Date],"&gt;="&amp;$C$5,DaybyDay[RowYear],"&gt;="&amp;$C$4,DaybyDay[Date],"&lt;="&amp;DaybyDay[[#This Row],[Date]])</f>
        <v>0</v>
      </c>
      <c r="Q150" s="34">
        <f>SUMIFS(DaybyDay[Service-Actuals],DaybyDay[Date],"&gt;="&amp;$C$5,DaybyDay[RowYear],"&gt;="&amp;$C$4,DaybyDay[Date],"&lt;="&amp;DaybyDay[[#This Row],[Date]])</f>
        <v>0</v>
      </c>
      <c r="R150" s="34">
        <f>SUMIFS(DaybyDay[Retail-Actuals],DaybyDay[Date],"&gt;="&amp;$C$5,DaybyDay[RowYear],"&gt;="&amp;$C$4,DaybyDay[Date],"&lt;="&amp;DaybyDay[[#This Row],[Date]])</f>
        <v>0</v>
      </c>
      <c r="S150" s="35">
        <f>SUMIFS(DaybyDay[Service-LY],DaybyDay[Date],"&gt;="&amp;$C$5,DaybyDay[RowYear],"&gt;="&amp;$C$4,DaybyDay[Date],"&lt;="&amp;DaybyDay[[#This Row],[Date]])</f>
        <v>0</v>
      </c>
      <c r="T150" s="35">
        <f>SUMIFS(DaybyDay[Retail-LY],DaybyDay[Date],"&gt;="&amp;$C$5,DaybyDay[RowYear],"&gt;="&amp;$C$4,DaybyDay[Date],"&lt;="&amp;DaybyDay[[#This Row],[Date]])</f>
        <v>0</v>
      </c>
      <c r="U150" s="32">
        <f>DaybyDay[[#This Row],[Serv-Bud-RU]]+DaybyDay[[#This Row],[Ret-Bud-RU]]</f>
        <v>0</v>
      </c>
      <c r="V150" s="32">
        <f>DaybyDay[[#This Row],[Serv-Act-RU]]+DaybyDay[[#This Row],[Ret-Act-RU]]</f>
        <v>0</v>
      </c>
      <c r="W150" s="36">
        <f>IF(DaybyDay[[#This Row],[_Space]],IFERROR(
((DaybyDay[[#This Row],[Actual-Rollup]]-DaybyDay[[#This Row],[Budget-Rollup]])/DaybyDay[[#This Row],[Budget-Rollup]]),0),"")</f>
        <v>0</v>
      </c>
      <c r="X150" t="b">
        <f>NOT(AND(ISBLANK(DaybyDay[[#This Row],[Appts]]),ISBLANK(DaybyDay[[#This Row],[Service-Actuals]]),ISBLANK(DaybyDay[[#This Row],[Retail-Actuals]])))</f>
        <v>1</v>
      </c>
      <c r="Y150" s="36">
        <f>IF(DaybyDay[[#This Row],[_Space]],IFERROR(
((DaybyDay[[#This Row],[Actual-Rollup]]-DaybyDay[[#This Row],[LY-Rollup]])/DaybyDay[[#This Row],[LY-Rollup]]),0),"")</f>
        <v>0</v>
      </c>
      <c r="Z150"/>
      <c r="AA150" s="37" t="e">
        <f>IF(DaybyDay[[#This Row],[_Space]],DaybyDay[[#This Row],[Ret-Act-RU]]/DaybyDay[[#This Row],[Serv-Act-RU]],"")</f>
        <v>#DIV/0!</v>
      </c>
      <c r="AB150" s="50" t="e">
        <f>IF(DaybyDay[[#This Row],[_Space]],DaybyDay[[#This Row],[RETPEN-Act]]/DaybyDay[[#This Row],[RETPEN-Bud]],"")</f>
        <v>#DIV/0!</v>
      </c>
      <c r="AC150" s="37" t="e">
        <f>IF(DaybyDay[[#This Row],[_Space]],DaybyDay[[#This Row],[Ret-Bud-RU]]/DaybyDay[[#This Row],[Serv-Bud-RU]],"")</f>
        <v>#DIV/0!</v>
      </c>
      <c r="AD150" s="37" t="e">
        <f>IF(DaybyDay[[#This Row],[_Space]],DaybyDay[[#This Row],[Ret-LY-RU]]/DaybyDay[[#This Row],[Serv-LY-RU]],"")</f>
        <v>#DIV/0!</v>
      </c>
      <c r="AE150" s="30">
        <f>WEEKDAY(DaybyDay[[#This Row],[LY-Date]])</f>
        <v>4</v>
      </c>
      <c r="AF150" s="38">
        <f>$E$2+_xlfn.DAYS(DaybyDay[[#This Row],[Date]],minDate)</f>
        <v>42515</v>
      </c>
      <c r="AG150" s="39" t="str" cm="1">
        <f t="array" ref="AG150">IFERROR(INDEX(DaybyDay[],DaybyDay[[#This Row],[FORM_MATCH_HELPER]],8),"")</f>
        <v/>
      </c>
      <c r="AH150" s="39" t="str" cm="1">
        <f t="array" ref="AH150">IFERROR(INDEX(DaybyDay[],DaybyDay[[#This Row],[FORM_MATCH_HELPER]],10),"")</f>
        <v/>
      </c>
      <c r="AI150" s="39" t="str" cm="1">
        <f t="array" ref="AI150">IFERROR(INDEX(DaybyDay[],DaybyDay[[#This Row],[FORM_MATCH_HELPER]],12),"")</f>
        <v/>
      </c>
      <c r="AJ150" s="32">
        <f>IFERROR(DaybyDay[[#This Row],[Serv-LY-RU]]+DaybyDay[[#This Row],[Ret-LY-RU]],"")</f>
        <v>0</v>
      </c>
      <c r="AK1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0" s="77"/>
      <c r="AM150" s="40" t="str">
        <f>IF(DaybyDay[[#This Row],[Admin Hours]]&gt;0,DaybyDay[[#This Row],[Admin Hours]]*$AM$2+$AM$3,"")</f>
        <v/>
      </c>
      <c r="AN150" s="40">
        <f>SUMIFS(DaybyDay[Est-Admin-Payroll],DaybyDay[Date],"&gt;="&amp;$C$5,DaybyDay[RowYear],"&gt;="&amp;$C$4,DaybyDay[Date],"&lt;="&amp;DaybyDay[[#This Row],[Date]])</f>
        <v>0</v>
      </c>
      <c r="AO150" s="41" t="str">
        <f>IF(AND(DaybyDay[[#This Row],[_Space]],ISNUMBER(DaybyDay[[#This Row],[Admin Hours]])),DaybyDay[[#This Row],[Est-Admin-Payroll]]/(DaybyDay[[#This Row],[Service-Actuals]]+DaybyDay[[#This Row],[Retail-Actuals]]),"")</f>
        <v/>
      </c>
      <c r="AP150" s="41" t="e">
        <f>DaybyDay[[#This Row],[Estimated-Payroll-Rollup]]/DaybyDay[[#This Row],[Simple-Forecast]]</f>
        <v>#DIV/0!</v>
      </c>
      <c r="AQ1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0" s="77"/>
      <c r="AS150" s="40" t="str">
        <f>IF(DaybyDay[[#This Row],[Retail Hours]]&gt;0,DaybyDay[[#This Row],[Retail Hours]]*$AS$2,"")</f>
        <v/>
      </c>
      <c r="AT150" s="40">
        <f>SUMIFS(DaybyDay[Est-Retail-Payroll],DaybyDay[Date],"&gt;="&amp;$C$5,DaybyDay[RowYear],"&gt;="&amp;$C$4,DaybyDay[Date],"&lt;="&amp;DaybyDay[[#This Row],[Date]])</f>
        <v>0</v>
      </c>
      <c r="AU150" s="82" t="str">
        <f>IF(AND(DaybyDay[[#This Row],[_Space]],ISNUMBER(DaybyDay[[#This Row],[Retail Hours]])),DaybyDay[[#This Row],[Est-Retail-Payroll]]/(DaybyDay[[#This Row],[Retail-Actuals]]),"")</f>
        <v/>
      </c>
      <c r="AV150" s="82" t="e">
        <f>DaybyDay[[#This Row],[Est-Retail-PayrollRU]]/DaybyDay[[#This Row],[Simple-Forecast-Retail]]</f>
        <v>#DIV/0!</v>
      </c>
      <c r="AW150" s="8"/>
    </row>
    <row r="151" spans="3:49" hidden="1" x14ac:dyDescent="0.25">
      <c r="C151" s="26" t="str">
        <f>Tools!$C$1</f>
        <v>Example</v>
      </c>
      <c r="D151" s="27" t="s">
        <v>72</v>
      </c>
      <c r="E151" s="28">
        <v>2017</v>
      </c>
      <c r="F151" s="28">
        <f>MATCH(DaybyDay[[#This Row],[RowMonth]],Table3[SummaryMonth],0)</f>
        <v>5</v>
      </c>
      <c r="G151" s="29" t="e">
        <f>MATCH(DaybyDay[[#This Row],[LY-Date]],DaybyDay[Date],0)</f>
        <v>#N/A</v>
      </c>
      <c r="H151" s="30">
        <f>WEEKDAY(DaybyDay[[#This Row],[Date]])</f>
        <v>5</v>
      </c>
      <c r="I151" s="31">
        <v>42880</v>
      </c>
      <c r="J151" s="74">
        <v>29</v>
      </c>
      <c r="K151" s="32">
        <f>SUMIFS(BudgetSeasonality[365 Seasonality],BudgetSeasonality[MonthAdjustment],DaybyDay[[#This Row],[Date]])*SUMIFS(Budgets[Service-Budget],Budgets[BudgetMonth],DaybyDay[[#This Row],[RowMonth]],Budgets[BudgetYear],DaybyDay[[#This Row],[RowYear]])</f>
        <v>0</v>
      </c>
      <c r="L151" s="75">
        <v>6133.16</v>
      </c>
      <c r="M151" s="32">
        <f>INDEX(BudgetSeasonality[365 Seasonality],MATCH(DaybyDay[[#This Row],[Date]],BudgetSeasonality[MonthAdjustment],0))*SUMIFS(Budgets[Retail-Budget],Budgets[BudgetMonth],DaybyDay[[#This Row],[RowMonth]],Budgets[BudgetYear],DaybyDay[[#This Row],[RowYear]])</f>
        <v>0</v>
      </c>
      <c r="N151" s="75">
        <v>1007.8</v>
      </c>
      <c r="O151" s="33">
        <f>SUMIFS(DaybyDay[Service-Budgets],DaybyDay[Date],"&gt;="&amp;$C$5,DaybyDay[RowYear],"&gt;="&amp;$C$4,DaybyDay[Date],"&lt;="&amp;DaybyDay[[#This Row],[Date]])</f>
        <v>0</v>
      </c>
      <c r="P151" s="33">
        <f>SUMIFS(DaybyDay[Retail-Budgets],DaybyDay[Date],"&gt;="&amp;$C$5,DaybyDay[RowYear],"&gt;="&amp;$C$4,DaybyDay[Date],"&lt;="&amp;DaybyDay[[#This Row],[Date]])</f>
        <v>0</v>
      </c>
      <c r="Q151" s="34">
        <f>SUMIFS(DaybyDay[Service-Actuals],DaybyDay[Date],"&gt;="&amp;$C$5,DaybyDay[RowYear],"&gt;="&amp;$C$4,DaybyDay[Date],"&lt;="&amp;DaybyDay[[#This Row],[Date]])</f>
        <v>0</v>
      </c>
      <c r="R151" s="34">
        <f>SUMIFS(DaybyDay[Retail-Actuals],DaybyDay[Date],"&gt;="&amp;$C$5,DaybyDay[RowYear],"&gt;="&amp;$C$4,DaybyDay[Date],"&lt;="&amp;DaybyDay[[#This Row],[Date]])</f>
        <v>0</v>
      </c>
      <c r="S151" s="35">
        <f>SUMIFS(DaybyDay[Service-LY],DaybyDay[Date],"&gt;="&amp;$C$5,DaybyDay[RowYear],"&gt;="&amp;$C$4,DaybyDay[Date],"&lt;="&amp;DaybyDay[[#This Row],[Date]])</f>
        <v>0</v>
      </c>
      <c r="T151" s="35">
        <f>SUMIFS(DaybyDay[Retail-LY],DaybyDay[Date],"&gt;="&amp;$C$5,DaybyDay[RowYear],"&gt;="&amp;$C$4,DaybyDay[Date],"&lt;="&amp;DaybyDay[[#This Row],[Date]])</f>
        <v>0</v>
      </c>
      <c r="U151" s="32">
        <f>DaybyDay[[#This Row],[Serv-Bud-RU]]+DaybyDay[[#This Row],[Ret-Bud-RU]]</f>
        <v>0</v>
      </c>
      <c r="V151" s="32">
        <f>DaybyDay[[#This Row],[Serv-Act-RU]]+DaybyDay[[#This Row],[Ret-Act-RU]]</f>
        <v>0</v>
      </c>
      <c r="W151" s="36">
        <f>IF(DaybyDay[[#This Row],[_Space]],IFERROR(
((DaybyDay[[#This Row],[Actual-Rollup]]-DaybyDay[[#This Row],[Budget-Rollup]])/DaybyDay[[#This Row],[Budget-Rollup]]),0),"")</f>
        <v>0</v>
      </c>
      <c r="X151" t="b">
        <f>NOT(AND(ISBLANK(DaybyDay[[#This Row],[Appts]]),ISBLANK(DaybyDay[[#This Row],[Service-Actuals]]),ISBLANK(DaybyDay[[#This Row],[Retail-Actuals]])))</f>
        <v>1</v>
      </c>
      <c r="Y151" s="36">
        <f>IF(DaybyDay[[#This Row],[_Space]],IFERROR(
((DaybyDay[[#This Row],[Actual-Rollup]]-DaybyDay[[#This Row],[LY-Rollup]])/DaybyDay[[#This Row],[LY-Rollup]]),0),"")</f>
        <v>0</v>
      </c>
      <c r="Z151"/>
      <c r="AA151" s="37" t="e">
        <f>IF(DaybyDay[[#This Row],[_Space]],DaybyDay[[#This Row],[Ret-Act-RU]]/DaybyDay[[#This Row],[Serv-Act-RU]],"")</f>
        <v>#DIV/0!</v>
      </c>
      <c r="AB151" s="50" t="e">
        <f>IF(DaybyDay[[#This Row],[_Space]],DaybyDay[[#This Row],[RETPEN-Act]]/DaybyDay[[#This Row],[RETPEN-Bud]],"")</f>
        <v>#DIV/0!</v>
      </c>
      <c r="AC151" s="37" t="e">
        <f>IF(DaybyDay[[#This Row],[_Space]],DaybyDay[[#This Row],[Ret-Bud-RU]]/DaybyDay[[#This Row],[Serv-Bud-RU]],"")</f>
        <v>#DIV/0!</v>
      </c>
      <c r="AD151" s="37" t="e">
        <f>IF(DaybyDay[[#This Row],[_Space]],DaybyDay[[#This Row],[Ret-LY-RU]]/DaybyDay[[#This Row],[Serv-LY-RU]],"")</f>
        <v>#DIV/0!</v>
      </c>
      <c r="AE151" s="30">
        <f>WEEKDAY(DaybyDay[[#This Row],[LY-Date]])</f>
        <v>5</v>
      </c>
      <c r="AF151" s="38">
        <f>$E$2+_xlfn.DAYS(DaybyDay[[#This Row],[Date]],minDate)</f>
        <v>42516</v>
      </c>
      <c r="AG151" s="39" t="str" cm="1">
        <f t="array" ref="AG151">IFERROR(INDEX(DaybyDay[],DaybyDay[[#This Row],[FORM_MATCH_HELPER]],8),"")</f>
        <v/>
      </c>
      <c r="AH151" s="39" t="str" cm="1">
        <f t="array" ref="AH151">IFERROR(INDEX(DaybyDay[],DaybyDay[[#This Row],[FORM_MATCH_HELPER]],10),"")</f>
        <v/>
      </c>
      <c r="AI151" s="39" t="str" cm="1">
        <f t="array" ref="AI151">IFERROR(INDEX(DaybyDay[],DaybyDay[[#This Row],[FORM_MATCH_HELPER]],12),"")</f>
        <v/>
      </c>
      <c r="AJ151" s="32">
        <f>IFERROR(DaybyDay[[#This Row],[Serv-LY-RU]]+DaybyDay[[#This Row],[Ret-LY-RU]],"")</f>
        <v>0</v>
      </c>
      <c r="AK1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1" s="77"/>
      <c r="AM151" s="40" t="str">
        <f>IF(DaybyDay[[#This Row],[Admin Hours]]&gt;0,DaybyDay[[#This Row],[Admin Hours]]*$AM$2+$AM$3,"")</f>
        <v/>
      </c>
      <c r="AN151" s="40">
        <f>SUMIFS(DaybyDay[Est-Admin-Payroll],DaybyDay[Date],"&gt;="&amp;$C$5,DaybyDay[RowYear],"&gt;="&amp;$C$4,DaybyDay[Date],"&lt;="&amp;DaybyDay[[#This Row],[Date]])</f>
        <v>0</v>
      </c>
      <c r="AO151" s="41" t="str">
        <f>IF(AND(DaybyDay[[#This Row],[_Space]],ISNUMBER(DaybyDay[[#This Row],[Admin Hours]])),DaybyDay[[#This Row],[Est-Admin-Payroll]]/(DaybyDay[[#This Row],[Service-Actuals]]+DaybyDay[[#This Row],[Retail-Actuals]]),"")</f>
        <v/>
      </c>
      <c r="AP151" s="41" t="e">
        <f>DaybyDay[[#This Row],[Estimated-Payroll-Rollup]]/DaybyDay[[#This Row],[Simple-Forecast]]</f>
        <v>#DIV/0!</v>
      </c>
      <c r="AQ1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1" s="77"/>
      <c r="AS151" s="40" t="str">
        <f>IF(DaybyDay[[#This Row],[Retail Hours]]&gt;0,DaybyDay[[#This Row],[Retail Hours]]*$AS$2,"")</f>
        <v/>
      </c>
      <c r="AT151" s="40">
        <f>SUMIFS(DaybyDay[Est-Retail-Payroll],DaybyDay[Date],"&gt;="&amp;$C$5,DaybyDay[RowYear],"&gt;="&amp;$C$4,DaybyDay[Date],"&lt;="&amp;DaybyDay[[#This Row],[Date]])</f>
        <v>0</v>
      </c>
      <c r="AU151" s="82" t="str">
        <f>IF(AND(DaybyDay[[#This Row],[_Space]],ISNUMBER(DaybyDay[[#This Row],[Retail Hours]])),DaybyDay[[#This Row],[Est-Retail-Payroll]]/(DaybyDay[[#This Row],[Retail-Actuals]]),"")</f>
        <v/>
      </c>
      <c r="AV151" s="82" t="e">
        <f>DaybyDay[[#This Row],[Est-Retail-PayrollRU]]/DaybyDay[[#This Row],[Simple-Forecast-Retail]]</f>
        <v>#DIV/0!</v>
      </c>
      <c r="AW151" s="8"/>
    </row>
    <row r="152" spans="3:49" hidden="1" x14ac:dyDescent="0.25">
      <c r="C152" s="26" t="str">
        <f>Tools!$C$1</f>
        <v>Example</v>
      </c>
      <c r="D152" s="27" t="s">
        <v>72</v>
      </c>
      <c r="E152" s="28">
        <v>2017</v>
      </c>
      <c r="F152" s="28">
        <f>MATCH(DaybyDay[[#This Row],[RowMonth]],Table3[SummaryMonth],0)</f>
        <v>5</v>
      </c>
      <c r="G152" s="29" t="e">
        <f>MATCH(DaybyDay[[#This Row],[LY-Date]],DaybyDay[Date],0)</f>
        <v>#N/A</v>
      </c>
      <c r="H152" s="30">
        <f>WEEKDAY(DaybyDay[[#This Row],[Date]])</f>
        <v>6</v>
      </c>
      <c r="I152" s="31">
        <v>42881</v>
      </c>
      <c r="J152" s="74">
        <v>25</v>
      </c>
      <c r="K152" s="32">
        <f>SUMIFS(BudgetSeasonality[365 Seasonality],BudgetSeasonality[MonthAdjustment],DaybyDay[[#This Row],[Date]])*SUMIFS(Budgets[Service-Budget],Budgets[BudgetMonth],DaybyDay[[#This Row],[RowMonth]],Budgets[BudgetYear],DaybyDay[[#This Row],[RowYear]])</f>
        <v>0</v>
      </c>
      <c r="L152" s="75">
        <v>5016.6000000000004</v>
      </c>
      <c r="M152" s="32">
        <f>INDEX(BudgetSeasonality[365 Seasonality],MATCH(DaybyDay[[#This Row],[Date]],BudgetSeasonality[MonthAdjustment],0))*SUMIFS(Budgets[Retail-Budget],Budgets[BudgetMonth],DaybyDay[[#This Row],[RowMonth]],Budgets[BudgetYear],DaybyDay[[#This Row],[RowYear]])</f>
        <v>0</v>
      </c>
      <c r="N152" s="75">
        <v>6670.9</v>
      </c>
      <c r="O152" s="33">
        <f>SUMIFS(DaybyDay[Service-Budgets],DaybyDay[Date],"&gt;="&amp;$C$5,DaybyDay[RowYear],"&gt;="&amp;$C$4,DaybyDay[Date],"&lt;="&amp;DaybyDay[[#This Row],[Date]])</f>
        <v>0</v>
      </c>
      <c r="P152" s="33">
        <f>SUMIFS(DaybyDay[Retail-Budgets],DaybyDay[Date],"&gt;="&amp;$C$5,DaybyDay[RowYear],"&gt;="&amp;$C$4,DaybyDay[Date],"&lt;="&amp;DaybyDay[[#This Row],[Date]])</f>
        <v>0</v>
      </c>
      <c r="Q152" s="34">
        <f>SUMIFS(DaybyDay[Service-Actuals],DaybyDay[Date],"&gt;="&amp;$C$5,DaybyDay[RowYear],"&gt;="&amp;$C$4,DaybyDay[Date],"&lt;="&amp;DaybyDay[[#This Row],[Date]])</f>
        <v>0</v>
      </c>
      <c r="R152" s="34">
        <f>SUMIFS(DaybyDay[Retail-Actuals],DaybyDay[Date],"&gt;="&amp;$C$5,DaybyDay[RowYear],"&gt;="&amp;$C$4,DaybyDay[Date],"&lt;="&amp;DaybyDay[[#This Row],[Date]])</f>
        <v>0</v>
      </c>
      <c r="S152" s="35">
        <f>SUMIFS(DaybyDay[Service-LY],DaybyDay[Date],"&gt;="&amp;$C$5,DaybyDay[RowYear],"&gt;="&amp;$C$4,DaybyDay[Date],"&lt;="&amp;DaybyDay[[#This Row],[Date]])</f>
        <v>0</v>
      </c>
      <c r="T152" s="35">
        <f>SUMIFS(DaybyDay[Retail-LY],DaybyDay[Date],"&gt;="&amp;$C$5,DaybyDay[RowYear],"&gt;="&amp;$C$4,DaybyDay[Date],"&lt;="&amp;DaybyDay[[#This Row],[Date]])</f>
        <v>0</v>
      </c>
      <c r="U152" s="32">
        <f>DaybyDay[[#This Row],[Serv-Bud-RU]]+DaybyDay[[#This Row],[Ret-Bud-RU]]</f>
        <v>0</v>
      </c>
      <c r="V152" s="32">
        <f>DaybyDay[[#This Row],[Serv-Act-RU]]+DaybyDay[[#This Row],[Ret-Act-RU]]</f>
        <v>0</v>
      </c>
      <c r="W152" s="36">
        <f>IF(DaybyDay[[#This Row],[_Space]],IFERROR(
((DaybyDay[[#This Row],[Actual-Rollup]]-DaybyDay[[#This Row],[Budget-Rollup]])/DaybyDay[[#This Row],[Budget-Rollup]]),0),"")</f>
        <v>0</v>
      </c>
      <c r="X152" t="b">
        <f>NOT(AND(ISBLANK(DaybyDay[[#This Row],[Appts]]),ISBLANK(DaybyDay[[#This Row],[Service-Actuals]]),ISBLANK(DaybyDay[[#This Row],[Retail-Actuals]])))</f>
        <v>1</v>
      </c>
      <c r="Y152" s="36">
        <f>IF(DaybyDay[[#This Row],[_Space]],IFERROR(
((DaybyDay[[#This Row],[Actual-Rollup]]-DaybyDay[[#This Row],[LY-Rollup]])/DaybyDay[[#This Row],[LY-Rollup]]),0),"")</f>
        <v>0</v>
      </c>
      <c r="Z152"/>
      <c r="AA152" s="37" t="e">
        <f>IF(DaybyDay[[#This Row],[_Space]],DaybyDay[[#This Row],[Ret-Act-RU]]/DaybyDay[[#This Row],[Serv-Act-RU]],"")</f>
        <v>#DIV/0!</v>
      </c>
      <c r="AB152" s="50" t="e">
        <f>IF(DaybyDay[[#This Row],[_Space]],DaybyDay[[#This Row],[RETPEN-Act]]/DaybyDay[[#This Row],[RETPEN-Bud]],"")</f>
        <v>#DIV/0!</v>
      </c>
      <c r="AC152" s="37" t="e">
        <f>IF(DaybyDay[[#This Row],[_Space]],DaybyDay[[#This Row],[Ret-Bud-RU]]/DaybyDay[[#This Row],[Serv-Bud-RU]],"")</f>
        <v>#DIV/0!</v>
      </c>
      <c r="AD152" s="37" t="e">
        <f>IF(DaybyDay[[#This Row],[_Space]],DaybyDay[[#This Row],[Ret-LY-RU]]/DaybyDay[[#This Row],[Serv-LY-RU]],"")</f>
        <v>#DIV/0!</v>
      </c>
      <c r="AE152" s="30">
        <f>WEEKDAY(DaybyDay[[#This Row],[LY-Date]])</f>
        <v>6</v>
      </c>
      <c r="AF152" s="38">
        <f>$E$2+_xlfn.DAYS(DaybyDay[[#This Row],[Date]],minDate)</f>
        <v>42517</v>
      </c>
      <c r="AG152" s="39" t="str" cm="1">
        <f t="array" ref="AG152">IFERROR(INDEX(DaybyDay[],DaybyDay[[#This Row],[FORM_MATCH_HELPER]],8),"")</f>
        <v/>
      </c>
      <c r="AH152" s="39" t="str" cm="1">
        <f t="array" ref="AH152">IFERROR(INDEX(DaybyDay[],DaybyDay[[#This Row],[FORM_MATCH_HELPER]],10),"")</f>
        <v/>
      </c>
      <c r="AI152" s="39" t="str" cm="1">
        <f t="array" ref="AI152">IFERROR(INDEX(DaybyDay[],DaybyDay[[#This Row],[FORM_MATCH_HELPER]],12),"")</f>
        <v/>
      </c>
      <c r="AJ152" s="32">
        <f>IFERROR(DaybyDay[[#This Row],[Serv-LY-RU]]+DaybyDay[[#This Row],[Ret-LY-RU]],"")</f>
        <v>0</v>
      </c>
      <c r="AK1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2" s="77"/>
      <c r="AM152" s="40" t="str">
        <f>IF(DaybyDay[[#This Row],[Admin Hours]]&gt;0,DaybyDay[[#This Row],[Admin Hours]]*$AM$2+$AM$3,"")</f>
        <v/>
      </c>
      <c r="AN152" s="40">
        <f>SUMIFS(DaybyDay[Est-Admin-Payroll],DaybyDay[Date],"&gt;="&amp;$C$5,DaybyDay[RowYear],"&gt;="&amp;$C$4,DaybyDay[Date],"&lt;="&amp;DaybyDay[[#This Row],[Date]])</f>
        <v>0</v>
      </c>
      <c r="AO152" s="41" t="str">
        <f>IF(AND(DaybyDay[[#This Row],[_Space]],ISNUMBER(DaybyDay[[#This Row],[Admin Hours]])),DaybyDay[[#This Row],[Est-Admin-Payroll]]/(DaybyDay[[#This Row],[Service-Actuals]]+DaybyDay[[#This Row],[Retail-Actuals]]),"")</f>
        <v/>
      </c>
      <c r="AP152" s="41" t="e">
        <f>DaybyDay[[#This Row],[Estimated-Payroll-Rollup]]/DaybyDay[[#This Row],[Simple-Forecast]]</f>
        <v>#DIV/0!</v>
      </c>
      <c r="AQ1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2" s="77"/>
      <c r="AS152" s="40" t="str">
        <f>IF(DaybyDay[[#This Row],[Retail Hours]]&gt;0,DaybyDay[[#This Row],[Retail Hours]]*$AS$2,"")</f>
        <v/>
      </c>
      <c r="AT152" s="40">
        <f>SUMIFS(DaybyDay[Est-Retail-Payroll],DaybyDay[Date],"&gt;="&amp;$C$5,DaybyDay[RowYear],"&gt;="&amp;$C$4,DaybyDay[Date],"&lt;="&amp;DaybyDay[[#This Row],[Date]])</f>
        <v>0</v>
      </c>
      <c r="AU152" s="82" t="str">
        <f>IF(AND(DaybyDay[[#This Row],[_Space]],ISNUMBER(DaybyDay[[#This Row],[Retail Hours]])),DaybyDay[[#This Row],[Est-Retail-Payroll]]/(DaybyDay[[#This Row],[Retail-Actuals]]),"")</f>
        <v/>
      </c>
      <c r="AV152" s="82" t="e">
        <f>DaybyDay[[#This Row],[Est-Retail-PayrollRU]]/DaybyDay[[#This Row],[Simple-Forecast-Retail]]</f>
        <v>#DIV/0!</v>
      </c>
      <c r="AW152" s="8"/>
    </row>
    <row r="153" spans="3:49" hidden="1" x14ac:dyDescent="0.25">
      <c r="C153" s="26" t="str">
        <f>Tools!$C$1</f>
        <v>Example</v>
      </c>
      <c r="D153" s="27" t="s">
        <v>72</v>
      </c>
      <c r="E153" s="28">
        <v>2017</v>
      </c>
      <c r="F153" s="28">
        <f>MATCH(DaybyDay[[#This Row],[RowMonth]],Table3[SummaryMonth],0)</f>
        <v>5</v>
      </c>
      <c r="G153" s="29" t="e">
        <f>MATCH(DaybyDay[[#This Row],[LY-Date]],DaybyDay[Date],0)</f>
        <v>#N/A</v>
      </c>
      <c r="H153" s="30">
        <f>WEEKDAY(DaybyDay[[#This Row],[Date]])</f>
        <v>7</v>
      </c>
      <c r="I153" s="31">
        <v>42882</v>
      </c>
      <c r="J153" s="74">
        <v>29</v>
      </c>
      <c r="K153" s="32">
        <f>SUMIFS(BudgetSeasonality[365 Seasonality],BudgetSeasonality[MonthAdjustment],DaybyDay[[#This Row],[Date]])*SUMIFS(Budgets[Service-Budget],Budgets[BudgetMonth],DaybyDay[[#This Row],[RowMonth]],Budgets[BudgetYear],DaybyDay[[#This Row],[RowYear]])</f>
        <v>0</v>
      </c>
      <c r="L153" s="75">
        <v>6168</v>
      </c>
      <c r="M153" s="32">
        <f>INDEX(BudgetSeasonality[365 Seasonality],MATCH(DaybyDay[[#This Row],[Date]],BudgetSeasonality[MonthAdjustment],0))*SUMIFS(Budgets[Retail-Budget],Budgets[BudgetMonth],DaybyDay[[#This Row],[RowMonth]],Budgets[BudgetYear],DaybyDay[[#This Row],[RowYear]])</f>
        <v>0</v>
      </c>
      <c r="N153" s="75">
        <v>2279.85</v>
      </c>
      <c r="O153" s="33">
        <f>SUMIFS(DaybyDay[Service-Budgets],DaybyDay[Date],"&gt;="&amp;$C$5,DaybyDay[RowYear],"&gt;="&amp;$C$4,DaybyDay[Date],"&lt;="&amp;DaybyDay[[#This Row],[Date]])</f>
        <v>0</v>
      </c>
      <c r="P153" s="33">
        <f>SUMIFS(DaybyDay[Retail-Budgets],DaybyDay[Date],"&gt;="&amp;$C$5,DaybyDay[RowYear],"&gt;="&amp;$C$4,DaybyDay[Date],"&lt;="&amp;DaybyDay[[#This Row],[Date]])</f>
        <v>0</v>
      </c>
      <c r="Q153" s="34">
        <f>SUMIFS(DaybyDay[Service-Actuals],DaybyDay[Date],"&gt;="&amp;$C$5,DaybyDay[RowYear],"&gt;="&amp;$C$4,DaybyDay[Date],"&lt;="&amp;DaybyDay[[#This Row],[Date]])</f>
        <v>0</v>
      </c>
      <c r="R153" s="34">
        <f>SUMIFS(DaybyDay[Retail-Actuals],DaybyDay[Date],"&gt;="&amp;$C$5,DaybyDay[RowYear],"&gt;="&amp;$C$4,DaybyDay[Date],"&lt;="&amp;DaybyDay[[#This Row],[Date]])</f>
        <v>0</v>
      </c>
      <c r="S153" s="35">
        <f>SUMIFS(DaybyDay[Service-LY],DaybyDay[Date],"&gt;="&amp;$C$5,DaybyDay[RowYear],"&gt;="&amp;$C$4,DaybyDay[Date],"&lt;="&amp;DaybyDay[[#This Row],[Date]])</f>
        <v>0</v>
      </c>
      <c r="T153" s="35">
        <f>SUMIFS(DaybyDay[Retail-LY],DaybyDay[Date],"&gt;="&amp;$C$5,DaybyDay[RowYear],"&gt;="&amp;$C$4,DaybyDay[Date],"&lt;="&amp;DaybyDay[[#This Row],[Date]])</f>
        <v>0</v>
      </c>
      <c r="U153" s="32">
        <f>DaybyDay[[#This Row],[Serv-Bud-RU]]+DaybyDay[[#This Row],[Ret-Bud-RU]]</f>
        <v>0</v>
      </c>
      <c r="V153" s="32">
        <f>DaybyDay[[#This Row],[Serv-Act-RU]]+DaybyDay[[#This Row],[Ret-Act-RU]]</f>
        <v>0</v>
      </c>
      <c r="W153" s="36">
        <f>IF(DaybyDay[[#This Row],[_Space]],IFERROR(
((DaybyDay[[#This Row],[Actual-Rollup]]-DaybyDay[[#This Row],[Budget-Rollup]])/DaybyDay[[#This Row],[Budget-Rollup]]),0),"")</f>
        <v>0</v>
      </c>
      <c r="X153" t="b">
        <f>NOT(AND(ISBLANK(DaybyDay[[#This Row],[Appts]]),ISBLANK(DaybyDay[[#This Row],[Service-Actuals]]),ISBLANK(DaybyDay[[#This Row],[Retail-Actuals]])))</f>
        <v>1</v>
      </c>
      <c r="Y153" s="36">
        <f>IF(DaybyDay[[#This Row],[_Space]],IFERROR(
((DaybyDay[[#This Row],[Actual-Rollup]]-DaybyDay[[#This Row],[LY-Rollup]])/DaybyDay[[#This Row],[LY-Rollup]]),0),"")</f>
        <v>0</v>
      </c>
      <c r="Z153"/>
      <c r="AA153" s="37" t="e">
        <f>IF(DaybyDay[[#This Row],[_Space]],DaybyDay[[#This Row],[Ret-Act-RU]]/DaybyDay[[#This Row],[Serv-Act-RU]],"")</f>
        <v>#DIV/0!</v>
      </c>
      <c r="AB153" s="50" t="e">
        <f>IF(DaybyDay[[#This Row],[_Space]],DaybyDay[[#This Row],[RETPEN-Act]]/DaybyDay[[#This Row],[RETPEN-Bud]],"")</f>
        <v>#DIV/0!</v>
      </c>
      <c r="AC153" s="37" t="e">
        <f>IF(DaybyDay[[#This Row],[_Space]],DaybyDay[[#This Row],[Ret-Bud-RU]]/DaybyDay[[#This Row],[Serv-Bud-RU]],"")</f>
        <v>#DIV/0!</v>
      </c>
      <c r="AD153" s="37" t="e">
        <f>IF(DaybyDay[[#This Row],[_Space]],DaybyDay[[#This Row],[Ret-LY-RU]]/DaybyDay[[#This Row],[Serv-LY-RU]],"")</f>
        <v>#DIV/0!</v>
      </c>
      <c r="AE153" s="30">
        <f>WEEKDAY(DaybyDay[[#This Row],[LY-Date]])</f>
        <v>7</v>
      </c>
      <c r="AF153" s="38">
        <f>$E$2+_xlfn.DAYS(DaybyDay[[#This Row],[Date]],minDate)</f>
        <v>42518</v>
      </c>
      <c r="AG153" s="39" t="str" cm="1">
        <f t="array" ref="AG153">IFERROR(INDEX(DaybyDay[],DaybyDay[[#This Row],[FORM_MATCH_HELPER]],8),"")</f>
        <v/>
      </c>
      <c r="AH153" s="39" t="str" cm="1">
        <f t="array" ref="AH153">IFERROR(INDEX(DaybyDay[],DaybyDay[[#This Row],[FORM_MATCH_HELPER]],10),"")</f>
        <v/>
      </c>
      <c r="AI153" s="39" t="str" cm="1">
        <f t="array" ref="AI153">IFERROR(INDEX(DaybyDay[],DaybyDay[[#This Row],[FORM_MATCH_HELPER]],12),"")</f>
        <v/>
      </c>
      <c r="AJ153" s="32">
        <f>IFERROR(DaybyDay[[#This Row],[Serv-LY-RU]]+DaybyDay[[#This Row],[Ret-LY-RU]],"")</f>
        <v>0</v>
      </c>
      <c r="AK1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3" s="77"/>
      <c r="AM153" s="40" t="str">
        <f>IF(DaybyDay[[#This Row],[Admin Hours]]&gt;0,DaybyDay[[#This Row],[Admin Hours]]*$AM$2+$AM$3,"")</f>
        <v/>
      </c>
      <c r="AN153" s="40">
        <f>SUMIFS(DaybyDay[Est-Admin-Payroll],DaybyDay[Date],"&gt;="&amp;$C$5,DaybyDay[RowYear],"&gt;="&amp;$C$4,DaybyDay[Date],"&lt;="&amp;DaybyDay[[#This Row],[Date]])</f>
        <v>0</v>
      </c>
      <c r="AO153" s="41" t="str">
        <f>IF(AND(DaybyDay[[#This Row],[_Space]],ISNUMBER(DaybyDay[[#This Row],[Admin Hours]])),DaybyDay[[#This Row],[Est-Admin-Payroll]]/(DaybyDay[[#This Row],[Service-Actuals]]+DaybyDay[[#This Row],[Retail-Actuals]]),"")</f>
        <v/>
      </c>
      <c r="AP153" s="41" t="e">
        <f>DaybyDay[[#This Row],[Estimated-Payroll-Rollup]]/DaybyDay[[#This Row],[Simple-Forecast]]</f>
        <v>#DIV/0!</v>
      </c>
      <c r="AQ1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3" s="77"/>
      <c r="AS153" s="40" t="str">
        <f>IF(DaybyDay[[#This Row],[Retail Hours]]&gt;0,DaybyDay[[#This Row],[Retail Hours]]*$AS$2,"")</f>
        <v/>
      </c>
      <c r="AT153" s="40">
        <f>SUMIFS(DaybyDay[Est-Retail-Payroll],DaybyDay[Date],"&gt;="&amp;$C$5,DaybyDay[RowYear],"&gt;="&amp;$C$4,DaybyDay[Date],"&lt;="&amp;DaybyDay[[#This Row],[Date]])</f>
        <v>0</v>
      </c>
      <c r="AU153" s="82" t="str">
        <f>IF(AND(DaybyDay[[#This Row],[_Space]],ISNUMBER(DaybyDay[[#This Row],[Retail Hours]])),DaybyDay[[#This Row],[Est-Retail-Payroll]]/(DaybyDay[[#This Row],[Retail-Actuals]]),"")</f>
        <v/>
      </c>
      <c r="AV153" s="82" t="e">
        <f>DaybyDay[[#This Row],[Est-Retail-PayrollRU]]/DaybyDay[[#This Row],[Simple-Forecast-Retail]]</f>
        <v>#DIV/0!</v>
      </c>
      <c r="AW153" s="8"/>
    </row>
    <row r="154" spans="3:49" hidden="1" x14ac:dyDescent="0.25">
      <c r="C154" s="26" t="str">
        <f>Tools!$C$1</f>
        <v>Example</v>
      </c>
      <c r="D154" s="27" t="s">
        <v>73</v>
      </c>
      <c r="E154" s="28">
        <v>2017</v>
      </c>
      <c r="F154" s="28">
        <f>MATCH(DaybyDay[[#This Row],[RowMonth]],Table3[SummaryMonth],0)</f>
        <v>6</v>
      </c>
      <c r="G154" s="29" t="e">
        <f>MATCH(DaybyDay[[#This Row],[LY-Date]],DaybyDay[Date],0)</f>
        <v>#N/A</v>
      </c>
      <c r="H154" s="30">
        <f>WEEKDAY(DaybyDay[[#This Row],[Date]])</f>
        <v>1</v>
      </c>
      <c r="I154" s="31">
        <v>42883</v>
      </c>
      <c r="J154" s="74">
        <v>30</v>
      </c>
      <c r="K154" s="32">
        <f>SUMIFS(BudgetSeasonality[365 Seasonality],BudgetSeasonality[MonthAdjustment],DaybyDay[[#This Row],[Date]])*SUMIFS(Budgets[Service-Budget],Budgets[BudgetMonth],DaybyDay[[#This Row],[RowMonth]],Budgets[BudgetYear],DaybyDay[[#This Row],[RowYear]])</f>
        <v>0</v>
      </c>
      <c r="L154" s="75">
        <v>5078.28</v>
      </c>
      <c r="M154" s="32">
        <f>INDEX(BudgetSeasonality[365 Seasonality],MATCH(DaybyDay[[#This Row],[Date]],BudgetSeasonality[MonthAdjustment],0))*SUMIFS(Budgets[Retail-Budget],Budgets[BudgetMonth],DaybyDay[[#This Row],[RowMonth]],Budgets[BudgetYear],DaybyDay[[#This Row],[RowYear]])</f>
        <v>0</v>
      </c>
      <c r="N154" s="75">
        <v>581</v>
      </c>
      <c r="O154" s="33">
        <f>SUMIFS(DaybyDay[Service-Budgets],DaybyDay[Date],"&gt;="&amp;$C$5,DaybyDay[RowYear],"&gt;="&amp;$C$4,DaybyDay[Date],"&lt;="&amp;DaybyDay[[#This Row],[Date]])</f>
        <v>0</v>
      </c>
      <c r="P154" s="33">
        <f>SUMIFS(DaybyDay[Retail-Budgets],DaybyDay[Date],"&gt;="&amp;$C$5,DaybyDay[RowYear],"&gt;="&amp;$C$4,DaybyDay[Date],"&lt;="&amp;DaybyDay[[#This Row],[Date]])</f>
        <v>0</v>
      </c>
      <c r="Q154" s="34">
        <f>SUMIFS(DaybyDay[Service-Actuals],DaybyDay[Date],"&gt;="&amp;$C$5,DaybyDay[RowYear],"&gt;="&amp;$C$4,DaybyDay[Date],"&lt;="&amp;DaybyDay[[#This Row],[Date]])</f>
        <v>0</v>
      </c>
      <c r="R154" s="34">
        <f>SUMIFS(DaybyDay[Retail-Actuals],DaybyDay[Date],"&gt;="&amp;$C$5,DaybyDay[RowYear],"&gt;="&amp;$C$4,DaybyDay[Date],"&lt;="&amp;DaybyDay[[#This Row],[Date]])</f>
        <v>0</v>
      </c>
      <c r="S154" s="35">
        <f>SUMIFS(DaybyDay[Service-LY],DaybyDay[Date],"&gt;="&amp;$C$5,DaybyDay[RowYear],"&gt;="&amp;$C$4,DaybyDay[Date],"&lt;="&amp;DaybyDay[[#This Row],[Date]])</f>
        <v>0</v>
      </c>
      <c r="T154" s="35">
        <f>SUMIFS(DaybyDay[Retail-LY],DaybyDay[Date],"&gt;="&amp;$C$5,DaybyDay[RowYear],"&gt;="&amp;$C$4,DaybyDay[Date],"&lt;="&amp;DaybyDay[[#This Row],[Date]])</f>
        <v>0</v>
      </c>
      <c r="U154" s="32">
        <f>DaybyDay[[#This Row],[Serv-Bud-RU]]+DaybyDay[[#This Row],[Ret-Bud-RU]]</f>
        <v>0</v>
      </c>
      <c r="V154" s="32">
        <f>DaybyDay[[#This Row],[Serv-Act-RU]]+DaybyDay[[#This Row],[Ret-Act-RU]]</f>
        <v>0</v>
      </c>
      <c r="W154" s="36">
        <f>IF(DaybyDay[[#This Row],[_Space]],IFERROR(
((DaybyDay[[#This Row],[Actual-Rollup]]-DaybyDay[[#This Row],[Budget-Rollup]])/DaybyDay[[#This Row],[Budget-Rollup]]),0),"")</f>
        <v>0</v>
      </c>
      <c r="X154" t="b">
        <f>NOT(AND(ISBLANK(DaybyDay[[#This Row],[Appts]]),ISBLANK(DaybyDay[[#This Row],[Service-Actuals]]),ISBLANK(DaybyDay[[#This Row],[Retail-Actuals]])))</f>
        <v>1</v>
      </c>
      <c r="Y154" s="36">
        <f>IF(DaybyDay[[#This Row],[_Space]],IFERROR(
((DaybyDay[[#This Row],[Actual-Rollup]]-DaybyDay[[#This Row],[LY-Rollup]])/DaybyDay[[#This Row],[LY-Rollup]]),0),"")</f>
        <v>0</v>
      </c>
      <c r="Z154"/>
      <c r="AA154" s="37" t="e">
        <f>IF(DaybyDay[[#This Row],[_Space]],DaybyDay[[#This Row],[Ret-Act-RU]]/DaybyDay[[#This Row],[Serv-Act-RU]],"")</f>
        <v>#DIV/0!</v>
      </c>
      <c r="AB154" s="50" t="e">
        <f>IF(DaybyDay[[#This Row],[_Space]],DaybyDay[[#This Row],[RETPEN-Act]]/DaybyDay[[#This Row],[RETPEN-Bud]],"")</f>
        <v>#DIV/0!</v>
      </c>
      <c r="AC154" s="37" t="e">
        <f>IF(DaybyDay[[#This Row],[_Space]],DaybyDay[[#This Row],[Ret-Bud-RU]]/DaybyDay[[#This Row],[Serv-Bud-RU]],"")</f>
        <v>#DIV/0!</v>
      </c>
      <c r="AD154" s="37" t="e">
        <f>IF(DaybyDay[[#This Row],[_Space]],DaybyDay[[#This Row],[Ret-LY-RU]]/DaybyDay[[#This Row],[Serv-LY-RU]],"")</f>
        <v>#DIV/0!</v>
      </c>
      <c r="AE154" s="30">
        <f>WEEKDAY(DaybyDay[[#This Row],[LY-Date]])</f>
        <v>1</v>
      </c>
      <c r="AF154" s="38">
        <f>$E$2+_xlfn.DAYS(DaybyDay[[#This Row],[Date]],minDate)</f>
        <v>42519</v>
      </c>
      <c r="AG154" s="39" t="str" cm="1">
        <f t="array" ref="AG154">IFERROR(INDEX(DaybyDay[],DaybyDay[[#This Row],[FORM_MATCH_HELPER]],8),"")</f>
        <v/>
      </c>
      <c r="AH154" s="39" t="str" cm="1">
        <f t="array" ref="AH154">IFERROR(INDEX(DaybyDay[],DaybyDay[[#This Row],[FORM_MATCH_HELPER]],10),"")</f>
        <v/>
      </c>
      <c r="AI154" s="39" t="str" cm="1">
        <f t="array" ref="AI154">IFERROR(INDEX(DaybyDay[],DaybyDay[[#This Row],[FORM_MATCH_HELPER]],12),"")</f>
        <v/>
      </c>
      <c r="AJ154" s="32">
        <f>IFERROR(DaybyDay[[#This Row],[Serv-LY-RU]]+DaybyDay[[#This Row],[Ret-LY-RU]],"")</f>
        <v>0</v>
      </c>
      <c r="AK1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4" s="77"/>
      <c r="AM154" s="40" t="str">
        <f>IF(DaybyDay[[#This Row],[Admin Hours]]&gt;0,DaybyDay[[#This Row],[Admin Hours]]*$AM$2+$AM$3,"")</f>
        <v/>
      </c>
      <c r="AN154" s="40">
        <f>SUMIFS(DaybyDay[Est-Admin-Payroll],DaybyDay[Date],"&gt;="&amp;$C$5,DaybyDay[RowYear],"&gt;="&amp;$C$4,DaybyDay[Date],"&lt;="&amp;DaybyDay[[#This Row],[Date]])</f>
        <v>0</v>
      </c>
      <c r="AO154" s="41" t="str">
        <f>IF(AND(DaybyDay[[#This Row],[_Space]],ISNUMBER(DaybyDay[[#This Row],[Admin Hours]])),DaybyDay[[#This Row],[Est-Admin-Payroll]]/(DaybyDay[[#This Row],[Service-Actuals]]+DaybyDay[[#This Row],[Retail-Actuals]]),"")</f>
        <v/>
      </c>
      <c r="AP154" s="41" t="e">
        <f>DaybyDay[[#This Row],[Estimated-Payroll-Rollup]]/DaybyDay[[#This Row],[Simple-Forecast]]</f>
        <v>#DIV/0!</v>
      </c>
      <c r="AQ1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4" s="77"/>
      <c r="AS154" s="40" t="str">
        <f>IF(DaybyDay[[#This Row],[Retail Hours]]&gt;0,DaybyDay[[#This Row],[Retail Hours]]*$AS$2,"")</f>
        <v/>
      </c>
      <c r="AT154" s="40">
        <f>SUMIFS(DaybyDay[Est-Retail-Payroll],DaybyDay[Date],"&gt;="&amp;$C$5,DaybyDay[RowYear],"&gt;="&amp;$C$4,DaybyDay[Date],"&lt;="&amp;DaybyDay[[#This Row],[Date]])</f>
        <v>0</v>
      </c>
      <c r="AU154" s="82" t="str">
        <f>IF(AND(DaybyDay[[#This Row],[_Space]],ISNUMBER(DaybyDay[[#This Row],[Retail Hours]])),DaybyDay[[#This Row],[Est-Retail-Payroll]]/(DaybyDay[[#This Row],[Retail-Actuals]]),"")</f>
        <v/>
      </c>
      <c r="AV154" s="82" t="e">
        <f>DaybyDay[[#This Row],[Est-Retail-PayrollRU]]/DaybyDay[[#This Row],[Simple-Forecast-Retail]]</f>
        <v>#DIV/0!</v>
      </c>
      <c r="AW154" s="8"/>
    </row>
    <row r="155" spans="3:49" hidden="1" x14ac:dyDescent="0.25">
      <c r="C155" s="26" t="str">
        <f>Tools!$C$1</f>
        <v>Example</v>
      </c>
      <c r="D155" s="27" t="s">
        <v>73</v>
      </c>
      <c r="E155" s="28">
        <v>2017</v>
      </c>
      <c r="F155" s="28">
        <f>MATCH(DaybyDay[[#This Row],[RowMonth]],Table3[SummaryMonth],0)</f>
        <v>6</v>
      </c>
      <c r="G155" s="29" t="e">
        <f>MATCH(DaybyDay[[#This Row],[LY-Date]],DaybyDay[Date],0)</f>
        <v>#N/A</v>
      </c>
      <c r="H155" s="30">
        <f>WEEKDAY(DaybyDay[[#This Row],[Date]])</f>
        <v>2</v>
      </c>
      <c r="I155" s="31">
        <v>42884</v>
      </c>
      <c r="J155" s="74">
        <v>26</v>
      </c>
      <c r="K155" s="32">
        <f>SUMIFS(BudgetSeasonality[365 Seasonality],BudgetSeasonality[MonthAdjustment],DaybyDay[[#This Row],[Date]])*SUMIFS(Budgets[Service-Budget],Budgets[BudgetMonth],DaybyDay[[#This Row],[RowMonth]],Budgets[BudgetYear],DaybyDay[[#This Row],[RowYear]])</f>
        <v>0</v>
      </c>
      <c r="L155" s="75">
        <v>5343.5</v>
      </c>
      <c r="M155" s="32">
        <f>INDEX(BudgetSeasonality[365 Seasonality],MATCH(DaybyDay[[#This Row],[Date]],BudgetSeasonality[MonthAdjustment],0))*SUMIFS(Budgets[Retail-Budget],Budgets[BudgetMonth],DaybyDay[[#This Row],[RowMonth]],Budgets[BudgetYear],DaybyDay[[#This Row],[RowYear]])</f>
        <v>0</v>
      </c>
      <c r="N155" s="75">
        <v>386</v>
      </c>
      <c r="O155" s="33">
        <f>SUMIFS(DaybyDay[Service-Budgets],DaybyDay[Date],"&gt;="&amp;$C$5,DaybyDay[RowYear],"&gt;="&amp;$C$4,DaybyDay[Date],"&lt;="&amp;DaybyDay[[#This Row],[Date]])</f>
        <v>0</v>
      </c>
      <c r="P155" s="33">
        <f>SUMIFS(DaybyDay[Retail-Budgets],DaybyDay[Date],"&gt;="&amp;$C$5,DaybyDay[RowYear],"&gt;="&amp;$C$4,DaybyDay[Date],"&lt;="&amp;DaybyDay[[#This Row],[Date]])</f>
        <v>0</v>
      </c>
      <c r="Q155" s="34">
        <f>SUMIFS(DaybyDay[Service-Actuals],DaybyDay[Date],"&gt;="&amp;$C$5,DaybyDay[RowYear],"&gt;="&amp;$C$4,DaybyDay[Date],"&lt;="&amp;DaybyDay[[#This Row],[Date]])</f>
        <v>0</v>
      </c>
      <c r="R155" s="34">
        <f>SUMIFS(DaybyDay[Retail-Actuals],DaybyDay[Date],"&gt;="&amp;$C$5,DaybyDay[RowYear],"&gt;="&amp;$C$4,DaybyDay[Date],"&lt;="&amp;DaybyDay[[#This Row],[Date]])</f>
        <v>0</v>
      </c>
      <c r="S155" s="35">
        <f>SUMIFS(DaybyDay[Service-LY],DaybyDay[Date],"&gt;="&amp;$C$5,DaybyDay[RowYear],"&gt;="&amp;$C$4,DaybyDay[Date],"&lt;="&amp;DaybyDay[[#This Row],[Date]])</f>
        <v>0</v>
      </c>
      <c r="T155" s="35">
        <f>SUMIFS(DaybyDay[Retail-LY],DaybyDay[Date],"&gt;="&amp;$C$5,DaybyDay[RowYear],"&gt;="&amp;$C$4,DaybyDay[Date],"&lt;="&amp;DaybyDay[[#This Row],[Date]])</f>
        <v>0</v>
      </c>
      <c r="U155" s="32">
        <f>DaybyDay[[#This Row],[Serv-Bud-RU]]+DaybyDay[[#This Row],[Ret-Bud-RU]]</f>
        <v>0</v>
      </c>
      <c r="V155" s="32">
        <f>DaybyDay[[#This Row],[Serv-Act-RU]]+DaybyDay[[#This Row],[Ret-Act-RU]]</f>
        <v>0</v>
      </c>
      <c r="W155" s="36">
        <f>IF(DaybyDay[[#This Row],[_Space]],IFERROR(
((DaybyDay[[#This Row],[Actual-Rollup]]-DaybyDay[[#This Row],[Budget-Rollup]])/DaybyDay[[#This Row],[Budget-Rollup]]),0),"")</f>
        <v>0</v>
      </c>
      <c r="X155" t="b">
        <f>NOT(AND(ISBLANK(DaybyDay[[#This Row],[Appts]]),ISBLANK(DaybyDay[[#This Row],[Service-Actuals]]),ISBLANK(DaybyDay[[#This Row],[Retail-Actuals]])))</f>
        <v>1</v>
      </c>
      <c r="Y155" s="36">
        <f>IF(DaybyDay[[#This Row],[_Space]],IFERROR(
((DaybyDay[[#This Row],[Actual-Rollup]]-DaybyDay[[#This Row],[LY-Rollup]])/DaybyDay[[#This Row],[LY-Rollup]]),0),"")</f>
        <v>0</v>
      </c>
      <c r="Z155"/>
      <c r="AA155" s="37" t="e">
        <f>IF(DaybyDay[[#This Row],[_Space]],DaybyDay[[#This Row],[Ret-Act-RU]]/DaybyDay[[#This Row],[Serv-Act-RU]],"")</f>
        <v>#DIV/0!</v>
      </c>
      <c r="AB155" s="50" t="e">
        <f>IF(DaybyDay[[#This Row],[_Space]],DaybyDay[[#This Row],[RETPEN-Act]]/DaybyDay[[#This Row],[RETPEN-Bud]],"")</f>
        <v>#DIV/0!</v>
      </c>
      <c r="AC155" s="37" t="e">
        <f>IF(DaybyDay[[#This Row],[_Space]],DaybyDay[[#This Row],[Ret-Bud-RU]]/DaybyDay[[#This Row],[Serv-Bud-RU]],"")</f>
        <v>#DIV/0!</v>
      </c>
      <c r="AD155" s="37" t="e">
        <f>IF(DaybyDay[[#This Row],[_Space]],DaybyDay[[#This Row],[Ret-LY-RU]]/DaybyDay[[#This Row],[Serv-LY-RU]],"")</f>
        <v>#DIV/0!</v>
      </c>
      <c r="AE155" s="30">
        <f>WEEKDAY(DaybyDay[[#This Row],[LY-Date]])</f>
        <v>2</v>
      </c>
      <c r="AF155" s="38">
        <f>$E$2+_xlfn.DAYS(DaybyDay[[#This Row],[Date]],minDate)</f>
        <v>42520</v>
      </c>
      <c r="AG155" s="39" t="str" cm="1">
        <f t="array" ref="AG155">IFERROR(INDEX(DaybyDay[],DaybyDay[[#This Row],[FORM_MATCH_HELPER]],8),"")</f>
        <v/>
      </c>
      <c r="AH155" s="39" t="str" cm="1">
        <f t="array" ref="AH155">IFERROR(INDEX(DaybyDay[],DaybyDay[[#This Row],[FORM_MATCH_HELPER]],10),"")</f>
        <v/>
      </c>
      <c r="AI155" s="39" t="str" cm="1">
        <f t="array" ref="AI155">IFERROR(INDEX(DaybyDay[],DaybyDay[[#This Row],[FORM_MATCH_HELPER]],12),"")</f>
        <v/>
      </c>
      <c r="AJ155" s="32">
        <f>IFERROR(DaybyDay[[#This Row],[Serv-LY-RU]]+DaybyDay[[#This Row],[Ret-LY-RU]],"")</f>
        <v>0</v>
      </c>
      <c r="AK1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5" s="77"/>
      <c r="AM155" s="40" t="str">
        <f>IF(DaybyDay[[#This Row],[Admin Hours]]&gt;0,DaybyDay[[#This Row],[Admin Hours]]*$AM$2+$AM$3,"")</f>
        <v/>
      </c>
      <c r="AN155" s="40">
        <f>SUMIFS(DaybyDay[Est-Admin-Payroll],DaybyDay[Date],"&gt;="&amp;$C$5,DaybyDay[RowYear],"&gt;="&amp;$C$4,DaybyDay[Date],"&lt;="&amp;DaybyDay[[#This Row],[Date]])</f>
        <v>0</v>
      </c>
      <c r="AO155" s="41" t="str">
        <f>IF(AND(DaybyDay[[#This Row],[_Space]],ISNUMBER(DaybyDay[[#This Row],[Admin Hours]])),DaybyDay[[#This Row],[Est-Admin-Payroll]]/(DaybyDay[[#This Row],[Service-Actuals]]+DaybyDay[[#This Row],[Retail-Actuals]]),"")</f>
        <v/>
      </c>
      <c r="AP155" s="41" t="e">
        <f>DaybyDay[[#This Row],[Estimated-Payroll-Rollup]]/DaybyDay[[#This Row],[Simple-Forecast]]</f>
        <v>#DIV/0!</v>
      </c>
      <c r="AQ1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5" s="77"/>
      <c r="AS155" s="40" t="str">
        <f>IF(DaybyDay[[#This Row],[Retail Hours]]&gt;0,DaybyDay[[#This Row],[Retail Hours]]*$AS$2,"")</f>
        <v/>
      </c>
      <c r="AT155" s="40">
        <f>SUMIFS(DaybyDay[Est-Retail-Payroll],DaybyDay[Date],"&gt;="&amp;$C$5,DaybyDay[RowYear],"&gt;="&amp;$C$4,DaybyDay[Date],"&lt;="&amp;DaybyDay[[#This Row],[Date]])</f>
        <v>0</v>
      </c>
      <c r="AU155" s="82" t="str">
        <f>IF(AND(DaybyDay[[#This Row],[_Space]],ISNUMBER(DaybyDay[[#This Row],[Retail Hours]])),DaybyDay[[#This Row],[Est-Retail-Payroll]]/(DaybyDay[[#This Row],[Retail-Actuals]]),"")</f>
        <v/>
      </c>
      <c r="AV155" s="82" t="e">
        <f>DaybyDay[[#This Row],[Est-Retail-PayrollRU]]/DaybyDay[[#This Row],[Simple-Forecast-Retail]]</f>
        <v>#DIV/0!</v>
      </c>
      <c r="AW155" s="8"/>
    </row>
    <row r="156" spans="3:49" hidden="1" x14ac:dyDescent="0.25">
      <c r="C156" s="26" t="str">
        <f>Tools!$C$1</f>
        <v>Example</v>
      </c>
      <c r="D156" s="27" t="s">
        <v>73</v>
      </c>
      <c r="E156" s="28">
        <v>2017</v>
      </c>
      <c r="F156" s="28">
        <f>MATCH(DaybyDay[[#This Row],[RowMonth]],Table3[SummaryMonth],0)</f>
        <v>6</v>
      </c>
      <c r="G156" s="29" t="e">
        <f>MATCH(DaybyDay[[#This Row],[LY-Date]],DaybyDay[Date],0)</f>
        <v>#N/A</v>
      </c>
      <c r="H156" s="30">
        <f>WEEKDAY(DaybyDay[[#This Row],[Date]])</f>
        <v>3</v>
      </c>
      <c r="I156" s="31">
        <v>42885</v>
      </c>
      <c r="J156" s="74">
        <v>20</v>
      </c>
      <c r="K156" s="32">
        <f>SUMIFS(BudgetSeasonality[365 Seasonality],BudgetSeasonality[MonthAdjustment],DaybyDay[[#This Row],[Date]])*SUMIFS(Budgets[Service-Budget],Budgets[BudgetMonth],DaybyDay[[#This Row],[RowMonth]],Budgets[BudgetYear],DaybyDay[[#This Row],[RowYear]])</f>
        <v>0</v>
      </c>
      <c r="L156" s="75">
        <v>3254.8</v>
      </c>
      <c r="M156" s="32">
        <f>INDEX(BudgetSeasonality[365 Seasonality],MATCH(DaybyDay[[#This Row],[Date]],BudgetSeasonality[MonthAdjustment],0))*SUMIFS(Budgets[Retail-Budget],Budgets[BudgetMonth],DaybyDay[[#This Row],[RowMonth]],Budgets[BudgetYear],DaybyDay[[#This Row],[RowYear]])</f>
        <v>0</v>
      </c>
      <c r="N156" s="75">
        <v>32.5</v>
      </c>
      <c r="O156" s="33">
        <f>SUMIFS(DaybyDay[Service-Budgets],DaybyDay[Date],"&gt;="&amp;$C$5,DaybyDay[RowYear],"&gt;="&amp;$C$4,DaybyDay[Date],"&lt;="&amp;DaybyDay[[#This Row],[Date]])</f>
        <v>0</v>
      </c>
      <c r="P156" s="33">
        <f>SUMIFS(DaybyDay[Retail-Budgets],DaybyDay[Date],"&gt;="&amp;$C$5,DaybyDay[RowYear],"&gt;="&amp;$C$4,DaybyDay[Date],"&lt;="&amp;DaybyDay[[#This Row],[Date]])</f>
        <v>0</v>
      </c>
      <c r="Q156" s="34">
        <f>SUMIFS(DaybyDay[Service-Actuals],DaybyDay[Date],"&gt;="&amp;$C$5,DaybyDay[RowYear],"&gt;="&amp;$C$4,DaybyDay[Date],"&lt;="&amp;DaybyDay[[#This Row],[Date]])</f>
        <v>0</v>
      </c>
      <c r="R156" s="34">
        <f>SUMIFS(DaybyDay[Retail-Actuals],DaybyDay[Date],"&gt;="&amp;$C$5,DaybyDay[RowYear],"&gt;="&amp;$C$4,DaybyDay[Date],"&lt;="&amp;DaybyDay[[#This Row],[Date]])</f>
        <v>0</v>
      </c>
      <c r="S156" s="35">
        <f>SUMIFS(DaybyDay[Service-LY],DaybyDay[Date],"&gt;="&amp;$C$5,DaybyDay[RowYear],"&gt;="&amp;$C$4,DaybyDay[Date],"&lt;="&amp;DaybyDay[[#This Row],[Date]])</f>
        <v>0</v>
      </c>
      <c r="T156" s="35">
        <f>SUMIFS(DaybyDay[Retail-LY],DaybyDay[Date],"&gt;="&amp;$C$5,DaybyDay[RowYear],"&gt;="&amp;$C$4,DaybyDay[Date],"&lt;="&amp;DaybyDay[[#This Row],[Date]])</f>
        <v>0</v>
      </c>
      <c r="U156" s="32">
        <f>DaybyDay[[#This Row],[Serv-Bud-RU]]+DaybyDay[[#This Row],[Ret-Bud-RU]]</f>
        <v>0</v>
      </c>
      <c r="V156" s="32">
        <f>DaybyDay[[#This Row],[Serv-Act-RU]]+DaybyDay[[#This Row],[Ret-Act-RU]]</f>
        <v>0</v>
      </c>
      <c r="W156" s="36">
        <f>IF(DaybyDay[[#This Row],[_Space]],IFERROR(
((DaybyDay[[#This Row],[Actual-Rollup]]-DaybyDay[[#This Row],[Budget-Rollup]])/DaybyDay[[#This Row],[Budget-Rollup]]),0),"")</f>
        <v>0</v>
      </c>
      <c r="X156" t="b">
        <f>NOT(AND(ISBLANK(DaybyDay[[#This Row],[Appts]]),ISBLANK(DaybyDay[[#This Row],[Service-Actuals]]),ISBLANK(DaybyDay[[#This Row],[Retail-Actuals]])))</f>
        <v>1</v>
      </c>
      <c r="Y156" s="36">
        <f>IF(DaybyDay[[#This Row],[_Space]],IFERROR(
((DaybyDay[[#This Row],[Actual-Rollup]]-DaybyDay[[#This Row],[LY-Rollup]])/DaybyDay[[#This Row],[LY-Rollup]]),0),"")</f>
        <v>0</v>
      </c>
      <c r="Z156"/>
      <c r="AA156" s="37" t="e">
        <f>IF(DaybyDay[[#This Row],[_Space]],DaybyDay[[#This Row],[Ret-Act-RU]]/DaybyDay[[#This Row],[Serv-Act-RU]],"")</f>
        <v>#DIV/0!</v>
      </c>
      <c r="AB156" s="50" t="e">
        <f>IF(DaybyDay[[#This Row],[_Space]],DaybyDay[[#This Row],[RETPEN-Act]]/DaybyDay[[#This Row],[RETPEN-Bud]],"")</f>
        <v>#DIV/0!</v>
      </c>
      <c r="AC156" s="37" t="e">
        <f>IF(DaybyDay[[#This Row],[_Space]],DaybyDay[[#This Row],[Ret-Bud-RU]]/DaybyDay[[#This Row],[Serv-Bud-RU]],"")</f>
        <v>#DIV/0!</v>
      </c>
      <c r="AD156" s="37" t="e">
        <f>IF(DaybyDay[[#This Row],[_Space]],DaybyDay[[#This Row],[Ret-LY-RU]]/DaybyDay[[#This Row],[Serv-LY-RU]],"")</f>
        <v>#DIV/0!</v>
      </c>
      <c r="AE156" s="30">
        <f>WEEKDAY(DaybyDay[[#This Row],[LY-Date]])</f>
        <v>3</v>
      </c>
      <c r="AF156" s="38">
        <f>$E$2+_xlfn.DAYS(DaybyDay[[#This Row],[Date]],minDate)</f>
        <v>42521</v>
      </c>
      <c r="AG156" s="39" t="str" cm="1">
        <f t="array" ref="AG156">IFERROR(INDEX(DaybyDay[],DaybyDay[[#This Row],[FORM_MATCH_HELPER]],8),"")</f>
        <v/>
      </c>
      <c r="AH156" s="39" t="str" cm="1">
        <f t="array" ref="AH156">IFERROR(INDEX(DaybyDay[],DaybyDay[[#This Row],[FORM_MATCH_HELPER]],10),"")</f>
        <v/>
      </c>
      <c r="AI156" s="39" t="str" cm="1">
        <f t="array" ref="AI156">IFERROR(INDEX(DaybyDay[],DaybyDay[[#This Row],[FORM_MATCH_HELPER]],12),"")</f>
        <v/>
      </c>
      <c r="AJ156" s="32">
        <f>IFERROR(DaybyDay[[#This Row],[Serv-LY-RU]]+DaybyDay[[#This Row],[Ret-LY-RU]],"")</f>
        <v>0</v>
      </c>
      <c r="AK1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6" s="77"/>
      <c r="AM156" s="40" t="str">
        <f>IF(DaybyDay[[#This Row],[Admin Hours]]&gt;0,DaybyDay[[#This Row],[Admin Hours]]*$AM$2+$AM$3,"")</f>
        <v/>
      </c>
      <c r="AN156" s="40">
        <f>SUMIFS(DaybyDay[Est-Admin-Payroll],DaybyDay[Date],"&gt;="&amp;$C$5,DaybyDay[RowYear],"&gt;="&amp;$C$4,DaybyDay[Date],"&lt;="&amp;DaybyDay[[#This Row],[Date]])</f>
        <v>0</v>
      </c>
      <c r="AO156" s="41" t="str">
        <f>IF(AND(DaybyDay[[#This Row],[_Space]],ISNUMBER(DaybyDay[[#This Row],[Admin Hours]])),DaybyDay[[#This Row],[Est-Admin-Payroll]]/(DaybyDay[[#This Row],[Service-Actuals]]+DaybyDay[[#This Row],[Retail-Actuals]]),"")</f>
        <v/>
      </c>
      <c r="AP156" s="41" t="e">
        <f>DaybyDay[[#This Row],[Estimated-Payroll-Rollup]]/DaybyDay[[#This Row],[Simple-Forecast]]</f>
        <v>#DIV/0!</v>
      </c>
      <c r="AQ1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6" s="77"/>
      <c r="AS156" s="40" t="str">
        <f>IF(DaybyDay[[#This Row],[Retail Hours]]&gt;0,DaybyDay[[#This Row],[Retail Hours]]*$AS$2,"")</f>
        <v/>
      </c>
      <c r="AT156" s="40">
        <f>SUMIFS(DaybyDay[Est-Retail-Payroll],DaybyDay[Date],"&gt;="&amp;$C$5,DaybyDay[RowYear],"&gt;="&amp;$C$4,DaybyDay[Date],"&lt;="&amp;DaybyDay[[#This Row],[Date]])</f>
        <v>0</v>
      </c>
      <c r="AU156" s="82" t="str">
        <f>IF(AND(DaybyDay[[#This Row],[_Space]],ISNUMBER(DaybyDay[[#This Row],[Retail Hours]])),DaybyDay[[#This Row],[Est-Retail-Payroll]]/(DaybyDay[[#This Row],[Retail-Actuals]]),"")</f>
        <v/>
      </c>
      <c r="AV156" s="82" t="e">
        <f>DaybyDay[[#This Row],[Est-Retail-PayrollRU]]/DaybyDay[[#This Row],[Simple-Forecast-Retail]]</f>
        <v>#DIV/0!</v>
      </c>
      <c r="AW156" s="8"/>
    </row>
    <row r="157" spans="3:49" hidden="1" x14ac:dyDescent="0.25">
      <c r="C157" s="26" t="str">
        <f>Tools!$C$1</f>
        <v>Example</v>
      </c>
      <c r="D157" s="27" t="s">
        <v>73</v>
      </c>
      <c r="E157" s="28">
        <v>2017</v>
      </c>
      <c r="F157" s="28">
        <f>MATCH(DaybyDay[[#This Row],[RowMonth]],Table3[SummaryMonth],0)</f>
        <v>6</v>
      </c>
      <c r="G157" s="29" t="e">
        <f>MATCH(DaybyDay[[#This Row],[LY-Date]],DaybyDay[Date],0)</f>
        <v>#N/A</v>
      </c>
      <c r="H157" s="30">
        <f>WEEKDAY(DaybyDay[[#This Row],[Date]])</f>
        <v>4</v>
      </c>
      <c r="I157" s="31">
        <v>42886</v>
      </c>
      <c r="J157" s="74">
        <v>17</v>
      </c>
      <c r="K157" s="32">
        <f>SUMIFS(BudgetSeasonality[365 Seasonality],BudgetSeasonality[MonthAdjustment],DaybyDay[[#This Row],[Date]])*SUMIFS(Budgets[Service-Budget],Budgets[BudgetMonth],DaybyDay[[#This Row],[RowMonth]],Budgets[BudgetYear],DaybyDay[[#This Row],[RowYear]])</f>
        <v>0</v>
      </c>
      <c r="L157" s="75">
        <v>2119.1999999999998</v>
      </c>
      <c r="M157" s="32">
        <f>INDEX(BudgetSeasonality[365 Seasonality],MATCH(DaybyDay[[#This Row],[Date]],BudgetSeasonality[MonthAdjustment],0))*SUMIFS(Budgets[Retail-Budget],Budgets[BudgetMonth],DaybyDay[[#This Row],[RowMonth]],Budgets[BudgetYear],DaybyDay[[#This Row],[RowYear]])</f>
        <v>0</v>
      </c>
      <c r="N157" s="75">
        <v>1081.5</v>
      </c>
      <c r="O157" s="33">
        <f>SUMIFS(DaybyDay[Service-Budgets],DaybyDay[Date],"&gt;="&amp;$C$5,DaybyDay[RowYear],"&gt;="&amp;$C$4,DaybyDay[Date],"&lt;="&amp;DaybyDay[[#This Row],[Date]])</f>
        <v>0</v>
      </c>
      <c r="P157" s="33">
        <f>SUMIFS(DaybyDay[Retail-Budgets],DaybyDay[Date],"&gt;="&amp;$C$5,DaybyDay[RowYear],"&gt;="&amp;$C$4,DaybyDay[Date],"&lt;="&amp;DaybyDay[[#This Row],[Date]])</f>
        <v>0</v>
      </c>
      <c r="Q157" s="34">
        <f>SUMIFS(DaybyDay[Service-Actuals],DaybyDay[Date],"&gt;="&amp;$C$5,DaybyDay[RowYear],"&gt;="&amp;$C$4,DaybyDay[Date],"&lt;="&amp;DaybyDay[[#This Row],[Date]])</f>
        <v>0</v>
      </c>
      <c r="R157" s="34">
        <f>SUMIFS(DaybyDay[Retail-Actuals],DaybyDay[Date],"&gt;="&amp;$C$5,DaybyDay[RowYear],"&gt;="&amp;$C$4,DaybyDay[Date],"&lt;="&amp;DaybyDay[[#This Row],[Date]])</f>
        <v>0</v>
      </c>
      <c r="S157" s="35">
        <f>SUMIFS(DaybyDay[Service-LY],DaybyDay[Date],"&gt;="&amp;$C$5,DaybyDay[RowYear],"&gt;="&amp;$C$4,DaybyDay[Date],"&lt;="&amp;DaybyDay[[#This Row],[Date]])</f>
        <v>0</v>
      </c>
      <c r="T157" s="35">
        <f>SUMIFS(DaybyDay[Retail-LY],DaybyDay[Date],"&gt;="&amp;$C$5,DaybyDay[RowYear],"&gt;="&amp;$C$4,DaybyDay[Date],"&lt;="&amp;DaybyDay[[#This Row],[Date]])</f>
        <v>0</v>
      </c>
      <c r="U157" s="32">
        <f>DaybyDay[[#This Row],[Serv-Bud-RU]]+DaybyDay[[#This Row],[Ret-Bud-RU]]</f>
        <v>0</v>
      </c>
      <c r="V157" s="32">
        <f>DaybyDay[[#This Row],[Serv-Act-RU]]+DaybyDay[[#This Row],[Ret-Act-RU]]</f>
        <v>0</v>
      </c>
      <c r="W157" s="36">
        <f>IF(DaybyDay[[#This Row],[_Space]],IFERROR(
((DaybyDay[[#This Row],[Actual-Rollup]]-DaybyDay[[#This Row],[Budget-Rollup]])/DaybyDay[[#This Row],[Budget-Rollup]]),0),"")</f>
        <v>0</v>
      </c>
      <c r="X157" t="b">
        <f>NOT(AND(ISBLANK(DaybyDay[[#This Row],[Appts]]),ISBLANK(DaybyDay[[#This Row],[Service-Actuals]]),ISBLANK(DaybyDay[[#This Row],[Retail-Actuals]])))</f>
        <v>1</v>
      </c>
      <c r="Y157" s="36">
        <f>IF(DaybyDay[[#This Row],[_Space]],IFERROR(
((DaybyDay[[#This Row],[Actual-Rollup]]-DaybyDay[[#This Row],[LY-Rollup]])/DaybyDay[[#This Row],[LY-Rollup]]),0),"")</f>
        <v>0</v>
      </c>
      <c r="Z157"/>
      <c r="AA157" s="37" t="e">
        <f>IF(DaybyDay[[#This Row],[_Space]],DaybyDay[[#This Row],[Ret-Act-RU]]/DaybyDay[[#This Row],[Serv-Act-RU]],"")</f>
        <v>#DIV/0!</v>
      </c>
      <c r="AB157" s="50" t="e">
        <f>IF(DaybyDay[[#This Row],[_Space]],DaybyDay[[#This Row],[RETPEN-Act]]/DaybyDay[[#This Row],[RETPEN-Bud]],"")</f>
        <v>#DIV/0!</v>
      </c>
      <c r="AC157" s="37" t="e">
        <f>IF(DaybyDay[[#This Row],[_Space]],DaybyDay[[#This Row],[Ret-Bud-RU]]/DaybyDay[[#This Row],[Serv-Bud-RU]],"")</f>
        <v>#DIV/0!</v>
      </c>
      <c r="AD157" s="37" t="e">
        <f>IF(DaybyDay[[#This Row],[_Space]],DaybyDay[[#This Row],[Ret-LY-RU]]/DaybyDay[[#This Row],[Serv-LY-RU]],"")</f>
        <v>#DIV/0!</v>
      </c>
      <c r="AE157" s="30">
        <f>WEEKDAY(DaybyDay[[#This Row],[LY-Date]])</f>
        <v>4</v>
      </c>
      <c r="AF157" s="38">
        <f>$E$2+_xlfn.DAYS(DaybyDay[[#This Row],[Date]],minDate)</f>
        <v>42522</v>
      </c>
      <c r="AG157" s="39" t="str" cm="1">
        <f t="array" ref="AG157">IFERROR(INDEX(DaybyDay[],DaybyDay[[#This Row],[FORM_MATCH_HELPER]],8),"")</f>
        <v/>
      </c>
      <c r="AH157" s="39" t="str" cm="1">
        <f t="array" ref="AH157">IFERROR(INDEX(DaybyDay[],DaybyDay[[#This Row],[FORM_MATCH_HELPER]],10),"")</f>
        <v/>
      </c>
      <c r="AI157" s="39" t="str" cm="1">
        <f t="array" ref="AI157">IFERROR(INDEX(DaybyDay[],DaybyDay[[#This Row],[FORM_MATCH_HELPER]],12),"")</f>
        <v/>
      </c>
      <c r="AJ157" s="32">
        <f>IFERROR(DaybyDay[[#This Row],[Serv-LY-RU]]+DaybyDay[[#This Row],[Ret-LY-RU]],"")</f>
        <v>0</v>
      </c>
      <c r="AK1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7" s="77"/>
      <c r="AM157" s="40" t="str">
        <f>IF(DaybyDay[[#This Row],[Admin Hours]]&gt;0,DaybyDay[[#This Row],[Admin Hours]]*$AM$2+$AM$3,"")</f>
        <v/>
      </c>
      <c r="AN157" s="40">
        <f>SUMIFS(DaybyDay[Est-Admin-Payroll],DaybyDay[Date],"&gt;="&amp;$C$5,DaybyDay[RowYear],"&gt;="&amp;$C$4,DaybyDay[Date],"&lt;="&amp;DaybyDay[[#This Row],[Date]])</f>
        <v>0</v>
      </c>
      <c r="AO157" s="41" t="str">
        <f>IF(AND(DaybyDay[[#This Row],[_Space]],ISNUMBER(DaybyDay[[#This Row],[Admin Hours]])),DaybyDay[[#This Row],[Est-Admin-Payroll]]/(DaybyDay[[#This Row],[Service-Actuals]]+DaybyDay[[#This Row],[Retail-Actuals]]),"")</f>
        <v/>
      </c>
      <c r="AP157" s="41" t="e">
        <f>DaybyDay[[#This Row],[Estimated-Payroll-Rollup]]/DaybyDay[[#This Row],[Simple-Forecast]]</f>
        <v>#DIV/0!</v>
      </c>
      <c r="AQ1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7" s="77"/>
      <c r="AS157" s="40" t="str">
        <f>IF(DaybyDay[[#This Row],[Retail Hours]]&gt;0,DaybyDay[[#This Row],[Retail Hours]]*$AS$2,"")</f>
        <v/>
      </c>
      <c r="AT157" s="40">
        <f>SUMIFS(DaybyDay[Est-Retail-Payroll],DaybyDay[Date],"&gt;="&amp;$C$5,DaybyDay[RowYear],"&gt;="&amp;$C$4,DaybyDay[Date],"&lt;="&amp;DaybyDay[[#This Row],[Date]])</f>
        <v>0</v>
      </c>
      <c r="AU157" s="82" t="str">
        <f>IF(AND(DaybyDay[[#This Row],[_Space]],ISNUMBER(DaybyDay[[#This Row],[Retail Hours]])),DaybyDay[[#This Row],[Est-Retail-Payroll]]/(DaybyDay[[#This Row],[Retail-Actuals]]),"")</f>
        <v/>
      </c>
      <c r="AV157" s="82" t="e">
        <f>DaybyDay[[#This Row],[Est-Retail-PayrollRU]]/DaybyDay[[#This Row],[Simple-Forecast-Retail]]</f>
        <v>#DIV/0!</v>
      </c>
      <c r="AW157" s="8"/>
    </row>
    <row r="158" spans="3:49" hidden="1" x14ac:dyDescent="0.25">
      <c r="C158" s="26" t="str">
        <f>Tools!$C$1</f>
        <v>Example</v>
      </c>
      <c r="D158" s="27" t="s">
        <v>73</v>
      </c>
      <c r="E158" s="28">
        <v>2017</v>
      </c>
      <c r="F158" s="28">
        <f>MATCH(DaybyDay[[#This Row],[RowMonth]],Table3[SummaryMonth],0)</f>
        <v>6</v>
      </c>
      <c r="G158" s="29" t="e">
        <f>MATCH(DaybyDay[[#This Row],[LY-Date]],DaybyDay[Date],0)</f>
        <v>#N/A</v>
      </c>
      <c r="H158" s="30">
        <f>WEEKDAY(DaybyDay[[#This Row],[Date]])</f>
        <v>5</v>
      </c>
      <c r="I158" s="31">
        <v>42887</v>
      </c>
      <c r="J158" s="74">
        <v>26</v>
      </c>
      <c r="K158" s="32">
        <f>SUMIFS(BudgetSeasonality[365 Seasonality],BudgetSeasonality[MonthAdjustment],DaybyDay[[#This Row],[Date]])*SUMIFS(Budgets[Service-Budget],Budgets[BudgetMonth],DaybyDay[[#This Row],[RowMonth]],Budgets[BudgetYear],DaybyDay[[#This Row],[RowYear]])</f>
        <v>0</v>
      </c>
      <c r="L158" s="75">
        <v>4630.3999999999996</v>
      </c>
      <c r="M158" s="32">
        <f>INDEX(BudgetSeasonality[365 Seasonality],MATCH(DaybyDay[[#This Row],[Date]],BudgetSeasonality[MonthAdjustment],0))*SUMIFS(Budgets[Retail-Budget],Budgets[BudgetMonth],DaybyDay[[#This Row],[RowMonth]],Budgets[BudgetYear],DaybyDay[[#This Row],[RowYear]])</f>
        <v>0</v>
      </c>
      <c r="N158" s="75">
        <v>385</v>
      </c>
      <c r="O158" s="33">
        <f>SUMIFS(DaybyDay[Service-Budgets],DaybyDay[Date],"&gt;="&amp;$C$5,DaybyDay[RowYear],"&gt;="&amp;$C$4,DaybyDay[Date],"&lt;="&amp;DaybyDay[[#This Row],[Date]])</f>
        <v>0</v>
      </c>
      <c r="P158" s="33">
        <f>SUMIFS(DaybyDay[Retail-Budgets],DaybyDay[Date],"&gt;="&amp;$C$5,DaybyDay[RowYear],"&gt;="&amp;$C$4,DaybyDay[Date],"&lt;="&amp;DaybyDay[[#This Row],[Date]])</f>
        <v>0</v>
      </c>
      <c r="Q158" s="34">
        <f>SUMIFS(DaybyDay[Service-Actuals],DaybyDay[Date],"&gt;="&amp;$C$5,DaybyDay[RowYear],"&gt;="&amp;$C$4,DaybyDay[Date],"&lt;="&amp;DaybyDay[[#This Row],[Date]])</f>
        <v>0</v>
      </c>
      <c r="R158" s="34">
        <f>SUMIFS(DaybyDay[Retail-Actuals],DaybyDay[Date],"&gt;="&amp;$C$5,DaybyDay[RowYear],"&gt;="&amp;$C$4,DaybyDay[Date],"&lt;="&amp;DaybyDay[[#This Row],[Date]])</f>
        <v>0</v>
      </c>
      <c r="S158" s="35">
        <f>SUMIFS(DaybyDay[Service-LY],DaybyDay[Date],"&gt;="&amp;$C$5,DaybyDay[RowYear],"&gt;="&amp;$C$4,DaybyDay[Date],"&lt;="&amp;DaybyDay[[#This Row],[Date]])</f>
        <v>0</v>
      </c>
      <c r="T158" s="35">
        <f>SUMIFS(DaybyDay[Retail-LY],DaybyDay[Date],"&gt;="&amp;$C$5,DaybyDay[RowYear],"&gt;="&amp;$C$4,DaybyDay[Date],"&lt;="&amp;DaybyDay[[#This Row],[Date]])</f>
        <v>0</v>
      </c>
      <c r="U158" s="32">
        <f>DaybyDay[[#This Row],[Serv-Bud-RU]]+DaybyDay[[#This Row],[Ret-Bud-RU]]</f>
        <v>0</v>
      </c>
      <c r="V158" s="32">
        <f>DaybyDay[[#This Row],[Serv-Act-RU]]+DaybyDay[[#This Row],[Ret-Act-RU]]</f>
        <v>0</v>
      </c>
      <c r="W158" s="36">
        <f>IF(DaybyDay[[#This Row],[_Space]],IFERROR(
((DaybyDay[[#This Row],[Actual-Rollup]]-DaybyDay[[#This Row],[Budget-Rollup]])/DaybyDay[[#This Row],[Budget-Rollup]]),0),"")</f>
        <v>0</v>
      </c>
      <c r="X158" t="b">
        <f>NOT(AND(ISBLANK(DaybyDay[[#This Row],[Appts]]),ISBLANK(DaybyDay[[#This Row],[Service-Actuals]]),ISBLANK(DaybyDay[[#This Row],[Retail-Actuals]])))</f>
        <v>1</v>
      </c>
      <c r="Y158" s="36">
        <f>IF(DaybyDay[[#This Row],[_Space]],IFERROR(
((DaybyDay[[#This Row],[Actual-Rollup]]-DaybyDay[[#This Row],[LY-Rollup]])/DaybyDay[[#This Row],[LY-Rollup]]),0),"")</f>
        <v>0</v>
      </c>
      <c r="Z158"/>
      <c r="AA158" s="37" t="e">
        <f>IF(DaybyDay[[#This Row],[_Space]],DaybyDay[[#This Row],[Ret-Act-RU]]/DaybyDay[[#This Row],[Serv-Act-RU]],"")</f>
        <v>#DIV/0!</v>
      </c>
      <c r="AB158" s="50" t="e">
        <f>IF(DaybyDay[[#This Row],[_Space]],DaybyDay[[#This Row],[RETPEN-Act]]/DaybyDay[[#This Row],[RETPEN-Bud]],"")</f>
        <v>#DIV/0!</v>
      </c>
      <c r="AC158" s="37" t="e">
        <f>IF(DaybyDay[[#This Row],[_Space]],DaybyDay[[#This Row],[Ret-Bud-RU]]/DaybyDay[[#This Row],[Serv-Bud-RU]],"")</f>
        <v>#DIV/0!</v>
      </c>
      <c r="AD158" s="37" t="e">
        <f>IF(DaybyDay[[#This Row],[_Space]],DaybyDay[[#This Row],[Ret-LY-RU]]/DaybyDay[[#This Row],[Serv-LY-RU]],"")</f>
        <v>#DIV/0!</v>
      </c>
      <c r="AE158" s="30">
        <f>WEEKDAY(DaybyDay[[#This Row],[LY-Date]])</f>
        <v>5</v>
      </c>
      <c r="AF158" s="38">
        <f>$E$2+_xlfn.DAYS(DaybyDay[[#This Row],[Date]],minDate)</f>
        <v>42523</v>
      </c>
      <c r="AG158" s="39" t="str" cm="1">
        <f t="array" ref="AG158">IFERROR(INDEX(DaybyDay[],DaybyDay[[#This Row],[FORM_MATCH_HELPER]],8),"")</f>
        <v/>
      </c>
      <c r="AH158" s="39" t="str" cm="1">
        <f t="array" ref="AH158">IFERROR(INDEX(DaybyDay[],DaybyDay[[#This Row],[FORM_MATCH_HELPER]],10),"")</f>
        <v/>
      </c>
      <c r="AI158" s="39" t="str" cm="1">
        <f t="array" ref="AI158">IFERROR(INDEX(DaybyDay[],DaybyDay[[#This Row],[FORM_MATCH_HELPER]],12),"")</f>
        <v/>
      </c>
      <c r="AJ158" s="32">
        <f>IFERROR(DaybyDay[[#This Row],[Serv-LY-RU]]+DaybyDay[[#This Row],[Ret-LY-RU]],"")</f>
        <v>0</v>
      </c>
      <c r="AK1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8" s="77"/>
      <c r="AM158" s="40" t="str">
        <f>IF(DaybyDay[[#This Row],[Admin Hours]]&gt;0,DaybyDay[[#This Row],[Admin Hours]]*$AM$2+$AM$3,"")</f>
        <v/>
      </c>
      <c r="AN158" s="40">
        <f>SUMIFS(DaybyDay[Est-Admin-Payroll],DaybyDay[Date],"&gt;="&amp;$C$5,DaybyDay[RowYear],"&gt;="&amp;$C$4,DaybyDay[Date],"&lt;="&amp;DaybyDay[[#This Row],[Date]])</f>
        <v>0</v>
      </c>
      <c r="AO158" s="41" t="str">
        <f>IF(AND(DaybyDay[[#This Row],[_Space]],ISNUMBER(DaybyDay[[#This Row],[Admin Hours]])),DaybyDay[[#This Row],[Est-Admin-Payroll]]/(DaybyDay[[#This Row],[Service-Actuals]]+DaybyDay[[#This Row],[Retail-Actuals]]),"")</f>
        <v/>
      </c>
      <c r="AP158" s="41" t="e">
        <f>DaybyDay[[#This Row],[Estimated-Payroll-Rollup]]/DaybyDay[[#This Row],[Simple-Forecast]]</f>
        <v>#DIV/0!</v>
      </c>
      <c r="AQ1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8" s="77"/>
      <c r="AS158" s="40" t="str">
        <f>IF(DaybyDay[[#This Row],[Retail Hours]]&gt;0,DaybyDay[[#This Row],[Retail Hours]]*$AS$2,"")</f>
        <v/>
      </c>
      <c r="AT158" s="40">
        <f>SUMIFS(DaybyDay[Est-Retail-Payroll],DaybyDay[Date],"&gt;="&amp;$C$5,DaybyDay[RowYear],"&gt;="&amp;$C$4,DaybyDay[Date],"&lt;="&amp;DaybyDay[[#This Row],[Date]])</f>
        <v>0</v>
      </c>
      <c r="AU158" s="82" t="str">
        <f>IF(AND(DaybyDay[[#This Row],[_Space]],ISNUMBER(DaybyDay[[#This Row],[Retail Hours]])),DaybyDay[[#This Row],[Est-Retail-Payroll]]/(DaybyDay[[#This Row],[Retail-Actuals]]),"")</f>
        <v/>
      </c>
      <c r="AV158" s="82" t="e">
        <f>DaybyDay[[#This Row],[Est-Retail-PayrollRU]]/DaybyDay[[#This Row],[Simple-Forecast-Retail]]</f>
        <v>#DIV/0!</v>
      </c>
      <c r="AW158" s="8"/>
    </row>
    <row r="159" spans="3:49" hidden="1" x14ac:dyDescent="0.25">
      <c r="C159" s="26" t="str">
        <f>Tools!$C$1</f>
        <v>Example</v>
      </c>
      <c r="D159" s="27" t="s">
        <v>73</v>
      </c>
      <c r="E159" s="28">
        <v>2017</v>
      </c>
      <c r="F159" s="28">
        <f>MATCH(DaybyDay[[#This Row],[RowMonth]],Table3[SummaryMonth],0)</f>
        <v>6</v>
      </c>
      <c r="G159" s="29" t="e">
        <f>MATCH(DaybyDay[[#This Row],[LY-Date]],DaybyDay[Date],0)</f>
        <v>#N/A</v>
      </c>
      <c r="H159" s="30">
        <f>WEEKDAY(DaybyDay[[#This Row],[Date]])</f>
        <v>6</v>
      </c>
      <c r="I159" s="31">
        <v>42888</v>
      </c>
      <c r="J159" s="74">
        <v>25</v>
      </c>
      <c r="K159" s="32">
        <f>SUMIFS(BudgetSeasonality[365 Seasonality],BudgetSeasonality[MonthAdjustment],DaybyDay[[#This Row],[Date]])*SUMIFS(Budgets[Service-Budget],Budgets[BudgetMonth],DaybyDay[[#This Row],[RowMonth]],Budgets[BudgetYear],DaybyDay[[#This Row],[RowYear]])</f>
        <v>0</v>
      </c>
      <c r="L159" s="75">
        <v>3758.5</v>
      </c>
      <c r="M159" s="32">
        <f>INDEX(BudgetSeasonality[365 Seasonality],MATCH(DaybyDay[[#This Row],[Date]],BudgetSeasonality[MonthAdjustment],0))*SUMIFS(Budgets[Retail-Budget],Budgets[BudgetMonth],DaybyDay[[#This Row],[RowMonth]],Budgets[BudgetYear],DaybyDay[[#This Row],[RowYear]])</f>
        <v>0</v>
      </c>
      <c r="N159" s="75">
        <v>134</v>
      </c>
      <c r="O159" s="33">
        <f>SUMIFS(DaybyDay[Service-Budgets],DaybyDay[Date],"&gt;="&amp;$C$5,DaybyDay[RowYear],"&gt;="&amp;$C$4,DaybyDay[Date],"&lt;="&amp;DaybyDay[[#This Row],[Date]])</f>
        <v>0</v>
      </c>
      <c r="P159" s="33">
        <f>SUMIFS(DaybyDay[Retail-Budgets],DaybyDay[Date],"&gt;="&amp;$C$5,DaybyDay[RowYear],"&gt;="&amp;$C$4,DaybyDay[Date],"&lt;="&amp;DaybyDay[[#This Row],[Date]])</f>
        <v>0</v>
      </c>
      <c r="Q159" s="34">
        <f>SUMIFS(DaybyDay[Service-Actuals],DaybyDay[Date],"&gt;="&amp;$C$5,DaybyDay[RowYear],"&gt;="&amp;$C$4,DaybyDay[Date],"&lt;="&amp;DaybyDay[[#This Row],[Date]])</f>
        <v>0</v>
      </c>
      <c r="R159" s="34">
        <f>SUMIFS(DaybyDay[Retail-Actuals],DaybyDay[Date],"&gt;="&amp;$C$5,DaybyDay[RowYear],"&gt;="&amp;$C$4,DaybyDay[Date],"&lt;="&amp;DaybyDay[[#This Row],[Date]])</f>
        <v>0</v>
      </c>
      <c r="S159" s="35">
        <f>SUMIFS(DaybyDay[Service-LY],DaybyDay[Date],"&gt;="&amp;$C$5,DaybyDay[RowYear],"&gt;="&amp;$C$4,DaybyDay[Date],"&lt;="&amp;DaybyDay[[#This Row],[Date]])</f>
        <v>0</v>
      </c>
      <c r="T159" s="35">
        <f>SUMIFS(DaybyDay[Retail-LY],DaybyDay[Date],"&gt;="&amp;$C$5,DaybyDay[RowYear],"&gt;="&amp;$C$4,DaybyDay[Date],"&lt;="&amp;DaybyDay[[#This Row],[Date]])</f>
        <v>0</v>
      </c>
      <c r="U159" s="32">
        <f>DaybyDay[[#This Row],[Serv-Bud-RU]]+DaybyDay[[#This Row],[Ret-Bud-RU]]</f>
        <v>0</v>
      </c>
      <c r="V159" s="32">
        <f>DaybyDay[[#This Row],[Serv-Act-RU]]+DaybyDay[[#This Row],[Ret-Act-RU]]</f>
        <v>0</v>
      </c>
      <c r="W159" s="36">
        <f>IF(DaybyDay[[#This Row],[_Space]],IFERROR(
((DaybyDay[[#This Row],[Actual-Rollup]]-DaybyDay[[#This Row],[Budget-Rollup]])/DaybyDay[[#This Row],[Budget-Rollup]]),0),"")</f>
        <v>0</v>
      </c>
      <c r="X159" t="b">
        <f>NOT(AND(ISBLANK(DaybyDay[[#This Row],[Appts]]),ISBLANK(DaybyDay[[#This Row],[Service-Actuals]]),ISBLANK(DaybyDay[[#This Row],[Retail-Actuals]])))</f>
        <v>1</v>
      </c>
      <c r="Y159" s="36">
        <f>IF(DaybyDay[[#This Row],[_Space]],IFERROR(
((DaybyDay[[#This Row],[Actual-Rollup]]-DaybyDay[[#This Row],[LY-Rollup]])/DaybyDay[[#This Row],[LY-Rollup]]),0),"")</f>
        <v>0</v>
      </c>
      <c r="Z159"/>
      <c r="AA159" s="37" t="e">
        <f>IF(DaybyDay[[#This Row],[_Space]],DaybyDay[[#This Row],[Ret-Act-RU]]/DaybyDay[[#This Row],[Serv-Act-RU]],"")</f>
        <v>#DIV/0!</v>
      </c>
      <c r="AB159" s="50" t="e">
        <f>IF(DaybyDay[[#This Row],[_Space]],DaybyDay[[#This Row],[RETPEN-Act]]/DaybyDay[[#This Row],[RETPEN-Bud]],"")</f>
        <v>#DIV/0!</v>
      </c>
      <c r="AC159" s="37" t="e">
        <f>IF(DaybyDay[[#This Row],[_Space]],DaybyDay[[#This Row],[Ret-Bud-RU]]/DaybyDay[[#This Row],[Serv-Bud-RU]],"")</f>
        <v>#DIV/0!</v>
      </c>
      <c r="AD159" s="37" t="e">
        <f>IF(DaybyDay[[#This Row],[_Space]],DaybyDay[[#This Row],[Ret-LY-RU]]/DaybyDay[[#This Row],[Serv-LY-RU]],"")</f>
        <v>#DIV/0!</v>
      </c>
      <c r="AE159" s="30">
        <f>WEEKDAY(DaybyDay[[#This Row],[LY-Date]])</f>
        <v>6</v>
      </c>
      <c r="AF159" s="38">
        <f>$E$2+_xlfn.DAYS(DaybyDay[[#This Row],[Date]],minDate)</f>
        <v>42524</v>
      </c>
      <c r="AG159" s="39" t="str" cm="1">
        <f t="array" ref="AG159">IFERROR(INDEX(DaybyDay[],DaybyDay[[#This Row],[FORM_MATCH_HELPER]],8),"")</f>
        <v/>
      </c>
      <c r="AH159" s="39" t="str" cm="1">
        <f t="array" ref="AH159">IFERROR(INDEX(DaybyDay[],DaybyDay[[#This Row],[FORM_MATCH_HELPER]],10),"")</f>
        <v/>
      </c>
      <c r="AI159" s="39" t="str" cm="1">
        <f t="array" ref="AI159">IFERROR(INDEX(DaybyDay[],DaybyDay[[#This Row],[FORM_MATCH_HELPER]],12),"")</f>
        <v/>
      </c>
      <c r="AJ159" s="32">
        <f>IFERROR(DaybyDay[[#This Row],[Serv-LY-RU]]+DaybyDay[[#This Row],[Ret-LY-RU]],"")</f>
        <v>0</v>
      </c>
      <c r="AK1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59" s="77"/>
      <c r="AM159" s="40" t="str">
        <f>IF(DaybyDay[[#This Row],[Admin Hours]]&gt;0,DaybyDay[[#This Row],[Admin Hours]]*$AM$2+$AM$3,"")</f>
        <v/>
      </c>
      <c r="AN159" s="40">
        <f>SUMIFS(DaybyDay[Est-Admin-Payroll],DaybyDay[Date],"&gt;="&amp;$C$5,DaybyDay[RowYear],"&gt;="&amp;$C$4,DaybyDay[Date],"&lt;="&amp;DaybyDay[[#This Row],[Date]])</f>
        <v>0</v>
      </c>
      <c r="AO159" s="41" t="str">
        <f>IF(AND(DaybyDay[[#This Row],[_Space]],ISNUMBER(DaybyDay[[#This Row],[Admin Hours]])),DaybyDay[[#This Row],[Est-Admin-Payroll]]/(DaybyDay[[#This Row],[Service-Actuals]]+DaybyDay[[#This Row],[Retail-Actuals]]),"")</f>
        <v/>
      </c>
      <c r="AP159" s="41" t="e">
        <f>DaybyDay[[#This Row],[Estimated-Payroll-Rollup]]/DaybyDay[[#This Row],[Simple-Forecast]]</f>
        <v>#DIV/0!</v>
      </c>
      <c r="AQ1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59" s="77"/>
      <c r="AS159" s="40" t="str">
        <f>IF(DaybyDay[[#This Row],[Retail Hours]]&gt;0,DaybyDay[[#This Row],[Retail Hours]]*$AS$2,"")</f>
        <v/>
      </c>
      <c r="AT159" s="40">
        <f>SUMIFS(DaybyDay[Est-Retail-Payroll],DaybyDay[Date],"&gt;="&amp;$C$5,DaybyDay[RowYear],"&gt;="&amp;$C$4,DaybyDay[Date],"&lt;="&amp;DaybyDay[[#This Row],[Date]])</f>
        <v>0</v>
      </c>
      <c r="AU159" s="82" t="str">
        <f>IF(AND(DaybyDay[[#This Row],[_Space]],ISNUMBER(DaybyDay[[#This Row],[Retail Hours]])),DaybyDay[[#This Row],[Est-Retail-Payroll]]/(DaybyDay[[#This Row],[Retail-Actuals]]),"")</f>
        <v/>
      </c>
      <c r="AV159" s="82" t="e">
        <f>DaybyDay[[#This Row],[Est-Retail-PayrollRU]]/DaybyDay[[#This Row],[Simple-Forecast-Retail]]</f>
        <v>#DIV/0!</v>
      </c>
      <c r="AW159" s="8"/>
    </row>
    <row r="160" spans="3:49" hidden="1" x14ac:dyDescent="0.25">
      <c r="C160" s="26" t="str">
        <f>Tools!$C$1</f>
        <v>Example</v>
      </c>
      <c r="D160" s="27" t="s">
        <v>73</v>
      </c>
      <c r="E160" s="28">
        <v>2017</v>
      </c>
      <c r="F160" s="28">
        <f>MATCH(DaybyDay[[#This Row],[RowMonth]],Table3[SummaryMonth],0)</f>
        <v>6</v>
      </c>
      <c r="G160" s="29" t="e">
        <f>MATCH(DaybyDay[[#This Row],[LY-Date]],DaybyDay[Date],0)</f>
        <v>#N/A</v>
      </c>
      <c r="H160" s="30">
        <f>WEEKDAY(DaybyDay[[#This Row],[Date]])</f>
        <v>7</v>
      </c>
      <c r="I160" s="31">
        <v>42889</v>
      </c>
      <c r="J160" s="74">
        <v>34</v>
      </c>
      <c r="K160" s="32">
        <f>SUMIFS(BudgetSeasonality[365 Seasonality],BudgetSeasonality[MonthAdjustment],DaybyDay[[#This Row],[Date]])*SUMIFS(Budgets[Service-Budget],Budgets[BudgetMonth],DaybyDay[[#This Row],[RowMonth]],Budgets[BudgetYear],DaybyDay[[#This Row],[RowYear]])</f>
        <v>0</v>
      </c>
      <c r="L160" s="75">
        <v>7842.2</v>
      </c>
      <c r="M160" s="32">
        <f>INDEX(BudgetSeasonality[365 Seasonality],MATCH(DaybyDay[[#This Row],[Date]],BudgetSeasonality[MonthAdjustment],0))*SUMIFS(Budgets[Retail-Budget],Budgets[BudgetMonth],DaybyDay[[#This Row],[RowMonth]],Budgets[BudgetYear],DaybyDay[[#This Row],[RowYear]])</f>
        <v>0</v>
      </c>
      <c r="N160" s="75">
        <v>273.5</v>
      </c>
      <c r="O160" s="33">
        <f>SUMIFS(DaybyDay[Service-Budgets],DaybyDay[Date],"&gt;="&amp;$C$5,DaybyDay[RowYear],"&gt;="&amp;$C$4,DaybyDay[Date],"&lt;="&amp;DaybyDay[[#This Row],[Date]])</f>
        <v>0</v>
      </c>
      <c r="P160" s="33">
        <f>SUMIFS(DaybyDay[Retail-Budgets],DaybyDay[Date],"&gt;="&amp;$C$5,DaybyDay[RowYear],"&gt;="&amp;$C$4,DaybyDay[Date],"&lt;="&amp;DaybyDay[[#This Row],[Date]])</f>
        <v>0</v>
      </c>
      <c r="Q160" s="34">
        <f>SUMIFS(DaybyDay[Service-Actuals],DaybyDay[Date],"&gt;="&amp;$C$5,DaybyDay[RowYear],"&gt;="&amp;$C$4,DaybyDay[Date],"&lt;="&amp;DaybyDay[[#This Row],[Date]])</f>
        <v>0</v>
      </c>
      <c r="R160" s="34">
        <f>SUMIFS(DaybyDay[Retail-Actuals],DaybyDay[Date],"&gt;="&amp;$C$5,DaybyDay[RowYear],"&gt;="&amp;$C$4,DaybyDay[Date],"&lt;="&amp;DaybyDay[[#This Row],[Date]])</f>
        <v>0</v>
      </c>
      <c r="S160" s="35">
        <f>SUMIFS(DaybyDay[Service-LY],DaybyDay[Date],"&gt;="&amp;$C$5,DaybyDay[RowYear],"&gt;="&amp;$C$4,DaybyDay[Date],"&lt;="&amp;DaybyDay[[#This Row],[Date]])</f>
        <v>0</v>
      </c>
      <c r="T160" s="35">
        <f>SUMIFS(DaybyDay[Retail-LY],DaybyDay[Date],"&gt;="&amp;$C$5,DaybyDay[RowYear],"&gt;="&amp;$C$4,DaybyDay[Date],"&lt;="&amp;DaybyDay[[#This Row],[Date]])</f>
        <v>0</v>
      </c>
      <c r="U160" s="32">
        <f>DaybyDay[[#This Row],[Serv-Bud-RU]]+DaybyDay[[#This Row],[Ret-Bud-RU]]</f>
        <v>0</v>
      </c>
      <c r="V160" s="32">
        <f>DaybyDay[[#This Row],[Serv-Act-RU]]+DaybyDay[[#This Row],[Ret-Act-RU]]</f>
        <v>0</v>
      </c>
      <c r="W160" s="36">
        <f>IF(DaybyDay[[#This Row],[_Space]],IFERROR(
((DaybyDay[[#This Row],[Actual-Rollup]]-DaybyDay[[#This Row],[Budget-Rollup]])/DaybyDay[[#This Row],[Budget-Rollup]]),0),"")</f>
        <v>0</v>
      </c>
      <c r="X160" t="b">
        <f>NOT(AND(ISBLANK(DaybyDay[[#This Row],[Appts]]),ISBLANK(DaybyDay[[#This Row],[Service-Actuals]]),ISBLANK(DaybyDay[[#This Row],[Retail-Actuals]])))</f>
        <v>1</v>
      </c>
      <c r="Y160" s="36">
        <f>IF(DaybyDay[[#This Row],[_Space]],IFERROR(
((DaybyDay[[#This Row],[Actual-Rollup]]-DaybyDay[[#This Row],[LY-Rollup]])/DaybyDay[[#This Row],[LY-Rollup]]),0),"")</f>
        <v>0</v>
      </c>
      <c r="Z160"/>
      <c r="AA160" s="37" t="e">
        <f>IF(DaybyDay[[#This Row],[_Space]],DaybyDay[[#This Row],[Ret-Act-RU]]/DaybyDay[[#This Row],[Serv-Act-RU]],"")</f>
        <v>#DIV/0!</v>
      </c>
      <c r="AB160" s="50" t="e">
        <f>IF(DaybyDay[[#This Row],[_Space]],DaybyDay[[#This Row],[RETPEN-Act]]/DaybyDay[[#This Row],[RETPEN-Bud]],"")</f>
        <v>#DIV/0!</v>
      </c>
      <c r="AC160" s="37" t="e">
        <f>IF(DaybyDay[[#This Row],[_Space]],DaybyDay[[#This Row],[Ret-Bud-RU]]/DaybyDay[[#This Row],[Serv-Bud-RU]],"")</f>
        <v>#DIV/0!</v>
      </c>
      <c r="AD160" s="37" t="e">
        <f>IF(DaybyDay[[#This Row],[_Space]],DaybyDay[[#This Row],[Ret-LY-RU]]/DaybyDay[[#This Row],[Serv-LY-RU]],"")</f>
        <v>#DIV/0!</v>
      </c>
      <c r="AE160" s="30">
        <f>WEEKDAY(DaybyDay[[#This Row],[LY-Date]])</f>
        <v>7</v>
      </c>
      <c r="AF160" s="38">
        <f>$E$2+_xlfn.DAYS(DaybyDay[[#This Row],[Date]],minDate)</f>
        <v>42525</v>
      </c>
      <c r="AG160" s="39" t="str" cm="1">
        <f t="array" ref="AG160">IFERROR(INDEX(DaybyDay[],DaybyDay[[#This Row],[FORM_MATCH_HELPER]],8),"")</f>
        <v/>
      </c>
      <c r="AH160" s="39" t="str" cm="1">
        <f t="array" ref="AH160">IFERROR(INDEX(DaybyDay[],DaybyDay[[#This Row],[FORM_MATCH_HELPER]],10),"")</f>
        <v/>
      </c>
      <c r="AI160" s="39" t="str" cm="1">
        <f t="array" ref="AI160">IFERROR(INDEX(DaybyDay[],DaybyDay[[#This Row],[FORM_MATCH_HELPER]],12),"")</f>
        <v/>
      </c>
      <c r="AJ160" s="32">
        <f>IFERROR(DaybyDay[[#This Row],[Serv-LY-RU]]+DaybyDay[[#This Row],[Ret-LY-RU]],"")</f>
        <v>0</v>
      </c>
      <c r="AK1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0" s="77"/>
      <c r="AM160" s="40" t="str">
        <f>IF(DaybyDay[[#This Row],[Admin Hours]]&gt;0,DaybyDay[[#This Row],[Admin Hours]]*$AM$2+$AM$3,"")</f>
        <v/>
      </c>
      <c r="AN160" s="40">
        <f>SUMIFS(DaybyDay[Est-Admin-Payroll],DaybyDay[Date],"&gt;="&amp;$C$5,DaybyDay[RowYear],"&gt;="&amp;$C$4,DaybyDay[Date],"&lt;="&amp;DaybyDay[[#This Row],[Date]])</f>
        <v>0</v>
      </c>
      <c r="AO160" s="41" t="str">
        <f>IF(AND(DaybyDay[[#This Row],[_Space]],ISNUMBER(DaybyDay[[#This Row],[Admin Hours]])),DaybyDay[[#This Row],[Est-Admin-Payroll]]/(DaybyDay[[#This Row],[Service-Actuals]]+DaybyDay[[#This Row],[Retail-Actuals]]),"")</f>
        <v/>
      </c>
      <c r="AP160" s="41" t="e">
        <f>DaybyDay[[#This Row],[Estimated-Payroll-Rollup]]/DaybyDay[[#This Row],[Simple-Forecast]]</f>
        <v>#DIV/0!</v>
      </c>
      <c r="AQ1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0" s="77"/>
      <c r="AS160" s="40" t="str">
        <f>IF(DaybyDay[[#This Row],[Retail Hours]]&gt;0,DaybyDay[[#This Row],[Retail Hours]]*$AS$2,"")</f>
        <v/>
      </c>
      <c r="AT160" s="40">
        <f>SUMIFS(DaybyDay[Est-Retail-Payroll],DaybyDay[Date],"&gt;="&amp;$C$5,DaybyDay[RowYear],"&gt;="&amp;$C$4,DaybyDay[Date],"&lt;="&amp;DaybyDay[[#This Row],[Date]])</f>
        <v>0</v>
      </c>
      <c r="AU160" s="82" t="str">
        <f>IF(AND(DaybyDay[[#This Row],[_Space]],ISNUMBER(DaybyDay[[#This Row],[Retail Hours]])),DaybyDay[[#This Row],[Est-Retail-Payroll]]/(DaybyDay[[#This Row],[Retail-Actuals]]),"")</f>
        <v/>
      </c>
      <c r="AV160" s="82" t="e">
        <f>DaybyDay[[#This Row],[Est-Retail-PayrollRU]]/DaybyDay[[#This Row],[Simple-Forecast-Retail]]</f>
        <v>#DIV/0!</v>
      </c>
      <c r="AW160" s="8"/>
    </row>
    <row r="161" spans="3:49" hidden="1" x14ac:dyDescent="0.25">
      <c r="C161" s="26" t="str">
        <f>Tools!$C$1</f>
        <v>Example</v>
      </c>
      <c r="D161" s="27" t="s">
        <v>73</v>
      </c>
      <c r="E161" s="28">
        <v>2017</v>
      </c>
      <c r="F161" s="28">
        <f>MATCH(DaybyDay[[#This Row],[RowMonth]],Table3[SummaryMonth],0)</f>
        <v>6</v>
      </c>
      <c r="G161" s="29" t="e">
        <f>MATCH(DaybyDay[[#This Row],[LY-Date]],DaybyDay[Date],0)</f>
        <v>#N/A</v>
      </c>
      <c r="H161" s="30">
        <f>WEEKDAY(DaybyDay[[#This Row],[Date]])</f>
        <v>1</v>
      </c>
      <c r="I161" s="31">
        <v>42890</v>
      </c>
      <c r="J161" s="74">
        <v>46</v>
      </c>
      <c r="K161" s="32">
        <f>SUMIFS(BudgetSeasonality[365 Seasonality],BudgetSeasonality[MonthAdjustment],DaybyDay[[#This Row],[Date]])*SUMIFS(Budgets[Service-Budget],Budgets[BudgetMonth],DaybyDay[[#This Row],[RowMonth]],Budgets[BudgetYear],DaybyDay[[#This Row],[RowYear]])</f>
        <v>0</v>
      </c>
      <c r="L161" s="75">
        <v>7374.9</v>
      </c>
      <c r="M161" s="32">
        <f>INDEX(BudgetSeasonality[365 Seasonality],MATCH(DaybyDay[[#This Row],[Date]],BudgetSeasonality[MonthAdjustment],0))*SUMIFS(Budgets[Retail-Budget],Budgets[BudgetMonth],DaybyDay[[#This Row],[RowMonth]],Budgets[BudgetYear],DaybyDay[[#This Row],[RowYear]])</f>
        <v>0</v>
      </c>
      <c r="N161" s="75">
        <v>523</v>
      </c>
      <c r="O161" s="33">
        <f>SUMIFS(DaybyDay[Service-Budgets],DaybyDay[Date],"&gt;="&amp;$C$5,DaybyDay[RowYear],"&gt;="&amp;$C$4,DaybyDay[Date],"&lt;="&amp;DaybyDay[[#This Row],[Date]])</f>
        <v>0</v>
      </c>
      <c r="P161" s="33">
        <f>SUMIFS(DaybyDay[Retail-Budgets],DaybyDay[Date],"&gt;="&amp;$C$5,DaybyDay[RowYear],"&gt;="&amp;$C$4,DaybyDay[Date],"&lt;="&amp;DaybyDay[[#This Row],[Date]])</f>
        <v>0</v>
      </c>
      <c r="Q161" s="34">
        <f>SUMIFS(DaybyDay[Service-Actuals],DaybyDay[Date],"&gt;="&amp;$C$5,DaybyDay[RowYear],"&gt;="&amp;$C$4,DaybyDay[Date],"&lt;="&amp;DaybyDay[[#This Row],[Date]])</f>
        <v>0</v>
      </c>
      <c r="R161" s="34">
        <f>SUMIFS(DaybyDay[Retail-Actuals],DaybyDay[Date],"&gt;="&amp;$C$5,DaybyDay[RowYear],"&gt;="&amp;$C$4,DaybyDay[Date],"&lt;="&amp;DaybyDay[[#This Row],[Date]])</f>
        <v>0</v>
      </c>
      <c r="S161" s="35">
        <f>SUMIFS(DaybyDay[Service-LY],DaybyDay[Date],"&gt;="&amp;$C$5,DaybyDay[RowYear],"&gt;="&amp;$C$4,DaybyDay[Date],"&lt;="&amp;DaybyDay[[#This Row],[Date]])</f>
        <v>0</v>
      </c>
      <c r="T161" s="35">
        <f>SUMIFS(DaybyDay[Retail-LY],DaybyDay[Date],"&gt;="&amp;$C$5,DaybyDay[RowYear],"&gt;="&amp;$C$4,DaybyDay[Date],"&lt;="&amp;DaybyDay[[#This Row],[Date]])</f>
        <v>0</v>
      </c>
      <c r="U161" s="32">
        <f>DaybyDay[[#This Row],[Serv-Bud-RU]]+DaybyDay[[#This Row],[Ret-Bud-RU]]</f>
        <v>0</v>
      </c>
      <c r="V161" s="32">
        <f>DaybyDay[[#This Row],[Serv-Act-RU]]+DaybyDay[[#This Row],[Ret-Act-RU]]</f>
        <v>0</v>
      </c>
      <c r="W161" s="36">
        <f>IF(DaybyDay[[#This Row],[_Space]],IFERROR(
((DaybyDay[[#This Row],[Actual-Rollup]]-DaybyDay[[#This Row],[Budget-Rollup]])/DaybyDay[[#This Row],[Budget-Rollup]]),0),"")</f>
        <v>0</v>
      </c>
      <c r="X161" t="b">
        <f>NOT(AND(ISBLANK(DaybyDay[[#This Row],[Appts]]),ISBLANK(DaybyDay[[#This Row],[Service-Actuals]]),ISBLANK(DaybyDay[[#This Row],[Retail-Actuals]])))</f>
        <v>1</v>
      </c>
      <c r="Y161" s="36">
        <f>IF(DaybyDay[[#This Row],[_Space]],IFERROR(
((DaybyDay[[#This Row],[Actual-Rollup]]-DaybyDay[[#This Row],[LY-Rollup]])/DaybyDay[[#This Row],[LY-Rollup]]),0),"")</f>
        <v>0</v>
      </c>
      <c r="Z161"/>
      <c r="AA161" s="37" t="e">
        <f>IF(DaybyDay[[#This Row],[_Space]],DaybyDay[[#This Row],[Ret-Act-RU]]/DaybyDay[[#This Row],[Serv-Act-RU]],"")</f>
        <v>#DIV/0!</v>
      </c>
      <c r="AB161" s="50" t="e">
        <f>IF(DaybyDay[[#This Row],[_Space]],DaybyDay[[#This Row],[RETPEN-Act]]/DaybyDay[[#This Row],[RETPEN-Bud]],"")</f>
        <v>#DIV/0!</v>
      </c>
      <c r="AC161" s="37" t="e">
        <f>IF(DaybyDay[[#This Row],[_Space]],DaybyDay[[#This Row],[Ret-Bud-RU]]/DaybyDay[[#This Row],[Serv-Bud-RU]],"")</f>
        <v>#DIV/0!</v>
      </c>
      <c r="AD161" s="37" t="e">
        <f>IF(DaybyDay[[#This Row],[_Space]],DaybyDay[[#This Row],[Ret-LY-RU]]/DaybyDay[[#This Row],[Serv-LY-RU]],"")</f>
        <v>#DIV/0!</v>
      </c>
      <c r="AE161" s="30">
        <f>WEEKDAY(DaybyDay[[#This Row],[LY-Date]])</f>
        <v>1</v>
      </c>
      <c r="AF161" s="38">
        <f>$E$2+_xlfn.DAYS(DaybyDay[[#This Row],[Date]],minDate)</f>
        <v>42526</v>
      </c>
      <c r="AG161" s="39" t="str" cm="1">
        <f t="array" ref="AG161">IFERROR(INDEX(DaybyDay[],DaybyDay[[#This Row],[FORM_MATCH_HELPER]],8),"")</f>
        <v/>
      </c>
      <c r="AH161" s="39" t="str" cm="1">
        <f t="array" ref="AH161">IFERROR(INDEX(DaybyDay[],DaybyDay[[#This Row],[FORM_MATCH_HELPER]],10),"")</f>
        <v/>
      </c>
      <c r="AI161" s="39" t="str" cm="1">
        <f t="array" ref="AI161">IFERROR(INDEX(DaybyDay[],DaybyDay[[#This Row],[FORM_MATCH_HELPER]],12),"")</f>
        <v/>
      </c>
      <c r="AJ161" s="32">
        <f>IFERROR(DaybyDay[[#This Row],[Serv-LY-RU]]+DaybyDay[[#This Row],[Ret-LY-RU]],"")</f>
        <v>0</v>
      </c>
      <c r="AK1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1" s="77"/>
      <c r="AM161" s="40" t="str">
        <f>IF(DaybyDay[[#This Row],[Admin Hours]]&gt;0,DaybyDay[[#This Row],[Admin Hours]]*$AM$2+$AM$3,"")</f>
        <v/>
      </c>
      <c r="AN161" s="40">
        <f>SUMIFS(DaybyDay[Est-Admin-Payroll],DaybyDay[Date],"&gt;="&amp;$C$5,DaybyDay[RowYear],"&gt;="&amp;$C$4,DaybyDay[Date],"&lt;="&amp;DaybyDay[[#This Row],[Date]])</f>
        <v>0</v>
      </c>
      <c r="AO161" s="41" t="str">
        <f>IF(AND(DaybyDay[[#This Row],[_Space]],ISNUMBER(DaybyDay[[#This Row],[Admin Hours]])),DaybyDay[[#This Row],[Est-Admin-Payroll]]/(DaybyDay[[#This Row],[Service-Actuals]]+DaybyDay[[#This Row],[Retail-Actuals]]),"")</f>
        <v/>
      </c>
      <c r="AP161" s="41" t="e">
        <f>DaybyDay[[#This Row],[Estimated-Payroll-Rollup]]/DaybyDay[[#This Row],[Simple-Forecast]]</f>
        <v>#DIV/0!</v>
      </c>
      <c r="AQ1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1" s="77"/>
      <c r="AS161" s="40" t="str">
        <f>IF(DaybyDay[[#This Row],[Retail Hours]]&gt;0,DaybyDay[[#This Row],[Retail Hours]]*$AS$2,"")</f>
        <v/>
      </c>
      <c r="AT161" s="40">
        <f>SUMIFS(DaybyDay[Est-Retail-Payroll],DaybyDay[Date],"&gt;="&amp;$C$5,DaybyDay[RowYear],"&gt;="&amp;$C$4,DaybyDay[Date],"&lt;="&amp;DaybyDay[[#This Row],[Date]])</f>
        <v>0</v>
      </c>
      <c r="AU161" s="82" t="str">
        <f>IF(AND(DaybyDay[[#This Row],[_Space]],ISNUMBER(DaybyDay[[#This Row],[Retail Hours]])),DaybyDay[[#This Row],[Est-Retail-Payroll]]/(DaybyDay[[#This Row],[Retail-Actuals]]),"")</f>
        <v/>
      </c>
      <c r="AV161" s="82" t="e">
        <f>DaybyDay[[#This Row],[Est-Retail-PayrollRU]]/DaybyDay[[#This Row],[Simple-Forecast-Retail]]</f>
        <v>#DIV/0!</v>
      </c>
      <c r="AW161" s="8"/>
    </row>
    <row r="162" spans="3:49" hidden="1" x14ac:dyDescent="0.25">
      <c r="C162" s="26" t="str">
        <f>Tools!$C$1</f>
        <v>Example</v>
      </c>
      <c r="D162" s="27" t="s">
        <v>73</v>
      </c>
      <c r="E162" s="28">
        <v>2017</v>
      </c>
      <c r="F162" s="28">
        <f>MATCH(DaybyDay[[#This Row],[RowMonth]],Table3[SummaryMonth],0)</f>
        <v>6</v>
      </c>
      <c r="G162" s="29" t="e">
        <f>MATCH(DaybyDay[[#This Row],[LY-Date]],DaybyDay[Date],0)</f>
        <v>#N/A</v>
      </c>
      <c r="H162" s="30">
        <f>WEEKDAY(DaybyDay[[#This Row],[Date]])</f>
        <v>2</v>
      </c>
      <c r="I162" s="31">
        <v>42891</v>
      </c>
      <c r="J162" s="74">
        <v>22</v>
      </c>
      <c r="K162" s="32">
        <f>SUMIFS(BudgetSeasonality[365 Seasonality],BudgetSeasonality[MonthAdjustment],DaybyDay[[#This Row],[Date]])*SUMIFS(Budgets[Service-Budget],Budgets[BudgetMonth],DaybyDay[[#This Row],[RowMonth]],Budgets[BudgetYear],DaybyDay[[#This Row],[RowYear]])</f>
        <v>0</v>
      </c>
      <c r="L162" s="75">
        <v>3346.41</v>
      </c>
      <c r="M162" s="32">
        <f>INDEX(BudgetSeasonality[365 Seasonality],MATCH(DaybyDay[[#This Row],[Date]],BudgetSeasonality[MonthAdjustment],0))*SUMIFS(Budgets[Retail-Budget],Budgets[BudgetMonth],DaybyDay[[#This Row],[RowMonth]],Budgets[BudgetYear],DaybyDay[[#This Row],[RowYear]])</f>
        <v>0</v>
      </c>
      <c r="N162" s="75">
        <v>766</v>
      </c>
      <c r="O162" s="33">
        <f>SUMIFS(DaybyDay[Service-Budgets],DaybyDay[Date],"&gt;="&amp;$C$5,DaybyDay[RowYear],"&gt;="&amp;$C$4,DaybyDay[Date],"&lt;="&amp;DaybyDay[[#This Row],[Date]])</f>
        <v>0</v>
      </c>
      <c r="P162" s="33">
        <f>SUMIFS(DaybyDay[Retail-Budgets],DaybyDay[Date],"&gt;="&amp;$C$5,DaybyDay[RowYear],"&gt;="&amp;$C$4,DaybyDay[Date],"&lt;="&amp;DaybyDay[[#This Row],[Date]])</f>
        <v>0</v>
      </c>
      <c r="Q162" s="34">
        <f>SUMIFS(DaybyDay[Service-Actuals],DaybyDay[Date],"&gt;="&amp;$C$5,DaybyDay[RowYear],"&gt;="&amp;$C$4,DaybyDay[Date],"&lt;="&amp;DaybyDay[[#This Row],[Date]])</f>
        <v>0</v>
      </c>
      <c r="R162" s="34">
        <f>SUMIFS(DaybyDay[Retail-Actuals],DaybyDay[Date],"&gt;="&amp;$C$5,DaybyDay[RowYear],"&gt;="&amp;$C$4,DaybyDay[Date],"&lt;="&amp;DaybyDay[[#This Row],[Date]])</f>
        <v>0</v>
      </c>
      <c r="S162" s="35">
        <f>SUMIFS(DaybyDay[Service-LY],DaybyDay[Date],"&gt;="&amp;$C$5,DaybyDay[RowYear],"&gt;="&amp;$C$4,DaybyDay[Date],"&lt;="&amp;DaybyDay[[#This Row],[Date]])</f>
        <v>0</v>
      </c>
      <c r="T162" s="35">
        <f>SUMIFS(DaybyDay[Retail-LY],DaybyDay[Date],"&gt;="&amp;$C$5,DaybyDay[RowYear],"&gt;="&amp;$C$4,DaybyDay[Date],"&lt;="&amp;DaybyDay[[#This Row],[Date]])</f>
        <v>0</v>
      </c>
      <c r="U162" s="32">
        <f>DaybyDay[[#This Row],[Serv-Bud-RU]]+DaybyDay[[#This Row],[Ret-Bud-RU]]</f>
        <v>0</v>
      </c>
      <c r="V162" s="32">
        <f>DaybyDay[[#This Row],[Serv-Act-RU]]+DaybyDay[[#This Row],[Ret-Act-RU]]</f>
        <v>0</v>
      </c>
      <c r="W162" s="36">
        <f>IF(DaybyDay[[#This Row],[_Space]],IFERROR(
((DaybyDay[[#This Row],[Actual-Rollup]]-DaybyDay[[#This Row],[Budget-Rollup]])/DaybyDay[[#This Row],[Budget-Rollup]]),0),"")</f>
        <v>0</v>
      </c>
      <c r="X162" t="b">
        <f>NOT(AND(ISBLANK(DaybyDay[[#This Row],[Appts]]),ISBLANK(DaybyDay[[#This Row],[Service-Actuals]]),ISBLANK(DaybyDay[[#This Row],[Retail-Actuals]])))</f>
        <v>1</v>
      </c>
      <c r="Y162" s="36">
        <f>IF(DaybyDay[[#This Row],[_Space]],IFERROR(
((DaybyDay[[#This Row],[Actual-Rollup]]-DaybyDay[[#This Row],[LY-Rollup]])/DaybyDay[[#This Row],[LY-Rollup]]),0),"")</f>
        <v>0</v>
      </c>
      <c r="Z162"/>
      <c r="AA162" s="37" t="e">
        <f>IF(DaybyDay[[#This Row],[_Space]],DaybyDay[[#This Row],[Ret-Act-RU]]/DaybyDay[[#This Row],[Serv-Act-RU]],"")</f>
        <v>#DIV/0!</v>
      </c>
      <c r="AB162" s="50" t="e">
        <f>IF(DaybyDay[[#This Row],[_Space]],DaybyDay[[#This Row],[RETPEN-Act]]/DaybyDay[[#This Row],[RETPEN-Bud]],"")</f>
        <v>#DIV/0!</v>
      </c>
      <c r="AC162" s="37" t="e">
        <f>IF(DaybyDay[[#This Row],[_Space]],DaybyDay[[#This Row],[Ret-Bud-RU]]/DaybyDay[[#This Row],[Serv-Bud-RU]],"")</f>
        <v>#DIV/0!</v>
      </c>
      <c r="AD162" s="37" t="e">
        <f>IF(DaybyDay[[#This Row],[_Space]],DaybyDay[[#This Row],[Ret-LY-RU]]/DaybyDay[[#This Row],[Serv-LY-RU]],"")</f>
        <v>#DIV/0!</v>
      </c>
      <c r="AE162" s="30">
        <f>WEEKDAY(DaybyDay[[#This Row],[LY-Date]])</f>
        <v>2</v>
      </c>
      <c r="AF162" s="38">
        <f>$E$2+_xlfn.DAYS(DaybyDay[[#This Row],[Date]],minDate)</f>
        <v>42527</v>
      </c>
      <c r="AG162" s="39" t="str" cm="1">
        <f t="array" ref="AG162">IFERROR(INDEX(DaybyDay[],DaybyDay[[#This Row],[FORM_MATCH_HELPER]],8),"")</f>
        <v/>
      </c>
      <c r="AH162" s="39" t="str" cm="1">
        <f t="array" ref="AH162">IFERROR(INDEX(DaybyDay[],DaybyDay[[#This Row],[FORM_MATCH_HELPER]],10),"")</f>
        <v/>
      </c>
      <c r="AI162" s="39" t="str" cm="1">
        <f t="array" ref="AI162">IFERROR(INDEX(DaybyDay[],DaybyDay[[#This Row],[FORM_MATCH_HELPER]],12),"")</f>
        <v/>
      </c>
      <c r="AJ162" s="32">
        <f>IFERROR(DaybyDay[[#This Row],[Serv-LY-RU]]+DaybyDay[[#This Row],[Ret-LY-RU]],"")</f>
        <v>0</v>
      </c>
      <c r="AK1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2" s="77"/>
      <c r="AM162" s="40" t="str">
        <f>IF(DaybyDay[[#This Row],[Admin Hours]]&gt;0,DaybyDay[[#This Row],[Admin Hours]]*$AM$2+$AM$3,"")</f>
        <v/>
      </c>
      <c r="AN162" s="40">
        <f>SUMIFS(DaybyDay[Est-Admin-Payroll],DaybyDay[Date],"&gt;="&amp;$C$5,DaybyDay[RowYear],"&gt;="&amp;$C$4,DaybyDay[Date],"&lt;="&amp;DaybyDay[[#This Row],[Date]])</f>
        <v>0</v>
      </c>
      <c r="AO162" s="41" t="str">
        <f>IF(AND(DaybyDay[[#This Row],[_Space]],ISNUMBER(DaybyDay[[#This Row],[Admin Hours]])),DaybyDay[[#This Row],[Est-Admin-Payroll]]/(DaybyDay[[#This Row],[Service-Actuals]]+DaybyDay[[#This Row],[Retail-Actuals]]),"")</f>
        <v/>
      </c>
      <c r="AP162" s="41" t="e">
        <f>DaybyDay[[#This Row],[Estimated-Payroll-Rollup]]/DaybyDay[[#This Row],[Simple-Forecast]]</f>
        <v>#DIV/0!</v>
      </c>
      <c r="AQ1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2" s="77"/>
      <c r="AS162" s="40" t="str">
        <f>IF(DaybyDay[[#This Row],[Retail Hours]]&gt;0,DaybyDay[[#This Row],[Retail Hours]]*$AS$2,"")</f>
        <v/>
      </c>
      <c r="AT162" s="40">
        <f>SUMIFS(DaybyDay[Est-Retail-Payroll],DaybyDay[Date],"&gt;="&amp;$C$5,DaybyDay[RowYear],"&gt;="&amp;$C$4,DaybyDay[Date],"&lt;="&amp;DaybyDay[[#This Row],[Date]])</f>
        <v>0</v>
      </c>
      <c r="AU162" s="82" t="str">
        <f>IF(AND(DaybyDay[[#This Row],[_Space]],ISNUMBER(DaybyDay[[#This Row],[Retail Hours]])),DaybyDay[[#This Row],[Est-Retail-Payroll]]/(DaybyDay[[#This Row],[Retail-Actuals]]),"")</f>
        <v/>
      </c>
      <c r="AV162" s="82" t="e">
        <f>DaybyDay[[#This Row],[Est-Retail-PayrollRU]]/DaybyDay[[#This Row],[Simple-Forecast-Retail]]</f>
        <v>#DIV/0!</v>
      </c>
      <c r="AW162" s="8"/>
    </row>
    <row r="163" spans="3:49" hidden="1" x14ac:dyDescent="0.25">
      <c r="C163" s="26" t="str">
        <f>Tools!$C$1</f>
        <v>Example</v>
      </c>
      <c r="D163" s="27" t="s">
        <v>73</v>
      </c>
      <c r="E163" s="28">
        <v>2017</v>
      </c>
      <c r="F163" s="28">
        <f>MATCH(DaybyDay[[#This Row],[RowMonth]],Table3[SummaryMonth],0)</f>
        <v>6</v>
      </c>
      <c r="G163" s="29" t="e">
        <f>MATCH(DaybyDay[[#This Row],[LY-Date]],DaybyDay[Date],0)</f>
        <v>#N/A</v>
      </c>
      <c r="H163" s="30">
        <f>WEEKDAY(DaybyDay[[#This Row],[Date]])</f>
        <v>3</v>
      </c>
      <c r="I163" s="31">
        <v>42892</v>
      </c>
      <c r="J163" s="74">
        <v>17</v>
      </c>
      <c r="K163" s="32">
        <f>SUMIFS(BudgetSeasonality[365 Seasonality],BudgetSeasonality[MonthAdjustment],DaybyDay[[#This Row],[Date]])*SUMIFS(Budgets[Service-Budget],Budgets[BudgetMonth],DaybyDay[[#This Row],[RowMonth]],Budgets[BudgetYear],DaybyDay[[#This Row],[RowYear]])</f>
        <v>0</v>
      </c>
      <c r="L163" s="75">
        <v>1656.8</v>
      </c>
      <c r="M163" s="32">
        <f>INDEX(BudgetSeasonality[365 Seasonality],MATCH(DaybyDay[[#This Row],[Date]],BudgetSeasonality[MonthAdjustment],0))*SUMIFS(Budgets[Retail-Budget],Budgets[BudgetMonth],DaybyDay[[#This Row],[RowMonth]],Budgets[BudgetYear],DaybyDay[[#This Row],[RowYear]])</f>
        <v>0</v>
      </c>
      <c r="N163" s="75">
        <v>3673.48</v>
      </c>
      <c r="O163" s="33">
        <f>SUMIFS(DaybyDay[Service-Budgets],DaybyDay[Date],"&gt;="&amp;$C$5,DaybyDay[RowYear],"&gt;="&amp;$C$4,DaybyDay[Date],"&lt;="&amp;DaybyDay[[#This Row],[Date]])</f>
        <v>0</v>
      </c>
      <c r="P163" s="33">
        <f>SUMIFS(DaybyDay[Retail-Budgets],DaybyDay[Date],"&gt;="&amp;$C$5,DaybyDay[RowYear],"&gt;="&amp;$C$4,DaybyDay[Date],"&lt;="&amp;DaybyDay[[#This Row],[Date]])</f>
        <v>0</v>
      </c>
      <c r="Q163" s="34">
        <f>SUMIFS(DaybyDay[Service-Actuals],DaybyDay[Date],"&gt;="&amp;$C$5,DaybyDay[RowYear],"&gt;="&amp;$C$4,DaybyDay[Date],"&lt;="&amp;DaybyDay[[#This Row],[Date]])</f>
        <v>0</v>
      </c>
      <c r="R163" s="34">
        <f>SUMIFS(DaybyDay[Retail-Actuals],DaybyDay[Date],"&gt;="&amp;$C$5,DaybyDay[RowYear],"&gt;="&amp;$C$4,DaybyDay[Date],"&lt;="&amp;DaybyDay[[#This Row],[Date]])</f>
        <v>0</v>
      </c>
      <c r="S163" s="35">
        <f>SUMIFS(DaybyDay[Service-LY],DaybyDay[Date],"&gt;="&amp;$C$5,DaybyDay[RowYear],"&gt;="&amp;$C$4,DaybyDay[Date],"&lt;="&amp;DaybyDay[[#This Row],[Date]])</f>
        <v>0</v>
      </c>
      <c r="T163" s="35">
        <f>SUMIFS(DaybyDay[Retail-LY],DaybyDay[Date],"&gt;="&amp;$C$5,DaybyDay[RowYear],"&gt;="&amp;$C$4,DaybyDay[Date],"&lt;="&amp;DaybyDay[[#This Row],[Date]])</f>
        <v>0</v>
      </c>
      <c r="U163" s="32">
        <f>DaybyDay[[#This Row],[Serv-Bud-RU]]+DaybyDay[[#This Row],[Ret-Bud-RU]]</f>
        <v>0</v>
      </c>
      <c r="V163" s="32">
        <f>DaybyDay[[#This Row],[Serv-Act-RU]]+DaybyDay[[#This Row],[Ret-Act-RU]]</f>
        <v>0</v>
      </c>
      <c r="W163" s="36">
        <f>IF(DaybyDay[[#This Row],[_Space]],IFERROR(
((DaybyDay[[#This Row],[Actual-Rollup]]-DaybyDay[[#This Row],[Budget-Rollup]])/DaybyDay[[#This Row],[Budget-Rollup]]),0),"")</f>
        <v>0</v>
      </c>
      <c r="X163" t="b">
        <f>NOT(AND(ISBLANK(DaybyDay[[#This Row],[Appts]]),ISBLANK(DaybyDay[[#This Row],[Service-Actuals]]),ISBLANK(DaybyDay[[#This Row],[Retail-Actuals]])))</f>
        <v>1</v>
      </c>
      <c r="Y163" s="36">
        <f>IF(DaybyDay[[#This Row],[_Space]],IFERROR(
((DaybyDay[[#This Row],[Actual-Rollup]]-DaybyDay[[#This Row],[LY-Rollup]])/DaybyDay[[#This Row],[LY-Rollup]]),0),"")</f>
        <v>0</v>
      </c>
      <c r="Z163"/>
      <c r="AA163" s="37" t="e">
        <f>IF(DaybyDay[[#This Row],[_Space]],DaybyDay[[#This Row],[Ret-Act-RU]]/DaybyDay[[#This Row],[Serv-Act-RU]],"")</f>
        <v>#DIV/0!</v>
      </c>
      <c r="AB163" s="50" t="e">
        <f>IF(DaybyDay[[#This Row],[_Space]],DaybyDay[[#This Row],[RETPEN-Act]]/DaybyDay[[#This Row],[RETPEN-Bud]],"")</f>
        <v>#DIV/0!</v>
      </c>
      <c r="AC163" s="37" t="e">
        <f>IF(DaybyDay[[#This Row],[_Space]],DaybyDay[[#This Row],[Ret-Bud-RU]]/DaybyDay[[#This Row],[Serv-Bud-RU]],"")</f>
        <v>#DIV/0!</v>
      </c>
      <c r="AD163" s="37" t="e">
        <f>IF(DaybyDay[[#This Row],[_Space]],DaybyDay[[#This Row],[Ret-LY-RU]]/DaybyDay[[#This Row],[Serv-LY-RU]],"")</f>
        <v>#DIV/0!</v>
      </c>
      <c r="AE163" s="30">
        <f>WEEKDAY(DaybyDay[[#This Row],[LY-Date]])</f>
        <v>3</v>
      </c>
      <c r="AF163" s="38">
        <f>$E$2+_xlfn.DAYS(DaybyDay[[#This Row],[Date]],minDate)</f>
        <v>42528</v>
      </c>
      <c r="AG163" s="39" t="str" cm="1">
        <f t="array" ref="AG163">IFERROR(INDEX(DaybyDay[],DaybyDay[[#This Row],[FORM_MATCH_HELPER]],8),"")</f>
        <v/>
      </c>
      <c r="AH163" s="39" t="str" cm="1">
        <f t="array" ref="AH163">IFERROR(INDEX(DaybyDay[],DaybyDay[[#This Row],[FORM_MATCH_HELPER]],10),"")</f>
        <v/>
      </c>
      <c r="AI163" s="39" t="str" cm="1">
        <f t="array" ref="AI163">IFERROR(INDEX(DaybyDay[],DaybyDay[[#This Row],[FORM_MATCH_HELPER]],12),"")</f>
        <v/>
      </c>
      <c r="AJ163" s="32">
        <f>IFERROR(DaybyDay[[#This Row],[Serv-LY-RU]]+DaybyDay[[#This Row],[Ret-LY-RU]],"")</f>
        <v>0</v>
      </c>
      <c r="AK1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3" s="77"/>
      <c r="AM163" s="40" t="str">
        <f>IF(DaybyDay[[#This Row],[Admin Hours]]&gt;0,DaybyDay[[#This Row],[Admin Hours]]*$AM$2+$AM$3,"")</f>
        <v/>
      </c>
      <c r="AN163" s="40">
        <f>SUMIFS(DaybyDay[Est-Admin-Payroll],DaybyDay[Date],"&gt;="&amp;$C$5,DaybyDay[RowYear],"&gt;="&amp;$C$4,DaybyDay[Date],"&lt;="&amp;DaybyDay[[#This Row],[Date]])</f>
        <v>0</v>
      </c>
      <c r="AO163" s="41" t="str">
        <f>IF(AND(DaybyDay[[#This Row],[_Space]],ISNUMBER(DaybyDay[[#This Row],[Admin Hours]])),DaybyDay[[#This Row],[Est-Admin-Payroll]]/(DaybyDay[[#This Row],[Service-Actuals]]+DaybyDay[[#This Row],[Retail-Actuals]]),"")</f>
        <v/>
      </c>
      <c r="AP163" s="41" t="e">
        <f>DaybyDay[[#This Row],[Estimated-Payroll-Rollup]]/DaybyDay[[#This Row],[Simple-Forecast]]</f>
        <v>#DIV/0!</v>
      </c>
      <c r="AQ1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3" s="77"/>
      <c r="AS163" s="40" t="str">
        <f>IF(DaybyDay[[#This Row],[Retail Hours]]&gt;0,DaybyDay[[#This Row],[Retail Hours]]*$AS$2,"")</f>
        <v/>
      </c>
      <c r="AT163" s="40">
        <f>SUMIFS(DaybyDay[Est-Retail-Payroll],DaybyDay[Date],"&gt;="&amp;$C$5,DaybyDay[RowYear],"&gt;="&amp;$C$4,DaybyDay[Date],"&lt;="&amp;DaybyDay[[#This Row],[Date]])</f>
        <v>0</v>
      </c>
      <c r="AU163" s="82" t="str">
        <f>IF(AND(DaybyDay[[#This Row],[_Space]],ISNUMBER(DaybyDay[[#This Row],[Retail Hours]])),DaybyDay[[#This Row],[Est-Retail-Payroll]]/(DaybyDay[[#This Row],[Retail-Actuals]]),"")</f>
        <v/>
      </c>
      <c r="AV163" s="82" t="e">
        <f>DaybyDay[[#This Row],[Est-Retail-PayrollRU]]/DaybyDay[[#This Row],[Simple-Forecast-Retail]]</f>
        <v>#DIV/0!</v>
      </c>
      <c r="AW163" s="8"/>
    </row>
    <row r="164" spans="3:49" hidden="1" x14ac:dyDescent="0.25">
      <c r="C164" s="26" t="str">
        <f>Tools!$C$1</f>
        <v>Example</v>
      </c>
      <c r="D164" s="27" t="s">
        <v>73</v>
      </c>
      <c r="E164" s="28">
        <v>2017</v>
      </c>
      <c r="F164" s="28">
        <f>MATCH(DaybyDay[[#This Row],[RowMonth]],Table3[SummaryMonth],0)</f>
        <v>6</v>
      </c>
      <c r="G164" s="29" t="e">
        <f>MATCH(DaybyDay[[#This Row],[LY-Date]],DaybyDay[Date],0)</f>
        <v>#N/A</v>
      </c>
      <c r="H164" s="30">
        <f>WEEKDAY(DaybyDay[[#This Row],[Date]])</f>
        <v>4</v>
      </c>
      <c r="I164" s="31">
        <v>42893</v>
      </c>
      <c r="J164" s="74">
        <v>20</v>
      </c>
      <c r="K164" s="32">
        <f>SUMIFS(BudgetSeasonality[365 Seasonality],BudgetSeasonality[MonthAdjustment],DaybyDay[[#This Row],[Date]])*SUMIFS(Budgets[Service-Budget],Budgets[BudgetMonth],DaybyDay[[#This Row],[RowMonth]],Budgets[BudgetYear],DaybyDay[[#This Row],[RowYear]])</f>
        <v>0</v>
      </c>
      <c r="L164" s="75">
        <v>4495.6899999999996</v>
      </c>
      <c r="M164" s="32">
        <f>INDEX(BudgetSeasonality[365 Seasonality],MATCH(DaybyDay[[#This Row],[Date]],BudgetSeasonality[MonthAdjustment],0))*SUMIFS(Budgets[Retail-Budget],Budgets[BudgetMonth],DaybyDay[[#This Row],[RowMonth]],Budgets[BudgetYear],DaybyDay[[#This Row],[RowYear]])</f>
        <v>0</v>
      </c>
      <c r="N164" s="75">
        <v>182.5</v>
      </c>
      <c r="O164" s="33">
        <f>SUMIFS(DaybyDay[Service-Budgets],DaybyDay[Date],"&gt;="&amp;$C$5,DaybyDay[RowYear],"&gt;="&amp;$C$4,DaybyDay[Date],"&lt;="&amp;DaybyDay[[#This Row],[Date]])</f>
        <v>0</v>
      </c>
      <c r="P164" s="33">
        <f>SUMIFS(DaybyDay[Retail-Budgets],DaybyDay[Date],"&gt;="&amp;$C$5,DaybyDay[RowYear],"&gt;="&amp;$C$4,DaybyDay[Date],"&lt;="&amp;DaybyDay[[#This Row],[Date]])</f>
        <v>0</v>
      </c>
      <c r="Q164" s="34">
        <f>SUMIFS(DaybyDay[Service-Actuals],DaybyDay[Date],"&gt;="&amp;$C$5,DaybyDay[RowYear],"&gt;="&amp;$C$4,DaybyDay[Date],"&lt;="&amp;DaybyDay[[#This Row],[Date]])</f>
        <v>0</v>
      </c>
      <c r="R164" s="34">
        <f>SUMIFS(DaybyDay[Retail-Actuals],DaybyDay[Date],"&gt;="&amp;$C$5,DaybyDay[RowYear],"&gt;="&amp;$C$4,DaybyDay[Date],"&lt;="&amp;DaybyDay[[#This Row],[Date]])</f>
        <v>0</v>
      </c>
      <c r="S164" s="35">
        <f>SUMIFS(DaybyDay[Service-LY],DaybyDay[Date],"&gt;="&amp;$C$5,DaybyDay[RowYear],"&gt;="&amp;$C$4,DaybyDay[Date],"&lt;="&amp;DaybyDay[[#This Row],[Date]])</f>
        <v>0</v>
      </c>
      <c r="T164" s="35">
        <f>SUMIFS(DaybyDay[Retail-LY],DaybyDay[Date],"&gt;="&amp;$C$5,DaybyDay[RowYear],"&gt;="&amp;$C$4,DaybyDay[Date],"&lt;="&amp;DaybyDay[[#This Row],[Date]])</f>
        <v>0</v>
      </c>
      <c r="U164" s="32">
        <f>DaybyDay[[#This Row],[Serv-Bud-RU]]+DaybyDay[[#This Row],[Ret-Bud-RU]]</f>
        <v>0</v>
      </c>
      <c r="V164" s="32">
        <f>DaybyDay[[#This Row],[Serv-Act-RU]]+DaybyDay[[#This Row],[Ret-Act-RU]]</f>
        <v>0</v>
      </c>
      <c r="W164" s="36">
        <f>IF(DaybyDay[[#This Row],[_Space]],IFERROR(
((DaybyDay[[#This Row],[Actual-Rollup]]-DaybyDay[[#This Row],[Budget-Rollup]])/DaybyDay[[#This Row],[Budget-Rollup]]),0),"")</f>
        <v>0</v>
      </c>
      <c r="X164" t="b">
        <f>NOT(AND(ISBLANK(DaybyDay[[#This Row],[Appts]]),ISBLANK(DaybyDay[[#This Row],[Service-Actuals]]),ISBLANK(DaybyDay[[#This Row],[Retail-Actuals]])))</f>
        <v>1</v>
      </c>
      <c r="Y164" s="36">
        <f>IF(DaybyDay[[#This Row],[_Space]],IFERROR(
((DaybyDay[[#This Row],[Actual-Rollup]]-DaybyDay[[#This Row],[LY-Rollup]])/DaybyDay[[#This Row],[LY-Rollup]]),0),"")</f>
        <v>0</v>
      </c>
      <c r="Z164"/>
      <c r="AA164" s="37" t="e">
        <f>IF(DaybyDay[[#This Row],[_Space]],DaybyDay[[#This Row],[Ret-Act-RU]]/DaybyDay[[#This Row],[Serv-Act-RU]],"")</f>
        <v>#DIV/0!</v>
      </c>
      <c r="AB164" s="50" t="e">
        <f>IF(DaybyDay[[#This Row],[_Space]],DaybyDay[[#This Row],[RETPEN-Act]]/DaybyDay[[#This Row],[RETPEN-Bud]],"")</f>
        <v>#DIV/0!</v>
      </c>
      <c r="AC164" s="37" t="e">
        <f>IF(DaybyDay[[#This Row],[_Space]],DaybyDay[[#This Row],[Ret-Bud-RU]]/DaybyDay[[#This Row],[Serv-Bud-RU]],"")</f>
        <v>#DIV/0!</v>
      </c>
      <c r="AD164" s="37" t="e">
        <f>IF(DaybyDay[[#This Row],[_Space]],DaybyDay[[#This Row],[Ret-LY-RU]]/DaybyDay[[#This Row],[Serv-LY-RU]],"")</f>
        <v>#DIV/0!</v>
      </c>
      <c r="AE164" s="30">
        <f>WEEKDAY(DaybyDay[[#This Row],[LY-Date]])</f>
        <v>4</v>
      </c>
      <c r="AF164" s="38">
        <f>$E$2+_xlfn.DAYS(DaybyDay[[#This Row],[Date]],minDate)</f>
        <v>42529</v>
      </c>
      <c r="AG164" s="39" t="str" cm="1">
        <f t="array" ref="AG164">IFERROR(INDEX(DaybyDay[],DaybyDay[[#This Row],[FORM_MATCH_HELPER]],8),"")</f>
        <v/>
      </c>
      <c r="AH164" s="39" t="str" cm="1">
        <f t="array" ref="AH164">IFERROR(INDEX(DaybyDay[],DaybyDay[[#This Row],[FORM_MATCH_HELPER]],10),"")</f>
        <v/>
      </c>
      <c r="AI164" s="39" t="str" cm="1">
        <f t="array" ref="AI164">IFERROR(INDEX(DaybyDay[],DaybyDay[[#This Row],[FORM_MATCH_HELPER]],12),"")</f>
        <v/>
      </c>
      <c r="AJ164" s="32">
        <f>IFERROR(DaybyDay[[#This Row],[Serv-LY-RU]]+DaybyDay[[#This Row],[Ret-LY-RU]],"")</f>
        <v>0</v>
      </c>
      <c r="AK1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4" s="77"/>
      <c r="AM164" s="40" t="str">
        <f>IF(DaybyDay[[#This Row],[Admin Hours]]&gt;0,DaybyDay[[#This Row],[Admin Hours]]*$AM$2+$AM$3,"")</f>
        <v/>
      </c>
      <c r="AN164" s="40">
        <f>SUMIFS(DaybyDay[Est-Admin-Payroll],DaybyDay[Date],"&gt;="&amp;$C$5,DaybyDay[RowYear],"&gt;="&amp;$C$4,DaybyDay[Date],"&lt;="&amp;DaybyDay[[#This Row],[Date]])</f>
        <v>0</v>
      </c>
      <c r="AO164" s="41" t="str">
        <f>IF(AND(DaybyDay[[#This Row],[_Space]],ISNUMBER(DaybyDay[[#This Row],[Admin Hours]])),DaybyDay[[#This Row],[Est-Admin-Payroll]]/(DaybyDay[[#This Row],[Service-Actuals]]+DaybyDay[[#This Row],[Retail-Actuals]]),"")</f>
        <v/>
      </c>
      <c r="AP164" s="41" t="e">
        <f>DaybyDay[[#This Row],[Estimated-Payroll-Rollup]]/DaybyDay[[#This Row],[Simple-Forecast]]</f>
        <v>#DIV/0!</v>
      </c>
      <c r="AQ1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4" s="77"/>
      <c r="AS164" s="40" t="str">
        <f>IF(DaybyDay[[#This Row],[Retail Hours]]&gt;0,DaybyDay[[#This Row],[Retail Hours]]*$AS$2,"")</f>
        <v/>
      </c>
      <c r="AT164" s="40">
        <f>SUMIFS(DaybyDay[Est-Retail-Payroll],DaybyDay[Date],"&gt;="&amp;$C$5,DaybyDay[RowYear],"&gt;="&amp;$C$4,DaybyDay[Date],"&lt;="&amp;DaybyDay[[#This Row],[Date]])</f>
        <v>0</v>
      </c>
      <c r="AU164" s="82" t="str">
        <f>IF(AND(DaybyDay[[#This Row],[_Space]],ISNUMBER(DaybyDay[[#This Row],[Retail Hours]])),DaybyDay[[#This Row],[Est-Retail-Payroll]]/(DaybyDay[[#This Row],[Retail-Actuals]]),"")</f>
        <v/>
      </c>
      <c r="AV164" s="82" t="e">
        <f>DaybyDay[[#This Row],[Est-Retail-PayrollRU]]/DaybyDay[[#This Row],[Simple-Forecast-Retail]]</f>
        <v>#DIV/0!</v>
      </c>
      <c r="AW164" s="8"/>
    </row>
    <row r="165" spans="3:49" hidden="1" x14ac:dyDescent="0.25">
      <c r="C165" s="26" t="str">
        <f>Tools!$C$1</f>
        <v>Example</v>
      </c>
      <c r="D165" s="27" t="s">
        <v>73</v>
      </c>
      <c r="E165" s="28">
        <v>2017</v>
      </c>
      <c r="F165" s="28">
        <f>MATCH(DaybyDay[[#This Row],[RowMonth]],Table3[SummaryMonth],0)</f>
        <v>6</v>
      </c>
      <c r="G165" s="29" t="e">
        <f>MATCH(DaybyDay[[#This Row],[LY-Date]],DaybyDay[Date],0)</f>
        <v>#N/A</v>
      </c>
      <c r="H165" s="30">
        <f>WEEKDAY(DaybyDay[[#This Row],[Date]])</f>
        <v>5</v>
      </c>
      <c r="I165" s="31">
        <v>42894</v>
      </c>
      <c r="J165" s="74">
        <v>13</v>
      </c>
      <c r="K165" s="32">
        <f>SUMIFS(BudgetSeasonality[365 Seasonality],BudgetSeasonality[MonthAdjustment],DaybyDay[[#This Row],[Date]])*SUMIFS(Budgets[Service-Budget],Budgets[BudgetMonth],DaybyDay[[#This Row],[RowMonth]],Budgets[BudgetYear],DaybyDay[[#This Row],[RowYear]])</f>
        <v>0</v>
      </c>
      <c r="L165" s="75">
        <v>1851.2</v>
      </c>
      <c r="M165" s="32">
        <f>INDEX(BudgetSeasonality[365 Seasonality],MATCH(DaybyDay[[#This Row],[Date]],BudgetSeasonality[MonthAdjustment],0))*SUMIFS(Budgets[Retail-Budget],Budgets[BudgetMonth],DaybyDay[[#This Row],[RowMonth]],Budgets[BudgetYear],DaybyDay[[#This Row],[RowYear]])</f>
        <v>0</v>
      </c>
      <c r="N165" s="75">
        <v>0</v>
      </c>
      <c r="O165" s="33">
        <f>SUMIFS(DaybyDay[Service-Budgets],DaybyDay[Date],"&gt;="&amp;$C$5,DaybyDay[RowYear],"&gt;="&amp;$C$4,DaybyDay[Date],"&lt;="&amp;DaybyDay[[#This Row],[Date]])</f>
        <v>0</v>
      </c>
      <c r="P165" s="33">
        <f>SUMIFS(DaybyDay[Retail-Budgets],DaybyDay[Date],"&gt;="&amp;$C$5,DaybyDay[RowYear],"&gt;="&amp;$C$4,DaybyDay[Date],"&lt;="&amp;DaybyDay[[#This Row],[Date]])</f>
        <v>0</v>
      </c>
      <c r="Q165" s="34">
        <f>SUMIFS(DaybyDay[Service-Actuals],DaybyDay[Date],"&gt;="&amp;$C$5,DaybyDay[RowYear],"&gt;="&amp;$C$4,DaybyDay[Date],"&lt;="&amp;DaybyDay[[#This Row],[Date]])</f>
        <v>0</v>
      </c>
      <c r="R165" s="34">
        <f>SUMIFS(DaybyDay[Retail-Actuals],DaybyDay[Date],"&gt;="&amp;$C$5,DaybyDay[RowYear],"&gt;="&amp;$C$4,DaybyDay[Date],"&lt;="&amp;DaybyDay[[#This Row],[Date]])</f>
        <v>0</v>
      </c>
      <c r="S165" s="35">
        <f>SUMIFS(DaybyDay[Service-LY],DaybyDay[Date],"&gt;="&amp;$C$5,DaybyDay[RowYear],"&gt;="&amp;$C$4,DaybyDay[Date],"&lt;="&amp;DaybyDay[[#This Row],[Date]])</f>
        <v>0</v>
      </c>
      <c r="T165" s="35">
        <f>SUMIFS(DaybyDay[Retail-LY],DaybyDay[Date],"&gt;="&amp;$C$5,DaybyDay[RowYear],"&gt;="&amp;$C$4,DaybyDay[Date],"&lt;="&amp;DaybyDay[[#This Row],[Date]])</f>
        <v>0</v>
      </c>
      <c r="U165" s="32">
        <f>DaybyDay[[#This Row],[Serv-Bud-RU]]+DaybyDay[[#This Row],[Ret-Bud-RU]]</f>
        <v>0</v>
      </c>
      <c r="V165" s="32">
        <f>DaybyDay[[#This Row],[Serv-Act-RU]]+DaybyDay[[#This Row],[Ret-Act-RU]]</f>
        <v>0</v>
      </c>
      <c r="W165" s="36">
        <f>IF(DaybyDay[[#This Row],[_Space]],IFERROR(
((DaybyDay[[#This Row],[Actual-Rollup]]-DaybyDay[[#This Row],[Budget-Rollup]])/DaybyDay[[#This Row],[Budget-Rollup]]),0),"")</f>
        <v>0</v>
      </c>
      <c r="X165" t="b">
        <f>NOT(AND(ISBLANK(DaybyDay[[#This Row],[Appts]]),ISBLANK(DaybyDay[[#This Row],[Service-Actuals]]),ISBLANK(DaybyDay[[#This Row],[Retail-Actuals]])))</f>
        <v>1</v>
      </c>
      <c r="Y165" s="36">
        <f>IF(DaybyDay[[#This Row],[_Space]],IFERROR(
((DaybyDay[[#This Row],[Actual-Rollup]]-DaybyDay[[#This Row],[LY-Rollup]])/DaybyDay[[#This Row],[LY-Rollup]]),0),"")</f>
        <v>0</v>
      </c>
      <c r="Z165"/>
      <c r="AA165" s="37" t="e">
        <f>IF(DaybyDay[[#This Row],[_Space]],DaybyDay[[#This Row],[Ret-Act-RU]]/DaybyDay[[#This Row],[Serv-Act-RU]],"")</f>
        <v>#DIV/0!</v>
      </c>
      <c r="AB165" s="50" t="e">
        <f>IF(DaybyDay[[#This Row],[_Space]],DaybyDay[[#This Row],[RETPEN-Act]]/DaybyDay[[#This Row],[RETPEN-Bud]],"")</f>
        <v>#DIV/0!</v>
      </c>
      <c r="AC165" s="37" t="e">
        <f>IF(DaybyDay[[#This Row],[_Space]],DaybyDay[[#This Row],[Ret-Bud-RU]]/DaybyDay[[#This Row],[Serv-Bud-RU]],"")</f>
        <v>#DIV/0!</v>
      </c>
      <c r="AD165" s="37" t="e">
        <f>IF(DaybyDay[[#This Row],[_Space]],DaybyDay[[#This Row],[Ret-LY-RU]]/DaybyDay[[#This Row],[Serv-LY-RU]],"")</f>
        <v>#DIV/0!</v>
      </c>
      <c r="AE165" s="30">
        <f>WEEKDAY(DaybyDay[[#This Row],[LY-Date]])</f>
        <v>5</v>
      </c>
      <c r="AF165" s="38">
        <f>$E$2+_xlfn.DAYS(DaybyDay[[#This Row],[Date]],minDate)</f>
        <v>42530</v>
      </c>
      <c r="AG165" s="39" t="str" cm="1">
        <f t="array" ref="AG165">IFERROR(INDEX(DaybyDay[],DaybyDay[[#This Row],[FORM_MATCH_HELPER]],8),"")</f>
        <v/>
      </c>
      <c r="AH165" s="39" t="str" cm="1">
        <f t="array" ref="AH165">IFERROR(INDEX(DaybyDay[],DaybyDay[[#This Row],[FORM_MATCH_HELPER]],10),"")</f>
        <v/>
      </c>
      <c r="AI165" s="39" t="str" cm="1">
        <f t="array" ref="AI165">IFERROR(INDEX(DaybyDay[],DaybyDay[[#This Row],[FORM_MATCH_HELPER]],12),"")</f>
        <v/>
      </c>
      <c r="AJ165" s="32">
        <f>IFERROR(DaybyDay[[#This Row],[Serv-LY-RU]]+DaybyDay[[#This Row],[Ret-LY-RU]],"")</f>
        <v>0</v>
      </c>
      <c r="AK1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5" s="77"/>
      <c r="AM165" s="40" t="str">
        <f>IF(DaybyDay[[#This Row],[Admin Hours]]&gt;0,DaybyDay[[#This Row],[Admin Hours]]*$AM$2+$AM$3,"")</f>
        <v/>
      </c>
      <c r="AN165" s="40">
        <f>SUMIFS(DaybyDay[Est-Admin-Payroll],DaybyDay[Date],"&gt;="&amp;$C$5,DaybyDay[RowYear],"&gt;="&amp;$C$4,DaybyDay[Date],"&lt;="&amp;DaybyDay[[#This Row],[Date]])</f>
        <v>0</v>
      </c>
      <c r="AO165" s="41" t="str">
        <f>IF(AND(DaybyDay[[#This Row],[_Space]],ISNUMBER(DaybyDay[[#This Row],[Admin Hours]])),DaybyDay[[#This Row],[Est-Admin-Payroll]]/(DaybyDay[[#This Row],[Service-Actuals]]+DaybyDay[[#This Row],[Retail-Actuals]]),"")</f>
        <v/>
      </c>
      <c r="AP165" s="41" t="e">
        <f>DaybyDay[[#This Row],[Estimated-Payroll-Rollup]]/DaybyDay[[#This Row],[Simple-Forecast]]</f>
        <v>#DIV/0!</v>
      </c>
      <c r="AQ1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5" s="77"/>
      <c r="AS165" s="40" t="str">
        <f>IF(DaybyDay[[#This Row],[Retail Hours]]&gt;0,DaybyDay[[#This Row],[Retail Hours]]*$AS$2,"")</f>
        <v/>
      </c>
      <c r="AT165" s="40">
        <f>SUMIFS(DaybyDay[Est-Retail-Payroll],DaybyDay[Date],"&gt;="&amp;$C$5,DaybyDay[RowYear],"&gt;="&amp;$C$4,DaybyDay[Date],"&lt;="&amp;DaybyDay[[#This Row],[Date]])</f>
        <v>0</v>
      </c>
      <c r="AU165" s="82" t="str">
        <f>IF(AND(DaybyDay[[#This Row],[_Space]],ISNUMBER(DaybyDay[[#This Row],[Retail Hours]])),DaybyDay[[#This Row],[Est-Retail-Payroll]]/(DaybyDay[[#This Row],[Retail-Actuals]]),"")</f>
        <v/>
      </c>
      <c r="AV165" s="82" t="e">
        <f>DaybyDay[[#This Row],[Est-Retail-PayrollRU]]/DaybyDay[[#This Row],[Simple-Forecast-Retail]]</f>
        <v>#DIV/0!</v>
      </c>
      <c r="AW165" s="8"/>
    </row>
    <row r="166" spans="3:49" hidden="1" x14ac:dyDescent="0.25">
      <c r="C166" s="26" t="str">
        <f>Tools!$C$1</f>
        <v>Example</v>
      </c>
      <c r="D166" s="27" t="s">
        <v>73</v>
      </c>
      <c r="E166" s="28">
        <v>2017</v>
      </c>
      <c r="F166" s="28">
        <f>MATCH(DaybyDay[[#This Row],[RowMonth]],Table3[SummaryMonth],0)</f>
        <v>6</v>
      </c>
      <c r="G166" s="29" t="e">
        <f>MATCH(DaybyDay[[#This Row],[LY-Date]],DaybyDay[Date],0)</f>
        <v>#N/A</v>
      </c>
      <c r="H166" s="30">
        <f>WEEKDAY(DaybyDay[[#This Row],[Date]])</f>
        <v>6</v>
      </c>
      <c r="I166" s="31">
        <v>42895</v>
      </c>
      <c r="J166" s="74">
        <v>31</v>
      </c>
      <c r="K166" s="32">
        <f>SUMIFS(BudgetSeasonality[365 Seasonality],BudgetSeasonality[MonthAdjustment],DaybyDay[[#This Row],[Date]])*SUMIFS(Budgets[Service-Budget],Budgets[BudgetMonth],DaybyDay[[#This Row],[RowMonth]],Budgets[BudgetYear],DaybyDay[[#This Row],[RowYear]])</f>
        <v>0</v>
      </c>
      <c r="L166" s="75">
        <v>4900.5</v>
      </c>
      <c r="M166" s="32">
        <f>INDEX(BudgetSeasonality[365 Seasonality],MATCH(DaybyDay[[#This Row],[Date]],BudgetSeasonality[MonthAdjustment],0))*SUMIFS(Budgets[Retail-Budget],Budgets[BudgetMonth],DaybyDay[[#This Row],[RowMonth]],Budgets[BudgetYear],DaybyDay[[#This Row],[RowYear]])</f>
        <v>0</v>
      </c>
      <c r="N166" s="75">
        <v>679.24</v>
      </c>
      <c r="O166" s="33">
        <f>SUMIFS(DaybyDay[Service-Budgets],DaybyDay[Date],"&gt;="&amp;$C$5,DaybyDay[RowYear],"&gt;="&amp;$C$4,DaybyDay[Date],"&lt;="&amp;DaybyDay[[#This Row],[Date]])</f>
        <v>0</v>
      </c>
      <c r="P166" s="33">
        <f>SUMIFS(DaybyDay[Retail-Budgets],DaybyDay[Date],"&gt;="&amp;$C$5,DaybyDay[RowYear],"&gt;="&amp;$C$4,DaybyDay[Date],"&lt;="&amp;DaybyDay[[#This Row],[Date]])</f>
        <v>0</v>
      </c>
      <c r="Q166" s="34">
        <f>SUMIFS(DaybyDay[Service-Actuals],DaybyDay[Date],"&gt;="&amp;$C$5,DaybyDay[RowYear],"&gt;="&amp;$C$4,DaybyDay[Date],"&lt;="&amp;DaybyDay[[#This Row],[Date]])</f>
        <v>0</v>
      </c>
      <c r="R166" s="34">
        <f>SUMIFS(DaybyDay[Retail-Actuals],DaybyDay[Date],"&gt;="&amp;$C$5,DaybyDay[RowYear],"&gt;="&amp;$C$4,DaybyDay[Date],"&lt;="&amp;DaybyDay[[#This Row],[Date]])</f>
        <v>0</v>
      </c>
      <c r="S166" s="35">
        <f>SUMIFS(DaybyDay[Service-LY],DaybyDay[Date],"&gt;="&amp;$C$5,DaybyDay[RowYear],"&gt;="&amp;$C$4,DaybyDay[Date],"&lt;="&amp;DaybyDay[[#This Row],[Date]])</f>
        <v>0</v>
      </c>
      <c r="T166" s="35">
        <f>SUMIFS(DaybyDay[Retail-LY],DaybyDay[Date],"&gt;="&amp;$C$5,DaybyDay[RowYear],"&gt;="&amp;$C$4,DaybyDay[Date],"&lt;="&amp;DaybyDay[[#This Row],[Date]])</f>
        <v>0</v>
      </c>
      <c r="U166" s="32">
        <f>DaybyDay[[#This Row],[Serv-Bud-RU]]+DaybyDay[[#This Row],[Ret-Bud-RU]]</f>
        <v>0</v>
      </c>
      <c r="V166" s="32">
        <f>DaybyDay[[#This Row],[Serv-Act-RU]]+DaybyDay[[#This Row],[Ret-Act-RU]]</f>
        <v>0</v>
      </c>
      <c r="W166" s="36">
        <f>IF(DaybyDay[[#This Row],[_Space]],IFERROR(
((DaybyDay[[#This Row],[Actual-Rollup]]-DaybyDay[[#This Row],[Budget-Rollup]])/DaybyDay[[#This Row],[Budget-Rollup]]),0),"")</f>
        <v>0</v>
      </c>
      <c r="X166" t="b">
        <f>NOT(AND(ISBLANK(DaybyDay[[#This Row],[Appts]]),ISBLANK(DaybyDay[[#This Row],[Service-Actuals]]),ISBLANK(DaybyDay[[#This Row],[Retail-Actuals]])))</f>
        <v>1</v>
      </c>
      <c r="Y166" s="36">
        <f>IF(DaybyDay[[#This Row],[_Space]],IFERROR(
((DaybyDay[[#This Row],[Actual-Rollup]]-DaybyDay[[#This Row],[LY-Rollup]])/DaybyDay[[#This Row],[LY-Rollup]]),0),"")</f>
        <v>0</v>
      </c>
      <c r="Z166"/>
      <c r="AA166" s="37" t="e">
        <f>IF(DaybyDay[[#This Row],[_Space]],DaybyDay[[#This Row],[Ret-Act-RU]]/DaybyDay[[#This Row],[Serv-Act-RU]],"")</f>
        <v>#DIV/0!</v>
      </c>
      <c r="AB166" s="50" t="e">
        <f>IF(DaybyDay[[#This Row],[_Space]],DaybyDay[[#This Row],[RETPEN-Act]]/DaybyDay[[#This Row],[RETPEN-Bud]],"")</f>
        <v>#DIV/0!</v>
      </c>
      <c r="AC166" s="37" t="e">
        <f>IF(DaybyDay[[#This Row],[_Space]],DaybyDay[[#This Row],[Ret-Bud-RU]]/DaybyDay[[#This Row],[Serv-Bud-RU]],"")</f>
        <v>#DIV/0!</v>
      </c>
      <c r="AD166" s="37" t="e">
        <f>IF(DaybyDay[[#This Row],[_Space]],DaybyDay[[#This Row],[Ret-LY-RU]]/DaybyDay[[#This Row],[Serv-LY-RU]],"")</f>
        <v>#DIV/0!</v>
      </c>
      <c r="AE166" s="30">
        <f>WEEKDAY(DaybyDay[[#This Row],[LY-Date]])</f>
        <v>6</v>
      </c>
      <c r="AF166" s="38">
        <f>$E$2+_xlfn.DAYS(DaybyDay[[#This Row],[Date]],minDate)</f>
        <v>42531</v>
      </c>
      <c r="AG166" s="39" t="str" cm="1">
        <f t="array" ref="AG166">IFERROR(INDEX(DaybyDay[],DaybyDay[[#This Row],[FORM_MATCH_HELPER]],8),"")</f>
        <v/>
      </c>
      <c r="AH166" s="39" t="str" cm="1">
        <f t="array" ref="AH166">IFERROR(INDEX(DaybyDay[],DaybyDay[[#This Row],[FORM_MATCH_HELPER]],10),"")</f>
        <v/>
      </c>
      <c r="AI166" s="39" t="str" cm="1">
        <f t="array" ref="AI166">IFERROR(INDEX(DaybyDay[],DaybyDay[[#This Row],[FORM_MATCH_HELPER]],12),"")</f>
        <v/>
      </c>
      <c r="AJ166" s="32">
        <f>IFERROR(DaybyDay[[#This Row],[Serv-LY-RU]]+DaybyDay[[#This Row],[Ret-LY-RU]],"")</f>
        <v>0</v>
      </c>
      <c r="AK1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6" s="77"/>
      <c r="AM166" s="40" t="str">
        <f>IF(DaybyDay[[#This Row],[Admin Hours]]&gt;0,DaybyDay[[#This Row],[Admin Hours]]*$AM$2+$AM$3,"")</f>
        <v/>
      </c>
      <c r="AN166" s="40">
        <f>SUMIFS(DaybyDay[Est-Admin-Payroll],DaybyDay[Date],"&gt;="&amp;$C$5,DaybyDay[RowYear],"&gt;="&amp;$C$4,DaybyDay[Date],"&lt;="&amp;DaybyDay[[#This Row],[Date]])</f>
        <v>0</v>
      </c>
      <c r="AO166" s="41" t="str">
        <f>IF(AND(DaybyDay[[#This Row],[_Space]],ISNUMBER(DaybyDay[[#This Row],[Admin Hours]])),DaybyDay[[#This Row],[Est-Admin-Payroll]]/(DaybyDay[[#This Row],[Service-Actuals]]+DaybyDay[[#This Row],[Retail-Actuals]]),"")</f>
        <v/>
      </c>
      <c r="AP166" s="41" t="e">
        <f>DaybyDay[[#This Row],[Estimated-Payroll-Rollup]]/DaybyDay[[#This Row],[Simple-Forecast]]</f>
        <v>#DIV/0!</v>
      </c>
      <c r="AQ1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6" s="77"/>
      <c r="AS166" s="40" t="str">
        <f>IF(DaybyDay[[#This Row],[Retail Hours]]&gt;0,DaybyDay[[#This Row],[Retail Hours]]*$AS$2,"")</f>
        <v/>
      </c>
      <c r="AT166" s="40">
        <f>SUMIFS(DaybyDay[Est-Retail-Payroll],DaybyDay[Date],"&gt;="&amp;$C$5,DaybyDay[RowYear],"&gt;="&amp;$C$4,DaybyDay[Date],"&lt;="&amp;DaybyDay[[#This Row],[Date]])</f>
        <v>0</v>
      </c>
      <c r="AU166" s="82" t="str">
        <f>IF(AND(DaybyDay[[#This Row],[_Space]],ISNUMBER(DaybyDay[[#This Row],[Retail Hours]])),DaybyDay[[#This Row],[Est-Retail-Payroll]]/(DaybyDay[[#This Row],[Retail-Actuals]]),"")</f>
        <v/>
      </c>
      <c r="AV166" s="82" t="e">
        <f>DaybyDay[[#This Row],[Est-Retail-PayrollRU]]/DaybyDay[[#This Row],[Simple-Forecast-Retail]]</f>
        <v>#DIV/0!</v>
      </c>
      <c r="AW166" s="8"/>
    </row>
    <row r="167" spans="3:49" hidden="1" x14ac:dyDescent="0.25">
      <c r="C167" s="26" t="str">
        <f>Tools!$C$1</f>
        <v>Example</v>
      </c>
      <c r="D167" s="27" t="s">
        <v>73</v>
      </c>
      <c r="E167" s="28">
        <v>2017</v>
      </c>
      <c r="F167" s="28">
        <f>MATCH(DaybyDay[[#This Row],[RowMonth]],Table3[SummaryMonth],0)</f>
        <v>6</v>
      </c>
      <c r="G167" s="29" t="e">
        <f>MATCH(DaybyDay[[#This Row],[LY-Date]],DaybyDay[Date],0)</f>
        <v>#N/A</v>
      </c>
      <c r="H167" s="30">
        <f>WEEKDAY(DaybyDay[[#This Row],[Date]])</f>
        <v>7</v>
      </c>
      <c r="I167" s="31">
        <v>42896</v>
      </c>
      <c r="J167" s="74">
        <v>32</v>
      </c>
      <c r="K167" s="32">
        <f>SUMIFS(BudgetSeasonality[365 Seasonality],BudgetSeasonality[MonthAdjustment],DaybyDay[[#This Row],[Date]])*SUMIFS(Budgets[Service-Budget],Budgets[BudgetMonth],DaybyDay[[#This Row],[RowMonth]],Budgets[BudgetYear],DaybyDay[[#This Row],[RowYear]])</f>
        <v>0</v>
      </c>
      <c r="L167" s="75">
        <v>6421.2</v>
      </c>
      <c r="M167" s="32">
        <f>INDEX(BudgetSeasonality[365 Seasonality],MATCH(DaybyDay[[#This Row],[Date]],BudgetSeasonality[MonthAdjustment],0))*SUMIFS(Budgets[Retail-Budget],Budgets[BudgetMonth],DaybyDay[[#This Row],[RowMonth]],Budgets[BudgetYear],DaybyDay[[#This Row],[RowYear]])</f>
        <v>0</v>
      </c>
      <c r="N167" s="75">
        <v>152.87</v>
      </c>
      <c r="O167" s="33">
        <f>SUMIFS(DaybyDay[Service-Budgets],DaybyDay[Date],"&gt;="&amp;$C$5,DaybyDay[RowYear],"&gt;="&amp;$C$4,DaybyDay[Date],"&lt;="&amp;DaybyDay[[#This Row],[Date]])</f>
        <v>0</v>
      </c>
      <c r="P167" s="33">
        <f>SUMIFS(DaybyDay[Retail-Budgets],DaybyDay[Date],"&gt;="&amp;$C$5,DaybyDay[RowYear],"&gt;="&amp;$C$4,DaybyDay[Date],"&lt;="&amp;DaybyDay[[#This Row],[Date]])</f>
        <v>0</v>
      </c>
      <c r="Q167" s="34">
        <f>SUMIFS(DaybyDay[Service-Actuals],DaybyDay[Date],"&gt;="&amp;$C$5,DaybyDay[RowYear],"&gt;="&amp;$C$4,DaybyDay[Date],"&lt;="&amp;DaybyDay[[#This Row],[Date]])</f>
        <v>0</v>
      </c>
      <c r="R167" s="34">
        <f>SUMIFS(DaybyDay[Retail-Actuals],DaybyDay[Date],"&gt;="&amp;$C$5,DaybyDay[RowYear],"&gt;="&amp;$C$4,DaybyDay[Date],"&lt;="&amp;DaybyDay[[#This Row],[Date]])</f>
        <v>0</v>
      </c>
      <c r="S167" s="35">
        <f>SUMIFS(DaybyDay[Service-LY],DaybyDay[Date],"&gt;="&amp;$C$5,DaybyDay[RowYear],"&gt;="&amp;$C$4,DaybyDay[Date],"&lt;="&amp;DaybyDay[[#This Row],[Date]])</f>
        <v>0</v>
      </c>
      <c r="T167" s="35">
        <f>SUMIFS(DaybyDay[Retail-LY],DaybyDay[Date],"&gt;="&amp;$C$5,DaybyDay[RowYear],"&gt;="&amp;$C$4,DaybyDay[Date],"&lt;="&amp;DaybyDay[[#This Row],[Date]])</f>
        <v>0</v>
      </c>
      <c r="U167" s="32">
        <f>DaybyDay[[#This Row],[Serv-Bud-RU]]+DaybyDay[[#This Row],[Ret-Bud-RU]]</f>
        <v>0</v>
      </c>
      <c r="V167" s="32">
        <f>DaybyDay[[#This Row],[Serv-Act-RU]]+DaybyDay[[#This Row],[Ret-Act-RU]]</f>
        <v>0</v>
      </c>
      <c r="W167" s="36">
        <f>IF(DaybyDay[[#This Row],[_Space]],IFERROR(
((DaybyDay[[#This Row],[Actual-Rollup]]-DaybyDay[[#This Row],[Budget-Rollup]])/DaybyDay[[#This Row],[Budget-Rollup]]),0),"")</f>
        <v>0</v>
      </c>
      <c r="X167" t="b">
        <f>NOT(AND(ISBLANK(DaybyDay[[#This Row],[Appts]]),ISBLANK(DaybyDay[[#This Row],[Service-Actuals]]),ISBLANK(DaybyDay[[#This Row],[Retail-Actuals]])))</f>
        <v>1</v>
      </c>
      <c r="Y167" s="36">
        <f>IF(DaybyDay[[#This Row],[_Space]],IFERROR(
((DaybyDay[[#This Row],[Actual-Rollup]]-DaybyDay[[#This Row],[LY-Rollup]])/DaybyDay[[#This Row],[LY-Rollup]]),0),"")</f>
        <v>0</v>
      </c>
      <c r="Z167"/>
      <c r="AA167" s="37" t="e">
        <f>IF(DaybyDay[[#This Row],[_Space]],DaybyDay[[#This Row],[Ret-Act-RU]]/DaybyDay[[#This Row],[Serv-Act-RU]],"")</f>
        <v>#DIV/0!</v>
      </c>
      <c r="AB167" s="50" t="e">
        <f>IF(DaybyDay[[#This Row],[_Space]],DaybyDay[[#This Row],[RETPEN-Act]]/DaybyDay[[#This Row],[RETPEN-Bud]],"")</f>
        <v>#DIV/0!</v>
      </c>
      <c r="AC167" s="37" t="e">
        <f>IF(DaybyDay[[#This Row],[_Space]],DaybyDay[[#This Row],[Ret-Bud-RU]]/DaybyDay[[#This Row],[Serv-Bud-RU]],"")</f>
        <v>#DIV/0!</v>
      </c>
      <c r="AD167" s="37" t="e">
        <f>IF(DaybyDay[[#This Row],[_Space]],DaybyDay[[#This Row],[Ret-LY-RU]]/DaybyDay[[#This Row],[Serv-LY-RU]],"")</f>
        <v>#DIV/0!</v>
      </c>
      <c r="AE167" s="30">
        <f>WEEKDAY(DaybyDay[[#This Row],[LY-Date]])</f>
        <v>7</v>
      </c>
      <c r="AF167" s="38">
        <f>$E$2+_xlfn.DAYS(DaybyDay[[#This Row],[Date]],minDate)</f>
        <v>42532</v>
      </c>
      <c r="AG167" s="39" t="str" cm="1">
        <f t="array" ref="AG167">IFERROR(INDEX(DaybyDay[],DaybyDay[[#This Row],[FORM_MATCH_HELPER]],8),"")</f>
        <v/>
      </c>
      <c r="AH167" s="39" t="str" cm="1">
        <f t="array" ref="AH167">IFERROR(INDEX(DaybyDay[],DaybyDay[[#This Row],[FORM_MATCH_HELPER]],10),"")</f>
        <v/>
      </c>
      <c r="AI167" s="39" t="str" cm="1">
        <f t="array" ref="AI167">IFERROR(INDEX(DaybyDay[],DaybyDay[[#This Row],[FORM_MATCH_HELPER]],12),"")</f>
        <v/>
      </c>
      <c r="AJ167" s="32">
        <f>IFERROR(DaybyDay[[#This Row],[Serv-LY-RU]]+DaybyDay[[#This Row],[Ret-LY-RU]],"")</f>
        <v>0</v>
      </c>
      <c r="AK1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7" s="77"/>
      <c r="AM167" s="40" t="str">
        <f>IF(DaybyDay[[#This Row],[Admin Hours]]&gt;0,DaybyDay[[#This Row],[Admin Hours]]*$AM$2+$AM$3,"")</f>
        <v/>
      </c>
      <c r="AN167" s="40">
        <f>SUMIFS(DaybyDay[Est-Admin-Payroll],DaybyDay[Date],"&gt;="&amp;$C$5,DaybyDay[RowYear],"&gt;="&amp;$C$4,DaybyDay[Date],"&lt;="&amp;DaybyDay[[#This Row],[Date]])</f>
        <v>0</v>
      </c>
      <c r="AO167" s="41" t="str">
        <f>IF(AND(DaybyDay[[#This Row],[_Space]],ISNUMBER(DaybyDay[[#This Row],[Admin Hours]])),DaybyDay[[#This Row],[Est-Admin-Payroll]]/(DaybyDay[[#This Row],[Service-Actuals]]+DaybyDay[[#This Row],[Retail-Actuals]]),"")</f>
        <v/>
      </c>
      <c r="AP167" s="41" t="e">
        <f>DaybyDay[[#This Row],[Estimated-Payroll-Rollup]]/DaybyDay[[#This Row],[Simple-Forecast]]</f>
        <v>#DIV/0!</v>
      </c>
      <c r="AQ1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7" s="77"/>
      <c r="AS167" s="40" t="str">
        <f>IF(DaybyDay[[#This Row],[Retail Hours]]&gt;0,DaybyDay[[#This Row],[Retail Hours]]*$AS$2,"")</f>
        <v/>
      </c>
      <c r="AT167" s="40">
        <f>SUMIFS(DaybyDay[Est-Retail-Payroll],DaybyDay[Date],"&gt;="&amp;$C$5,DaybyDay[RowYear],"&gt;="&amp;$C$4,DaybyDay[Date],"&lt;="&amp;DaybyDay[[#This Row],[Date]])</f>
        <v>0</v>
      </c>
      <c r="AU167" s="82" t="str">
        <f>IF(AND(DaybyDay[[#This Row],[_Space]],ISNUMBER(DaybyDay[[#This Row],[Retail Hours]])),DaybyDay[[#This Row],[Est-Retail-Payroll]]/(DaybyDay[[#This Row],[Retail-Actuals]]),"")</f>
        <v/>
      </c>
      <c r="AV167" s="82" t="e">
        <f>DaybyDay[[#This Row],[Est-Retail-PayrollRU]]/DaybyDay[[#This Row],[Simple-Forecast-Retail]]</f>
        <v>#DIV/0!</v>
      </c>
      <c r="AW167" s="8"/>
    </row>
    <row r="168" spans="3:49" hidden="1" x14ac:dyDescent="0.25">
      <c r="C168" s="26" t="str">
        <f>Tools!$C$1</f>
        <v>Example</v>
      </c>
      <c r="D168" s="27" t="s">
        <v>73</v>
      </c>
      <c r="E168" s="28">
        <v>2017</v>
      </c>
      <c r="F168" s="28">
        <f>MATCH(DaybyDay[[#This Row],[RowMonth]],Table3[SummaryMonth],0)</f>
        <v>6</v>
      </c>
      <c r="G168" s="29" t="e">
        <f>MATCH(DaybyDay[[#This Row],[LY-Date]],DaybyDay[Date],0)</f>
        <v>#N/A</v>
      </c>
      <c r="H168" s="30">
        <f>WEEKDAY(DaybyDay[[#This Row],[Date]])</f>
        <v>1</v>
      </c>
      <c r="I168" s="31">
        <v>42897</v>
      </c>
      <c r="J168" s="74">
        <v>30</v>
      </c>
      <c r="K168" s="32">
        <f>SUMIFS(BudgetSeasonality[365 Seasonality],BudgetSeasonality[MonthAdjustment],DaybyDay[[#This Row],[Date]])*SUMIFS(Budgets[Service-Budget],Budgets[BudgetMonth],DaybyDay[[#This Row],[RowMonth]],Budgets[BudgetYear],DaybyDay[[#This Row],[RowYear]])</f>
        <v>0</v>
      </c>
      <c r="L168" s="75">
        <v>5198.6400000000003</v>
      </c>
      <c r="M168" s="32">
        <f>INDEX(BudgetSeasonality[365 Seasonality],MATCH(DaybyDay[[#This Row],[Date]],BudgetSeasonality[MonthAdjustment],0))*SUMIFS(Budgets[Retail-Budget],Budgets[BudgetMonth],DaybyDay[[#This Row],[RowMonth]],Budgets[BudgetYear],DaybyDay[[#This Row],[RowYear]])</f>
        <v>0</v>
      </c>
      <c r="N168" s="75">
        <v>220</v>
      </c>
      <c r="O168" s="33">
        <f>SUMIFS(DaybyDay[Service-Budgets],DaybyDay[Date],"&gt;="&amp;$C$5,DaybyDay[RowYear],"&gt;="&amp;$C$4,DaybyDay[Date],"&lt;="&amp;DaybyDay[[#This Row],[Date]])</f>
        <v>0</v>
      </c>
      <c r="P168" s="33">
        <f>SUMIFS(DaybyDay[Retail-Budgets],DaybyDay[Date],"&gt;="&amp;$C$5,DaybyDay[RowYear],"&gt;="&amp;$C$4,DaybyDay[Date],"&lt;="&amp;DaybyDay[[#This Row],[Date]])</f>
        <v>0</v>
      </c>
      <c r="Q168" s="34">
        <f>SUMIFS(DaybyDay[Service-Actuals],DaybyDay[Date],"&gt;="&amp;$C$5,DaybyDay[RowYear],"&gt;="&amp;$C$4,DaybyDay[Date],"&lt;="&amp;DaybyDay[[#This Row],[Date]])</f>
        <v>0</v>
      </c>
      <c r="R168" s="34">
        <f>SUMIFS(DaybyDay[Retail-Actuals],DaybyDay[Date],"&gt;="&amp;$C$5,DaybyDay[RowYear],"&gt;="&amp;$C$4,DaybyDay[Date],"&lt;="&amp;DaybyDay[[#This Row],[Date]])</f>
        <v>0</v>
      </c>
      <c r="S168" s="35">
        <f>SUMIFS(DaybyDay[Service-LY],DaybyDay[Date],"&gt;="&amp;$C$5,DaybyDay[RowYear],"&gt;="&amp;$C$4,DaybyDay[Date],"&lt;="&amp;DaybyDay[[#This Row],[Date]])</f>
        <v>0</v>
      </c>
      <c r="T168" s="35">
        <f>SUMIFS(DaybyDay[Retail-LY],DaybyDay[Date],"&gt;="&amp;$C$5,DaybyDay[RowYear],"&gt;="&amp;$C$4,DaybyDay[Date],"&lt;="&amp;DaybyDay[[#This Row],[Date]])</f>
        <v>0</v>
      </c>
      <c r="U168" s="32">
        <f>DaybyDay[[#This Row],[Serv-Bud-RU]]+DaybyDay[[#This Row],[Ret-Bud-RU]]</f>
        <v>0</v>
      </c>
      <c r="V168" s="32">
        <f>DaybyDay[[#This Row],[Serv-Act-RU]]+DaybyDay[[#This Row],[Ret-Act-RU]]</f>
        <v>0</v>
      </c>
      <c r="W168" s="36">
        <f>IF(DaybyDay[[#This Row],[_Space]],IFERROR(
((DaybyDay[[#This Row],[Actual-Rollup]]-DaybyDay[[#This Row],[Budget-Rollup]])/DaybyDay[[#This Row],[Budget-Rollup]]),0),"")</f>
        <v>0</v>
      </c>
      <c r="X168" t="b">
        <f>NOT(AND(ISBLANK(DaybyDay[[#This Row],[Appts]]),ISBLANK(DaybyDay[[#This Row],[Service-Actuals]]),ISBLANK(DaybyDay[[#This Row],[Retail-Actuals]])))</f>
        <v>1</v>
      </c>
      <c r="Y168" s="36">
        <f>IF(DaybyDay[[#This Row],[_Space]],IFERROR(
((DaybyDay[[#This Row],[Actual-Rollup]]-DaybyDay[[#This Row],[LY-Rollup]])/DaybyDay[[#This Row],[LY-Rollup]]),0),"")</f>
        <v>0</v>
      </c>
      <c r="Z168"/>
      <c r="AA168" s="37" t="e">
        <f>IF(DaybyDay[[#This Row],[_Space]],DaybyDay[[#This Row],[Ret-Act-RU]]/DaybyDay[[#This Row],[Serv-Act-RU]],"")</f>
        <v>#DIV/0!</v>
      </c>
      <c r="AB168" s="50" t="e">
        <f>IF(DaybyDay[[#This Row],[_Space]],DaybyDay[[#This Row],[RETPEN-Act]]/DaybyDay[[#This Row],[RETPEN-Bud]],"")</f>
        <v>#DIV/0!</v>
      </c>
      <c r="AC168" s="37" t="e">
        <f>IF(DaybyDay[[#This Row],[_Space]],DaybyDay[[#This Row],[Ret-Bud-RU]]/DaybyDay[[#This Row],[Serv-Bud-RU]],"")</f>
        <v>#DIV/0!</v>
      </c>
      <c r="AD168" s="37" t="e">
        <f>IF(DaybyDay[[#This Row],[_Space]],DaybyDay[[#This Row],[Ret-LY-RU]]/DaybyDay[[#This Row],[Serv-LY-RU]],"")</f>
        <v>#DIV/0!</v>
      </c>
      <c r="AE168" s="30">
        <f>WEEKDAY(DaybyDay[[#This Row],[LY-Date]])</f>
        <v>1</v>
      </c>
      <c r="AF168" s="38">
        <f>$E$2+_xlfn.DAYS(DaybyDay[[#This Row],[Date]],minDate)</f>
        <v>42533</v>
      </c>
      <c r="AG168" s="39" t="str" cm="1">
        <f t="array" ref="AG168">IFERROR(INDEX(DaybyDay[],DaybyDay[[#This Row],[FORM_MATCH_HELPER]],8),"")</f>
        <v/>
      </c>
      <c r="AH168" s="39" t="str" cm="1">
        <f t="array" ref="AH168">IFERROR(INDEX(DaybyDay[],DaybyDay[[#This Row],[FORM_MATCH_HELPER]],10),"")</f>
        <v/>
      </c>
      <c r="AI168" s="39" t="str" cm="1">
        <f t="array" ref="AI168">IFERROR(INDEX(DaybyDay[],DaybyDay[[#This Row],[FORM_MATCH_HELPER]],12),"")</f>
        <v/>
      </c>
      <c r="AJ168" s="32">
        <f>IFERROR(DaybyDay[[#This Row],[Serv-LY-RU]]+DaybyDay[[#This Row],[Ret-LY-RU]],"")</f>
        <v>0</v>
      </c>
      <c r="AK1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8" s="77"/>
      <c r="AM168" s="40" t="str">
        <f>IF(DaybyDay[[#This Row],[Admin Hours]]&gt;0,DaybyDay[[#This Row],[Admin Hours]]*$AM$2+$AM$3,"")</f>
        <v/>
      </c>
      <c r="AN168" s="40">
        <f>SUMIFS(DaybyDay[Est-Admin-Payroll],DaybyDay[Date],"&gt;="&amp;$C$5,DaybyDay[RowYear],"&gt;="&amp;$C$4,DaybyDay[Date],"&lt;="&amp;DaybyDay[[#This Row],[Date]])</f>
        <v>0</v>
      </c>
      <c r="AO168" s="41" t="str">
        <f>IF(AND(DaybyDay[[#This Row],[_Space]],ISNUMBER(DaybyDay[[#This Row],[Admin Hours]])),DaybyDay[[#This Row],[Est-Admin-Payroll]]/(DaybyDay[[#This Row],[Service-Actuals]]+DaybyDay[[#This Row],[Retail-Actuals]]),"")</f>
        <v/>
      </c>
      <c r="AP168" s="41" t="e">
        <f>DaybyDay[[#This Row],[Estimated-Payroll-Rollup]]/DaybyDay[[#This Row],[Simple-Forecast]]</f>
        <v>#DIV/0!</v>
      </c>
      <c r="AQ1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8" s="77"/>
      <c r="AS168" s="40" t="str">
        <f>IF(DaybyDay[[#This Row],[Retail Hours]]&gt;0,DaybyDay[[#This Row],[Retail Hours]]*$AS$2,"")</f>
        <v/>
      </c>
      <c r="AT168" s="40">
        <f>SUMIFS(DaybyDay[Est-Retail-Payroll],DaybyDay[Date],"&gt;="&amp;$C$5,DaybyDay[RowYear],"&gt;="&amp;$C$4,DaybyDay[Date],"&lt;="&amp;DaybyDay[[#This Row],[Date]])</f>
        <v>0</v>
      </c>
      <c r="AU168" s="82" t="str">
        <f>IF(AND(DaybyDay[[#This Row],[_Space]],ISNUMBER(DaybyDay[[#This Row],[Retail Hours]])),DaybyDay[[#This Row],[Est-Retail-Payroll]]/(DaybyDay[[#This Row],[Retail-Actuals]]),"")</f>
        <v/>
      </c>
      <c r="AV168" s="82" t="e">
        <f>DaybyDay[[#This Row],[Est-Retail-PayrollRU]]/DaybyDay[[#This Row],[Simple-Forecast-Retail]]</f>
        <v>#DIV/0!</v>
      </c>
      <c r="AW168" s="8"/>
    </row>
    <row r="169" spans="3:49" hidden="1" x14ac:dyDescent="0.25">
      <c r="C169" s="26" t="str">
        <f>Tools!$C$1</f>
        <v>Example</v>
      </c>
      <c r="D169" s="27" t="s">
        <v>73</v>
      </c>
      <c r="E169" s="28">
        <v>2017</v>
      </c>
      <c r="F169" s="28">
        <f>MATCH(DaybyDay[[#This Row],[RowMonth]],Table3[SummaryMonth],0)</f>
        <v>6</v>
      </c>
      <c r="G169" s="29" t="e">
        <f>MATCH(DaybyDay[[#This Row],[LY-Date]],DaybyDay[Date],0)</f>
        <v>#N/A</v>
      </c>
      <c r="H169" s="30">
        <f>WEEKDAY(DaybyDay[[#This Row],[Date]])</f>
        <v>2</v>
      </c>
      <c r="I169" s="31">
        <v>42898</v>
      </c>
      <c r="J169" s="74">
        <v>14</v>
      </c>
      <c r="K169" s="32">
        <f>SUMIFS(BudgetSeasonality[365 Seasonality],BudgetSeasonality[MonthAdjustment],DaybyDay[[#This Row],[Date]])*SUMIFS(Budgets[Service-Budget],Budgets[BudgetMonth],DaybyDay[[#This Row],[RowMonth]],Budgets[BudgetYear],DaybyDay[[#This Row],[RowYear]])</f>
        <v>0</v>
      </c>
      <c r="L169" s="75">
        <v>2192</v>
      </c>
      <c r="M169" s="32">
        <f>INDEX(BudgetSeasonality[365 Seasonality],MATCH(DaybyDay[[#This Row],[Date]],BudgetSeasonality[MonthAdjustment],0))*SUMIFS(Budgets[Retail-Budget],Budgets[BudgetMonth],DaybyDay[[#This Row],[RowMonth]],Budgets[BudgetYear],DaybyDay[[#This Row],[RowYear]])</f>
        <v>0</v>
      </c>
      <c r="N169" s="75">
        <v>66</v>
      </c>
      <c r="O169" s="33">
        <f>SUMIFS(DaybyDay[Service-Budgets],DaybyDay[Date],"&gt;="&amp;$C$5,DaybyDay[RowYear],"&gt;="&amp;$C$4,DaybyDay[Date],"&lt;="&amp;DaybyDay[[#This Row],[Date]])</f>
        <v>0</v>
      </c>
      <c r="P169" s="33">
        <f>SUMIFS(DaybyDay[Retail-Budgets],DaybyDay[Date],"&gt;="&amp;$C$5,DaybyDay[RowYear],"&gt;="&amp;$C$4,DaybyDay[Date],"&lt;="&amp;DaybyDay[[#This Row],[Date]])</f>
        <v>0</v>
      </c>
      <c r="Q169" s="34">
        <f>SUMIFS(DaybyDay[Service-Actuals],DaybyDay[Date],"&gt;="&amp;$C$5,DaybyDay[RowYear],"&gt;="&amp;$C$4,DaybyDay[Date],"&lt;="&amp;DaybyDay[[#This Row],[Date]])</f>
        <v>0</v>
      </c>
      <c r="R169" s="34">
        <f>SUMIFS(DaybyDay[Retail-Actuals],DaybyDay[Date],"&gt;="&amp;$C$5,DaybyDay[RowYear],"&gt;="&amp;$C$4,DaybyDay[Date],"&lt;="&amp;DaybyDay[[#This Row],[Date]])</f>
        <v>0</v>
      </c>
      <c r="S169" s="35">
        <f>SUMIFS(DaybyDay[Service-LY],DaybyDay[Date],"&gt;="&amp;$C$5,DaybyDay[RowYear],"&gt;="&amp;$C$4,DaybyDay[Date],"&lt;="&amp;DaybyDay[[#This Row],[Date]])</f>
        <v>0</v>
      </c>
      <c r="T169" s="35">
        <f>SUMIFS(DaybyDay[Retail-LY],DaybyDay[Date],"&gt;="&amp;$C$5,DaybyDay[RowYear],"&gt;="&amp;$C$4,DaybyDay[Date],"&lt;="&amp;DaybyDay[[#This Row],[Date]])</f>
        <v>0</v>
      </c>
      <c r="U169" s="32">
        <f>DaybyDay[[#This Row],[Serv-Bud-RU]]+DaybyDay[[#This Row],[Ret-Bud-RU]]</f>
        <v>0</v>
      </c>
      <c r="V169" s="32">
        <f>DaybyDay[[#This Row],[Serv-Act-RU]]+DaybyDay[[#This Row],[Ret-Act-RU]]</f>
        <v>0</v>
      </c>
      <c r="W169" s="36">
        <f>IF(DaybyDay[[#This Row],[_Space]],IFERROR(
((DaybyDay[[#This Row],[Actual-Rollup]]-DaybyDay[[#This Row],[Budget-Rollup]])/DaybyDay[[#This Row],[Budget-Rollup]]),0),"")</f>
        <v>0</v>
      </c>
      <c r="X169" t="b">
        <f>NOT(AND(ISBLANK(DaybyDay[[#This Row],[Appts]]),ISBLANK(DaybyDay[[#This Row],[Service-Actuals]]),ISBLANK(DaybyDay[[#This Row],[Retail-Actuals]])))</f>
        <v>1</v>
      </c>
      <c r="Y169" s="36">
        <f>IF(DaybyDay[[#This Row],[_Space]],IFERROR(
((DaybyDay[[#This Row],[Actual-Rollup]]-DaybyDay[[#This Row],[LY-Rollup]])/DaybyDay[[#This Row],[LY-Rollup]]),0),"")</f>
        <v>0</v>
      </c>
      <c r="Z169"/>
      <c r="AA169" s="37" t="e">
        <f>IF(DaybyDay[[#This Row],[_Space]],DaybyDay[[#This Row],[Ret-Act-RU]]/DaybyDay[[#This Row],[Serv-Act-RU]],"")</f>
        <v>#DIV/0!</v>
      </c>
      <c r="AB169" s="50" t="e">
        <f>IF(DaybyDay[[#This Row],[_Space]],DaybyDay[[#This Row],[RETPEN-Act]]/DaybyDay[[#This Row],[RETPEN-Bud]],"")</f>
        <v>#DIV/0!</v>
      </c>
      <c r="AC169" s="37" t="e">
        <f>IF(DaybyDay[[#This Row],[_Space]],DaybyDay[[#This Row],[Ret-Bud-RU]]/DaybyDay[[#This Row],[Serv-Bud-RU]],"")</f>
        <v>#DIV/0!</v>
      </c>
      <c r="AD169" s="37" t="e">
        <f>IF(DaybyDay[[#This Row],[_Space]],DaybyDay[[#This Row],[Ret-LY-RU]]/DaybyDay[[#This Row],[Serv-LY-RU]],"")</f>
        <v>#DIV/0!</v>
      </c>
      <c r="AE169" s="30">
        <f>WEEKDAY(DaybyDay[[#This Row],[LY-Date]])</f>
        <v>2</v>
      </c>
      <c r="AF169" s="38">
        <f>$E$2+_xlfn.DAYS(DaybyDay[[#This Row],[Date]],minDate)</f>
        <v>42534</v>
      </c>
      <c r="AG169" s="39" t="str" cm="1">
        <f t="array" ref="AG169">IFERROR(INDEX(DaybyDay[],DaybyDay[[#This Row],[FORM_MATCH_HELPER]],8),"")</f>
        <v/>
      </c>
      <c r="AH169" s="39" t="str" cm="1">
        <f t="array" ref="AH169">IFERROR(INDEX(DaybyDay[],DaybyDay[[#This Row],[FORM_MATCH_HELPER]],10),"")</f>
        <v/>
      </c>
      <c r="AI169" s="39" t="str" cm="1">
        <f t="array" ref="AI169">IFERROR(INDEX(DaybyDay[],DaybyDay[[#This Row],[FORM_MATCH_HELPER]],12),"")</f>
        <v/>
      </c>
      <c r="AJ169" s="32">
        <f>IFERROR(DaybyDay[[#This Row],[Serv-LY-RU]]+DaybyDay[[#This Row],[Ret-LY-RU]],"")</f>
        <v>0</v>
      </c>
      <c r="AK1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69" s="77"/>
      <c r="AM169" s="40" t="str">
        <f>IF(DaybyDay[[#This Row],[Admin Hours]]&gt;0,DaybyDay[[#This Row],[Admin Hours]]*$AM$2+$AM$3,"")</f>
        <v/>
      </c>
      <c r="AN169" s="40">
        <f>SUMIFS(DaybyDay[Est-Admin-Payroll],DaybyDay[Date],"&gt;="&amp;$C$5,DaybyDay[RowYear],"&gt;="&amp;$C$4,DaybyDay[Date],"&lt;="&amp;DaybyDay[[#This Row],[Date]])</f>
        <v>0</v>
      </c>
      <c r="AO169" s="41" t="str">
        <f>IF(AND(DaybyDay[[#This Row],[_Space]],ISNUMBER(DaybyDay[[#This Row],[Admin Hours]])),DaybyDay[[#This Row],[Est-Admin-Payroll]]/(DaybyDay[[#This Row],[Service-Actuals]]+DaybyDay[[#This Row],[Retail-Actuals]]),"")</f>
        <v/>
      </c>
      <c r="AP169" s="41" t="e">
        <f>DaybyDay[[#This Row],[Estimated-Payroll-Rollup]]/DaybyDay[[#This Row],[Simple-Forecast]]</f>
        <v>#DIV/0!</v>
      </c>
      <c r="AQ1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69" s="77"/>
      <c r="AS169" s="40" t="str">
        <f>IF(DaybyDay[[#This Row],[Retail Hours]]&gt;0,DaybyDay[[#This Row],[Retail Hours]]*$AS$2,"")</f>
        <v/>
      </c>
      <c r="AT169" s="40">
        <f>SUMIFS(DaybyDay[Est-Retail-Payroll],DaybyDay[Date],"&gt;="&amp;$C$5,DaybyDay[RowYear],"&gt;="&amp;$C$4,DaybyDay[Date],"&lt;="&amp;DaybyDay[[#This Row],[Date]])</f>
        <v>0</v>
      </c>
      <c r="AU169" s="82" t="str">
        <f>IF(AND(DaybyDay[[#This Row],[_Space]],ISNUMBER(DaybyDay[[#This Row],[Retail Hours]])),DaybyDay[[#This Row],[Est-Retail-Payroll]]/(DaybyDay[[#This Row],[Retail-Actuals]]),"")</f>
        <v/>
      </c>
      <c r="AV169" s="82" t="e">
        <f>DaybyDay[[#This Row],[Est-Retail-PayrollRU]]/DaybyDay[[#This Row],[Simple-Forecast-Retail]]</f>
        <v>#DIV/0!</v>
      </c>
      <c r="AW169" s="8"/>
    </row>
    <row r="170" spans="3:49" hidden="1" x14ac:dyDescent="0.25">
      <c r="C170" s="26" t="str">
        <f>Tools!$C$1</f>
        <v>Example</v>
      </c>
      <c r="D170" s="27" t="s">
        <v>73</v>
      </c>
      <c r="E170" s="28">
        <v>2017</v>
      </c>
      <c r="F170" s="28">
        <f>MATCH(DaybyDay[[#This Row],[RowMonth]],Table3[SummaryMonth],0)</f>
        <v>6</v>
      </c>
      <c r="G170" s="29" t="e">
        <f>MATCH(DaybyDay[[#This Row],[LY-Date]],DaybyDay[Date],0)</f>
        <v>#N/A</v>
      </c>
      <c r="H170" s="30">
        <f>WEEKDAY(DaybyDay[[#This Row],[Date]])</f>
        <v>3</v>
      </c>
      <c r="I170" s="31">
        <v>42899</v>
      </c>
      <c r="J170" s="74">
        <v>11</v>
      </c>
      <c r="K170" s="32">
        <f>SUMIFS(BudgetSeasonality[365 Seasonality],BudgetSeasonality[MonthAdjustment],DaybyDay[[#This Row],[Date]])*SUMIFS(Budgets[Service-Budget],Budgets[BudgetMonth],DaybyDay[[#This Row],[RowMonth]],Budgets[BudgetYear],DaybyDay[[#This Row],[RowYear]])</f>
        <v>0</v>
      </c>
      <c r="L170" s="75">
        <v>2596.1</v>
      </c>
      <c r="M170" s="32">
        <f>INDEX(BudgetSeasonality[365 Seasonality],MATCH(DaybyDay[[#This Row],[Date]],BudgetSeasonality[MonthAdjustment],0))*SUMIFS(Budgets[Retail-Budget],Budgets[BudgetMonth],DaybyDay[[#This Row],[RowMonth]],Budgets[BudgetYear],DaybyDay[[#This Row],[RowYear]])</f>
        <v>0</v>
      </c>
      <c r="N170" s="75">
        <v>243.2</v>
      </c>
      <c r="O170" s="33">
        <f>SUMIFS(DaybyDay[Service-Budgets],DaybyDay[Date],"&gt;="&amp;$C$5,DaybyDay[RowYear],"&gt;="&amp;$C$4,DaybyDay[Date],"&lt;="&amp;DaybyDay[[#This Row],[Date]])</f>
        <v>0</v>
      </c>
      <c r="P170" s="33">
        <f>SUMIFS(DaybyDay[Retail-Budgets],DaybyDay[Date],"&gt;="&amp;$C$5,DaybyDay[RowYear],"&gt;="&amp;$C$4,DaybyDay[Date],"&lt;="&amp;DaybyDay[[#This Row],[Date]])</f>
        <v>0</v>
      </c>
      <c r="Q170" s="34">
        <f>SUMIFS(DaybyDay[Service-Actuals],DaybyDay[Date],"&gt;="&amp;$C$5,DaybyDay[RowYear],"&gt;="&amp;$C$4,DaybyDay[Date],"&lt;="&amp;DaybyDay[[#This Row],[Date]])</f>
        <v>0</v>
      </c>
      <c r="R170" s="34">
        <f>SUMIFS(DaybyDay[Retail-Actuals],DaybyDay[Date],"&gt;="&amp;$C$5,DaybyDay[RowYear],"&gt;="&amp;$C$4,DaybyDay[Date],"&lt;="&amp;DaybyDay[[#This Row],[Date]])</f>
        <v>0</v>
      </c>
      <c r="S170" s="35">
        <f>SUMIFS(DaybyDay[Service-LY],DaybyDay[Date],"&gt;="&amp;$C$5,DaybyDay[RowYear],"&gt;="&amp;$C$4,DaybyDay[Date],"&lt;="&amp;DaybyDay[[#This Row],[Date]])</f>
        <v>0</v>
      </c>
      <c r="T170" s="35">
        <f>SUMIFS(DaybyDay[Retail-LY],DaybyDay[Date],"&gt;="&amp;$C$5,DaybyDay[RowYear],"&gt;="&amp;$C$4,DaybyDay[Date],"&lt;="&amp;DaybyDay[[#This Row],[Date]])</f>
        <v>0</v>
      </c>
      <c r="U170" s="32">
        <f>DaybyDay[[#This Row],[Serv-Bud-RU]]+DaybyDay[[#This Row],[Ret-Bud-RU]]</f>
        <v>0</v>
      </c>
      <c r="V170" s="32">
        <f>DaybyDay[[#This Row],[Serv-Act-RU]]+DaybyDay[[#This Row],[Ret-Act-RU]]</f>
        <v>0</v>
      </c>
      <c r="W170" s="36">
        <f>IF(DaybyDay[[#This Row],[_Space]],IFERROR(
((DaybyDay[[#This Row],[Actual-Rollup]]-DaybyDay[[#This Row],[Budget-Rollup]])/DaybyDay[[#This Row],[Budget-Rollup]]),0),"")</f>
        <v>0</v>
      </c>
      <c r="X170" t="b">
        <f>NOT(AND(ISBLANK(DaybyDay[[#This Row],[Appts]]),ISBLANK(DaybyDay[[#This Row],[Service-Actuals]]),ISBLANK(DaybyDay[[#This Row],[Retail-Actuals]])))</f>
        <v>1</v>
      </c>
      <c r="Y170" s="36">
        <f>IF(DaybyDay[[#This Row],[_Space]],IFERROR(
((DaybyDay[[#This Row],[Actual-Rollup]]-DaybyDay[[#This Row],[LY-Rollup]])/DaybyDay[[#This Row],[LY-Rollup]]),0),"")</f>
        <v>0</v>
      </c>
      <c r="Z170"/>
      <c r="AA170" s="37" t="e">
        <f>IF(DaybyDay[[#This Row],[_Space]],DaybyDay[[#This Row],[Ret-Act-RU]]/DaybyDay[[#This Row],[Serv-Act-RU]],"")</f>
        <v>#DIV/0!</v>
      </c>
      <c r="AB170" s="50" t="e">
        <f>IF(DaybyDay[[#This Row],[_Space]],DaybyDay[[#This Row],[RETPEN-Act]]/DaybyDay[[#This Row],[RETPEN-Bud]],"")</f>
        <v>#DIV/0!</v>
      </c>
      <c r="AC170" s="37" t="e">
        <f>IF(DaybyDay[[#This Row],[_Space]],DaybyDay[[#This Row],[Ret-Bud-RU]]/DaybyDay[[#This Row],[Serv-Bud-RU]],"")</f>
        <v>#DIV/0!</v>
      </c>
      <c r="AD170" s="37" t="e">
        <f>IF(DaybyDay[[#This Row],[_Space]],DaybyDay[[#This Row],[Ret-LY-RU]]/DaybyDay[[#This Row],[Serv-LY-RU]],"")</f>
        <v>#DIV/0!</v>
      </c>
      <c r="AE170" s="30">
        <f>WEEKDAY(DaybyDay[[#This Row],[LY-Date]])</f>
        <v>3</v>
      </c>
      <c r="AF170" s="38">
        <f>$E$2+_xlfn.DAYS(DaybyDay[[#This Row],[Date]],minDate)</f>
        <v>42535</v>
      </c>
      <c r="AG170" s="39" t="str" cm="1">
        <f t="array" ref="AG170">IFERROR(INDEX(DaybyDay[],DaybyDay[[#This Row],[FORM_MATCH_HELPER]],8),"")</f>
        <v/>
      </c>
      <c r="AH170" s="39" t="str" cm="1">
        <f t="array" ref="AH170">IFERROR(INDEX(DaybyDay[],DaybyDay[[#This Row],[FORM_MATCH_HELPER]],10),"")</f>
        <v/>
      </c>
      <c r="AI170" s="39" t="str" cm="1">
        <f t="array" ref="AI170">IFERROR(INDEX(DaybyDay[],DaybyDay[[#This Row],[FORM_MATCH_HELPER]],12),"")</f>
        <v/>
      </c>
      <c r="AJ170" s="32">
        <f>IFERROR(DaybyDay[[#This Row],[Serv-LY-RU]]+DaybyDay[[#This Row],[Ret-LY-RU]],"")</f>
        <v>0</v>
      </c>
      <c r="AK1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0" s="77"/>
      <c r="AM170" s="40" t="str">
        <f>IF(DaybyDay[[#This Row],[Admin Hours]]&gt;0,DaybyDay[[#This Row],[Admin Hours]]*$AM$2+$AM$3,"")</f>
        <v/>
      </c>
      <c r="AN170" s="40">
        <f>SUMIFS(DaybyDay[Est-Admin-Payroll],DaybyDay[Date],"&gt;="&amp;$C$5,DaybyDay[RowYear],"&gt;="&amp;$C$4,DaybyDay[Date],"&lt;="&amp;DaybyDay[[#This Row],[Date]])</f>
        <v>0</v>
      </c>
      <c r="AO170" s="41" t="str">
        <f>IF(AND(DaybyDay[[#This Row],[_Space]],ISNUMBER(DaybyDay[[#This Row],[Admin Hours]])),DaybyDay[[#This Row],[Est-Admin-Payroll]]/(DaybyDay[[#This Row],[Service-Actuals]]+DaybyDay[[#This Row],[Retail-Actuals]]),"")</f>
        <v/>
      </c>
      <c r="AP170" s="41" t="e">
        <f>DaybyDay[[#This Row],[Estimated-Payroll-Rollup]]/DaybyDay[[#This Row],[Simple-Forecast]]</f>
        <v>#DIV/0!</v>
      </c>
      <c r="AQ1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0" s="77"/>
      <c r="AS170" s="40" t="str">
        <f>IF(DaybyDay[[#This Row],[Retail Hours]]&gt;0,DaybyDay[[#This Row],[Retail Hours]]*$AS$2,"")</f>
        <v/>
      </c>
      <c r="AT170" s="40">
        <f>SUMIFS(DaybyDay[Est-Retail-Payroll],DaybyDay[Date],"&gt;="&amp;$C$5,DaybyDay[RowYear],"&gt;="&amp;$C$4,DaybyDay[Date],"&lt;="&amp;DaybyDay[[#This Row],[Date]])</f>
        <v>0</v>
      </c>
      <c r="AU170" s="82" t="str">
        <f>IF(AND(DaybyDay[[#This Row],[_Space]],ISNUMBER(DaybyDay[[#This Row],[Retail Hours]])),DaybyDay[[#This Row],[Est-Retail-Payroll]]/(DaybyDay[[#This Row],[Retail-Actuals]]),"")</f>
        <v/>
      </c>
      <c r="AV170" s="82" t="e">
        <f>DaybyDay[[#This Row],[Est-Retail-PayrollRU]]/DaybyDay[[#This Row],[Simple-Forecast-Retail]]</f>
        <v>#DIV/0!</v>
      </c>
      <c r="AW170" s="8"/>
    </row>
    <row r="171" spans="3:49" hidden="1" x14ac:dyDescent="0.25">
      <c r="C171" s="26" t="str">
        <f>Tools!$C$1</f>
        <v>Example</v>
      </c>
      <c r="D171" s="27" t="s">
        <v>73</v>
      </c>
      <c r="E171" s="28">
        <v>2017</v>
      </c>
      <c r="F171" s="28">
        <f>MATCH(DaybyDay[[#This Row],[RowMonth]],Table3[SummaryMonth],0)</f>
        <v>6</v>
      </c>
      <c r="G171" s="29" t="e">
        <f>MATCH(DaybyDay[[#This Row],[LY-Date]],DaybyDay[Date],0)</f>
        <v>#N/A</v>
      </c>
      <c r="H171" s="30">
        <f>WEEKDAY(DaybyDay[[#This Row],[Date]])</f>
        <v>4</v>
      </c>
      <c r="I171" s="31">
        <v>42900</v>
      </c>
      <c r="J171" s="74">
        <v>14</v>
      </c>
      <c r="K171" s="32">
        <f>SUMIFS(BudgetSeasonality[365 Seasonality],BudgetSeasonality[MonthAdjustment],DaybyDay[[#This Row],[Date]])*SUMIFS(Budgets[Service-Budget],Budgets[BudgetMonth],DaybyDay[[#This Row],[RowMonth]],Budgets[BudgetYear],DaybyDay[[#This Row],[RowYear]])</f>
        <v>0</v>
      </c>
      <c r="L171" s="75">
        <v>3294.25</v>
      </c>
      <c r="M171" s="32">
        <f>INDEX(BudgetSeasonality[365 Seasonality],MATCH(DaybyDay[[#This Row],[Date]],BudgetSeasonality[MonthAdjustment],0))*SUMIFS(Budgets[Retail-Budget],Budgets[BudgetMonth],DaybyDay[[#This Row],[RowMonth]],Budgets[BudgetYear],DaybyDay[[#This Row],[RowYear]])</f>
        <v>0</v>
      </c>
      <c r="N171" s="75">
        <v>1044</v>
      </c>
      <c r="O171" s="33">
        <f>SUMIFS(DaybyDay[Service-Budgets],DaybyDay[Date],"&gt;="&amp;$C$5,DaybyDay[RowYear],"&gt;="&amp;$C$4,DaybyDay[Date],"&lt;="&amp;DaybyDay[[#This Row],[Date]])</f>
        <v>0</v>
      </c>
      <c r="P171" s="33">
        <f>SUMIFS(DaybyDay[Retail-Budgets],DaybyDay[Date],"&gt;="&amp;$C$5,DaybyDay[RowYear],"&gt;="&amp;$C$4,DaybyDay[Date],"&lt;="&amp;DaybyDay[[#This Row],[Date]])</f>
        <v>0</v>
      </c>
      <c r="Q171" s="34">
        <f>SUMIFS(DaybyDay[Service-Actuals],DaybyDay[Date],"&gt;="&amp;$C$5,DaybyDay[RowYear],"&gt;="&amp;$C$4,DaybyDay[Date],"&lt;="&amp;DaybyDay[[#This Row],[Date]])</f>
        <v>0</v>
      </c>
      <c r="R171" s="34">
        <f>SUMIFS(DaybyDay[Retail-Actuals],DaybyDay[Date],"&gt;="&amp;$C$5,DaybyDay[RowYear],"&gt;="&amp;$C$4,DaybyDay[Date],"&lt;="&amp;DaybyDay[[#This Row],[Date]])</f>
        <v>0</v>
      </c>
      <c r="S171" s="35">
        <f>SUMIFS(DaybyDay[Service-LY],DaybyDay[Date],"&gt;="&amp;$C$5,DaybyDay[RowYear],"&gt;="&amp;$C$4,DaybyDay[Date],"&lt;="&amp;DaybyDay[[#This Row],[Date]])</f>
        <v>0</v>
      </c>
      <c r="T171" s="35">
        <f>SUMIFS(DaybyDay[Retail-LY],DaybyDay[Date],"&gt;="&amp;$C$5,DaybyDay[RowYear],"&gt;="&amp;$C$4,DaybyDay[Date],"&lt;="&amp;DaybyDay[[#This Row],[Date]])</f>
        <v>0</v>
      </c>
      <c r="U171" s="32">
        <f>DaybyDay[[#This Row],[Serv-Bud-RU]]+DaybyDay[[#This Row],[Ret-Bud-RU]]</f>
        <v>0</v>
      </c>
      <c r="V171" s="32">
        <f>DaybyDay[[#This Row],[Serv-Act-RU]]+DaybyDay[[#This Row],[Ret-Act-RU]]</f>
        <v>0</v>
      </c>
      <c r="W171" s="36">
        <f>IF(DaybyDay[[#This Row],[_Space]],IFERROR(
((DaybyDay[[#This Row],[Actual-Rollup]]-DaybyDay[[#This Row],[Budget-Rollup]])/DaybyDay[[#This Row],[Budget-Rollup]]),0),"")</f>
        <v>0</v>
      </c>
      <c r="X171" t="b">
        <f>NOT(AND(ISBLANK(DaybyDay[[#This Row],[Appts]]),ISBLANK(DaybyDay[[#This Row],[Service-Actuals]]),ISBLANK(DaybyDay[[#This Row],[Retail-Actuals]])))</f>
        <v>1</v>
      </c>
      <c r="Y171" s="36">
        <f>IF(DaybyDay[[#This Row],[_Space]],IFERROR(
((DaybyDay[[#This Row],[Actual-Rollup]]-DaybyDay[[#This Row],[LY-Rollup]])/DaybyDay[[#This Row],[LY-Rollup]]),0),"")</f>
        <v>0</v>
      </c>
      <c r="Z171"/>
      <c r="AA171" s="37" t="e">
        <f>IF(DaybyDay[[#This Row],[_Space]],DaybyDay[[#This Row],[Ret-Act-RU]]/DaybyDay[[#This Row],[Serv-Act-RU]],"")</f>
        <v>#DIV/0!</v>
      </c>
      <c r="AB171" s="50" t="e">
        <f>IF(DaybyDay[[#This Row],[_Space]],DaybyDay[[#This Row],[RETPEN-Act]]/DaybyDay[[#This Row],[RETPEN-Bud]],"")</f>
        <v>#DIV/0!</v>
      </c>
      <c r="AC171" s="37" t="e">
        <f>IF(DaybyDay[[#This Row],[_Space]],DaybyDay[[#This Row],[Ret-Bud-RU]]/DaybyDay[[#This Row],[Serv-Bud-RU]],"")</f>
        <v>#DIV/0!</v>
      </c>
      <c r="AD171" s="37" t="e">
        <f>IF(DaybyDay[[#This Row],[_Space]],DaybyDay[[#This Row],[Ret-LY-RU]]/DaybyDay[[#This Row],[Serv-LY-RU]],"")</f>
        <v>#DIV/0!</v>
      </c>
      <c r="AE171" s="30">
        <f>WEEKDAY(DaybyDay[[#This Row],[LY-Date]])</f>
        <v>4</v>
      </c>
      <c r="AF171" s="38">
        <f>$E$2+_xlfn.DAYS(DaybyDay[[#This Row],[Date]],minDate)</f>
        <v>42536</v>
      </c>
      <c r="AG171" s="39" t="str" cm="1">
        <f t="array" ref="AG171">IFERROR(INDEX(DaybyDay[],DaybyDay[[#This Row],[FORM_MATCH_HELPER]],8),"")</f>
        <v/>
      </c>
      <c r="AH171" s="39" t="str" cm="1">
        <f t="array" ref="AH171">IFERROR(INDEX(DaybyDay[],DaybyDay[[#This Row],[FORM_MATCH_HELPER]],10),"")</f>
        <v/>
      </c>
      <c r="AI171" s="39" t="str" cm="1">
        <f t="array" ref="AI171">IFERROR(INDEX(DaybyDay[],DaybyDay[[#This Row],[FORM_MATCH_HELPER]],12),"")</f>
        <v/>
      </c>
      <c r="AJ171" s="32">
        <f>IFERROR(DaybyDay[[#This Row],[Serv-LY-RU]]+DaybyDay[[#This Row],[Ret-LY-RU]],"")</f>
        <v>0</v>
      </c>
      <c r="AK1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1" s="77"/>
      <c r="AM171" s="40" t="str">
        <f>IF(DaybyDay[[#This Row],[Admin Hours]]&gt;0,DaybyDay[[#This Row],[Admin Hours]]*$AM$2+$AM$3,"")</f>
        <v/>
      </c>
      <c r="AN171" s="40">
        <f>SUMIFS(DaybyDay[Est-Admin-Payroll],DaybyDay[Date],"&gt;="&amp;$C$5,DaybyDay[RowYear],"&gt;="&amp;$C$4,DaybyDay[Date],"&lt;="&amp;DaybyDay[[#This Row],[Date]])</f>
        <v>0</v>
      </c>
      <c r="AO171" s="41" t="str">
        <f>IF(AND(DaybyDay[[#This Row],[_Space]],ISNUMBER(DaybyDay[[#This Row],[Admin Hours]])),DaybyDay[[#This Row],[Est-Admin-Payroll]]/(DaybyDay[[#This Row],[Service-Actuals]]+DaybyDay[[#This Row],[Retail-Actuals]]),"")</f>
        <v/>
      </c>
      <c r="AP171" s="41" t="e">
        <f>DaybyDay[[#This Row],[Estimated-Payroll-Rollup]]/DaybyDay[[#This Row],[Simple-Forecast]]</f>
        <v>#DIV/0!</v>
      </c>
      <c r="AQ1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1" s="77"/>
      <c r="AS171" s="40" t="str">
        <f>IF(DaybyDay[[#This Row],[Retail Hours]]&gt;0,DaybyDay[[#This Row],[Retail Hours]]*$AS$2,"")</f>
        <v/>
      </c>
      <c r="AT171" s="40">
        <f>SUMIFS(DaybyDay[Est-Retail-Payroll],DaybyDay[Date],"&gt;="&amp;$C$5,DaybyDay[RowYear],"&gt;="&amp;$C$4,DaybyDay[Date],"&lt;="&amp;DaybyDay[[#This Row],[Date]])</f>
        <v>0</v>
      </c>
      <c r="AU171" s="82" t="str">
        <f>IF(AND(DaybyDay[[#This Row],[_Space]],ISNUMBER(DaybyDay[[#This Row],[Retail Hours]])),DaybyDay[[#This Row],[Est-Retail-Payroll]]/(DaybyDay[[#This Row],[Retail-Actuals]]),"")</f>
        <v/>
      </c>
      <c r="AV171" s="82" t="e">
        <f>DaybyDay[[#This Row],[Est-Retail-PayrollRU]]/DaybyDay[[#This Row],[Simple-Forecast-Retail]]</f>
        <v>#DIV/0!</v>
      </c>
      <c r="AW171" s="8"/>
    </row>
    <row r="172" spans="3:49" hidden="1" x14ac:dyDescent="0.25">
      <c r="C172" s="26" t="str">
        <f>Tools!$C$1</f>
        <v>Example</v>
      </c>
      <c r="D172" s="27" t="s">
        <v>73</v>
      </c>
      <c r="E172" s="28">
        <v>2017</v>
      </c>
      <c r="F172" s="28">
        <f>MATCH(DaybyDay[[#This Row],[RowMonth]],Table3[SummaryMonth],0)</f>
        <v>6</v>
      </c>
      <c r="G172" s="29" t="e">
        <f>MATCH(DaybyDay[[#This Row],[LY-Date]],DaybyDay[Date],0)</f>
        <v>#N/A</v>
      </c>
      <c r="H172" s="30">
        <f>WEEKDAY(DaybyDay[[#This Row],[Date]])</f>
        <v>5</v>
      </c>
      <c r="I172" s="31">
        <v>42901</v>
      </c>
      <c r="J172" s="74">
        <v>22</v>
      </c>
      <c r="K172" s="32">
        <f>SUMIFS(BudgetSeasonality[365 Seasonality],BudgetSeasonality[MonthAdjustment],DaybyDay[[#This Row],[Date]])*SUMIFS(Budgets[Service-Budget],Budgets[BudgetMonth],DaybyDay[[#This Row],[RowMonth]],Budgets[BudgetYear],DaybyDay[[#This Row],[RowYear]])</f>
        <v>0</v>
      </c>
      <c r="L172" s="75">
        <v>4225.74</v>
      </c>
      <c r="M172" s="32">
        <f>INDEX(BudgetSeasonality[365 Seasonality],MATCH(DaybyDay[[#This Row],[Date]],BudgetSeasonality[MonthAdjustment],0))*SUMIFS(Budgets[Retail-Budget],Budgets[BudgetMonth],DaybyDay[[#This Row],[RowMonth]],Budgets[BudgetYear],DaybyDay[[#This Row],[RowYear]])</f>
        <v>0</v>
      </c>
      <c r="N172" s="75">
        <v>423</v>
      </c>
      <c r="O172" s="33">
        <f>SUMIFS(DaybyDay[Service-Budgets],DaybyDay[Date],"&gt;="&amp;$C$5,DaybyDay[RowYear],"&gt;="&amp;$C$4,DaybyDay[Date],"&lt;="&amp;DaybyDay[[#This Row],[Date]])</f>
        <v>0</v>
      </c>
      <c r="P172" s="33">
        <f>SUMIFS(DaybyDay[Retail-Budgets],DaybyDay[Date],"&gt;="&amp;$C$5,DaybyDay[RowYear],"&gt;="&amp;$C$4,DaybyDay[Date],"&lt;="&amp;DaybyDay[[#This Row],[Date]])</f>
        <v>0</v>
      </c>
      <c r="Q172" s="34">
        <f>SUMIFS(DaybyDay[Service-Actuals],DaybyDay[Date],"&gt;="&amp;$C$5,DaybyDay[RowYear],"&gt;="&amp;$C$4,DaybyDay[Date],"&lt;="&amp;DaybyDay[[#This Row],[Date]])</f>
        <v>0</v>
      </c>
      <c r="R172" s="34">
        <f>SUMIFS(DaybyDay[Retail-Actuals],DaybyDay[Date],"&gt;="&amp;$C$5,DaybyDay[RowYear],"&gt;="&amp;$C$4,DaybyDay[Date],"&lt;="&amp;DaybyDay[[#This Row],[Date]])</f>
        <v>0</v>
      </c>
      <c r="S172" s="35">
        <f>SUMIFS(DaybyDay[Service-LY],DaybyDay[Date],"&gt;="&amp;$C$5,DaybyDay[RowYear],"&gt;="&amp;$C$4,DaybyDay[Date],"&lt;="&amp;DaybyDay[[#This Row],[Date]])</f>
        <v>0</v>
      </c>
      <c r="T172" s="35">
        <f>SUMIFS(DaybyDay[Retail-LY],DaybyDay[Date],"&gt;="&amp;$C$5,DaybyDay[RowYear],"&gt;="&amp;$C$4,DaybyDay[Date],"&lt;="&amp;DaybyDay[[#This Row],[Date]])</f>
        <v>0</v>
      </c>
      <c r="U172" s="32">
        <f>DaybyDay[[#This Row],[Serv-Bud-RU]]+DaybyDay[[#This Row],[Ret-Bud-RU]]</f>
        <v>0</v>
      </c>
      <c r="V172" s="32">
        <f>DaybyDay[[#This Row],[Serv-Act-RU]]+DaybyDay[[#This Row],[Ret-Act-RU]]</f>
        <v>0</v>
      </c>
      <c r="W172" s="36">
        <f>IF(DaybyDay[[#This Row],[_Space]],IFERROR(
((DaybyDay[[#This Row],[Actual-Rollup]]-DaybyDay[[#This Row],[Budget-Rollup]])/DaybyDay[[#This Row],[Budget-Rollup]]),0),"")</f>
        <v>0</v>
      </c>
      <c r="X172" t="b">
        <f>NOT(AND(ISBLANK(DaybyDay[[#This Row],[Appts]]),ISBLANK(DaybyDay[[#This Row],[Service-Actuals]]),ISBLANK(DaybyDay[[#This Row],[Retail-Actuals]])))</f>
        <v>1</v>
      </c>
      <c r="Y172" s="36">
        <f>IF(DaybyDay[[#This Row],[_Space]],IFERROR(
((DaybyDay[[#This Row],[Actual-Rollup]]-DaybyDay[[#This Row],[LY-Rollup]])/DaybyDay[[#This Row],[LY-Rollup]]),0),"")</f>
        <v>0</v>
      </c>
      <c r="Z172"/>
      <c r="AA172" s="37" t="e">
        <f>IF(DaybyDay[[#This Row],[_Space]],DaybyDay[[#This Row],[Ret-Act-RU]]/DaybyDay[[#This Row],[Serv-Act-RU]],"")</f>
        <v>#DIV/0!</v>
      </c>
      <c r="AB172" s="50" t="e">
        <f>IF(DaybyDay[[#This Row],[_Space]],DaybyDay[[#This Row],[RETPEN-Act]]/DaybyDay[[#This Row],[RETPEN-Bud]],"")</f>
        <v>#DIV/0!</v>
      </c>
      <c r="AC172" s="37" t="e">
        <f>IF(DaybyDay[[#This Row],[_Space]],DaybyDay[[#This Row],[Ret-Bud-RU]]/DaybyDay[[#This Row],[Serv-Bud-RU]],"")</f>
        <v>#DIV/0!</v>
      </c>
      <c r="AD172" s="37" t="e">
        <f>IF(DaybyDay[[#This Row],[_Space]],DaybyDay[[#This Row],[Ret-LY-RU]]/DaybyDay[[#This Row],[Serv-LY-RU]],"")</f>
        <v>#DIV/0!</v>
      </c>
      <c r="AE172" s="30">
        <f>WEEKDAY(DaybyDay[[#This Row],[LY-Date]])</f>
        <v>5</v>
      </c>
      <c r="AF172" s="38">
        <f>$E$2+_xlfn.DAYS(DaybyDay[[#This Row],[Date]],minDate)</f>
        <v>42537</v>
      </c>
      <c r="AG172" s="39" t="str" cm="1">
        <f t="array" ref="AG172">IFERROR(INDEX(DaybyDay[],DaybyDay[[#This Row],[FORM_MATCH_HELPER]],8),"")</f>
        <v/>
      </c>
      <c r="AH172" s="39" t="str" cm="1">
        <f t="array" ref="AH172">IFERROR(INDEX(DaybyDay[],DaybyDay[[#This Row],[FORM_MATCH_HELPER]],10),"")</f>
        <v/>
      </c>
      <c r="AI172" s="39" t="str" cm="1">
        <f t="array" ref="AI172">IFERROR(INDEX(DaybyDay[],DaybyDay[[#This Row],[FORM_MATCH_HELPER]],12),"")</f>
        <v/>
      </c>
      <c r="AJ172" s="32">
        <f>IFERROR(DaybyDay[[#This Row],[Serv-LY-RU]]+DaybyDay[[#This Row],[Ret-LY-RU]],"")</f>
        <v>0</v>
      </c>
      <c r="AK1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2" s="77"/>
      <c r="AM172" s="40" t="str">
        <f>IF(DaybyDay[[#This Row],[Admin Hours]]&gt;0,DaybyDay[[#This Row],[Admin Hours]]*$AM$2+$AM$3,"")</f>
        <v/>
      </c>
      <c r="AN172" s="40">
        <f>SUMIFS(DaybyDay[Est-Admin-Payroll],DaybyDay[Date],"&gt;="&amp;$C$5,DaybyDay[RowYear],"&gt;="&amp;$C$4,DaybyDay[Date],"&lt;="&amp;DaybyDay[[#This Row],[Date]])</f>
        <v>0</v>
      </c>
      <c r="AO172" s="41" t="str">
        <f>IF(AND(DaybyDay[[#This Row],[_Space]],ISNUMBER(DaybyDay[[#This Row],[Admin Hours]])),DaybyDay[[#This Row],[Est-Admin-Payroll]]/(DaybyDay[[#This Row],[Service-Actuals]]+DaybyDay[[#This Row],[Retail-Actuals]]),"")</f>
        <v/>
      </c>
      <c r="AP172" s="41" t="e">
        <f>DaybyDay[[#This Row],[Estimated-Payroll-Rollup]]/DaybyDay[[#This Row],[Simple-Forecast]]</f>
        <v>#DIV/0!</v>
      </c>
      <c r="AQ1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2" s="77"/>
      <c r="AS172" s="40" t="str">
        <f>IF(DaybyDay[[#This Row],[Retail Hours]]&gt;0,DaybyDay[[#This Row],[Retail Hours]]*$AS$2,"")</f>
        <v/>
      </c>
      <c r="AT172" s="40">
        <f>SUMIFS(DaybyDay[Est-Retail-Payroll],DaybyDay[Date],"&gt;="&amp;$C$5,DaybyDay[RowYear],"&gt;="&amp;$C$4,DaybyDay[Date],"&lt;="&amp;DaybyDay[[#This Row],[Date]])</f>
        <v>0</v>
      </c>
      <c r="AU172" s="82" t="str">
        <f>IF(AND(DaybyDay[[#This Row],[_Space]],ISNUMBER(DaybyDay[[#This Row],[Retail Hours]])),DaybyDay[[#This Row],[Est-Retail-Payroll]]/(DaybyDay[[#This Row],[Retail-Actuals]]),"")</f>
        <v/>
      </c>
      <c r="AV172" s="82" t="e">
        <f>DaybyDay[[#This Row],[Est-Retail-PayrollRU]]/DaybyDay[[#This Row],[Simple-Forecast-Retail]]</f>
        <v>#DIV/0!</v>
      </c>
      <c r="AW172" s="8"/>
    </row>
    <row r="173" spans="3:49" hidden="1" x14ac:dyDescent="0.25">
      <c r="C173" s="26" t="str">
        <f>Tools!$C$1</f>
        <v>Example</v>
      </c>
      <c r="D173" s="27" t="s">
        <v>73</v>
      </c>
      <c r="E173" s="28">
        <v>2017</v>
      </c>
      <c r="F173" s="28">
        <f>MATCH(DaybyDay[[#This Row],[RowMonth]],Table3[SummaryMonth],0)</f>
        <v>6</v>
      </c>
      <c r="G173" s="29" t="e">
        <f>MATCH(DaybyDay[[#This Row],[LY-Date]],DaybyDay[Date],0)</f>
        <v>#N/A</v>
      </c>
      <c r="H173" s="30">
        <f>WEEKDAY(DaybyDay[[#This Row],[Date]])</f>
        <v>6</v>
      </c>
      <c r="I173" s="31">
        <v>42902</v>
      </c>
      <c r="J173" s="74">
        <v>41</v>
      </c>
      <c r="K173" s="32">
        <f>SUMIFS(BudgetSeasonality[365 Seasonality],BudgetSeasonality[MonthAdjustment],DaybyDay[[#This Row],[Date]])*SUMIFS(Budgets[Service-Budget],Budgets[BudgetMonth],DaybyDay[[#This Row],[RowMonth]],Budgets[BudgetYear],DaybyDay[[#This Row],[RowYear]])</f>
        <v>0</v>
      </c>
      <c r="L173" s="75">
        <v>6004.29</v>
      </c>
      <c r="M173" s="32">
        <f>INDEX(BudgetSeasonality[365 Seasonality],MATCH(DaybyDay[[#This Row],[Date]],BudgetSeasonality[MonthAdjustment],0))*SUMIFS(Budgets[Retail-Budget],Budgets[BudgetMonth],DaybyDay[[#This Row],[RowMonth]],Budgets[BudgetYear],DaybyDay[[#This Row],[RowYear]])</f>
        <v>0</v>
      </c>
      <c r="N173" s="75">
        <v>796</v>
      </c>
      <c r="O173" s="33">
        <f>SUMIFS(DaybyDay[Service-Budgets],DaybyDay[Date],"&gt;="&amp;$C$5,DaybyDay[RowYear],"&gt;="&amp;$C$4,DaybyDay[Date],"&lt;="&amp;DaybyDay[[#This Row],[Date]])</f>
        <v>0</v>
      </c>
      <c r="P173" s="33">
        <f>SUMIFS(DaybyDay[Retail-Budgets],DaybyDay[Date],"&gt;="&amp;$C$5,DaybyDay[RowYear],"&gt;="&amp;$C$4,DaybyDay[Date],"&lt;="&amp;DaybyDay[[#This Row],[Date]])</f>
        <v>0</v>
      </c>
      <c r="Q173" s="34">
        <f>SUMIFS(DaybyDay[Service-Actuals],DaybyDay[Date],"&gt;="&amp;$C$5,DaybyDay[RowYear],"&gt;="&amp;$C$4,DaybyDay[Date],"&lt;="&amp;DaybyDay[[#This Row],[Date]])</f>
        <v>0</v>
      </c>
      <c r="R173" s="34">
        <f>SUMIFS(DaybyDay[Retail-Actuals],DaybyDay[Date],"&gt;="&amp;$C$5,DaybyDay[RowYear],"&gt;="&amp;$C$4,DaybyDay[Date],"&lt;="&amp;DaybyDay[[#This Row],[Date]])</f>
        <v>0</v>
      </c>
      <c r="S173" s="35">
        <f>SUMIFS(DaybyDay[Service-LY],DaybyDay[Date],"&gt;="&amp;$C$5,DaybyDay[RowYear],"&gt;="&amp;$C$4,DaybyDay[Date],"&lt;="&amp;DaybyDay[[#This Row],[Date]])</f>
        <v>0</v>
      </c>
      <c r="T173" s="35">
        <f>SUMIFS(DaybyDay[Retail-LY],DaybyDay[Date],"&gt;="&amp;$C$5,DaybyDay[RowYear],"&gt;="&amp;$C$4,DaybyDay[Date],"&lt;="&amp;DaybyDay[[#This Row],[Date]])</f>
        <v>0</v>
      </c>
      <c r="U173" s="32">
        <f>DaybyDay[[#This Row],[Serv-Bud-RU]]+DaybyDay[[#This Row],[Ret-Bud-RU]]</f>
        <v>0</v>
      </c>
      <c r="V173" s="32">
        <f>DaybyDay[[#This Row],[Serv-Act-RU]]+DaybyDay[[#This Row],[Ret-Act-RU]]</f>
        <v>0</v>
      </c>
      <c r="W173" s="36">
        <f>IF(DaybyDay[[#This Row],[_Space]],IFERROR(
((DaybyDay[[#This Row],[Actual-Rollup]]-DaybyDay[[#This Row],[Budget-Rollup]])/DaybyDay[[#This Row],[Budget-Rollup]]),0),"")</f>
        <v>0</v>
      </c>
      <c r="X173" t="b">
        <f>NOT(AND(ISBLANK(DaybyDay[[#This Row],[Appts]]),ISBLANK(DaybyDay[[#This Row],[Service-Actuals]]),ISBLANK(DaybyDay[[#This Row],[Retail-Actuals]])))</f>
        <v>1</v>
      </c>
      <c r="Y173" s="36">
        <f>IF(DaybyDay[[#This Row],[_Space]],IFERROR(
((DaybyDay[[#This Row],[Actual-Rollup]]-DaybyDay[[#This Row],[LY-Rollup]])/DaybyDay[[#This Row],[LY-Rollup]]),0),"")</f>
        <v>0</v>
      </c>
      <c r="Z173"/>
      <c r="AA173" s="37" t="e">
        <f>IF(DaybyDay[[#This Row],[_Space]],DaybyDay[[#This Row],[Ret-Act-RU]]/DaybyDay[[#This Row],[Serv-Act-RU]],"")</f>
        <v>#DIV/0!</v>
      </c>
      <c r="AB173" s="50" t="e">
        <f>IF(DaybyDay[[#This Row],[_Space]],DaybyDay[[#This Row],[RETPEN-Act]]/DaybyDay[[#This Row],[RETPEN-Bud]],"")</f>
        <v>#DIV/0!</v>
      </c>
      <c r="AC173" s="37" t="e">
        <f>IF(DaybyDay[[#This Row],[_Space]],DaybyDay[[#This Row],[Ret-Bud-RU]]/DaybyDay[[#This Row],[Serv-Bud-RU]],"")</f>
        <v>#DIV/0!</v>
      </c>
      <c r="AD173" s="37" t="e">
        <f>IF(DaybyDay[[#This Row],[_Space]],DaybyDay[[#This Row],[Ret-LY-RU]]/DaybyDay[[#This Row],[Serv-LY-RU]],"")</f>
        <v>#DIV/0!</v>
      </c>
      <c r="AE173" s="30">
        <f>WEEKDAY(DaybyDay[[#This Row],[LY-Date]])</f>
        <v>6</v>
      </c>
      <c r="AF173" s="38">
        <f>$E$2+_xlfn.DAYS(DaybyDay[[#This Row],[Date]],minDate)</f>
        <v>42538</v>
      </c>
      <c r="AG173" s="39" t="str" cm="1">
        <f t="array" ref="AG173">IFERROR(INDEX(DaybyDay[],DaybyDay[[#This Row],[FORM_MATCH_HELPER]],8),"")</f>
        <v/>
      </c>
      <c r="AH173" s="39" t="str" cm="1">
        <f t="array" ref="AH173">IFERROR(INDEX(DaybyDay[],DaybyDay[[#This Row],[FORM_MATCH_HELPER]],10),"")</f>
        <v/>
      </c>
      <c r="AI173" s="39" t="str" cm="1">
        <f t="array" ref="AI173">IFERROR(INDEX(DaybyDay[],DaybyDay[[#This Row],[FORM_MATCH_HELPER]],12),"")</f>
        <v/>
      </c>
      <c r="AJ173" s="32">
        <f>IFERROR(DaybyDay[[#This Row],[Serv-LY-RU]]+DaybyDay[[#This Row],[Ret-LY-RU]],"")</f>
        <v>0</v>
      </c>
      <c r="AK1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3" s="77"/>
      <c r="AM173" s="40" t="str">
        <f>IF(DaybyDay[[#This Row],[Admin Hours]]&gt;0,DaybyDay[[#This Row],[Admin Hours]]*$AM$2+$AM$3,"")</f>
        <v/>
      </c>
      <c r="AN173" s="40">
        <f>SUMIFS(DaybyDay[Est-Admin-Payroll],DaybyDay[Date],"&gt;="&amp;$C$5,DaybyDay[RowYear],"&gt;="&amp;$C$4,DaybyDay[Date],"&lt;="&amp;DaybyDay[[#This Row],[Date]])</f>
        <v>0</v>
      </c>
      <c r="AO173" s="41" t="str">
        <f>IF(AND(DaybyDay[[#This Row],[_Space]],ISNUMBER(DaybyDay[[#This Row],[Admin Hours]])),DaybyDay[[#This Row],[Est-Admin-Payroll]]/(DaybyDay[[#This Row],[Service-Actuals]]+DaybyDay[[#This Row],[Retail-Actuals]]),"")</f>
        <v/>
      </c>
      <c r="AP173" s="41" t="e">
        <f>DaybyDay[[#This Row],[Estimated-Payroll-Rollup]]/DaybyDay[[#This Row],[Simple-Forecast]]</f>
        <v>#DIV/0!</v>
      </c>
      <c r="AQ1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3" s="77"/>
      <c r="AS173" s="40" t="str">
        <f>IF(DaybyDay[[#This Row],[Retail Hours]]&gt;0,DaybyDay[[#This Row],[Retail Hours]]*$AS$2,"")</f>
        <v/>
      </c>
      <c r="AT173" s="40">
        <f>SUMIFS(DaybyDay[Est-Retail-Payroll],DaybyDay[Date],"&gt;="&amp;$C$5,DaybyDay[RowYear],"&gt;="&amp;$C$4,DaybyDay[Date],"&lt;="&amp;DaybyDay[[#This Row],[Date]])</f>
        <v>0</v>
      </c>
      <c r="AU173" s="82" t="str">
        <f>IF(AND(DaybyDay[[#This Row],[_Space]],ISNUMBER(DaybyDay[[#This Row],[Retail Hours]])),DaybyDay[[#This Row],[Est-Retail-Payroll]]/(DaybyDay[[#This Row],[Retail-Actuals]]),"")</f>
        <v/>
      </c>
      <c r="AV173" s="82" t="e">
        <f>DaybyDay[[#This Row],[Est-Retail-PayrollRU]]/DaybyDay[[#This Row],[Simple-Forecast-Retail]]</f>
        <v>#DIV/0!</v>
      </c>
      <c r="AW173" s="8"/>
    </row>
    <row r="174" spans="3:49" hidden="1" x14ac:dyDescent="0.25">
      <c r="C174" s="26" t="str">
        <f>Tools!$C$1</f>
        <v>Example</v>
      </c>
      <c r="D174" s="27" t="s">
        <v>73</v>
      </c>
      <c r="E174" s="28">
        <v>2017</v>
      </c>
      <c r="F174" s="28">
        <f>MATCH(DaybyDay[[#This Row],[RowMonth]],Table3[SummaryMonth],0)</f>
        <v>6</v>
      </c>
      <c r="G174" s="29" t="e">
        <f>MATCH(DaybyDay[[#This Row],[LY-Date]],DaybyDay[Date],0)</f>
        <v>#N/A</v>
      </c>
      <c r="H174" s="30">
        <f>WEEKDAY(DaybyDay[[#This Row],[Date]])</f>
        <v>7</v>
      </c>
      <c r="I174" s="31">
        <v>42903</v>
      </c>
      <c r="J174" s="74">
        <v>35</v>
      </c>
      <c r="K174" s="32">
        <f>SUMIFS(BudgetSeasonality[365 Seasonality],BudgetSeasonality[MonthAdjustment],DaybyDay[[#This Row],[Date]])*SUMIFS(Budgets[Service-Budget],Budgets[BudgetMonth],DaybyDay[[#This Row],[RowMonth]],Budgets[BudgetYear],DaybyDay[[#This Row],[RowYear]])</f>
        <v>0</v>
      </c>
      <c r="L174" s="75">
        <v>8207.5</v>
      </c>
      <c r="M174" s="32">
        <f>INDEX(BudgetSeasonality[365 Seasonality],MATCH(DaybyDay[[#This Row],[Date]],BudgetSeasonality[MonthAdjustment],0))*SUMIFS(Budgets[Retail-Budget],Budgets[BudgetMonth],DaybyDay[[#This Row],[RowMonth]],Budgets[BudgetYear],DaybyDay[[#This Row],[RowYear]])</f>
        <v>0</v>
      </c>
      <c r="N174" s="75">
        <v>620</v>
      </c>
      <c r="O174" s="33">
        <f>SUMIFS(DaybyDay[Service-Budgets],DaybyDay[Date],"&gt;="&amp;$C$5,DaybyDay[RowYear],"&gt;="&amp;$C$4,DaybyDay[Date],"&lt;="&amp;DaybyDay[[#This Row],[Date]])</f>
        <v>0</v>
      </c>
      <c r="P174" s="33">
        <f>SUMIFS(DaybyDay[Retail-Budgets],DaybyDay[Date],"&gt;="&amp;$C$5,DaybyDay[RowYear],"&gt;="&amp;$C$4,DaybyDay[Date],"&lt;="&amp;DaybyDay[[#This Row],[Date]])</f>
        <v>0</v>
      </c>
      <c r="Q174" s="34">
        <f>SUMIFS(DaybyDay[Service-Actuals],DaybyDay[Date],"&gt;="&amp;$C$5,DaybyDay[RowYear],"&gt;="&amp;$C$4,DaybyDay[Date],"&lt;="&amp;DaybyDay[[#This Row],[Date]])</f>
        <v>0</v>
      </c>
      <c r="R174" s="34">
        <f>SUMIFS(DaybyDay[Retail-Actuals],DaybyDay[Date],"&gt;="&amp;$C$5,DaybyDay[RowYear],"&gt;="&amp;$C$4,DaybyDay[Date],"&lt;="&amp;DaybyDay[[#This Row],[Date]])</f>
        <v>0</v>
      </c>
      <c r="S174" s="35">
        <f>SUMIFS(DaybyDay[Service-LY],DaybyDay[Date],"&gt;="&amp;$C$5,DaybyDay[RowYear],"&gt;="&amp;$C$4,DaybyDay[Date],"&lt;="&amp;DaybyDay[[#This Row],[Date]])</f>
        <v>0</v>
      </c>
      <c r="T174" s="35">
        <f>SUMIFS(DaybyDay[Retail-LY],DaybyDay[Date],"&gt;="&amp;$C$5,DaybyDay[RowYear],"&gt;="&amp;$C$4,DaybyDay[Date],"&lt;="&amp;DaybyDay[[#This Row],[Date]])</f>
        <v>0</v>
      </c>
      <c r="U174" s="32">
        <f>DaybyDay[[#This Row],[Serv-Bud-RU]]+DaybyDay[[#This Row],[Ret-Bud-RU]]</f>
        <v>0</v>
      </c>
      <c r="V174" s="32">
        <f>DaybyDay[[#This Row],[Serv-Act-RU]]+DaybyDay[[#This Row],[Ret-Act-RU]]</f>
        <v>0</v>
      </c>
      <c r="W174" s="36">
        <f>IF(DaybyDay[[#This Row],[_Space]],IFERROR(
((DaybyDay[[#This Row],[Actual-Rollup]]-DaybyDay[[#This Row],[Budget-Rollup]])/DaybyDay[[#This Row],[Budget-Rollup]]),0),"")</f>
        <v>0</v>
      </c>
      <c r="X174" t="b">
        <f>NOT(AND(ISBLANK(DaybyDay[[#This Row],[Appts]]),ISBLANK(DaybyDay[[#This Row],[Service-Actuals]]),ISBLANK(DaybyDay[[#This Row],[Retail-Actuals]])))</f>
        <v>1</v>
      </c>
      <c r="Y174" s="36">
        <f>IF(DaybyDay[[#This Row],[_Space]],IFERROR(
((DaybyDay[[#This Row],[Actual-Rollup]]-DaybyDay[[#This Row],[LY-Rollup]])/DaybyDay[[#This Row],[LY-Rollup]]),0),"")</f>
        <v>0</v>
      </c>
      <c r="Z174"/>
      <c r="AA174" s="37" t="e">
        <f>IF(DaybyDay[[#This Row],[_Space]],DaybyDay[[#This Row],[Ret-Act-RU]]/DaybyDay[[#This Row],[Serv-Act-RU]],"")</f>
        <v>#DIV/0!</v>
      </c>
      <c r="AB174" s="50" t="e">
        <f>IF(DaybyDay[[#This Row],[_Space]],DaybyDay[[#This Row],[RETPEN-Act]]/DaybyDay[[#This Row],[RETPEN-Bud]],"")</f>
        <v>#DIV/0!</v>
      </c>
      <c r="AC174" s="37" t="e">
        <f>IF(DaybyDay[[#This Row],[_Space]],DaybyDay[[#This Row],[Ret-Bud-RU]]/DaybyDay[[#This Row],[Serv-Bud-RU]],"")</f>
        <v>#DIV/0!</v>
      </c>
      <c r="AD174" s="37" t="e">
        <f>IF(DaybyDay[[#This Row],[_Space]],DaybyDay[[#This Row],[Ret-LY-RU]]/DaybyDay[[#This Row],[Serv-LY-RU]],"")</f>
        <v>#DIV/0!</v>
      </c>
      <c r="AE174" s="30">
        <f>WEEKDAY(DaybyDay[[#This Row],[LY-Date]])</f>
        <v>7</v>
      </c>
      <c r="AF174" s="38">
        <f>$E$2+_xlfn.DAYS(DaybyDay[[#This Row],[Date]],minDate)</f>
        <v>42539</v>
      </c>
      <c r="AG174" s="39" t="str" cm="1">
        <f t="array" ref="AG174">IFERROR(INDEX(DaybyDay[],DaybyDay[[#This Row],[FORM_MATCH_HELPER]],8),"")</f>
        <v/>
      </c>
      <c r="AH174" s="39" t="str" cm="1">
        <f t="array" ref="AH174">IFERROR(INDEX(DaybyDay[],DaybyDay[[#This Row],[FORM_MATCH_HELPER]],10),"")</f>
        <v/>
      </c>
      <c r="AI174" s="39" t="str" cm="1">
        <f t="array" ref="AI174">IFERROR(INDEX(DaybyDay[],DaybyDay[[#This Row],[FORM_MATCH_HELPER]],12),"")</f>
        <v/>
      </c>
      <c r="AJ174" s="32">
        <f>IFERROR(DaybyDay[[#This Row],[Serv-LY-RU]]+DaybyDay[[#This Row],[Ret-LY-RU]],"")</f>
        <v>0</v>
      </c>
      <c r="AK1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4" s="77"/>
      <c r="AM174" s="40" t="str">
        <f>IF(DaybyDay[[#This Row],[Admin Hours]]&gt;0,DaybyDay[[#This Row],[Admin Hours]]*$AM$2+$AM$3,"")</f>
        <v/>
      </c>
      <c r="AN174" s="40">
        <f>SUMIFS(DaybyDay[Est-Admin-Payroll],DaybyDay[Date],"&gt;="&amp;$C$5,DaybyDay[RowYear],"&gt;="&amp;$C$4,DaybyDay[Date],"&lt;="&amp;DaybyDay[[#This Row],[Date]])</f>
        <v>0</v>
      </c>
      <c r="AO174" s="41" t="str">
        <f>IF(AND(DaybyDay[[#This Row],[_Space]],ISNUMBER(DaybyDay[[#This Row],[Admin Hours]])),DaybyDay[[#This Row],[Est-Admin-Payroll]]/(DaybyDay[[#This Row],[Service-Actuals]]+DaybyDay[[#This Row],[Retail-Actuals]]),"")</f>
        <v/>
      </c>
      <c r="AP174" s="41" t="e">
        <f>DaybyDay[[#This Row],[Estimated-Payroll-Rollup]]/DaybyDay[[#This Row],[Simple-Forecast]]</f>
        <v>#DIV/0!</v>
      </c>
      <c r="AQ1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4" s="77"/>
      <c r="AS174" s="40" t="str">
        <f>IF(DaybyDay[[#This Row],[Retail Hours]]&gt;0,DaybyDay[[#This Row],[Retail Hours]]*$AS$2,"")</f>
        <v/>
      </c>
      <c r="AT174" s="40">
        <f>SUMIFS(DaybyDay[Est-Retail-Payroll],DaybyDay[Date],"&gt;="&amp;$C$5,DaybyDay[RowYear],"&gt;="&amp;$C$4,DaybyDay[Date],"&lt;="&amp;DaybyDay[[#This Row],[Date]])</f>
        <v>0</v>
      </c>
      <c r="AU174" s="82" t="str">
        <f>IF(AND(DaybyDay[[#This Row],[_Space]],ISNUMBER(DaybyDay[[#This Row],[Retail Hours]])),DaybyDay[[#This Row],[Est-Retail-Payroll]]/(DaybyDay[[#This Row],[Retail-Actuals]]),"")</f>
        <v/>
      </c>
      <c r="AV174" s="82" t="e">
        <f>DaybyDay[[#This Row],[Est-Retail-PayrollRU]]/DaybyDay[[#This Row],[Simple-Forecast-Retail]]</f>
        <v>#DIV/0!</v>
      </c>
      <c r="AW174" s="8"/>
    </row>
    <row r="175" spans="3:49" hidden="1" x14ac:dyDescent="0.25">
      <c r="C175" s="26" t="str">
        <f>Tools!$C$1</f>
        <v>Example</v>
      </c>
      <c r="D175" s="27" t="s">
        <v>73</v>
      </c>
      <c r="E175" s="28">
        <v>2017</v>
      </c>
      <c r="F175" s="28">
        <f>MATCH(DaybyDay[[#This Row],[RowMonth]],Table3[SummaryMonth],0)</f>
        <v>6</v>
      </c>
      <c r="G175" s="29" t="e">
        <f>MATCH(DaybyDay[[#This Row],[LY-Date]],DaybyDay[Date],0)</f>
        <v>#N/A</v>
      </c>
      <c r="H175" s="30">
        <f>WEEKDAY(DaybyDay[[#This Row],[Date]])</f>
        <v>1</v>
      </c>
      <c r="I175" s="31">
        <v>42904</v>
      </c>
      <c r="J175" s="74">
        <v>32</v>
      </c>
      <c r="K175" s="32">
        <f>SUMIFS(BudgetSeasonality[365 Seasonality],BudgetSeasonality[MonthAdjustment],DaybyDay[[#This Row],[Date]])*SUMIFS(Budgets[Service-Budget],Budgets[BudgetMonth],DaybyDay[[#This Row],[RowMonth]],Budgets[BudgetYear],DaybyDay[[#This Row],[RowYear]])</f>
        <v>0</v>
      </c>
      <c r="L175" s="75">
        <v>6048.1</v>
      </c>
      <c r="M175" s="32">
        <f>INDEX(BudgetSeasonality[365 Seasonality],MATCH(DaybyDay[[#This Row],[Date]],BudgetSeasonality[MonthAdjustment],0))*SUMIFS(Budgets[Retail-Budget],Budgets[BudgetMonth],DaybyDay[[#This Row],[RowMonth]],Budgets[BudgetYear],DaybyDay[[#This Row],[RowYear]])</f>
        <v>0</v>
      </c>
      <c r="N175" s="75">
        <v>99</v>
      </c>
      <c r="O175" s="33">
        <f>SUMIFS(DaybyDay[Service-Budgets],DaybyDay[Date],"&gt;="&amp;$C$5,DaybyDay[RowYear],"&gt;="&amp;$C$4,DaybyDay[Date],"&lt;="&amp;DaybyDay[[#This Row],[Date]])</f>
        <v>0</v>
      </c>
      <c r="P175" s="33">
        <f>SUMIFS(DaybyDay[Retail-Budgets],DaybyDay[Date],"&gt;="&amp;$C$5,DaybyDay[RowYear],"&gt;="&amp;$C$4,DaybyDay[Date],"&lt;="&amp;DaybyDay[[#This Row],[Date]])</f>
        <v>0</v>
      </c>
      <c r="Q175" s="34">
        <f>SUMIFS(DaybyDay[Service-Actuals],DaybyDay[Date],"&gt;="&amp;$C$5,DaybyDay[RowYear],"&gt;="&amp;$C$4,DaybyDay[Date],"&lt;="&amp;DaybyDay[[#This Row],[Date]])</f>
        <v>0</v>
      </c>
      <c r="R175" s="34">
        <f>SUMIFS(DaybyDay[Retail-Actuals],DaybyDay[Date],"&gt;="&amp;$C$5,DaybyDay[RowYear],"&gt;="&amp;$C$4,DaybyDay[Date],"&lt;="&amp;DaybyDay[[#This Row],[Date]])</f>
        <v>0</v>
      </c>
      <c r="S175" s="35">
        <f>SUMIFS(DaybyDay[Service-LY],DaybyDay[Date],"&gt;="&amp;$C$5,DaybyDay[RowYear],"&gt;="&amp;$C$4,DaybyDay[Date],"&lt;="&amp;DaybyDay[[#This Row],[Date]])</f>
        <v>0</v>
      </c>
      <c r="T175" s="35">
        <f>SUMIFS(DaybyDay[Retail-LY],DaybyDay[Date],"&gt;="&amp;$C$5,DaybyDay[RowYear],"&gt;="&amp;$C$4,DaybyDay[Date],"&lt;="&amp;DaybyDay[[#This Row],[Date]])</f>
        <v>0</v>
      </c>
      <c r="U175" s="32">
        <f>DaybyDay[[#This Row],[Serv-Bud-RU]]+DaybyDay[[#This Row],[Ret-Bud-RU]]</f>
        <v>0</v>
      </c>
      <c r="V175" s="32">
        <f>DaybyDay[[#This Row],[Serv-Act-RU]]+DaybyDay[[#This Row],[Ret-Act-RU]]</f>
        <v>0</v>
      </c>
      <c r="W175" s="36">
        <f>IF(DaybyDay[[#This Row],[_Space]],IFERROR(
((DaybyDay[[#This Row],[Actual-Rollup]]-DaybyDay[[#This Row],[Budget-Rollup]])/DaybyDay[[#This Row],[Budget-Rollup]]),0),"")</f>
        <v>0</v>
      </c>
      <c r="X175" t="b">
        <f>NOT(AND(ISBLANK(DaybyDay[[#This Row],[Appts]]),ISBLANK(DaybyDay[[#This Row],[Service-Actuals]]),ISBLANK(DaybyDay[[#This Row],[Retail-Actuals]])))</f>
        <v>1</v>
      </c>
      <c r="Y175" s="36">
        <f>IF(DaybyDay[[#This Row],[_Space]],IFERROR(
((DaybyDay[[#This Row],[Actual-Rollup]]-DaybyDay[[#This Row],[LY-Rollup]])/DaybyDay[[#This Row],[LY-Rollup]]),0),"")</f>
        <v>0</v>
      </c>
      <c r="Z175"/>
      <c r="AA175" s="37" t="e">
        <f>IF(DaybyDay[[#This Row],[_Space]],DaybyDay[[#This Row],[Ret-Act-RU]]/DaybyDay[[#This Row],[Serv-Act-RU]],"")</f>
        <v>#DIV/0!</v>
      </c>
      <c r="AB175" s="50" t="e">
        <f>IF(DaybyDay[[#This Row],[_Space]],DaybyDay[[#This Row],[RETPEN-Act]]/DaybyDay[[#This Row],[RETPEN-Bud]],"")</f>
        <v>#DIV/0!</v>
      </c>
      <c r="AC175" s="37" t="e">
        <f>IF(DaybyDay[[#This Row],[_Space]],DaybyDay[[#This Row],[Ret-Bud-RU]]/DaybyDay[[#This Row],[Serv-Bud-RU]],"")</f>
        <v>#DIV/0!</v>
      </c>
      <c r="AD175" s="37" t="e">
        <f>IF(DaybyDay[[#This Row],[_Space]],DaybyDay[[#This Row],[Ret-LY-RU]]/DaybyDay[[#This Row],[Serv-LY-RU]],"")</f>
        <v>#DIV/0!</v>
      </c>
      <c r="AE175" s="30">
        <f>WEEKDAY(DaybyDay[[#This Row],[LY-Date]])</f>
        <v>1</v>
      </c>
      <c r="AF175" s="38">
        <f>$E$2+_xlfn.DAYS(DaybyDay[[#This Row],[Date]],minDate)</f>
        <v>42540</v>
      </c>
      <c r="AG175" s="39" t="str" cm="1">
        <f t="array" ref="AG175">IFERROR(INDEX(DaybyDay[],DaybyDay[[#This Row],[FORM_MATCH_HELPER]],8),"")</f>
        <v/>
      </c>
      <c r="AH175" s="39" t="str" cm="1">
        <f t="array" ref="AH175">IFERROR(INDEX(DaybyDay[],DaybyDay[[#This Row],[FORM_MATCH_HELPER]],10),"")</f>
        <v/>
      </c>
      <c r="AI175" s="39" t="str" cm="1">
        <f t="array" ref="AI175">IFERROR(INDEX(DaybyDay[],DaybyDay[[#This Row],[FORM_MATCH_HELPER]],12),"")</f>
        <v/>
      </c>
      <c r="AJ175" s="32">
        <f>IFERROR(DaybyDay[[#This Row],[Serv-LY-RU]]+DaybyDay[[#This Row],[Ret-LY-RU]],"")</f>
        <v>0</v>
      </c>
      <c r="AK1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5" s="77"/>
      <c r="AM175" s="40" t="str">
        <f>IF(DaybyDay[[#This Row],[Admin Hours]]&gt;0,DaybyDay[[#This Row],[Admin Hours]]*$AM$2+$AM$3,"")</f>
        <v/>
      </c>
      <c r="AN175" s="40">
        <f>SUMIFS(DaybyDay[Est-Admin-Payroll],DaybyDay[Date],"&gt;="&amp;$C$5,DaybyDay[RowYear],"&gt;="&amp;$C$4,DaybyDay[Date],"&lt;="&amp;DaybyDay[[#This Row],[Date]])</f>
        <v>0</v>
      </c>
      <c r="AO175" s="41" t="str">
        <f>IF(AND(DaybyDay[[#This Row],[_Space]],ISNUMBER(DaybyDay[[#This Row],[Admin Hours]])),DaybyDay[[#This Row],[Est-Admin-Payroll]]/(DaybyDay[[#This Row],[Service-Actuals]]+DaybyDay[[#This Row],[Retail-Actuals]]),"")</f>
        <v/>
      </c>
      <c r="AP175" s="41" t="e">
        <f>DaybyDay[[#This Row],[Estimated-Payroll-Rollup]]/DaybyDay[[#This Row],[Simple-Forecast]]</f>
        <v>#DIV/0!</v>
      </c>
      <c r="AQ1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5" s="77"/>
      <c r="AS175" s="40" t="str">
        <f>IF(DaybyDay[[#This Row],[Retail Hours]]&gt;0,DaybyDay[[#This Row],[Retail Hours]]*$AS$2,"")</f>
        <v/>
      </c>
      <c r="AT175" s="40">
        <f>SUMIFS(DaybyDay[Est-Retail-Payroll],DaybyDay[Date],"&gt;="&amp;$C$5,DaybyDay[RowYear],"&gt;="&amp;$C$4,DaybyDay[Date],"&lt;="&amp;DaybyDay[[#This Row],[Date]])</f>
        <v>0</v>
      </c>
      <c r="AU175" s="82" t="str">
        <f>IF(AND(DaybyDay[[#This Row],[_Space]],ISNUMBER(DaybyDay[[#This Row],[Retail Hours]])),DaybyDay[[#This Row],[Est-Retail-Payroll]]/(DaybyDay[[#This Row],[Retail-Actuals]]),"")</f>
        <v/>
      </c>
      <c r="AV175" s="82" t="e">
        <f>DaybyDay[[#This Row],[Est-Retail-PayrollRU]]/DaybyDay[[#This Row],[Simple-Forecast-Retail]]</f>
        <v>#DIV/0!</v>
      </c>
      <c r="AW175" s="8"/>
    </row>
    <row r="176" spans="3:49" hidden="1" x14ac:dyDescent="0.25">
      <c r="C176" s="26" t="str">
        <f>Tools!$C$1</f>
        <v>Example</v>
      </c>
      <c r="D176" s="27" t="s">
        <v>73</v>
      </c>
      <c r="E176" s="28">
        <v>2017</v>
      </c>
      <c r="F176" s="28">
        <f>MATCH(DaybyDay[[#This Row],[RowMonth]],Table3[SummaryMonth],0)</f>
        <v>6</v>
      </c>
      <c r="G176" s="29" t="e">
        <f>MATCH(DaybyDay[[#This Row],[LY-Date]],DaybyDay[Date],0)</f>
        <v>#N/A</v>
      </c>
      <c r="H176" s="30">
        <f>WEEKDAY(DaybyDay[[#This Row],[Date]])</f>
        <v>2</v>
      </c>
      <c r="I176" s="31">
        <v>42905</v>
      </c>
      <c r="J176" s="74">
        <v>16</v>
      </c>
      <c r="K176" s="32">
        <f>SUMIFS(BudgetSeasonality[365 Seasonality],BudgetSeasonality[MonthAdjustment],DaybyDay[[#This Row],[Date]])*SUMIFS(Budgets[Service-Budget],Budgets[BudgetMonth],DaybyDay[[#This Row],[RowMonth]],Budgets[BudgetYear],DaybyDay[[#This Row],[RowYear]])</f>
        <v>0</v>
      </c>
      <c r="L176" s="75">
        <v>3946.6</v>
      </c>
      <c r="M176" s="32">
        <f>INDEX(BudgetSeasonality[365 Seasonality],MATCH(DaybyDay[[#This Row],[Date]],BudgetSeasonality[MonthAdjustment],0))*SUMIFS(Budgets[Retail-Budget],Budgets[BudgetMonth],DaybyDay[[#This Row],[RowMonth]],Budgets[BudgetYear],DaybyDay[[#This Row],[RowYear]])</f>
        <v>0</v>
      </c>
      <c r="N176" s="75">
        <v>1205</v>
      </c>
      <c r="O176" s="33">
        <f>SUMIFS(DaybyDay[Service-Budgets],DaybyDay[Date],"&gt;="&amp;$C$5,DaybyDay[RowYear],"&gt;="&amp;$C$4,DaybyDay[Date],"&lt;="&amp;DaybyDay[[#This Row],[Date]])</f>
        <v>0</v>
      </c>
      <c r="P176" s="33">
        <f>SUMIFS(DaybyDay[Retail-Budgets],DaybyDay[Date],"&gt;="&amp;$C$5,DaybyDay[RowYear],"&gt;="&amp;$C$4,DaybyDay[Date],"&lt;="&amp;DaybyDay[[#This Row],[Date]])</f>
        <v>0</v>
      </c>
      <c r="Q176" s="34">
        <f>SUMIFS(DaybyDay[Service-Actuals],DaybyDay[Date],"&gt;="&amp;$C$5,DaybyDay[RowYear],"&gt;="&amp;$C$4,DaybyDay[Date],"&lt;="&amp;DaybyDay[[#This Row],[Date]])</f>
        <v>0</v>
      </c>
      <c r="R176" s="34">
        <f>SUMIFS(DaybyDay[Retail-Actuals],DaybyDay[Date],"&gt;="&amp;$C$5,DaybyDay[RowYear],"&gt;="&amp;$C$4,DaybyDay[Date],"&lt;="&amp;DaybyDay[[#This Row],[Date]])</f>
        <v>0</v>
      </c>
      <c r="S176" s="35">
        <f>SUMIFS(DaybyDay[Service-LY],DaybyDay[Date],"&gt;="&amp;$C$5,DaybyDay[RowYear],"&gt;="&amp;$C$4,DaybyDay[Date],"&lt;="&amp;DaybyDay[[#This Row],[Date]])</f>
        <v>0</v>
      </c>
      <c r="T176" s="35">
        <f>SUMIFS(DaybyDay[Retail-LY],DaybyDay[Date],"&gt;="&amp;$C$5,DaybyDay[RowYear],"&gt;="&amp;$C$4,DaybyDay[Date],"&lt;="&amp;DaybyDay[[#This Row],[Date]])</f>
        <v>0</v>
      </c>
      <c r="U176" s="32">
        <f>DaybyDay[[#This Row],[Serv-Bud-RU]]+DaybyDay[[#This Row],[Ret-Bud-RU]]</f>
        <v>0</v>
      </c>
      <c r="V176" s="32">
        <f>DaybyDay[[#This Row],[Serv-Act-RU]]+DaybyDay[[#This Row],[Ret-Act-RU]]</f>
        <v>0</v>
      </c>
      <c r="W176" s="36">
        <f>IF(DaybyDay[[#This Row],[_Space]],IFERROR(
((DaybyDay[[#This Row],[Actual-Rollup]]-DaybyDay[[#This Row],[Budget-Rollup]])/DaybyDay[[#This Row],[Budget-Rollup]]),0),"")</f>
        <v>0</v>
      </c>
      <c r="X176" t="b">
        <f>NOT(AND(ISBLANK(DaybyDay[[#This Row],[Appts]]),ISBLANK(DaybyDay[[#This Row],[Service-Actuals]]),ISBLANK(DaybyDay[[#This Row],[Retail-Actuals]])))</f>
        <v>1</v>
      </c>
      <c r="Y176" s="36">
        <f>IF(DaybyDay[[#This Row],[_Space]],IFERROR(
((DaybyDay[[#This Row],[Actual-Rollup]]-DaybyDay[[#This Row],[LY-Rollup]])/DaybyDay[[#This Row],[LY-Rollup]]),0),"")</f>
        <v>0</v>
      </c>
      <c r="Z176"/>
      <c r="AA176" s="37" t="e">
        <f>IF(DaybyDay[[#This Row],[_Space]],DaybyDay[[#This Row],[Ret-Act-RU]]/DaybyDay[[#This Row],[Serv-Act-RU]],"")</f>
        <v>#DIV/0!</v>
      </c>
      <c r="AB176" s="50" t="e">
        <f>IF(DaybyDay[[#This Row],[_Space]],DaybyDay[[#This Row],[RETPEN-Act]]/DaybyDay[[#This Row],[RETPEN-Bud]],"")</f>
        <v>#DIV/0!</v>
      </c>
      <c r="AC176" s="37" t="e">
        <f>IF(DaybyDay[[#This Row],[_Space]],DaybyDay[[#This Row],[Ret-Bud-RU]]/DaybyDay[[#This Row],[Serv-Bud-RU]],"")</f>
        <v>#DIV/0!</v>
      </c>
      <c r="AD176" s="37" t="e">
        <f>IF(DaybyDay[[#This Row],[_Space]],DaybyDay[[#This Row],[Ret-LY-RU]]/DaybyDay[[#This Row],[Serv-LY-RU]],"")</f>
        <v>#DIV/0!</v>
      </c>
      <c r="AE176" s="30">
        <f>WEEKDAY(DaybyDay[[#This Row],[LY-Date]])</f>
        <v>2</v>
      </c>
      <c r="AF176" s="38">
        <f>$E$2+_xlfn.DAYS(DaybyDay[[#This Row],[Date]],minDate)</f>
        <v>42541</v>
      </c>
      <c r="AG176" s="39" t="str" cm="1">
        <f t="array" ref="AG176">IFERROR(INDEX(DaybyDay[],DaybyDay[[#This Row],[FORM_MATCH_HELPER]],8),"")</f>
        <v/>
      </c>
      <c r="AH176" s="39" t="str" cm="1">
        <f t="array" ref="AH176">IFERROR(INDEX(DaybyDay[],DaybyDay[[#This Row],[FORM_MATCH_HELPER]],10),"")</f>
        <v/>
      </c>
      <c r="AI176" s="39" t="str" cm="1">
        <f t="array" ref="AI176">IFERROR(INDEX(DaybyDay[],DaybyDay[[#This Row],[FORM_MATCH_HELPER]],12),"")</f>
        <v/>
      </c>
      <c r="AJ176" s="32">
        <f>IFERROR(DaybyDay[[#This Row],[Serv-LY-RU]]+DaybyDay[[#This Row],[Ret-LY-RU]],"")</f>
        <v>0</v>
      </c>
      <c r="AK1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6" s="77"/>
      <c r="AM176" s="40" t="str">
        <f>IF(DaybyDay[[#This Row],[Admin Hours]]&gt;0,DaybyDay[[#This Row],[Admin Hours]]*$AM$2+$AM$3,"")</f>
        <v/>
      </c>
      <c r="AN176" s="40">
        <f>SUMIFS(DaybyDay[Est-Admin-Payroll],DaybyDay[Date],"&gt;="&amp;$C$5,DaybyDay[RowYear],"&gt;="&amp;$C$4,DaybyDay[Date],"&lt;="&amp;DaybyDay[[#This Row],[Date]])</f>
        <v>0</v>
      </c>
      <c r="AO176" s="41" t="str">
        <f>IF(AND(DaybyDay[[#This Row],[_Space]],ISNUMBER(DaybyDay[[#This Row],[Admin Hours]])),DaybyDay[[#This Row],[Est-Admin-Payroll]]/(DaybyDay[[#This Row],[Service-Actuals]]+DaybyDay[[#This Row],[Retail-Actuals]]),"")</f>
        <v/>
      </c>
      <c r="AP176" s="41" t="e">
        <f>DaybyDay[[#This Row],[Estimated-Payroll-Rollup]]/DaybyDay[[#This Row],[Simple-Forecast]]</f>
        <v>#DIV/0!</v>
      </c>
      <c r="AQ1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6" s="77"/>
      <c r="AS176" s="40" t="str">
        <f>IF(DaybyDay[[#This Row],[Retail Hours]]&gt;0,DaybyDay[[#This Row],[Retail Hours]]*$AS$2,"")</f>
        <v/>
      </c>
      <c r="AT176" s="40">
        <f>SUMIFS(DaybyDay[Est-Retail-Payroll],DaybyDay[Date],"&gt;="&amp;$C$5,DaybyDay[RowYear],"&gt;="&amp;$C$4,DaybyDay[Date],"&lt;="&amp;DaybyDay[[#This Row],[Date]])</f>
        <v>0</v>
      </c>
      <c r="AU176" s="82" t="str">
        <f>IF(AND(DaybyDay[[#This Row],[_Space]],ISNUMBER(DaybyDay[[#This Row],[Retail Hours]])),DaybyDay[[#This Row],[Est-Retail-Payroll]]/(DaybyDay[[#This Row],[Retail-Actuals]]),"")</f>
        <v/>
      </c>
      <c r="AV176" s="82" t="e">
        <f>DaybyDay[[#This Row],[Est-Retail-PayrollRU]]/DaybyDay[[#This Row],[Simple-Forecast-Retail]]</f>
        <v>#DIV/0!</v>
      </c>
      <c r="AW176" s="8"/>
    </row>
    <row r="177" spans="3:49" hidden="1" x14ac:dyDescent="0.25">
      <c r="C177" s="26" t="str">
        <f>Tools!$C$1</f>
        <v>Example</v>
      </c>
      <c r="D177" s="27" t="s">
        <v>73</v>
      </c>
      <c r="E177" s="28">
        <v>2017</v>
      </c>
      <c r="F177" s="28">
        <f>MATCH(DaybyDay[[#This Row],[RowMonth]],Table3[SummaryMonth],0)</f>
        <v>6</v>
      </c>
      <c r="G177" s="29" t="e">
        <f>MATCH(DaybyDay[[#This Row],[LY-Date]],DaybyDay[Date],0)</f>
        <v>#N/A</v>
      </c>
      <c r="H177" s="30">
        <f>WEEKDAY(DaybyDay[[#This Row],[Date]])</f>
        <v>3</v>
      </c>
      <c r="I177" s="31">
        <v>42906</v>
      </c>
      <c r="J177" s="74">
        <v>18</v>
      </c>
      <c r="K177" s="32">
        <f>SUMIFS(BudgetSeasonality[365 Seasonality],BudgetSeasonality[MonthAdjustment],DaybyDay[[#This Row],[Date]])*SUMIFS(Budgets[Service-Budget],Budgets[BudgetMonth],DaybyDay[[#This Row],[RowMonth]],Budgets[BudgetYear],DaybyDay[[#This Row],[RowYear]])</f>
        <v>0</v>
      </c>
      <c r="L177" s="75">
        <v>3214.2</v>
      </c>
      <c r="M177" s="32">
        <f>INDEX(BudgetSeasonality[365 Seasonality],MATCH(DaybyDay[[#This Row],[Date]],BudgetSeasonality[MonthAdjustment],0))*SUMIFS(Budgets[Retail-Budget],Budgets[BudgetMonth],DaybyDay[[#This Row],[RowMonth]],Budgets[BudgetYear],DaybyDay[[#This Row],[RowYear]])</f>
        <v>0</v>
      </c>
      <c r="N177" s="75">
        <v>2185</v>
      </c>
      <c r="O177" s="33">
        <f>SUMIFS(DaybyDay[Service-Budgets],DaybyDay[Date],"&gt;="&amp;$C$5,DaybyDay[RowYear],"&gt;="&amp;$C$4,DaybyDay[Date],"&lt;="&amp;DaybyDay[[#This Row],[Date]])</f>
        <v>0</v>
      </c>
      <c r="P177" s="33">
        <f>SUMIFS(DaybyDay[Retail-Budgets],DaybyDay[Date],"&gt;="&amp;$C$5,DaybyDay[RowYear],"&gt;="&amp;$C$4,DaybyDay[Date],"&lt;="&amp;DaybyDay[[#This Row],[Date]])</f>
        <v>0</v>
      </c>
      <c r="Q177" s="34">
        <f>SUMIFS(DaybyDay[Service-Actuals],DaybyDay[Date],"&gt;="&amp;$C$5,DaybyDay[RowYear],"&gt;="&amp;$C$4,DaybyDay[Date],"&lt;="&amp;DaybyDay[[#This Row],[Date]])</f>
        <v>0</v>
      </c>
      <c r="R177" s="34">
        <f>SUMIFS(DaybyDay[Retail-Actuals],DaybyDay[Date],"&gt;="&amp;$C$5,DaybyDay[RowYear],"&gt;="&amp;$C$4,DaybyDay[Date],"&lt;="&amp;DaybyDay[[#This Row],[Date]])</f>
        <v>0</v>
      </c>
      <c r="S177" s="35">
        <f>SUMIFS(DaybyDay[Service-LY],DaybyDay[Date],"&gt;="&amp;$C$5,DaybyDay[RowYear],"&gt;="&amp;$C$4,DaybyDay[Date],"&lt;="&amp;DaybyDay[[#This Row],[Date]])</f>
        <v>0</v>
      </c>
      <c r="T177" s="35">
        <f>SUMIFS(DaybyDay[Retail-LY],DaybyDay[Date],"&gt;="&amp;$C$5,DaybyDay[RowYear],"&gt;="&amp;$C$4,DaybyDay[Date],"&lt;="&amp;DaybyDay[[#This Row],[Date]])</f>
        <v>0</v>
      </c>
      <c r="U177" s="32">
        <f>DaybyDay[[#This Row],[Serv-Bud-RU]]+DaybyDay[[#This Row],[Ret-Bud-RU]]</f>
        <v>0</v>
      </c>
      <c r="V177" s="32">
        <f>DaybyDay[[#This Row],[Serv-Act-RU]]+DaybyDay[[#This Row],[Ret-Act-RU]]</f>
        <v>0</v>
      </c>
      <c r="W177" s="36">
        <f>IF(DaybyDay[[#This Row],[_Space]],IFERROR(
((DaybyDay[[#This Row],[Actual-Rollup]]-DaybyDay[[#This Row],[Budget-Rollup]])/DaybyDay[[#This Row],[Budget-Rollup]]),0),"")</f>
        <v>0</v>
      </c>
      <c r="X177" t="b">
        <f>NOT(AND(ISBLANK(DaybyDay[[#This Row],[Appts]]),ISBLANK(DaybyDay[[#This Row],[Service-Actuals]]),ISBLANK(DaybyDay[[#This Row],[Retail-Actuals]])))</f>
        <v>1</v>
      </c>
      <c r="Y177" s="36">
        <f>IF(DaybyDay[[#This Row],[_Space]],IFERROR(
((DaybyDay[[#This Row],[Actual-Rollup]]-DaybyDay[[#This Row],[LY-Rollup]])/DaybyDay[[#This Row],[LY-Rollup]]),0),"")</f>
        <v>0</v>
      </c>
      <c r="Z177"/>
      <c r="AA177" s="37" t="e">
        <f>IF(DaybyDay[[#This Row],[_Space]],DaybyDay[[#This Row],[Ret-Act-RU]]/DaybyDay[[#This Row],[Serv-Act-RU]],"")</f>
        <v>#DIV/0!</v>
      </c>
      <c r="AB177" s="50" t="e">
        <f>IF(DaybyDay[[#This Row],[_Space]],DaybyDay[[#This Row],[RETPEN-Act]]/DaybyDay[[#This Row],[RETPEN-Bud]],"")</f>
        <v>#DIV/0!</v>
      </c>
      <c r="AC177" s="37" t="e">
        <f>IF(DaybyDay[[#This Row],[_Space]],DaybyDay[[#This Row],[Ret-Bud-RU]]/DaybyDay[[#This Row],[Serv-Bud-RU]],"")</f>
        <v>#DIV/0!</v>
      </c>
      <c r="AD177" s="37" t="e">
        <f>IF(DaybyDay[[#This Row],[_Space]],DaybyDay[[#This Row],[Ret-LY-RU]]/DaybyDay[[#This Row],[Serv-LY-RU]],"")</f>
        <v>#DIV/0!</v>
      </c>
      <c r="AE177" s="30">
        <f>WEEKDAY(DaybyDay[[#This Row],[LY-Date]])</f>
        <v>3</v>
      </c>
      <c r="AF177" s="38">
        <f>$E$2+_xlfn.DAYS(DaybyDay[[#This Row],[Date]],minDate)</f>
        <v>42542</v>
      </c>
      <c r="AG177" s="39" t="str" cm="1">
        <f t="array" ref="AG177">IFERROR(INDEX(DaybyDay[],DaybyDay[[#This Row],[FORM_MATCH_HELPER]],8),"")</f>
        <v/>
      </c>
      <c r="AH177" s="39" t="str" cm="1">
        <f t="array" ref="AH177">IFERROR(INDEX(DaybyDay[],DaybyDay[[#This Row],[FORM_MATCH_HELPER]],10),"")</f>
        <v/>
      </c>
      <c r="AI177" s="39" t="str" cm="1">
        <f t="array" ref="AI177">IFERROR(INDEX(DaybyDay[],DaybyDay[[#This Row],[FORM_MATCH_HELPER]],12),"")</f>
        <v/>
      </c>
      <c r="AJ177" s="32">
        <f>IFERROR(DaybyDay[[#This Row],[Serv-LY-RU]]+DaybyDay[[#This Row],[Ret-LY-RU]],"")</f>
        <v>0</v>
      </c>
      <c r="AK1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7" s="77"/>
      <c r="AM177" s="40" t="str">
        <f>IF(DaybyDay[[#This Row],[Admin Hours]]&gt;0,DaybyDay[[#This Row],[Admin Hours]]*$AM$2+$AM$3,"")</f>
        <v/>
      </c>
      <c r="AN177" s="40">
        <f>SUMIFS(DaybyDay[Est-Admin-Payroll],DaybyDay[Date],"&gt;="&amp;$C$5,DaybyDay[RowYear],"&gt;="&amp;$C$4,DaybyDay[Date],"&lt;="&amp;DaybyDay[[#This Row],[Date]])</f>
        <v>0</v>
      </c>
      <c r="AO177" s="41" t="str">
        <f>IF(AND(DaybyDay[[#This Row],[_Space]],ISNUMBER(DaybyDay[[#This Row],[Admin Hours]])),DaybyDay[[#This Row],[Est-Admin-Payroll]]/(DaybyDay[[#This Row],[Service-Actuals]]+DaybyDay[[#This Row],[Retail-Actuals]]),"")</f>
        <v/>
      </c>
      <c r="AP177" s="41" t="e">
        <f>DaybyDay[[#This Row],[Estimated-Payroll-Rollup]]/DaybyDay[[#This Row],[Simple-Forecast]]</f>
        <v>#DIV/0!</v>
      </c>
      <c r="AQ1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7" s="77"/>
      <c r="AS177" s="40" t="str">
        <f>IF(DaybyDay[[#This Row],[Retail Hours]]&gt;0,DaybyDay[[#This Row],[Retail Hours]]*$AS$2,"")</f>
        <v/>
      </c>
      <c r="AT177" s="40">
        <f>SUMIFS(DaybyDay[Est-Retail-Payroll],DaybyDay[Date],"&gt;="&amp;$C$5,DaybyDay[RowYear],"&gt;="&amp;$C$4,DaybyDay[Date],"&lt;="&amp;DaybyDay[[#This Row],[Date]])</f>
        <v>0</v>
      </c>
      <c r="AU177" s="82" t="str">
        <f>IF(AND(DaybyDay[[#This Row],[_Space]],ISNUMBER(DaybyDay[[#This Row],[Retail Hours]])),DaybyDay[[#This Row],[Est-Retail-Payroll]]/(DaybyDay[[#This Row],[Retail-Actuals]]),"")</f>
        <v/>
      </c>
      <c r="AV177" s="82" t="e">
        <f>DaybyDay[[#This Row],[Est-Retail-PayrollRU]]/DaybyDay[[#This Row],[Simple-Forecast-Retail]]</f>
        <v>#DIV/0!</v>
      </c>
      <c r="AW177" s="8"/>
    </row>
    <row r="178" spans="3:49" hidden="1" x14ac:dyDescent="0.25">
      <c r="C178" s="26" t="str">
        <f>Tools!$C$1</f>
        <v>Example</v>
      </c>
      <c r="D178" s="27" t="s">
        <v>73</v>
      </c>
      <c r="E178" s="28">
        <v>2017</v>
      </c>
      <c r="F178" s="28">
        <f>MATCH(DaybyDay[[#This Row],[RowMonth]],Table3[SummaryMonth],0)</f>
        <v>6</v>
      </c>
      <c r="G178" s="29" t="e">
        <f>MATCH(DaybyDay[[#This Row],[LY-Date]],DaybyDay[Date],0)</f>
        <v>#N/A</v>
      </c>
      <c r="H178" s="30">
        <f>WEEKDAY(DaybyDay[[#This Row],[Date]])</f>
        <v>4</v>
      </c>
      <c r="I178" s="31">
        <v>42907</v>
      </c>
      <c r="J178" s="74">
        <v>14</v>
      </c>
      <c r="K178" s="32">
        <f>SUMIFS(BudgetSeasonality[365 Seasonality],BudgetSeasonality[MonthAdjustment],DaybyDay[[#This Row],[Date]])*SUMIFS(Budgets[Service-Budget],Budgets[BudgetMonth],DaybyDay[[#This Row],[RowMonth]],Budgets[BudgetYear],DaybyDay[[#This Row],[RowYear]])</f>
        <v>0</v>
      </c>
      <c r="L178" s="75">
        <v>2670.4</v>
      </c>
      <c r="M178" s="32">
        <f>INDEX(BudgetSeasonality[365 Seasonality],MATCH(DaybyDay[[#This Row],[Date]],BudgetSeasonality[MonthAdjustment],0))*SUMIFS(Budgets[Retail-Budget],Budgets[BudgetMonth],DaybyDay[[#This Row],[RowMonth]],Budgets[BudgetYear],DaybyDay[[#This Row],[RowYear]])</f>
        <v>0</v>
      </c>
      <c r="N178" s="75">
        <v>1643</v>
      </c>
      <c r="O178" s="33">
        <f>SUMIFS(DaybyDay[Service-Budgets],DaybyDay[Date],"&gt;="&amp;$C$5,DaybyDay[RowYear],"&gt;="&amp;$C$4,DaybyDay[Date],"&lt;="&amp;DaybyDay[[#This Row],[Date]])</f>
        <v>0</v>
      </c>
      <c r="P178" s="33">
        <f>SUMIFS(DaybyDay[Retail-Budgets],DaybyDay[Date],"&gt;="&amp;$C$5,DaybyDay[RowYear],"&gt;="&amp;$C$4,DaybyDay[Date],"&lt;="&amp;DaybyDay[[#This Row],[Date]])</f>
        <v>0</v>
      </c>
      <c r="Q178" s="34">
        <f>SUMIFS(DaybyDay[Service-Actuals],DaybyDay[Date],"&gt;="&amp;$C$5,DaybyDay[RowYear],"&gt;="&amp;$C$4,DaybyDay[Date],"&lt;="&amp;DaybyDay[[#This Row],[Date]])</f>
        <v>0</v>
      </c>
      <c r="R178" s="34">
        <f>SUMIFS(DaybyDay[Retail-Actuals],DaybyDay[Date],"&gt;="&amp;$C$5,DaybyDay[RowYear],"&gt;="&amp;$C$4,DaybyDay[Date],"&lt;="&amp;DaybyDay[[#This Row],[Date]])</f>
        <v>0</v>
      </c>
      <c r="S178" s="35">
        <f>SUMIFS(DaybyDay[Service-LY],DaybyDay[Date],"&gt;="&amp;$C$5,DaybyDay[RowYear],"&gt;="&amp;$C$4,DaybyDay[Date],"&lt;="&amp;DaybyDay[[#This Row],[Date]])</f>
        <v>0</v>
      </c>
      <c r="T178" s="35">
        <f>SUMIFS(DaybyDay[Retail-LY],DaybyDay[Date],"&gt;="&amp;$C$5,DaybyDay[RowYear],"&gt;="&amp;$C$4,DaybyDay[Date],"&lt;="&amp;DaybyDay[[#This Row],[Date]])</f>
        <v>0</v>
      </c>
      <c r="U178" s="32">
        <f>DaybyDay[[#This Row],[Serv-Bud-RU]]+DaybyDay[[#This Row],[Ret-Bud-RU]]</f>
        <v>0</v>
      </c>
      <c r="V178" s="32">
        <f>DaybyDay[[#This Row],[Serv-Act-RU]]+DaybyDay[[#This Row],[Ret-Act-RU]]</f>
        <v>0</v>
      </c>
      <c r="W178" s="36">
        <f>IF(DaybyDay[[#This Row],[_Space]],IFERROR(
((DaybyDay[[#This Row],[Actual-Rollup]]-DaybyDay[[#This Row],[Budget-Rollup]])/DaybyDay[[#This Row],[Budget-Rollup]]),0),"")</f>
        <v>0</v>
      </c>
      <c r="X178" t="b">
        <f>NOT(AND(ISBLANK(DaybyDay[[#This Row],[Appts]]),ISBLANK(DaybyDay[[#This Row],[Service-Actuals]]),ISBLANK(DaybyDay[[#This Row],[Retail-Actuals]])))</f>
        <v>1</v>
      </c>
      <c r="Y178" s="36">
        <f>IF(DaybyDay[[#This Row],[_Space]],IFERROR(
((DaybyDay[[#This Row],[Actual-Rollup]]-DaybyDay[[#This Row],[LY-Rollup]])/DaybyDay[[#This Row],[LY-Rollup]]),0),"")</f>
        <v>0</v>
      </c>
      <c r="Z178"/>
      <c r="AA178" s="37" t="e">
        <f>IF(DaybyDay[[#This Row],[_Space]],DaybyDay[[#This Row],[Ret-Act-RU]]/DaybyDay[[#This Row],[Serv-Act-RU]],"")</f>
        <v>#DIV/0!</v>
      </c>
      <c r="AB178" s="50" t="e">
        <f>IF(DaybyDay[[#This Row],[_Space]],DaybyDay[[#This Row],[RETPEN-Act]]/DaybyDay[[#This Row],[RETPEN-Bud]],"")</f>
        <v>#DIV/0!</v>
      </c>
      <c r="AC178" s="37" t="e">
        <f>IF(DaybyDay[[#This Row],[_Space]],DaybyDay[[#This Row],[Ret-Bud-RU]]/DaybyDay[[#This Row],[Serv-Bud-RU]],"")</f>
        <v>#DIV/0!</v>
      </c>
      <c r="AD178" s="37" t="e">
        <f>IF(DaybyDay[[#This Row],[_Space]],DaybyDay[[#This Row],[Ret-LY-RU]]/DaybyDay[[#This Row],[Serv-LY-RU]],"")</f>
        <v>#DIV/0!</v>
      </c>
      <c r="AE178" s="30">
        <f>WEEKDAY(DaybyDay[[#This Row],[LY-Date]])</f>
        <v>4</v>
      </c>
      <c r="AF178" s="38">
        <f>$E$2+_xlfn.DAYS(DaybyDay[[#This Row],[Date]],minDate)</f>
        <v>42543</v>
      </c>
      <c r="AG178" s="39" t="str" cm="1">
        <f t="array" ref="AG178">IFERROR(INDEX(DaybyDay[],DaybyDay[[#This Row],[FORM_MATCH_HELPER]],8),"")</f>
        <v/>
      </c>
      <c r="AH178" s="39" t="str" cm="1">
        <f t="array" ref="AH178">IFERROR(INDEX(DaybyDay[],DaybyDay[[#This Row],[FORM_MATCH_HELPER]],10),"")</f>
        <v/>
      </c>
      <c r="AI178" s="39" t="str" cm="1">
        <f t="array" ref="AI178">IFERROR(INDEX(DaybyDay[],DaybyDay[[#This Row],[FORM_MATCH_HELPER]],12),"")</f>
        <v/>
      </c>
      <c r="AJ178" s="32">
        <f>IFERROR(DaybyDay[[#This Row],[Serv-LY-RU]]+DaybyDay[[#This Row],[Ret-LY-RU]],"")</f>
        <v>0</v>
      </c>
      <c r="AK1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8" s="77"/>
      <c r="AM178" s="40" t="str">
        <f>IF(DaybyDay[[#This Row],[Admin Hours]]&gt;0,DaybyDay[[#This Row],[Admin Hours]]*$AM$2+$AM$3,"")</f>
        <v/>
      </c>
      <c r="AN178" s="40">
        <f>SUMIFS(DaybyDay[Est-Admin-Payroll],DaybyDay[Date],"&gt;="&amp;$C$5,DaybyDay[RowYear],"&gt;="&amp;$C$4,DaybyDay[Date],"&lt;="&amp;DaybyDay[[#This Row],[Date]])</f>
        <v>0</v>
      </c>
      <c r="AO178" s="41" t="str">
        <f>IF(AND(DaybyDay[[#This Row],[_Space]],ISNUMBER(DaybyDay[[#This Row],[Admin Hours]])),DaybyDay[[#This Row],[Est-Admin-Payroll]]/(DaybyDay[[#This Row],[Service-Actuals]]+DaybyDay[[#This Row],[Retail-Actuals]]),"")</f>
        <v/>
      </c>
      <c r="AP178" s="41" t="e">
        <f>DaybyDay[[#This Row],[Estimated-Payroll-Rollup]]/DaybyDay[[#This Row],[Simple-Forecast]]</f>
        <v>#DIV/0!</v>
      </c>
      <c r="AQ1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8" s="77"/>
      <c r="AS178" s="40" t="str">
        <f>IF(DaybyDay[[#This Row],[Retail Hours]]&gt;0,DaybyDay[[#This Row],[Retail Hours]]*$AS$2,"")</f>
        <v/>
      </c>
      <c r="AT178" s="40">
        <f>SUMIFS(DaybyDay[Est-Retail-Payroll],DaybyDay[Date],"&gt;="&amp;$C$5,DaybyDay[RowYear],"&gt;="&amp;$C$4,DaybyDay[Date],"&lt;="&amp;DaybyDay[[#This Row],[Date]])</f>
        <v>0</v>
      </c>
      <c r="AU178" s="82" t="str">
        <f>IF(AND(DaybyDay[[#This Row],[_Space]],ISNUMBER(DaybyDay[[#This Row],[Retail Hours]])),DaybyDay[[#This Row],[Est-Retail-Payroll]]/(DaybyDay[[#This Row],[Retail-Actuals]]),"")</f>
        <v/>
      </c>
      <c r="AV178" s="82" t="e">
        <f>DaybyDay[[#This Row],[Est-Retail-PayrollRU]]/DaybyDay[[#This Row],[Simple-Forecast-Retail]]</f>
        <v>#DIV/0!</v>
      </c>
      <c r="AW178" s="8"/>
    </row>
    <row r="179" spans="3:49" hidden="1" x14ac:dyDescent="0.25">
      <c r="C179" s="26" t="str">
        <f>Tools!$C$1</f>
        <v>Example</v>
      </c>
      <c r="D179" s="27" t="s">
        <v>73</v>
      </c>
      <c r="E179" s="28">
        <v>2017</v>
      </c>
      <c r="F179" s="28">
        <f>MATCH(DaybyDay[[#This Row],[RowMonth]],Table3[SummaryMonth],0)</f>
        <v>6</v>
      </c>
      <c r="G179" s="29" t="e">
        <f>MATCH(DaybyDay[[#This Row],[LY-Date]],DaybyDay[Date],0)</f>
        <v>#N/A</v>
      </c>
      <c r="H179" s="30">
        <f>WEEKDAY(DaybyDay[[#This Row],[Date]])</f>
        <v>5</v>
      </c>
      <c r="I179" s="31">
        <v>42908</v>
      </c>
      <c r="J179" s="74">
        <v>27</v>
      </c>
      <c r="K179" s="32">
        <f>SUMIFS(BudgetSeasonality[365 Seasonality],BudgetSeasonality[MonthAdjustment],DaybyDay[[#This Row],[Date]])*SUMIFS(Budgets[Service-Budget],Budgets[BudgetMonth],DaybyDay[[#This Row],[RowMonth]],Budgets[BudgetYear],DaybyDay[[#This Row],[RowYear]])</f>
        <v>0</v>
      </c>
      <c r="L179" s="75">
        <v>5841.5</v>
      </c>
      <c r="M179" s="32">
        <f>INDEX(BudgetSeasonality[365 Seasonality],MATCH(DaybyDay[[#This Row],[Date]],BudgetSeasonality[MonthAdjustment],0))*SUMIFS(Budgets[Retail-Budget],Budgets[BudgetMonth],DaybyDay[[#This Row],[RowMonth]],Budgets[BudgetYear],DaybyDay[[#This Row],[RowYear]])</f>
        <v>0</v>
      </c>
      <c r="N179" s="75">
        <v>1275</v>
      </c>
      <c r="O179" s="33">
        <f>SUMIFS(DaybyDay[Service-Budgets],DaybyDay[Date],"&gt;="&amp;$C$5,DaybyDay[RowYear],"&gt;="&amp;$C$4,DaybyDay[Date],"&lt;="&amp;DaybyDay[[#This Row],[Date]])</f>
        <v>0</v>
      </c>
      <c r="P179" s="33">
        <f>SUMIFS(DaybyDay[Retail-Budgets],DaybyDay[Date],"&gt;="&amp;$C$5,DaybyDay[RowYear],"&gt;="&amp;$C$4,DaybyDay[Date],"&lt;="&amp;DaybyDay[[#This Row],[Date]])</f>
        <v>0</v>
      </c>
      <c r="Q179" s="34">
        <f>SUMIFS(DaybyDay[Service-Actuals],DaybyDay[Date],"&gt;="&amp;$C$5,DaybyDay[RowYear],"&gt;="&amp;$C$4,DaybyDay[Date],"&lt;="&amp;DaybyDay[[#This Row],[Date]])</f>
        <v>0</v>
      </c>
      <c r="R179" s="34">
        <f>SUMIFS(DaybyDay[Retail-Actuals],DaybyDay[Date],"&gt;="&amp;$C$5,DaybyDay[RowYear],"&gt;="&amp;$C$4,DaybyDay[Date],"&lt;="&amp;DaybyDay[[#This Row],[Date]])</f>
        <v>0</v>
      </c>
      <c r="S179" s="35">
        <f>SUMIFS(DaybyDay[Service-LY],DaybyDay[Date],"&gt;="&amp;$C$5,DaybyDay[RowYear],"&gt;="&amp;$C$4,DaybyDay[Date],"&lt;="&amp;DaybyDay[[#This Row],[Date]])</f>
        <v>0</v>
      </c>
      <c r="T179" s="35">
        <f>SUMIFS(DaybyDay[Retail-LY],DaybyDay[Date],"&gt;="&amp;$C$5,DaybyDay[RowYear],"&gt;="&amp;$C$4,DaybyDay[Date],"&lt;="&amp;DaybyDay[[#This Row],[Date]])</f>
        <v>0</v>
      </c>
      <c r="U179" s="32">
        <f>DaybyDay[[#This Row],[Serv-Bud-RU]]+DaybyDay[[#This Row],[Ret-Bud-RU]]</f>
        <v>0</v>
      </c>
      <c r="V179" s="32">
        <f>DaybyDay[[#This Row],[Serv-Act-RU]]+DaybyDay[[#This Row],[Ret-Act-RU]]</f>
        <v>0</v>
      </c>
      <c r="W179" s="36">
        <f>IF(DaybyDay[[#This Row],[_Space]],IFERROR(
((DaybyDay[[#This Row],[Actual-Rollup]]-DaybyDay[[#This Row],[Budget-Rollup]])/DaybyDay[[#This Row],[Budget-Rollup]]),0),"")</f>
        <v>0</v>
      </c>
      <c r="X179" t="b">
        <f>NOT(AND(ISBLANK(DaybyDay[[#This Row],[Appts]]),ISBLANK(DaybyDay[[#This Row],[Service-Actuals]]),ISBLANK(DaybyDay[[#This Row],[Retail-Actuals]])))</f>
        <v>1</v>
      </c>
      <c r="Y179" s="36">
        <f>IF(DaybyDay[[#This Row],[_Space]],IFERROR(
((DaybyDay[[#This Row],[Actual-Rollup]]-DaybyDay[[#This Row],[LY-Rollup]])/DaybyDay[[#This Row],[LY-Rollup]]),0),"")</f>
        <v>0</v>
      </c>
      <c r="Z179"/>
      <c r="AA179" s="37" t="e">
        <f>IF(DaybyDay[[#This Row],[_Space]],DaybyDay[[#This Row],[Ret-Act-RU]]/DaybyDay[[#This Row],[Serv-Act-RU]],"")</f>
        <v>#DIV/0!</v>
      </c>
      <c r="AB179" s="50" t="e">
        <f>IF(DaybyDay[[#This Row],[_Space]],DaybyDay[[#This Row],[RETPEN-Act]]/DaybyDay[[#This Row],[RETPEN-Bud]],"")</f>
        <v>#DIV/0!</v>
      </c>
      <c r="AC179" s="37" t="e">
        <f>IF(DaybyDay[[#This Row],[_Space]],DaybyDay[[#This Row],[Ret-Bud-RU]]/DaybyDay[[#This Row],[Serv-Bud-RU]],"")</f>
        <v>#DIV/0!</v>
      </c>
      <c r="AD179" s="37" t="e">
        <f>IF(DaybyDay[[#This Row],[_Space]],DaybyDay[[#This Row],[Ret-LY-RU]]/DaybyDay[[#This Row],[Serv-LY-RU]],"")</f>
        <v>#DIV/0!</v>
      </c>
      <c r="AE179" s="30">
        <f>WEEKDAY(DaybyDay[[#This Row],[LY-Date]])</f>
        <v>5</v>
      </c>
      <c r="AF179" s="38">
        <f>$E$2+_xlfn.DAYS(DaybyDay[[#This Row],[Date]],minDate)</f>
        <v>42544</v>
      </c>
      <c r="AG179" s="39" t="str" cm="1">
        <f t="array" ref="AG179">IFERROR(INDEX(DaybyDay[],DaybyDay[[#This Row],[FORM_MATCH_HELPER]],8),"")</f>
        <v/>
      </c>
      <c r="AH179" s="39" t="str" cm="1">
        <f t="array" ref="AH179">IFERROR(INDEX(DaybyDay[],DaybyDay[[#This Row],[FORM_MATCH_HELPER]],10),"")</f>
        <v/>
      </c>
      <c r="AI179" s="39" t="str" cm="1">
        <f t="array" ref="AI179">IFERROR(INDEX(DaybyDay[],DaybyDay[[#This Row],[FORM_MATCH_HELPER]],12),"")</f>
        <v/>
      </c>
      <c r="AJ179" s="32">
        <f>IFERROR(DaybyDay[[#This Row],[Serv-LY-RU]]+DaybyDay[[#This Row],[Ret-LY-RU]],"")</f>
        <v>0</v>
      </c>
      <c r="AK1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79" s="77"/>
      <c r="AM179" s="40" t="str">
        <f>IF(DaybyDay[[#This Row],[Admin Hours]]&gt;0,DaybyDay[[#This Row],[Admin Hours]]*$AM$2+$AM$3,"")</f>
        <v/>
      </c>
      <c r="AN179" s="40">
        <f>SUMIFS(DaybyDay[Est-Admin-Payroll],DaybyDay[Date],"&gt;="&amp;$C$5,DaybyDay[RowYear],"&gt;="&amp;$C$4,DaybyDay[Date],"&lt;="&amp;DaybyDay[[#This Row],[Date]])</f>
        <v>0</v>
      </c>
      <c r="AO179" s="41" t="str">
        <f>IF(AND(DaybyDay[[#This Row],[_Space]],ISNUMBER(DaybyDay[[#This Row],[Admin Hours]])),DaybyDay[[#This Row],[Est-Admin-Payroll]]/(DaybyDay[[#This Row],[Service-Actuals]]+DaybyDay[[#This Row],[Retail-Actuals]]),"")</f>
        <v/>
      </c>
      <c r="AP179" s="41" t="e">
        <f>DaybyDay[[#This Row],[Estimated-Payroll-Rollup]]/DaybyDay[[#This Row],[Simple-Forecast]]</f>
        <v>#DIV/0!</v>
      </c>
      <c r="AQ1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79" s="77"/>
      <c r="AS179" s="40" t="str">
        <f>IF(DaybyDay[[#This Row],[Retail Hours]]&gt;0,DaybyDay[[#This Row],[Retail Hours]]*$AS$2,"")</f>
        <v/>
      </c>
      <c r="AT179" s="40">
        <f>SUMIFS(DaybyDay[Est-Retail-Payroll],DaybyDay[Date],"&gt;="&amp;$C$5,DaybyDay[RowYear],"&gt;="&amp;$C$4,DaybyDay[Date],"&lt;="&amp;DaybyDay[[#This Row],[Date]])</f>
        <v>0</v>
      </c>
      <c r="AU179" s="82" t="str">
        <f>IF(AND(DaybyDay[[#This Row],[_Space]],ISNUMBER(DaybyDay[[#This Row],[Retail Hours]])),DaybyDay[[#This Row],[Est-Retail-Payroll]]/(DaybyDay[[#This Row],[Retail-Actuals]]),"")</f>
        <v/>
      </c>
      <c r="AV179" s="82" t="e">
        <f>DaybyDay[[#This Row],[Est-Retail-PayrollRU]]/DaybyDay[[#This Row],[Simple-Forecast-Retail]]</f>
        <v>#DIV/0!</v>
      </c>
      <c r="AW179" s="8"/>
    </row>
    <row r="180" spans="3:49" hidden="1" x14ac:dyDescent="0.25">
      <c r="C180" s="26" t="str">
        <f>Tools!$C$1</f>
        <v>Example</v>
      </c>
      <c r="D180" s="27" t="s">
        <v>73</v>
      </c>
      <c r="E180" s="28">
        <v>2017</v>
      </c>
      <c r="F180" s="28">
        <f>MATCH(DaybyDay[[#This Row],[RowMonth]],Table3[SummaryMonth],0)</f>
        <v>6</v>
      </c>
      <c r="G180" s="29" t="e">
        <f>MATCH(DaybyDay[[#This Row],[LY-Date]],DaybyDay[Date],0)</f>
        <v>#N/A</v>
      </c>
      <c r="H180" s="30">
        <f>WEEKDAY(DaybyDay[[#This Row],[Date]])</f>
        <v>6</v>
      </c>
      <c r="I180" s="31">
        <v>42909</v>
      </c>
      <c r="J180" s="74">
        <v>30</v>
      </c>
      <c r="K180" s="32">
        <f>SUMIFS(BudgetSeasonality[365 Seasonality],BudgetSeasonality[MonthAdjustment],DaybyDay[[#This Row],[Date]])*SUMIFS(Budgets[Service-Budget],Budgets[BudgetMonth],DaybyDay[[#This Row],[RowMonth]],Budgets[BudgetYear],DaybyDay[[#This Row],[RowYear]])</f>
        <v>0</v>
      </c>
      <c r="L180" s="75">
        <v>4708.24</v>
      </c>
      <c r="M180" s="32">
        <f>INDEX(BudgetSeasonality[365 Seasonality],MATCH(DaybyDay[[#This Row],[Date]],BudgetSeasonality[MonthAdjustment],0))*SUMIFS(Budgets[Retail-Budget],Budgets[BudgetMonth],DaybyDay[[#This Row],[RowMonth]],Budgets[BudgetYear],DaybyDay[[#This Row],[RowYear]])</f>
        <v>0</v>
      </c>
      <c r="N180" s="75">
        <v>1473.8</v>
      </c>
      <c r="O180" s="33">
        <f>SUMIFS(DaybyDay[Service-Budgets],DaybyDay[Date],"&gt;="&amp;$C$5,DaybyDay[RowYear],"&gt;="&amp;$C$4,DaybyDay[Date],"&lt;="&amp;DaybyDay[[#This Row],[Date]])</f>
        <v>0</v>
      </c>
      <c r="P180" s="33">
        <f>SUMIFS(DaybyDay[Retail-Budgets],DaybyDay[Date],"&gt;="&amp;$C$5,DaybyDay[RowYear],"&gt;="&amp;$C$4,DaybyDay[Date],"&lt;="&amp;DaybyDay[[#This Row],[Date]])</f>
        <v>0</v>
      </c>
      <c r="Q180" s="34">
        <f>SUMIFS(DaybyDay[Service-Actuals],DaybyDay[Date],"&gt;="&amp;$C$5,DaybyDay[RowYear],"&gt;="&amp;$C$4,DaybyDay[Date],"&lt;="&amp;DaybyDay[[#This Row],[Date]])</f>
        <v>0</v>
      </c>
      <c r="R180" s="34">
        <f>SUMIFS(DaybyDay[Retail-Actuals],DaybyDay[Date],"&gt;="&amp;$C$5,DaybyDay[RowYear],"&gt;="&amp;$C$4,DaybyDay[Date],"&lt;="&amp;DaybyDay[[#This Row],[Date]])</f>
        <v>0</v>
      </c>
      <c r="S180" s="35">
        <f>SUMIFS(DaybyDay[Service-LY],DaybyDay[Date],"&gt;="&amp;$C$5,DaybyDay[RowYear],"&gt;="&amp;$C$4,DaybyDay[Date],"&lt;="&amp;DaybyDay[[#This Row],[Date]])</f>
        <v>0</v>
      </c>
      <c r="T180" s="35">
        <f>SUMIFS(DaybyDay[Retail-LY],DaybyDay[Date],"&gt;="&amp;$C$5,DaybyDay[RowYear],"&gt;="&amp;$C$4,DaybyDay[Date],"&lt;="&amp;DaybyDay[[#This Row],[Date]])</f>
        <v>0</v>
      </c>
      <c r="U180" s="32">
        <f>DaybyDay[[#This Row],[Serv-Bud-RU]]+DaybyDay[[#This Row],[Ret-Bud-RU]]</f>
        <v>0</v>
      </c>
      <c r="V180" s="32">
        <f>DaybyDay[[#This Row],[Serv-Act-RU]]+DaybyDay[[#This Row],[Ret-Act-RU]]</f>
        <v>0</v>
      </c>
      <c r="W180" s="36">
        <f>IF(DaybyDay[[#This Row],[_Space]],IFERROR(
((DaybyDay[[#This Row],[Actual-Rollup]]-DaybyDay[[#This Row],[Budget-Rollup]])/DaybyDay[[#This Row],[Budget-Rollup]]),0),"")</f>
        <v>0</v>
      </c>
      <c r="X180" t="b">
        <f>NOT(AND(ISBLANK(DaybyDay[[#This Row],[Appts]]),ISBLANK(DaybyDay[[#This Row],[Service-Actuals]]),ISBLANK(DaybyDay[[#This Row],[Retail-Actuals]])))</f>
        <v>1</v>
      </c>
      <c r="Y180" s="36">
        <f>IF(DaybyDay[[#This Row],[_Space]],IFERROR(
((DaybyDay[[#This Row],[Actual-Rollup]]-DaybyDay[[#This Row],[LY-Rollup]])/DaybyDay[[#This Row],[LY-Rollup]]),0),"")</f>
        <v>0</v>
      </c>
      <c r="Z180"/>
      <c r="AA180" s="37" t="e">
        <f>IF(DaybyDay[[#This Row],[_Space]],DaybyDay[[#This Row],[Ret-Act-RU]]/DaybyDay[[#This Row],[Serv-Act-RU]],"")</f>
        <v>#DIV/0!</v>
      </c>
      <c r="AB180" s="50" t="e">
        <f>IF(DaybyDay[[#This Row],[_Space]],DaybyDay[[#This Row],[RETPEN-Act]]/DaybyDay[[#This Row],[RETPEN-Bud]],"")</f>
        <v>#DIV/0!</v>
      </c>
      <c r="AC180" s="37" t="e">
        <f>IF(DaybyDay[[#This Row],[_Space]],DaybyDay[[#This Row],[Ret-Bud-RU]]/DaybyDay[[#This Row],[Serv-Bud-RU]],"")</f>
        <v>#DIV/0!</v>
      </c>
      <c r="AD180" s="37" t="e">
        <f>IF(DaybyDay[[#This Row],[_Space]],DaybyDay[[#This Row],[Ret-LY-RU]]/DaybyDay[[#This Row],[Serv-LY-RU]],"")</f>
        <v>#DIV/0!</v>
      </c>
      <c r="AE180" s="30">
        <f>WEEKDAY(DaybyDay[[#This Row],[LY-Date]])</f>
        <v>6</v>
      </c>
      <c r="AF180" s="38">
        <f>$E$2+_xlfn.DAYS(DaybyDay[[#This Row],[Date]],minDate)</f>
        <v>42545</v>
      </c>
      <c r="AG180" s="39" t="str" cm="1">
        <f t="array" ref="AG180">IFERROR(INDEX(DaybyDay[],DaybyDay[[#This Row],[FORM_MATCH_HELPER]],8),"")</f>
        <v/>
      </c>
      <c r="AH180" s="39" t="str" cm="1">
        <f t="array" ref="AH180">IFERROR(INDEX(DaybyDay[],DaybyDay[[#This Row],[FORM_MATCH_HELPER]],10),"")</f>
        <v/>
      </c>
      <c r="AI180" s="39" t="str" cm="1">
        <f t="array" ref="AI180">IFERROR(INDEX(DaybyDay[],DaybyDay[[#This Row],[FORM_MATCH_HELPER]],12),"")</f>
        <v/>
      </c>
      <c r="AJ180" s="32">
        <f>IFERROR(DaybyDay[[#This Row],[Serv-LY-RU]]+DaybyDay[[#This Row],[Ret-LY-RU]],"")</f>
        <v>0</v>
      </c>
      <c r="AK1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0" s="77"/>
      <c r="AM180" s="40" t="str">
        <f>IF(DaybyDay[[#This Row],[Admin Hours]]&gt;0,DaybyDay[[#This Row],[Admin Hours]]*$AM$2+$AM$3,"")</f>
        <v/>
      </c>
      <c r="AN180" s="40">
        <f>SUMIFS(DaybyDay[Est-Admin-Payroll],DaybyDay[Date],"&gt;="&amp;$C$5,DaybyDay[RowYear],"&gt;="&amp;$C$4,DaybyDay[Date],"&lt;="&amp;DaybyDay[[#This Row],[Date]])</f>
        <v>0</v>
      </c>
      <c r="AO180" s="41" t="str">
        <f>IF(AND(DaybyDay[[#This Row],[_Space]],ISNUMBER(DaybyDay[[#This Row],[Admin Hours]])),DaybyDay[[#This Row],[Est-Admin-Payroll]]/(DaybyDay[[#This Row],[Service-Actuals]]+DaybyDay[[#This Row],[Retail-Actuals]]),"")</f>
        <v/>
      </c>
      <c r="AP180" s="41" t="e">
        <f>DaybyDay[[#This Row],[Estimated-Payroll-Rollup]]/DaybyDay[[#This Row],[Simple-Forecast]]</f>
        <v>#DIV/0!</v>
      </c>
      <c r="AQ1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0" s="77"/>
      <c r="AS180" s="40" t="str">
        <f>IF(DaybyDay[[#This Row],[Retail Hours]]&gt;0,DaybyDay[[#This Row],[Retail Hours]]*$AS$2,"")</f>
        <v/>
      </c>
      <c r="AT180" s="40">
        <f>SUMIFS(DaybyDay[Est-Retail-Payroll],DaybyDay[Date],"&gt;="&amp;$C$5,DaybyDay[RowYear],"&gt;="&amp;$C$4,DaybyDay[Date],"&lt;="&amp;DaybyDay[[#This Row],[Date]])</f>
        <v>0</v>
      </c>
      <c r="AU180" s="82" t="str">
        <f>IF(AND(DaybyDay[[#This Row],[_Space]],ISNUMBER(DaybyDay[[#This Row],[Retail Hours]])),DaybyDay[[#This Row],[Est-Retail-Payroll]]/(DaybyDay[[#This Row],[Retail-Actuals]]),"")</f>
        <v/>
      </c>
      <c r="AV180" s="82" t="e">
        <f>DaybyDay[[#This Row],[Est-Retail-PayrollRU]]/DaybyDay[[#This Row],[Simple-Forecast-Retail]]</f>
        <v>#DIV/0!</v>
      </c>
      <c r="AW180" s="8"/>
    </row>
    <row r="181" spans="3:49" hidden="1" x14ac:dyDescent="0.25">
      <c r="C181" s="26" t="str">
        <f>Tools!$C$1</f>
        <v>Example</v>
      </c>
      <c r="D181" s="27" t="s">
        <v>73</v>
      </c>
      <c r="E181" s="28">
        <v>2017</v>
      </c>
      <c r="F181" s="28">
        <f>MATCH(DaybyDay[[#This Row],[RowMonth]],Table3[SummaryMonth],0)</f>
        <v>6</v>
      </c>
      <c r="G181" s="29" t="e">
        <f>MATCH(DaybyDay[[#This Row],[LY-Date]],DaybyDay[Date],0)</f>
        <v>#N/A</v>
      </c>
      <c r="H181" s="30">
        <f>WEEKDAY(DaybyDay[[#This Row],[Date]])</f>
        <v>7</v>
      </c>
      <c r="I181" s="31">
        <v>42910</v>
      </c>
      <c r="J181" s="74">
        <v>42</v>
      </c>
      <c r="K181" s="32">
        <f>SUMIFS(BudgetSeasonality[365 Seasonality],BudgetSeasonality[MonthAdjustment],DaybyDay[[#This Row],[Date]])*SUMIFS(Budgets[Service-Budget],Budgets[BudgetMonth],DaybyDay[[#This Row],[RowMonth]],Budgets[BudgetYear],DaybyDay[[#This Row],[RowYear]])</f>
        <v>0</v>
      </c>
      <c r="L181" s="75">
        <v>8004.2</v>
      </c>
      <c r="M181" s="32">
        <f>INDEX(BudgetSeasonality[365 Seasonality],MATCH(DaybyDay[[#This Row],[Date]],BudgetSeasonality[MonthAdjustment],0))*SUMIFS(Budgets[Retail-Budget],Budgets[BudgetMonth],DaybyDay[[#This Row],[RowMonth]],Budgets[BudgetYear],DaybyDay[[#This Row],[RowYear]])</f>
        <v>0</v>
      </c>
      <c r="N181" s="75">
        <v>2427</v>
      </c>
      <c r="O181" s="33">
        <f>SUMIFS(DaybyDay[Service-Budgets],DaybyDay[Date],"&gt;="&amp;$C$5,DaybyDay[RowYear],"&gt;="&amp;$C$4,DaybyDay[Date],"&lt;="&amp;DaybyDay[[#This Row],[Date]])</f>
        <v>0</v>
      </c>
      <c r="P181" s="33">
        <f>SUMIFS(DaybyDay[Retail-Budgets],DaybyDay[Date],"&gt;="&amp;$C$5,DaybyDay[RowYear],"&gt;="&amp;$C$4,DaybyDay[Date],"&lt;="&amp;DaybyDay[[#This Row],[Date]])</f>
        <v>0</v>
      </c>
      <c r="Q181" s="34">
        <f>SUMIFS(DaybyDay[Service-Actuals],DaybyDay[Date],"&gt;="&amp;$C$5,DaybyDay[RowYear],"&gt;="&amp;$C$4,DaybyDay[Date],"&lt;="&amp;DaybyDay[[#This Row],[Date]])</f>
        <v>0</v>
      </c>
      <c r="R181" s="34">
        <f>SUMIFS(DaybyDay[Retail-Actuals],DaybyDay[Date],"&gt;="&amp;$C$5,DaybyDay[RowYear],"&gt;="&amp;$C$4,DaybyDay[Date],"&lt;="&amp;DaybyDay[[#This Row],[Date]])</f>
        <v>0</v>
      </c>
      <c r="S181" s="35">
        <f>SUMIFS(DaybyDay[Service-LY],DaybyDay[Date],"&gt;="&amp;$C$5,DaybyDay[RowYear],"&gt;="&amp;$C$4,DaybyDay[Date],"&lt;="&amp;DaybyDay[[#This Row],[Date]])</f>
        <v>0</v>
      </c>
      <c r="T181" s="35">
        <f>SUMIFS(DaybyDay[Retail-LY],DaybyDay[Date],"&gt;="&amp;$C$5,DaybyDay[RowYear],"&gt;="&amp;$C$4,DaybyDay[Date],"&lt;="&amp;DaybyDay[[#This Row],[Date]])</f>
        <v>0</v>
      </c>
      <c r="U181" s="32">
        <f>DaybyDay[[#This Row],[Serv-Bud-RU]]+DaybyDay[[#This Row],[Ret-Bud-RU]]</f>
        <v>0</v>
      </c>
      <c r="V181" s="32">
        <f>DaybyDay[[#This Row],[Serv-Act-RU]]+DaybyDay[[#This Row],[Ret-Act-RU]]</f>
        <v>0</v>
      </c>
      <c r="W181" s="36">
        <f>IF(DaybyDay[[#This Row],[_Space]],IFERROR(
((DaybyDay[[#This Row],[Actual-Rollup]]-DaybyDay[[#This Row],[Budget-Rollup]])/DaybyDay[[#This Row],[Budget-Rollup]]),0),"")</f>
        <v>0</v>
      </c>
      <c r="X181" t="b">
        <f>NOT(AND(ISBLANK(DaybyDay[[#This Row],[Appts]]),ISBLANK(DaybyDay[[#This Row],[Service-Actuals]]),ISBLANK(DaybyDay[[#This Row],[Retail-Actuals]])))</f>
        <v>1</v>
      </c>
      <c r="Y181" s="36">
        <f>IF(DaybyDay[[#This Row],[_Space]],IFERROR(
((DaybyDay[[#This Row],[Actual-Rollup]]-DaybyDay[[#This Row],[LY-Rollup]])/DaybyDay[[#This Row],[LY-Rollup]]),0),"")</f>
        <v>0</v>
      </c>
      <c r="Z181"/>
      <c r="AA181" s="37" t="e">
        <f>IF(DaybyDay[[#This Row],[_Space]],DaybyDay[[#This Row],[Ret-Act-RU]]/DaybyDay[[#This Row],[Serv-Act-RU]],"")</f>
        <v>#DIV/0!</v>
      </c>
      <c r="AB181" s="50" t="e">
        <f>IF(DaybyDay[[#This Row],[_Space]],DaybyDay[[#This Row],[RETPEN-Act]]/DaybyDay[[#This Row],[RETPEN-Bud]],"")</f>
        <v>#DIV/0!</v>
      </c>
      <c r="AC181" s="37" t="e">
        <f>IF(DaybyDay[[#This Row],[_Space]],DaybyDay[[#This Row],[Ret-Bud-RU]]/DaybyDay[[#This Row],[Serv-Bud-RU]],"")</f>
        <v>#DIV/0!</v>
      </c>
      <c r="AD181" s="37" t="e">
        <f>IF(DaybyDay[[#This Row],[_Space]],DaybyDay[[#This Row],[Ret-LY-RU]]/DaybyDay[[#This Row],[Serv-LY-RU]],"")</f>
        <v>#DIV/0!</v>
      </c>
      <c r="AE181" s="30">
        <f>WEEKDAY(DaybyDay[[#This Row],[LY-Date]])</f>
        <v>7</v>
      </c>
      <c r="AF181" s="38">
        <f>$E$2+_xlfn.DAYS(DaybyDay[[#This Row],[Date]],minDate)</f>
        <v>42546</v>
      </c>
      <c r="AG181" s="39" t="str" cm="1">
        <f t="array" ref="AG181">IFERROR(INDEX(DaybyDay[],DaybyDay[[#This Row],[FORM_MATCH_HELPER]],8),"")</f>
        <v/>
      </c>
      <c r="AH181" s="39" t="str" cm="1">
        <f t="array" ref="AH181">IFERROR(INDEX(DaybyDay[],DaybyDay[[#This Row],[FORM_MATCH_HELPER]],10),"")</f>
        <v/>
      </c>
      <c r="AI181" s="39" t="str" cm="1">
        <f t="array" ref="AI181">IFERROR(INDEX(DaybyDay[],DaybyDay[[#This Row],[FORM_MATCH_HELPER]],12),"")</f>
        <v/>
      </c>
      <c r="AJ181" s="32">
        <f>IFERROR(DaybyDay[[#This Row],[Serv-LY-RU]]+DaybyDay[[#This Row],[Ret-LY-RU]],"")</f>
        <v>0</v>
      </c>
      <c r="AK1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1" s="77"/>
      <c r="AM181" s="40" t="str">
        <f>IF(DaybyDay[[#This Row],[Admin Hours]]&gt;0,DaybyDay[[#This Row],[Admin Hours]]*$AM$2+$AM$3,"")</f>
        <v/>
      </c>
      <c r="AN181" s="40">
        <f>SUMIFS(DaybyDay[Est-Admin-Payroll],DaybyDay[Date],"&gt;="&amp;$C$5,DaybyDay[RowYear],"&gt;="&amp;$C$4,DaybyDay[Date],"&lt;="&amp;DaybyDay[[#This Row],[Date]])</f>
        <v>0</v>
      </c>
      <c r="AO181" s="41" t="str">
        <f>IF(AND(DaybyDay[[#This Row],[_Space]],ISNUMBER(DaybyDay[[#This Row],[Admin Hours]])),DaybyDay[[#This Row],[Est-Admin-Payroll]]/(DaybyDay[[#This Row],[Service-Actuals]]+DaybyDay[[#This Row],[Retail-Actuals]]),"")</f>
        <v/>
      </c>
      <c r="AP181" s="41" t="e">
        <f>DaybyDay[[#This Row],[Estimated-Payroll-Rollup]]/DaybyDay[[#This Row],[Simple-Forecast]]</f>
        <v>#DIV/0!</v>
      </c>
      <c r="AQ1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1" s="77"/>
      <c r="AS181" s="40" t="str">
        <f>IF(DaybyDay[[#This Row],[Retail Hours]]&gt;0,DaybyDay[[#This Row],[Retail Hours]]*$AS$2,"")</f>
        <v/>
      </c>
      <c r="AT181" s="40">
        <f>SUMIFS(DaybyDay[Est-Retail-Payroll],DaybyDay[Date],"&gt;="&amp;$C$5,DaybyDay[RowYear],"&gt;="&amp;$C$4,DaybyDay[Date],"&lt;="&amp;DaybyDay[[#This Row],[Date]])</f>
        <v>0</v>
      </c>
      <c r="AU181" s="82" t="str">
        <f>IF(AND(DaybyDay[[#This Row],[_Space]],ISNUMBER(DaybyDay[[#This Row],[Retail Hours]])),DaybyDay[[#This Row],[Est-Retail-Payroll]]/(DaybyDay[[#This Row],[Retail-Actuals]]),"")</f>
        <v/>
      </c>
      <c r="AV181" s="82" t="e">
        <f>DaybyDay[[#This Row],[Est-Retail-PayrollRU]]/DaybyDay[[#This Row],[Simple-Forecast-Retail]]</f>
        <v>#DIV/0!</v>
      </c>
      <c r="AW181" s="8"/>
    </row>
    <row r="182" spans="3:49" hidden="1" x14ac:dyDescent="0.25">
      <c r="C182" s="26" t="str">
        <f>Tools!$C$1</f>
        <v>Example</v>
      </c>
      <c r="D182" s="27" t="s">
        <v>73</v>
      </c>
      <c r="E182" s="28">
        <v>2017</v>
      </c>
      <c r="F182" s="28">
        <f>MATCH(DaybyDay[[#This Row],[RowMonth]],Table3[SummaryMonth],0)</f>
        <v>6</v>
      </c>
      <c r="G182" s="29" t="e">
        <f>MATCH(DaybyDay[[#This Row],[LY-Date]],DaybyDay[Date],0)</f>
        <v>#N/A</v>
      </c>
      <c r="H182" s="30">
        <f>WEEKDAY(DaybyDay[[#This Row],[Date]])</f>
        <v>1</v>
      </c>
      <c r="I182" s="31">
        <v>42911</v>
      </c>
      <c r="J182" s="74">
        <v>17</v>
      </c>
      <c r="K182" s="32">
        <f>SUMIFS(BudgetSeasonality[365 Seasonality],BudgetSeasonality[MonthAdjustment],DaybyDay[[#This Row],[Date]])*SUMIFS(Budgets[Service-Budget],Budgets[BudgetMonth],DaybyDay[[#This Row],[RowMonth]],Budgets[BudgetYear],DaybyDay[[#This Row],[RowYear]])</f>
        <v>0</v>
      </c>
      <c r="L182" s="75">
        <v>3470.06</v>
      </c>
      <c r="M182" s="32">
        <f>INDEX(BudgetSeasonality[365 Seasonality],MATCH(DaybyDay[[#This Row],[Date]],BudgetSeasonality[MonthAdjustment],0))*SUMIFS(Budgets[Retail-Budget],Budgets[BudgetMonth],DaybyDay[[#This Row],[RowMonth]],Budgets[BudgetYear],DaybyDay[[#This Row],[RowYear]])</f>
        <v>0</v>
      </c>
      <c r="N182" s="75">
        <v>1974</v>
      </c>
      <c r="O182" s="33">
        <f>SUMIFS(DaybyDay[Service-Budgets],DaybyDay[Date],"&gt;="&amp;$C$5,DaybyDay[RowYear],"&gt;="&amp;$C$4,DaybyDay[Date],"&lt;="&amp;DaybyDay[[#This Row],[Date]])</f>
        <v>0</v>
      </c>
      <c r="P182" s="33">
        <f>SUMIFS(DaybyDay[Retail-Budgets],DaybyDay[Date],"&gt;="&amp;$C$5,DaybyDay[RowYear],"&gt;="&amp;$C$4,DaybyDay[Date],"&lt;="&amp;DaybyDay[[#This Row],[Date]])</f>
        <v>0</v>
      </c>
      <c r="Q182" s="34">
        <f>SUMIFS(DaybyDay[Service-Actuals],DaybyDay[Date],"&gt;="&amp;$C$5,DaybyDay[RowYear],"&gt;="&amp;$C$4,DaybyDay[Date],"&lt;="&amp;DaybyDay[[#This Row],[Date]])</f>
        <v>0</v>
      </c>
      <c r="R182" s="34">
        <f>SUMIFS(DaybyDay[Retail-Actuals],DaybyDay[Date],"&gt;="&amp;$C$5,DaybyDay[RowYear],"&gt;="&amp;$C$4,DaybyDay[Date],"&lt;="&amp;DaybyDay[[#This Row],[Date]])</f>
        <v>0</v>
      </c>
      <c r="S182" s="35">
        <f>SUMIFS(DaybyDay[Service-LY],DaybyDay[Date],"&gt;="&amp;$C$5,DaybyDay[RowYear],"&gt;="&amp;$C$4,DaybyDay[Date],"&lt;="&amp;DaybyDay[[#This Row],[Date]])</f>
        <v>0</v>
      </c>
      <c r="T182" s="35">
        <f>SUMIFS(DaybyDay[Retail-LY],DaybyDay[Date],"&gt;="&amp;$C$5,DaybyDay[RowYear],"&gt;="&amp;$C$4,DaybyDay[Date],"&lt;="&amp;DaybyDay[[#This Row],[Date]])</f>
        <v>0</v>
      </c>
      <c r="U182" s="32">
        <f>DaybyDay[[#This Row],[Serv-Bud-RU]]+DaybyDay[[#This Row],[Ret-Bud-RU]]</f>
        <v>0</v>
      </c>
      <c r="V182" s="32">
        <f>DaybyDay[[#This Row],[Serv-Act-RU]]+DaybyDay[[#This Row],[Ret-Act-RU]]</f>
        <v>0</v>
      </c>
      <c r="W182" s="36">
        <f>IF(DaybyDay[[#This Row],[_Space]],IFERROR(
((DaybyDay[[#This Row],[Actual-Rollup]]-DaybyDay[[#This Row],[Budget-Rollup]])/DaybyDay[[#This Row],[Budget-Rollup]]),0),"")</f>
        <v>0</v>
      </c>
      <c r="X182" t="b">
        <f>NOT(AND(ISBLANK(DaybyDay[[#This Row],[Appts]]),ISBLANK(DaybyDay[[#This Row],[Service-Actuals]]),ISBLANK(DaybyDay[[#This Row],[Retail-Actuals]])))</f>
        <v>1</v>
      </c>
      <c r="Y182" s="36">
        <f>IF(DaybyDay[[#This Row],[_Space]],IFERROR(
((DaybyDay[[#This Row],[Actual-Rollup]]-DaybyDay[[#This Row],[LY-Rollup]])/DaybyDay[[#This Row],[LY-Rollup]]),0),"")</f>
        <v>0</v>
      </c>
      <c r="Z182"/>
      <c r="AA182" s="37" t="e">
        <f>IF(DaybyDay[[#This Row],[_Space]],DaybyDay[[#This Row],[Ret-Act-RU]]/DaybyDay[[#This Row],[Serv-Act-RU]],"")</f>
        <v>#DIV/0!</v>
      </c>
      <c r="AB182" s="50" t="e">
        <f>IF(DaybyDay[[#This Row],[_Space]],DaybyDay[[#This Row],[RETPEN-Act]]/DaybyDay[[#This Row],[RETPEN-Bud]],"")</f>
        <v>#DIV/0!</v>
      </c>
      <c r="AC182" s="37" t="e">
        <f>IF(DaybyDay[[#This Row],[_Space]],DaybyDay[[#This Row],[Ret-Bud-RU]]/DaybyDay[[#This Row],[Serv-Bud-RU]],"")</f>
        <v>#DIV/0!</v>
      </c>
      <c r="AD182" s="37" t="e">
        <f>IF(DaybyDay[[#This Row],[_Space]],DaybyDay[[#This Row],[Ret-LY-RU]]/DaybyDay[[#This Row],[Serv-LY-RU]],"")</f>
        <v>#DIV/0!</v>
      </c>
      <c r="AE182" s="30">
        <f>WEEKDAY(DaybyDay[[#This Row],[LY-Date]])</f>
        <v>1</v>
      </c>
      <c r="AF182" s="38">
        <f>$E$2+_xlfn.DAYS(DaybyDay[[#This Row],[Date]],minDate)</f>
        <v>42547</v>
      </c>
      <c r="AG182" s="39" t="str" cm="1">
        <f t="array" ref="AG182">IFERROR(INDEX(DaybyDay[],DaybyDay[[#This Row],[FORM_MATCH_HELPER]],8),"")</f>
        <v/>
      </c>
      <c r="AH182" s="39" t="str" cm="1">
        <f t="array" ref="AH182">IFERROR(INDEX(DaybyDay[],DaybyDay[[#This Row],[FORM_MATCH_HELPER]],10),"")</f>
        <v/>
      </c>
      <c r="AI182" s="39" t="str" cm="1">
        <f t="array" ref="AI182">IFERROR(INDEX(DaybyDay[],DaybyDay[[#This Row],[FORM_MATCH_HELPER]],12),"")</f>
        <v/>
      </c>
      <c r="AJ182" s="32">
        <f>IFERROR(DaybyDay[[#This Row],[Serv-LY-RU]]+DaybyDay[[#This Row],[Ret-LY-RU]],"")</f>
        <v>0</v>
      </c>
      <c r="AK1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2" s="77"/>
      <c r="AM182" s="40" t="str">
        <f>IF(DaybyDay[[#This Row],[Admin Hours]]&gt;0,DaybyDay[[#This Row],[Admin Hours]]*$AM$2+$AM$3,"")</f>
        <v/>
      </c>
      <c r="AN182" s="40">
        <f>SUMIFS(DaybyDay[Est-Admin-Payroll],DaybyDay[Date],"&gt;="&amp;$C$5,DaybyDay[RowYear],"&gt;="&amp;$C$4,DaybyDay[Date],"&lt;="&amp;DaybyDay[[#This Row],[Date]])</f>
        <v>0</v>
      </c>
      <c r="AO182" s="41" t="str">
        <f>IF(AND(DaybyDay[[#This Row],[_Space]],ISNUMBER(DaybyDay[[#This Row],[Admin Hours]])),DaybyDay[[#This Row],[Est-Admin-Payroll]]/(DaybyDay[[#This Row],[Service-Actuals]]+DaybyDay[[#This Row],[Retail-Actuals]]),"")</f>
        <v/>
      </c>
      <c r="AP182" s="41" t="e">
        <f>DaybyDay[[#This Row],[Estimated-Payroll-Rollup]]/DaybyDay[[#This Row],[Simple-Forecast]]</f>
        <v>#DIV/0!</v>
      </c>
      <c r="AQ1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2" s="77"/>
      <c r="AS182" s="40" t="str">
        <f>IF(DaybyDay[[#This Row],[Retail Hours]]&gt;0,DaybyDay[[#This Row],[Retail Hours]]*$AS$2,"")</f>
        <v/>
      </c>
      <c r="AT182" s="40">
        <f>SUMIFS(DaybyDay[Est-Retail-Payroll],DaybyDay[Date],"&gt;="&amp;$C$5,DaybyDay[RowYear],"&gt;="&amp;$C$4,DaybyDay[Date],"&lt;="&amp;DaybyDay[[#This Row],[Date]])</f>
        <v>0</v>
      </c>
      <c r="AU182" s="82" t="str">
        <f>IF(AND(DaybyDay[[#This Row],[_Space]],ISNUMBER(DaybyDay[[#This Row],[Retail Hours]])),DaybyDay[[#This Row],[Est-Retail-Payroll]]/(DaybyDay[[#This Row],[Retail-Actuals]]),"")</f>
        <v/>
      </c>
      <c r="AV182" s="82" t="e">
        <f>DaybyDay[[#This Row],[Est-Retail-PayrollRU]]/DaybyDay[[#This Row],[Simple-Forecast-Retail]]</f>
        <v>#DIV/0!</v>
      </c>
      <c r="AW182" s="8"/>
    </row>
    <row r="183" spans="3:49" hidden="1" x14ac:dyDescent="0.25">
      <c r="C183" s="26" t="str">
        <f>Tools!$C$1</f>
        <v>Example</v>
      </c>
      <c r="D183" s="27" t="s">
        <v>73</v>
      </c>
      <c r="E183" s="28">
        <v>2017</v>
      </c>
      <c r="F183" s="28">
        <f>MATCH(DaybyDay[[#This Row],[RowMonth]],Table3[SummaryMonth],0)</f>
        <v>6</v>
      </c>
      <c r="G183" s="29" t="e">
        <f>MATCH(DaybyDay[[#This Row],[LY-Date]],DaybyDay[Date],0)</f>
        <v>#N/A</v>
      </c>
      <c r="H183" s="30">
        <f>WEEKDAY(DaybyDay[[#This Row],[Date]])</f>
        <v>2</v>
      </c>
      <c r="I183" s="31">
        <v>42912</v>
      </c>
      <c r="J183" s="74">
        <v>20</v>
      </c>
      <c r="K183" s="32">
        <f>SUMIFS(BudgetSeasonality[365 Seasonality],BudgetSeasonality[MonthAdjustment],DaybyDay[[#This Row],[Date]])*SUMIFS(Budgets[Service-Budget],Budgets[BudgetMonth],DaybyDay[[#This Row],[RowMonth]],Budgets[BudgetYear],DaybyDay[[#This Row],[RowYear]])</f>
        <v>0</v>
      </c>
      <c r="L183" s="75">
        <v>3738.6</v>
      </c>
      <c r="M183" s="32">
        <f>INDEX(BudgetSeasonality[365 Seasonality],MATCH(DaybyDay[[#This Row],[Date]],BudgetSeasonality[MonthAdjustment],0))*SUMIFS(Budgets[Retail-Budget],Budgets[BudgetMonth],DaybyDay[[#This Row],[RowMonth]],Budgets[BudgetYear],DaybyDay[[#This Row],[RowYear]])</f>
        <v>0</v>
      </c>
      <c r="N183" s="75">
        <v>424</v>
      </c>
      <c r="O183" s="33">
        <f>SUMIFS(DaybyDay[Service-Budgets],DaybyDay[Date],"&gt;="&amp;$C$5,DaybyDay[RowYear],"&gt;="&amp;$C$4,DaybyDay[Date],"&lt;="&amp;DaybyDay[[#This Row],[Date]])</f>
        <v>0</v>
      </c>
      <c r="P183" s="33">
        <f>SUMIFS(DaybyDay[Retail-Budgets],DaybyDay[Date],"&gt;="&amp;$C$5,DaybyDay[RowYear],"&gt;="&amp;$C$4,DaybyDay[Date],"&lt;="&amp;DaybyDay[[#This Row],[Date]])</f>
        <v>0</v>
      </c>
      <c r="Q183" s="34">
        <f>SUMIFS(DaybyDay[Service-Actuals],DaybyDay[Date],"&gt;="&amp;$C$5,DaybyDay[RowYear],"&gt;="&amp;$C$4,DaybyDay[Date],"&lt;="&amp;DaybyDay[[#This Row],[Date]])</f>
        <v>0</v>
      </c>
      <c r="R183" s="34">
        <f>SUMIFS(DaybyDay[Retail-Actuals],DaybyDay[Date],"&gt;="&amp;$C$5,DaybyDay[RowYear],"&gt;="&amp;$C$4,DaybyDay[Date],"&lt;="&amp;DaybyDay[[#This Row],[Date]])</f>
        <v>0</v>
      </c>
      <c r="S183" s="35">
        <f>SUMIFS(DaybyDay[Service-LY],DaybyDay[Date],"&gt;="&amp;$C$5,DaybyDay[RowYear],"&gt;="&amp;$C$4,DaybyDay[Date],"&lt;="&amp;DaybyDay[[#This Row],[Date]])</f>
        <v>0</v>
      </c>
      <c r="T183" s="35">
        <f>SUMIFS(DaybyDay[Retail-LY],DaybyDay[Date],"&gt;="&amp;$C$5,DaybyDay[RowYear],"&gt;="&amp;$C$4,DaybyDay[Date],"&lt;="&amp;DaybyDay[[#This Row],[Date]])</f>
        <v>0</v>
      </c>
      <c r="U183" s="32">
        <f>DaybyDay[[#This Row],[Serv-Bud-RU]]+DaybyDay[[#This Row],[Ret-Bud-RU]]</f>
        <v>0</v>
      </c>
      <c r="V183" s="32">
        <f>DaybyDay[[#This Row],[Serv-Act-RU]]+DaybyDay[[#This Row],[Ret-Act-RU]]</f>
        <v>0</v>
      </c>
      <c r="W183" s="36">
        <f>IF(DaybyDay[[#This Row],[_Space]],IFERROR(
((DaybyDay[[#This Row],[Actual-Rollup]]-DaybyDay[[#This Row],[Budget-Rollup]])/DaybyDay[[#This Row],[Budget-Rollup]]),0),"")</f>
        <v>0</v>
      </c>
      <c r="X183" t="b">
        <f>NOT(AND(ISBLANK(DaybyDay[[#This Row],[Appts]]),ISBLANK(DaybyDay[[#This Row],[Service-Actuals]]),ISBLANK(DaybyDay[[#This Row],[Retail-Actuals]])))</f>
        <v>1</v>
      </c>
      <c r="Y183" s="36">
        <f>IF(DaybyDay[[#This Row],[_Space]],IFERROR(
((DaybyDay[[#This Row],[Actual-Rollup]]-DaybyDay[[#This Row],[LY-Rollup]])/DaybyDay[[#This Row],[LY-Rollup]]),0),"")</f>
        <v>0</v>
      </c>
      <c r="Z183"/>
      <c r="AA183" s="37" t="e">
        <f>IF(DaybyDay[[#This Row],[_Space]],DaybyDay[[#This Row],[Ret-Act-RU]]/DaybyDay[[#This Row],[Serv-Act-RU]],"")</f>
        <v>#DIV/0!</v>
      </c>
      <c r="AB183" s="50" t="e">
        <f>IF(DaybyDay[[#This Row],[_Space]],DaybyDay[[#This Row],[RETPEN-Act]]/DaybyDay[[#This Row],[RETPEN-Bud]],"")</f>
        <v>#DIV/0!</v>
      </c>
      <c r="AC183" s="37" t="e">
        <f>IF(DaybyDay[[#This Row],[_Space]],DaybyDay[[#This Row],[Ret-Bud-RU]]/DaybyDay[[#This Row],[Serv-Bud-RU]],"")</f>
        <v>#DIV/0!</v>
      </c>
      <c r="AD183" s="37" t="e">
        <f>IF(DaybyDay[[#This Row],[_Space]],DaybyDay[[#This Row],[Ret-LY-RU]]/DaybyDay[[#This Row],[Serv-LY-RU]],"")</f>
        <v>#DIV/0!</v>
      </c>
      <c r="AE183" s="30">
        <f>WEEKDAY(DaybyDay[[#This Row],[LY-Date]])</f>
        <v>2</v>
      </c>
      <c r="AF183" s="38">
        <f>$E$2+_xlfn.DAYS(DaybyDay[[#This Row],[Date]],minDate)</f>
        <v>42548</v>
      </c>
      <c r="AG183" s="39" t="str" cm="1">
        <f t="array" ref="AG183">IFERROR(INDEX(DaybyDay[],DaybyDay[[#This Row],[FORM_MATCH_HELPER]],8),"")</f>
        <v/>
      </c>
      <c r="AH183" s="39" t="str" cm="1">
        <f t="array" ref="AH183">IFERROR(INDEX(DaybyDay[],DaybyDay[[#This Row],[FORM_MATCH_HELPER]],10),"")</f>
        <v/>
      </c>
      <c r="AI183" s="39" t="str" cm="1">
        <f t="array" ref="AI183">IFERROR(INDEX(DaybyDay[],DaybyDay[[#This Row],[FORM_MATCH_HELPER]],12),"")</f>
        <v/>
      </c>
      <c r="AJ183" s="32">
        <f>IFERROR(DaybyDay[[#This Row],[Serv-LY-RU]]+DaybyDay[[#This Row],[Ret-LY-RU]],"")</f>
        <v>0</v>
      </c>
      <c r="AK1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3" s="77"/>
      <c r="AM183" s="40" t="str">
        <f>IF(DaybyDay[[#This Row],[Admin Hours]]&gt;0,DaybyDay[[#This Row],[Admin Hours]]*$AM$2+$AM$3,"")</f>
        <v/>
      </c>
      <c r="AN183" s="40">
        <f>SUMIFS(DaybyDay[Est-Admin-Payroll],DaybyDay[Date],"&gt;="&amp;$C$5,DaybyDay[RowYear],"&gt;="&amp;$C$4,DaybyDay[Date],"&lt;="&amp;DaybyDay[[#This Row],[Date]])</f>
        <v>0</v>
      </c>
      <c r="AO183" s="41" t="str">
        <f>IF(AND(DaybyDay[[#This Row],[_Space]],ISNUMBER(DaybyDay[[#This Row],[Admin Hours]])),DaybyDay[[#This Row],[Est-Admin-Payroll]]/(DaybyDay[[#This Row],[Service-Actuals]]+DaybyDay[[#This Row],[Retail-Actuals]]),"")</f>
        <v/>
      </c>
      <c r="AP183" s="41" t="e">
        <f>DaybyDay[[#This Row],[Estimated-Payroll-Rollup]]/DaybyDay[[#This Row],[Simple-Forecast]]</f>
        <v>#DIV/0!</v>
      </c>
      <c r="AQ1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3" s="77"/>
      <c r="AS183" s="40" t="str">
        <f>IF(DaybyDay[[#This Row],[Retail Hours]]&gt;0,DaybyDay[[#This Row],[Retail Hours]]*$AS$2,"")</f>
        <v/>
      </c>
      <c r="AT183" s="40">
        <f>SUMIFS(DaybyDay[Est-Retail-Payroll],DaybyDay[Date],"&gt;="&amp;$C$5,DaybyDay[RowYear],"&gt;="&amp;$C$4,DaybyDay[Date],"&lt;="&amp;DaybyDay[[#This Row],[Date]])</f>
        <v>0</v>
      </c>
      <c r="AU183" s="82" t="str">
        <f>IF(AND(DaybyDay[[#This Row],[_Space]],ISNUMBER(DaybyDay[[#This Row],[Retail Hours]])),DaybyDay[[#This Row],[Est-Retail-Payroll]]/(DaybyDay[[#This Row],[Retail-Actuals]]),"")</f>
        <v/>
      </c>
      <c r="AV183" s="82" t="e">
        <f>DaybyDay[[#This Row],[Est-Retail-PayrollRU]]/DaybyDay[[#This Row],[Simple-Forecast-Retail]]</f>
        <v>#DIV/0!</v>
      </c>
      <c r="AW183" s="8"/>
    </row>
    <row r="184" spans="3:49" hidden="1" x14ac:dyDescent="0.25">
      <c r="C184" s="26" t="str">
        <f>Tools!$C$1</f>
        <v>Example</v>
      </c>
      <c r="D184" s="27" t="s">
        <v>73</v>
      </c>
      <c r="E184" s="28">
        <v>2017</v>
      </c>
      <c r="F184" s="28">
        <f>MATCH(DaybyDay[[#This Row],[RowMonth]],Table3[SummaryMonth],0)</f>
        <v>6</v>
      </c>
      <c r="G184" s="29" t="e">
        <f>MATCH(DaybyDay[[#This Row],[LY-Date]],DaybyDay[Date],0)</f>
        <v>#N/A</v>
      </c>
      <c r="H184" s="30">
        <f>WEEKDAY(DaybyDay[[#This Row],[Date]])</f>
        <v>3</v>
      </c>
      <c r="I184" s="31">
        <v>42913</v>
      </c>
      <c r="J184" s="74">
        <v>22</v>
      </c>
      <c r="K184" s="32">
        <f>SUMIFS(BudgetSeasonality[365 Seasonality],BudgetSeasonality[MonthAdjustment],DaybyDay[[#This Row],[Date]])*SUMIFS(Budgets[Service-Budget],Budgets[BudgetMonth],DaybyDay[[#This Row],[RowMonth]],Budgets[BudgetYear],DaybyDay[[#This Row],[RowYear]])</f>
        <v>0</v>
      </c>
      <c r="L184" s="75">
        <v>4017.8</v>
      </c>
      <c r="M184" s="32">
        <f>INDEX(BudgetSeasonality[365 Seasonality],MATCH(DaybyDay[[#This Row],[Date]],BudgetSeasonality[MonthAdjustment],0))*SUMIFS(Budgets[Retail-Budget],Budgets[BudgetMonth],DaybyDay[[#This Row],[RowMonth]],Budgets[BudgetYear],DaybyDay[[#This Row],[RowYear]])</f>
        <v>0</v>
      </c>
      <c r="N184" s="75">
        <v>757.4</v>
      </c>
      <c r="O184" s="33">
        <f>SUMIFS(DaybyDay[Service-Budgets],DaybyDay[Date],"&gt;="&amp;$C$5,DaybyDay[RowYear],"&gt;="&amp;$C$4,DaybyDay[Date],"&lt;="&amp;DaybyDay[[#This Row],[Date]])</f>
        <v>0</v>
      </c>
      <c r="P184" s="33">
        <f>SUMIFS(DaybyDay[Retail-Budgets],DaybyDay[Date],"&gt;="&amp;$C$5,DaybyDay[RowYear],"&gt;="&amp;$C$4,DaybyDay[Date],"&lt;="&amp;DaybyDay[[#This Row],[Date]])</f>
        <v>0</v>
      </c>
      <c r="Q184" s="34">
        <f>SUMIFS(DaybyDay[Service-Actuals],DaybyDay[Date],"&gt;="&amp;$C$5,DaybyDay[RowYear],"&gt;="&amp;$C$4,DaybyDay[Date],"&lt;="&amp;DaybyDay[[#This Row],[Date]])</f>
        <v>0</v>
      </c>
      <c r="R184" s="34">
        <f>SUMIFS(DaybyDay[Retail-Actuals],DaybyDay[Date],"&gt;="&amp;$C$5,DaybyDay[RowYear],"&gt;="&amp;$C$4,DaybyDay[Date],"&lt;="&amp;DaybyDay[[#This Row],[Date]])</f>
        <v>0</v>
      </c>
      <c r="S184" s="35">
        <f>SUMIFS(DaybyDay[Service-LY],DaybyDay[Date],"&gt;="&amp;$C$5,DaybyDay[RowYear],"&gt;="&amp;$C$4,DaybyDay[Date],"&lt;="&amp;DaybyDay[[#This Row],[Date]])</f>
        <v>0</v>
      </c>
      <c r="T184" s="35">
        <f>SUMIFS(DaybyDay[Retail-LY],DaybyDay[Date],"&gt;="&amp;$C$5,DaybyDay[RowYear],"&gt;="&amp;$C$4,DaybyDay[Date],"&lt;="&amp;DaybyDay[[#This Row],[Date]])</f>
        <v>0</v>
      </c>
      <c r="U184" s="32">
        <f>DaybyDay[[#This Row],[Serv-Bud-RU]]+DaybyDay[[#This Row],[Ret-Bud-RU]]</f>
        <v>0</v>
      </c>
      <c r="V184" s="32">
        <f>DaybyDay[[#This Row],[Serv-Act-RU]]+DaybyDay[[#This Row],[Ret-Act-RU]]</f>
        <v>0</v>
      </c>
      <c r="W184" s="36">
        <f>IF(DaybyDay[[#This Row],[_Space]],IFERROR(
((DaybyDay[[#This Row],[Actual-Rollup]]-DaybyDay[[#This Row],[Budget-Rollup]])/DaybyDay[[#This Row],[Budget-Rollup]]),0),"")</f>
        <v>0</v>
      </c>
      <c r="X184" t="b">
        <f>NOT(AND(ISBLANK(DaybyDay[[#This Row],[Appts]]),ISBLANK(DaybyDay[[#This Row],[Service-Actuals]]),ISBLANK(DaybyDay[[#This Row],[Retail-Actuals]])))</f>
        <v>1</v>
      </c>
      <c r="Y184" s="36">
        <f>IF(DaybyDay[[#This Row],[_Space]],IFERROR(
((DaybyDay[[#This Row],[Actual-Rollup]]-DaybyDay[[#This Row],[LY-Rollup]])/DaybyDay[[#This Row],[LY-Rollup]]),0),"")</f>
        <v>0</v>
      </c>
      <c r="Z184"/>
      <c r="AA184" s="37" t="e">
        <f>IF(DaybyDay[[#This Row],[_Space]],DaybyDay[[#This Row],[Ret-Act-RU]]/DaybyDay[[#This Row],[Serv-Act-RU]],"")</f>
        <v>#DIV/0!</v>
      </c>
      <c r="AB184" s="50" t="e">
        <f>IF(DaybyDay[[#This Row],[_Space]],DaybyDay[[#This Row],[RETPEN-Act]]/DaybyDay[[#This Row],[RETPEN-Bud]],"")</f>
        <v>#DIV/0!</v>
      </c>
      <c r="AC184" s="37" t="e">
        <f>IF(DaybyDay[[#This Row],[_Space]],DaybyDay[[#This Row],[Ret-Bud-RU]]/DaybyDay[[#This Row],[Serv-Bud-RU]],"")</f>
        <v>#DIV/0!</v>
      </c>
      <c r="AD184" s="37" t="e">
        <f>IF(DaybyDay[[#This Row],[_Space]],DaybyDay[[#This Row],[Ret-LY-RU]]/DaybyDay[[#This Row],[Serv-LY-RU]],"")</f>
        <v>#DIV/0!</v>
      </c>
      <c r="AE184" s="30">
        <f>WEEKDAY(DaybyDay[[#This Row],[LY-Date]])</f>
        <v>3</v>
      </c>
      <c r="AF184" s="38">
        <f>$E$2+_xlfn.DAYS(DaybyDay[[#This Row],[Date]],minDate)</f>
        <v>42549</v>
      </c>
      <c r="AG184" s="39" t="str" cm="1">
        <f t="array" ref="AG184">IFERROR(INDEX(DaybyDay[],DaybyDay[[#This Row],[FORM_MATCH_HELPER]],8),"")</f>
        <v/>
      </c>
      <c r="AH184" s="39" t="str" cm="1">
        <f t="array" ref="AH184">IFERROR(INDEX(DaybyDay[],DaybyDay[[#This Row],[FORM_MATCH_HELPER]],10),"")</f>
        <v/>
      </c>
      <c r="AI184" s="39" t="str" cm="1">
        <f t="array" ref="AI184">IFERROR(INDEX(DaybyDay[],DaybyDay[[#This Row],[FORM_MATCH_HELPER]],12),"")</f>
        <v/>
      </c>
      <c r="AJ184" s="32">
        <f>IFERROR(DaybyDay[[#This Row],[Serv-LY-RU]]+DaybyDay[[#This Row],[Ret-LY-RU]],"")</f>
        <v>0</v>
      </c>
      <c r="AK1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4" s="77"/>
      <c r="AM184" s="40" t="str">
        <f>IF(DaybyDay[[#This Row],[Admin Hours]]&gt;0,DaybyDay[[#This Row],[Admin Hours]]*$AM$2+$AM$3,"")</f>
        <v/>
      </c>
      <c r="AN184" s="40">
        <f>SUMIFS(DaybyDay[Est-Admin-Payroll],DaybyDay[Date],"&gt;="&amp;$C$5,DaybyDay[RowYear],"&gt;="&amp;$C$4,DaybyDay[Date],"&lt;="&amp;DaybyDay[[#This Row],[Date]])</f>
        <v>0</v>
      </c>
      <c r="AO184" s="41" t="str">
        <f>IF(AND(DaybyDay[[#This Row],[_Space]],ISNUMBER(DaybyDay[[#This Row],[Admin Hours]])),DaybyDay[[#This Row],[Est-Admin-Payroll]]/(DaybyDay[[#This Row],[Service-Actuals]]+DaybyDay[[#This Row],[Retail-Actuals]]),"")</f>
        <v/>
      </c>
      <c r="AP184" s="41" t="e">
        <f>DaybyDay[[#This Row],[Estimated-Payroll-Rollup]]/DaybyDay[[#This Row],[Simple-Forecast]]</f>
        <v>#DIV/0!</v>
      </c>
      <c r="AQ1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4" s="77"/>
      <c r="AS184" s="40" t="str">
        <f>IF(DaybyDay[[#This Row],[Retail Hours]]&gt;0,DaybyDay[[#This Row],[Retail Hours]]*$AS$2,"")</f>
        <v/>
      </c>
      <c r="AT184" s="40">
        <f>SUMIFS(DaybyDay[Est-Retail-Payroll],DaybyDay[Date],"&gt;="&amp;$C$5,DaybyDay[RowYear],"&gt;="&amp;$C$4,DaybyDay[Date],"&lt;="&amp;DaybyDay[[#This Row],[Date]])</f>
        <v>0</v>
      </c>
      <c r="AU184" s="82" t="str">
        <f>IF(AND(DaybyDay[[#This Row],[_Space]],ISNUMBER(DaybyDay[[#This Row],[Retail Hours]])),DaybyDay[[#This Row],[Est-Retail-Payroll]]/(DaybyDay[[#This Row],[Retail-Actuals]]),"")</f>
        <v/>
      </c>
      <c r="AV184" s="82" t="e">
        <f>DaybyDay[[#This Row],[Est-Retail-PayrollRU]]/DaybyDay[[#This Row],[Simple-Forecast-Retail]]</f>
        <v>#DIV/0!</v>
      </c>
      <c r="AW184" s="8"/>
    </row>
    <row r="185" spans="3:49" hidden="1" x14ac:dyDescent="0.25">
      <c r="C185" s="26" t="str">
        <f>Tools!$C$1</f>
        <v>Example</v>
      </c>
      <c r="D185" s="27" t="s">
        <v>73</v>
      </c>
      <c r="E185" s="28">
        <v>2017</v>
      </c>
      <c r="F185" s="28">
        <f>MATCH(DaybyDay[[#This Row],[RowMonth]],Table3[SummaryMonth],0)</f>
        <v>6</v>
      </c>
      <c r="G185" s="29" t="e">
        <f>MATCH(DaybyDay[[#This Row],[LY-Date]],DaybyDay[Date],0)</f>
        <v>#N/A</v>
      </c>
      <c r="H185" s="30">
        <f>WEEKDAY(DaybyDay[[#This Row],[Date]])</f>
        <v>4</v>
      </c>
      <c r="I185" s="31">
        <v>42914</v>
      </c>
      <c r="J185" s="74">
        <v>19</v>
      </c>
      <c r="K185" s="32">
        <f>SUMIFS(BudgetSeasonality[365 Seasonality],BudgetSeasonality[MonthAdjustment],DaybyDay[[#This Row],[Date]])*SUMIFS(Budgets[Service-Budget],Budgets[BudgetMonth],DaybyDay[[#This Row],[RowMonth]],Budgets[BudgetYear],DaybyDay[[#This Row],[RowYear]])</f>
        <v>0</v>
      </c>
      <c r="L185" s="75">
        <v>3545.8</v>
      </c>
      <c r="M185" s="32">
        <f>INDEX(BudgetSeasonality[365 Seasonality],MATCH(DaybyDay[[#This Row],[Date]],BudgetSeasonality[MonthAdjustment],0))*SUMIFS(Budgets[Retail-Budget],Budgets[BudgetMonth],DaybyDay[[#This Row],[RowMonth]],Budgets[BudgetYear],DaybyDay[[#This Row],[RowYear]])</f>
        <v>0</v>
      </c>
      <c r="N185" s="75">
        <v>2720.96</v>
      </c>
      <c r="O185" s="33">
        <f>SUMIFS(DaybyDay[Service-Budgets],DaybyDay[Date],"&gt;="&amp;$C$5,DaybyDay[RowYear],"&gt;="&amp;$C$4,DaybyDay[Date],"&lt;="&amp;DaybyDay[[#This Row],[Date]])</f>
        <v>0</v>
      </c>
      <c r="P185" s="33">
        <f>SUMIFS(DaybyDay[Retail-Budgets],DaybyDay[Date],"&gt;="&amp;$C$5,DaybyDay[RowYear],"&gt;="&amp;$C$4,DaybyDay[Date],"&lt;="&amp;DaybyDay[[#This Row],[Date]])</f>
        <v>0</v>
      </c>
      <c r="Q185" s="34">
        <f>SUMIFS(DaybyDay[Service-Actuals],DaybyDay[Date],"&gt;="&amp;$C$5,DaybyDay[RowYear],"&gt;="&amp;$C$4,DaybyDay[Date],"&lt;="&amp;DaybyDay[[#This Row],[Date]])</f>
        <v>0</v>
      </c>
      <c r="R185" s="34">
        <f>SUMIFS(DaybyDay[Retail-Actuals],DaybyDay[Date],"&gt;="&amp;$C$5,DaybyDay[RowYear],"&gt;="&amp;$C$4,DaybyDay[Date],"&lt;="&amp;DaybyDay[[#This Row],[Date]])</f>
        <v>0</v>
      </c>
      <c r="S185" s="35">
        <f>SUMIFS(DaybyDay[Service-LY],DaybyDay[Date],"&gt;="&amp;$C$5,DaybyDay[RowYear],"&gt;="&amp;$C$4,DaybyDay[Date],"&lt;="&amp;DaybyDay[[#This Row],[Date]])</f>
        <v>0</v>
      </c>
      <c r="T185" s="35">
        <f>SUMIFS(DaybyDay[Retail-LY],DaybyDay[Date],"&gt;="&amp;$C$5,DaybyDay[RowYear],"&gt;="&amp;$C$4,DaybyDay[Date],"&lt;="&amp;DaybyDay[[#This Row],[Date]])</f>
        <v>0</v>
      </c>
      <c r="U185" s="32">
        <f>DaybyDay[[#This Row],[Serv-Bud-RU]]+DaybyDay[[#This Row],[Ret-Bud-RU]]</f>
        <v>0</v>
      </c>
      <c r="V185" s="32">
        <f>DaybyDay[[#This Row],[Serv-Act-RU]]+DaybyDay[[#This Row],[Ret-Act-RU]]</f>
        <v>0</v>
      </c>
      <c r="W185" s="36">
        <f>IF(DaybyDay[[#This Row],[_Space]],IFERROR(
((DaybyDay[[#This Row],[Actual-Rollup]]-DaybyDay[[#This Row],[Budget-Rollup]])/DaybyDay[[#This Row],[Budget-Rollup]]),0),"")</f>
        <v>0</v>
      </c>
      <c r="X185" t="b">
        <f>NOT(AND(ISBLANK(DaybyDay[[#This Row],[Appts]]),ISBLANK(DaybyDay[[#This Row],[Service-Actuals]]),ISBLANK(DaybyDay[[#This Row],[Retail-Actuals]])))</f>
        <v>1</v>
      </c>
      <c r="Y185" s="36">
        <f>IF(DaybyDay[[#This Row],[_Space]],IFERROR(
((DaybyDay[[#This Row],[Actual-Rollup]]-DaybyDay[[#This Row],[LY-Rollup]])/DaybyDay[[#This Row],[LY-Rollup]]),0),"")</f>
        <v>0</v>
      </c>
      <c r="Z185"/>
      <c r="AA185" s="37" t="e">
        <f>IF(DaybyDay[[#This Row],[_Space]],DaybyDay[[#This Row],[Ret-Act-RU]]/DaybyDay[[#This Row],[Serv-Act-RU]],"")</f>
        <v>#DIV/0!</v>
      </c>
      <c r="AB185" s="50" t="e">
        <f>IF(DaybyDay[[#This Row],[_Space]],DaybyDay[[#This Row],[RETPEN-Act]]/DaybyDay[[#This Row],[RETPEN-Bud]],"")</f>
        <v>#DIV/0!</v>
      </c>
      <c r="AC185" s="37" t="e">
        <f>IF(DaybyDay[[#This Row],[_Space]],DaybyDay[[#This Row],[Ret-Bud-RU]]/DaybyDay[[#This Row],[Serv-Bud-RU]],"")</f>
        <v>#DIV/0!</v>
      </c>
      <c r="AD185" s="37" t="e">
        <f>IF(DaybyDay[[#This Row],[_Space]],DaybyDay[[#This Row],[Ret-LY-RU]]/DaybyDay[[#This Row],[Serv-LY-RU]],"")</f>
        <v>#DIV/0!</v>
      </c>
      <c r="AE185" s="30">
        <f>WEEKDAY(DaybyDay[[#This Row],[LY-Date]])</f>
        <v>4</v>
      </c>
      <c r="AF185" s="38">
        <f>$E$2+_xlfn.DAYS(DaybyDay[[#This Row],[Date]],minDate)</f>
        <v>42550</v>
      </c>
      <c r="AG185" s="39" t="str" cm="1">
        <f t="array" ref="AG185">IFERROR(INDEX(DaybyDay[],DaybyDay[[#This Row],[FORM_MATCH_HELPER]],8),"")</f>
        <v/>
      </c>
      <c r="AH185" s="39" t="str" cm="1">
        <f t="array" ref="AH185">IFERROR(INDEX(DaybyDay[],DaybyDay[[#This Row],[FORM_MATCH_HELPER]],10),"")</f>
        <v/>
      </c>
      <c r="AI185" s="39" t="str" cm="1">
        <f t="array" ref="AI185">IFERROR(INDEX(DaybyDay[],DaybyDay[[#This Row],[FORM_MATCH_HELPER]],12),"")</f>
        <v/>
      </c>
      <c r="AJ185" s="32">
        <f>IFERROR(DaybyDay[[#This Row],[Serv-LY-RU]]+DaybyDay[[#This Row],[Ret-LY-RU]],"")</f>
        <v>0</v>
      </c>
      <c r="AK1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5" s="77"/>
      <c r="AM185" s="40" t="str">
        <f>IF(DaybyDay[[#This Row],[Admin Hours]]&gt;0,DaybyDay[[#This Row],[Admin Hours]]*$AM$2+$AM$3,"")</f>
        <v/>
      </c>
      <c r="AN185" s="40">
        <f>SUMIFS(DaybyDay[Est-Admin-Payroll],DaybyDay[Date],"&gt;="&amp;$C$5,DaybyDay[RowYear],"&gt;="&amp;$C$4,DaybyDay[Date],"&lt;="&amp;DaybyDay[[#This Row],[Date]])</f>
        <v>0</v>
      </c>
      <c r="AO185" s="41" t="str">
        <f>IF(AND(DaybyDay[[#This Row],[_Space]],ISNUMBER(DaybyDay[[#This Row],[Admin Hours]])),DaybyDay[[#This Row],[Est-Admin-Payroll]]/(DaybyDay[[#This Row],[Service-Actuals]]+DaybyDay[[#This Row],[Retail-Actuals]]),"")</f>
        <v/>
      </c>
      <c r="AP185" s="41" t="e">
        <f>DaybyDay[[#This Row],[Estimated-Payroll-Rollup]]/DaybyDay[[#This Row],[Simple-Forecast]]</f>
        <v>#DIV/0!</v>
      </c>
      <c r="AQ1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5" s="77"/>
      <c r="AS185" s="40" t="str">
        <f>IF(DaybyDay[[#This Row],[Retail Hours]]&gt;0,DaybyDay[[#This Row],[Retail Hours]]*$AS$2,"")</f>
        <v/>
      </c>
      <c r="AT185" s="40">
        <f>SUMIFS(DaybyDay[Est-Retail-Payroll],DaybyDay[Date],"&gt;="&amp;$C$5,DaybyDay[RowYear],"&gt;="&amp;$C$4,DaybyDay[Date],"&lt;="&amp;DaybyDay[[#This Row],[Date]])</f>
        <v>0</v>
      </c>
      <c r="AU185" s="82" t="str">
        <f>IF(AND(DaybyDay[[#This Row],[_Space]],ISNUMBER(DaybyDay[[#This Row],[Retail Hours]])),DaybyDay[[#This Row],[Est-Retail-Payroll]]/(DaybyDay[[#This Row],[Retail-Actuals]]),"")</f>
        <v/>
      </c>
      <c r="AV185" s="82" t="e">
        <f>DaybyDay[[#This Row],[Est-Retail-PayrollRU]]/DaybyDay[[#This Row],[Simple-Forecast-Retail]]</f>
        <v>#DIV/0!</v>
      </c>
      <c r="AW185" s="8"/>
    </row>
    <row r="186" spans="3:49" hidden="1" x14ac:dyDescent="0.25">
      <c r="C186" s="26" t="str">
        <f>Tools!$C$1</f>
        <v>Example</v>
      </c>
      <c r="D186" s="27" t="s">
        <v>73</v>
      </c>
      <c r="E186" s="28">
        <v>2017</v>
      </c>
      <c r="F186" s="28">
        <f>MATCH(DaybyDay[[#This Row],[RowMonth]],Table3[SummaryMonth],0)</f>
        <v>6</v>
      </c>
      <c r="G186" s="29" t="e">
        <f>MATCH(DaybyDay[[#This Row],[LY-Date]],DaybyDay[Date],0)</f>
        <v>#N/A</v>
      </c>
      <c r="H186" s="30">
        <f>WEEKDAY(DaybyDay[[#This Row],[Date]])</f>
        <v>5</v>
      </c>
      <c r="I186" s="31">
        <v>42915</v>
      </c>
      <c r="J186" s="74">
        <v>22</v>
      </c>
      <c r="K186" s="32">
        <f>SUMIFS(BudgetSeasonality[365 Seasonality],BudgetSeasonality[MonthAdjustment],DaybyDay[[#This Row],[Date]])*SUMIFS(Budgets[Service-Budget],Budgets[BudgetMonth],DaybyDay[[#This Row],[RowMonth]],Budgets[BudgetYear],DaybyDay[[#This Row],[RowYear]])</f>
        <v>0</v>
      </c>
      <c r="L186" s="75">
        <v>4223.7</v>
      </c>
      <c r="M186" s="32">
        <f>INDEX(BudgetSeasonality[365 Seasonality],MATCH(DaybyDay[[#This Row],[Date]],BudgetSeasonality[MonthAdjustment],0))*SUMIFS(Budgets[Retail-Budget],Budgets[BudgetMonth],DaybyDay[[#This Row],[RowMonth]],Budgets[BudgetYear],DaybyDay[[#This Row],[RowYear]])</f>
        <v>0</v>
      </c>
      <c r="N186" s="75">
        <v>1411.2</v>
      </c>
      <c r="O186" s="33">
        <f>SUMIFS(DaybyDay[Service-Budgets],DaybyDay[Date],"&gt;="&amp;$C$5,DaybyDay[RowYear],"&gt;="&amp;$C$4,DaybyDay[Date],"&lt;="&amp;DaybyDay[[#This Row],[Date]])</f>
        <v>0</v>
      </c>
      <c r="P186" s="33">
        <f>SUMIFS(DaybyDay[Retail-Budgets],DaybyDay[Date],"&gt;="&amp;$C$5,DaybyDay[RowYear],"&gt;="&amp;$C$4,DaybyDay[Date],"&lt;="&amp;DaybyDay[[#This Row],[Date]])</f>
        <v>0</v>
      </c>
      <c r="Q186" s="34">
        <f>SUMIFS(DaybyDay[Service-Actuals],DaybyDay[Date],"&gt;="&amp;$C$5,DaybyDay[RowYear],"&gt;="&amp;$C$4,DaybyDay[Date],"&lt;="&amp;DaybyDay[[#This Row],[Date]])</f>
        <v>0</v>
      </c>
      <c r="R186" s="34">
        <f>SUMIFS(DaybyDay[Retail-Actuals],DaybyDay[Date],"&gt;="&amp;$C$5,DaybyDay[RowYear],"&gt;="&amp;$C$4,DaybyDay[Date],"&lt;="&amp;DaybyDay[[#This Row],[Date]])</f>
        <v>0</v>
      </c>
      <c r="S186" s="35">
        <f>SUMIFS(DaybyDay[Service-LY],DaybyDay[Date],"&gt;="&amp;$C$5,DaybyDay[RowYear],"&gt;="&amp;$C$4,DaybyDay[Date],"&lt;="&amp;DaybyDay[[#This Row],[Date]])</f>
        <v>0</v>
      </c>
      <c r="T186" s="35">
        <f>SUMIFS(DaybyDay[Retail-LY],DaybyDay[Date],"&gt;="&amp;$C$5,DaybyDay[RowYear],"&gt;="&amp;$C$4,DaybyDay[Date],"&lt;="&amp;DaybyDay[[#This Row],[Date]])</f>
        <v>0</v>
      </c>
      <c r="U186" s="32">
        <f>DaybyDay[[#This Row],[Serv-Bud-RU]]+DaybyDay[[#This Row],[Ret-Bud-RU]]</f>
        <v>0</v>
      </c>
      <c r="V186" s="32">
        <f>DaybyDay[[#This Row],[Serv-Act-RU]]+DaybyDay[[#This Row],[Ret-Act-RU]]</f>
        <v>0</v>
      </c>
      <c r="W186" s="36">
        <f>IF(DaybyDay[[#This Row],[_Space]],IFERROR(
((DaybyDay[[#This Row],[Actual-Rollup]]-DaybyDay[[#This Row],[Budget-Rollup]])/DaybyDay[[#This Row],[Budget-Rollup]]),0),"")</f>
        <v>0</v>
      </c>
      <c r="X186" t="b">
        <f>NOT(AND(ISBLANK(DaybyDay[[#This Row],[Appts]]),ISBLANK(DaybyDay[[#This Row],[Service-Actuals]]),ISBLANK(DaybyDay[[#This Row],[Retail-Actuals]])))</f>
        <v>1</v>
      </c>
      <c r="Y186" s="36">
        <f>IF(DaybyDay[[#This Row],[_Space]],IFERROR(
((DaybyDay[[#This Row],[Actual-Rollup]]-DaybyDay[[#This Row],[LY-Rollup]])/DaybyDay[[#This Row],[LY-Rollup]]),0),"")</f>
        <v>0</v>
      </c>
      <c r="Z186"/>
      <c r="AA186" s="37" t="e">
        <f>IF(DaybyDay[[#This Row],[_Space]],DaybyDay[[#This Row],[Ret-Act-RU]]/DaybyDay[[#This Row],[Serv-Act-RU]],"")</f>
        <v>#DIV/0!</v>
      </c>
      <c r="AB186" s="50" t="e">
        <f>IF(DaybyDay[[#This Row],[_Space]],DaybyDay[[#This Row],[RETPEN-Act]]/DaybyDay[[#This Row],[RETPEN-Bud]],"")</f>
        <v>#DIV/0!</v>
      </c>
      <c r="AC186" s="37" t="e">
        <f>IF(DaybyDay[[#This Row],[_Space]],DaybyDay[[#This Row],[Ret-Bud-RU]]/DaybyDay[[#This Row],[Serv-Bud-RU]],"")</f>
        <v>#DIV/0!</v>
      </c>
      <c r="AD186" s="37" t="e">
        <f>IF(DaybyDay[[#This Row],[_Space]],DaybyDay[[#This Row],[Ret-LY-RU]]/DaybyDay[[#This Row],[Serv-LY-RU]],"")</f>
        <v>#DIV/0!</v>
      </c>
      <c r="AE186" s="30">
        <f>WEEKDAY(DaybyDay[[#This Row],[LY-Date]])</f>
        <v>5</v>
      </c>
      <c r="AF186" s="38">
        <f>$E$2+_xlfn.DAYS(DaybyDay[[#This Row],[Date]],minDate)</f>
        <v>42551</v>
      </c>
      <c r="AG186" s="39" t="str" cm="1">
        <f t="array" ref="AG186">IFERROR(INDEX(DaybyDay[],DaybyDay[[#This Row],[FORM_MATCH_HELPER]],8),"")</f>
        <v/>
      </c>
      <c r="AH186" s="39" t="str" cm="1">
        <f t="array" ref="AH186">IFERROR(INDEX(DaybyDay[],DaybyDay[[#This Row],[FORM_MATCH_HELPER]],10),"")</f>
        <v/>
      </c>
      <c r="AI186" s="39" t="str" cm="1">
        <f t="array" ref="AI186">IFERROR(INDEX(DaybyDay[],DaybyDay[[#This Row],[FORM_MATCH_HELPER]],12),"")</f>
        <v/>
      </c>
      <c r="AJ186" s="32">
        <f>IFERROR(DaybyDay[[#This Row],[Serv-LY-RU]]+DaybyDay[[#This Row],[Ret-LY-RU]],"")</f>
        <v>0</v>
      </c>
      <c r="AK1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6" s="77"/>
      <c r="AM186" s="40" t="str">
        <f>IF(DaybyDay[[#This Row],[Admin Hours]]&gt;0,DaybyDay[[#This Row],[Admin Hours]]*$AM$2+$AM$3,"")</f>
        <v/>
      </c>
      <c r="AN186" s="40">
        <f>SUMIFS(DaybyDay[Est-Admin-Payroll],DaybyDay[Date],"&gt;="&amp;$C$5,DaybyDay[RowYear],"&gt;="&amp;$C$4,DaybyDay[Date],"&lt;="&amp;DaybyDay[[#This Row],[Date]])</f>
        <v>0</v>
      </c>
      <c r="AO186" s="41" t="str">
        <f>IF(AND(DaybyDay[[#This Row],[_Space]],ISNUMBER(DaybyDay[[#This Row],[Admin Hours]])),DaybyDay[[#This Row],[Est-Admin-Payroll]]/(DaybyDay[[#This Row],[Service-Actuals]]+DaybyDay[[#This Row],[Retail-Actuals]]),"")</f>
        <v/>
      </c>
      <c r="AP186" s="41" t="e">
        <f>DaybyDay[[#This Row],[Estimated-Payroll-Rollup]]/DaybyDay[[#This Row],[Simple-Forecast]]</f>
        <v>#DIV/0!</v>
      </c>
      <c r="AQ1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6" s="77"/>
      <c r="AS186" s="40" t="str">
        <f>IF(DaybyDay[[#This Row],[Retail Hours]]&gt;0,DaybyDay[[#This Row],[Retail Hours]]*$AS$2,"")</f>
        <v/>
      </c>
      <c r="AT186" s="40">
        <f>SUMIFS(DaybyDay[Est-Retail-Payroll],DaybyDay[Date],"&gt;="&amp;$C$5,DaybyDay[RowYear],"&gt;="&amp;$C$4,DaybyDay[Date],"&lt;="&amp;DaybyDay[[#This Row],[Date]])</f>
        <v>0</v>
      </c>
      <c r="AU186" s="82" t="str">
        <f>IF(AND(DaybyDay[[#This Row],[_Space]],ISNUMBER(DaybyDay[[#This Row],[Retail Hours]])),DaybyDay[[#This Row],[Est-Retail-Payroll]]/(DaybyDay[[#This Row],[Retail-Actuals]]),"")</f>
        <v/>
      </c>
      <c r="AV186" s="82" t="e">
        <f>DaybyDay[[#This Row],[Est-Retail-PayrollRU]]/DaybyDay[[#This Row],[Simple-Forecast-Retail]]</f>
        <v>#DIV/0!</v>
      </c>
      <c r="AW186" s="8"/>
    </row>
    <row r="187" spans="3:49" hidden="1" x14ac:dyDescent="0.25">
      <c r="C187" s="26" t="str">
        <f>Tools!$C$1</f>
        <v>Example</v>
      </c>
      <c r="D187" s="27" t="s">
        <v>73</v>
      </c>
      <c r="E187" s="28">
        <v>2017</v>
      </c>
      <c r="F187" s="28">
        <f>MATCH(DaybyDay[[#This Row],[RowMonth]],Table3[SummaryMonth],0)</f>
        <v>6</v>
      </c>
      <c r="G187" s="29" t="e">
        <f>MATCH(DaybyDay[[#This Row],[LY-Date]],DaybyDay[Date],0)</f>
        <v>#N/A</v>
      </c>
      <c r="H187" s="30">
        <f>WEEKDAY(DaybyDay[[#This Row],[Date]])</f>
        <v>6</v>
      </c>
      <c r="I187" s="31">
        <v>42916</v>
      </c>
      <c r="J187" s="74">
        <v>31</v>
      </c>
      <c r="K187" s="32">
        <f>SUMIFS(BudgetSeasonality[365 Seasonality],BudgetSeasonality[MonthAdjustment],DaybyDay[[#This Row],[Date]])*SUMIFS(Budgets[Service-Budget],Budgets[BudgetMonth],DaybyDay[[#This Row],[RowMonth]],Budgets[BudgetYear],DaybyDay[[#This Row],[RowYear]])</f>
        <v>0</v>
      </c>
      <c r="L187" s="75">
        <v>4847.1000000000004</v>
      </c>
      <c r="M187" s="32">
        <f>INDEX(BudgetSeasonality[365 Seasonality],MATCH(DaybyDay[[#This Row],[Date]],BudgetSeasonality[MonthAdjustment],0))*SUMIFS(Budgets[Retail-Budget],Budgets[BudgetMonth],DaybyDay[[#This Row],[RowMonth]],Budgets[BudgetYear],DaybyDay[[#This Row],[RowYear]])</f>
        <v>0</v>
      </c>
      <c r="N187" s="75">
        <v>1677.01</v>
      </c>
      <c r="O187" s="33">
        <f>SUMIFS(DaybyDay[Service-Budgets],DaybyDay[Date],"&gt;="&amp;$C$5,DaybyDay[RowYear],"&gt;="&amp;$C$4,DaybyDay[Date],"&lt;="&amp;DaybyDay[[#This Row],[Date]])</f>
        <v>0</v>
      </c>
      <c r="P187" s="33">
        <f>SUMIFS(DaybyDay[Retail-Budgets],DaybyDay[Date],"&gt;="&amp;$C$5,DaybyDay[RowYear],"&gt;="&amp;$C$4,DaybyDay[Date],"&lt;="&amp;DaybyDay[[#This Row],[Date]])</f>
        <v>0</v>
      </c>
      <c r="Q187" s="34">
        <f>SUMIFS(DaybyDay[Service-Actuals],DaybyDay[Date],"&gt;="&amp;$C$5,DaybyDay[RowYear],"&gt;="&amp;$C$4,DaybyDay[Date],"&lt;="&amp;DaybyDay[[#This Row],[Date]])</f>
        <v>0</v>
      </c>
      <c r="R187" s="34">
        <f>SUMIFS(DaybyDay[Retail-Actuals],DaybyDay[Date],"&gt;="&amp;$C$5,DaybyDay[RowYear],"&gt;="&amp;$C$4,DaybyDay[Date],"&lt;="&amp;DaybyDay[[#This Row],[Date]])</f>
        <v>0</v>
      </c>
      <c r="S187" s="35">
        <f>SUMIFS(DaybyDay[Service-LY],DaybyDay[Date],"&gt;="&amp;$C$5,DaybyDay[RowYear],"&gt;="&amp;$C$4,DaybyDay[Date],"&lt;="&amp;DaybyDay[[#This Row],[Date]])</f>
        <v>0</v>
      </c>
      <c r="T187" s="35">
        <f>SUMIFS(DaybyDay[Retail-LY],DaybyDay[Date],"&gt;="&amp;$C$5,DaybyDay[RowYear],"&gt;="&amp;$C$4,DaybyDay[Date],"&lt;="&amp;DaybyDay[[#This Row],[Date]])</f>
        <v>0</v>
      </c>
      <c r="U187" s="32">
        <f>DaybyDay[[#This Row],[Serv-Bud-RU]]+DaybyDay[[#This Row],[Ret-Bud-RU]]</f>
        <v>0</v>
      </c>
      <c r="V187" s="32">
        <f>DaybyDay[[#This Row],[Serv-Act-RU]]+DaybyDay[[#This Row],[Ret-Act-RU]]</f>
        <v>0</v>
      </c>
      <c r="W187" s="36">
        <f>IF(DaybyDay[[#This Row],[_Space]],IFERROR(
((DaybyDay[[#This Row],[Actual-Rollup]]-DaybyDay[[#This Row],[Budget-Rollup]])/DaybyDay[[#This Row],[Budget-Rollup]]),0),"")</f>
        <v>0</v>
      </c>
      <c r="X187" t="b">
        <f>NOT(AND(ISBLANK(DaybyDay[[#This Row],[Appts]]),ISBLANK(DaybyDay[[#This Row],[Service-Actuals]]),ISBLANK(DaybyDay[[#This Row],[Retail-Actuals]])))</f>
        <v>1</v>
      </c>
      <c r="Y187" s="36">
        <f>IF(DaybyDay[[#This Row],[_Space]],IFERROR(
((DaybyDay[[#This Row],[Actual-Rollup]]-DaybyDay[[#This Row],[LY-Rollup]])/DaybyDay[[#This Row],[LY-Rollup]]),0),"")</f>
        <v>0</v>
      </c>
      <c r="Z187"/>
      <c r="AA187" s="37" t="e">
        <f>IF(DaybyDay[[#This Row],[_Space]],DaybyDay[[#This Row],[Ret-Act-RU]]/DaybyDay[[#This Row],[Serv-Act-RU]],"")</f>
        <v>#DIV/0!</v>
      </c>
      <c r="AB187" s="50" t="e">
        <f>IF(DaybyDay[[#This Row],[_Space]],DaybyDay[[#This Row],[RETPEN-Act]]/DaybyDay[[#This Row],[RETPEN-Bud]],"")</f>
        <v>#DIV/0!</v>
      </c>
      <c r="AC187" s="37" t="e">
        <f>IF(DaybyDay[[#This Row],[_Space]],DaybyDay[[#This Row],[Ret-Bud-RU]]/DaybyDay[[#This Row],[Serv-Bud-RU]],"")</f>
        <v>#DIV/0!</v>
      </c>
      <c r="AD187" s="37" t="e">
        <f>IF(DaybyDay[[#This Row],[_Space]],DaybyDay[[#This Row],[Ret-LY-RU]]/DaybyDay[[#This Row],[Serv-LY-RU]],"")</f>
        <v>#DIV/0!</v>
      </c>
      <c r="AE187" s="30">
        <f>WEEKDAY(DaybyDay[[#This Row],[LY-Date]])</f>
        <v>6</v>
      </c>
      <c r="AF187" s="38">
        <f>$E$2+_xlfn.DAYS(DaybyDay[[#This Row],[Date]],minDate)</f>
        <v>42552</v>
      </c>
      <c r="AG187" s="39" t="str" cm="1">
        <f t="array" ref="AG187">IFERROR(INDEX(DaybyDay[],DaybyDay[[#This Row],[FORM_MATCH_HELPER]],8),"")</f>
        <v/>
      </c>
      <c r="AH187" s="39" t="str" cm="1">
        <f t="array" ref="AH187">IFERROR(INDEX(DaybyDay[],DaybyDay[[#This Row],[FORM_MATCH_HELPER]],10),"")</f>
        <v/>
      </c>
      <c r="AI187" s="39" t="str" cm="1">
        <f t="array" ref="AI187">IFERROR(INDEX(DaybyDay[],DaybyDay[[#This Row],[FORM_MATCH_HELPER]],12),"")</f>
        <v/>
      </c>
      <c r="AJ187" s="32">
        <f>IFERROR(DaybyDay[[#This Row],[Serv-LY-RU]]+DaybyDay[[#This Row],[Ret-LY-RU]],"")</f>
        <v>0</v>
      </c>
      <c r="AK1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7" s="77"/>
      <c r="AM187" s="40" t="str">
        <f>IF(DaybyDay[[#This Row],[Admin Hours]]&gt;0,DaybyDay[[#This Row],[Admin Hours]]*$AM$2+$AM$3,"")</f>
        <v/>
      </c>
      <c r="AN187" s="40">
        <f>SUMIFS(DaybyDay[Est-Admin-Payroll],DaybyDay[Date],"&gt;="&amp;$C$5,DaybyDay[RowYear],"&gt;="&amp;$C$4,DaybyDay[Date],"&lt;="&amp;DaybyDay[[#This Row],[Date]])</f>
        <v>0</v>
      </c>
      <c r="AO187" s="41" t="str">
        <f>IF(AND(DaybyDay[[#This Row],[_Space]],ISNUMBER(DaybyDay[[#This Row],[Admin Hours]])),DaybyDay[[#This Row],[Est-Admin-Payroll]]/(DaybyDay[[#This Row],[Service-Actuals]]+DaybyDay[[#This Row],[Retail-Actuals]]),"")</f>
        <v/>
      </c>
      <c r="AP187" s="41" t="e">
        <f>DaybyDay[[#This Row],[Estimated-Payroll-Rollup]]/DaybyDay[[#This Row],[Simple-Forecast]]</f>
        <v>#DIV/0!</v>
      </c>
      <c r="AQ1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7" s="77"/>
      <c r="AS187" s="40" t="str">
        <f>IF(DaybyDay[[#This Row],[Retail Hours]]&gt;0,DaybyDay[[#This Row],[Retail Hours]]*$AS$2,"")</f>
        <v/>
      </c>
      <c r="AT187" s="40">
        <f>SUMIFS(DaybyDay[Est-Retail-Payroll],DaybyDay[Date],"&gt;="&amp;$C$5,DaybyDay[RowYear],"&gt;="&amp;$C$4,DaybyDay[Date],"&lt;="&amp;DaybyDay[[#This Row],[Date]])</f>
        <v>0</v>
      </c>
      <c r="AU187" s="82" t="str">
        <f>IF(AND(DaybyDay[[#This Row],[_Space]],ISNUMBER(DaybyDay[[#This Row],[Retail Hours]])),DaybyDay[[#This Row],[Est-Retail-Payroll]]/(DaybyDay[[#This Row],[Retail-Actuals]]),"")</f>
        <v/>
      </c>
      <c r="AV187" s="82" t="e">
        <f>DaybyDay[[#This Row],[Est-Retail-PayrollRU]]/DaybyDay[[#This Row],[Simple-Forecast-Retail]]</f>
        <v>#DIV/0!</v>
      </c>
      <c r="AW187" s="8"/>
    </row>
    <row r="188" spans="3:49" hidden="1" x14ac:dyDescent="0.25">
      <c r="C188" s="26" t="str">
        <f>Tools!$C$1</f>
        <v>Example</v>
      </c>
      <c r="D188" s="27" t="s">
        <v>73</v>
      </c>
      <c r="E188" s="28">
        <v>2017</v>
      </c>
      <c r="F188" s="28">
        <f>MATCH(DaybyDay[[#This Row],[RowMonth]],Table3[SummaryMonth],0)</f>
        <v>6</v>
      </c>
      <c r="G188" s="29" t="e">
        <f>MATCH(DaybyDay[[#This Row],[LY-Date]],DaybyDay[Date],0)</f>
        <v>#N/A</v>
      </c>
      <c r="H188" s="30">
        <f>WEEKDAY(DaybyDay[[#This Row],[Date]])</f>
        <v>7</v>
      </c>
      <c r="I188" s="31">
        <v>42917</v>
      </c>
      <c r="J188" s="74">
        <v>17</v>
      </c>
      <c r="K188" s="32">
        <f>SUMIFS(BudgetSeasonality[365 Seasonality],BudgetSeasonality[MonthAdjustment],DaybyDay[[#This Row],[Date]])*SUMIFS(Budgets[Service-Budget],Budgets[BudgetMonth],DaybyDay[[#This Row],[RowMonth]],Budgets[BudgetYear],DaybyDay[[#This Row],[RowYear]])</f>
        <v>0</v>
      </c>
      <c r="L188" s="75">
        <v>5370</v>
      </c>
      <c r="M188" s="32">
        <f>INDEX(BudgetSeasonality[365 Seasonality],MATCH(DaybyDay[[#This Row],[Date]],BudgetSeasonality[MonthAdjustment],0))*SUMIFS(Budgets[Retail-Budget],Budgets[BudgetMonth],DaybyDay[[#This Row],[RowMonth]],Budgets[BudgetYear],DaybyDay[[#This Row],[RowYear]])</f>
        <v>0</v>
      </c>
      <c r="N188" s="75">
        <v>2641.9</v>
      </c>
      <c r="O188" s="33">
        <f>SUMIFS(DaybyDay[Service-Budgets],DaybyDay[Date],"&gt;="&amp;$C$5,DaybyDay[RowYear],"&gt;="&amp;$C$4,DaybyDay[Date],"&lt;="&amp;DaybyDay[[#This Row],[Date]])</f>
        <v>0</v>
      </c>
      <c r="P188" s="33">
        <f>SUMIFS(DaybyDay[Retail-Budgets],DaybyDay[Date],"&gt;="&amp;$C$5,DaybyDay[RowYear],"&gt;="&amp;$C$4,DaybyDay[Date],"&lt;="&amp;DaybyDay[[#This Row],[Date]])</f>
        <v>0</v>
      </c>
      <c r="Q188" s="34">
        <f>SUMIFS(DaybyDay[Service-Actuals],DaybyDay[Date],"&gt;="&amp;$C$5,DaybyDay[RowYear],"&gt;="&amp;$C$4,DaybyDay[Date],"&lt;="&amp;DaybyDay[[#This Row],[Date]])</f>
        <v>0</v>
      </c>
      <c r="R188" s="34">
        <f>SUMIFS(DaybyDay[Retail-Actuals],DaybyDay[Date],"&gt;="&amp;$C$5,DaybyDay[RowYear],"&gt;="&amp;$C$4,DaybyDay[Date],"&lt;="&amp;DaybyDay[[#This Row],[Date]])</f>
        <v>0</v>
      </c>
      <c r="S188" s="35">
        <f>SUMIFS(DaybyDay[Service-LY],DaybyDay[Date],"&gt;="&amp;$C$5,DaybyDay[RowYear],"&gt;="&amp;$C$4,DaybyDay[Date],"&lt;="&amp;DaybyDay[[#This Row],[Date]])</f>
        <v>0</v>
      </c>
      <c r="T188" s="35">
        <f>SUMIFS(DaybyDay[Retail-LY],DaybyDay[Date],"&gt;="&amp;$C$5,DaybyDay[RowYear],"&gt;="&amp;$C$4,DaybyDay[Date],"&lt;="&amp;DaybyDay[[#This Row],[Date]])</f>
        <v>0</v>
      </c>
      <c r="U188" s="32">
        <f>DaybyDay[[#This Row],[Serv-Bud-RU]]+DaybyDay[[#This Row],[Ret-Bud-RU]]</f>
        <v>0</v>
      </c>
      <c r="V188" s="32">
        <f>DaybyDay[[#This Row],[Serv-Act-RU]]+DaybyDay[[#This Row],[Ret-Act-RU]]</f>
        <v>0</v>
      </c>
      <c r="W188" s="36">
        <f>IF(DaybyDay[[#This Row],[_Space]],IFERROR(
((DaybyDay[[#This Row],[Actual-Rollup]]-DaybyDay[[#This Row],[Budget-Rollup]])/DaybyDay[[#This Row],[Budget-Rollup]]),0),"")</f>
        <v>0</v>
      </c>
      <c r="X188" t="b">
        <f>NOT(AND(ISBLANK(DaybyDay[[#This Row],[Appts]]),ISBLANK(DaybyDay[[#This Row],[Service-Actuals]]),ISBLANK(DaybyDay[[#This Row],[Retail-Actuals]])))</f>
        <v>1</v>
      </c>
      <c r="Y188" s="36">
        <f>IF(DaybyDay[[#This Row],[_Space]],IFERROR(
((DaybyDay[[#This Row],[Actual-Rollup]]-DaybyDay[[#This Row],[LY-Rollup]])/DaybyDay[[#This Row],[LY-Rollup]]),0),"")</f>
        <v>0</v>
      </c>
      <c r="Z188"/>
      <c r="AA188" s="37" t="e">
        <f>IF(DaybyDay[[#This Row],[_Space]],DaybyDay[[#This Row],[Ret-Act-RU]]/DaybyDay[[#This Row],[Serv-Act-RU]],"")</f>
        <v>#DIV/0!</v>
      </c>
      <c r="AB188" s="50" t="e">
        <f>IF(DaybyDay[[#This Row],[_Space]],DaybyDay[[#This Row],[RETPEN-Act]]/DaybyDay[[#This Row],[RETPEN-Bud]],"")</f>
        <v>#DIV/0!</v>
      </c>
      <c r="AC188" s="37" t="e">
        <f>IF(DaybyDay[[#This Row],[_Space]],DaybyDay[[#This Row],[Ret-Bud-RU]]/DaybyDay[[#This Row],[Serv-Bud-RU]],"")</f>
        <v>#DIV/0!</v>
      </c>
      <c r="AD188" s="37" t="e">
        <f>IF(DaybyDay[[#This Row],[_Space]],DaybyDay[[#This Row],[Ret-LY-RU]]/DaybyDay[[#This Row],[Serv-LY-RU]],"")</f>
        <v>#DIV/0!</v>
      </c>
      <c r="AE188" s="30">
        <f>WEEKDAY(DaybyDay[[#This Row],[LY-Date]])</f>
        <v>7</v>
      </c>
      <c r="AF188" s="38">
        <f>$E$2+_xlfn.DAYS(DaybyDay[[#This Row],[Date]],minDate)</f>
        <v>42553</v>
      </c>
      <c r="AG188" s="39" t="str" cm="1">
        <f t="array" ref="AG188">IFERROR(INDEX(DaybyDay[],DaybyDay[[#This Row],[FORM_MATCH_HELPER]],8),"")</f>
        <v/>
      </c>
      <c r="AH188" s="39" t="str" cm="1">
        <f t="array" ref="AH188">IFERROR(INDEX(DaybyDay[],DaybyDay[[#This Row],[FORM_MATCH_HELPER]],10),"")</f>
        <v/>
      </c>
      <c r="AI188" s="39" t="str" cm="1">
        <f t="array" ref="AI188">IFERROR(INDEX(DaybyDay[],DaybyDay[[#This Row],[FORM_MATCH_HELPER]],12),"")</f>
        <v/>
      </c>
      <c r="AJ188" s="32">
        <f>IFERROR(DaybyDay[[#This Row],[Serv-LY-RU]]+DaybyDay[[#This Row],[Ret-LY-RU]],"")</f>
        <v>0</v>
      </c>
      <c r="AK1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8" s="77"/>
      <c r="AM188" s="40" t="str">
        <f>IF(DaybyDay[[#This Row],[Admin Hours]]&gt;0,DaybyDay[[#This Row],[Admin Hours]]*$AM$2+$AM$3,"")</f>
        <v/>
      </c>
      <c r="AN188" s="40">
        <f>SUMIFS(DaybyDay[Est-Admin-Payroll],DaybyDay[Date],"&gt;="&amp;$C$5,DaybyDay[RowYear],"&gt;="&amp;$C$4,DaybyDay[Date],"&lt;="&amp;DaybyDay[[#This Row],[Date]])</f>
        <v>0</v>
      </c>
      <c r="AO188" s="41" t="str">
        <f>IF(AND(DaybyDay[[#This Row],[_Space]],ISNUMBER(DaybyDay[[#This Row],[Admin Hours]])),DaybyDay[[#This Row],[Est-Admin-Payroll]]/(DaybyDay[[#This Row],[Service-Actuals]]+DaybyDay[[#This Row],[Retail-Actuals]]),"")</f>
        <v/>
      </c>
      <c r="AP188" s="41" t="e">
        <f>DaybyDay[[#This Row],[Estimated-Payroll-Rollup]]/DaybyDay[[#This Row],[Simple-Forecast]]</f>
        <v>#DIV/0!</v>
      </c>
      <c r="AQ1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8" s="77"/>
      <c r="AS188" s="40" t="str">
        <f>IF(DaybyDay[[#This Row],[Retail Hours]]&gt;0,DaybyDay[[#This Row],[Retail Hours]]*$AS$2,"")</f>
        <v/>
      </c>
      <c r="AT188" s="40">
        <f>SUMIFS(DaybyDay[Est-Retail-Payroll],DaybyDay[Date],"&gt;="&amp;$C$5,DaybyDay[RowYear],"&gt;="&amp;$C$4,DaybyDay[Date],"&lt;="&amp;DaybyDay[[#This Row],[Date]])</f>
        <v>0</v>
      </c>
      <c r="AU188" s="82" t="str">
        <f>IF(AND(DaybyDay[[#This Row],[_Space]],ISNUMBER(DaybyDay[[#This Row],[Retail Hours]])),DaybyDay[[#This Row],[Est-Retail-Payroll]]/(DaybyDay[[#This Row],[Retail-Actuals]]),"")</f>
        <v/>
      </c>
      <c r="AV188" s="82" t="e">
        <f>DaybyDay[[#This Row],[Est-Retail-PayrollRU]]/DaybyDay[[#This Row],[Simple-Forecast-Retail]]</f>
        <v>#DIV/0!</v>
      </c>
      <c r="AW188" s="8"/>
    </row>
    <row r="189" spans="3:49" hidden="1" x14ac:dyDescent="0.25">
      <c r="C189" s="26" t="str">
        <f>Tools!$C$1</f>
        <v>Example</v>
      </c>
      <c r="D189" s="27" t="s">
        <v>74</v>
      </c>
      <c r="E189" s="28">
        <v>2017</v>
      </c>
      <c r="F189" s="28">
        <f>MATCH(DaybyDay[[#This Row],[RowMonth]],Table3[SummaryMonth],0)</f>
        <v>7</v>
      </c>
      <c r="G189" s="29" t="e">
        <f>MATCH(DaybyDay[[#This Row],[LY-Date]],DaybyDay[Date],0)</f>
        <v>#N/A</v>
      </c>
      <c r="H189" s="30">
        <f>WEEKDAY(DaybyDay[[#This Row],[Date]])</f>
        <v>1</v>
      </c>
      <c r="I189" s="31">
        <v>42918</v>
      </c>
      <c r="J189" s="74">
        <v>11</v>
      </c>
      <c r="K189" s="32">
        <f>SUMIFS(BudgetSeasonality[365 Seasonality],BudgetSeasonality[MonthAdjustment],DaybyDay[[#This Row],[Date]])*SUMIFS(Budgets[Service-Budget],Budgets[BudgetMonth],DaybyDay[[#This Row],[RowMonth]],Budgets[BudgetYear],DaybyDay[[#This Row],[RowYear]])</f>
        <v>0</v>
      </c>
      <c r="L189" s="75">
        <v>2532.75</v>
      </c>
      <c r="M189" s="32">
        <f>INDEX(BudgetSeasonality[365 Seasonality],MATCH(DaybyDay[[#This Row],[Date]],BudgetSeasonality[MonthAdjustment],0))*SUMIFS(Budgets[Retail-Budget],Budgets[BudgetMonth],DaybyDay[[#This Row],[RowMonth]],Budgets[BudgetYear],DaybyDay[[#This Row],[RowYear]])</f>
        <v>0</v>
      </c>
      <c r="N189" s="75">
        <v>240</v>
      </c>
      <c r="O189" s="33">
        <f>SUMIFS(DaybyDay[Service-Budgets],DaybyDay[Date],"&gt;="&amp;$C$5,DaybyDay[RowYear],"&gt;="&amp;$C$4,DaybyDay[Date],"&lt;="&amp;DaybyDay[[#This Row],[Date]])</f>
        <v>0</v>
      </c>
      <c r="P189" s="33">
        <f>SUMIFS(DaybyDay[Retail-Budgets],DaybyDay[Date],"&gt;="&amp;$C$5,DaybyDay[RowYear],"&gt;="&amp;$C$4,DaybyDay[Date],"&lt;="&amp;DaybyDay[[#This Row],[Date]])</f>
        <v>0</v>
      </c>
      <c r="Q189" s="34">
        <f>SUMIFS(DaybyDay[Service-Actuals],DaybyDay[Date],"&gt;="&amp;$C$5,DaybyDay[RowYear],"&gt;="&amp;$C$4,DaybyDay[Date],"&lt;="&amp;DaybyDay[[#This Row],[Date]])</f>
        <v>0</v>
      </c>
      <c r="R189" s="34">
        <f>SUMIFS(DaybyDay[Retail-Actuals],DaybyDay[Date],"&gt;="&amp;$C$5,DaybyDay[RowYear],"&gt;="&amp;$C$4,DaybyDay[Date],"&lt;="&amp;DaybyDay[[#This Row],[Date]])</f>
        <v>0</v>
      </c>
      <c r="S189" s="35">
        <f>SUMIFS(DaybyDay[Service-LY],DaybyDay[Date],"&gt;="&amp;$C$5,DaybyDay[RowYear],"&gt;="&amp;$C$4,DaybyDay[Date],"&lt;="&amp;DaybyDay[[#This Row],[Date]])</f>
        <v>0</v>
      </c>
      <c r="T189" s="35">
        <f>SUMIFS(DaybyDay[Retail-LY],DaybyDay[Date],"&gt;="&amp;$C$5,DaybyDay[RowYear],"&gt;="&amp;$C$4,DaybyDay[Date],"&lt;="&amp;DaybyDay[[#This Row],[Date]])</f>
        <v>0</v>
      </c>
      <c r="U189" s="32">
        <f>DaybyDay[[#This Row],[Serv-Bud-RU]]+DaybyDay[[#This Row],[Ret-Bud-RU]]</f>
        <v>0</v>
      </c>
      <c r="V189" s="32">
        <f>DaybyDay[[#This Row],[Serv-Act-RU]]+DaybyDay[[#This Row],[Ret-Act-RU]]</f>
        <v>0</v>
      </c>
      <c r="W189" s="36">
        <f>IF(DaybyDay[[#This Row],[_Space]],IFERROR(
((DaybyDay[[#This Row],[Actual-Rollup]]-DaybyDay[[#This Row],[Budget-Rollup]])/DaybyDay[[#This Row],[Budget-Rollup]]),0),"")</f>
        <v>0</v>
      </c>
      <c r="X189" t="b">
        <f>NOT(AND(ISBLANK(DaybyDay[[#This Row],[Appts]]),ISBLANK(DaybyDay[[#This Row],[Service-Actuals]]),ISBLANK(DaybyDay[[#This Row],[Retail-Actuals]])))</f>
        <v>1</v>
      </c>
      <c r="Y189" s="36">
        <f>IF(DaybyDay[[#This Row],[_Space]],IFERROR(
((DaybyDay[[#This Row],[Actual-Rollup]]-DaybyDay[[#This Row],[LY-Rollup]])/DaybyDay[[#This Row],[LY-Rollup]]),0),"")</f>
        <v>0</v>
      </c>
      <c r="Z189"/>
      <c r="AA189" s="37" t="e">
        <f>IF(DaybyDay[[#This Row],[_Space]],DaybyDay[[#This Row],[Ret-Act-RU]]/DaybyDay[[#This Row],[Serv-Act-RU]],"")</f>
        <v>#DIV/0!</v>
      </c>
      <c r="AB189" s="50" t="e">
        <f>IF(DaybyDay[[#This Row],[_Space]],DaybyDay[[#This Row],[RETPEN-Act]]/DaybyDay[[#This Row],[RETPEN-Bud]],"")</f>
        <v>#DIV/0!</v>
      </c>
      <c r="AC189" s="37" t="e">
        <f>IF(DaybyDay[[#This Row],[_Space]],DaybyDay[[#This Row],[Ret-Bud-RU]]/DaybyDay[[#This Row],[Serv-Bud-RU]],"")</f>
        <v>#DIV/0!</v>
      </c>
      <c r="AD189" s="37" t="e">
        <f>IF(DaybyDay[[#This Row],[_Space]],DaybyDay[[#This Row],[Ret-LY-RU]]/DaybyDay[[#This Row],[Serv-LY-RU]],"")</f>
        <v>#DIV/0!</v>
      </c>
      <c r="AE189" s="30">
        <f>WEEKDAY(DaybyDay[[#This Row],[LY-Date]])</f>
        <v>1</v>
      </c>
      <c r="AF189" s="38">
        <f>$E$2+_xlfn.DAYS(DaybyDay[[#This Row],[Date]],minDate)</f>
        <v>42554</v>
      </c>
      <c r="AG189" s="39" t="str" cm="1">
        <f t="array" ref="AG189">IFERROR(INDEX(DaybyDay[],DaybyDay[[#This Row],[FORM_MATCH_HELPER]],8),"")</f>
        <v/>
      </c>
      <c r="AH189" s="39" t="str" cm="1">
        <f t="array" ref="AH189">IFERROR(INDEX(DaybyDay[],DaybyDay[[#This Row],[FORM_MATCH_HELPER]],10),"")</f>
        <v/>
      </c>
      <c r="AI189" s="39" t="str" cm="1">
        <f t="array" ref="AI189">IFERROR(INDEX(DaybyDay[],DaybyDay[[#This Row],[FORM_MATCH_HELPER]],12),"")</f>
        <v/>
      </c>
      <c r="AJ189" s="32">
        <f>IFERROR(DaybyDay[[#This Row],[Serv-LY-RU]]+DaybyDay[[#This Row],[Ret-LY-RU]],"")</f>
        <v>0</v>
      </c>
      <c r="AK1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89" s="77"/>
      <c r="AM189" s="40" t="str">
        <f>IF(DaybyDay[[#This Row],[Admin Hours]]&gt;0,DaybyDay[[#This Row],[Admin Hours]]*$AM$2+$AM$3,"")</f>
        <v/>
      </c>
      <c r="AN189" s="40">
        <f>SUMIFS(DaybyDay[Est-Admin-Payroll],DaybyDay[Date],"&gt;="&amp;$C$5,DaybyDay[RowYear],"&gt;="&amp;$C$4,DaybyDay[Date],"&lt;="&amp;DaybyDay[[#This Row],[Date]])</f>
        <v>0</v>
      </c>
      <c r="AO189" s="41" t="str">
        <f>IF(AND(DaybyDay[[#This Row],[_Space]],ISNUMBER(DaybyDay[[#This Row],[Admin Hours]])),DaybyDay[[#This Row],[Est-Admin-Payroll]]/(DaybyDay[[#This Row],[Service-Actuals]]+DaybyDay[[#This Row],[Retail-Actuals]]),"")</f>
        <v/>
      </c>
      <c r="AP189" s="41" t="e">
        <f>DaybyDay[[#This Row],[Estimated-Payroll-Rollup]]/DaybyDay[[#This Row],[Simple-Forecast]]</f>
        <v>#DIV/0!</v>
      </c>
      <c r="AQ1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89" s="77"/>
      <c r="AS189" s="40" t="str">
        <f>IF(DaybyDay[[#This Row],[Retail Hours]]&gt;0,DaybyDay[[#This Row],[Retail Hours]]*$AS$2,"")</f>
        <v/>
      </c>
      <c r="AT189" s="40">
        <f>SUMIFS(DaybyDay[Est-Retail-Payroll],DaybyDay[Date],"&gt;="&amp;$C$5,DaybyDay[RowYear],"&gt;="&amp;$C$4,DaybyDay[Date],"&lt;="&amp;DaybyDay[[#This Row],[Date]])</f>
        <v>0</v>
      </c>
      <c r="AU189" s="82" t="str">
        <f>IF(AND(DaybyDay[[#This Row],[_Space]],ISNUMBER(DaybyDay[[#This Row],[Retail Hours]])),DaybyDay[[#This Row],[Est-Retail-Payroll]]/(DaybyDay[[#This Row],[Retail-Actuals]]),"")</f>
        <v/>
      </c>
      <c r="AV189" s="82" t="e">
        <f>DaybyDay[[#This Row],[Est-Retail-PayrollRU]]/DaybyDay[[#This Row],[Simple-Forecast-Retail]]</f>
        <v>#DIV/0!</v>
      </c>
      <c r="AW189" s="8"/>
    </row>
    <row r="190" spans="3:49" hidden="1" x14ac:dyDescent="0.25">
      <c r="C190" s="26" t="str">
        <f>Tools!$C$1</f>
        <v>Example</v>
      </c>
      <c r="D190" s="27" t="s">
        <v>74</v>
      </c>
      <c r="E190" s="28">
        <v>2017</v>
      </c>
      <c r="F190" s="28">
        <f>MATCH(DaybyDay[[#This Row],[RowMonth]],Table3[SummaryMonth],0)</f>
        <v>7</v>
      </c>
      <c r="G190" s="29" t="e">
        <f>MATCH(DaybyDay[[#This Row],[LY-Date]],DaybyDay[Date],0)</f>
        <v>#N/A</v>
      </c>
      <c r="H190" s="30">
        <f>WEEKDAY(DaybyDay[[#This Row],[Date]])</f>
        <v>2</v>
      </c>
      <c r="I190" s="31">
        <v>42919</v>
      </c>
      <c r="J190" s="74">
        <v>13</v>
      </c>
      <c r="K190" s="32">
        <f>SUMIFS(BudgetSeasonality[365 Seasonality],BudgetSeasonality[MonthAdjustment],DaybyDay[[#This Row],[Date]])*SUMIFS(Budgets[Service-Budget],Budgets[BudgetMonth],DaybyDay[[#This Row],[RowMonth]],Budgets[BudgetYear],DaybyDay[[#This Row],[RowYear]])</f>
        <v>0</v>
      </c>
      <c r="L190" s="75">
        <v>3015.8</v>
      </c>
      <c r="M190" s="32">
        <f>INDEX(BudgetSeasonality[365 Seasonality],MATCH(DaybyDay[[#This Row],[Date]],BudgetSeasonality[MonthAdjustment],0))*SUMIFS(Budgets[Retail-Budget],Budgets[BudgetMonth],DaybyDay[[#This Row],[RowMonth]],Budgets[BudgetYear],DaybyDay[[#This Row],[RowYear]])</f>
        <v>0</v>
      </c>
      <c r="N190" s="75">
        <v>609</v>
      </c>
      <c r="O190" s="33">
        <f>SUMIFS(DaybyDay[Service-Budgets],DaybyDay[Date],"&gt;="&amp;$C$5,DaybyDay[RowYear],"&gt;="&amp;$C$4,DaybyDay[Date],"&lt;="&amp;DaybyDay[[#This Row],[Date]])</f>
        <v>0</v>
      </c>
      <c r="P190" s="33">
        <f>SUMIFS(DaybyDay[Retail-Budgets],DaybyDay[Date],"&gt;="&amp;$C$5,DaybyDay[RowYear],"&gt;="&amp;$C$4,DaybyDay[Date],"&lt;="&amp;DaybyDay[[#This Row],[Date]])</f>
        <v>0</v>
      </c>
      <c r="Q190" s="34">
        <f>SUMIFS(DaybyDay[Service-Actuals],DaybyDay[Date],"&gt;="&amp;$C$5,DaybyDay[RowYear],"&gt;="&amp;$C$4,DaybyDay[Date],"&lt;="&amp;DaybyDay[[#This Row],[Date]])</f>
        <v>0</v>
      </c>
      <c r="R190" s="34">
        <f>SUMIFS(DaybyDay[Retail-Actuals],DaybyDay[Date],"&gt;="&amp;$C$5,DaybyDay[RowYear],"&gt;="&amp;$C$4,DaybyDay[Date],"&lt;="&amp;DaybyDay[[#This Row],[Date]])</f>
        <v>0</v>
      </c>
      <c r="S190" s="35">
        <f>SUMIFS(DaybyDay[Service-LY],DaybyDay[Date],"&gt;="&amp;$C$5,DaybyDay[RowYear],"&gt;="&amp;$C$4,DaybyDay[Date],"&lt;="&amp;DaybyDay[[#This Row],[Date]])</f>
        <v>0</v>
      </c>
      <c r="T190" s="35">
        <f>SUMIFS(DaybyDay[Retail-LY],DaybyDay[Date],"&gt;="&amp;$C$5,DaybyDay[RowYear],"&gt;="&amp;$C$4,DaybyDay[Date],"&lt;="&amp;DaybyDay[[#This Row],[Date]])</f>
        <v>0</v>
      </c>
      <c r="U190" s="32">
        <f>DaybyDay[[#This Row],[Serv-Bud-RU]]+DaybyDay[[#This Row],[Ret-Bud-RU]]</f>
        <v>0</v>
      </c>
      <c r="V190" s="32">
        <f>DaybyDay[[#This Row],[Serv-Act-RU]]+DaybyDay[[#This Row],[Ret-Act-RU]]</f>
        <v>0</v>
      </c>
      <c r="W190" s="36">
        <f>IF(DaybyDay[[#This Row],[_Space]],IFERROR(
((DaybyDay[[#This Row],[Actual-Rollup]]-DaybyDay[[#This Row],[Budget-Rollup]])/DaybyDay[[#This Row],[Budget-Rollup]]),0),"")</f>
        <v>0</v>
      </c>
      <c r="X190" t="b">
        <f>NOT(AND(ISBLANK(DaybyDay[[#This Row],[Appts]]),ISBLANK(DaybyDay[[#This Row],[Service-Actuals]]),ISBLANK(DaybyDay[[#This Row],[Retail-Actuals]])))</f>
        <v>1</v>
      </c>
      <c r="Y190" s="36">
        <f>IF(DaybyDay[[#This Row],[_Space]],IFERROR(
((DaybyDay[[#This Row],[Actual-Rollup]]-DaybyDay[[#This Row],[LY-Rollup]])/DaybyDay[[#This Row],[LY-Rollup]]),0),"")</f>
        <v>0</v>
      </c>
      <c r="Z190"/>
      <c r="AA190" s="37" t="e">
        <f>IF(DaybyDay[[#This Row],[_Space]],DaybyDay[[#This Row],[Ret-Act-RU]]/DaybyDay[[#This Row],[Serv-Act-RU]],"")</f>
        <v>#DIV/0!</v>
      </c>
      <c r="AB190" s="50" t="e">
        <f>IF(DaybyDay[[#This Row],[_Space]],DaybyDay[[#This Row],[RETPEN-Act]]/DaybyDay[[#This Row],[RETPEN-Bud]],"")</f>
        <v>#DIV/0!</v>
      </c>
      <c r="AC190" s="37" t="e">
        <f>IF(DaybyDay[[#This Row],[_Space]],DaybyDay[[#This Row],[Ret-Bud-RU]]/DaybyDay[[#This Row],[Serv-Bud-RU]],"")</f>
        <v>#DIV/0!</v>
      </c>
      <c r="AD190" s="37" t="e">
        <f>IF(DaybyDay[[#This Row],[_Space]],DaybyDay[[#This Row],[Ret-LY-RU]]/DaybyDay[[#This Row],[Serv-LY-RU]],"")</f>
        <v>#DIV/0!</v>
      </c>
      <c r="AE190" s="30">
        <f>WEEKDAY(DaybyDay[[#This Row],[LY-Date]])</f>
        <v>2</v>
      </c>
      <c r="AF190" s="38">
        <f>$E$2+_xlfn.DAYS(DaybyDay[[#This Row],[Date]],minDate)</f>
        <v>42555</v>
      </c>
      <c r="AG190" s="39" t="str" cm="1">
        <f t="array" ref="AG190">IFERROR(INDEX(DaybyDay[],DaybyDay[[#This Row],[FORM_MATCH_HELPER]],8),"")</f>
        <v/>
      </c>
      <c r="AH190" s="39" t="str" cm="1">
        <f t="array" ref="AH190">IFERROR(INDEX(DaybyDay[],DaybyDay[[#This Row],[FORM_MATCH_HELPER]],10),"")</f>
        <v/>
      </c>
      <c r="AI190" s="39" t="str" cm="1">
        <f t="array" ref="AI190">IFERROR(INDEX(DaybyDay[],DaybyDay[[#This Row],[FORM_MATCH_HELPER]],12),"")</f>
        <v/>
      </c>
      <c r="AJ190" s="32">
        <f>IFERROR(DaybyDay[[#This Row],[Serv-LY-RU]]+DaybyDay[[#This Row],[Ret-LY-RU]],"")</f>
        <v>0</v>
      </c>
      <c r="AK1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0" s="77"/>
      <c r="AM190" s="40" t="str">
        <f>IF(DaybyDay[[#This Row],[Admin Hours]]&gt;0,DaybyDay[[#This Row],[Admin Hours]]*$AM$2+$AM$3,"")</f>
        <v/>
      </c>
      <c r="AN190" s="40">
        <f>SUMIFS(DaybyDay[Est-Admin-Payroll],DaybyDay[Date],"&gt;="&amp;$C$5,DaybyDay[RowYear],"&gt;="&amp;$C$4,DaybyDay[Date],"&lt;="&amp;DaybyDay[[#This Row],[Date]])</f>
        <v>0</v>
      </c>
      <c r="AO190" s="41" t="str">
        <f>IF(AND(DaybyDay[[#This Row],[_Space]],ISNUMBER(DaybyDay[[#This Row],[Admin Hours]])),DaybyDay[[#This Row],[Est-Admin-Payroll]]/(DaybyDay[[#This Row],[Service-Actuals]]+DaybyDay[[#This Row],[Retail-Actuals]]),"")</f>
        <v/>
      </c>
      <c r="AP190" s="41" t="e">
        <f>DaybyDay[[#This Row],[Estimated-Payroll-Rollup]]/DaybyDay[[#This Row],[Simple-Forecast]]</f>
        <v>#DIV/0!</v>
      </c>
      <c r="AQ1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0" s="77"/>
      <c r="AS190" s="40" t="str">
        <f>IF(DaybyDay[[#This Row],[Retail Hours]]&gt;0,DaybyDay[[#This Row],[Retail Hours]]*$AS$2,"")</f>
        <v/>
      </c>
      <c r="AT190" s="40">
        <f>SUMIFS(DaybyDay[Est-Retail-Payroll],DaybyDay[Date],"&gt;="&amp;$C$5,DaybyDay[RowYear],"&gt;="&amp;$C$4,DaybyDay[Date],"&lt;="&amp;DaybyDay[[#This Row],[Date]])</f>
        <v>0</v>
      </c>
      <c r="AU190" s="82" t="str">
        <f>IF(AND(DaybyDay[[#This Row],[_Space]],ISNUMBER(DaybyDay[[#This Row],[Retail Hours]])),DaybyDay[[#This Row],[Est-Retail-Payroll]]/(DaybyDay[[#This Row],[Retail-Actuals]]),"")</f>
        <v/>
      </c>
      <c r="AV190" s="82" t="e">
        <f>DaybyDay[[#This Row],[Est-Retail-PayrollRU]]/DaybyDay[[#This Row],[Simple-Forecast-Retail]]</f>
        <v>#DIV/0!</v>
      </c>
      <c r="AW190" s="8"/>
    </row>
    <row r="191" spans="3:49" hidden="1" x14ac:dyDescent="0.25">
      <c r="C191" s="26" t="str">
        <f>Tools!$C$1</f>
        <v>Example</v>
      </c>
      <c r="D191" s="27" t="s">
        <v>74</v>
      </c>
      <c r="E191" s="28">
        <v>2017</v>
      </c>
      <c r="F191" s="28">
        <f>MATCH(DaybyDay[[#This Row],[RowMonth]],Table3[SummaryMonth],0)</f>
        <v>7</v>
      </c>
      <c r="G191" s="29" t="e">
        <f>MATCH(DaybyDay[[#This Row],[LY-Date]],DaybyDay[Date],0)</f>
        <v>#N/A</v>
      </c>
      <c r="H191" s="30">
        <f>WEEKDAY(DaybyDay[[#This Row],[Date]])</f>
        <v>3</v>
      </c>
      <c r="I191" s="31">
        <v>42920</v>
      </c>
      <c r="J191" s="74">
        <v>7</v>
      </c>
      <c r="K191" s="32">
        <f>SUMIFS(BudgetSeasonality[365 Seasonality],BudgetSeasonality[MonthAdjustment],DaybyDay[[#This Row],[Date]])*SUMIFS(Budgets[Service-Budget],Budgets[BudgetMonth],DaybyDay[[#This Row],[RowMonth]],Budgets[BudgetYear],DaybyDay[[#This Row],[RowYear]])</f>
        <v>0</v>
      </c>
      <c r="L191" s="75">
        <v>1221</v>
      </c>
      <c r="M191" s="32">
        <f>INDEX(BudgetSeasonality[365 Seasonality],MATCH(DaybyDay[[#This Row],[Date]],BudgetSeasonality[MonthAdjustment],0))*SUMIFS(Budgets[Retail-Budget],Budgets[BudgetMonth],DaybyDay[[#This Row],[RowMonth]],Budgets[BudgetYear],DaybyDay[[#This Row],[RowYear]])</f>
        <v>0</v>
      </c>
      <c r="N191" s="75">
        <v>0</v>
      </c>
      <c r="O191" s="33">
        <f>SUMIFS(DaybyDay[Service-Budgets],DaybyDay[Date],"&gt;="&amp;$C$5,DaybyDay[RowYear],"&gt;="&amp;$C$4,DaybyDay[Date],"&lt;="&amp;DaybyDay[[#This Row],[Date]])</f>
        <v>0</v>
      </c>
      <c r="P191" s="33">
        <f>SUMIFS(DaybyDay[Retail-Budgets],DaybyDay[Date],"&gt;="&amp;$C$5,DaybyDay[RowYear],"&gt;="&amp;$C$4,DaybyDay[Date],"&lt;="&amp;DaybyDay[[#This Row],[Date]])</f>
        <v>0</v>
      </c>
      <c r="Q191" s="34">
        <f>SUMIFS(DaybyDay[Service-Actuals],DaybyDay[Date],"&gt;="&amp;$C$5,DaybyDay[RowYear],"&gt;="&amp;$C$4,DaybyDay[Date],"&lt;="&amp;DaybyDay[[#This Row],[Date]])</f>
        <v>0</v>
      </c>
      <c r="R191" s="34">
        <f>SUMIFS(DaybyDay[Retail-Actuals],DaybyDay[Date],"&gt;="&amp;$C$5,DaybyDay[RowYear],"&gt;="&amp;$C$4,DaybyDay[Date],"&lt;="&amp;DaybyDay[[#This Row],[Date]])</f>
        <v>0</v>
      </c>
      <c r="S191" s="35">
        <f>SUMIFS(DaybyDay[Service-LY],DaybyDay[Date],"&gt;="&amp;$C$5,DaybyDay[RowYear],"&gt;="&amp;$C$4,DaybyDay[Date],"&lt;="&amp;DaybyDay[[#This Row],[Date]])</f>
        <v>0</v>
      </c>
      <c r="T191" s="35">
        <f>SUMIFS(DaybyDay[Retail-LY],DaybyDay[Date],"&gt;="&amp;$C$5,DaybyDay[RowYear],"&gt;="&amp;$C$4,DaybyDay[Date],"&lt;="&amp;DaybyDay[[#This Row],[Date]])</f>
        <v>0</v>
      </c>
      <c r="U191" s="32">
        <f>DaybyDay[[#This Row],[Serv-Bud-RU]]+DaybyDay[[#This Row],[Ret-Bud-RU]]</f>
        <v>0</v>
      </c>
      <c r="V191" s="32">
        <f>DaybyDay[[#This Row],[Serv-Act-RU]]+DaybyDay[[#This Row],[Ret-Act-RU]]</f>
        <v>0</v>
      </c>
      <c r="W191" s="36">
        <f>IF(DaybyDay[[#This Row],[_Space]],IFERROR(
((DaybyDay[[#This Row],[Actual-Rollup]]-DaybyDay[[#This Row],[Budget-Rollup]])/DaybyDay[[#This Row],[Budget-Rollup]]),0),"")</f>
        <v>0</v>
      </c>
      <c r="X191" t="b">
        <f>NOT(AND(ISBLANK(DaybyDay[[#This Row],[Appts]]),ISBLANK(DaybyDay[[#This Row],[Service-Actuals]]),ISBLANK(DaybyDay[[#This Row],[Retail-Actuals]])))</f>
        <v>1</v>
      </c>
      <c r="Y191" s="36">
        <f>IF(DaybyDay[[#This Row],[_Space]],IFERROR(
((DaybyDay[[#This Row],[Actual-Rollup]]-DaybyDay[[#This Row],[LY-Rollup]])/DaybyDay[[#This Row],[LY-Rollup]]),0),"")</f>
        <v>0</v>
      </c>
      <c r="Z191"/>
      <c r="AA191" s="37" t="e">
        <f>IF(DaybyDay[[#This Row],[_Space]],DaybyDay[[#This Row],[Ret-Act-RU]]/DaybyDay[[#This Row],[Serv-Act-RU]],"")</f>
        <v>#DIV/0!</v>
      </c>
      <c r="AB191" s="50" t="e">
        <f>IF(DaybyDay[[#This Row],[_Space]],DaybyDay[[#This Row],[RETPEN-Act]]/DaybyDay[[#This Row],[RETPEN-Bud]],"")</f>
        <v>#DIV/0!</v>
      </c>
      <c r="AC191" s="37" t="e">
        <f>IF(DaybyDay[[#This Row],[_Space]],DaybyDay[[#This Row],[Ret-Bud-RU]]/DaybyDay[[#This Row],[Serv-Bud-RU]],"")</f>
        <v>#DIV/0!</v>
      </c>
      <c r="AD191" s="37" t="e">
        <f>IF(DaybyDay[[#This Row],[_Space]],DaybyDay[[#This Row],[Ret-LY-RU]]/DaybyDay[[#This Row],[Serv-LY-RU]],"")</f>
        <v>#DIV/0!</v>
      </c>
      <c r="AE191" s="30">
        <f>WEEKDAY(DaybyDay[[#This Row],[LY-Date]])</f>
        <v>3</v>
      </c>
      <c r="AF191" s="38">
        <f>$E$2+_xlfn.DAYS(DaybyDay[[#This Row],[Date]],minDate)</f>
        <v>42556</v>
      </c>
      <c r="AG191" s="39" t="str" cm="1">
        <f t="array" ref="AG191">IFERROR(INDEX(DaybyDay[],DaybyDay[[#This Row],[FORM_MATCH_HELPER]],8),"")</f>
        <v/>
      </c>
      <c r="AH191" s="39" t="str" cm="1">
        <f t="array" ref="AH191">IFERROR(INDEX(DaybyDay[],DaybyDay[[#This Row],[FORM_MATCH_HELPER]],10),"")</f>
        <v/>
      </c>
      <c r="AI191" s="39" t="str" cm="1">
        <f t="array" ref="AI191">IFERROR(INDEX(DaybyDay[],DaybyDay[[#This Row],[FORM_MATCH_HELPER]],12),"")</f>
        <v/>
      </c>
      <c r="AJ191" s="32">
        <f>IFERROR(DaybyDay[[#This Row],[Serv-LY-RU]]+DaybyDay[[#This Row],[Ret-LY-RU]],"")</f>
        <v>0</v>
      </c>
      <c r="AK1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1" s="77"/>
      <c r="AM191" s="40" t="str">
        <f>IF(DaybyDay[[#This Row],[Admin Hours]]&gt;0,DaybyDay[[#This Row],[Admin Hours]]*$AM$2+$AM$3,"")</f>
        <v/>
      </c>
      <c r="AN191" s="40">
        <f>SUMIFS(DaybyDay[Est-Admin-Payroll],DaybyDay[Date],"&gt;="&amp;$C$5,DaybyDay[RowYear],"&gt;="&amp;$C$4,DaybyDay[Date],"&lt;="&amp;DaybyDay[[#This Row],[Date]])</f>
        <v>0</v>
      </c>
      <c r="AO191" s="41" t="str">
        <f>IF(AND(DaybyDay[[#This Row],[_Space]],ISNUMBER(DaybyDay[[#This Row],[Admin Hours]])),DaybyDay[[#This Row],[Est-Admin-Payroll]]/(DaybyDay[[#This Row],[Service-Actuals]]+DaybyDay[[#This Row],[Retail-Actuals]]),"")</f>
        <v/>
      </c>
      <c r="AP191" s="41" t="e">
        <f>DaybyDay[[#This Row],[Estimated-Payroll-Rollup]]/DaybyDay[[#This Row],[Simple-Forecast]]</f>
        <v>#DIV/0!</v>
      </c>
      <c r="AQ1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1" s="77"/>
      <c r="AS191" s="40" t="str">
        <f>IF(DaybyDay[[#This Row],[Retail Hours]]&gt;0,DaybyDay[[#This Row],[Retail Hours]]*$AS$2,"")</f>
        <v/>
      </c>
      <c r="AT191" s="40">
        <f>SUMIFS(DaybyDay[Est-Retail-Payroll],DaybyDay[Date],"&gt;="&amp;$C$5,DaybyDay[RowYear],"&gt;="&amp;$C$4,DaybyDay[Date],"&lt;="&amp;DaybyDay[[#This Row],[Date]])</f>
        <v>0</v>
      </c>
      <c r="AU191" s="82" t="str">
        <f>IF(AND(DaybyDay[[#This Row],[_Space]],ISNUMBER(DaybyDay[[#This Row],[Retail Hours]])),DaybyDay[[#This Row],[Est-Retail-Payroll]]/(DaybyDay[[#This Row],[Retail-Actuals]]),"")</f>
        <v/>
      </c>
      <c r="AV191" s="82" t="e">
        <f>DaybyDay[[#This Row],[Est-Retail-PayrollRU]]/DaybyDay[[#This Row],[Simple-Forecast-Retail]]</f>
        <v>#DIV/0!</v>
      </c>
      <c r="AW191" s="8"/>
    </row>
    <row r="192" spans="3:49" hidden="1" x14ac:dyDescent="0.25">
      <c r="C192" s="26" t="str">
        <f>Tools!$C$1</f>
        <v>Example</v>
      </c>
      <c r="D192" s="27" t="s">
        <v>74</v>
      </c>
      <c r="E192" s="28">
        <v>2017</v>
      </c>
      <c r="F192" s="28">
        <f>MATCH(DaybyDay[[#This Row],[RowMonth]],Table3[SummaryMonth],0)</f>
        <v>7</v>
      </c>
      <c r="G192" s="29" t="e">
        <f>MATCH(DaybyDay[[#This Row],[LY-Date]],DaybyDay[Date],0)</f>
        <v>#N/A</v>
      </c>
      <c r="H192" s="30">
        <f>WEEKDAY(DaybyDay[[#This Row],[Date]])</f>
        <v>4</v>
      </c>
      <c r="I192" s="31">
        <v>42921</v>
      </c>
      <c r="J192" s="74">
        <v>13</v>
      </c>
      <c r="K192" s="32">
        <f>SUMIFS(BudgetSeasonality[365 Seasonality],BudgetSeasonality[MonthAdjustment],DaybyDay[[#This Row],[Date]])*SUMIFS(Budgets[Service-Budget],Budgets[BudgetMonth],DaybyDay[[#This Row],[RowMonth]],Budgets[BudgetYear],DaybyDay[[#This Row],[RowYear]])</f>
        <v>0</v>
      </c>
      <c r="L192" s="75">
        <v>3520.8</v>
      </c>
      <c r="M192" s="32">
        <f>INDEX(BudgetSeasonality[365 Seasonality],MATCH(DaybyDay[[#This Row],[Date]],BudgetSeasonality[MonthAdjustment],0))*SUMIFS(Budgets[Retail-Budget],Budgets[BudgetMonth],DaybyDay[[#This Row],[RowMonth]],Budgets[BudgetYear],DaybyDay[[#This Row],[RowYear]])</f>
        <v>0</v>
      </c>
      <c r="N192" s="75">
        <v>293</v>
      </c>
      <c r="O192" s="33">
        <f>SUMIFS(DaybyDay[Service-Budgets],DaybyDay[Date],"&gt;="&amp;$C$5,DaybyDay[RowYear],"&gt;="&amp;$C$4,DaybyDay[Date],"&lt;="&amp;DaybyDay[[#This Row],[Date]])</f>
        <v>0</v>
      </c>
      <c r="P192" s="33">
        <f>SUMIFS(DaybyDay[Retail-Budgets],DaybyDay[Date],"&gt;="&amp;$C$5,DaybyDay[RowYear],"&gt;="&amp;$C$4,DaybyDay[Date],"&lt;="&amp;DaybyDay[[#This Row],[Date]])</f>
        <v>0</v>
      </c>
      <c r="Q192" s="34">
        <f>SUMIFS(DaybyDay[Service-Actuals],DaybyDay[Date],"&gt;="&amp;$C$5,DaybyDay[RowYear],"&gt;="&amp;$C$4,DaybyDay[Date],"&lt;="&amp;DaybyDay[[#This Row],[Date]])</f>
        <v>0</v>
      </c>
      <c r="R192" s="34">
        <f>SUMIFS(DaybyDay[Retail-Actuals],DaybyDay[Date],"&gt;="&amp;$C$5,DaybyDay[RowYear],"&gt;="&amp;$C$4,DaybyDay[Date],"&lt;="&amp;DaybyDay[[#This Row],[Date]])</f>
        <v>0</v>
      </c>
      <c r="S192" s="35">
        <f>SUMIFS(DaybyDay[Service-LY],DaybyDay[Date],"&gt;="&amp;$C$5,DaybyDay[RowYear],"&gt;="&amp;$C$4,DaybyDay[Date],"&lt;="&amp;DaybyDay[[#This Row],[Date]])</f>
        <v>0</v>
      </c>
      <c r="T192" s="35">
        <f>SUMIFS(DaybyDay[Retail-LY],DaybyDay[Date],"&gt;="&amp;$C$5,DaybyDay[RowYear],"&gt;="&amp;$C$4,DaybyDay[Date],"&lt;="&amp;DaybyDay[[#This Row],[Date]])</f>
        <v>0</v>
      </c>
      <c r="U192" s="32">
        <f>DaybyDay[[#This Row],[Serv-Bud-RU]]+DaybyDay[[#This Row],[Ret-Bud-RU]]</f>
        <v>0</v>
      </c>
      <c r="V192" s="32">
        <f>DaybyDay[[#This Row],[Serv-Act-RU]]+DaybyDay[[#This Row],[Ret-Act-RU]]</f>
        <v>0</v>
      </c>
      <c r="W192" s="36">
        <f>IF(DaybyDay[[#This Row],[_Space]],IFERROR(
((DaybyDay[[#This Row],[Actual-Rollup]]-DaybyDay[[#This Row],[Budget-Rollup]])/DaybyDay[[#This Row],[Budget-Rollup]]),0),"")</f>
        <v>0</v>
      </c>
      <c r="X192" t="b">
        <f>NOT(AND(ISBLANK(DaybyDay[[#This Row],[Appts]]),ISBLANK(DaybyDay[[#This Row],[Service-Actuals]]),ISBLANK(DaybyDay[[#This Row],[Retail-Actuals]])))</f>
        <v>1</v>
      </c>
      <c r="Y192" s="36">
        <f>IF(DaybyDay[[#This Row],[_Space]],IFERROR(
((DaybyDay[[#This Row],[Actual-Rollup]]-DaybyDay[[#This Row],[LY-Rollup]])/DaybyDay[[#This Row],[LY-Rollup]]),0),"")</f>
        <v>0</v>
      </c>
      <c r="Z192"/>
      <c r="AA192" s="37" t="e">
        <f>IF(DaybyDay[[#This Row],[_Space]],DaybyDay[[#This Row],[Ret-Act-RU]]/DaybyDay[[#This Row],[Serv-Act-RU]],"")</f>
        <v>#DIV/0!</v>
      </c>
      <c r="AB192" s="50" t="e">
        <f>IF(DaybyDay[[#This Row],[_Space]],DaybyDay[[#This Row],[RETPEN-Act]]/DaybyDay[[#This Row],[RETPEN-Bud]],"")</f>
        <v>#DIV/0!</v>
      </c>
      <c r="AC192" s="37" t="e">
        <f>IF(DaybyDay[[#This Row],[_Space]],DaybyDay[[#This Row],[Ret-Bud-RU]]/DaybyDay[[#This Row],[Serv-Bud-RU]],"")</f>
        <v>#DIV/0!</v>
      </c>
      <c r="AD192" s="37" t="e">
        <f>IF(DaybyDay[[#This Row],[_Space]],DaybyDay[[#This Row],[Ret-LY-RU]]/DaybyDay[[#This Row],[Serv-LY-RU]],"")</f>
        <v>#DIV/0!</v>
      </c>
      <c r="AE192" s="30">
        <f>WEEKDAY(DaybyDay[[#This Row],[LY-Date]])</f>
        <v>4</v>
      </c>
      <c r="AF192" s="38">
        <f>$E$2+_xlfn.DAYS(DaybyDay[[#This Row],[Date]],minDate)</f>
        <v>42557</v>
      </c>
      <c r="AG192" s="39" t="str" cm="1">
        <f t="array" ref="AG192">IFERROR(INDEX(DaybyDay[],DaybyDay[[#This Row],[FORM_MATCH_HELPER]],8),"")</f>
        <v/>
      </c>
      <c r="AH192" s="39" t="str" cm="1">
        <f t="array" ref="AH192">IFERROR(INDEX(DaybyDay[],DaybyDay[[#This Row],[FORM_MATCH_HELPER]],10),"")</f>
        <v/>
      </c>
      <c r="AI192" s="39" t="str" cm="1">
        <f t="array" ref="AI192">IFERROR(INDEX(DaybyDay[],DaybyDay[[#This Row],[FORM_MATCH_HELPER]],12),"")</f>
        <v/>
      </c>
      <c r="AJ192" s="32">
        <f>IFERROR(DaybyDay[[#This Row],[Serv-LY-RU]]+DaybyDay[[#This Row],[Ret-LY-RU]],"")</f>
        <v>0</v>
      </c>
      <c r="AK1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2" s="77"/>
      <c r="AM192" s="40" t="str">
        <f>IF(DaybyDay[[#This Row],[Admin Hours]]&gt;0,DaybyDay[[#This Row],[Admin Hours]]*$AM$2+$AM$3,"")</f>
        <v/>
      </c>
      <c r="AN192" s="40">
        <f>SUMIFS(DaybyDay[Est-Admin-Payroll],DaybyDay[Date],"&gt;="&amp;$C$5,DaybyDay[RowYear],"&gt;="&amp;$C$4,DaybyDay[Date],"&lt;="&amp;DaybyDay[[#This Row],[Date]])</f>
        <v>0</v>
      </c>
      <c r="AO192" s="41" t="str">
        <f>IF(AND(DaybyDay[[#This Row],[_Space]],ISNUMBER(DaybyDay[[#This Row],[Admin Hours]])),DaybyDay[[#This Row],[Est-Admin-Payroll]]/(DaybyDay[[#This Row],[Service-Actuals]]+DaybyDay[[#This Row],[Retail-Actuals]]),"")</f>
        <v/>
      </c>
      <c r="AP192" s="41" t="e">
        <f>DaybyDay[[#This Row],[Estimated-Payroll-Rollup]]/DaybyDay[[#This Row],[Simple-Forecast]]</f>
        <v>#DIV/0!</v>
      </c>
      <c r="AQ1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2" s="77"/>
      <c r="AS192" s="40" t="str">
        <f>IF(DaybyDay[[#This Row],[Retail Hours]]&gt;0,DaybyDay[[#This Row],[Retail Hours]]*$AS$2,"")</f>
        <v/>
      </c>
      <c r="AT192" s="40">
        <f>SUMIFS(DaybyDay[Est-Retail-Payroll],DaybyDay[Date],"&gt;="&amp;$C$5,DaybyDay[RowYear],"&gt;="&amp;$C$4,DaybyDay[Date],"&lt;="&amp;DaybyDay[[#This Row],[Date]])</f>
        <v>0</v>
      </c>
      <c r="AU192" s="82" t="str">
        <f>IF(AND(DaybyDay[[#This Row],[_Space]],ISNUMBER(DaybyDay[[#This Row],[Retail Hours]])),DaybyDay[[#This Row],[Est-Retail-Payroll]]/(DaybyDay[[#This Row],[Retail-Actuals]]),"")</f>
        <v/>
      </c>
      <c r="AV192" s="82" t="e">
        <f>DaybyDay[[#This Row],[Est-Retail-PayrollRU]]/DaybyDay[[#This Row],[Simple-Forecast-Retail]]</f>
        <v>#DIV/0!</v>
      </c>
      <c r="AW192" s="8"/>
    </row>
    <row r="193" spans="3:49" hidden="1" x14ac:dyDescent="0.25">
      <c r="C193" s="26" t="str">
        <f>Tools!$C$1</f>
        <v>Example</v>
      </c>
      <c r="D193" s="27" t="s">
        <v>74</v>
      </c>
      <c r="E193" s="28">
        <v>2017</v>
      </c>
      <c r="F193" s="28">
        <f>MATCH(DaybyDay[[#This Row],[RowMonth]],Table3[SummaryMonth],0)</f>
        <v>7</v>
      </c>
      <c r="G193" s="29" t="e">
        <f>MATCH(DaybyDay[[#This Row],[LY-Date]],DaybyDay[Date],0)</f>
        <v>#N/A</v>
      </c>
      <c r="H193" s="30">
        <f>WEEKDAY(DaybyDay[[#This Row],[Date]])</f>
        <v>5</v>
      </c>
      <c r="I193" s="31">
        <v>42922</v>
      </c>
      <c r="J193" s="74">
        <v>18</v>
      </c>
      <c r="K193" s="32">
        <f>SUMIFS(BudgetSeasonality[365 Seasonality],BudgetSeasonality[MonthAdjustment],DaybyDay[[#This Row],[Date]])*SUMIFS(Budgets[Service-Budget],Budgets[BudgetMonth],DaybyDay[[#This Row],[RowMonth]],Budgets[BudgetYear],DaybyDay[[#This Row],[RowYear]])</f>
        <v>0</v>
      </c>
      <c r="L193" s="75">
        <v>2824.2</v>
      </c>
      <c r="M193" s="32">
        <f>INDEX(BudgetSeasonality[365 Seasonality],MATCH(DaybyDay[[#This Row],[Date]],BudgetSeasonality[MonthAdjustment],0))*SUMIFS(Budgets[Retail-Budget],Budgets[BudgetMonth],DaybyDay[[#This Row],[RowMonth]],Budgets[BudgetYear],DaybyDay[[#This Row],[RowYear]])</f>
        <v>0</v>
      </c>
      <c r="N193" s="75">
        <v>305</v>
      </c>
      <c r="O193" s="33">
        <f>SUMIFS(DaybyDay[Service-Budgets],DaybyDay[Date],"&gt;="&amp;$C$5,DaybyDay[RowYear],"&gt;="&amp;$C$4,DaybyDay[Date],"&lt;="&amp;DaybyDay[[#This Row],[Date]])</f>
        <v>0</v>
      </c>
      <c r="P193" s="33">
        <f>SUMIFS(DaybyDay[Retail-Budgets],DaybyDay[Date],"&gt;="&amp;$C$5,DaybyDay[RowYear],"&gt;="&amp;$C$4,DaybyDay[Date],"&lt;="&amp;DaybyDay[[#This Row],[Date]])</f>
        <v>0</v>
      </c>
      <c r="Q193" s="34">
        <f>SUMIFS(DaybyDay[Service-Actuals],DaybyDay[Date],"&gt;="&amp;$C$5,DaybyDay[RowYear],"&gt;="&amp;$C$4,DaybyDay[Date],"&lt;="&amp;DaybyDay[[#This Row],[Date]])</f>
        <v>0</v>
      </c>
      <c r="R193" s="34">
        <f>SUMIFS(DaybyDay[Retail-Actuals],DaybyDay[Date],"&gt;="&amp;$C$5,DaybyDay[RowYear],"&gt;="&amp;$C$4,DaybyDay[Date],"&lt;="&amp;DaybyDay[[#This Row],[Date]])</f>
        <v>0</v>
      </c>
      <c r="S193" s="35">
        <f>SUMIFS(DaybyDay[Service-LY],DaybyDay[Date],"&gt;="&amp;$C$5,DaybyDay[RowYear],"&gt;="&amp;$C$4,DaybyDay[Date],"&lt;="&amp;DaybyDay[[#This Row],[Date]])</f>
        <v>0</v>
      </c>
      <c r="T193" s="35">
        <f>SUMIFS(DaybyDay[Retail-LY],DaybyDay[Date],"&gt;="&amp;$C$5,DaybyDay[RowYear],"&gt;="&amp;$C$4,DaybyDay[Date],"&lt;="&amp;DaybyDay[[#This Row],[Date]])</f>
        <v>0</v>
      </c>
      <c r="U193" s="32">
        <f>DaybyDay[[#This Row],[Serv-Bud-RU]]+DaybyDay[[#This Row],[Ret-Bud-RU]]</f>
        <v>0</v>
      </c>
      <c r="V193" s="32">
        <f>DaybyDay[[#This Row],[Serv-Act-RU]]+DaybyDay[[#This Row],[Ret-Act-RU]]</f>
        <v>0</v>
      </c>
      <c r="W193" s="36">
        <f>IF(DaybyDay[[#This Row],[_Space]],IFERROR(
((DaybyDay[[#This Row],[Actual-Rollup]]-DaybyDay[[#This Row],[Budget-Rollup]])/DaybyDay[[#This Row],[Budget-Rollup]]),0),"")</f>
        <v>0</v>
      </c>
      <c r="X193" t="b">
        <f>NOT(AND(ISBLANK(DaybyDay[[#This Row],[Appts]]),ISBLANK(DaybyDay[[#This Row],[Service-Actuals]]),ISBLANK(DaybyDay[[#This Row],[Retail-Actuals]])))</f>
        <v>1</v>
      </c>
      <c r="Y193" s="36">
        <f>IF(DaybyDay[[#This Row],[_Space]],IFERROR(
((DaybyDay[[#This Row],[Actual-Rollup]]-DaybyDay[[#This Row],[LY-Rollup]])/DaybyDay[[#This Row],[LY-Rollup]]),0),"")</f>
        <v>0</v>
      </c>
      <c r="Z193"/>
      <c r="AA193" s="37" t="e">
        <f>IF(DaybyDay[[#This Row],[_Space]],DaybyDay[[#This Row],[Ret-Act-RU]]/DaybyDay[[#This Row],[Serv-Act-RU]],"")</f>
        <v>#DIV/0!</v>
      </c>
      <c r="AB193" s="50" t="e">
        <f>IF(DaybyDay[[#This Row],[_Space]],DaybyDay[[#This Row],[RETPEN-Act]]/DaybyDay[[#This Row],[RETPEN-Bud]],"")</f>
        <v>#DIV/0!</v>
      </c>
      <c r="AC193" s="37" t="e">
        <f>IF(DaybyDay[[#This Row],[_Space]],DaybyDay[[#This Row],[Ret-Bud-RU]]/DaybyDay[[#This Row],[Serv-Bud-RU]],"")</f>
        <v>#DIV/0!</v>
      </c>
      <c r="AD193" s="37" t="e">
        <f>IF(DaybyDay[[#This Row],[_Space]],DaybyDay[[#This Row],[Ret-LY-RU]]/DaybyDay[[#This Row],[Serv-LY-RU]],"")</f>
        <v>#DIV/0!</v>
      </c>
      <c r="AE193" s="30">
        <f>WEEKDAY(DaybyDay[[#This Row],[LY-Date]])</f>
        <v>5</v>
      </c>
      <c r="AF193" s="38">
        <f>$E$2+_xlfn.DAYS(DaybyDay[[#This Row],[Date]],minDate)</f>
        <v>42558</v>
      </c>
      <c r="AG193" s="39" t="str" cm="1">
        <f t="array" ref="AG193">IFERROR(INDEX(DaybyDay[],DaybyDay[[#This Row],[FORM_MATCH_HELPER]],8),"")</f>
        <v/>
      </c>
      <c r="AH193" s="39" t="str" cm="1">
        <f t="array" ref="AH193">IFERROR(INDEX(DaybyDay[],DaybyDay[[#This Row],[FORM_MATCH_HELPER]],10),"")</f>
        <v/>
      </c>
      <c r="AI193" s="39" t="str" cm="1">
        <f t="array" ref="AI193">IFERROR(INDEX(DaybyDay[],DaybyDay[[#This Row],[FORM_MATCH_HELPER]],12),"")</f>
        <v/>
      </c>
      <c r="AJ193" s="32">
        <f>IFERROR(DaybyDay[[#This Row],[Serv-LY-RU]]+DaybyDay[[#This Row],[Ret-LY-RU]],"")</f>
        <v>0</v>
      </c>
      <c r="AK1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3" s="77"/>
      <c r="AM193" s="40" t="str">
        <f>IF(DaybyDay[[#This Row],[Admin Hours]]&gt;0,DaybyDay[[#This Row],[Admin Hours]]*$AM$2+$AM$3,"")</f>
        <v/>
      </c>
      <c r="AN193" s="40">
        <f>SUMIFS(DaybyDay[Est-Admin-Payroll],DaybyDay[Date],"&gt;="&amp;$C$5,DaybyDay[RowYear],"&gt;="&amp;$C$4,DaybyDay[Date],"&lt;="&amp;DaybyDay[[#This Row],[Date]])</f>
        <v>0</v>
      </c>
      <c r="AO193" s="41" t="str">
        <f>IF(AND(DaybyDay[[#This Row],[_Space]],ISNUMBER(DaybyDay[[#This Row],[Admin Hours]])),DaybyDay[[#This Row],[Est-Admin-Payroll]]/(DaybyDay[[#This Row],[Service-Actuals]]+DaybyDay[[#This Row],[Retail-Actuals]]),"")</f>
        <v/>
      </c>
      <c r="AP193" s="41" t="e">
        <f>DaybyDay[[#This Row],[Estimated-Payroll-Rollup]]/DaybyDay[[#This Row],[Simple-Forecast]]</f>
        <v>#DIV/0!</v>
      </c>
      <c r="AQ1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3" s="77"/>
      <c r="AS193" s="40" t="str">
        <f>IF(DaybyDay[[#This Row],[Retail Hours]]&gt;0,DaybyDay[[#This Row],[Retail Hours]]*$AS$2,"")</f>
        <v/>
      </c>
      <c r="AT193" s="40">
        <f>SUMIFS(DaybyDay[Est-Retail-Payroll],DaybyDay[Date],"&gt;="&amp;$C$5,DaybyDay[RowYear],"&gt;="&amp;$C$4,DaybyDay[Date],"&lt;="&amp;DaybyDay[[#This Row],[Date]])</f>
        <v>0</v>
      </c>
      <c r="AU193" s="82" t="str">
        <f>IF(AND(DaybyDay[[#This Row],[_Space]],ISNUMBER(DaybyDay[[#This Row],[Retail Hours]])),DaybyDay[[#This Row],[Est-Retail-Payroll]]/(DaybyDay[[#This Row],[Retail-Actuals]]),"")</f>
        <v/>
      </c>
      <c r="AV193" s="82" t="e">
        <f>DaybyDay[[#This Row],[Est-Retail-PayrollRU]]/DaybyDay[[#This Row],[Simple-Forecast-Retail]]</f>
        <v>#DIV/0!</v>
      </c>
      <c r="AW193" s="8"/>
    </row>
    <row r="194" spans="3:49" hidden="1" x14ac:dyDescent="0.25">
      <c r="C194" s="26" t="str">
        <f>Tools!$C$1</f>
        <v>Example</v>
      </c>
      <c r="D194" s="27" t="s">
        <v>74</v>
      </c>
      <c r="E194" s="28">
        <v>2017</v>
      </c>
      <c r="F194" s="28">
        <f>MATCH(DaybyDay[[#This Row],[RowMonth]],Table3[SummaryMonth],0)</f>
        <v>7</v>
      </c>
      <c r="G194" s="29" t="e">
        <f>MATCH(DaybyDay[[#This Row],[LY-Date]],DaybyDay[Date],0)</f>
        <v>#N/A</v>
      </c>
      <c r="H194" s="30">
        <f>WEEKDAY(DaybyDay[[#This Row],[Date]])</f>
        <v>6</v>
      </c>
      <c r="I194" s="31">
        <v>42923</v>
      </c>
      <c r="J194" s="74">
        <v>19</v>
      </c>
      <c r="K194" s="32">
        <f>SUMIFS(BudgetSeasonality[365 Seasonality],BudgetSeasonality[MonthAdjustment],DaybyDay[[#This Row],[Date]])*SUMIFS(Budgets[Service-Budget],Budgets[BudgetMonth],DaybyDay[[#This Row],[RowMonth]],Budgets[BudgetYear],DaybyDay[[#This Row],[RowYear]])</f>
        <v>0</v>
      </c>
      <c r="L194" s="75">
        <v>3696.2</v>
      </c>
      <c r="M194" s="32">
        <f>INDEX(BudgetSeasonality[365 Seasonality],MATCH(DaybyDay[[#This Row],[Date]],BudgetSeasonality[MonthAdjustment],0))*SUMIFS(Budgets[Retail-Budget],Budgets[BudgetMonth],DaybyDay[[#This Row],[RowMonth]],Budgets[BudgetYear],DaybyDay[[#This Row],[RowYear]])</f>
        <v>0</v>
      </c>
      <c r="N194" s="75">
        <v>151</v>
      </c>
      <c r="O194" s="33">
        <f>SUMIFS(DaybyDay[Service-Budgets],DaybyDay[Date],"&gt;="&amp;$C$5,DaybyDay[RowYear],"&gt;="&amp;$C$4,DaybyDay[Date],"&lt;="&amp;DaybyDay[[#This Row],[Date]])</f>
        <v>0</v>
      </c>
      <c r="P194" s="33">
        <f>SUMIFS(DaybyDay[Retail-Budgets],DaybyDay[Date],"&gt;="&amp;$C$5,DaybyDay[RowYear],"&gt;="&amp;$C$4,DaybyDay[Date],"&lt;="&amp;DaybyDay[[#This Row],[Date]])</f>
        <v>0</v>
      </c>
      <c r="Q194" s="34">
        <f>SUMIFS(DaybyDay[Service-Actuals],DaybyDay[Date],"&gt;="&amp;$C$5,DaybyDay[RowYear],"&gt;="&amp;$C$4,DaybyDay[Date],"&lt;="&amp;DaybyDay[[#This Row],[Date]])</f>
        <v>0</v>
      </c>
      <c r="R194" s="34">
        <f>SUMIFS(DaybyDay[Retail-Actuals],DaybyDay[Date],"&gt;="&amp;$C$5,DaybyDay[RowYear],"&gt;="&amp;$C$4,DaybyDay[Date],"&lt;="&amp;DaybyDay[[#This Row],[Date]])</f>
        <v>0</v>
      </c>
      <c r="S194" s="35">
        <f>SUMIFS(DaybyDay[Service-LY],DaybyDay[Date],"&gt;="&amp;$C$5,DaybyDay[RowYear],"&gt;="&amp;$C$4,DaybyDay[Date],"&lt;="&amp;DaybyDay[[#This Row],[Date]])</f>
        <v>0</v>
      </c>
      <c r="T194" s="35">
        <f>SUMIFS(DaybyDay[Retail-LY],DaybyDay[Date],"&gt;="&amp;$C$5,DaybyDay[RowYear],"&gt;="&amp;$C$4,DaybyDay[Date],"&lt;="&amp;DaybyDay[[#This Row],[Date]])</f>
        <v>0</v>
      </c>
      <c r="U194" s="32">
        <f>DaybyDay[[#This Row],[Serv-Bud-RU]]+DaybyDay[[#This Row],[Ret-Bud-RU]]</f>
        <v>0</v>
      </c>
      <c r="V194" s="32">
        <f>DaybyDay[[#This Row],[Serv-Act-RU]]+DaybyDay[[#This Row],[Ret-Act-RU]]</f>
        <v>0</v>
      </c>
      <c r="W194" s="36">
        <f>IF(DaybyDay[[#This Row],[_Space]],IFERROR(
((DaybyDay[[#This Row],[Actual-Rollup]]-DaybyDay[[#This Row],[Budget-Rollup]])/DaybyDay[[#This Row],[Budget-Rollup]]),0),"")</f>
        <v>0</v>
      </c>
      <c r="X194" t="b">
        <f>NOT(AND(ISBLANK(DaybyDay[[#This Row],[Appts]]),ISBLANK(DaybyDay[[#This Row],[Service-Actuals]]),ISBLANK(DaybyDay[[#This Row],[Retail-Actuals]])))</f>
        <v>1</v>
      </c>
      <c r="Y194" s="36">
        <f>IF(DaybyDay[[#This Row],[_Space]],IFERROR(
((DaybyDay[[#This Row],[Actual-Rollup]]-DaybyDay[[#This Row],[LY-Rollup]])/DaybyDay[[#This Row],[LY-Rollup]]),0),"")</f>
        <v>0</v>
      </c>
      <c r="Z194"/>
      <c r="AA194" s="37" t="e">
        <f>IF(DaybyDay[[#This Row],[_Space]],DaybyDay[[#This Row],[Ret-Act-RU]]/DaybyDay[[#This Row],[Serv-Act-RU]],"")</f>
        <v>#DIV/0!</v>
      </c>
      <c r="AB194" s="50" t="e">
        <f>IF(DaybyDay[[#This Row],[_Space]],DaybyDay[[#This Row],[RETPEN-Act]]/DaybyDay[[#This Row],[RETPEN-Bud]],"")</f>
        <v>#DIV/0!</v>
      </c>
      <c r="AC194" s="37" t="e">
        <f>IF(DaybyDay[[#This Row],[_Space]],DaybyDay[[#This Row],[Ret-Bud-RU]]/DaybyDay[[#This Row],[Serv-Bud-RU]],"")</f>
        <v>#DIV/0!</v>
      </c>
      <c r="AD194" s="37" t="e">
        <f>IF(DaybyDay[[#This Row],[_Space]],DaybyDay[[#This Row],[Ret-LY-RU]]/DaybyDay[[#This Row],[Serv-LY-RU]],"")</f>
        <v>#DIV/0!</v>
      </c>
      <c r="AE194" s="30">
        <f>WEEKDAY(DaybyDay[[#This Row],[LY-Date]])</f>
        <v>6</v>
      </c>
      <c r="AF194" s="38">
        <f>$E$2+_xlfn.DAYS(DaybyDay[[#This Row],[Date]],minDate)</f>
        <v>42559</v>
      </c>
      <c r="AG194" s="39" t="str" cm="1">
        <f t="array" ref="AG194">IFERROR(INDEX(DaybyDay[],DaybyDay[[#This Row],[FORM_MATCH_HELPER]],8),"")</f>
        <v/>
      </c>
      <c r="AH194" s="39" t="str" cm="1">
        <f t="array" ref="AH194">IFERROR(INDEX(DaybyDay[],DaybyDay[[#This Row],[FORM_MATCH_HELPER]],10),"")</f>
        <v/>
      </c>
      <c r="AI194" s="39" t="str" cm="1">
        <f t="array" ref="AI194">IFERROR(INDEX(DaybyDay[],DaybyDay[[#This Row],[FORM_MATCH_HELPER]],12),"")</f>
        <v/>
      </c>
      <c r="AJ194" s="32">
        <f>IFERROR(DaybyDay[[#This Row],[Serv-LY-RU]]+DaybyDay[[#This Row],[Ret-LY-RU]],"")</f>
        <v>0</v>
      </c>
      <c r="AK1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4" s="77"/>
      <c r="AM194" s="40" t="str">
        <f>IF(DaybyDay[[#This Row],[Admin Hours]]&gt;0,DaybyDay[[#This Row],[Admin Hours]]*$AM$2+$AM$3,"")</f>
        <v/>
      </c>
      <c r="AN194" s="40">
        <f>SUMIFS(DaybyDay[Est-Admin-Payroll],DaybyDay[Date],"&gt;="&amp;$C$5,DaybyDay[RowYear],"&gt;="&amp;$C$4,DaybyDay[Date],"&lt;="&amp;DaybyDay[[#This Row],[Date]])</f>
        <v>0</v>
      </c>
      <c r="AO194" s="41" t="str">
        <f>IF(AND(DaybyDay[[#This Row],[_Space]],ISNUMBER(DaybyDay[[#This Row],[Admin Hours]])),DaybyDay[[#This Row],[Est-Admin-Payroll]]/(DaybyDay[[#This Row],[Service-Actuals]]+DaybyDay[[#This Row],[Retail-Actuals]]),"")</f>
        <v/>
      </c>
      <c r="AP194" s="41" t="e">
        <f>DaybyDay[[#This Row],[Estimated-Payroll-Rollup]]/DaybyDay[[#This Row],[Simple-Forecast]]</f>
        <v>#DIV/0!</v>
      </c>
      <c r="AQ1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4" s="77"/>
      <c r="AS194" s="40" t="str">
        <f>IF(DaybyDay[[#This Row],[Retail Hours]]&gt;0,DaybyDay[[#This Row],[Retail Hours]]*$AS$2,"")</f>
        <v/>
      </c>
      <c r="AT194" s="40">
        <f>SUMIFS(DaybyDay[Est-Retail-Payroll],DaybyDay[Date],"&gt;="&amp;$C$5,DaybyDay[RowYear],"&gt;="&amp;$C$4,DaybyDay[Date],"&lt;="&amp;DaybyDay[[#This Row],[Date]])</f>
        <v>0</v>
      </c>
      <c r="AU194" s="82" t="str">
        <f>IF(AND(DaybyDay[[#This Row],[_Space]],ISNUMBER(DaybyDay[[#This Row],[Retail Hours]])),DaybyDay[[#This Row],[Est-Retail-Payroll]]/(DaybyDay[[#This Row],[Retail-Actuals]]),"")</f>
        <v/>
      </c>
      <c r="AV194" s="82" t="e">
        <f>DaybyDay[[#This Row],[Est-Retail-PayrollRU]]/DaybyDay[[#This Row],[Simple-Forecast-Retail]]</f>
        <v>#DIV/0!</v>
      </c>
      <c r="AW194" s="8"/>
    </row>
    <row r="195" spans="3:49" hidden="1" x14ac:dyDescent="0.25">
      <c r="C195" s="26" t="str">
        <f>Tools!$C$1</f>
        <v>Example</v>
      </c>
      <c r="D195" s="27" t="s">
        <v>74</v>
      </c>
      <c r="E195" s="28">
        <v>2017</v>
      </c>
      <c r="F195" s="28">
        <f>MATCH(DaybyDay[[#This Row],[RowMonth]],Table3[SummaryMonth],0)</f>
        <v>7</v>
      </c>
      <c r="G195" s="29" t="e">
        <f>MATCH(DaybyDay[[#This Row],[LY-Date]],DaybyDay[Date],0)</f>
        <v>#N/A</v>
      </c>
      <c r="H195" s="30">
        <f>WEEKDAY(DaybyDay[[#This Row],[Date]])</f>
        <v>7</v>
      </c>
      <c r="I195" s="31">
        <v>42924</v>
      </c>
      <c r="J195" s="74">
        <v>18</v>
      </c>
      <c r="K195" s="32">
        <f>SUMIFS(BudgetSeasonality[365 Seasonality],BudgetSeasonality[MonthAdjustment],DaybyDay[[#This Row],[Date]])*SUMIFS(Budgets[Service-Budget],Budgets[BudgetMonth],DaybyDay[[#This Row],[RowMonth]],Budgets[BudgetYear],DaybyDay[[#This Row],[RowYear]])</f>
        <v>0</v>
      </c>
      <c r="L195" s="75">
        <v>3580</v>
      </c>
      <c r="M195" s="32">
        <f>INDEX(BudgetSeasonality[365 Seasonality],MATCH(DaybyDay[[#This Row],[Date]],BudgetSeasonality[MonthAdjustment],0))*SUMIFS(Budgets[Retail-Budget],Budgets[BudgetMonth],DaybyDay[[#This Row],[RowMonth]],Budgets[BudgetYear],DaybyDay[[#This Row],[RowYear]])</f>
        <v>0</v>
      </c>
      <c r="N195" s="75">
        <v>310</v>
      </c>
      <c r="O195" s="33">
        <f>SUMIFS(DaybyDay[Service-Budgets],DaybyDay[Date],"&gt;="&amp;$C$5,DaybyDay[RowYear],"&gt;="&amp;$C$4,DaybyDay[Date],"&lt;="&amp;DaybyDay[[#This Row],[Date]])</f>
        <v>0</v>
      </c>
      <c r="P195" s="33">
        <f>SUMIFS(DaybyDay[Retail-Budgets],DaybyDay[Date],"&gt;="&amp;$C$5,DaybyDay[RowYear],"&gt;="&amp;$C$4,DaybyDay[Date],"&lt;="&amp;DaybyDay[[#This Row],[Date]])</f>
        <v>0</v>
      </c>
      <c r="Q195" s="34">
        <f>SUMIFS(DaybyDay[Service-Actuals],DaybyDay[Date],"&gt;="&amp;$C$5,DaybyDay[RowYear],"&gt;="&amp;$C$4,DaybyDay[Date],"&lt;="&amp;DaybyDay[[#This Row],[Date]])</f>
        <v>0</v>
      </c>
      <c r="R195" s="34">
        <f>SUMIFS(DaybyDay[Retail-Actuals],DaybyDay[Date],"&gt;="&amp;$C$5,DaybyDay[RowYear],"&gt;="&amp;$C$4,DaybyDay[Date],"&lt;="&amp;DaybyDay[[#This Row],[Date]])</f>
        <v>0</v>
      </c>
      <c r="S195" s="35">
        <f>SUMIFS(DaybyDay[Service-LY],DaybyDay[Date],"&gt;="&amp;$C$5,DaybyDay[RowYear],"&gt;="&amp;$C$4,DaybyDay[Date],"&lt;="&amp;DaybyDay[[#This Row],[Date]])</f>
        <v>0</v>
      </c>
      <c r="T195" s="35">
        <f>SUMIFS(DaybyDay[Retail-LY],DaybyDay[Date],"&gt;="&amp;$C$5,DaybyDay[RowYear],"&gt;="&amp;$C$4,DaybyDay[Date],"&lt;="&amp;DaybyDay[[#This Row],[Date]])</f>
        <v>0</v>
      </c>
      <c r="U195" s="32">
        <f>DaybyDay[[#This Row],[Serv-Bud-RU]]+DaybyDay[[#This Row],[Ret-Bud-RU]]</f>
        <v>0</v>
      </c>
      <c r="V195" s="32">
        <f>DaybyDay[[#This Row],[Serv-Act-RU]]+DaybyDay[[#This Row],[Ret-Act-RU]]</f>
        <v>0</v>
      </c>
      <c r="W195" s="36">
        <f>IF(DaybyDay[[#This Row],[_Space]],IFERROR(
((DaybyDay[[#This Row],[Actual-Rollup]]-DaybyDay[[#This Row],[Budget-Rollup]])/DaybyDay[[#This Row],[Budget-Rollup]]),0),"")</f>
        <v>0</v>
      </c>
      <c r="X195" t="b">
        <f>NOT(AND(ISBLANK(DaybyDay[[#This Row],[Appts]]),ISBLANK(DaybyDay[[#This Row],[Service-Actuals]]),ISBLANK(DaybyDay[[#This Row],[Retail-Actuals]])))</f>
        <v>1</v>
      </c>
      <c r="Y195" s="36">
        <f>IF(DaybyDay[[#This Row],[_Space]],IFERROR(
((DaybyDay[[#This Row],[Actual-Rollup]]-DaybyDay[[#This Row],[LY-Rollup]])/DaybyDay[[#This Row],[LY-Rollup]]),0),"")</f>
        <v>0</v>
      </c>
      <c r="Z195"/>
      <c r="AA195" s="37" t="e">
        <f>IF(DaybyDay[[#This Row],[_Space]],DaybyDay[[#This Row],[Ret-Act-RU]]/DaybyDay[[#This Row],[Serv-Act-RU]],"")</f>
        <v>#DIV/0!</v>
      </c>
      <c r="AB195" s="50" t="e">
        <f>IF(DaybyDay[[#This Row],[_Space]],DaybyDay[[#This Row],[RETPEN-Act]]/DaybyDay[[#This Row],[RETPEN-Bud]],"")</f>
        <v>#DIV/0!</v>
      </c>
      <c r="AC195" s="37" t="e">
        <f>IF(DaybyDay[[#This Row],[_Space]],DaybyDay[[#This Row],[Ret-Bud-RU]]/DaybyDay[[#This Row],[Serv-Bud-RU]],"")</f>
        <v>#DIV/0!</v>
      </c>
      <c r="AD195" s="37" t="e">
        <f>IF(DaybyDay[[#This Row],[_Space]],DaybyDay[[#This Row],[Ret-LY-RU]]/DaybyDay[[#This Row],[Serv-LY-RU]],"")</f>
        <v>#DIV/0!</v>
      </c>
      <c r="AE195" s="30">
        <f>WEEKDAY(DaybyDay[[#This Row],[LY-Date]])</f>
        <v>7</v>
      </c>
      <c r="AF195" s="38">
        <f>$E$2+_xlfn.DAYS(DaybyDay[[#This Row],[Date]],minDate)</f>
        <v>42560</v>
      </c>
      <c r="AG195" s="39" t="str" cm="1">
        <f t="array" ref="AG195">IFERROR(INDEX(DaybyDay[],DaybyDay[[#This Row],[FORM_MATCH_HELPER]],8),"")</f>
        <v/>
      </c>
      <c r="AH195" s="39" t="str" cm="1">
        <f t="array" ref="AH195">IFERROR(INDEX(DaybyDay[],DaybyDay[[#This Row],[FORM_MATCH_HELPER]],10),"")</f>
        <v/>
      </c>
      <c r="AI195" s="39" t="str" cm="1">
        <f t="array" ref="AI195">IFERROR(INDEX(DaybyDay[],DaybyDay[[#This Row],[FORM_MATCH_HELPER]],12),"")</f>
        <v/>
      </c>
      <c r="AJ195" s="32">
        <f>IFERROR(DaybyDay[[#This Row],[Serv-LY-RU]]+DaybyDay[[#This Row],[Ret-LY-RU]],"")</f>
        <v>0</v>
      </c>
      <c r="AK1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5" s="77"/>
      <c r="AM195" s="40" t="str">
        <f>IF(DaybyDay[[#This Row],[Admin Hours]]&gt;0,DaybyDay[[#This Row],[Admin Hours]]*$AM$2+$AM$3,"")</f>
        <v/>
      </c>
      <c r="AN195" s="40">
        <f>SUMIFS(DaybyDay[Est-Admin-Payroll],DaybyDay[Date],"&gt;="&amp;$C$5,DaybyDay[RowYear],"&gt;="&amp;$C$4,DaybyDay[Date],"&lt;="&amp;DaybyDay[[#This Row],[Date]])</f>
        <v>0</v>
      </c>
      <c r="AO195" s="41" t="str">
        <f>IF(AND(DaybyDay[[#This Row],[_Space]],ISNUMBER(DaybyDay[[#This Row],[Admin Hours]])),DaybyDay[[#This Row],[Est-Admin-Payroll]]/(DaybyDay[[#This Row],[Service-Actuals]]+DaybyDay[[#This Row],[Retail-Actuals]]),"")</f>
        <v/>
      </c>
      <c r="AP195" s="41" t="e">
        <f>DaybyDay[[#This Row],[Estimated-Payroll-Rollup]]/DaybyDay[[#This Row],[Simple-Forecast]]</f>
        <v>#DIV/0!</v>
      </c>
      <c r="AQ1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5" s="77"/>
      <c r="AS195" s="40" t="str">
        <f>IF(DaybyDay[[#This Row],[Retail Hours]]&gt;0,DaybyDay[[#This Row],[Retail Hours]]*$AS$2,"")</f>
        <v/>
      </c>
      <c r="AT195" s="40">
        <f>SUMIFS(DaybyDay[Est-Retail-Payroll],DaybyDay[Date],"&gt;="&amp;$C$5,DaybyDay[RowYear],"&gt;="&amp;$C$4,DaybyDay[Date],"&lt;="&amp;DaybyDay[[#This Row],[Date]])</f>
        <v>0</v>
      </c>
      <c r="AU195" s="82" t="str">
        <f>IF(AND(DaybyDay[[#This Row],[_Space]],ISNUMBER(DaybyDay[[#This Row],[Retail Hours]])),DaybyDay[[#This Row],[Est-Retail-Payroll]]/(DaybyDay[[#This Row],[Retail-Actuals]]),"")</f>
        <v/>
      </c>
      <c r="AV195" s="82" t="e">
        <f>DaybyDay[[#This Row],[Est-Retail-PayrollRU]]/DaybyDay[[#This Row],[Simple-Forecast-Retail]]</f>
        <v>#DIV/0!</v>
      </c>
      <c r="AW195" s="8"/>
    </row>
    <row r="196" spans="3:49" hidden="1" x14ac:dyDescent="0.25">
      <c r="C196" s="26" t="str">
        <f>Tools!$C$1</f>
        <v>Example</v>
      </c>
      <c r="D196" s="27" t="s">
        <v>74</v>
      </c>
      <c r="E196" s="28">
        <v>2017</v>
      </c>
      <c r="F196" s="28">
        <f>MATCH(DaybyDay[[#This Row],[RowMonth]],Table3[SummaryMonth],0)</f>
        <v>7</v>
      </c>
      <c r="G196" s="29" t="e">
        <f>MATCH(DaybyDay[[#This Row],[LY-Date]],DaybyDay[Date],0)</f>
        <v>#N/A</v>
      </c>
      <c r="H196" s="30">
        <f>WEEKDAY(DaybyDay[[#This Row],[Date]])</f>
        <v>1</v>
      </c>
      <c r="I196" s="31">
        <v>42925</v>
      </c>
      <c r="J196" s="74">
        <v>25</v>
      </c>
      <c r="K196" s="32">
        <f>SUMIFS(BudgetSeasonality[365 Seasonality],BudgetSeasonality[MonthAdjustment],DaybyDay[[#This Row],[Date]])*SUMIFS(Budgets[Service-Budget],Budgets[BudgetMonth],DaybyDay[[#This Row],[RowMonth]],Budgets[BudgetYear],DaybyDay[[#This Row],[RowYear]])</f>
        <v>0</v>
      </c>
      <c r="L196" s="75">
        <v>5265.25</v>
      </c>
      <c r="M196" s="32">
        <f>INDEX(BudgetSeasonality[365 Seasonality],MATCH(DaybyDay[[#This Row],[Date]],BudgetSeasonality[MonthAdjustment],0))*SUMIFS(Budgets[Retail-Budget],Budgets[BudgetMonth],DaybyDay[[#This Row],[RowMonth]],Budgets[BudgetYear],DaybyDay[[#This Row],[RowYear]])</f>
        <v>0</v>
      </c>
      <c r="N196" s="75">
        <v>3215.6</v>
      </c>
      <c r="O196" s="33">
        <f>SUMIFS(DaybyDay[Service-Budgets],DaybyDay[Date],"&gt;="&amp;$C$5,DaybyDay[RowYear],"&gt;="&amp;$C$4,DaybyDay[Date],"&lt;="&amp;DaybyDay[[#This Row],[Date]])</f>
        <v>0</v>
      </c>
      <c r="P196" s="33">
        <f>SUMIFS(DaybyDay[Retail-Budgets],DaybyDay[Date],"&gt;="&amp;$C$5,DaybyDay[RowYear],"&gt;="&amp;$C$4,DaybyDay[Date],"&lt;="&amp;DaybyDay[[#This Row],[Date]])</f>
        <v>0</v>
      </c>
      <c r="Q196" s="34">
        <f>SUMIFS(DaybyDay[Service-Actuals],DaybyDay[Date],"&gt;="&amp;$C$5,DaybyDay[RowYear],"&gt;="&amp;$C$4,DaybyDay[Date],"&lt;="&amp;DaybyDay[[#This Row],[Date]])</f>
        <v>0</v>
      </c>
      <c r="R196" s="34">
        <f>SUMIFS(DaybyDay[Retail-Actuals],DaybyDay[Date],"&gt;="&amp;$C$5,DaybyDay[RowYear],"&gt;="&amp;$C$4,DaybyDay[Date],"&lt;="&amp;DaybyDay[[#This Row],[Date]])</f>
        <v>0</v>
      </c>
      <c r="S196" s="35">
        <f>SUMIFS(DaybyDay[Service-LY],DaybyDay[Date],"&gt;="&amp;$C$5,DaybyDay[RowYear],"&gt;="&amp;$C$4,DaybyDay[Date],"&lt;="&amp;DaybyDay[[#This Row],[Date]])</f>
        <v>0</v>
      </c>
      <c r="T196" s="35">
        <f>SUMIFS(DaybyDay[Retail-LY],DaybyDay[Date],"&gt;="&amp;$C$5,DaybyDay[RowYear],"&gt;="&amp;$C$4,DaybyDay[Date],"&lt;="&amp;DaybyDay[[#This Row],[Date]])</f>
        <v>0</v>
      </c>
      <c r="U196" s="32">
        <f>DaybyDay[[#This Row],[Serv-Bud-RU]]+DaybyDay[[#This Row],[Ret-Bud-RU]]</f>
        <v>0</v>
      </c>
      <c r="V196" s="32">
        <f>DaybyDay[[#This Row],[Serv-Act-RU]]+DaybyDay[[#This Row],[Ret-Act-RU]]</f>
        <v>0</v>
      </c>
      <c r="W196" s="36">
        <f>IF(DaybyDay[[#This Row],[_Space]],IFERROR(
((DaybyDay[[#This Row],[Actual-Rollup]]-DaybyDay[[#This Row],[Budget-Rollup]])/DaybyDay[[#This Row],[Budget-Rollup]]),0),"")</f>
        <v>0</v>
      </c>
      <c r="X196" t="b">
        <f>NOT(AND(ISBLANK(DaybyDay[[#This Row],[Appts]]),ISBLANK(DaybyDay[[#This Row],[Service-Actuals]]),ISBLANK(DaybyDay[[#This Row],[Retail-Actuals]])))</f>
        <v>1</v>
      </c>
      <c r="Y196" s="36">
        <f>IF(DaybyDay[[#This Row],[_Space]],IFERROR(
((DaybyDay[[#This Row],[Actual-Rollup]]-DaybyDay[[#This Row],[LY-Rollup]])/DaybyDay[[#This Row],[LY-Rollup]]),0),"")</f>
        <v>0</v>
      </c>
      <c r="Z196"/>
      <c r="AA196" s="37" t="e">
        <f>IF(DaybyDay[[#This Row],[_Space]],DaybyDay[[#This Row],[Ret-Act-RU]]/DaybyDay[[#This Row],[Serv-Act-RU]],"")</f>
        <v>#DIV/0!</v>
      </c>
      <c r="AB196" s="50" t="e">
        <f>IF(DaybyDay[[#This Row],[_Space]],DaybyDay[[#This Row],[RETPEN-Act]]/DaybyDay[[#This Row],[RETPEN-Bud]],"")</f>
        <v>#DIV/0!</v>
      </c>
      <c r="AC196" s="37" t="e">
        <f>IF(DaybyDay[[#This Row],[_Space]],DaybyDay[[#This Row],[Ret-Bud-RU]]/DaybyDay[[#This Row],[Serv-Bud-RU]],"")</f>
        <v>#DIV/0!</v>
      </c>
      <c r="AD196" s="37" t="e">
        <f>IF(DaybyDay[[#This Row],[_Space]],DaybyDay[[#This Row],[Ret-LY-RU]]/DaybyDay[[#This Row],[Serv-LY-RU]],"")</f>
        <v>#DIV/0!</v>
      </c>
      <c r="AE196" s="30">
        <f>WEEKDAY(DaybyDay[[#This Row],[LY-Date]])</f>
        <v>1</v>
      </c>
      <c r="AF196" s="38">
        <f>$E$2+_xlfn.DAYS(DaybyDay[[#This Row],[Date]],minDate)</f>
        <v>42561</v>
      </c>
      <c r="AG196" s="39" t="str" cm="1">
        <f t="array" ref="AG196">IFERROR(INDEX(DaybyDay[],DaybyDay[[#This Row],[FORM_MATCH_HELPER]],8),"")</f>
        <v/>
      </c>
      <c r="AH196" s="39" t="str" cm="1">
        <f t="array" ref="AH196">IFERROR(INDEX(DaybyDay[],DaybyDay[[#This Row],[FORM_MATCH_HELPER]],10),"")</f>
        <v/>
      </c>
      <c r="AI196" s="39" t="str" cm="1">
        <f t="array" ref="AI196">IFERROR(INDEX(DaybyDay[],DaybyDay[[#This Row],[FORM_MATCH_HELPER]],12),"")</f>
        <v/>
      </c>
      <c r="AJ196" s="32">
        <f>IFERROR(DaybyDay[[#This Row],[Serv-LY-RU]]+DaybyDay[[#This Row],[Ret-LY-RU]],"")</f>
        <v>0</v>
      </c>
      <c r="AK1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6" s="77"/>
      <c r="AM196" s="40" t="str">
        <f>IF(DaybyDay[[#This Row],[Admin Hours]]&gt;0,DaybyDay[[#This Row],[Admin Hours]]*$AM$2+$AM$3,"")</f>
        <v/>
      </c>
      <c r="AN196" s="40">
        <f>SUMIFS(DaybyDay[Est-Admin-Payroll],DaybyDay[Date],"&gt;="&amp;$C$5,DaybyDay[RowYear],"&gt;="&amp;$C$4,DaybyDay[Date],"&lt;="&amp;DaybyDay[[#This Row],[Date]])</f>
        <v>0</v>
      </c>
      <c r="AO196" s="41" t="str">
        <f>IF(AND(DaybyDay[[#This Row],[_Space]],ISNUMBER(DaybyDay[[#This Row],[Admin Hours]])),DaybyDay[[#This Row],[Est-Admin-Payroll]]/(DaybyDay[[#This Row],[Service-Actuals]]+DaybyDay[[#This Row],[Retail-Actuals]]),"")</f>
        <v/>
      </c>
      <c r="AP196" s="41" t="e">
        <f>DaybyDay[[#This Row],[Estimated-Payroll-Rollup]]/DaybyDay[[#This Row],[Simple-Forecast]]</f>
        <v>#DIV/0!</v>
      </c>
      <c r="AQ1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6" s="77"/>
      <c r="AS196" s="40" t="str">
        <f>IF(DaybyDay[[#This Row],[Retail Hours]]&gt;0,DaybyDay[[#This Row],[Retail Hours]]*$AS$2,"")</f>
        <v/>
      </c>
      <c r="AT196" s="40">
        <f>SUMIFS(DaybyDay[Est-Retail-Payroll],DaybyDay[Date],"&gt;="&amp;$C$5,DaybyDay[RowYear],"&gt;="&amp;$C$4,DaybyDay[Date],"&lt;="&amp;DaybyDay[[#This Row],[Date]])</f>
        <v>0</v>
      </c>
      <c r="AU196" s="82" t="str">
        <f>IF(AND(DaybyDay[[#This Row],[_Space]],ISNUMBER(DaybyDay[[#This Row],[Retail Hours]])),DaybyDay[[#This Row],[Est-Retail-Payroll]]/(DaybyDay[[#This Row],[Retail-Actuals]]),"")</f>
        <v/>
      </c>
      <c r="AV196" s="82" t="e">
        <f>DaybyDay[[#This Row],[Est-Retail-PayrollRU]]/DaybyDay[[#This Row],[Simple-Forecast-Retail]]</f>
        <v>#DIV/0!</v>
      </c>
      <c r="AW196" s="8"/>
    </row>
    <row r="197" spans="3:49" hidden="1" x14ac:dyDescent="0.25">
      <c r="C197" s="26" t="str">
        <f>Tools!$C$1</f>
        <v>Example</v>
      </c>
      <c r="D197" s="27" t="s">
        <v>74</v>
      </c>
      <c r="E197" s="28">
        <v>2017</v>
      </c>
      <c r="F197" s="28">
        <f>MATCH(DaybyDay[[#This Row],[RowMonth]],Table3[SummaryMonth],0)</f>
        <v>7</v>
      </c>
      <c r="G197" s="29" t="e">
        <f>MATCH(DaybyDay[[#This Row],[LY-Date]],DaybyDay[Date],0)</f>
        <v>#N/A</v>
      </c>
      <c r="H197" s="30">
        <f>WEEKDAY(DaybyDay[[#This Row],[Date]])</f>
        <v>2</v>
      </c>
      <c r="I197" s="31">
        <v>42926</v>
      </c>
      <c r="J197" s="74">
        <v>19</v>
      </c>
      <c r="K197" s="32">
        <f>SUMIFS(BudgetSeasonality[365 Seasonality],BudgetSeasonality[MonthAdjustment],DaybyDay[[#This Row],[Date]])*SUMIFS(Budgets[Service-Budget],Budgets[BudgetMonth],DaybyDay[[#This Row],[RowMonth]],Budgets[BudgetYear],DaybyDay[[#This Row],[RowYear]])</f>
        <v>0</v>
      </c>
      <c r="L197" s="75">
        <v>4064.2</v>
      </c>
      <c r="M197" s="32">
        <f>INDEX(BudgetSeasonality[365 Seasonality],MATCH(DaybyDay[[#This Row],[Date]],BudgetSeasonality[MonthAdjustment],0))*SUMIFS(Budgets[Retail-Budget],Budgets[BudgetMonth],DaybyDay[[#This Row],[RowMonth]],Budgets[BudgetYear],DaybyDay[[#This Row],[RowYear]])</f>
        <v>0</v>
      </c>
      <c r="N197" s="75">
        <v>478.5</v>
      </c>
      <c r="O197" s="33">
        <f>SUMIFS(DaybyDay[Service-Budgets],DaybyDay[Date],"&gt;="&amp;$C$5,DaybyDay[RowYear],"&gt;="&amp;$C$4,DaybyDay[Date],"&lt;="&amp;DaybyDay[[#This Row],[Date]])</f>
        <v>0</v>
      </c>
      <c r="P197" s="33">
        <f>SUMIFS(DaybyDay[Retail-Budgets],DaybyDay[Date],"&gt;="&amp;$C$5,DaybyDay[RowYear],"&gt;="&amp;$C$4,DaybyDay[Date],"&lt;="&amp;DaybyDay[[#This Row],[Date]])</f>
        <v>0</v>
      </c>
      <c r="Q197" s="34">
        <f>SUMIFS(DaybyDay[Service-Actuals],DaybyDay[Date],"&gt;="&amp;$C$5,DaybyDay[RowYear],"&gt;="&amp;$C$4,DaybyDay[Date],"&lt;="&amp;DaybyDay[[#This Row],[Date]])</f>
        <v>0</v>
      </c>
      <c r="R197" s="34">
        <f>SUMIFS(DaybyDay[Retail-Actuals],DaybyDay[Date],"&gt;="&amp;$C$5,DaybyDay[RowYear],"&gt;="&amp;$C$4,DaybyDay[Date],"&lt;="&amp;DaybyDay[[#This Row],[Date]])</f>
        <v>0</v>
      </c>
      <c r="S197" s="35">
        <f>SUMIFS(DaybyDay[Service-LY],DaybyDay[Date],"&gt;="&amp;$C$5,DaybyDay[RowYear],"&gt;="&amp;$C$4,DaybyDay[Date],"&lt;="&amp;DaybyDay[[#This Row],[Date]])</f>
        <v>0</v>
      </c>
      <c r="T197" s="35">
        <f>SUMIFS(DaybyDay[Retail-LY],DaybyDay[Date],"&gt;="&amp;$C$5,DaybyDay[RowYear],"&gt;="&amp;$C$4,DaybyDay[Date],"&lt;="&amp;DaybyDay[[#This Row],[Date]])</f>
        <v>0</v>
      </c>
      <c r="U197" s="32">
        <f>DaybyDay[[#This Row],[Serv-Bud-RU]]+DaybyDay[[#This Row],[Ret-Bud-RU]]</f>
        <v>0</v>
      </c>
      <c r="V197" s="32">
        <f>DaybyDay[[#This Row],[Serv-Act-RU]]+DaybyDay[[#This Row],[Ret-Act-RU]]</f>
        <v>0</v>
      </c>
      <c r="W197" s="36">
        <f>IF(DaybyDay[[#This Row],[_Space]],IFERROR(
((DaybyDay[[#This Row],[Actual-Rollup]]-DaybyDay[[#This Row],[Budget-Rollup]])/DaybyDay[[#This Row],[Budget-Rollup]]),0),"")</f>
        <v>0</v>
      </c>
      <c r="X197" t="b">
        <f>NOT(AND(ISBLANK(DaybyDay[[#This Row],[Appts]]),ISBLANK(DaybyDay[[#This Row],[Service-Actuals]]),ISBLANK(DaybyDay[[#This Row],[Retail-Actuals]])))</f>
        <v>1</v>
      </c>
      <c r="Y197" s="36">
        <f>IF(DaybyDay[[#This Row],[_Space]],IFERROR(
((DaybyDay[[#This Row],[Actual-Rollup]]-DaybyDay[[#This Row],[LY-Rollup]])/DaybyDay[[#This Row],[LY-Rollup]]),0),"")</f>
        <v>0</v>
      </c>
      <c r="Z197"/>
      <c r="AA197" s="37" t="e">
        <f>IF(DaybyDay[[#This Row],[_Space]],DaybyDay[[#This Row],[Ret-Act-RU]]/DaybyDay[[#This Row],[Serv-Act-RU]],"")</f>
        <v>#DIV/0!</v>
      </c>
      <c r="AB197" s="50" t="e">
        <f>IF(DaybyDay[[#This Row],[_Space]],DaybyDay[[#This Row],[RETPEN-Act]]/DaybyDay[[#This Row],[RETPEN-Bud]],"")</f>
        <v>#DIV/0!</v>
      </c>
      <c r="AC197" s="37" t="e">
        <f>IF(DaybyDay[[#This Row],[_Space]],DaybyDay[[#This Row],[Ret-Bud-RU]]/DaybyDay[[#This Row],[Serv-Bud-RU]],"")</f>
        <v>#DIV/0!</v>
      </c>
      <c r="AD197" s="37" t="e">
        <f>IF(DaybyDay[[#This Row],[_Space]],DaybyDay[[#This Row],[Ret-LY-RU]]/DaybyDay[[#This Row],[Serv-LY-RU]],"")</f>
        <v>#DIV/0!</v>
      </c>
      <c r="AE197" s="30">
        <f>WEEKDAY(DaybyDay[[#This Row],[LY-Date]])</f>
        <v>2</v>
      </c>
      <c r="AF197" s="38">
        <f>$E$2+_xlfn.DAYS(DaybyDay[[#This Row],[Date]],minDate)</f>
        <v>42562</v>
      </c>
      <c r="AG197" s="39" t="str" cm="1">
        <f t="array" ref="AG197">IFERROR(INDEX(DaybyDay[],DaybyDay[[#This Row],[FORM_MATCH_HELPER]],8),"")</f>
        <v/>
      </c>
      <c r="AH197" s="39" t="str" cm="1">
        <f t="array" ref="AH197">IFERROR(INDEX(DaybyDay[],DaybyDay[[#This Row],[FORM_MATCH_HELPER]],10),"")</f>
        <v/>
      </c>
      <c r="AI197" s="39" t="str" cm="1">
        <f t="array" ref="AI197">IFERROR(INDEX(DaybyDay[],DaybyDay[[#This Row],[FORM_MATCH_HELPER]],12),"")</f>
        <v/>
      </c>
      <c r="AJ197" s="32">
        <f>IFERROR(DaybyDay[[#This Row],[Serv-LY-RU]]+DaybyDay[[#This Row],[Ret-LY-RU]],"")</f>
        <v>0</v>
      </c>
      <c r="AK1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7" s="77"/>
      <c r="AM197" s="40" t="str">
        <f>IF(DaybyDay[[#This Row],[Admin Hours]]&gt;0,DaybyDay[[#This Row],[Admin Hours]]*$AM$2+$AM$3,"")</f>
        <v/>
      </c>
      <c r="AN197" s="40">
        <f>SUMIFS(DaybyDay[Est-Admin-Payroll],DaybyDay[Date],"&gt;="&amp;$C$5,DaybyDay[RowYear],"&gt;="&amp;$C$4,DaybyDay[Date],"&lt;="&amp;DaybyDay[[#This Row],[Date]])</f>
        <v>0</v>
      </c>
      <c r="AO197" s="41" t="str">
        <f>IF(AND(DaybyDay[[#This Row],[_Space]],ISNUMBER(DaybyDay[[#This Row],[Admin Hours]])),DaybyDay[[#This Row],[Est-Admin-Payroll]]/(DaybyDay[[#This Row],[Service-Actuals]]+DaybyDay[[#This Row],[Retail-Actuals]]),"")</f>
        <v/>
      </c>
      <c r="AP197" s="41" t="e">
        <f>DaybyDay[[#This Row],[Estimated-Payroll-Rollup]]/DaybyDay[[#This Row],[Simple-Forecast]]</f>
        <v>#DIV/0!</v>
      </c>
      <c r="AQ1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7" s="77"/>
      <c r="AS197" s="40" t="str">
        <f>IF(DaybyDay[[#This Row],[Retail Hours]]&gt;0,DaybyDay[[#This Row],[Retail Hours]]*$AS$2,"")</f>
        <v/>
      </c>
      <c r="AT197" s="40">
        <f>SUMIFS(DaybyDay[Est-Retail-Payroll],DaybyDay[Date],"&gt;="&amp;$C$5,DaybyDay[RowYear],"&gt;="&amp;$C$4,DaybyDay[Date],"&lt;="&amp;DaybyDay[[#This Row],[Date]])</f>
        <v>0</v>
      </c>
      <c r="AU197" s="82" t="str">
        <f>IF(AND(DaybyDay[[#This Row],[_Space]],ISNUMBER(DaybyDay[[#This Row],[Retail Hours]])),DaybyDay[[#This Row],[Est-Retail-Payroll]]/(DaybyDay[[#This Row],[Retail-Actuals]]),"")</f>
        <v/>
      </c>
      <c r="AV197" s="82" t="e">
        <f>DaybyDay[[#This Row],[Est-Retail-PayrollRU]]/DaybyDay[[#This Row],[Simple-Forecast-Retail]]</f>
        <v>#DIV/0!</v>
      </c>
      <c r="AW197" s="8"/>
    </row>
    <row r="198" spans="3:49" hidden="1" x14ac:dyDescent="0.25">
      <c r="C198" s="26" t="str">
        <f>Tools!$C$1</f>
        <v>Example</v>
      </c>
      <c r="D198" s="27" t="s">
        <v>74</v>
      </c>
      <c r="E198" s="28">
        <v>2017</v>
      </c>
      <c r="F198" s="28">
        <f>MATCH(DaybyDay[[#This Row],[RowMonth]],Table3[SummaryMonth],0)</f>
        <v>7</v>
      </c>
      <c r="G198" s="29" t="e">
        <f>MATCH(DaybyDay[[#This Row],[LY-Date]],DaybyDay[Date],0)</f>
        <v>#N/A</v>
      </c>
      <c r="H198" s="30">
        <f>WEEKDAY(DaybyDay[[#This Row],[Date]])</f>
        <v>3</v>
      </c>
      <c r="I198" s="31">
        <v>42927</v>
      </c>
      <c r="J198" s="74">
        <v>21</v>
      </c>
      <c r="K198" s="32">
        <f>SUMIFS(BudgetSeasonality[365 Seasonality],BudgetSeasonality[MonthAdjustment],DaybyDay[[#This Row],[Date]])*SUMIFS(Budgets[Service-Budget],Budgets[BudgetMonth],DaybyDay[[#This Row],[RowMonth]],Budgets[BudgetYear],DaybyDay[[#This Row],[RowYear]])</f>
        <v>0</v>
      </c>
      <c r="L198" s="75">
        <v>3891.18</v>
      </c>
      <c r="M198" s="32">
        <f>INDEX(BudgetSeasonality[365 Seasonality],MATCH(DaybyDay[[#This Row],[Date]],BudgetSeasonality[MonthAdjustment],0))*SUMIFS(Budgets[Retail-Budget],Budgets[BudgetMonth],DaybyDay[[#This Row],[RowMonth]],Budgets[BudgetYear],DaybyDay[[#This Row],[RowYear]])</f>
        <v>0</v>
      </c>
      <c r="N198" s="75">
        <v>900</v>
      </c>
      <c r="O198" s="33">
        <f>SUMIFS(DaybyDay[Service-Budgets],DaybyDay[Date],"&gt;="&amp;$C$5,DaybyDay[RowYear],"&gt;="&amp;$C$4,DaybyDay[Date],"&lt;="&amp;DaybyDay[[#This Row],[Date]])</f>
        <v>0</v>
      </c>
      <c r="P198" s="33">
        <f>SUMIFS(DaybyDay[Retail-Budgets],DaybyDay[Date],"&gt;="&amp;$C$5,DaybyDay[RowYear],"&gt;="&amp;$C$4,DaybyDay[Date],"&lt;="&amp;DaybyDay[[#This Row],[Date]])</f>
        <v>0</v>
      </c>
      <c r="Q198" s="34">
        <f>SUMIFS(DaybyDay[Service-Actuals],DaybyDay[Date],"&gt;="&amp;$C$5,DaybyDay[RowYear],"&gt;="&amp;$C$4,DaybyDay[Date],"&lt;="&amp;DaybyDay[[#This Row],[Date]])</f>
        <v>0</v>
      </c>
      <c r="R198" s="34">
        <f>SUMIFS(DaybyDay[Retail-Actuals],DaybyDay[Date],"&gt;="&amp;$C$5,DaybyDay[RowYear],"&gt;="&amp;$C$4,DaybyDay[Date],"&lt;="&amp;DaybyDay[[#This Row],[Date]])</f>
        <v>0</v>
      </c>
      <c r="S198" s="35">
        <f>SUMIFS(DaybyDay[Service-LY],DaybyDay[Date],"&gt;="&amp;$C$5,DaybyDay[RowYear],"&gt;="&amp;$C$4,DaybyDay[Date],"&lt;="&amp;DaybyDay[[#This Row],[Date]])</f>
        <v>0</v>
      </c>
      <c r="T198" s="35">
        <f>SUMIFS(DaybyDay[Retail-LY],DaybyDay[Date],"&gt;="&amp;$C$5,DaybyDay[RowYear],"&gt;="&amp;$C$4,DaybyDay[Date],"&lt;="&amp;DaybyDay[[#This Row],[Date]])</f>
        <v>0</v>
      </c>
      <c r="U198" s="32">
        <f>DaybyDay[[#This Row],[Serv-Bud-RU]]+DaybyDay[[#This Row],[Ret-Bud-RU]]</f>
        <v>0</v>
      </c>
      <c r="V198" s="32">
        <f>DaybyDay[[#This Row],[Serv-Act-RU]]+DaybyDay[[#This Row],[Ret-Act-RU]]</f>
        <v>0</v>
      </c>
      <c r="W198" s="36">
        <f>IF(DaybyDay[[#This Row],[_Space]],IFERROR(
((DaybyDay[[#This Row],[Actual-Rollup]]-DaybyDay[[#This Row],[Budget-Rollup]])/DaybyDay[[#This Row],[Budget-Rollup]]),0),"")</f>
        <v>0</v>
      </c>
      <c r="X198" t="b">
        <f>NOT(AND(ISBLANK(DaybyDay[[#This Row],[Appts]]),ISBLANK(DaybyDay[[#This Row],[Service-Actuals]]),ISBLANK(DaybyDay[[#This Row],[Retail-Actuals]])))</f>
        <v>1</v>
      </c>
      <c r="Y198" s="36">
        <f>IF(DaybyDay[[#This Row],[_Space]],IFERROR(
((DaybyDay[[#This Row],[Actual-Rollup]]-DaybyDay[[#This Row],[LY-Rollup]])/DaybyDay[[#This Row],[LY-Rollup]]),0),"")</f>
        <v>0</v>
      </c>
      <c r="Z198"/>
      <c r="AA198" s="37" t="e">
        <f>IF(DaybyDay[[#This Row],[_Space]],DaybyDay[[#This Row],[Ret-Act-RU]]/DaybyDay[[#This Row],[Serv-Act-RU]],"")</f>
        <v>#DIV/0!</v>
      </c>
      <c r="AB198" s="50" t="e">
        <f>IF(DaybyDay[[#This Row],[_Space]],DaybyDay[[#This Row],[RETPEN-Act]]/DaybyDay[[#This Row],[RETPEN-Bud]],"")</f>
        <v>#DIV/0!</v>
      </c>
      <c r="AC198" s="37" t="e">
        <f>IF(DaybyDay[[#This Row],[_Space]],DaybyDay[[#This Row],[Ret-Bud-RU]]/DaybyDay[[#This Row],[Serv-Bud-RU]],"")</f>
        <v>#DIV/0!</v>
      </c>
      <c r="AD198" s="37" t="e">
        <f>IF(DaybyDay[[#This Row],[_Space]],DaybyDay[[#This Row],[Ret-LY-RU]]/DaybyDay[[#This Row],[Serv-LY-RU]],"")</f>
        <v>#DIV/0!</v>
      </c>
      <c r="AE198" s="30">
        <f>WEEKDAY(DaybyDay[[#This Row],[LY-Date]])</f>
        <v>3</v>
      </c>
      <c r="AF198" s="38">
        <f>$E$2+_xlfn.DAYS(DaybyDay[[#This Row],[Date]],minDate)</f>
        <v>42563</v>
      </c>
      <c r="AG198" s="39" t="str" cm="1">
        <f t="array" ref="AG198">IFERROR(INDEX(DaybyDay[],DaybyDay[[#This Row],[FORM_MATCH_HELPER]],8),"")</f>
        <v/>
      </c>
      <c r="AH198" s="39" t="str" cm="1">
        <f t="array" ref="AH198">IFERROR(INDEX(DaybyDay[],DaybyDay[[#This Row],[FORM_MATCH_HELPER]],10),"")</f>
        <v/>
      </c>
      <c r="AI198" s="39" t="str" cm="1">
        <f t="array" ref="AI198">IFERROR(INDEX(DaybyDay[],DaybyDay[[#This Row],[FORM_MATCH_HELPER]],12),"")</f>
        <v/>
      </c>
      <c r="AJ198" s="32">
        <f>IFERROR(DaybyDay[[#This Row],[Serv-LY-RU]]+DaybyDay[[#This Row],[Ret-LY-RU]],"")</f>
        <v>0</v>
      </c>
      <c r="AK1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8" s="77"/>
      <c r="AM198" s="40" t="str">
        <f>IF(DaybyDay[[#This Row],[Admin Hours]]&gt;0,DaybyDay[[#This Row],[Admin Hours]]*$AM$2+$AM$3,"")</f>
        <v/>
      </c>
      <c r="AN198" s="40">
        <f>SUMIFS(DaybyDay[Est-Admin-Payroll],DaybyDay[Date],"&gt;="&amp;$C$5,DaybyDay[RowYear],"&gt;="&amp;$C$4,DaybyDay[Date],"&lt;="&amp;DaybyDay[[#This Row],[Date]])</f>
        <v>0</v>
      </c>
      <c r="AO198" s="41" t="str">
        <f>IF(AND(DaybyDay[[#This Row],[_Space]],ISNUMBER(DaybyDay[[#This Row],[Admin Hours]])),DaybyDay[[#This Row],[Est-Admin-Payroll]]/(DaybyDay[[#This Row],[Service-Actuals]]+DaybyDay[[#This Row],[Retail-Actuals]]),"")</f>
        <v/>
      </c>
      <c r="AP198" s="41" t="e">
        <f>DaybyDay[[#This Row],[Estimated-Payroll-Rollup]]/DaybyDay[[#This Row],[Simple-Forecast]]</f>
        <v>#DIV/0!</v>
      </c>
      <c r="AQ1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8" s="77"/>
      <c r="AS198" s="40" t="str">
        <f>IF(DaybyDay[[#This Row],[Retail Hours]]&gt;0,DaybyDay[[#This Row],[Retail Hours]]*$AS$2,"")</f>
        <v/>
      </c>
      <c r="AT198" s="40">
        <f>SUMIFS(DaybyDay[Est-Retail-Payroll],DaybyDay[Date],"&gt;="&amp;$C$5,DaybyDay[RowYear],"&gt;="&amp;$C$4,DaybyDay[Date],"&lt;="&amp;DaybyDay[[#This Row],[Date]])</f>
        <v>0</v>
      </c>
      <c r="AU198" s="82" t="str">
        <f>IF(AND(DaybyDay[[#This Row],[_Space]],ISNUMBER(DaybyDay[[#This Row],[Retail Hours]])),DaybyDay[[#This Row],[Est-Retail-Payroll]]/(DaybyDay[[#This Row],[Retail-Actuals]]),"")</f>
        <v/>
      </c>
      <c r="AV198" s="82" t="e">
        <f>DaybyDay[[#This Row],[Est-Retail-PayrollRU]]/DaybyDay[[#This Row],[Simple-Forecast-Retail]]</f>
        <v>#DIV/0!</v>
      </c>
      <c r="AW198" s="8"/>
    </row>
    <row r="199" spans="3:49" hidden="1" x14ac:dyDescent="0.25">
      <c r="C199" s="26" t="str">
        <f>Tools!$C$1</f>
        <v>Example</v>
      </c>
      <c r="D199" s="27" t="s">
        <v>74</v>
      </c>
      <c r="E199" s="28">
        <v>2017</v>
      </c>
      <c r="F199" s="28">
        <f>MATCH(DaybyDay[[#This Row],[RowMonth]],Table3[SummaryMonth],0)</f>
        <v>7</v>
      </c>
      <c r="G199" s="29" t="e">
        <f>MATCH(DaybyDay[[#This Row],[LY-Date]],DaybyDay[Date],0)</f>
        <v>#N/A</v>
      </c>
      <c r="H199" s="30">
        <f>WEEKDAY(DaybyDay[[#This Row],[Date]])</f>
        <v>4</v>
      </c>
      <c r="I199" s="31">
        <v>42928</v>
      </c>
      <c r="J199" s="74">
        <v>16</v>
      </c>
      <c r="K199" s="32">
        <f>SUMIFS(BudgetSeasonality[365 Seasonality],BudgetSeasonality[MonthAdjustment],DaybyDay[[#This Row],[Date]])*SUMIFS(Budgets[Service-Budget],Budgets[BudgetMonth],DaybyDay[[#This Row],[RowMonth]],Budgets[BudgetYear],DaybyDay[[#This Row],[RowYear]])</f>
        <v>0</v>
      </c>
      <c r="L199" s="75">
        <v>2767.9</v>
      </c>
      <c r="M199" s="32">
        <f>INDEX(BudgetSeasonality[365 Seasonality],MATCH(DaybyDay[[#This Row],[Date]],BudgetSeasonality[MonthAdjustment],0))*SUMIFS(Budgets[Retail-Budget],Budgets[BudgetMonth],DaybyDay[[#This Row],[RowMonth]],Budgets[BudgetYear],DaybyDay[[#This Row],[RowYear]])</f>
        <v>0</v>
      </c>
      <c r="N199" s="75">
        <v>250</v>
      </c>
      <c r="O199" s="33">
        <f>SUMIFS(DaybyDay[Service-Budgets],DaybyDay[Date],"&gt;="&amp;$C$5,DaybyDay[RowYear],"&gt;="&amp;$C$4,DaybyDay[Date],"&lt;="&amp;DaybyDay[[#This Row],[Date]])</f>
        <v>0</v>
      </c>
      <c r="P199" s="33">
        <f>SUMIFS(DaybyDay[Retail-Budgets],DaybyDay[Date],"&gt;="&amp;$C$5,DaybyDay[RowYear],"&gt;="&amp;$C$4,DaybyDay[Date],"&lt;="&amp;DaybyDay[[#This Row],[Date]])</f>
        <v>0</v>
      </c>
      <c r="Q199" s="34">
        <f>SUMIFS(DaybyDay[Service-Actuals],DaybyDay[Date],"&gt;="&amp;$C$5,DaybyDay[RowYear],"&gt;="&amp;$C$4,DaybyDay[Date],"&lt;="&amp;DaybyDay[[#This Row],[Date]])</f>
        <v>0</v>
      </c>
      <c r="R199" s="34">
        <f>SUMIFS(DaybyDay[Retail-Actuals],DaybyDay[Date],"&gt;="&amp;$C$5,DaybyDay[RowYear],"&gt;="&amp;$C$4,DaybyDay[Date],"&lt;="&amp;DaybyDay[[#This Row],[Date]])</f>
        <v>0</v>
      </c>
      <c r="S199" s="35">
        <f>SUMIFS(DaybyDay[Service-LY],DaybyDay[Date],"&gt;="&amp;$C$5,DaybyDay[RowYear],"&gt;="&amp;$C$4,DaybyDay[Date],"&lt;="&amp;DaybyDay[[#This Row],[Date]])</f>
        <v>0</v>
      </c>
      <c r="T199" s="35">
        <f>SUMIFS(DaybyDay[Retail-LY],DaybyDay[Date],"&gt;="&amp;$C$5,DaybyDay[RowYear],"&gt;="&amp;$C$4,DaybyDay[Date],"&lt;="&amp;DaybyDay[[#This Row],[Date]])</f>
        <v>0</v>
      </c>
      <c r="U199" s="32">
        <f>DaybyDay[[#This Row],[Serv-Bud-RU]]+DaybyDay[[#This Row],[Ret-Bud-RU]]</f>
        <v>0</v>
      </c>
      <c r="V199" s="32">
        <f>DaybyDay[[#This Row],[Serv-Act-RU]]+DaybyDay[[#This Row],[Ret-Act-RU]]</f>
        <v>0</v>
      </c>
      <c r="W199" s="36">
        <f>IF(DaybyDay[[#This Row],[_Space]],IFERROR(
((DaybyDay[[#This Row],[Actual-Rollup]]-DaybyDay[[#This Row],[Budget-Rollup]])/DaybyDay[[#This Row],[Budget-Rollup]]),0),"")</f>
        <v>0</v>
      </c>
      <c r="X199" t="b">
        <f>NOT(AND(ISBLANK(DaybyDay[[#This Row],[Appts]]),ISBLANK(DaybyDay[[#This Row],[Service-Actuals]]),ISBLANK(DaybyDay[[#This Row],[Retail-Actuals]])))</f>
        <v>1</v>
      </c>
      <c r="Y199" s="36">
        <f>IF(DaybyDay[[#This Row],[_Space]],IFERROR(
((DaybyDay[[#This Row],[Actual-Rollup]]-DaybyDay[[#This Row],[LY-Rollup]])/DaybyDay[[#This Row],[LY-Rollup]]),0),"")</f>
        <v>0</v>
      </c>
      <c r="Z199"/>
      <c r="AA199" s="37" t="e">
        <f>IF(DaybyDay[[#This Row],[_Space]],DaybyDay[[#This Row],[Ret-Act-RU]]/DaybyDay[[#This Row],[Serv-Act-RU]],"")</f>
        <v>#DIV/0!</v>
      </c>
      <c r="AB199" s="50" t="e">
        <f>IF(DaybyDay[[#This Row],[_Space]],DaybyDay[[#This Row],[RETPEN-Act]]/DaybyDay[[#This Row],[RETPEN-Bud]],"")</f>
        <v>#DIV/0!</v>
      </c>
      <c r="AC199" s="37" t="e">
        <f>IF(DaybyDay[[#This Row],[_Space]],DaybyDay[[#This Row],[Ret-Bud-RU]]/DaybyDay[[#This Row],[Serv-Bud-RU]],"")</f>
        <v>#DIV/0!</v>
      </c>
      <c r="AD199" s="37" t="e">
        <f>IF(DaybyDay[[#This Row],[_Space]],DaybyDay[[#This Row],[Ret-LY-RU]]/DaybyDay[[#This Row],[Serv-LY-RU]],"")</f>
        <v>#DIV/0!</v>
      </c>
      <c r="AE199" s="30">
        <f>WEEKDAY(DaybyDay[[#This Row],[LY-Date]])</f>
        <v>4</v>
      </c>
      <c r="AF199" s="38">
        <f>$E$2+_xlfn.DAYS(DaybyDay[[#This Row],[Date]],minDate)</f>
        <v>42564</v>
      </c>
      <c r="AG199" s="39" t="str" cm="1">
        <f t="array" ref="AG199">IFERROR(INDEX(DaybyDay[],DaybyDay[[#This Row],[FORM_MATCH_HELPER]],8),"")</f>
        <v/>
      </c>
      <c r="AH199" s="39" t="str" cm="1">
        <f t="array" ref="AH199">IFERROR(INDEX(DaybyDay[],DaybyDay[[#This Row],[FORM_MATCH_HELPER]],10),"")</f>
        <v/>
      </c>
      <c r="AI199" s="39" t="str" cm="1">
        <f t="array" ref="AI199">IFERROR(INDEX(DaybyDay[],DaybyDay[[#This Row],[FORM_MATCH_HELPER]],12),"")</f>
        <v/>
      </c>
      <c r="AJ199" s="32">
        <f>IFERROR(DaybyDay[[#This Row],[Serv-LY-RU]]+DaybyDay[[#This Row],[Ret-LY-RU]],"")</f>
        <v>0</v>
      </c>
      <c r="AK1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99" s="77"/>
      <c r="AM199" s="40" t="str">
        <f>IF(DaybyDay[[#This Row],[Admin Hours]]&gt;0,DaybyDay[[#This Row],[Admin Hours]]*$AM$2+$AM$3,"")</f>
        <v/>
      </c>
      <c r="AN199" s="40">
        <f>SUMIFS(DaybyDay[Est-Admin-Payroll],DaybyDay[Date],"&gt;="&amp;$C$5,DaybyDay[RowYear],"&gt;="&amp;$C$4,DaybyDay[Date],"&lt;="&amp;DaybyDay[[#This Row],[Date]])</f>
        <v>0</v>
      </c>
      <c r="AO199" s="41" t="str">
        <f>IF(AND(DaybyDay[[#This Row],[_Space]],ISNUMBER(DaybyDay[[#This Row],[Admin Hours]])),DaybyDay[[#This Row],[Est-Admin-Payroll]]/(DaybyDay[[#This Row],[Service-Actuals]]+DaybyDay[[#This Row],[Retail-Actuals]]),"")</f>
        <v/>
      </c>
      <c r="AP199" s="41" t="e">
        <f>DaybyDay[[#This Row],[Estimated-Payroll-Rollup]]/DaybyDay[[#This Row],[Simple-Forecast]]</f>
        <v>#DIV/0!</v>
      </c>
      <c r="AQ1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99" s="77"/>
      <c r="AS199" s="40" t="str">
        <f>IF(DaybyDay[[#This Row],[Retail Hours]]&gt;0,DaybyDay[[#This Row],[Retail Hours]]*$AS$2,"")</f>
        <v/>
      </c>
      <c r="AT199" s="40">
        <f>SUMIFS(DaybyDay[Est-Retail-Payroll],DaybyDay[Date],"&gt;="&amp;$C$5,DaybyDay[RowYear],"&gt;="&amp;$C$4,DaybyDay[Date],"&lt;="&amp;DaybyDay[[#This Row],[Date]])</f>
        <v>0</v>
      </c>
      <c r="AU199" s="82" t="str">
        <f>IF(AND(DaybyDay[[#This Row],[_Space]],ISNUMBER(DaybyDay[[#This Row],[Retail Hours]])),DaybyDay[[#This Row],[Est-Retail-Payroll]]/(DaybyDay[[#This Row],[Retail-Actuals]]),"")</f>
        <v/>
      </c>
      <c r="AV199" s="82" t="e">
        <f>DaybyDay[[#This Row],[Est-Retail-PayrollRU]]/DaybyDay[[#This Row],[Simple-Forecast-Retail]]</f>
        <v>#DIV/0!</v>
      </c>
      <c r="AW199" s="8"/>
    </row>
    <row r="200" spans="3:49" hidden="1" x14ac:dyDescent="0.25">
      <c r="C200" s="26" t="str">
        <f>Tools!$C$1</f>
        <v>Example</v>
      </c>
      <c r="D200" s="27" t="s">
        <v>74</v>
      </c>
      <c r="E200" s="28">
        <v>2017</v>
      </c>
      <c r="F200" s="28">
        <f>MATCH(DaybyDay[[#This Row],[RowMonth]],Table3[SummaryMonth],0)</f>
        <v>7</v>
      </c>
      <c r="G200" s="29" t="e">
        <f>MATCH(DaybyDay[[#This Row],[LY-Date]],DaybyDay[Date],0)</f>
        <v>#N/A</v>
      </c>
      <c r="H200" s="30">
        <f>WEEKDAY(DaybyDay[[#This Row],[Date]])</f>
        <v>5</v>
      </c>
      <c r="I200" s="31">
        <v>42929</v>
      </c>
      <c r="J200" s="74">
        <v>16</v>
      </c>
      <c r="K200" s="32">
        <f>SUMIFS(BudgetSeasonality[365 Seasonality],BudgetSeasonality[MonthAdjustment],DaybyDay[[#This Row],[Date]])*SUMIFS(Budgets[Service-Budget],Budgets[BudgetMonth],DaybyDay[[#This Row],[RowMonth]],Budgets[BudgetYear],DaybyDay[[#This Row],[RowYear]])</f>
        <v>0</v>
      </c>
      <c r="L200" s="75">
        <v>3103.6</v>
      </c>
      <c r="M200" s="32">
        <f>INDEX(BudgetSeasonality[365 Seasonality],MATCH(DaybyDay[[#This Row],[Date]],BudgetSeasonality[MonthAdjustment],0))*SUMIFS(Budgets[Retail-Budget],Budgets[BudgetMonth],DaybyDay[[#This Row],[RowMonth]],Budgets[BudgetYear],DaybyDay[[#This Row],[RowYear]])</f>
        <v>0</v>
      </c>
      <c r="N200" s="75">
        <v>3271</v>
      </c>
      <c r="O200" s="33">
        <f>SUMIFS(DaybyDay[Service-Budgets],DaybyDay[Date],"&gt;="&amp;$C$5,DaybyDay[RowYear],"&gt;="&amp;$C$4,DaybyDay[Date],"&lt;="&amp;DaybyDay[[#This Row],[Date]])</f>
        <v>0</v>
      </c>
      <c r="P200" s="33">
        <f>SUMIFS(DaybyDay[Retail-Budgets],DaybyDay[Date],"&gt;="&amp;$C$5,DaybyDay[RowYear],"&gt;="&amp;$C$4,DaybyDay[Date],"&lt;="&amp;DaybyDay[[#This Row],[Date]])</f>
        <v>0</v>
      </c>
      <c r="Q200" s="34">
        <f>SUMIFS(DaybyDay[Service-Actuals],DaybyDay[Date],"&gt;="&amp;$C$5,DaybyDay[RowYear],"&gt;="&amp;$C$4,DaybyDay[Date],"&lt;="&amp;DaybyDay[[#This Row],[Date]])</f>
        <v>0</v>
      </c>
      <c r="R200" s="34">
        <f>SUMIFS(DaybyDay[Retail-Actuals],DaybyDay[Date],"&gt;="&amp;$C$5,DaybyDay[RowYear],"&gt;="&amp;$C$4,DaybyDay[Date],"&lt;="&amp;DaybyDay[[#This Row],[Date]])</f>
        <v>0</v>
      </c>
      <c r="S200" s="35">
        <f>SUMIFS(DaybyDay[Service-LY],DaybyDay[Date],"&gt;="&amp;$C$5,DaybyDay[RowYear],"&gt;="&amp;$C$4,DaybyDay[Date],"&lt;="&amp;DaybyDay[[#This Row],[Date]])</f>
        <v>0</v>
      </c>
      <c r="T200" s="35">
        <f>SUMIFS(DaybyDay[Retail-LY],DaybyDay[Date],"&gt;="&amp;$C$5,DaybyDay[RowYear],"&gt;="&amp;$C$4,DaybyDay[Date],"&lt;="&amp;DaybyDay[[#This Row],[Date]])</f>
        <v>0</v>
      </c>
      <c r="U200" s="32">
        <f>DaybyDay[[#This Row],[Serv-Bud-RU]]+DaybyDay[[#This Row],[Ret-Bud-RU]]</f>
        <v>0</v>
      </c>
      <c r="V200" s="32">
        <f>DaybyDay[[#This Row],[Serv-Act-RU]]+DaybyDay[[#This Row],[Ret-Act-RU]]</f>
        <v>0</v>
      </c>
      <c r="W200" s="36">
        <f>IF(DaybyDay[[#This Row],[_Space]],IFERROR(
((DaybyDay[[#This Row],[Actual-Rollup]]-DaybyDay[[#This Row],[Budget-Rollup]])/DaybyDay[[#This Row],[Budget-Rollup]]),0),"")</f>
        <v>0</v>
      </c>
      <c r="X200" t="b">
        <f>NOT(AND(ISBLANK(DaybyDay[[#This Row],[Appts]]),ISBLANK(DaybyDay[[#This Row],[Service-Actuals]]),ISBLANK(DaybyDay[[#This Row],[Retail-Actuals]])))</f>
        <v>1</v>
      </c>
      <c r="Y200" s="36">
        <f>IF(DaybyDay[[#This Row],[_Space]],IFERROR(
((DaybyDay[[#This Row],[Actual-Rollup]]-DaybyDay[[#This Row],[LY-Rollup]])/DaybyDay[[#This Row],[LY-Rollup]]),0),"")</f>
        <v>0</v>
      </c>
      <c r="Z200"/>
      <c r="AA200" s="37" t="e">
        <f>IF(DaybyDay[[#This Row],[_Space]],DaybyDay[[#This Row],[Ret-Act-RU]]/DaybyDay[[#This Row],[Serv-Act-RU]],"")</f>
        <v>#DIV/0!</v>
      </c>
      <c r="AB200" s="50" t="e">
        <f>IF(DaybyDay[[#This Row],[_Space]],DaybyDay[[#This Row],[RETPEN-Act]]/DaybyDay[[#This Row],[RETPEN-Bud]],"")</f>
        <v>#DIV/0!</v>
      </c>
      <c r="AC200" s="37" t="e">
        <f>IF(DaybyDay[[#This Row],[_Space]],DaybyDay[[#This Row],[Ret-Bud-RU]]/DaybyDay[[#This Row],[Serv-Bud-RU]],"")</f>
        <v>#DIV/0!</v>
      </c>
      <c r="AD200" s="37" t="e">
        <f>IF(DaybyDay[[#This Row],[_Space]],DaybyDay[[#This Row],[Ret-LY-RU]]/DaybyDay[[#This Row],[Serv-LY-RU]],"")</f>
        <v>#DIV/0!</v>
      </c>
      <c r="AE200" s="30">
        <f>WEEKDAY(DaybyDay[[#This Row],[LY-Date]])</f>
        <v>5</v>
      </c>
      <c r="AF200" s="38">
        <f>$E$2+_xlfn.DAYS(DaybyDay[[#This Row],[Date]],minDate)</f>
        <v>42565</v>
      </c>
      <c r="AG200" s="39" t="str" cm="1">
        <f t="array" ref="AG200">IFERROR(INDEX(DaybyDay[],DaybyDay[[#This Row],[FORM_MATCH_HELPER]],8),"")</f>
        <v/>
      </c>
      <c r="AH200" s="39" t="str" cm="1">
        <f t="array" ref="AH200">IFERROR(INDEX(DaybyDay[],DaybyDay[[#This Row],[FORM_MATCH_HELPER]],10),"")</f>
        <v/>
      </c>
      <c r="AI200" s="39" t="str" cm="1">
        <f t="array" ref="AI200">IFERROR(INDEX(DaybyDay[],DaybyDay[[#This Row],[FORM_MATCH_HELPER]],12),"")</f>
        <v/>
      </c>
      <c r="AJ200" s="32">
        <f>IFERROR(DaybyDay[[#This Row],[Serv-LY-RU]]+DaybyDay[[#This Row],[Ret-LY-RU]],"")</f>
        <v>0</v>
      </c>
      <c r="AK2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0" s="77"/>
      <c r="AM200" s="40" t="str">
        <f>IF(DaybyDay[[#This Row],[Admin Hours]]&gt;0,DaybyDay[[#This Row],[Admin Hours]]*$AM$2+$AM$3,"")</f>
        <v/>
      </c>
      <c r="AN200" s="40">
        <f>SUMIFS(DaybyDay[Est-Admin-Payroll],DaybyDay[Date],"&gt;="&amp;$C$5,DaybyDay[RowYear],"&gt;="&amp;$C$4,DaybyDay[Date],"&lt;="&amp;DaybyDay[[#This Row],[Date]])</f>
        <v>0</v>
      </c>
      <c r="AO200" s="41" t="str">
        <f>IF(AND(DaybyDay[[#This Row],[_Space]],ISNUMBER(DaybyDay[[#This Row],[Admin Hours]])),DaybyDay[[#This Row],[Est-Admin-Payroll]]/(DaybyDay[[#This Row],[Service-Actuals]]+DaybyDay[[#This Row],[Retail-Actuals]]),"")</f>
        <v/>
      </c>
      <c r="AP200" s="41" t="e">
        <f>DaybyDay[[#This Row],[Estimated-Payroll-Rollup]]/DaybyDay[[#This Row],[Simple-Forecast]]</f>
        <v>#DIV/0!</v>
      </c>
      <c r="AQ2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0" s="77"/>
      <c r="AS200" s="40" t="str">
        <f>IF(DaybyDay[[#This Row],[Retail Hours]]&gt;0,DaybyDay[[#This Row],[Retail Hours]]*$AS$2,"")</f>
        <v/>
      </c>
      <c r="AT200" s="40">
        <f>SUMIFS(DaybyDay[Est-Retail-Payroll],DaybyDay[Date],"&gt;="&amp;$C$5,DaybyDay[RowYear],"&gt;="&amp;$C$4,DaybyDay[Date],"&lt;="&amp;DaybyDay[[#This Row],[Date]])</f>
        <v>0</v>
      </c>
      <c r="AU200" s="82" t="str">
        <f>IF(AND(DaybyDay[[#This Row],[_Space]],ISNUMBER(DaybyDay[[#This Row],[Retail Hours]])),DaybyDay[[#This Row],[Est-Retail-Payroll]]/(DaybyDay[[#This Row],[Retail-Actuals]]),"")</f>
        <v/>
      </c>
      <c r="AV200" s="82" t="e">
        <f>DaybyDay[[#This Row],[Est-Retail-PayrollRU]]/DaybyDay[[#This Row],[Simple-Forecast-Retail]]</f>
        <v>#DIV/0!</v>
      </c>
      <c r="AW200" s="8"/>
    </row>
    <row r="201" spans="3:49" hidden="1" x14ac:dyDescent="0.25">
      <c r="C201" s="26" t="str">
        <f>Tools!$C$1</f>
        <v>Example</v>
      </c>
      <c r="D201" s="27" t="s">
        <v>74</v>
      </c>
      <c r="E201" s="28">
        <v>2017</v>
      </c>
      <c r="F201" s="28">
        <f>MATCH(DaybyDay[[#This Row],[RowMonth]],Table3[SummaryMonth],0)</f>
        <v>7</v>
      </c>
      <c r="G201" s="29" t="e">
        <f>MATCH(DaybyDay[[#This Row],[LY-Date]],DaybyDay[Date],0)</f>
        <v>#N/A</v>
      </c>
      <c r="H201" s="30">
        <f>WEEKDAY(DaybyDay[[#This Row],[Date]])</f>
        <v>6</v>
      </c>
      <c r="I201" s="31">
        <v>42930</v>
      </c>
      <c r="J201" s="74">
        <v>24</v>
      </c>
      <c r="K201" s="32">
        <f>SUMIFS(BudgetSeasonality[365 Seasonality],BudgetSeasonality[MonthAdjustment],DaybyDay[[#This Row],[Date]])*SUMIFS(Budgets[Service-Budget],Budgets[BudgetMonth],DaybyDay[[#This Row],[RowMonth]],Budgets[BudgetYear],DaybyDay[[#This Row],[RowYear]])</f>
        <v>0</v>
      </c>
      <c r="L201" s="75">
        <v>4423.28</v>
      </c>
      <c r="M201" s="32">
        <f>INDEX(BudgetSeasonality[365 Seasonality],MATCH(DaybyDay[[#This Row],[Date]],BudgetSeasonality[MonthAdjustment],0))*SUMIFS(Budgets[Retail-Budget],Budgets[BudgetMonth],DaybyDay[[#This Row],[RowMonth]],Budgets[BudgetYear],DaybyDay[[#This Row],[RowYear]])</f>
        <v>0</v>
      </c>
      <c r="N201" s="75">
        <v>1925.2</v>
      </c>
      <c r="O201" s="33">
        <f>SUMIFS(DaybyDay[Service-Budgets],DaybyDay[Date],"&gt;="&amp;$C$5,DaybyDay[RowYear],"&gt;="&amp;$C$4,DaybyDay[Date],"&lt;="&amp;DaybyDay[[#This Row],[Date]])</f>
        <v>0</v>
      </c>
      <c r="P201" s="33">
        <f>SUMIFS(DaybyDay[Retail-Budgets],DaybyDay[Date],"&gt;="&amp;$C$5,DaybyDay[RowYear],"&gt;="&amp;$C$4,DaybyDay[Date],"&lt;="&amp;DaybyDay[[#This Row],[Date]])</f>
        <v>0</v>
      </c>
      <c r="Q201" s="34">
        <f>SUMIFS(DaybyDay[Service-Actuals],DaybyDay[Date],"&gt;="&amp;$C$5,DaybyDay[RowYear],"&gt;="&amp;$C$4,DaybyDay[Date],"&lt;="&amp;DaybyDay[[#This Row],[Date]])</f>
        <v>0</v>
      </c>
      <c r="R201" s="34">
        <f>SUMIFS(DaybyDay[Retail-Actuals],DaybyDay[Date],"&gt;="&amp;$C$5,DaybyDay[RowYear],"&gt;="&amp;$C$4,DaybyDay[Date],"&lt;="&amp;DaybyDay[[#This Row],[Date]])</f>
        <v>0</v>
      </c>
      <c r="S201" s="35">
        <f>SUMIFS(DaybyDay[Service-LY],DaybyDay[Date],"&gt;="&amp;$C$5,DaybyDay[RowYear],"&gt;="&amp;$C$4,DaybyDay[Date],"&lt;="&amp;DaybyDay[[#This Row],[Date]])</f>
        <v>0</v>
      </c>
      <c r="T201" s="35">
        <f>SUMIFS(DaybyDay[Retail-LY],DaybyDay[Date],"&gt;="&amp;$C$5,DaybyDay[RowYear],"&gt;="&amp;$C$4,DaybyDay[Date],"&lt;="&amp;DaybyDay[[#This Row],[Date]])</f>
        <v>0</v>
      </c>
      <c r="U201" s="32">
        <f>DaybyDay[[#This Row],[Serv-Bud-RU]]+DaybyDay[[#This Row],[Ret-Bud-RU]]</f>
        <v>0</v>
      </c>
      <c r="V201" s="32">
        <f>DaybyDay[[#This Row],[Serv-Act-RU]]+DaybyDay[[#This Row],[Ret-Act-RU]]</f>
        <v>0</v>
      </c>
      <c r="W201" s="36">
        <f>IF(DaybyDay[[#This Row],[_Space]],IFERROR(
((DaybyDay[[#This Row],[Actual-Rollup]]-DaybyDay[[#This Row],[Budget-Rollup]])/DaybyDay[[#This Row],[Budget-Rollup]]),0),"")</f>
        <v>0</v>
      </c>
      <c r="X201" t="b">
        <f>NOT(AND(ISBLANK(DaybyDay[[#This Row],[Appts]]),ISBLANK(DaybyDay[[#This Row],[Service-Actuals]]),ISBLANK(DaybyDay[[#This Row],[Retail-Actuals]])))</f>
        <v>1</v>
      </c>
      <c r="Y201" s="36">
        <f>IF(DaybyDay[[#This Row],[_Space]],IFERROR(
((DaybyDay[[#This Row],[Actual-Rollup]]-DaybyDay[[#This Row],[LY-Rollup]])/DaybyDay[[#This Row],[LY-Rollup]]),0),"")</f>
        <v>0</v>
      </c>
      <c r="Z201"/>
      <c r="AA201" s="37" t="e">
        <f>IF(DaybyDay[[#This Row],[_Space]],DaybyDay[[#This Row],[Ret-Act-RU]]/DaybyDay[[#This Row],[Serv-Act-RU]],"")</f>
        <v>#DIV/0!</v>
      </c>
      <c r="AB201" s="50" t="e">
        <f>IF(DaybyDay[[#This Row],[_Space]],DaybyDay[[#This Row],[RETPEN-Act]]/DaybyDay[[#This Row],[RETPEN-Bud]],"")</f>
        <v>#DIV/0!</v>
      </c>
      <c r="AC201" s="37" t="e">
        <f>IF(DaybyDay[[#This Row],[_Space]],DaybyDay[[#This Row],[Ret-Bud-RU]]/DaybyDay[[#This Row],[Serv-Bud-RU]],"")</f>
        <v>#DIV/0!</v>
      </c>
      <c r="AD201" s="37" t="e">
        <f>IF(DaybyDay[[#This Row],[_Space]],DaybyDay[[#This Row],[Ret-LY-RU]]/DaybyDay[[#This Row],[Serv-LY-RU]],"")</f>
        <v>#DIV/0!</v>
      </c>
      <c r="AE201" s="30">
        <f>WEEKDAY(DaybyDay[[#This Row],[LY-Date]])</f>
        <v>6</v>
      </c>
      <c r="AF201" s="38">
        <f>$E$2+_xlfn.DAYS(DaybyDay[[#This Row],[Date]],minDate)</f>
        <v>42566</v>
      </c>
      <c r="AG201" s="39" t="str" cm="1">
        <f t="array" ref="AG201">IFERROR(INDEX(DaybyDay[],DaybyDay[[#This Row],[FORM_MATCH_HELPER]],8),"")</f>
        <v/>
      </c>
      <c r="AH201" s="39" t="str" cm="1">
        <f t="array" ref="AH201">IFERROR(INDEX(DaybyDay[],DaybyDay[[#This Row],[FORM_MATCH_HELPER]],10),"")</f>
        <v/>
      </c>
      <c r="AI201" s="39" t="str" cm="1">
        <f t="array" ref="AI201">IFERROR(INDEX(DaybyDay[],DaybyDay[[#This Row],[FORM_MATCH_HELPER]],12),"")</f>
        <v/>
      </c>
      <c r="AJ201" s="32">
        <f>IFERROR(DaybyDay[[#This Row],[Serv-LY-RU]]+DaybyDay[[#This Row],[Ret-LY-RU]],"")</f>
        <v>0</v>
      </c>
      <c r="AK2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1" s="77"/>
      <c r="AM201" s="40" t="str">
        <f>IF(DaybyDay[[#This Row],[Admin Hours]]&gt;0,DaybyDay[[#This Row],[Admin Hours]]*$AM$2+$AM$3,"")</f>
        <v/>
      </c>
      <c r="AN201" s="40">
        <f>SUMIFS(DaybyDay[Est-Admin-Payroll],DaybyDay[Date],"&gt;="&amp;$C$5,DaybyDay[RowYear],"&gt;="&amp;$C$4,DaybyDay[Date],"&lt;="&amp;DaybyDay[[#This Row],[Date]])</f>
        <v>0</v>
      </c>
      <c r="AO201" s="41" t="str">
        <f>IF(AND(DaybyDay[[#This Row],[_Space]],ISNUMBER(DaybyDay[[#This Row],[Admin Hours]])),DaybyDay[[#This Row],[Est-Admin-Payroll]]/(DaybyDay[[#This Row],[Service-Actuals]]+DaybyDay[[#This Row],[Retail-Actuals]]),"")</f>
        <v/>
      </c>
      <c r="AP201" s="41" t="e">
        <f>DaybyDay[[#This Row],[Estimated-Payroll-Rollup]]/DaybyDay[[#This Row],[Simple-Forecast]]</f>
        <v>#DIV/0!</v>
      </c>
      <c r="AQ2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1" s="77"/>
      <c r="AS201" s="40" t="str">
        <f>IF(DaybyDay[[#This Row],[Retail Hours]]&gt;0,DaybyDay[[#This Row],[Retail Hours]]*$AS$2,"")</f>
        <v/>
      </c>
      <c r="AT201" s="40">
        <f>SUMIFS(DaybyDay[Est-Retail-Payroll],DaybyDay[Date],"&gt;="&amp;$C$5,DaybyDay[RowYear],"&gt;="&amp;$C$4,DaybyDay[Date],"&lt;="&amp;DaybyDay[[#This Row],[Date]])</f>
        <v>0</v>
      </c>
      <c r="AU201" s="82" t="str">
        <f>IF(AND(DaybyDay[[#This Row],[_Space]],ISNUMBER(DaybyDay[[#This Row],[Retail Hours]])),DaybyDay[[#This Row],[Est-Retail-Payroll]]/(DaybyDay[[#This Row],[Retail-Actuals]]),"")</f>
        <v/>
      </c>
      <c r="AV201" s="82" t="e">
        <f>DaybyDay[[#This Row],[Est-Retail-PayrollRU]]/DaybyDay[[#This Row],[Simple-Forecast-Retail]]</f>
        <v>#DIV/0!</v>
      </c>
      <c r="AW201" s="8"/>
    </row>
    <row r="202" spans="3:49" hidden="1" x14ac:dyDescent="0.25">
      <c r="C202" s="26" t="str">
        <f>Tools!$C$1</f>
        <v>Example</v>
      </c>
      <c r="D202" s="27" t="s">
        <v>74</v>
      </c>
      <c r="E202" s="28">
        <v>2017</v>
      </c>
      <c r="F202" s="28">
        <f>MATCH(DaybyDay[[#This Row],[RowMonth]],Table3[SummaryMonth],0)</f>
        <v>7</v>
      </c>
      <c r="G202" s="29" t="e">
        <f>MATCH(DaybyDay[[#This Row],[LY-Date]],DaybyDay[Date],0)</f>
        <v>#N/A</v>
      </c>
      <c r="H202" s="30">
        <f>WEEKDAY(DaybyDay[[#This Row],[Date]])</f>
        <v>7</v>
      </c>
      <c r="I202" s="31">
        <v>42931</v>
      </c>
      <c r="J202" s="74">
        <v>36</v>
      </c>
      <c r="K202" s="32">
        <f>SUMIFS(BudgetSeasonality[365 Seasonality],BudgetSeasonality[MonthAdjustment],DaybyDay[[#This Row],[Date]])*SUMIFS(Budgets[Service-Budget],Budgets[BudgetMonth],DaybyDay[[#This Row],[RowMonth]],Budgets[BudgetYear],DaybyDay[[#This Row],[RowYear]])</f>
        <v>0</v>
      </c>
      <c r="L202" s="75">
        <v>7482.5</v>
      </c>
      <c r="M202" s="32">
        <f>INDEX(BudgetSeasonality[365 Seasonality],MATCH(DaybyDay[[#This Row],[Date]],BudgetSeasonality[MonthAdjustment],0))*SUMIFS(Budgets[Retail-Budget],Budgets[BudgetMonth],DaybyDay[[#This Row],[RowMonth]],Budgets[BudgetYear],DaybyDay[[#This Row],[RowYear]])</f>
        <v>0</v>
      </c>
      <c r="N202" s="75">
        <v>2552.25</v>
      </c>
      <c r="O202" s="33">
        <f>SUMIFS(DaybyDay[Service-Budgets],DaybyDay[Date],"&gt;="&amp;$C$5,DaybyDay[RowYear],"&gt;="&amp;$C$4,DaybyDay[Date],"&lt;="&amp;DaybyDay[[#This Row],[Date]])</f>
        <v>0</v>
      </c>
      <c r="P202" s="33">
        <f>SUMIFS(DaybyDay[Retail-Budgets],DaybyDay[Date],"&gt;="&amp;$C$5,DaybyDay[RowYear],"&gt;="&amp;$C$4,DaybyDay[Date],"&lt;="&amp;DaybyDay[[#This Row],[Date]])</f>
        <v>0</v>
      </c>
      <c r="Q202" s="34">
        <f>SUMIFS(DaybyDay[Service-Actuals],DaybyDay[Date],"&gt;="&amp;$C$5,DaybyDay[RowYear],"&gt;="&amp;$C$4,DaybyDay[Date],"&lt;="&amp;DaybyDay[[#This Row],[Date]])</f>
        <v>0</v>
      </c>
      <c r="R202" s="34">
        <f>SUMIFS(DaybyDay[Retail-Actuals],DaybyDay[Date],"&gt;="&amp;$C$5,DaybyDay[RowYear],"&gt;="&amp;$C$4,DaybyDay[Date],"&lt;="&amp;DaybyDay[[#This Row],[Date]])</f>
        <v>0</v>
      </c>
      <c r="S202" s="35">
        <f>SUMIFS(DaybyDay[Service-LY],DaybyDay[Date],"&gt;="&amp;$C$5,DaybyDay[RowYear],"&gt;="&amp;$C$4,DaybyDay[Date],"&lt;="&amp;DaybyDay[[#This Row],[Date]])</f>
        <v>0</v>
      </c>
      <c r="T202" s="35">
        <f>SUMIFS(DaybyDay[Retail-LY],DaybyDay[Date],"&gt;="&amp;$C$5,DaybyDay[RowYear],"&gt;="&amp;$C$4,DaybyDay[Date],"&lt;="&amp;DaybyDay[[#This Row],[Date]])</f>
        <v>0</v>
      </c>
      <c r="U202" s="32">
        <f>DaybyDay[[#This Row],[Serv-Bud-RU]]+DaybyDay[[#This Row],[Ret-Bud-RU]]</f>
        <v>0</v>
      </c>
      <c r="V202" s="32">
        <f>DaybyDay[[#This Row],[Serv-Act-RU]]+DaybyDay[[#This Row],[Ret-Act-RU]]</f>
        <v>0</v>
      </c>
      <c r="W202" s="36">
        <f>IF(DaybyDay[[#This Row],[_Space]],IFERROR(
((DaybyDay[[#This Row],[Actual-Rollup]]-DaybyDay[[#This Row],[Budget-Rollup]])/DaybyDay[[#This Row],[Budget-Rollup]]),0),"")</f>
        <v>0</v>
      </c>
      <c r="X202" t="b">
        <f>NOT(AND(ISBLANK(DaybyDay[[#This Row],[Appts]]),ISBLANK(DaybyDay[[#This Row],[Service-Actuals]]),ISBLANK(DaybyDay[[#This Row],[Retail-Actuals]])))</f>
        <v>1</v>
      </c>
      <c r="Y202" s="36">
        <f>IF(DaybyDay[[#This Row],[_Space]],IFERROR(
((DaybyDay[[#This Row],[Actual-Rollup]]-DaybyDay[[#This Row],[LY-Rollup]])/DaybyDay[[#This Row],[LY-Rollup]]),0),"")</f>
        <v>0</v>
      </c>
      <c r="Z202"/>
      <c r="AA202" s="37" t="e">
        <f>IF(DaybyDay[[#This Row],[_Space]],DaybyDay[[#This Row],[Ret-Act-RU]]/DaybyDay[[#This Row],[Serv-Act-RU]],"")</f>
        <v>#DIV/0!</v>
      </c>
      <c r="AB202" s="50" t="e">
        <f>IF(DaybyDay[[#This Row],[_Space]],DaybyDay[[#This Row],[RETPEN-Act]]/DaybyDay[[#This Row],[RETPEN-Bud]],"")</f>
        <v>#DIV/0!</v>
      </c>
      <c r="AC202" s="37" t="e">
        <f>IF(DaybyDay[[#This Row],[_Space]],DaybyDay[[#This Row],[Ret-Bud-RU]]/DaybyDay[[#This Row],[Serv-Bud-RU]],"")</f>
        <v>#DIV/0!</v>
      </c>
      <c r="AD202" s="37" t="e">
        <f>IF(DaybyDay[[#This Row],[_Space]],DaybyDay[[#This Row],[Ret-LY-RU]]/DaybyDay[[#This Row],[Serv-LY-RU]],"")</f>
        <v>#DIV/0!</v>
      </c>
      <c r="AE202" s="30">
        <f>WEEKDAY(DaybyDay[[#This Row],[LY-Date]])</f>
        <v>7</v>
      </c>
      <c r="AF202" s="38">
        <f>$E$2+_xlfn.DAYS(DaybyDay[[#This Row],[Date]],minDate)</f>
        <v>42567</v>
      </c>
      <c r="AG202" s="39" t="str" cm="1">
        <f t="array" ref="AG202">IFERROR(INDEX(DaybyDay[],DaybyDay[[#This Row],[FORM_MATCH_HELPER]],8),"")</f>
        <v/>
      </c>
      <c r="AH202" s="39" t="str" cm="1">
        <f t="array" ref="AH202">IFERROR(INDEX(DaybyDay[],DaybyDay[[#This Row],[FORM_MATCH_HELPER]],10),"")</f>
        <v/>
      </c>
      <c r="AI202" s="39" t="str" cm="1">
        <f t="array" ref="AI202">IFERROR(INDEX(DaybyDay[],DaybyDay[[#This Row],[FORM_MATCH_HELPER]],12),"")</f>
        <v/>
      </c>
      <c r="AJ202" s="32">
        <f>IFERROR(DaybyDay[[#This Row],[Serv-LY-RU]]+DaybyDay[[#This Row],[Ret-LY-RU]],"")</f>
        <v>0</v>
      </c>
      <c r="AK2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2" s="77"/>
      <c r="AM202" s="40" t="str">
        <f>IF(DaybyDay[[#This Row],[Admin Hours]]&gt;0,DaybyDay[[#This Row],[Admin Hours]]*$AM$2+$AM$3,"")</f>
        <v/>
      </c>
      <c r="AN202" s="40">
        <f>SUMIFS(DaybyDay[Est-Admin-Payroll],DaybyDay[Date],"&gt;="&amp;$C$5,DaybyDay[RowYear],"&gt;="&amp;$C$4,DaybyDay[Date],"&lt;="&amp;DaybyDay[[#This Row],[Date]])</f>
        <v>0</v>
      </c>
      <c r="AO202" s="41" t="str">
        <f>IF(AND(DaybyDay[[#This Row],[_Space]],ISNUMBER(DaybyDay[[#This Row],[Admin Hours]])),DaybyDay[[#This Row],[Est-Admin-Payroll]]/(DaybyDay[[#This Row],[Service-Actuals]]+DaybyDay[[#This Row],[Retail-Actuals]]),"")</f>
        <v/>
      </c>
      <c r="AP202" s="41" t="e">
        <f>DaybyDay[[#This Row],[Estimated-Payroll-Rollup]]/DaybyDay[[#This Row],[Simple-Forecast]]</f>
        <v>#DIV/0!</v>
      </c>
      <c r="AQ2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2" s="77"/>
      <c r="AS202" s="40" t="str">
        <f>IF(DaybyDay[[#This Row],[Retail Hours]]&gt;0,DaybyDay[[#This Row],[Retail Hours]]*$AS$2,"")</f>
        <v/>
      </c>
      <c r="AT202" s="40">
        <f>SUMIFS(DaybyDay[Est-Retail-Payroll],DaybyDay[Date],"&gt;="&amp;$C$5,DaybyDay[RowYear],"&gt;="&amp;$C$4,DaybyDay[Date],"&lt;="&amp;DaybyDay[[#This Row],[Date]])</f>
        <v>0</v>
      </c>
      <c r="AU202" s="82" t="str">
        <f>IF(AND(DaybyDay[[#This Row],[_Space]],ISNUMBER(DaybyDay[[#This Row],[Retail Hours]])),DaybyDay[[#This Row],[Est-Retail-Payroll]]/(DaybyDay[[#This Row],[Retail-Actuals]]),"")</f>
        <v/>
      </c>
      <c r="AV202" s="82" t="e">
        <f>DaybyDay[[#This Row],[Est-Retail-PayrollRU]]/DaybyDay[[#This Row],[Simple-Forecast-Retail]]</f>
        <v>#DIV/0!</v>
      </c>
      <c r="AW202" s="8"/>
    </row>
    <row r="203" spans="3:49" hidden="1" x14ac:dyDescent="0.25">
      <c r="C203" s="26" t="str">
        <f>Tools!$C$1</f>
        <v>Example</v>
      </c>
      <c r="D203" s="27" t="s">
        <v>74</v>
      </c>
      <c r="E203" s="28">
        <v>2017</v>
      </c>
      <c r="F203" s="28">
        <f>MATCH(DaybyDay[[#This Row],[RowMonth]],Table3[SummaryMonth],0)</f>
        <v>7</v>
      </c>
      <c r="G203" s="29" t="e">
        <f>MATCH(DaybyDay[[#This Row],[LY-Date]],DaybyDay[Date],0)</f>
        <v>#N/A</v>
      </c>
      <c r="H203" s="30">
        <f>WEEKDAY(DaybyDay[[#This Row],[Date]])</f>
        <v>1</v>
      </c>
      <c r="I203" s="31">
        <v>42932</v>
      </c>
      <c r="J203" s="74">
        <v>15</v>
      </c>
      <c r="K203" s="32">
        <f>SUMIFS(BudgetSeasonality[365 Seasonality],BudgetSeasonality[MonthAdjustment],DaybyDay[[#This Row],[Date]])*SUMIFS(Budgets[Service-Budget],Budgets[BudgetMonth],DaybyDay[[#This Row],[RowMonth]],Budgets[BudgetYear],DaybyDay[[#This Row],[RowYear]])</f>
        <v>0</v>
      </c>
      <c r="L203" s="75">
        <v>3570.1</v>
      </c>
      <c r="M203" s="32">
        <f>INDEX(BudgetSeasonality[365 Seasonality],MATCH(DaybyDay[[#This Row],[Date]],BudgetSeasonality[MonthAdjustment],0))*SUMIFS(Budgets[Retail-Budget],Budgets[BudgetMonth],DaybyDay[[#This Row],[RowMonth]],Budgets[BudgetYear],DaybyDay[[#This Row],[RowYear]])</f>
        <v>0</v>
      </c>
      <c r="N203" s="75">
        <v>72</v>
      </c>
      <c r="O203" s="33">
        <f>SUMIFS(DaybyDay[Service-Budgets],DaybyDay[Date],"&gt;="&amp;$C$5,DaybyDay[RowYear],"&gt;="&amp;$C$4,DaybyDay[Date],"&lt;="&amp;DaybyDay[[#This Row],[Date]])</f>
        <v>0</v>
      </c>
      <c r="P203" s="33">
        <f>SUMIFS(DaybyDay[Retail-Budgets],DaybyDay[Date],"&gt;="&amp;$C$5,DaybyDay[RowYear],"&gt;="&amp;$C$4,DaybyDay[Date],"&lt;="&amp;DaybyDay[[#This Row],[Date]])</f>
        <v>0</v>
      </c>
      <c r="Q203" s="34">
        <f>SUMIFS(DaybyDay[Service-Actuals],DaybyDay[Date],"&gt;="&amp;$C$5,DaybyDay[RowYear],"&gt;="&amp;$C$4,DaybyDay[Date],"&lt;="&amp;DaybyDay[[#This Row],[Date]])</f>
        <v>0</v>
      </c>
      <c r="R203" s="34">
        <f>SUMIFS(DaybyDay[Retail-Actuals],DaybyDay[Date],"&gt;="&amp;$C$5,DaybyDay[RowYear],"&gt;="&amp;$C$4,DaybyDay[Date],"&lt;="&amp;DaybyDay[[#This Row],[Date]])</f>
        <v>0</v>
      </c>
      <c r="S203" s="35">
        <f>SUMIFS(DaybyDay[Service-LY],DaybyDay[Date],"&gt;="&amp;$C$5,DaybyDay[RowYear],"&gt;="&amp;$C$4,DaybyDay[Date],"&lt;="&amp;DaybyDay[[#This Row],[Date]])</f>
        <v>0</v>
      </c>
      <c r="T203" s="35">
        <f>SUMIFS(DaybyDay[Retail-LY],DaybyDay[Date],"&gt;="&amp;$C$5,DaybyDay[RowYear],"&gt;="&amp;$C$4,DaybyDay[Date],"&lt;="&amp;DaybyDay[[#This Row],[Date]])</f>
        <v>0</v>
      </c>
      <c r="U203" s="32">
        <f>DaybyDay[[#This Row],[Serv-Bud-RU]]+DaybyDay[[#This Row],[Ret-Bud-RU]]</f>
        <v>0</v>
      </c>
      <c r="V203" s="32">
        <f>DaybyDay[[#This Row],[Serv-Act-RU]]+DaybyDay[[#This Row],[Ret-Act-RU]]</f>
        <v>0</v>
      </c>
      <c r="W203" s="36">
        <f>IF(DaybyDay[[#This Row],[_Space]],IFERROR(
((DaybyDay[[#This Row],[Actual-Rollup]]-DaybyDay[[#This Row],[Budget-Rollup]])/DaybyDay[[#This Row],[Budget-Rollup]]),0),"")</f>
        <v>0</v>
      </c>
      <c r="X203" t="b">
        <f>NOT(AND(ISBLANK(DaybyDay[[#This Row],[Appts]]),ISBLANK(DaybyDay[[#This Row],[Service-Actuals]]),ISBLANK(DaybyDay[[#This Row],[Retail-Actuals]])))</f>
        <v>1</v>
      </c>
      <c r="Y203" s="36">
        <f>IF(DaybyDay[[#This Row],[_Space]],IFERROR(
((DaybyDay[[#This Row],[Actual-Rollup]]-DaybyDay[[#This Row],[LY-Rollup]])/DaybyDay[[#This Row],[LY-Rollup]]),0),"")</f>
        <v>0</v>
      </c>
      <c r="Z203"/>
      <c r="AA203" s="37" t="e">
        <f>IF(DaybyDay[[#This Row],[_Space]],DaybyDay[[#This Row],[Ret-Act-RU]]/DaybyDay[[#This Row],[Serv-Act-RU]],"")</f>
        <v>#DIV/0!</v>
      </c>
      <c r="AB203" s="50" t="e">
        <f>IF(DaybyDay[[#This Row],[_Space]],DaybyDay[[#This Row],[RETPEN-Act]]/DaybyDay[[#This Row],[RETPEN-Bud]],"")</f>
        <v>#DIV/0!</v>
      </c>
      <c r="AC203" s="37" t="e">
        <f>IF(DaybyDay[[#This Row],[_Space]],DaybyDay[[#This Row],[Ret-Bud-RU]]/DaybyDay[[#This Row],[Serv-Bud-RU]],"")</f>
        <v>#DIV/0!</v>
      </c>
      <c r="AD203" s="37" t="e">
        <f>IF(DaybyDay[[#This Row],[_Space]],DaybyDay[[#This Row],[Ret-LY-RU]]/DaybyDay[[#This Row],[Serv-LY-RU]],"")</f>
        <v>#DIV/0!</v>
      </c>
      <c r="AE203" s="30">
        <f>WEEKDAY(DaybyDay[[#This Row],[LY-Date]])</f>
        <v>1</v>
      </c>
      <c r="AF203" s="38">
        <f>$E$2+_xlfn.DAYS(DaybyDay[[#This Row],[Date]],minDate)</f>
        <v>42568</v>
      </c>
      <c r="AG203" s="39" t="str" cm="1">
        <f t="array" ref="AG203">IFERROR(INDEX(DaybyDay[],DaybyDay[[#This Row],[FORM_MATCH_HELPER]],8),"")</f>
        <v/>
      </c>
      <c r="AH203" s="39" t="str" cm="1">
        <f t="array" ref="AH203">IFERROR(INDEX(DaybyDay[],DaybyDay[[#This Row],[FORM_MATCH_HELPER]],10),"")</f>
        <v/>
      </c>
      <c r="AI203" s="39" t="str" cm="1">
        <f t="array" ref="AI203">IFERROR(INDEX(DaybyDay[],DaybyDay[[#This Row],[FORM_MATCH_HELPER]],12),"")</f>
        <v/>
      </c>
      <c r="AJ203" s="32">
        <f>IFERROR(DaybyDay[[#This Row],[Serv-LY-RU]]+DaybyDay[[#This Row],[Ret-LY-RU]],"")</f>
        <v>0</v>
      </c>
      <c r="AK2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3" s="77"/>
      <c r="AM203" s="40" t="str">
        <f>IF(DaybyDay[[#This Row],[Admin Hours]]&gt;0,DaybyDay[[#This Row],[Admin Hours]]*$AM$2+$AM$3,"")</f>
        <v/>
      </c>
      <c r="AN203" s="40">
        <f>SUMIFS(DaybyDay[Est-Admin-Payroll],DaybyDay[Date],"&gt;="&amp;$C$5,DaybyDay[RowYear],"&gt;="&amp;$C$4,DaybyDay[Date],"&lt;="&amp;DaybyDay[[#This Row],[Date]])</f>
        <v>0</v>
      </c>
      <c r="AO203" s="41" t="str">
        <f>IF(AND(DaybyDay[[#This Row],[_Space]],ISNUMBER(DaybyDay[[#This Row],[Admin Hours]])),DaybyDay[[#This Row],[Est-Admin-Payroll]]/(DaybyDay[[#This Row],[Service-Actuals]]+DaybyDay[[#This Row],[Retail-Actuals]]),"")</f>
        <v/>
      </c>
      <c r="AP203" s="41" t="e">
        <f>DaybyDay[[#This Row],[Estimated-Payroll-Rollup]]/DaybyDay[[#This Row],[Simple-Forecast]]</f>
        <v>#DIV/0!</v>
      </c>
      <c r="AQ2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3" s="77"/>
      <c r="AS203" s="40" t="str">
        <f>IF(DaybyDay[[#This Row],[Retail Hours]]&gt;0,DaybyDay[[#This Row],[Retail Hours]]*$AS$2,"")</f>
        <v/>
      </c>
      <c r="AT203" s="40">
        <f>SUMIFS(DaybyDay[Est-Retail-Payroll],DaybyDay[Date],"&gt;="&amp;$C$5,DaybyDay[RowYear],"&gt;="&amp;$C$4,DaybyDay[Date],"&lt;="&amp;DaybyDay[[#This Row],[Date]])</f>
        <v>0</v>
      </c>
      <c r="AU203" s="82" t="str">
        <f>IF(AND(DaybyDay[[#This Row],[_Space]],ISNUMBER(DaybyDay[[#This Row],[Retail Hours]])),DaybyDay[[#This Row],[Est-Retail-Payroll]]/(DaybyDay[[#This Row],[Retail-Actuals]]),"")</f>
        <v/>
      </c>
      <c r="AV203" s="82" t="e">
        <f>DaybyDay[[#This Row],[Est-Retail-PayrollRU]]/DaybyDay[[#This Row],[Simple-Forecast-Retail]]</f>
        <v>#DIV/0!</v>
      </c>
      <c r="AW203" s="8"/>
    </row>
    <row r="204" spans="3:49" hidden="1" x14ac:dyDescent="0.25">
      <c r="C204" s="26" t="str">
        <f>Tools!$C$1</f>
        <v>Example</v>
      </c>
      <c r="D204" s="27" t="s">
        <v>74</v>
      </c>
      <c r="E204" s="28">
        <v>2017</v>
      </c>
      <c r="F204" s="28">
        <f>MATCH(DaybyDay[[#This Row],[RowMonth]],Table3[SummaryMonth],0)</f>
        <v>7</v>
      </c>
      <c r="G204" s="29" t="e">
        <f>MATCH(DaybyDay[[#This Row],[LY-Date]],DaybyDay[Date],0)</f>
        <v>#N/A</v>
      </c>
      <c r="H204" s="30">
        <f>WEEKDAY(DaybyDay[[#This Row],[Date]])</f>
        <v>2</v>
      </c>
      <c r="I204" s="31">
        <v>42933</v>
      </c>
      <c r="J204" s="74">
        <v>13</v>
      </c>
      <c r="K204" s="32">
        <f>SUMIFS(BudgetSeasonality[365 Seasonality],BudgetSeasonality[MonthAdjustment],DaybyDay[[#This Row],[Date]])*SUMIFS(Budgets[Service-Budget],Budgets[BudgetMonth],DaybyDay[[#This Row],[RowMonth]],Budgets[BudgetYear],DaybyDay[[#This Row],[RowYear]])</f>
        <v>0</v>
      </c>
      <c r="L204" s="75">
        <v>2699</v>
      </c>
      <c r="M204" s="32">
        <f>INDEX(BudgetSeasonality[365 Seasonality],MATCH(DaybyDay[[#This Row],[Date]],BudgetSeasonality[MonthAdjustment],0))*SUMIFS(Budgets[Retail-Budget],Budgets[BudgetMonth],DaybyDay[[#This Row],[RowMonth]],Budgets[BudgetYear],DaybyDay[[#This Row],[RowYear]])</f>
        <v>0</v>
      </c>
      <c r="N204" s="75">
        <v>76</v>
      </c>
      <c r="O204" s="33">
        <f>SUMIFS(DaybyDay[Service-Budgets],DaybyDay[Date],"&gt;="&amp;$C$5,DaybyDay[RowYear],"&gt;="&amp;$C$4,DaybyDay[Date],"&lt;="&amp;DaybyDay[[#This Row],[Date]])</f>
        <v>0</v>
      </c>
      <c r="P204" s="33">
        <f>SUMIFS(DaybyDay[Retail-Budgets],DaybyDay[Date],"&gt;="&amp;$C$5,DaybyDay[RowYear],"&gt;="&amp;$C$4,DaybyDay[Date],"&lt;="&amp;DaybyDay[[#This Row],[Date]])</f>
        <v>0</v>
      </c>
      <c r="Q204" s="34">
        <f>SUMIFS(DaybyDay[Service-Actuals],DaybyDay[Date],"&gt;="&amp;$C$5,DaybyDay[RowYear],"&gt;="&amp;$C$4,DaybyDay[Date],"&lt;="&amp;DaybyDay[[#This Row],[Date]])</f>
        <v>0</v>
      </c>
      <c r="R204" s="34">
        <f>SUMIFS(DaybyDay[Retail-Actuals],DaybyDay[Date],"&gt;="&amp;$C$5,DaybyDay[RowYear],"&gt;="&amp;$C$4,DaybyDay[Date],"&lt;="&amp;DaybyDay[[#This Row],[Date]])</f>
        <v>0</v>
      </c>
      <c r="S204" s="35">
        <f>SUMIFS(DaybyDay[Service-LY],DaybyDay[Date],"&gt;="&amp;$C$5,DaybyDay[RowYear],"&gt;="&amp;$C$4,DaybyDay[Date],"&lt;="&amp;DaybyDay[[#This Row],[Date]])</f>
        <v>0</v>
      </c>
      <c r="T204" s="35">
        <f>SUMIFS(DaybyDay[Retail-LY],DaybyDay[Date],"&gt;="&amp;$C$5,DaybyDay[RowYear],"&gt;="&amp;$C$4,DaybyDay[Date],"&lt;="&amp;DaybyDay[[#This Row],[Date]])</f>
        <v>0</v>
      </c>
      <c r="U204" s="32">
        <f>DaybyDay[[#This Row],[Serv-Bud-RU]]+DaybyDay[[#This Row],[Ret-Bud-RU]]</f>
        <v>0</v>
      </c>
      <c r="V204" s="32">
        <f>DaybyDay[[#This Row],[Serv-Act-RU]]+DaybyDay[[#This Row],[Ret-Act-RU]]</f>
        <v>0</v>
      </c>
      <c r="W204" s="36">
        <f>IF(DaybyDay[[#This Row],[_Space]],IFERROR(
((DaybyDay[[#This Row],[Actual-Rollup]]-DaybyDay[[#This Row],[Budget-Rollup]])/DaybyDay[[#This Row],[Budget-Rollup]]),0),"")</f>
        <v>0</v>
      </c>
      <c r="X204" t="b">
        <f>NOT(AND(ISBLANK(DaybyDay[[#This Row],[Appts]]),ISBLANK(DaybyDay[[#This Row],[Service-Actuals]]),ISBLANK(DaybyDay[[#This Row],[Retail-Actuals]])))</f>
        <v>1</v>
      </c>
      <c r="Y204" s="36">
        <f>IF(DaybyDay[[#This Row],[_Space]],IFERROR(
((DaybyDay[[#This Row],[Actual-Rollup]]-DaybyDay[[#This Row],[LY-Rollup]])/DaybyDay[[#This Row],[LY-Rollup]]),0),"")</f>
        <v>0</v>
      </c>
      <c r="Z204"/>
      <c r="AA204" s="37" t="e">
        <f>IF(DaybyDay[[#This Row],[_Space]],DaybyDay[[#This Row],[Ret-Act-RU]]/DaybyDay[[#This Row],[Serv-Act-RU]],"")</f>
        <v>#DIV/0!</v>
      </c>
      <c r="AB204" s="50" t="e">
        <f>IF(DaybyDay[[#This Row],[_Space]],DaybyDay[[#This Row],[RETPEN-Act]]/DaybyDay[[#This Row],[RETPEN-Bud]],"")</f>
        <v>#DIV/0!</v>
      </c>
      <c r="AC204" s="37" t="e">
        <f>IF(DaybyDay[[#This Row],[_Space]],DaybyDay[[#This Row],[Ret-Bud-RU]]/DaybyDay[[#This Row],[Serv-Bud-RU]],"")</f>
        <v>#DIV/0!</v>
      </c>
      <c r="AD204" s="37" t="e">
        <f>IF(DaybyDay[[#This Row],[_Space]],DaybyDay[[#This Row],[Ret-LY-RU]]/DaybyDay[[#This Row],[Serv-LY-RU]],"")</f>
        <v>#DIV/0!</v>
      </c>
      <c r="AE204" s="30">
        <f>WEEKDAY(DaybyDay[[#This Row],[LY-Date]])</f>
        <v>2</v>
      </c>
      <c r="AF204" s="38">
        <f>$E$2+_xlfn.DAYS(DaybyDay[[#This Row],[Date]],minDate)</f>
        <v>42569</v>
      </c>
      <c r="AG204" s="39" t="str" cm="1">
        <f t="array" ref="AG204">IFERROR(INDEX(DaybyDay[],DaybyDay[[#This Row],[FORM_MATCH_HELPER]],8),"")</f>
        <v/>
      </c>
      <c r="AH204" s="39" t="str" cm="1">
        <f t="array" ref="AH204">IFERROR(INDEX(DaybyDay[],DaybyDay[[#This Row],[FORM_MATCH_HELPER]],10),"")</f>
        <v/>
      </c>
      <c r="AI204" s="39" t="str" cm="1">
        <f t="array" ref="AI204">IFERROR(INDEX(DaybyDay[],DaybyDay[[#This Row],[FORM_MATCH_HELPER]],12),"")</f>
        <v/>
      </c>
      <c r="AJ204" s="32">
        <f>IFERROR(DaybyDay[[#This Row],[Serv-LY-RU]]+DaybyDay[[#This Row],[Ret-LY-RU]],"")</f>
        <v>0</v>
      </c>
      <c r="AK2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4" s="77"/>
      <c r="AM204" s="40" t="str">
        <f>IF(DaybyDay[[#This Row],[Admin Hours]]&gt;0,DaybyDay[[#This Row],[Admin Hours]]*$AM$2+$AM$3,"")</f>
        <v/>
      </c>
      <c r="AN204" s="40">
        <f>SUMIFS(DaybyDay[Est-Admin-Payroll],DaybyDay[Date],"&gt;="&amp;$C$5,DaybyDay[RowYear],"&gt;="&amp;$C$4,DaybyDay[Date],"&lt;="&amp;DaybyDay[[#This Row],[Date]])</f>
        <v>0</v>
      </c>
      <c r="AO204" s="41" t="str">
        <f>IF(AND(DaybyDay[[#This Row],[_Space]],ISNUMBER(DaybyDay[[#This Row],[Admin Hours]])),DaybyDay[[#This Row],[Est-Admin-Payroll]]/(DaybyDay[[#This Row],[Service-Actuals]]+DaybyDay[[#This Row],[Retail-Actuals]]),"")</f>
        <v/>
      </c>
      <c r="AP204" s="41" t="e">
        <f>DaybyDay[[#This Row],[Estimated-Payroll-Rollup]]/DaybyDay[[#This Row],[Simple-Forecast]]</f>
        <v>#DIV/0!</v>
      </c>
      <c r="AQ2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4" s="77"/>
      <c r="AS204" s="40" t="str">
        <f>IF(DaybyDay[[#This Row],[Retail Hours]]&gt;0,DaybyDay[[#This Row],[Retail Hours]]*$AS$2,"")</f>
        <v/>
      </c>
      <c r="AT204" s="40">
        <f>SUMIFS(DaybyDay[Est-Retail-Payroll],DaybyDay[Date],"&gt;="&amp;$C$5,DaybyDay[RowYear],"&gt;="&amp;$C$4,DaybyDay[Date],"&lt;="&amp;DaybyDay[[#This Row],[Date]])</f>
        <v>0</v>
      </c>
      <c r="AU204" s="82" t="str">
        <f>IF(AND(DaybyDay[[#This Row],[_Space]],ISNUMBER(DaybyDay[[#This Row],[Retail Hours]])),DaybyDay[[#This Row],[Est-Retail-Payroll]]/(DaybyDay[[#This Row],[Retail-Actuals]]),"")</f>
        <v/>
      </c>
      <c r="AV204" s="82" t="e">
        <f>DaybyDay[[#This Row],[Est-Retail-PayrollRU]]/DaybyDay[[#This Row],[Simple-Forecast-Retail]]</f>
        <v>#DIV/0!</v>
      </c>
      <c r="AW204" s="8"/>
    </row>
    <row r="205" spans="3:49" hidden="1" x14ac:dyDescent="0.25">
      <c r="C205" s="26" t="str">
        <f>Tools!$C$1</f>
        <v>Example</v>
      </c>
      <c r="D205" s="27" t="s">
        <v>74</v>
      </c>
      <c r="E205" s="28">
        <v>2017</v>
      </c>
      <c r="F205" s="28">
        <f>MATCH(DaybyDay[[#This Row],[RowMonth]],Table3[SummaryMonth],0)</f>
        <v>7</v>
      </c>
      <c r="G205" s="29" t="e">
        <f>MATCH(DaybyDay[[#This Row],[LY-Date]],DaybyDay[Date],0)</f>
        <v>#N/A</v>
      </c>
      <c r="H205" s="30">
        <f>WEEKDAY(DaybyDay[[#This Row],[Date]])</f>
        <v>3</v>
      </c>
      <c r="I205" s="31">
        <v>42934</v>
      </c>
      <c r="J205" s="74">
        <v>11</v>
      </c>
      <c r="K205" s="32">
        <f>SUMIFS(BudgetSeasonality[365 Seasonality],BudgetSeasonality[MonthAdjustment],DaybyDay[[#This Row],[Date]])*SUMIFS(Budgets[Service-Budget],Budgets[BudgetMonth],DaybyDay[[#This Row],[RowMonth]],Budgets[BudgetYear],DaybyDay[[#This Row],[RowYear]])</f>
        <v>0</v>
      </c>
      <c r="L205" s="75">
        <v>2540</v>
      </c>
      <c r="M205" s="32">
        <f>INDEX(BudgetSeasonality[365 Seasonality],MATCH(DaybyDay[[#This Row],[Date]],BudgetSeasonality[MonthAdjustment],0))*SUMIFS(Budgets[Retail-Budget],Budgets[BudgetMonth],DaybyDay[[#This Row],[RowMonth]],Budgets[BudgetYear],DaybyDay[[#This Row],[RowYear]])</f>
        <v>0</v>
      </c>
      <c r="N205" s="75">
        <v>58.5</v>
      </c>
      <c r="O205" s="33">
        <f>SUMIFS(DaybyDay[Service-Budgets],DaybyDay[Date],"&gt;="&amp;$C$5,DaybyDay[RowYear],"&gt;="&amp;$C$4,DaybyDay[Date],"&lt;="&amp;DaybyDay[[#This Row],[Date]])</f>
        <v>0</v>
      </c>
      <c r="P205" s="33">
        <f>SUMIFS(DaybyDay[Retail-Budgets],DaybyDay[Date],"&gt;="&amp;$C$5,DaybyDay[RowYear],"&gt;="&amp;$C$4,DaybyDay[Date],"&lt;="&amp;DaybyDay[[#This Row],[Date]])</f>
        <v>0</v>
      </c>
      <c r="Q205" s="34">
        <f>SUMIFS(DaybyDay[Service-Actuals],DaybyDay[Date],"&gt;="&amp;$C$5,DaybyDay[RowYear],"&gt;="&amp;$C$4,DaybyDay[Date],"&lt;="&amp;DaybyDay[[#This Row],[Date]])</f>
        <v>0</v>
      </c>
      <c r="R205" s="34">
        <f>SUMIFS(DaybyDay[Retail-Actuals],DaybyDay[Date],"&gt;="&amp;$C$5,DaybyDay[RowYear],"&gt;="&amp;$C$4,DaybyDay[Date],"&lt;="&amp;DaybyDay[[#This Row],[Date]])</f>
        <v>0</v>
      </c>
      <c r="S205" s="35">
        <f>SUMIFS(DaybyDay[Service-LY],DaybyDay[Date],"&gt;="&amp;$C$5,DaybyDay[RowYear],"&gt;="&amp;$C$4,DaybyDay[Date],"&lt;="&amp;DaybyDay[[#This Row],[Date]])</f>
        <v>0</v>
      </c>
      <c r="T205" s="35">
        <f>SUMIFS(DaybyDay[Retail-LY],DaybyDay[Date],"&gt;="&amp;$C$5,DaybyDay[RowYear],"&gt;="&amp;$C$4,DaybyDay[Date],"&lt;="&amp;DaybyDay[[#This Row],[Date]])</f>
        <v>0</v>
      </c>
      <c r="U205" s="32">
        <f>DaybyDay[[#This Row],[Serv-Bud-RU]]+DaybyDay[[#This Row],[Ret-Bud-RU]]</f>
        <v>0</v>
      </c>
      <c r="V205" s="32">
        <f>DaybyDay[[#This Row],[Serv-Act-RU]]+DaybyDay[[#This Row],[Ret-Act-RU]]</f>
        <v>0</v>
      </c>
      <c r="W205" s="36">
        <f>IF(DaybyDay[[#This Row],[_Space]],IFERROR(
((DaybyDay[[#This Row],[Actual-Rollup]]-DaybyDay[[#This Row],[Budget-Rollup]])/DaybyDay[[#This Row],[Budget-Rollup]]),0),"")</f>
        <v>0</v>
      </c>
      <c r="X205" t="b">
        <f>NOT(AND(ISBLANK(DaybyDay[[#This Row],[Appts]]),ISBLANK(DaybyDay[[#This Row],[Service-Actuals]]),ISBLANK(DaybyDay[[#This Row],[Retail-Actuals]])))</f>
        <v>1</v>
      </c>
      <c r="Y205" s="36">
        <f>IF(DaybyDay[[#This Row],[_Space]],IFERROR(
((DaybyDay[[#This Row],[Actual-Rollup]]-DaybyDay[[#This Row],[LY-Rollup]])/DaybyDay[[#This Row],[LY-Rollup]]),0),"")</f>
        <v>0</v>
      </c>
      <c r="Z205"/>
      <c r="AA205" s="37" t="e">
        <f>IF(DaybyDay[[#This Row],[_Space]],DaybyDay[[#This Row],[Ret-Act-RU]]/DaybyDay[[#This Row],[Serv-Act-RU]],"")</f>
        <v>#DIV/0!</v>
      </c>
      <c r="AB205" s="50" t="e">
        <f>IF(DaybyDay[[#This Row],[_Space]],DaybyDay[[#This Row],[RETPEN-Act]]/DaybyDay[[#This Row],[RETPEN-Bud]],"")</f>
        <v>#DIV/0!</v>
      </c>
      <c r="AC205" s="37" t="e">
        <f>IF(DaybyDay[[#This Row],[_Space]],DaybyDay[[#This Row],[Ret-Bud-RU]]/DaybyDay[[#This Row],[Serv-Bud-RU]],"")</f>
        <v>#DIV/0!</v>
      </c>
      <c r="AD205" s="37" t="e">
        <f>IF(DaybyDay[[#This Row],[_Space]],DaybyDay[[#This Row],[Ret-LY-RU]]/DaybyDay[[#This Row],[Serv-LY-RU]],"")</f>
        <v>#DIV/0!</v>
      </c>
      <c r="AE205" s="30">
        <f>WEEKDAY(DaybyDay[[#This Row],[LY-Date]])</f>
        <v>3</v>
      </c>
      <c r="AF205" s="38">
        <f>$E$2+_xlfn.DAYS(DaybyDay[[#This Row],[Date]],minDate)</f>
        <v>42570</v>
      </c>
      <c r="AG205" s="39" t="str" cm="1">
        <f t="array" ref="AG205">IFERROR(INDEX(DaybyDay[],DaybyDay[[#This Row],[FORM_MATCH_HELPER]],8),"")</f>
        <v/>
      </c>
      <c r="AH205" s="39" t="str" cm="1">
        <f t="array" ref="AH205">IFERROR(INDEX(DaybyDay[],DaybyDay[[#This Row],[FORM_MATCH_HELPER]],10),"")</f>
        <v/>
      </c>
      <c r="AI205" s="39" t="str" cm="1">
        <f t="array" ref="AI205">IFERROR(INDEX(DaybyDay[],DaybyDay[[#This Row],[FORM_MATCH_HELPER]],12),"")</f>
        <v/>
      </c>
      <c r="AJ205" s="32">
        <f>IFERROR(DaybyDay[[#This Row],[Serv-LY-RU]]+DaybyDay[[#This Row],[Ret-LY-RU]],"")</f>
        <v>0</v>
      </c>
      <c r="AK2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5" s="77"/>
      <c r="AM205" s="40" t="str">
        <f>IF(DaybyDay[[#This Row],[Admin Hours]]&gt;0,DaybyDay[[#This Row],[Admin Hours]]*$AM$2+$AM$3,"")</f>
        <v/>
      </c>
      <c r="AN205" s="40">
        <f>SUMIFS(DaybyDay[Est-Admin-Payroll],DaybyDay[Date],"&gt;="&amp;$C$5,DaybyDay[RowYear],"&gt;="&amp;$C$4,DaybyDay[Date],"&lt;="&amp;DaybyDay[[#This Row],[Date]])</f>
        <v>0</v>
      </c>
      <c r="AO205" s="41" t="str">
        <f>IF(AND(DaybyDay[[#This Row],[_Space]],ISNUMBER(DaybyDay[[#This Row],[Admin Hours]])),DaybyDay[[#This Row],[Est-Admin-Payroll]]/(DaybyDay[[#This Row],[Service-Actuals]]+DaybyDay[[#This Row],[Retail-Actuals]]),"")</f>
        <v/>
      </c>
      <c r="AP205" s="41" t="e">
        <f>DaybyDay[[#This Row],[Estimated-Payroll-Rollup]]/DaybyDay[[#This Row],[Simple-Forecast]]</f>
        <v>#DIV/0!</v>
      </c>
      <c r="AQ2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5" s="77"/>
      <c r="AS205" s="40" t="str">
        <f>IF(DaybyDay[[#This Row],[Retail Hours]]&gt;0,DaybyDay[[#This Row],[Retail Hours]]*$AS$2,"")</f>
        <v/>
      </c>
      <c r="AT205" s="40">
        <f>SUMIFS(DaybyDay[Est-Retail-Payroll],DaybyDay[Date],"&gt;="&amp;$C$5,DaybyDay[RowYear],"&gt;="&amp;$C$4,DaybyDay[Date],"&lt;="&amp;DaybyDay[[#This Row],[Date]])</f>
        <v>0</v>
      </c>
      <c r="AU205" s="82" t="str">
        <f>IF(AND(DaybyDay[[#This Row],[_Space]],ISNUMBER(DaybyDay[[#This Row],[Retail Hours]])),DaybyDay[[#This Row],[Est-Retail-Payroll]]/(DaybyDay[[#This Row],[Retail-Actuals]]),"")</f>
        <v/>
      </c>
      <c r="AV205" s="82" t="e">
        <f>DaybyDay[[#This Row],[Est-Retail-PayrollRU]]/DaybyDay[[#This Row],[Simple-Forecast-Retail]]</f>
        <v>#DIV/0!</v>
      </c>
      <c r="AW205" s="8"/>
    </row>
    <row r="206" spans="3:49" hidden="1" x14ac:dyDescent="0.25">
      <c r="C206" s="26" t="str">
        <f>Tools!$C$1</f>
        <v>Example</v>
      </c>
      <c r="D206" s="27" t="s">
        <v>74</v>
      </c>
      <c r="E206" s="28">
        <v>2017</v>
      </c>
      <c r="F206" s="28">
        <f>MATCH(DaybyDay[[#This Row],[RowMonth]],Table3[SummaryMonth],0)</f>
        <v>7</v>
      </c>
      <c r="G206" s="29" t="e">
        <f>MATCH(DaybyDay[[#This Row],[LY-Date]],DaybyDay[Date],0)</f>
        <v>#N/A</v>
      </c>
      <c r="H206" s="30">
        <f>WEEKDAY(DaybyDay[[#This Row],[Date]])</f>
        <v>4</v>
      </c>
      <c r="I206" s="31">
        <v>42935</v>
      </c>
      <c r="J206" s="74">
        <v>8</v>
      </c>
      <c r="K206" s="32">
        <f>SUMIFS(BudgetSeasonality[365 Seasonality],BudgetSeasonality[MonthAdjustment],DaybyDay[[#This Row],[Date]])*SUMIFS(Budgets[Service-Budget],Budgets[BudgetMonth],DaybyDay[[#This Row],[RowMonth]],Budgets[BudgetYear],DaybyDay[[#This Row],[RowYear]])</f>
        <v>0</v>
      </c>
      <c r="L206" s="75">
        <v>1577</v>
      </c>
      <c r="M206" s="32">
        <f>INDEX(BudgetSeasonality[365 Seasonality],MATCH(DaybyDay[[#This Row],[Date]],BudgetSeasonality[MonthAdjustment],0))*SUMIFS(Budgets[Retail-Budget],Budgets[BudgetMonth],DaybyDay[[#This Row],[RowMonth]],Budgets[BudgetYear],DaybyDay[[#This Row],[RowYear]])</f>
        <v>0</v>
      </c>
      <c r="N206" s="75">
        <v>1000</v>
      </c>
      <c r="O206" s="33">
        <f>SUMIFS(DaybyDay[Service-Budgets],DaybyDay[Date],"&gt;="&amp;$C$5,DaybyDay[RowYear],"&gt;="&amp;$C$4,DaybyDay[Date],"&lt;="&amp;DaybyDay[[#This Row],[Date]])</f>
        <v>0</v>
      </c>
      <c r="P206" s="33">
        <f>SUMIFS(DaybyDay[Retail-Budgets],DaybyDay[Date],"&gt;="&amp;$C$5,DaybyDay[RowYear],"&gt;="&amp;$C$4,DaybyDay[Date],"&lt;="&amp;DaybyDay[[#This Row],[Date]])</f>
        <v>0</v>
      </c>
      <c r="Q206" s="34">
        <f>SUMIFS(DaybyDay[Service-Actuals],DaybyDay[Date],"&gt;="&amp;$C$5,DaybyDay[RowYear],"&gt;="&amp;$C$4,DaybyDay[Date],"&lt;="&amp;DaybyDay[[#This Row],[Date]])</f>
        <v>0</v>
      </c>
      <c r="R206" s="34">
        <f>SUMIFS(DaybyDay[Retail-Actuals],DaybyDay[Date],"&gt;="&amp;$C$5,DaybyDay[RowYear],"&gt;="&amp;$C$4,DaybyDay[Date],"&lt;="&amp;DaybyDay[[#This Row],[Date]])</f>
        <v>0</v>
      </c>
      <c r="S206" s="35">
        <f>SUMIFS(DaybyDay[Service-LY],DaybyDay[Date],"&gt;="&amp;$C$5,DaybyDay[RowYear],"&gt;="&amp;$C$4,DaybyDay[Date],"&lt;="&amp;DaybyDay[[#This Row],[Date]])</f>
        <v>0</v>
      </c>
      <c r="T206" s="35">
        <f>SUMIFS(DaybyDay[Retail-LY],DaybyDay[Date],"&gt;="&amp;$C$5,DaybyDay[RowYear],"&gt;="&amp;$C$4,DaybyDay[Date],"&lt;="&amp;DaybyDay[[#This Row],[Date]])</f>
        <v>0</v>
      </c>
      <c r="U206" s="32">
        <f>DaybyDay[[#This Row],[Serv-Bud-RU]]+DaybyDay[[#This Row],[Ret-Bud-RU]]</f>
        <v>0</v>
      </c>
      <c r="V206" s="32">
        <f>DaybyDay[[#This Row],[Serv-Act-RU]]+DaybyDay[[#This Row],[Ret-Act-RU]]</f>
        <v>0</v>
      </c>
      <c r="W206" s="36">
        <f>IF(DaybyDay[[#This Row],[_Space]],IFERROR(
((DaybyDay[[#This Row],[Actual-Rollup]]-DaybyDay[[#This Row],[Budget-Rollup]])/DaybyDay[[#This Row],[Budget-Rollup]]),0),"")</f>
        <v>0</v>
      </c>
      <c r="X206" t="b">
        <f>NOT(AND(ISBLANK(DaybyDay[[#This Row],[Appts]]),ISBLANK(DaybyDay[[#This Row],[Service-Actuals]]),ISBLANK(DaybyDay[[#This Row],[Retail-Actuals]])))</f>
        <v>1</v>
      </c>
      <c r="Y206" s="36">
        <f>IF(DaybyDay[[#This Row],[_Space]],IFERROR(
((DaybyDay[[#This Row],[Actual-Rollup]]-DaybyDay[[#This Row],[LY-Rollup]])/DaybyDay[[#This Row],[LY-Rollup]]),0),"")</f>
        <v>0</v>
      </c>
      <c r="Z206"/>
      <c r="AA206" s="37" t="e">
        <f>IF(DaybyDay[[#This Row],[_Space]],DaybyDay[[#This Row],[Ret-Act-RU]]/DaybyDay[[#This Row],[Serv-Act-RU]],"")</f>
        <v>#DIV/0!</v>
      </c>
      <c r="AB206" s="50" t="e">
        <f>IF(DaybyDay[[#This Row],[_Space]],DaybyDay[[#This Row],[RETPEN-Act]]/DaybyDay[[#This Row],[RETPEN-Bud]],"")</f>
        <v>#DIV/0!</v>
      </c>
      <c r="AC206" s="37" t="e">
        <f>IF(DaybyDay[[#This Row],[_Space]],DaybyDay[[#This Row],[Ret-Bud-RU]]/DaybyDay[[#This Row],[Serv-Bud-RU]],"")</f>
        <v>#DIV/0!</v>
      </c>
      <c r="AD206" s="37" t="e">
        <f>IF(DaybyDay[[#This Row],[_Space]],DaybyDay[[#This Row],[Ret-LY-RU]]/DaybyDay[[#This Row],[Serv-LY-RU]],"")</f>
        <v>#DIV/0!</v>
      </c>
      <c r="AE206" s="30">
        <f>WEEKDAY(DaybyDay[[#This Row],[LY-Date]])</f>
        <v>4</v>
      </c>
      <c r="AF206" s="38">
        <f>$E$2+_xlfn.DAYS(DaybyDay[[#This Row],[Date]],minDate)</f>
        <v>42571</v>
      </c>
      <c r="AG206" s="39" t="str" cm="1">
        <f t="array" ref="AG206">IFERROR(INDEX(DaybyDay[],DaybyDay[[#This Row],[FORM_MATCH_HELPER]],8),"")</f>
        <v/>
      </c>
      <c r="AH206" s="39" t="str" cm="1">
        <f t="array" ref="AH206">IFERROR(INDEX(DaybyDay[],DaybyDay[[#This Row],[FORM_MATCH_HELPER]],10),"")</f>
        <v/>
      </c>
      <c r="AI206" s="39" t="str" cm="1">
        <f t="array" ref="AI206">IFERROR(INDEX(DaybyDay[],DaybyDay[[#This Row],[FORM_MATCH_HELPER]],12),"")</f>
        <v/>
      </c>
      <c r="AJ206" s="32">
        <f>IFERROR(DaybyDay[[#This Row],[Serv-LY-RU]]+DaybyDay[[#This Row],[Ret-LY-RU]],"")</f>
        <v>0</v>
      </c>
      <c r="AK2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6" s="77"/>
      <c r="AM206" s="40" t="str">
        <f>IF(DaybyDay[[#This Row],[Admin Hours]]&gt;0,DaybyDay[[#This Row],[Admin Hours]]*$AM$2+$AM$3,"")</f>
        <v/>
      </c>
      <c r="AN206" s="40">
        <f>SUMIFS(DaybyDay[Est-Admin-Payroll],DaybyDay[Date],"&gt;="&amp;$C$5,DaybyDay[RowYear],"&gt;="&amp;$C$4,DaybyDay[Date],"&lt;="&amp;DaybyDay[[#This Row],[Date]])</f>
        <v>0</v>
      </c>
      <c r="AO206" s="41" t="str">
        <f>IF(AND(DaybyDay[[#This Row],[_Space]],ISNUMBER(DaybyDay[[#This Row],[Admin Hours]])),DaybyDay[[#This Row],[Est-Admin-Payroll]]/(DaybyDay[[#This Row],[Service-Actuals]]+DaybyDay[[#This Row],[Retail-Actuals]]),"")</f>
        <v/>
      </c>
      <c r="AP206" s="41" t="e">
        <f>DaybyDay[[#This Row],[Estimated-Payroll-Rollup]]/DaybyDay[[#This Row],[Simple-Forecast]]</f>
        <v>#DIV/0!</v>
      </c>
      <c r="AQ2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6" s="77"/>
      <c r="AS206" s="40" t="str">
        <f>IF(DaybyDay[[#This Row],[Retail Hours]]&gt;0,DaybyDay[[#This Row],[Retail Hours]]*$AS$2,"")</f>
        <v/>
      </c>
      <c r="AT206" s="40">
        <f>SUMIFS(DaybyDay[Est-Retail-Payroll],DaybyDay[Date],"&gt;="&amp;$C$5,DaybyDay[RowYear],"&gt;="&amp;$C$4,DaybyDay[Date],"&lt;="&amp;DaybyDay[[#This Row],[Date]])</f>
        <v>0</v>
      </c>
      <c r="AU206" s="82" t="str">
        <f>IF(AND(DaybyDay[[#This Row],[_Space]],ISNUMBER(DaybyDay[[#This Row],[Retail Hours]])),DaybyDay[[#This Row],[Est-Retail-Payroll]]/(DaybyDay[[#This Row],[Retail-Actuals]]),"")</f>
        <v/>
      </c>
      <c r="AV206" s="82" t="e">
        <f>DaybyDay[[#This Row],[Est-Retail-PayrollRU]]/DaybyDay[[#This Row],[Simple-Forecast-Retail]]</f>
        <v>#DIV/0!</v>
      </c>
      <c r="AW206" s="8"/>
    </row>
    <row r="207" spans="3:49" hidden="1" x14ac:dyDescent="0.25">
      <c r="C207" s="26" t="str">
        <f>Tools!$C$1</f>
        <v>Example</v>
      </c>
      <c r="D207" s="27" t="s">
        <v>74</v>
      </c>
      <c r="E207" s="28">
        <v>2017</v>
      </c>
      <c r="F207" s="28">
        <f>MATCH(DaybyDay[[#This Row],[RowMonth]],Table3[SummaryMonth],0)</f>
        <v>7</v>
      </c>
      <c r="G207" s="29" t="e">
        <f>MATCH(DaybyDay[[#This Row],[LY-Date]],DaybyDay[Date],0)</f>
        <v>#N/A</v>
      </c>
      <c r="H207" s="30">
        <f>WEEKDAY(DaybyDay[[#This Row],[Date]])</f>
        <v>5</v>
      </c>
      <c r="I207" s="31">
        <v>42936</v>
      </c>
      <c r="J207" s="74">
        <v>13</v>
      </c>
      <c r="K207" s="32">
        <f>SUMIFS(BudgetSeasonality[365 Seasonality],BudgetSeasonality[MonthAdjustment],DaybyDay[[#This Row],[Date]])*SUMIFS(Budgets[Service-Budget],Budgets[BudgetMonth],DaybyDay[[#This Row],[RowMonth]],Budgets[BudgetYear],DaybyDay[[#This Row],[RowYear]])</f>
        <v>0</v>
      </c>
      <c r="L207" s="75">
        <v>3201</v>
      </c>
      <c r="M207" s="32">
        <f>INDEX(BudgetSeasonality[365 Seasonality],MATCH(DaybyDay[[#This Row],[Date]],BudgetSeasonality[MonthAdjustment],0))*SUMIFS(Budgets[Retail-Budget],Budgets[BudgetMonth],DaybyDay[[#This Row],[RowMonth]],Budgets[BudgetYear],DaybyDay[[#This Row],[RowYear]])</f>
        <v>0</v>
      </c>
      <c r="N207" s="75">
        <v>254.5</v>
      </c>
      <c r="O207" s="33">
        <f>SUMIFS(DaybyDay[Service-Budgets],DaybyDay[Date],"&gt;="&amp;$C$5,DaybyDay[RowYear],"&gt;="&amp;$C$4,DaybyDay[Date],"&lt;="&amp;DaybyDay[[#This Row],[Date]])</f>
        <v>0</v>
      </c>
      <c r="P207" s="33">
        <f>SUMIFS(DaybyDay[Retail-Budgets],DaybyDay[Date],"&gt;="&amp;$C$5,DaybyDay[RowYear],"&gt;="&amp;$C$4,DaybyDay[Date],"&lt;="&amp;DaybyDay[[#This Row],[Date]])</f>
        <v>0</v>
      </c>
      <c r="Q207" s="34">
        <f>SUMIFS(DaybyDay[Service-Actuals],DaybyDay[Date],"&gt;="&amp;$C$5,DaybyDay[RowYear],"&gt;="&amp;$C$4,DaybyDay[Date],"&lt;="&amp;DaybyDay[[#This Row],[Date]])</f>
        <v>0</v>
      </c>
      <c r="R207" s="34">
        <f>SUMIFS(DaybyDay[Retail-Actuals],DaybyDay[Date],"&gt;="&amp;$C$5,DaybyDay[RowYear],"&gt;="&amp;$C$4,DaybyDay[Date],"&lt;="&amp;DaybyDay[[#This Row],[Date]])</f>
        <v>0</v>
      </c>
      <c r="S207" s="35">
        <f>SUMIFS(DaybyDay[Service-LY],DaybyDay[Date],"&gt;="&amp;$C$5,DaybyDay[RowYear],"&gt;="&amp;$C$4,DaybyDay[Date],"&lt;="&amp;DaybyDay[[#This Row],[Date]])</f>
        <v>0</v>
      </c>
      <c r="T207" s="35">
        <f>SUMIFS(DaybyDay[Retail-LY],DaybyDay[Date],"&gt;="&amp;$C$5,DaybyDay[RowYear],"&gt;="&amp;$C$4,DaybyDay[Date],"&lt;="&amp;DaybyDay[[#This Row],[Date]])</f>
        <v>0</v>
      </c>
      <c r="U207" s="32">
        <f>DaybyDay[[#This Row],[Serv-Bud-RU]]+DaybyDay[[#This Row],[Ret-Bud-RU]]</f>
        <v>0</v>
      </c>
      <c r="V207" s="32">
        <f>DaybyDay[[#This Row],[Serv-Act-RU]]+DaybyDay[[#This Row],[Ret-Act-RU]]</f>
        <v>0</v>
      </c>
      <c r="W207" s="36">
        <f>IF(DaybyDay[[#This Row],[_Space]],IFERROR(
((DaybyDay[[#This Row],[Actual-Rollup]]-DaybyDay[[#This Row],[Budget-Rollup]])/DaybyDay[[#This Row],[Budget-Rollup]]),0),"")</f>
        <v>0</v>
      </c>
      <c r="X207" t="b">
        <f>NOT(AND(ISBLANK(DaybyDay[[#This Row],[Appts]]),ISBLANK(DaybyDay[[#This Row],[Service-Actuals]]),ISBLANK(DaybyDay[[#This Row],[Retail-Actuals]])))</f>
        <v>1</v>
      </c>
      <c r="Y207" s="36">
        <f>IF(DaybyDay[[#This Row],[_Space]],IFERROR(
((DaybyDay[[#This Row],[Actual-Rollup]]-DaybyDay[[#This Row],[LY-Rollup]])/DaybyDay[[#This Row],[LY-Rollup]]),0),"")</f>
        <v>0</v>
      </c>
      <c r="Z207"/>
      <c r="AA207" s="37" t="e">
        <f>IF(DaybyDay[[#This Row],[_Space]],DaybyDay[[#This Row],[Ret-Act-RU]]/DaybyDay[[#This Row],[Serv-Act-RU]],"")</f>
        <v>#DIV/0!</v>
      </c>
      <c r="AB207" s="50" t="e">
        <f>IF(DaybyDay[[#This Row],[_Space]],DaybyDay[[#This Row],[RETPEN-Act]]/DaybyDay[[#This Row],[RETPEN-Bud]],"")</f>
        <v>#DIV/0!</v>
      </c>
      <c r="AC207" s="37" t="e">
        <f>IF(DaybyDay[[#This Row],[_Space]],DaybyDay[[#This Row],[Ret-Bud-RU]]/DaybyDay[[#This Row],[Serv-Bud-RU]],"")</f>
        <v>#DIV/0!</v>
      </c>
      <c r="AD207" s="37" t="e">
        <f>IF(DaybyDay[[#This Row],[_Space]],DaybyDay[[#This Row],[Ret-LY-RU]]/DaybyDay[[#This Row],[Serv-LY-RU]],"")</f>
        <v>#DIV/0!</v>
      </c>
      <c r="AE207" s="30">
        <f>WEEKDAY(DaybyDay[[#This Row],[LY-Date]])</f>
        <v>5</v>
      </c>
      <c r="AF207" s="38">
        <f>$E$2+_xlfn.DAYS(DaybyDay[[#This Row],[Date]],minDate)</f>
        <v>42572</v>
      </c>
      <c r="AG207" s="39" t="str" cm="1">
        <f t="array" ref="AG207">IFERROR(INDEX(DaybyDay[],DaybyDay[[#This Row],[FORM_MATCH_HELPER]],8),"")</f>
        <v/>
      </c>
      <c r="AH207" s="39" t="str" cm="1">
        <f t="array" ref="AH207">IFERROR(INDEX(DaybyDay[],DaybyDay[[#This Row],[FORM_MATCH_HELPER]],10),"")</f>
        <v/>
      </c>
      <c r="AI207" s="39" t="str" cm="1">
        <f t="array" ref="AI207">IFERROR(INDEX(DaybyDay[],DaybyDay[[#This Row],[FORM_MATCH_HELPER]],12),"")</f>
        <v/>
      </c>
      <c r="AJ207" s="32">
        <f>IFERROR(DaybyDay[[#This Row],[Serv-LY-RU]]+DaybyDay[[#This Row],[Ret-LY-RU]],"")</f>
        <v>0</v>
      </c>
      <c r="AK2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7" s="77"/>
      <c r="AM207" s="40" t="str">
        <f>IF(DaybyDay[[#This Row],[Admin Hours]]&gt;0,DaybyDay[[#This Row],[Admin Hours]]*$AM$2+$AM$3,"")</f>
        <v/>
      </c>
      <c r="AN207" s="40">
        <f>SUMIFS(DaybyDay[Est-Admin-Payroll],DaybyDay[Date],"&gt;="&amp;$C$5,DaybyDay[RowYear],"&gt;="&amp;$C$4,DaybyDay[Date],"&lt;="&amp;DaybyDay[[#This Row],[Date]])</f>
        <v>0</v>
      </c>
      <c r="AO207" s="41" t="str">
        <f>IF(AND(DaybyDay[[#This Row],[_Space]],ISNUMBER(DaybyDay[[#This Row],[Admin Hours]])),DaybyDay[[#This Row],[Est-Admin-Payroll]]/(DaybyDay[[#This Row],[Service-Actuals]]+DaybyDay[[#This Row],[Retail-Actuals]]),"")</f>
        <v/>
      </c>
      <c r="AP207" s="41" t="e">
        <f>DaybyDay[[#This Row],[Estimated-Payroll-Rollup]]/DaybyDay[[#This Row],[Simple-Forecast]]</f>
        <v>#DIV/0!</v>
      </c>
      <c r="AQ2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7" s="77"/>
      <c r="AS207" s="40" t="str">
        <f>IF(DaybyDay[[#This Row],[Retail Hours]]&gt;0,DaybyDay[[#This Row],[Retail Hours]]*$AS$2,"")</f>
        <v/>
      </c>
      <c r="AT207" s="40">
        <f>SUMIFS(DaybyDay[Est-Retail-Payroll],DaybyDay[Date],"&gt;="&amp;$C$5,DaybyDay[RowYear],"&gt;="&amp;$C$4,DaybyDay[Date],"&lt;="&amp;DaybyDay[[#This Row],[Date]])</f>
        <v>0</v>
      </c>
      <c r="AU207" s="82" t="str">
        <f>IF(AND(DaybyDay[[#This Row],[_Space]],ISNUMBER(DaybyDay[[#This Row],[Retail Hours]])),DaybyDay[[#This Row],[Est-Retail-Payroll]]/(DaybyDay[[#This Row],[Retail-Actuals]]),"")</f>
        <v/>
      </c>
      <c r="AV207" s="82" t="e">
        <f>DaybyDay[[#This Row],[Est-Retail-PayrollRU]]/DaybyDay[[#This Row],[Simple-Forecast-Retail]]</f>
        <v>#DIV/0!</v>
      </c>
      <c r="AW207" s="8"/>
    </row>
    <row r="208" spans="3:49" hidden="1" x14ac:dyDescent="0.25">
      <c r="C208" s="26" t="str">
        <f>Tools!$C$1</f>
        <v>Example</v>
      </c>
      <c r="D208" s="27" t="s">
        <v>74</v>
      </c>
      <c r="E208" s="28">
        <v>2017</v>
      </c>
      <c r="F208" s="28">
        <f>MATCH(DaybyDay[[#This Row],[RowMonth]],Table3[SummaryMonth],0)</f>
        <v>7</v>
      </c>
      <c r="G208" s="29" t="e">
        <f>MATCH(DaybyDay[[#This Row],[LY-Date]],DaybyDay[Date],0)</f>
        <v>#N/A</v>
      </c>
      <c r="H208" s="30">
        <f>WEEKDAY(DaybyDay[[#This Row],[Date]])</f>
        <v>6</v>
      </c>
      <c r="I208" s="31">
        <v>42937</v>
      </c>
      <c r="J208" s="74">
        <v>13</v>
      </c>
      <c r="K208" s="32">
        <f>SUMIFS(BudgetSeasonality[365 Seasonality],BudgetSeasonality[MonthAdjustment],DaybyDay[[#This Row],[Date]])*SUMIFS(Budgets[Service-Budget],Budgets[BudgetMonth],DaybyDay[[#This Row],[RowMonth]],Budgets[BudgetYear],DaybyDay[[#This Row],[RowYear]])</f>
        <v>0</v>
      </c>
      <c r="L208" s="75">
        <v>3341</v>
      </c>
      <c r="M208" s="32">
        <f>INDEX(BudgetSeasonality[365 Seasonality],MATCH(DaybyDay[[#This Row],[Date]],BudgetSeasonality[MonthAdjustment],0))*SUMIFS(Budgets[Retail-Budget],Budgets[BudgetMonth],DaybyDay[[#This Row],[RowMonth]],Budgets[BudgetYear],DaybyDay[[#This Row],[RowYear]])</f>
        <v>0</v>
      </c>
      <c r="N208" s="75">
        <v>257.60000000000002</v>
      </c>
      <c r="O208" s="33">
        <f>SUMIFS(DaybyDay[Service-Budgets],DaybyDay[Date],"&gt;="&amp;$C$5,DaybyDay[RowYear],"&gt;="&amp;$C$4,DaybyDay[Date],"&lt;="&amp;DaybyDay[[#This Row],[Date]])</f>
        <v>0</v>
      </c>
      <c r="P208" s="33">
        <f>SUMIFS(DaybyDay[Retail-Budgets],DaybyDay[Date],"&gt;="&amp;$C$5,DaybyDay[RowYear],"&gt;="&amp;$C$4,DaybyDay[Date],"&lt;="&amp;DaybyDay[[#This Row],[Date]])</f>
        <v>0</v>
      </c>
      <c r="Q208" s="34">
        <f>SUMIFS(DaybyDay[Service-Actuals],DaybyDay[Date],"&gt;="&amp;$C$5,DaybyDay[RowYear],"&gt;="&amp;$C$4,DaybyDay[Date],"&lt;="&amp;DaybyDay[[#This Row],[Date]])</f>
        <v>0</v>
      </c>
      <c r="R208" s="34">
        <f>SUMIFS(DaybyDay[Retail-Actuals],DaybyDay[Date],"&gt;="&amp;$C$5,DaybyDay[RowYear],"&gt;="&amp;$C$4,DaybyDay[Date],"&lt;="&amp;DaybyDay[[#This Row],[Date]])</f>
        <v>0</v>
      </c>
      <c r="S208" s="35">
        <f>SUMIFS(DaybyDay[Service-LY],DaybyDay[Date],"&gt;="&amp;$C$5,DaybyDay[RowYear],"&gt;="&amp;$C$4,DaybyDay[Date],"&lt;="&amp;DaybyDay[[#This Row],[Date]])</f>
        <v>0</v>
      </c>
      <c r="T208" s="35">
        <f>SUMIFS(DaybyDay[Retail-LY],DaybyDay[Date],"&gt;="&amp;$C$5,DaybyDay[RowYear],"&gt;="&amp;$C$4,DaybyDay[Date],"&lt;="&amp;DaybyDay[[#This Row],[Date]])</f>
        <v>0</v>
      </c>
      <c r="U208" s="32">
        <f>DaybyDay[[#This Row],[Serv-Bud-RU]]+DaybyDay[[#This Row],[Ret-Bud-RU]]</f>
        <v>0</v>
      </c>
      <c r="V208" s="32">
        <f>DaybyDay[[#This Row],[Serv-Act-RU]]+DaybyDay[[#This Row],[Ret-Act-RU]]</f>
        <v>0</v>
      </c>
      <c r="W208" s="36">
        <f>IF(DaybyDay[[#This Row],[_Space]],IFERROR(
((DaybyDay[[#This Row],[Actual-Rollup]]-DaybyDay[[#This Row],[Budget-Rollup]])/DaybyDay[[#This Row],[Budget-Rollup]]),0),"")</f>
        <v>0</v>
      </c>
      <c r="X208" t="b">
        <f>NOT(AND(ISBLANK(DaybyDay[[#This Row],[Appts]]),ISBLANK(DaybyDay[[#This Row],[Service-Actuals]]),ISBLANK(DaybyDay[[#This Row],[Retail-Actuals]])))</f>
        <v>1</v>
      </c>
      <c r="Y208" s="36">
        <f>IF(DaybyDay[[#This Row],[_Space]],IFERROR(
((DaybyDay[[#This Row],[Actual-Rollup]]-DaybyDay[[#This Row],[LY-Rollup]])/DaybyDay[[#This Row],[LY-Rollup]]),0),"")</f>
        <v>0</v>
      </c>
      <c r="Z208"/>
      <c r="AA208" s="37" t="e">
        <f>IF(DaybyDay[[#This Row],[_Space]],DaybyDay[[#This Row],[Ret-Act-RU]]/DaybyDay[[#This Row],[Serv-Act-RU]],"")</f>
        <v>#DIV/0!</v>
      </c>
      <c r="AB208" s="50" t="e">
        <f>IF(DaybyDay[[#This Row],[_Space]],DaybyDay[[#This Row],[RETPEN-Act]]/DaybyDay[[#This Row],[RETPEN-Bud]],"")</f>
        <v>#DIV/0!</v>
      </c>
      <c r="AC208" s="37" t="e">
        <f>IF(DaybyDay[[#This Row],[_Space]],DaybyDay[[#This Row],[Ret-Bud-RU]]/DaybyDay[[#This Row],[Serv-Bud-RU]],"")</f>
        <v>#DIV/0!</v>
      </c>
      <c r="AD208" s="37" t="e">
        <f>IF(DaybyDay[[#This Row],[_Space]],DaybyDay[[#This Row],[Ret-LY-RU]]/DaybyDay[[#This Row],[Serv-LY-RU]],"")</f>
        <v>#DIV/0!</v>
      </c>
      <c r="AE208" s="30">
        <f>WEEKDAY(DaybyDay[[#This Row],[LY-Date]])</f>
        <v>6</v>
      </c>
      <c r="AF208" s="38">
        <f>$E$2+_xlfn.DAYS(DaybyDay[[#This Row],[Date]],minDate)</f>
        <v>42573</v>
      </c>
      <c r="AG208" s="39" t="str" cm="1">
        <f t="array" ref="AG208">IFERROR(INDEX(DaybyDay[],DaybyDay[[#This Row],[FORM_MATCH_HELPER]],8),"")</f>
        <v/>
      </c>
      <c r="AH208" s="39" t="str" cm="1">
        <f t="array" ref="AH208">IFERROR(INDEX(DaybyDay[],DaybyDay[[#This Row],[FORM_MATCH_HELPER]],10),"")</f>
        <v/>
      </c>
      <c r="AI208" s="39" t="str" cm="1">
        <f t="array" ref="AI208">IFERROR(INDEX(DaybyDay[],DaybyDay[[#This Row],[FORM_MATCH_HELPER]],12),"")</f>
        <v/>
      </c>
      <c r="AJ208" s="32">
        <f>IFERROR(DaybyDay[[#This Row],[Serv-LY-RU]]+DaybyDay[[#This Row],[Ret-LY-RU]],"")</f>
        <v>0</v>
      </c>
      <c r="AK2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8" s="77"/>
      <c r="AM208" s="40" t="str">
        <f>IF(DaybyDay[[#This Row],[Admin Hours]]&gt;0,DaybyDay[[#This Row],[Admin Hours]]*$AM$2+$AM$3,"")</f>
        <v/>
      </c>
      <c r="AN208" s="40">
        <f>SUMIFS(DaybyDay[Est-Admin-Payroll],DaybyDay[Date],"&gt;="&amp;$C$5,DaybyDay[RowYear],"&gt;="&amp;$C$4,DaybyDay[Date],"&lt;="&amp;DaybyDay[[#This Row],[Date]])</f>
        <v>0</v>
      </c>
      <c r="AO208" s="41" t="str">
        <f>IF(AND(DaybyDay[[#This Row],[_Space]],ISNUMBER(DaybyDay[[#This Row],[Admin Hours]])),DaybyDay[[#This Row],[Est-Admin-Payroll]]/(DaybyDay[[#This Row],[Service-Actuals]]+DaybyDay[[#This Row],[Retail-Actuals]]),"")</f>
        <v/>
      </c>
      <c r="AP208" s="41" t="e">
        <f>DaybyDay[[#This Row],[Estimated-Payroll-Rollup]]/DaybyDay[[#This Row],[Simple-Forecast]]</f>
        <v>#DIV/0!</v>
      </c>
      <c r="AQ2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8" s="77"/>
      <c r="AS208" s="40" t="str">
        <f>IF(DaybyDay[[#This Row],[Retail Hours]]&gt;0,DaybyDay[[#This Row],[Retail Hours]]*$AS$2,"")</f>
        <v/>
      </c>
      <c r="AT208" s="40">
        <f>SUMIFS(DaybyDay[Est-Retail-Payroll],DaybyDay[Date],"&gt;="&amp;$C$5,DaybyDay[RowYear],"&gt;="&amp;$C$4,DaybyDay[Date],"&lt;="&amp;DaybyDay[[#This Row],[Date]])</f>
        <v>0</v>
      </c>
      <c r="AU208" s="82" t="str">
        <f>IF(AND(DaybyDay[[#This Row],[_Space]],ISNUMBER(DaybyDay[[#This Row],[Retail Hours]])),DaybyDay[[#This Row],[Est-Retail-Payroll]]/(DaybyDay[[#This Row],[Retail-Actuals]]),"")</f>
        <v/>
      </c>
      <c r="AV208" s="82" t="e">
        <f>DaybyDay[[#This Row],[Est-Retail-PayrollRU]]/DaybyDay[[#This Row],[Simple-Forecast-Retail]]</f>
        <v>#DIV/0!</v>
      </c>
      <c r="AW208" s="8"/>
    </row>
    <row r="209" spans="3:49" hidden="1" x14ac:dyDescent="0.25">
      <c r="C209" s="26" t="str">
        <f>Tools!$C$1</f>
        <v>Example</v>
      </c>
      <c r="D209" s="27" t="s">
        <v>74</v>
      </c>
      <c r="E209" s="28">
        <v>2017</v>
      </c>
      <c r="F209" s="28">
        <f>MATCH(DaybyDay[[#This Row],[RowMonth]],Table3[SummaryMonth],0)</f>
        <v>7</v>
      </c>
      <c r="G209" s="29" t="e">
        <f>MATCH(DaybyDay[[#This Row],[LY-Date]],DaybyDay[Date],0)</f>
        <v>#N/A</v>
      </c>
      <c r="H209" s="30">
        <f>WEEKDAY(DaybyDay[[#This Row],[Date]])</f>
        <v>7</v>
      </c>
      <c r="I209" s="31">
        <v>42938</v>
      </c>
      <c r="J209" s="74">
        <v>18</v>
      </c>
      <c r="K209" s="32">
        <f>SUMIFS(BudgetSeasonality[365 Seasonality],BudgetSeasonality[MonthAdjustment],DaybyDay[[#This Row],[Date]])*SUMIFS(Budgets[Service-Budget],Budgets[BudgetMonth],DaybyDay[[#This Row],[RowMonth]],Budgets[BudgetYear],DaybyDay[[#This Row],[RowYear]])</f>
        <v>0</v>
      </c>
      <c r="L209" s="75">
        <v>4742</v>
      </c>
      <c r="M209" s="32">
        <f>INDEX(BudgetSeasonality[365 Seasonality],MATCH(DaybyDay[[#This Row],[Date]],BudgetSeasonality[MonthAdjustment],0))*SUMIFS(Budgets[Retail-Budget],Budgets[BudgetMonth],DaybyDay[[#This Row],[RowMonth]],Budgets[BudgetYear],DaybyDay[[#This Row],[RowYear]])</f>
        <v>0</v>
      </c>
      <c r="N209" s="75">
        <v>865.8</v>
      </c>
      <c r="O209" s="33">
        <f>SUMIFS(DaybyDay[Service-Budgets],DaybyDay[Date],"&gt;="&amp;$C$5,DaybyDay[RowYear],"&gt;="&amp;$C$4,DaybyDay[Date],"&lt;="&amp;DaybyDay[[#This Row],[Date]])</f>
        <v>0</v>
      </c>
      <c r="P209" s="33">
        <f>SUMIFS(DaybyDay[Retail-Budgets],DaybyDay[Date],"&gt;="&amp;$C$5,DaybyDay[RowYear],"&gt;="&amp;$C$4,DaybyDay[Date],"&lt;="&amp;DaybyDay[[#This Row],[Date]])</f>
        <v>0</v>
      </c>
      <c r="Q209" s="34">
        <f>SUMIFS(DaybyDay[Service-Actuals],DaybyDay[Date],"&gt;="&amp;$C$5,DaybyDay[RowYear],"&gt;="&amp;$C$4,DaybyDay[Date],"&lt;="&amp;DaybyDay[[#This Row],[Date]])</f>
        <v>0</v>
      </c>
      <c r="R209" s="34">
        <f>SUMIFS(DaybyDay[Retail-Actuals],DaybyDay[Date],"&gt;="&amp;$C$5,DaybyDay[RowYear],"&gt;="&amp;$C$4,DaybyDay[Date],"&lt;="&amp;DaybyDay[[#This Row],[Date]])</f>
        <v>0</v>
      </c>
      <c r="S209" s="35">
        <f>SUMIFS(DaybyDay[Service-LY],DaybyDay[Date],"&gt;="&amp;$C$5,DaybyDay[RowYear],"&gt;="&amp;$C$4,DaybyDay[Date],"&lt;="&amp;DaybyDay[[#This Row],[Date]])</f>
        <v>0</v>
      </c>
      <c r="T209" s="35">
        <f>SUMIFS(DaybyDay[Retail-LY],DaybyDay[Date],"&gt;="&amp;$C$5,DaybyDay[RowYear],"&gt;="&amp;$C$4,DaybyDay[Date],"&lt;="&amp;DaybyDay[[#This Row],[Date]])</f>
        <v>0</v>
      </c>
      <c r="U209" s="32">
        <f>DaybyDay[[#This Row],[Serv-Bud-RU]]+DaybyDay[[#This Row],[Ret-Bud-RU]]</f>
        <v>0</v>
      </c>
      <c r="V209" s="32">
        <f>DaybyDay[[#This Row],[Serv-Act-RU]]+DaybyDay[[#This Row],[Ret-Act-RU]]</f>
        <v>0</v>
      </c>
      <c r="W209" s="36">
        <f>IF(DaybyDay[[#This Row],[_Space]],IFERROR(
((DaybyDay[[#This Row],[Actual-Rollup]]-DaybyDay[[#This Row],[Budget-Rollup]])/DaybyDay[[#This Row],[Budget-Rollup]]),0),"")</f>
        <v>0</v>
      </c>
      <c r="X209" t="b">
        <f>NOT(AND(ISBLANK(DaybyDay[[#This Row],[Appts]]),ISBLANK(DaybyDay[[#This Row],[Service-Actuals]]),ISBLANK(DaybyDay[[#This Row],[Retail-Actuals]])))</f>
        <v>1</v>
      </c>
      <c r="Y209" s="36">
        <f>IF(DaybyDay[[#This Row],[_Space]],IFERROR(
((DaybyDay[[#This Row],[Actual-Rollup]]-DaybyDay[[#This Row],[LY-Rollup]])/DaybyDay[[#This Row],[LY-Rollup]]),0),"")</f>
        <v>0</v>
      </c>
      <c r="Z209"/>
      <c r="AA209" s="37" t="e">
        <f>IF(DaybyDay[[#This Row],[_Space]],DaybyDay[[#This Row],[Ret-Act-RU]]/DaybyDay[[#This Row],[Serv-Act-RU]],"")</f>
        <v>#DIV/0!</v>
      </c>
      <c r="AB209" s="50" t="e">
        <f>IF(DaybyDay[[#This Row],[_Space]],DaybyDay[[#This Row],[RETPEN-Act]]/DaybyDay[[#This Row],[RETPEN-Bud]],"")</f>
        <v>#DIV/0!</v>
      </c>
      <c r="AC209" s="37" t="e">
        <f>IF(DaybyDay[[#This Row],[_Space]],DaybyDay[[#This Row],[Ret-Bud-RU]]/DaybyDay[[#This Row],[Serv-Bud-RU]],"")</f>
        <v>#DIV/0!</v>
      </c>
      <c r="AD209" s="37" t="e">
        <f>IF(DaybyDay[[#This Row],[_Space]],DaybyDay[[#This Row],[Ret-LY-RU]]/DaybyDay[[#This Row],[Serv-LY-RU]],"")</f>
        <v>#DIV/0!</v>
      </c>
      <c r="AE209" s="30">
        <f>WEEKDAY(DaybyDay[[#This Row],[LY-Date]])</f>
        <v>7</v>
      </c>
      <c r="AF209" s="38">
        <f>$E$2+_xlfn.DAYS(DaybyDay[[#This Row],[Date]],minDate)</f>
        <v>42574</v>
      </c>
      <c r="AG209" s="39" t="str" cm="1">
        <f t="array" ref="AG209">IFERROR(INDEX(DaybyDay[],DaybyDay[[#This Row],[FORM_MATCH_HELPER]],8),"")</f>
        <v/>
      </c>
      <c r="AH209" s="39" t="str" cm="1">
        <f t="array" ref="AH209">IFERROR(INDEX(DaybyDay[],DaybyDay[[#This Row],[FORM_MATCH_HELPER]],10),"")</f>
        <v/>
      </c>
      <c r="AI209" s="39" t="str" cm="1">
        <f t="array" ref="AI209">IFERROR(INDEX(DaybyDay[],DaybyDay[[#This Row],[FORM_MATCH_HELPER]],12),"")</f>
        <v/>
      </c>
      <c r="AJ209" s="32">
        <f>IFERROR(DaybyDay[[#This Row],[Serv-LY-RU]]+DaybyDay[[#This Row],[Ret-LY-RU]],"")</f>
        <v>0</v>
      </c>
      <c r="AK2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09" s="77"/>
      <c r="AM209" s="40" t="str">
        <f>IF(DaybyDay[[#This Row],[Admin Hours]]&gt;0,DaybyDay[[#This Row],[Admin Hours]]*$AM$2+$AM$3,"")</f>
        <v/>
      </c>
      <c r="AN209" s="40">
        <f>SUMIFS(DaybyDay[Est-Admin-Payroll],DaybyDay[Date],"&gt;="&amp;$C$5,DaybyDay[RowYear],"&gt;="&amp;$C$4,DaybyDay[Date],"&lt;="&amp;DaybyDay[[#This Row],[Date]])</f>
        <v>0</v>
      </c>
      <c r="AO209" s="41" t="str">
        <f>IF(AND(DaybyDay[[#This Row],[_Space]],ISNUMBER(DaybyDay[[#This Row],[Admin Hours]])),DaybyDay[[#This Row],[Est-Admin-Payroll]]/(DaybyDay[[#This Row],[Service-Actuals]]+DaybyDay[[#This Row],[Retail-Actuals]]),"")</f>
        <v/>
      </c>
      <c r="AP209" s="41" t="e">
        <f>DaybyDay[[#This Row],[Estimated-Payroll-Rollup]]/DaybyDay[[#This Row],[Simple-Forecast]]</f>
        <v>#DIV/0!</v>
      </c>
      <c r="AQ2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09" s="77"/>
      <c r="AS209" s="40" t="str">
        <f>IF(DaybyDay[[#This Row],[Retail Hours]]&gt;0,DaybyDay[[#This Row],[Retail Hours]]*$AS$2,"")</f>
        <v/>
      </c>
      <c r="AT209" s="40">
        <f>SUMIFS(DaybyDay[Est-Retail-Payroll],DaybyDay[Date],"&gt;="&amp;$C$5,DaybyDay[RowYear],"&gt;="&amp;$C$4,DaybyDay[Date],"&lt;="&amp;DaybyDay[[#This Row],[Date]])</f>
        <v>0</v>
      </c>
      <c r="AU209" s="82" t="str">
        <f>IF(AND(DaybyDay[[#This Row],[_Space]],ISNUMBER(DaybyDay[[#This Row],[Retail Hours]])),DaybyDay[[#This Row],[Est-Retail-Payroll]]/(DaybyDay[[#This Row],[Retail-Actuals]]),"")</f>
        <v/>
      </c>
      <c r="AV209" s="82" t="e">
        <f>DaybyDay[[#This Row],[Est-Retail-PayrollRU]]/DaybyDay[[#This Row],[Simple-Forecast-Retail]]</f>
        <v>#DIV/0!</v>
      </c>
      <c r="AW209" s="8"/>
    </row>
    <row r="210" spans="3:49" hidden="1" x14ac:dyDescent="0.25">
      <c r="C210" s="26" t="str">
        <f>Tools!$C$1</f>
        <v>Example</v>
      </c>
      <c r="D210" s="27" t="s">
        <v>74</v>
      </c>
      <c r="E210" s="28">
        <v>2017</v>
      </c>
      <c r="F210" s="28">
        <f>MATCH(DaybyDay[[#This Row],[RowMonth]],Table3[SummaryMonth],0)</f>
        <v>7</v>
      </c>
      <c r="G210" s="29" t="e">
        <f>MATCH(DaybyDay[[#This Row],[LY-Date]],DaybyDay[Date],0)</f>
        <v>#N/A</v>
      </c>
      <c r="H210" s="30">
        <f>WEEKDAY(DaybyDay[[#This Row],[Date]])</f>
        <v>1</v>
      </c>
      <c r="I210" s="31">
        <v>42939</v>
      </c>
      <c r="J210" s="74">
        <v>21</v>
      </c>
      <c r="K210" s="32">
        <f>SUMIFS(BudgetSeasonality[365 Seasonality],BudgetSeasonality[MonthAdjustment],DaybyDay[[#This Row],[Date]])*SUMIFS(Budgets[Service-Budget],Budgets[BudgetMonth],DaybyDay[[#This Row],[RowMonth]],Budgets[BudgetYear],DaybyDay[[#This Row],[RowYear]])</f>
        <v>0</v>
      </c>
      <c r="L210" s="75">
        <v>4304.96</v>
      </c>
      <c r="M210" s="32">
        <f>INDEX(BudgetSeasonality[365 Seasonality],MATCH(DaybyDay[[#This Row],[Date]],BudgetSeasonality[MonthAdjustment],0))*SUMIFS(Budgets[Retail-Budget],Budgets[BudgetMonth],DaybyDay[[#This Row],[RowMonth]],Budgets[BudgetYear],DaybyDay[[#This Row],[RowYear]])</f>
        <v>0</v>
      </c>
      <c r="N210" s="75">
        <v>0</v>
      </c>
      <c r="O210" s="33">
        <f>SUMIFS(DaybyDay[Service-Budgets],DaybyDay[Date],"&gt;="&amp;$C$5,DaybyDay[RowYear],"&gt;="&amp;$C$4,DaybyDay[Date],"&lt;="&amp;DaybyDay[[#This Row],[Date]])</f>
        <v>0</v>
      </c>
      <c r="P210" s="33">
        <f>SUMIFS(DaybyDay[Retail-Budgets],DaybyDay[Date],"&gt;="&amp;$C$5,DaybyDay[RowYear],"&gt;="&amp;$C$4,DaybyDay[Date],"&lt;="&amp;DaybyDay[[#This Row],[Date]])</f>
        <v>0</v>
      </c>
      <c r="Q210" s="34">
        <f>SUMIFS(DaybyDay[Service-Actuals],DaybyDay[Date],"&gt;="&amp;$C$5,DaybyDay[RowYear],"&gt;="&amp;$C$4,DaybyDay[Date],"&lt;="&amp;DaybyDay[[#This Row],[Date]])</f>
        <v>0</v>
      </c>
      <c r="R210" s="34">
        <f>SUMIFS(DaybyDay[Retail-Actuals],DaybyDay[Date],"&gt;="&amp;$C$5,DaybyDay[RowYear],"&gt;="&amp;$C$4,DaybyDay[Date],"&lt;="&amp;DaybyDay[[#This Row],[Date]])</f>
        <v>0</v>
      </c>
      <c r="S210" s="35">
        <f>SUMIFS(DaybyDay[Service-LY],DaybyDay[Date],"&gt;="&amp;$C$5,DaybyDay[RowYear],"&gt;="&amp;$C$4,DaybyDay[Date],"&lt;="&amp;DaybyDay[[#This Row],[Date]])</f>
        <v>0</v>
      </c>
      <c r="T210" s="35">
        <f>SUMIFS(DaybyDay[Retail-LY],DaybyDay[Date],"&gt;="&amp;$C$5,DaybyDay[RowYear],"&gt;="&amp;$C$4,DaybyDay[Date],"&lt;="&amp;DaybyDay[[#This Row],[Date]])</f>
        <v>0</v>
      </c>
      <c r="U210" s="32">
        <f>DaybyDay[[#This Row],[Serv-Bud-RU]]+DaybyDay[[#This Row],[Ret-Bud-RU]]</f>
        <v>0</v>
      </c>
      <c r="V210" s="32">
        <f>DaybyDay[[#This Row],[Serv-Act-RU]]+DaybyDay[[#This Row],[Ret-Act-RU]]</f>
        <v>0</v>
      </c>
      <c r="W210" s="36">
        <f>IF(DaybyDay[[#This Row],[_Space]],IFERROR(
((DaybyDay[[#This Row],[Actual-Rollup]]-DaybyDay[[#This Row],[Budget-Rollup]])/DaybyDay[[#This Row],[Budget-Rollup]]),0),"")</f>
        <v>0</v>
      </c>
      <c r="X210" t="b">
        <f>NOT(AND(ISBLANK(DaybyDay[[#This Row],[Appts]]),ISBLANK(DaybyDay[[#This Row],[Service-Actuals]]),ISBLANK(DaybyDay[[#This Row],[Retail-Actuals]])))</f>
        <v>1</v>
      </c>
      <c r="Y210" s="36">
        <f>IF(DaybyDay[[#This Row],[_Space]],IFERROR(
((DaybyDay[[#This Row],[Actual-Rollup]]-DaybyDay[[#This Row],[LY-Rollup]])/DaybyDay[[#This Row],[LY-Rollup]]),0),"")</f>
        <v>0</v>
      </c>
      <c r="Z210"/>
      <c r="AA210" s="37" t="e">
        <f>IF(DaybyDay[[#This Row],[_Space]],DaybyDay[[#This Row],[Ret-Act-RU]]/DaybyDay[[#This Row],[Serv-Act-RU]],"")</f>
        <v>#DIV/0!</v>
      </c>
      <c r="AB210" s="50" t="e">
        <f>IF(DaybyDay[[#This Row],[_Space]],DaybyDay[[#This Row],[RETPEN-Act]]/DaybyDay[[#This Row],[RETPEN-Bud]],"")</f>
        <v>#DIV/0!</v>
      </c>
      <c r="AC210" s="37" t="e">
        <f>IF(DaybyDay[[#This Row],[_Space]],DaybyDay[[#This Row],[Ret-Bud-RU]]/DaybyDay[[#This Row],[Serv-Bud-RU]],"")</f>
        <v>#DIV/0!</v>
      </c>
      <c r="AD210" s="37" t="e">
        <f>IF(DaybyDay[[#This Row],[_Space]],DaybyDay[[#This Row],[Ret-LY-RU]]/DaybyDay[[#This Row],[Serv-LY-RU]],"")</f>
        <v>#DIV/0!</v>
      </c>
      <c r="AE210" s="30">
        <f>WEEKDAY(DaybyDay[[#This Row],[LY-Date]])</f>
        <v>1</v>
      </c>
      <c r="AF210" s="38">
        <f>$E$2+_xlfn.DAYS(DaybyDay[[#This Row],[Date]],minDate)</f>
        <v>42575</v>
      </c>
      <c r="AG210" s="39" t="str" cm="1">
        <f t="array" ref="AG210">IFERROR(INDEX(DaybyDay[],DaybyDay[[#This Row],[FORM_MATCH_HELPER]],8),"")</f>
        <v/>
      </c>
      <c r="AH210" s="39" t="str" cm="1">
        <f t="array" ref="AH210">IFERROR(INDEX(DaybyDay[],DaybyDay[[#This Row],[FORM_MATCH_HELPER]],10),"")</f>
        <v/>
      </c>
      <c r="AI210" s="39" t="str" cm="1">
        <f t="array" ref="AI210">IFERROR(INDEX(DaybyDay[],DaybyDay[[#This Row],[FORM_MATCH_HELPER]],12),"")</f>
        <v/>
      </c>
      <c r="AJ210" s="32">
        <f>IFERROR(DaybyDay[[#This Row],[Serv-LY-RU]]+DaybyDay[[#This Row],[Ret-LY-RU]],"")</f>
        <v>0</v>
      </c>
      <c r="AK2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0" s="77"/>
      <c r="AM210" s="40" t="str">
        <f>IF(DaybyDay[[#This Row],[Admin Hours]]&gt;0,DaybyDay[[#This Row],[Admin Hours]]*$AM$2+$AM$3,"")</f>
        <v/>
      </c>
      <c r="AN210" s="40">
        <f>SUMIFS(DaybyDay[Est-Admin-Payroll],DaybyDay[Date],"&gt;="&amp;$C$5,DaybyDay[RowYear],"&gt;="&amp;$C$4,DaybyDay[Date],"&lt;="&amp;DaybyDay[[#This Row],[Date]])</f>
        <v>0</v>
      </c>
      <c r="AO210" s="41" t="str">
        <f>IF(AND(DaybyDay[[#This Row],[_Space]],ISNUMBER(DaybyDay[[#This Row],[Admin Hours]])),DaybyDay[[#This Row],[Est-Admin-Payroll]]/(DaybyDay[[#This Row],[Service-Actuals]]+DaybyDay[[#This Row],[Retail-Actuals]]),"")</f>
        <v/>
      </c>
      <c r="AP210" s="41" t="e">
        <f>DaybyDay[[#This Row],[Estimated-Payroll-Rollup]]/DaybyDay[[#This Row],[Simple-Forecast]]</f>
        <v>#DIV/0!</v>
      </c>
      <c r="AQ2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0" s="77"/>
      <c r="AS210" s="40" t="str">
        <f>IF(DaybyDay[[#This Row],[Retail Hours]]&gt;0,DaybyDay[[#This Row],[Retail Hours]]*$AS$2,"")</f>
        <v/>
      </c>
      <c r="AT210" s="40">
        <f>SUMIFS(DaybyDay[Est-Retail-Payroll],DaybyDay[Date],"&gt;="&amp;$C$5,DaybyDay[RowYear],"&gt;="&amp;$C$4,DaybyDay[Date],"&lt;="&amp;DaybyDay[[#This Row],[Date]])</f>
        <v>0</v>
      </c>
      <c r="AU210" s="82" t="str">
        <f>IF(AND(DaybyDay[[#This Row],[_Space]],ISNUMBER(DaybyDay[[#This Row],[Retail Hours]])),DaybyDay[[#This Row],[Est-Retail-Payroll]]/(DaybyDay[[#This Row],[Retail-Actuals]]),"")</f>
        <v/>
      </c>
      <c r="AV210" s="82" t="e">
        <f>DaybyDay[[#This Row],[Est-Retail-PayrollRU]]/DaybyDay[[#This Row],[Simple-Forecast-Retail]]</f>
        <v>#DIV/0!</v>
      </c>
      <c r="AW210" s="8"/>
    </row>
    <row r="211" spans="3:49" hidden="1" x14ac:dyDescent="0.25">
      <c r="C211" s="26" t="str">
        <f>Tools!$C$1</f>
        <v>Example</v>
      </c>
      <c r="D211" s="27" t="s">
        <v>74</v>
      </c>
      <c r="E211" s="28">
        <v>2017</v>
      </c>
      <c r="F211" s="28">
        <f>MATCH(DaybyDay[[#This Row],[RowMonth]],Table3[SummaryMonth],0)</f>
        <v>7</v>
      </c>
      <c r="G211" s="29" t="e">
        <f>MATCH(DaybyDay[[#This Row],[LY-Date]],DaybyDay[Date],0)</f>
        <v>#N/A</v>
      </c>
      <c r="H211" s="30">
        <f>WEEKDAY(DaybyDay[[#This Row],[Date]])</f>
        <v>2</v>
      </c>
      <c r="I211" s="31">
        <v>42940</v>
      </c>
      <c r="J211" s="74">
        <v>15</v>
      </c>
      <c r="K211" s="32">
        <f>SUMIFS(BudgetSeasonality[365 Seasonality],BudgetSeasonality[MonthAdjustment],DaybyDay[[#This Row],[Date]])*SUMIFS(Budgets[Service-Budget],Budgets[BudgetMonth],DaybyDay[[#This Row],[RowMonth]],Budgets[BudgetYear],DaybyDay[[#This Row],[RowYear]])</f>
        <v>0</v>
      </c>
      <c r="L211" s="75">
        <v>3268.8</v>
      </c>
      <c r="M211" s="32">
        <f>INDEX(BudgetSeasonality[365 Seasonality],MATCH(DaybyDay[[#This Row],[Date]],BudgetSeasonality[MonthAdjustment],0))*SUMIFS(Budgets[Retail-Budget],Budgets[BudgetMonth],DaybyDay[[#This Row],[RowMonth]],Budgets[BudgetYear],DaybyDay[[#This Row],[RowYear]])</f>
        <v>0</v>
      </c>
      <c r="N211" s="75">
        <v>28</v>
      </c>
      <c r="O211" s="33">
        <f>SUMIFS(DaybyDay[Service-Budgets],DaybyDay[Date],"&gt;="&amp;$C$5,DaybyDay[RowYear],"&gt;="&amp;$C$4,DaybyDay[Date],"&lt;="&amp;DaybyDay[[#This Row],[Date]])</f>
        <v>0</v>
      </c>
      <c r="P211" s="33">
        <f>SUMIFS(DaybyDay[Retail-Budgets],DaybyDay[Date],"&gt;="&amp;$C$5,DaybyDay[RowYear],"&gt;="&amp;$C$4,DaybyDay[Date],"&lt;="&amp;DaybyDay[[#This Row],[Date]])</f>
        <v>0</v>
      </c>
      <c r="Q211" s="34">
        <f>SUMIFS(DaybyDay[Service-Actuals],DaybyDay[Date],"&gt;="&amp;$C$5,DaybyDay[RowYear],"&gt;="&amp;$C$4,DaybyDay[Date],"&lt;="&amp;DaybyDay[[#This Row],[Date]])</f>
        <v>0</v>
      </c>
      <c r="R211" s="34">
        <f>SUMIFS(DaybyDay[Retail-Actuals],DaybyDay[Date],"&gt;="&amp;$C$5,DaybyDay[RowYear],"&gt;="&amp;$C$4,DaybyDay[Date],"&lt;="&amp;DaybyDay[[#This Row],[Date]])</f>
        <v>0</v>
      </c>
      <c r="S211" s="35">
        <f>SUMIFS(DaybyDay[Service-LY],DaybyDay[Date],"&gt;="&amp;$C$5,DaybyDay[RowYear],"&gt;="&amp;$C$4,DaybyDay[Date],"&lt;="&amp;DaybyDay[[#This Row],[Date]])</f>
        <v>0</v>
      </c>
      <c r="T211" s="35">
        <f>SUMIFS(DaybyDay[Retail-LY],DaybyDay[Date],"&gt;="&amp;$C$5,DaybyDay[RowYear],"&gt;="&amp;$C$4,DaybyDay[Date],"&lt;="&amp;DaybyDay[[#This Row],[Date]])</f>
        <v>0</v>
      </c>
      <c r="U211" s="32">
        <f>DaybyDay[[#This Row],[Serv-Bud-RU]]+DaybyDay[[#This Row],[Ret-Bud-RU]]</f>
        <v>0</v>
      </c>
      <c r="V211" s="32">
        <f>DaybyDay[[#This Row],[Serv-Act-RU]]+DaybyDay[[#This Row],[Ret-Act-RU]]</f>
        <v>0</v>
      </c>
      <c r="W211" s="36">
        <f>IF(DaybyDay[[#This Row],[_Space]],IFERROR(
((DaybyDay[[#This Row],[Actual-Rollup]]-DaybyDay[[#This Row],[Budget-Rollup]])/DaybyDay[[#This Row],[Budget-Rollup]]),0),"")</f>
        <v>0</v>
      </c>
      <c r="X211" t="b">
        <f>NOT(AND(ISBLANK(DaybyDay[[#This Row],[Appts]]),ISBLANK(DaybyDay[[#This Row],[Service-Actuals]]),ISBLANK(DaybyDay[[#This Row],[Retail-Actuals]])))</f>
        <v>1</v>
      </c>
      <c r="Y211" s="36">
        <f>IF(DaybyDay[[#This Row],[_Space]],IFERROR(
((DaybyDay[[#This Row],[Actual-Rollup]]-DaybyDay[[#This Row],[LY-Rollup]])/DaybyDay[[#This Row],[LY-Rollup]]),0),"")</f>
        <v>0</v>
      </c>
      <c r="Z211"/>
      <c r="AA211" s="37" t="e">
        <f>IF(DaybyDay[[#This Row],[_Space]],DaybyDay[[#This Row],[Ret-Act-RU]]/DaybyDay[[#This Row],[Serv-Act-RU]],"")</f>
        <v>#DIV/0!</v>
      </c>
      <c r="AB211" s="50" t="e">
        <f>IF(DaybyDay[[#This Row],[_Space]],DaybyDay[[#This Row],[RETPEN-Act]]/DaybyDay[[#This Row],[RETPEN-Bud]],"")</f>
        <v>#DIV/0!</v>
      </c>
      <c r="AC211" s="37" t="e">
        <f>IF(DaybyDay[[#This Row],[_Space]],DaybyDay[[#This Row],[Ret-Bud-RU]]/DaybyDay[[#This Row],[Serv-Bud-RU]],"")</f>
        <v>#DIV/0!</v>
      </c>
      <c r="AD211" s="37" t="e">
        <f>IF(DaybyDay[[#This Row],[_Space]],DaybyDay[[#This Row],[Ret-LY-RU]]/DaybyDay[[#This Row],[Serv-LY-RU]],"")</f>
        <v>#DIV/0!</v>
      </c>
      <c r="AE211" s="30">
        <f>WEEKDAY(DaybyDay[[#This Row],[LY-Date]])</f>
        <v>2</v>
      </c>
      <c r="AF211" s="38">
        <f>$E$2+_xlfn.DAYS(DaybyDay[[#This Row],[Date]],minDate)</f>
        <v>42576</v>
      </c>
      <c r="AG211" s="39" t="str" cm="1">
        <f t="array" ref="AG211">IFERROR(INDEX(DaybyDay[],DaybyDay[[#This Row],[FORM_MATCH_HELPER]],8),"")</f>
        <v/>
      </c>
      <c r="AH211" s="39" t="str" cm="1">
        <f t="array" ref="AH211">IFERROR(INDEX(DaybyDay[],DaybyDay[[#This Row],[FORM_MATCH_HELPER]],10),"")</f>
        <v/>
      </c>
      <c r="AI211" s="39" t="str" cm="1">
        <f t="array" ref="AI211">IFERROR(INDEX(DaybyDay[],DaybyDay[[#This Row],[FORM_MATCH_HELPER]],12),"")</f>
        <v/>
      </c>
      <c r="AJ211" s="32">
        <f>IFERROR(DaybyDay[[#This Row],[Serv-LY-RU]]+DaybyDay[[#This Row],[Ret-LY-RU]],"")</f>
        <v>0</v>
      </c>
      <c r="AK2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1" s="77"/>
      <c r="AM211" s="40" t="str">
        <f>IF(DaybyDay[[#This Row],[Admin Hours]]&gt;0,DaybyDay[[#This Row],[Admin Hours]]*$AM$2+$AM$3,"")</f>
        <v/>
      </c>
      <c r="AN211" s="40">
        <f>SUMIFS(DaybyDay[Est-Admin-Payroll],DaybyDay[Date],"&gt;="&amp;$C$5,DaybyDay[RowYear],"&gt;="&amp;$C$4,DaybyDay[Date],"&lt;="&amp;DaybyDay[[#This Row],[Date]])</f>
        <v>0</v>
      </c>
      <c r="AO211" s="41" t="str">
        <f>IF(AND(DaybyDay[[#This Row],[_Space]],ISNUMBER(DaybyDay[[#This Row],[Admin Hours]])),DaybyDay[[#This Row],[Est-Admin-Payroll]]/(DaybyDay[[#This Row],[Service-Actuals]]+DaybyDay[[#This Row],[Retail-Actuals]]),"")</f>
        <v/>
      </c>
      <c r="AP211" s="41" t="e">
        <f>DaybyDay[[#This Row],[Estimated-Payroll-Rollup]]/DaybyDay[[#This Row],[Simple-Forecast]]</f>
        <v>#DIV/0!</v>
      </c>
      <c r="AQ2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1" s="77"/>
      <c r="AS211" s="40" t="str">
        <f>IF(DaybyDay[[#This Row],[Retail Hours]]&gt;0,DaybyDay[[#This Row],[Retail Hours]]*$AS$2,"")</f>
        <v/>
      </c>
      <c r="AT211" s="40">
        <f>SUMIFS(DaybyDay[Est-Retail-Payroll],DaybyDay[Date],"&gt;="&amp;$C$5,DaybyDay[RowYear],"&gt;="&amp;$C$4,DaybyDay[Date],"&lt;="&amp;DaybyDay[[#This Row],[Date]])</f>
        <v>0</v>
      </c>
      <c r="AU211" s="82" t="str">
        <f>IF(AND(DaybyDay[[#This Row],[_Space]],ISNUMBER(DaybyDay[[#This Row],[Retail Hours]])),DaybyDay[[#This Row],[Est-Retail-Payroll]]/(DaybyDay[[#This Row],[Retail-Actuals]]),"")</f>
        <v/>
      </c>
      <c r="AV211" s="82" t="e">
        <f>DaybyDay[[#This Row],[Est-Retail-PayrollRU]]/DaybyDay[[#This Row],[Simple-Forecast-Retail]]</f>
        <v>#DIV/0!</v>
      </c>
      <c r="AW211" s="8"/>
    </row>
    <row r="212" spans="3:49" hidden="1" x14ac:dyDescent="0.25">
      <c r="C212" s="26" t="str">
        <f>Tools!$C$1</f>
        <v>Example</v>
      </c>
      <c r="D212" s="27" t="s">
        <v>74</v>
      </c>
      <c r="E212" s="28">
        <v>2017</v>
      </c>
      <c r="F212" s="28">
        <f>MATCH(DaybyDay[[#This Row],[RowMonth]],Table3[SummaryMonth],0)</f>
        <v>7</v>
      </c>
      <c r="G212" s="29" t="e">
        <f>MATCH(DaybyDay[[#This Row],[LY-Date]],DaybyDay[Date],0)</f>
        <v>#N/A</v>
      </c>
      <c r="H212" s="30">
        <f>WEEKDAY(DaybyDay[[#This Row],[Date]])</f>
        <v>3</v>
      </c>
      <c r="I212" s="31">
        <v>42941</v>
      </c>
      <c r="J212" s="74">
        <v>20</v>
      </c>
      <c r="K212" s="32">
        <f>SUMIFS(BudgetSeasonality[365 Seasonality],BudgetSeasonality[MonthAdjustment],DaybyDay[[#This Row],[Date]])*SUMIFS(Budgets[Service-Budget],Budgets[BudgetMonth],DaybyDay[[#This Row],[RowMonth]],Budgets[BudgetYear],DaybyDay[[#This Row],[RowYear]])</f>
        <v>0</v>
      </c>
      <c r="L212" s="75">
        <v>4577.7</v>
      </c>
      <c r="M212" s="32">
        <f>INDEX(BudgetSeasonality[365 Seasonality],MATCH(DaybyDay[[#This Row],[Date]],BudgetSeasonality[MonthAdjustment],0))*SUMIFS(Budgets[Retail-Budget],Budgets[BudgetMonth],DaybyDay[[#This Row],[RowMonth]],Budgets[BudgetYear],DaybyDay[[#This Row],[RowYear]])</f>
        <v>0</v>
      </c>
      <c r="N212" s="75">
        <v>290</v>
      </c>
      <c r="O212" s="33">
        <f>SUMIFS(DaybyDay[Service-Budgets],DaybyDay[Date],"&gt;="&amp;$C$5,DaybyDay[RowYear],"&gt;="&amp;$C$4,DaybyDay[Date],"&lt;="&amp;DaybyDay[[#This Row],[Date]])</f>
        <v>0</v>
      </c>
      <c r="P212" s="33">
        <f>SUMIFS(DaybyDay[Retail-Budgets],DaybyDay[Date],"&gt;="&amp;$C$5,DaybyDay[RowYear],"&gt;="&amp;$C$4,DaybyDay[Date],"&lt;="&amp;DaybyDay[[#This Row],[Date]])</f>
        <v>0</v>
      </c>
      <c r="Q212" s="34">
        <f>SUMIFS(DaybyDay[Service-Actuals],DaybyDay[Date],"&gt;="&amp;$C$5,DaybyDay[RowYear],"&gt;="&amp;$C$4,DaybyDay[Date],"&lt;="&amp;DaybyDay[[#This Row],[Date]])</f>
        <v>0</v>
      </c>
      <c r="R212" s="34">
        <f>SUMIFS(DaybyDay[Retail-Actuals],DaybyDay[Date],"&gt;="&amp;$C$5,DaybyDay[RowYear],"&gt;="&amp;$C$4,DaybyDay[Date],"&lt;="&amp;DaybyDay[[#This Row],[Date]])</f>
        <v>0</v>
      </c>
      <c r="S212" s="35">
        <f>SUMIFS(DaybyDay[Service-LY],DaybyDay[Date],"&gt;="&amp;$C$5,DaybyDay[RowYear],"&gt;="&amp;$C$4,DaybyDay[Date],"&lt;="&amp;DaybyDay[[#This Row],[Date]])</f>
        <v>0</v>
      </c>
      <c r="T212" s="35">
        <f>SUMIFS(DaybyDay[Retail-LY],DaybyDay[Date],"&gt;="&amp;$C$5,DaybyDay[RowYear],"&gt;="&amp;$C$4,DaybyDay[Date],"&lt;="&amp;DaybyDay[[#This Row],[Date]])</f>
        <v>0</v>
      </c>
      <c r="U212" s="32">
        <f>DaybyDay[[#This Row],[Serv-Bud-RU]]+DaybyDay[[#This Row],[Ret-Bud-RU]]</f>
        <v>0</v>
      </c>
      <c r="V212" s="32">
        <f>DaybyDay[[#This Row],[Serv-Act-RU]]+DaybyDay[[#This Row],[Ret-Act-RU]]</f>
        <v>0</v>
      </c>
      <c r="W212" s="36">
        <f>IF(DaybyDay[[#This Row],[_Space]],IFERROR(
((DaybyDay[[#This Row],[Actual-Rollup]]-DaybyDay[[#This Row],[Budget-Rollup]])/DaybyDay[[#This Row],[Budget-Rollup]]),0),"")</f>
        <v>0</v>
      </c>
      <c r="X212" t="b">
        <f>NOT(AND(ISBLANK(DaybyDay[[#This Row],[Appts]]),ISBLANK(DaybyDay[[#This Row],[Service-Actuals]]),ISBLANK(DaybyDay[[#This Row],[Retail-Actuals]])))</f>
        <v>1</v>
      </c>
      <c r="Y212" s="36">
        <f>IF(DaybyDay[[#This Row],[_Space]],IFERROR(
((DaybyDay[[#This Row],[Actual-Rollup]]-DaybyDay[[#This Row],[LY-Rollup]])/DaybyDay[[#This Row],[LY-Rollup]]),0),"")</f>
        <v>0</v>
      </c>
      <c r="Z212"/>
      <c r="AA212" s="37" t="e">
        <f>IF(DaybyDay[[#This Row],[_Space]],DaybyDay[[#This Row],[Ret-Act-RU]]/DaybyDay[[#This Row],[Serv-Act-RU]],"")</f>
        <v>#DIV/0!</v>
      </c>
      <c r="AB212" s="50" t="e">
        <f>IF(DaybyDay[[#This Row],[_Space]],DaybyDay[[#This Row],[RETPEN-Act]]/DaybyDay[[#This Row],[RETPEN-Bud]],"")</f>
        <v>#DIV/0!</v>
      </c>
      <c r="AC212" s="37" t="e">
        <f>IF(DaybyDay[[#This Row],[_Space]],DaybyDay[[#This Row],[Ret-Bud-RU]]/DaybyDay[[#This Row],[Serv-Bud-RU]],"")</f>
        <v>#DIV/0!</v>
      </c>
      <c r="AD212" s="37" t="e">
        <f>IF(DaybyDay[[#This Row],[_Space]],DaybyDay[[#This Row],[Ret-LY-RU]]/DaybyDay[[#This Row],[Serv-LY-RU]],"")</f>
        <v>#DIV/0!</v>
      </c>
      <c r="AE212" s="30">
        <f>WEEKDAY(DaybyDay[[#This Row],[LY-Date]])</f>
        <v>3</v>
      </c>
      <c r="AF212" s="38">
        <f>$E$2+_xlfn.DAYS(DaybyDay[[#This Row],[Date]],minDate)</f>
        <v>42577</v>
      </c>
      <c r="AG212" s="39" t="str" cm="1">
        <f t="array" ref="AG212">IFERROR(INDEX(DaybyDay[],DaybyDay[[#This Row],[FORM_MATCH_HELPER]],8),"")</f>
        <v/>
      </c>
      <c r="AH212" s="39" t="str" cm="1">
        <f t="array" ref="AH212">IFERROR(INDEX(DaybyDay[],DaybyDay[[#This Row],[FORM_MATCH_HELPER]],10),"")</f>
        <v/>
      </c>
      <c r="AI212" s="39" t="str" cm="1">
        <f t="array" ref="AI212">IFERROR(INDEX(DaybyDay[],DaybyDay[[#This Row],[FORM_MATCH_HELPER]],12),"")</f>
        <v/>
      </c>
      <c r="AJ212" s="32">
        <f>IFERROR(DaybyDay[[#This Row],[Serv-LY-RU]]+DaybyDay[[#This Row],[Ret-LY-RU]],"")</f>
        <v>0</v>
      </c>
      <c r="AK2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2" s="77"/>
      <c r="AM212" s="40" t="str">
        <f>IF(DaybyDay[[#This Row],[Admin Hours]]&gt;0,DaybyDay[[#This Row],[Admin Hours]]*$AM$2+$AM$3,"")</f>
        <v/>
      </c>
      <c r="AN212" s="40">
        <f>SUMIFS(DaybyDay[Est-Admin-Payroll],DaybyDay[Date],"&gt;="&amp;$C$5,DaybyDay[RowYear],"&gt;="&amp;$C$4,DaybyDay[Date],"&lt;="&amp;DaybyDay[[#This Row],[Date]])</f>
        <v>0</v>
      </c>
      <c r="AO212" s="41" t="str">
        <f>IF(AND(DaybyDay[[#This Row],[_Space]],ISNUMBER(DaybyDay[[#This Row],[Admin Hours]])),DaybyDay[[#This Row],[Est-Admin-Payroll]]/(DaybyDay[[#This Row],[Service-Actuals]]+DaybyDay[[#This Row],[Retail-Actuals]]),"")</f>
        <v/>
      </c>
      <c r="AP212" s="41" t="e">
        <f>DaybyDay[[#This Row],[Estimated-Payroll-Rollup]]/DaybyDay[[#This Row],[Simple-Forecast]]</f>
        <v>#DIV/0!</v>
      </c>
      <c r="AQ2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2" s="77"/>
      <c r="AS212" s="40" t="str">
        <f>IF(DaybyDay[[#This Row],[Retail Hours]]&gt;0,DaybyDay[[#This Row],[Retail Hours]]*$AS$2,"")</f>
        <v/>
      </c>
      <c r="AT212" s="40">
        <f>SUMIFS(DaybyDay[Est-Retail-Payroll],DaybyDay[Date],"&gt;="&amp;$C$5,DaybyDay[RowYear],"&gt;="&amp;$C$4,DaybyDay[Date],"&lt;="&amp;DaybyDay[[#This Row],[Date]])</f>
        <v>0</v>
      </c>
      <c r="AU212" s="82" t="str">
        <f>IF(AND(DaybyDay[[#This Row],[_Space]],ISNUMBER(DaybyDay[[#This Row],[Retail Hours]])),DaybyDay[[#This Row],[Est-Retail-Payroll]]/(DaybyDay[[#This Row],[Retail-Actuals]]),"")</f>
        <v/>
      </c>
      <c r="AV212" s="82" t="e">
        <f>DaybyDay[[#This Row],[Est-Retail-PayrollRU]]/DaybyDay[[#This Row],[Simple-Forecast-Retail]]</f>
        <v>#DIV/0!</v>
      </c>
      <c r="AW212" s="8"/>
    </row>
    <row r="213" spans="3:49" hidden="1" x14ac:dyDescent="0.25">
      <c r="C213" s="26" t="str">
        <f>Tools!$C$1</f>
        <v>Example</v>
      </c>
      <c r="D213" s="27" t="s">
        <v>74</v>
      </c>
      <c r="E213" s="28">
        <v>2017</v>
      </c>
      <c r="F213" s="28">
        <f>MATCH(DaybyDay[[#This Row],[RowMonth]],Table3[SummaryMonth],0)</f>
        <v>7</v>
      </c>
      <c r="G213" s="29" t="e">
        <f>MATCH(DaybyDay[[#This Row],[LY-Date]],DaybyDay[Date],0)</f>
        <v>#N/A</v>
      </c>
      <c r="H213" s="30">
        <f>WEEKDAY(DaybyDay[[#This Row],[Date]])</f>
        <v>4</v>
      </c>
      <c r="I213" s="31">
        <v>42942</v>
      </c>
      <c r="J213" s="74">
        <v>8</v>
      </c>
      <c r="K213" s="32">
        <f>SUMIFS(BudgetSeasonality[365 Seasonality],BudgetSeasonality[MonthAdjustment],DaybyDay[[#This Row],[Date]])*SUMIFS(Budgets[Service-Budget],Budgets[BudgetMonth],DaybyDay[[#This Row],[RowMonth]],Budgets[BudgetYear],DaybyDay[[#This Row],[RowYear]])</f>
        <v>0</v>
      </c>
      <c r="L213" s="75">
        <v>1270.4000000000001</v>
      </c>
      <c r="M213" s="32">
        <f>INDEX(BudgetSeasonality[365 Seasonality],MATCH(DaybyDay[[#This Row],[Date]],BudgetSeasonality[MonthAdjustment],0))*SUMIFS(Budgets[Retail-Budget],Budgets[BudgetMonth],DaybyDay[[#This Row],[RowMonth]],Budgets[BudgetYear],DaybyDay[[#This Row],[RowYear]])</f>
        <v>0</v>
      </c>
      <c r="N213" s="75">
        <v>201.5</v>
      </c>
      <c r="O213" s="33">
        <f>SUMIFS(DaybyDay[Service-Budgets],DaybyDay[Date],"&gt;="&amp;$C$5,DaybyDay[RowYear],"&gt;="&amp;$C$4,DaybyDay[Date],"&lt;="&amp;DaybyDay[[#This Row],[Date]])</f>
        <v>0</v>
      </c>
      <c r="P213" s="33">
        <f>SUMIFS(DaybyDay[Retail-Budgets],DaybyDay[Date],"&gt;="&amp;$C$5,DaybyDay[RowYear],"&gt;="&amp;$C$4,DaybyDay[Date],"&lt;="&amp;DaybyDay[[#This Row],[Date]])</f>
        <v>0</v>
      </c>
      <c r="Q213" s="34">
        <f>SUMIFS(DaybyDay[Service-Actuals],DaybyDay[Date],"&gt;="&amp;$C$5,DaybyDay[RowYear],"&gt;="&amp;$C$4,DaybyDay[Date],"&lt;="&amp;DaybyDay[[#This Row],[Date]])</f>
        <v>0</v>
      </c>
      <c r="R213" s="34">
        <f>SUMIFS(DaybyDay[Retail-Actuals],DaybyDay[Date],"&gt;="&amp;$C$5,DaybyDay[RowYear],"&gt;="&amp;$C$4,DaybyDay[Date],"&lt;="&amp;DaybyDay[[#This Row],[Date]])</f>
        <v>0</v>
      </c>
      <c r="S213" s="35">
        <f>SUMIFS(DaybyDay[Service-LY],DaybyDay[Date],"&gt;="&amp;$C$5,DaybyDay[RowYear],"&gt;="&amp;$C$4,DaybyDay[Date],"&lt;="&amp;DaybyDay[[#This Row],[Date]])</f>
        <v>0</v>
      </c>
      <c r="T213" s="35">
        <f>SUMIFS(DaybyDay[Retail-LY],DaybyDay[Date],"&gt;="&amp;$C$5,DaybyDay[RowYear],"&gt;="&amp;$C$4,DaybyDay[Date],"&lt;="&amp;DaybyDay[[#This Row],[Date]])</f>
        <v>0</v>
      </c>
      <c r="U213" s="32">
        <f>DaybyDay[[#This Row],[Serv-Bud-RU]]+DaybyDay[[#This Row],[Ret-Bud-RU]]</f>
        <v>0</v>
      </c>
      <c r="V213" s="32">
        <f>DaybyDay[[#This Row],[Serv-Act-RU]]+DaybyDay[[#This Row],[Ret-Act-RU]]</f>
        <v>0</v>
      </c>
      <c r="W213" s="36">
        <f>IF(DaybyDay[[#This Row],[_Space]],IFERROR(
((DaybyDay[[#This Row],[Actual-Rollup]]-DaybyDay[[#This Row],[Budget-Rollup]])/DaybyDay[[#This Row],[Budget-Rollup]]),0),"")</f>
        <v>0</v>
      </c>
      <c r="X213" t="b">
        <f>NOT(AND(ISBLANK(DaybyDay[[#This Row],[Appts]]),ISBLANK(DaybyDay[[#This Row],[Service-Actuals]]),ISBLANK(DaybyDay[[#This Row],[Retail-Actuals]])))</f>
        <v>1</v>
      </c>
      <c r="Y213" s="36">
        <f>IF(DaybyDay[[#This Row],[_Space]],IFERROR(
((DaybyDay[[#This Row],[Actual-Rollup]]-DaybyDay[[#This Row],[LY-Rollup]])/DaybyDay[[#This Row],[LY-Rollup]]),0),"")</f>
        <v>0</v>
      </c>
      <c r="Z213"/>
      <c r="AA213" s="37" t="e">
        <f>IF(DaybyDay[[#This Row],[_Space]],DaybyDay[[#This Row],[Ret-Act-RU]]/DaybyDay[[#This Row],[Serv-Act-RU]],"")</f>
        <v>#DIV/0!</v>
      </c>
      <c r="AB213" s="50" t="e">
        <f>IF(DaybyDay[[#This Row],[_Space]],DaybyDay[[#This Row],[RETPEN-Act]]/DaybyDay[[#This Row],[RETPEN-Bud]],"")</f>
        <v>#DIV/0!</v>
      </c>
      <c r="AC213" s="37" t="e">
        <f>IF(DaybyDay[[#This Row],[_Space]],DaybyDay[[#This Row],[Ret-Bud-RU]]/DaybyDay[[#This Row],[Serv-Bud-RU]],"")</f>
        <v>#DIV/0!</v>
      </c>
      <c r="AD213" s="37" t="e">
        <f>IF(DaybyDay[[#This Row],[_Space]],DaybyDay[[#This Row],[Ret-LY-RU]]/DaybyDay[[#This Row],[Serv-LY-RU]],"")</f>
        <v>#DIV/0!</v>
      </c>
      <c r="AE213" s="30">
        <f>WEEKDAY(DaybyDay[[#This Row],[LY-Date]])</f>
        <v>4</v>
      </c>
      <c r="AF213" s="38">
        <f>$E$2+_xlfn.DAYS(DaybyDay[[#This Row],[Date]],minDate)</f>
        <v>42578</v>
      </c>
      <c r="AG213" s="39" t="str" cm="1">
        <f t="array" ref="AG213">IFERROR(INDEX(DaybyDay[],DaybyDay[[#This Row],[FORM_MATCH_HELPER]],8),"")</f>
        <v/>
      </c>
      <c r="AH213" s="39" t="str" cm="1">
        <f t="array" ref="AH213">IFERROR(INDEX(DaybyDay[],DaybyDay[[#This Row],[FORM_MATCH_HELPER]],10),"")</f>
        <v/>
      </c>
      <c r="AI213" s="39" t="str" cm="1">
        <f t="array" ref="AI213">IFERROR(INDEX(DaybyDay[],DaybyDay[[#This Row],[FORM_MATCH_HELPER]],12),"")</f>
        <v/>
      </c>
      <c r="AJ213" s="32">
        <f>IFERROR(DaybyDay[[#This Row],[Serv-LY-RU]]+DaybyDay[[#This Row],[Ret-LY-RU]],"")</f>
        <v>0</v>
      </c>
      <c r="AK2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3" s="77"/>
      <c r="AM213" s="40" t="str">
        <f>IF(DaybyDay[[#This Row],[Admin Hours]]&gt;0,DaybyDay[[#This Row],[Admin Hours]]*$AM$2+$AM$3,"")</f>
        <v/>
      </c>
      <c r="AN213" s="40">
        <f>SUMIFS(DaybyDay[Est-Admin-Payroll],DaybyDay[Date],"&gt;="&amp;$C$5,DaybyDay[RowYear],"&gt;="&amp;$C$4,DaybyDay[Date],"&lt;="&amp;DaybyDay[[#This Row],[Date]])</f>
        <v>0</v>
      </c>
      <c r="AO213" s="41" t="str">
        <f>IF(AND(DaybyDay[[#This Row],[_Space]],ISNUMBER(DaybyDay[[#This Row],[Admin Hours]])),DaybyDay[[#This Row],[Est-Admin-Payroll]]/(DaybyDay[[#This Row],[Service-Actuals]]+DaybyDay[[#This Row],[Retail-Actuals]]),"")</f>
        <v/>
      </c>
      <c r="AP213" s="41" t="e">
        <f>DaybyDay[[#This Row],[Estimated-Payroll-Rollup]]/DaybyDay[[#This Row],[Simple-Forecast]]</f>
        <v>#DIV/0!</v>
      </c>
      <c r="AQ2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3" s="77"/>
      <c r="AS213" s="40" t="str">
        <f>IF(DaybyDay[[#This Row],[Retail Hours]]&gt;0,DaybyDay[[#This Row],[Retail Hours]]*$AS$2,"")</f>
        <v/>
      </c>
      <c r="AT213" s="40">
        <f>SUMIFS(DaybyDay[Est-Retail-Payroll],DaybyDay[Date],"&gt;="&amp;$C$5,DaybyDay[RowYear],"&gt;="&amp;$C$4,DaybyDay[Date],"&lt;="&amp;DaybyDay[[#This Row],[Date]])</f>
        <v>0</v>
      </c>
      <c r="AU213" s="82" t="str">
        <f>IF(AND(DaybyDay[[#This Row],[_Space]],ISNUMBER(DaybyDay[[#This Row],[Retail Hours]])),DaybyDay[[#This Row],[Est-Retail-Payroll]]/(DaybyDay[[#This Row],[Retail-Actuals]]),"")</f>
        <v/>
      </c>
      <c r="AV213" s="82" t="e">
        <f>DaybyDay[[#This Row],[Est-Retail-PayrollRU]]/DaybyDay[[#This Row],[Simple-Forecast-Retail]]</f>
        <v>#DIV/0!</v>
      </c>
      <c r="AW213" s="8"/>
    </row>
    <row r="214" spans="3:49" hidden="1" x14ac:dyDescent="0.25">
      <c r="C214" s="26" t="str">
        <f>Tools!$C$1</f>
        <v>Example</v>
      </c>
      <c r="D214" s="27" t="s">
        <v>74</v>
      </c>
      <c r="E214" s="28">
        <v>2017</v>
      </c>
      <c r="F214" s="28">
        <f>MATCH(DaybyDay[[#This Row],[RowMonth]],Table3[SummaryMonth],0)</f>
        <v>7</v>
      </c>
      <c r="G214" s="29" t="e">
        <f>MATCH(DaybyDay[[#This Row],[LY-Date]],DaybyDay[Date],0)</f>
        <v>#N/A</v>
      </c>
      <c r="H214" s="30">
        <f>WEEKDAY(DaybyDay[[#This Row],[Date]])</f>
        <v>5</v>
      </c>
      <c r="I214" s="31">
        <v>42943</v>
      </c>
      <c r="J214" s="74">
        <v>18</v>
      </c>
      <c r="K214" s="32">
        <f>SUMIFS(BudgetSeasonality[365 Seasonality],BudgetSeasonality[MonthAdjustment],DaybyDay[[#This Row],[Date]])*SUMIFS(Budgets[Service-Budget],Budgets[BudgetMonth],DaybyDay[[#This Row],[RowMonth]],Budgets[BudgetYear],DaybyDay[[#This Row],[RowYear]])</f>
        <v>0</v>
      </c>
      <c r="L214" s="75">
        <v>2831.06</v>
      </c>
      <c r="M214" s="32">
        <f>INDEX(BudgetSeasonality[365 Seasonality],MATCH(DaybyDay[[#This Row],[Date]],BudgetSeasonality[MonthAdjustment],0))*SUMIFS(Budgets[Retail-Budget],Budgets[BudgetMonth],DaybyDay[[#This Row],[RowMonth]],Budgets[BudgetYear],DaybyDay[[#This Row],[RowYear]])</f>
        <v>0</v>
      </c>
      <c r="N214" s="75">
        <v>488</v>
      </c>
      <c r="O214" s="33">
        <f>SUMIFS(DaybyDay[Service-Budgets],DaybyDay[Date],"&gt;="&amp;$C$5,DaybyDay[RowYear],"&gt;="&amp;$C$4,DaybyDay[Date],"&lt;="&amp;DaybyDay[[#This Row],[Date]])</f>
        <v>0</v>
      </c>
      <c r="P214" s="33">
        <f>SUMIFS(DaybyDay[Retail-Budgets],DaybyDay[Date],"&gt;="&amp;$C$5,DaybyDay[RowYear],"&gt;="&amp;$C$4,DaybyDay[Date],"&lt;="&amp;DaybyDay[[#This Row],[Date]])</f>
        <v>0</v>
      </c>
      <c r="Q214" s="34">
        <f>SUMIFS(DaybyDay[Service-Actuals],DaybyDay[Date],"&gt;="&amp;$C$5,DaybyDay[RowYear],"&gt;="&amp;$C$4,DaybyDay[Date],"&lt;="&amp;DaybyDay[[#This Row],[Date]])</f>
        <v>0</v>
      </c>
      <c r="R214" s="34">
        <f>SUMIFS(DaybyDay[Retail-Actuals],DaybyDay[Date],"&gt;="&amp;$C$5,DaybyDay[RowYear],"&gt;="&amp;$C$4,DaybyDay[Date],"&lt;="&amp;DaybyDay[[#This Row],[Date]])</f>
        <v>0</v>
      </c>
      <c r="S214" s="35">
        <f>SUMIFS(DaybyDay[Service-LY],DaybyDay[Date],"&gt;="&amp;$C$5,DaybyDay[RowYear],"&gt;="&amp;$C$4,DaybyDay[Date],"&lt;="&amp;DaybyDay[[#This Row],[Date]])</f>
        <v>0</v>
      </c>
      <c r="T214" s="35">
        <f>SUMIFS(DaybyDay[Retail-LY],DaybyDay[Date],"&gt;="&amp;$C$5,DaybyDay[RowYear],"&gt;="&amp;$C$4,DaybyDay[Date],"&lt;="&amp;DaybyDay[[#This Row],[Date]])</f>
        <v>0</v>
      </c>
      <c r="U214" s="32">
        <f>DaybyDay[[#This Row],[Serv-Bud-RU]]+DaybyDay[[#This Row],[Ret-Bud-RU]]</f>
        <v>0</v>
      </c>
      <c r="V214" s="32">
        <f>DaybyDay[[#This Row],[Serv-Act-RU]]+DaybyDay[[#This Row],[Ret-Act-RU]]</f>
        <v>0</v>
      </c>
      <c r="W214" s="36">
        <f>IF(DaybyDay[[#This Row],[_Space]],IFERROR(
((DaybyDay[[#This Row],[Actual-Rollup]]-DaybyDay[[#This Row],[Budget-Rollup]])/DaybyDay[[#This Row],[Budget-Rollup]]),0),"")</f>
        <v>0</v>
      </c>
      <c r="X214" t="b">
        <f>NOT(AND(ISBLANK(DaybyDay[[#This Row],[Appts]]),ISBLANK(DaybyDay[[#This Row],[Service-Actuals]]),ISBLANK(DaybyDay[[#This Row],[Retail-Actuals]])))</f>
        <v>1</v>
      </c>
      <c r="Y214" s="36">
        <f>IF(DaybyDay[[#This Row],[_Space]],IFERROR(
((DaybyDay[[#This Row],[Actual-Rollup]]-DaybyDay[[#This Row],[LY-Rollup]])/DaybyDay[[#This Row],[LY-Rollup]]),0),"")</f>
        <v>0</v>
      </c>
      <c r="Z214"/>
      <c r="AA214" s="37" t="e">
        <f>IF(DaybyDay[[#This Row],[_Space]],DaybyDay[[#This Row],[Ret-Act-RU]]/DaybyDay[[#This Row],[Serv-Act-RU]],"")</f>
        <v>#DIV/0!</v>
      </c>
      <c r="AB214" s="50" t="e">
        <f>IF(DaybyDay[[#This Row],[_Space]],DaybyDay[[#This Row],[RETPEN-Act]]/DaybyDay[[#This Row],[RETPEN-Bud]],"")</f>
        <v>#DIV/0!</v>
      </c>
      <c r="AC214" s="37" t="e">
        <f>IF(DaybyDay[[#This Row],[_Space]],DaybyDay[[#This Row],[Ret-Bud-RU]]/DaybyDay[[#This Row],[Serv-Bud-RU]],"")</f>
        <v>#DIV/0!</v>
      </c>
      <c r="AD214" s="37" t="e">
        <f>IF(DaybyDay[[#This Row],[_Space]],DaybyDay[[#This Row],[Ret-LY-RU]]/DaybyDay[[#This Row],[Serv-LY-RU]],"")</f>
        <v>#DIV/0!</v>
      </c>
      <c r="AE214" s="30">
        <f>WEEKDAY(DaybyDay[[#This Row],[LY-Date]])</f>
        <v>5</v>
      </c>
      <c r="AF214" s="38">
        <f>$E$2+_xlfn.DAYS(DaybyDay[[#This Row],[Date]],minDate)</f>
        <v>42579</v>
      </c>
      <c r="AG214" s="39" t="str" cm="1">
        <f t="array" ref="AG214">IFERROR(INDEX(DaybyDay[],DaybyDay[[#This Row],[FORM_MATCH_HELPER]],8),"")</f>
        <v/>
      </c>
      <c r="AH214" s="39" t="str" cm="1">
        <f t="array" ref="AH214">IFERROR(INDEX(DaybyDay[],DaybyDay[[#This Row],[FORM_MATCH_HELPER]],10),"")</f>
        <v/>
      </c>
      <c r="AI214" s="39" t="str" cm="1">
        <f t="array" ref="AI214">IFERROR(INDEX(DaybyDay[],DaybyDay[[#This Row],[FORM_MATCH_HELPER]],12),"")</f>
        <v/>
      </c>
      <c r="AJ214" s="32">
        <f>IFERROR(DaybyDay[[#This Row],[Serv-LY-RU]]+DaybyDay[[#This Row],[Ret-LY-RU]],"")</f>
        <v>0</v>
      </c>
      <c r="AK2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4" s="77"/>
      <c r="AM214" s="40" t="str">
        <f>IF(DaybyDay[[#This Row],[Admin Hours]]&gt;0,DaybyDay[[#This Row],[Admin Hours]]*$AM$2+$AM$3,"")</f>
        <v/>
      </c>
      <c r="AN214" s="40">
        <f>SUMIFS(DaybyDay[Est-Admin-Payroll],DaybyDay[Date],"&gt;="&amp;$C$5,DaybyDay[RowYear],"&gt;="&amp;$C$4,DaybyDay[Date],"&lt;="&amp;DaybyDay[[#This Row],[Date]])</f>
        <v>0</v>
      </c>
      <c r="AO214" s="41" t="str">
        <f>IF(AND(DaybyDay[[#This Row],[_Space]],ISNUMBER(DaybyDay[[#This Row],[Admin Hours]])),DaybyDay[[#This Row],[Est-Admin-Payroll]]/(DaybyDay[[#This Row],[Service-Actuals]]+DaybyDay[[#This Row],[Retail-Actuals]]),"")</f>
        <v/>
      </c>
      <c r="AP214" s="41" t="e">
        <f>DaybyDay[[#This Row],[Estimated-Payroll-Rollup]]/DaybyDay[[#This Row],[Simple-Forecast]]</f>
        <v>#DIV/0!</v>
      </c>
      <c r="AQ2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4" s="77"/>
      <c r="AS214" s="40" t="str">
        <f>IF(DaybyDay[[#This Row],[Retail Hours]]&gt;0,DaybyDay[[#This Row],[Retail Hours]]*$AS$2,"")</f>
        <v/>
      </c>
      <c r="AT214" s="40">
        <f>SUMIFS(DaybyDay[Est-Retail-Payroll],DaybyDay[Date],"&gt;="&amp;$C$5,DaybyDay[RowYear],"&gt;="&amp;$C$4,DaybyDay[Date],"&lt;="&amp;DaybyDay[[#This Row],[Date]])</f>
        <v>0</v>
      </c>
      <c r="AU214" s="82" t="str">
        <f>IF(AND(DaybyDay[[#This Row],[_Space]],ISNUMBER(DaybyDay[[#This Row],[Retail Hours]])),DaybyDay[[#This Row],[Est-Retail-Payroll]]/(DaybyDay[[#This Row],[Retail-Actuals]]),"")</f>
        <v/>
      </c>
      <c r="AV214" s="82" t="e">
        <f>DaybyDay[[#This Row],[Est-Retail-PayrollRU]]/DaybyDay[[#This Row],[Simple-Forecast-Retail]]</f>
        <v>#DIV/0!</v>
      </c>
      <c r="AW214" s="8"/>
    </row>
    <row r="215" spans="3:49" hidden="1" x14ac:dyDescent="0.25">
      <c r="C215" s="26" t="str">
        <f>Tools!$C$1</f>
        <v>Example</v>
      </c>
      <c r="D215" s="27" t="s">
        <v>74</v>
      </c>
      <c r="E215" s="28">
        <v>2017</v>
      </c>
      <c r="F215" s="28">
        <f>MATCH(DaybyDay[[#This Row],[RowMonth]],Table3[SummaryMonth],0)</f>
        <v>7</v>
      </c>
      <c r="G215" s="29" t="e">
        <f>MATCH(DaybyDay[[#This Row],[LY-Date]],DaybyDay[Date],0)</f>
        <v>#N/A</v>
      </c>
      <c r="H215" s="30">
        <f>WEEKDAY(DaybyDay[[#This Row],[Date]])</f>
        <v>6</v>
      </c>
      <c r="I215" s="31">
        <v>42944</v>
      </c>
      <c r="J215" s="74">
        <v>23</v>
      </c>
      <c r="K215" s="32">
        <f>SUMIFS(BudgetSeasonality[365 Seasonality],BudgetSeasonality[MonthAdjustment],DaybyDay[[#This Row],[Date]])*SUMIFS(Budgets[Service-Budget],Budgets[BudgetMonth],DaybyDay[[#This Row],[RowMonth]],Budgets[BudgetYear],DaybyDay[[#This Row],[RowYear]])</f>
        <v>0</v>
      </c>
      <c r="L215" s="75">
        <v>4259.34</v>
      </c>
      <c r="M215" s="32">
        <f>INDEX(BudgetSeasonality[365 Seasonality],MATCH(DaybyDay[[#This Row],[Date]],BudgetSeasonality[MonthAdjustment],0))*SUMIFS(Budgets[Retail-Budget],Budgets[BudgetMonth],DaybyDay[[#This Row],[RowMonth]],Budgets[BudgetYear],DaybyDay[[#This Row],[RowYear]])</f>
        <v>0</v>
      </c>
      <c r="N215" s="75">
        <v>541</v>
      </c>
      <c r="O215" s="33">
        <f>SUMIFS(DaybyDay[Service-Budgets],DaybyDay[Date],"&gt;="&amp;$C$5,DaybyDay[RowYear],"&gt;="&amp;$C$4,DaybyDay[Date],"&lt;="&amp;DaybyDay[[#This Row],[Date]])</f>
        <v>0</v>
      </c>
      <c r="P215" s="33">
        <f>SUMIFS(DaybyDay[Retail-Budgets],DaybyDay[Date],"&gt;="&amp;$C$5,DaybyDay[RowYear],"&gt;="&amp;$C$4,DaybyDay[Date],"&lt;="&amp;DaybyDay[[#This Row],[Date]])</f>
        <v>0</v>
      </c>
      <c r="Q215" s="34">
        <f>SUMIFS(DaybyDay[Service-Actuals],DaybyDay[Date],"&gt;="&amp;$C$5,DaybyDay[RowYear],"&gt;="&amp;$C$4,DaybyDay[Date],"&lt;="&amp;DaybyDay[[#This Row],[Date]])</f>
        <v>0</v>
      </c>
      <c r="R215" s="34">
        <f>SUMIFS(DaybyDay[Retail-Actuals],DaybyDay[Date],"&gt;="&amp;$C$5,DaybyDay[RowYear],"&gt;="&amp;$C$4,DaybyDay[Date],"&lt;="&amp;DaybyDay[[#This Row],[Date]])</f>
        <v>0</v>
      </c>
      <c r="S215" s="35">
        <f>SUMIFS(DaybyDay[Service-LY],DaybyDay[Date],"&gt;="&amp;$C$5,DaybyDay[RowYear],"&gt;="&amp;$C$4,DaybyDay[Date],"&lt;="&amp;DaybyDay[[#This Row],[Date]])</f>
        <v>0</v>
      </c>
      <c r="T215" s="35">
        <f>SUMIFS(DaybyDay[Retail-LY],DaybyDay[Date],"&gt;="&amp;$C$5,DaybyDay[RowYear],"&gt;="&amp;$C$4,DaybyDay[Date],"&lt;="&amp;DaybyDay[[#This Row],[Date]])</f>
        <v>0</v>
      </c>
      <c r="U215" s="32">
        <f>DaybyDay[[#This Row],[Serv-Bud-RU]]+DaybyDay[[#This Row],[Ret-Bud-RU]]</f>
        <v>0</v>
      </c>
      <c r="V215" s="32">
        <f>DaybyDay[[#This Row],[Serv-Act-RU]]+DaybyDay[[#This Row],[Ret-Act-RU]]</f>
        <v>0</v>
      </c>
      <c r="W215" s="36">
        <f>IF(DaybyDay[[#This Row],[_Space]],IFERROR(
((DaybyDay[[#This Row],[Actual-Rollup]]-DaybyDay[[#This Row],[Budget-Rollup]])/DaybyDay[[#This Row],[Budget-Rollup]]),0),"")</f>
        <v>0</v>
      </c>
      <c r="X215" t="b">
        <f>NOT(AND(ISBLANK(DaybyDay[[#This Row],[Appts]]),ISBLANK(DaybyDay[[#This Row],[Service-Actuals]]),ISBLANK(DaybyDay[[#This Row],[Retail-Actuals]])))</f>
        <v>1</v>
      </c>
      <c r="Y215" s="36">
        <f>IF(DaybyDay[[#This Row],[_Space]],IFERROR(
((DaybyDay[[#This Row],[Actual-Rollup]]-DaybyDay[[#This Row],[LY-Rollup]])/DaybyDay[[#This Row],[LY-Rollup]]),0),"")</f>
        <v>0</v>
      </c>
      <c r="Z215"/>
      <c r="AA215" s="37" t="e">
        <f>IF(DaybyDay[[#This Row],[_Space]],DaybyDay[[#This Row],[Ret-Act-RU]]/DaybyDay[[#This Row],[Serv-Act-RU]],"")</f>
        <v>#DIV/0!</v>
      </c>
      <c r="AB215" s="50" t="e">
        <f>IF(DaybyDay[[#This Row],[_Space]],DaybyDay[[#This Row],[RETPEN-Act]]/DaybyDay[[#This Row],[RETPEN-Bud]],"")</f>
        <v>#DIV/0!</v>
      </c>
      <c r="AC215" s="37" t="e">
        <f>IF(DaybyDay[[#This Row],[_Space]],DaybyDay[[#This Row],[Ret-Bud-RU]]/DaybyDay[[#This Row],[Serv-Bud-RU]],"")</f>
        <v>#DIV/0!</v>
      </c>
      <c r="AD215" s="37" t="e">
        <f>IF(DaybyDay[[#This Row],[_Space]],DaybyDay[[#This Row],[Ret-LY-RU]]/DaybyDay[[#This Row],[Serv-LY-RU]],"")</f>
        <v>#DIV/0!</v>
      </c>
      <c r="AE215" s="30">
        <f>WEEKDAY(DaybyDay[[#This Row],[LY-Date]])</f>
        <v>6</v>
      </c>
      <c r="AF215" s="38">
        <f>$E$2+_xlfn.DAYS(DaybyDay[[#This Row],[Date]],minDate)</f>
        <v>42580</v>
      </c>
      <c r="AG215" s="39" t="str" cm="1">
        <f t="array" ref="AG215">IFERROR(INDEX(DaybyDay[],DaybyDay[[#This Row],[FORM_MATCH_HELPER]],8),"")</f>
        <v/>
      </c>
      <c r="AH215" s="39" t="str" cm="1">
        <f t="array" ref="AH215">IFERROR(INDEX(DaybyDay[],DaybyDay[[#This Row],[FORM_MATCH_HELPER]],10),"")</f>
        <v/>
      </c>
      <c r="AI215" s="39" t="str" cm="1">
        <f t="array" ref="AI215">IFERROR(INDEX(DaybyDay[],DaybyDay[[#This Row],[FORM_MATCH_HELPER]],12),"")</f>
        <v/>
      </c>
      <c r="AJ215" s="32">
        <f>IFERROR(DaybyDay[[#This Row],[Serv-LY-RU]]+DaybyDay[[#This Row],[Ret-LY-RU]],"")</f>
        <v>0</v>
      </c>
      <c r="AK2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5" s="77"/>
      <c r="AM215" s="40" t="str">
        <f>IF(DaybyDay[[#This Row],[Admin Hours]]&gt;0,DaybyDay[[#This Row],[Admin Hours]]*$AM$2+$AM$3,"")</f>
        <v/>
      </c>
      <c r="AN215" s="40">
        <f>SUMIFS(DaybyDay[Est-Admin-Payroll],DaybyDay[Date],"&gt;="&amp;$C$5,DaybyDay[RowYear],"&gt;="&amp;$C$4,DaybyDay[Date],"&lt;="&amp;DaybyDay[[#This Row],[Date]])</f>
        <v>0</v>
      </c>
      <c r="AO215" s="41" t="str">
        <f>IF(AND(DaybyDay[[#This Row],[_Space]],ISNUMBER(DaybyDay[[#This Row],[Admin Hours]])),DaybyDay[[#This Row],[Est-Admin-Payroll]]/(DaybyDay[[#This Row],[Service-Actuals]]+DaybyDay[[#This Row],[Retail-Actuals]]),"")</f>
        <v/>
      </c>
      <c r="AP215" s="41" t="e">
        <f>DaybyDay[[#This Row],[Estimated-Payroll-Rollup]]/DaybyDay[[#This Row],[Simple-Forecast]]</f>
        <v>#DIV/0!</v>
      </c>
      <c r="AQ2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5" s="77"/>
      <c r="AS215" s="40" t="str">
        <f>IF(DaybyDay[[#This Row],[Retail Hours]]&gt;0,DaybyDay[[#This Row],[Retail Hours]]*$AS$2,"")</f>
        <v/>
      </c>
      <c r="AT215" s="40">
        <f>SUMIFS(DaybyDay[Est-Retail-Payroll],DaybyDay[Date],"&gt;="&amp;$C$5,DaybyDay[RowYear],"&gt;="&amp;$C$4,DaybyDay[Date],"&lt;="&amp;DaybyDay[[#This Row],[Date]])</f>
        <v>0</v>
      </c>
      <c r="AU215" s="82" t="str">
        <f>IF(AND(DaybyDay[[#This Row],[_Space]],ISNUMBER(DaybyDay[[#This Row],[Retail Hours]])),DaybyDay[[#This Row],[Est-Retail-Payroll]]/(DaybyDay[[#This Row],[Retail-Actuals]]),"")</f>
        <v/>
      </c>
      <c r="AV215" s="82" t="e">
        <f>DaybyDay[[#This Row],[Est-Retail-PayrollRU]]/DaybyDay[[#This Row],[Simple-Forecast-Retail]]</f>
        <v>#DIV/0!</v>
      </c>
      <c r="AW215" s="8"/>
    </row>
    <row r="216" spans="3:49" hidden="1" x14ac:dyDescent="0.25">
      <c r="C216" s="26" t="str">
        <f>Tools!$C$1</f>
        <v>Example</v>
      </c>
      <c r="D216" s="27" t="s">
        <v>74</v>
      </c>
      <c r="E216" s="28">
        <v>2017</v>
      </c>
      <c r="F216" s="28">
        <f>MATCH(DaybyDay[[#This Row],[RowMonth]],Table3[SummaryMonth],0)</f>
        <v>7</v>
      </c>
      <c r="G216" s="29" t="e">
        <f>MATCH(DaybyDay[[#This Row],[LY-Date]],DaybyDay[Date],0)</f>
        <v>#N/A</v>
      </c>
      <c r="H216" s="30">
        <f>WEEKDAY(DaybyDay[[#This Row],[Date]])</f>
        <v>7</v>
      </c>
      <c r="I216" s="31">
        <v>42945</v>
      </c>
      <c r="J216" s="74">
        <v>26</v>
      </c>
      <c r="K216" s="32">
        <f>SUMIFS(BudgetSeasonality[365 Seasonality],BudgetSeasonality[MonthAdjustment],DaybyDay[[#This Row],[Date]])*SUMIFS(Budgets[Service-Budget],Budgets[BudgetMonth],DaybyDay[[#This Row],[RowMonth]],Budgets[BudgetYear],DaybyDay[[#This Row],[RowYear]])</f>
        <v>0</v>
      </c>
      <c r="L216" s="75">
        <v>4901</v>
      </c>
      <c r="M216" s="32">
        <f>INDEX(BudgetSeasonality[365 Seasonality],MATCH(DaybyDay[[#This Row],[Date]],BudgetSeasonality[MonthAdjustment],0))*SUMIFS(Budgets[Retail-Budget],Budgets[BudgetMonth],DaybyDay[[#This Row],[RowMonth]],Budgets[BudgetYear],DaybyDay[[#This Row],[RowYear]])</f>
        <v>0</v>
      </c>
      <c r="N216" s="75">
        <v>218</v>
      </c>
      <c r="O216" s="33">
        <f>SUMIFS(DaybyDay[Service-Budgets],DaybyDay[Date],"&gt;="&amp;$C$5,DaybyDay[RowYear],"&gt;="&amp;$C$4,DaybyDay[Date],"&lt;="&amp;DaybyDay[[#This Row],[Date]])</f>
        <v>0</v>
      </c>
      <c r="P216" s="33">
        <f>SUMIFS(DaybyDay[Retail-Budgets],DaybyDay[Date],"&gt;="&amp;$C$5,DaybyDay[RowYear],"&gt;="&amp;$C$4,DaybyDay[Date],"&lt;="&amp;DaybyDay[[#This Row],[Date]])</f>
        <v>0</v>
      </c>
      <c r="Q216" s="34">
        <f>SUMIFS(DaybyDay[Service-Actuals],DaybyDay[Date],"&gt;="&amp;$C$5,DaybyDay[RowYear],"&gt;="&amp;$C$4,DaybyDay[Date],"&lt;="&amp;DaybyDay[[#This Row],[Date]])</f>
        <v>0</v>
      </c>
      <c r="R216" s="34">
        <f>SUMIFS(DaybyDay[Retail-Actuals],DaybyDay[Date],"&gt;="&amp;$C$5,DaybyDay[RowYear],"&gt;="&amp;$C$4,DaybyDay[Date],"&lt;="&amp;DaybyDay[[#This Row],[Date]])</f>
        <v>0</v>
      </c>
      <c r="S216" s="35">
        <f>SUMIFS(DaybyDay[Service-LY],DaybyDay[Date],"&gt;="&amp;$C$5,DaybyDay[RowYear],"&gt;="&amp;$C$4,DaybyDay[Date],"&lt;="&amp;DaybyDay[[#This Row],[Date]])</f>
        <v>0</v>
      </c>
      <c r="T216" s="35">
        <f>SUMIFS(DaybyDay[Retail-LY],DaybyDay[Date],"&gt;="&amp;$C$5,DaybyDay[RowYear],"&gt;="&amp;$C$4,DaybyDay[Date],"&lt;="&amp;DaybyDay[[#This Row],[Date]])</f>
        <v>0</v>
      </c>
      <c r="U216" s="32">
        <f>DaybyDay[[#This Row],[Serv-Bud-RU]]+DaybyDay[[#This Row],[Ret-Bud-RU]]</f>
        <v>0</v>
      </c>
      <c r="V216" s="32">
        <f>DaybyDay[[#This Row],[Serv-Act-RU]]+DaybyDay[[#This Row],[Ret-Act-RU]]</f>
        <v>0</v>
      </c>
      <c r="W216" s="36">
        <f>IF(DaybyDay[[#This Row],[_Space]],IFERROR(
((DaybyDay[[#This Row],[Actual-Rollup]]-DaybyDay[[#This Row],[Budget-Rollup]])/DaybyDay[[#This Row],[Budget-Rollup]]),0),"")</f>
        <v>0</v>
      </c>
      <c r="X216" t="b">
        <f>NOT(AND(ISBLANK(DaybyDay[[#This Row],[Appts]]),ISBLANK(DaybyDay[[#This Row],[Service-Actuals]]),ISBLANK(DaybyDay[[#This Row],[Retail-Actuals]])))</f>
        <v>1</v>
      </c>
      <c r="Y216" s="36">
        <f>IF(DaybyDay[[#This Row],[_Space]],IFERROR(
((DaybyDay[[#This Row],[Actual-Rollup]]-DaybyDay[[#This Row],[LY-Rollup]])/DaybyDay[[#This Row],[LY-Rollup]]),0),"")</f>
        <v>0</v>
      </c>
      <c r="Z216"/>
      <c r="AA216" s="37" t="e">
        <f>IF(DaybyDay[[#This Row],[_Space]],DaybyDay[[#This Row],[Ret-Act-RU]]/DaybyDay[[#This Row],[Serv-Act-RU]],"")</f>
        <v>#DIV/0!</v>
      </c>
      <c r="AB216" s="50" t="e">
        <f>IF(DaybyDay[[#This Row],[_Space]],DaybyDay[[#This Row],[RETPEN-Act]]/DaybyDay[[#This Row],[RETPEN-Bud]],"")</f>
        <v>#DIV/0!</v>
      </c>
      <c r="AC216" s="37" t="e">
        <f>IF(DaybyDay[[#This Row],[_Space]],DaybyDay[[#This Row],[Ret-Bud-RU]]/DaybyDay[[#This Row],[Serv-Bud-RU]],"")</f>
        <v>#DIV/0!</v>
      </c>
      <c r="AD216" s="37" t="e">
        <f>IF(DaybyDay[[#This Row],[_Space]],DaybyDay[[#This Row],[Ret-LY-RU]]/DaybyDay[[#This Row],[Serv-LY-RU]],"")</f>
        <v>#DIV/0!</v>
      </c>
      <c r="AE216" s="30">
        <f>WEEKDAY(DaybyDay[[#This Row],[LY-Date]])</f>
        <v>7</v>
      </c>
      <c r="AF216" s="38">
        <f>$E$2+_xlfn.DAYS(DaybyDay[[#This Row],[Date]],minDate)</f>
        <v>42581</v>
      </c>
      <c r="AG216" s="39" t="str" cm="1">
        <f t="array" ref="AG216">IFERROR(INDEX(DaybyDay[],DaybyDay[[#This Row],[FORM_MATCH_HELPER]],8),"")</f>
        <v/>
      </c>
      <c r="AH216" s="39" t="str" cm="1">
        <f t="array" ref="AH216">IFERROR(INDEX(DaybyDay[],DaybyDay[[#This Row],[FORM_MATCH_HELPER]],10),"")</f>
        <v/>
      </c>
      <c r="AI216" s="39" t="str" cm="1">
        <f t="array" ref="AI216">IFERROR(INDEX(DaybyDay[],DaybyDay[[#This Row],[FORM_MATCH_HELPER]],12),"")</f>
        <v/>
      </c>
      <c r="AJ216" s="32">
        <f>IFERROR(DaybyDay[[#This Row],[Serv-LY-RU]]+DaybyDay[[#This Row],[Ret-LY-RU]],"")</f>
        <v>0</v>
      </c>
      <c r="AK2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6" s="77"/>
      <c r="AM216" s="40" t="str">
        <f>IF(DaybyDay[[#This Row],[Admin Hours]]&gt;0,DaybyDay[[#This Row],[Admin Hours]]*$AM$2+$AM$3,"")</f>
        <v/>
      </c>
      <c r="AN216" s="40">
        <f>SUMIFS(DaybyDay[Est-Admin-Payroll],DaybyDay[Date],"&gt;="&amp;$C$5,DaybyDay[RowYear],"&gt;="&amp;$C$4,DaybyDay[Date],"&lt;="&amp;DaybyDay[[#This Row],[Date]])</f>
        <v>0</v>
      </c>
      <c r="AO216" s="41" t="str">
        <f>IF(AND(DaybyDay[[#This Row],[_Space]],ISNUMBER(DaybyDay[[#This Row],[Admin Hours]])),DaybyDay[[#This Row],[Est-Admin-Payroll]]/(DaybyDay[[#This Row],[Service-Actuals]]+DaybyDay[[#This Row],[Retail-Actuals]]),"")</f>
        <v/>
      </c>
      <c r="AP216" s="41" t="e">
        <f>DaybyDay[[#This Row],[Estimated-Payroll-Rollup]]/DaybyDay[[#This Row],[Simple-Forecast]]</f>
        <v>#DIV/0!</v>
      </c>
      <c r="AQ2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6" s="77"/>
      <c r="AS216" s="40" t="str">
        <f>IF(DaybyDay[[#This Row],[Retail Hours]]&gt;0,DaybyDay[[#This Row],[Retail Hours]]*$AS$2,"")</f>
        <v/>
      </c>
      <c r="AT216" s="40">
        <f>SUMIFS(DaybyDay[Est-Retail-Payroll],DaybyDay[Date],"&gt;="&amp;$C$5,DaybyDay[RowYear],"&gt;="&amp;$C$4,DaybyDay[Date],"&lt;="&amp;DaybyDay[[#This Row],[Date]])</f>
        <v>0</v>
      </c>
      <c r="AU216" s="82" t="str">
        <f>IF(AND(DaybyDay[[#This Row],[_Space]],ISNUMBER(DaybyDay[[#This Row],[Retail Hours]])),DaybyDay[[#This Row],[Est-Retail-Payroll]]/(DaybyDay[[#This Row],[Retail-Actuals]]),"")</f>
        <v/>
      </c>
      <c r="AV216" s="82" t="e">
        <f>DaybyDay[[#This Row],[Est-Retail-PayrollRU]]/DaybyDay[[#This Row],[Simple-Forecast-Retail]]</f>
        <v>#DIV/0!</v>
      </c>
      <c r="AW216" s="8"/>
    </row>
    <row r="217" spans="3:49" hidden="1" x14ac:dyDescent="0.25">
      <c r="C217" s="26" t="str">
        <f>Tools!$C$1</f>
        <v>Example</v>
      </c>
      <c r="D217" s="27" t="s">
        <v>75</v>
      </c>
      <c r="E217" s="28">
        <v>2017</v>
      </c>
      <c r="F217" s="28">
        <f>MATCH(DaybyDay[[#This Row],[RowMonth]],Table3[SummaryMonth],0)</f>
        <v>8</v>
      </c>
      <c r="G217" s="29" t="e">
        <f>MATCH(DaybyDay[[#This Row],[LY-Date]],DaybyDay[Date],0)</f>
        <v>#N/A</v>
      </c>
      <c r="H217" s="30">
        <f>WEEKDAY(DaybyDay[[#This Row],[Date]])</f>
        <v>1</v>
      </c>
      <c r="I217" s="31">
        <v>42946</v>
      </c>
      <c r="J217" s="74">
        <v>29</v>
      </c>
      <c r="K217" s="32">
        <f>SUMIFS(BudgetSeasonality[365 Seasonality],BudgetSeasonality[MonthAdjustment],DaybyDay[[#This Row],[Date]])*SUMIFS(Budgets[Service-Budget],Budgets[BudgetMonth],DaybyDay[[#This Row],[RowMonth]],Budgets[BudgetYear],DaybyDay[[#This Row],[RowYear]])</f>
        <v>0</v>
      </c>
      <c r="L217" s="75">
        <v>5886.8</v>
      </c>
      <c r="M217" s="32">
        <f>INDEX(BudgetSeasonality[365 Seasonality],MATCH(DaybyDay[[#This Row],[Date]],BudgetSeasonality[MonthAdjustment],0))*SUMIFS(Budgets[Retail-Budget],Budgets[BudgetMonth],DaybyDay[[#This Row],[RowMonth]],Budgets[BudgetYear],DaybyDay[[#This Row],[RowYear]])</f>
        <v>0</v>
      </c>
      <c r="N217" s="75">
        <v>1123</v>
      </c>
      <c r="O217" s="33">
        <f>SUMIFS(DaybyDay[Service-Budgets],DaybyDay[Date],"&gt;="&amp;$C$5,DaybyDay[RowYear],"&gt;="&amp;$C$4,DaybyDay[Date],"&lt;="&amp;DaybyDay[[#This Row],[Date]])</f>
        <v>0</v>
      </c>
      <c r="P217" s="33">
        <f>SUMIFS(DaybyDay[Retail-Budgets],DaybyDay[Date],"&gt;="&amp;$C$5,DaybyDay[RowYear],"&gt;="&amp;$C$4,DaybyDay[Date],"&lt;="&amp;DaybyDay[[#This Row],[Date]])</f>
        <v>0</v>
      </c>
      <c r="Q217" s="34">
        <f>SUMIFS(DaybyDay[Service-Actuals],DaybyDay[Date],"&gt;="&amp;$C$5,DaybyDay[RowYear],"&gt;="&amp;$C$4,DaybyDay[Date],"&lt;="&amp;DaybyDay[[#This Row],[Date]])</f>
        <v>0</v>
      </c>
      <c r="R217" s="34">
        <f>SUMIFS(DaybyDay[Retail-Actuals],DaybyDay[Date],"&gt;="&amp;$C$5,DaybyDay[RowYear],"&gt;="&amp;$C$4,DaybyDay[Date],"&lt;="&amp;DaybyDay[[#This Row],[Date]])</f>
        <v>0</v>
      </c>
      <c r="S217" s="35">
        <f>SUMIFS(DaybyDay[Service-LY],DaybyDay[Date],"&gt;="&amp;$C$5,DaybyDay[RowYear],"&gt;="&amp;$C$4,DaybyDay[Date],"&lt;="&amp;DaybyDay[[#This Row],[Date]])</f>
        <v>0</v>
      </c>
      <c r="T217" s="35">
        <f>SUMIFS(DaybyDay[Retail-LY],DaybyDay[Date],"&gt;="&amp;$C$5,DaybyDay[RowYear],"&gt;="&amp;$C$4,DaybyDay[Date],"&lt;="&amp;DaybyDay[[#This Row],[Date]])</f>
        <v>0</v>
      </c>
      <c r="U217" s="32">
        <f>DaybyDay[[#This Row],[Serv-Bud-RU]]+DaybyDay[[#This Row],[Ret-Bud-RU]]</f>
        <v>0</v>
      </c>
      <c r="V217" s="32">
        <f>DaybyDay[[#This Row],[Serv-Act-RU]]+DaybyDay[[#This Row],[Ret-Act-RU]]</f>
        <v>0</v>
      </c>
      <c r="W217" s="36">
        <f>IF(DaybyDay[[#This Row],[_Space]],IFERROR(
((DaybyDay[[#This Row],[Actual-Rollup]]-DaybyDay[[#This Row],[Budget-Rollup]])/DaybyDay[[#This Row],[Budget-Rollup]]),0),"")</f>
        <v>0</v>
      </c>
      <c r="X217" t="b">
        <f>NOT(AND(ISBLANK(DaybyDay[[#This Row],[Appts]]),ISBLANK(DaybyDay[[#This Row],[Service-Actuals]]),ISBLANK(DaybyDay[[#This Row],[Retail-Actuals]])))</f>
        <v>1</v>
      </c>
      <c r="Y217" s="36">
        <f>IF(DaybyDay[[#This Row],[_Space]],IFERROR(
((DaybyDay[[#This Row],[Actual-Rollup]]-DaybyDay[[#This Row],[LY-Rollup]])/DaybyDay[[#This Row],[LY-Rollup]]),0),"")</f>
        <v>0</v>
      </c>
      <c r="Z217"/>
      <c r="AA217" s="37" t="e">
        <f>IF(DaybyDay[[#This Row],[_Space]],DaybyDay[[#This Row],[Ret-Act-RU]]/DaybyDay[[#This Row],[Serv-Act-RU]],"")</f>
        <v>#DIV/0!</v>
      </c>
      <c r="AB217" s="50" t="e">
        <f>IF(DaybyDay[[#This Row],[_Space]],DaybyDay[[#This Row],[RETPEN-Act]]/DaybyDay[[#This Row],[RETPEN-Bud]],"")</f>
        <v>#DIV/0!</v>
      </c>
      <c r="AC217" s="37" t="e">
        <f>IF(DaybyDay[[#This Row],[_Space]],DaybyDay[[#This Row],[Ret-Bud-RU]]/DaybyDay[[#This Row],[Serv-Bud-RU]],"")</f>
        <v>#DIV/0!</v>
      </c>
      <c r="AD217" s="37" t="e">
        <f>IF(DaybyDay[[#This Row],[_Space]],DaybyDay[[#This Row],[Ret-LY-RU]]/DaybyDay[[#This Row],[Serv-LY-RU]],"")</f>
        <v>#DIV/0!</v>
      </c>
      <c r="AE217" s="30">
        <f>WEEKDAY(DaybyDay[[#This Row],[LY-Date]])</f>
        <v>1</v>
      </c>
      <c r="AF217" s="38">
        <f>$E$2+_xlfn.DAYS(DaybyDay[[#This Row],[Date]],minDate)</f>
        <v>42582</v>
      </c>
      <c r="AG217" s="39" t="str" cm="1">
        <f t="array" ref="AG217">IFERROR(INDEX(DaybyDay[],DaybyDay[[#This Row],[FORM_MATCH_HELPER]],8),"")</f>
        <v/>
      </c>
      <c r="AH217" s="39" t="str" cm="1">
        <f t="array" ref="AH217">IFERROR(INDEX(DaybyDay[],DaybyDay[[#This Row],[FORM_MATCH_HELPER]],10),"")</f>
        <v/>
      </c>
      <c r="AI217" s="39" t="str" cm="1">
        <f t="array" ref="AI217">IFERROR(INDEX(DaybyDay[],DaybyDay[[#This Row],[FORM_MATCH_HELPER]],12),"")</f>
        <v/>
      </c>
      <c r="AJ217" s="32">
        <f>IFERROR(DaybyDay[[#This Row],[Serv-LY-RU]]+DaybyDay[[#This Row],[Ret-LY-RU]],"")</f>
        <v>0</v>
      </c>
      <c r="AK2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7" s="77"/>
      <c r="AM217" s="40" t="str">
        <f>IF(DaybyDay[[#This Row],[Admin Hours]]&gt;0,DaybyDay[[#This Row],[Admin Hours]]*$AM$2+$AM$3,"")</f>
        <v/>
      </c>
      <c r="AN217" s="40">
        <f>SUMIFS(DaybyDay[Est-Admin-Payroll],DaybyDay[Date],"&gt;="&amp;$C$5,DaybyDay[RowYear],"&gt;="&amp;$C$4,DaybyDay[Date],"&lt;="&amp;DaybyDay[[#This Row],[Date]])</f>
        <v>0</v>
      </c>
      <c r="AO217" s="41" t="str">
        <f>IF(AND(DaybyDay[[#This Row],[_Space]],ISNUMBER(DaybyDay[[#This Row],[Admin Hours]])),DaybyDay[[#This Row],[Est-Admin-Payroll]]/(DaybyDay[[#This Row],[Service-Actuals]]+DaybyDay[[#This Row],[Retail-Actuals]]),"")</f>
        <v/>
      </c>
      <c r="AP217" s="41" t="e">
        <f>DaybyDay[[#This Row],[Estimated-Payroll-Rollup]]/DaybyDay[[#This Row],[Simple-Forecast]]</f>
        <v>#DIV/0!</v>
      </c>
      <c r="AQ2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7" s="77"/>
      <c r="AS217" s="40" t="str">
        <f>IF(DaybyDay[[#This Row],[Retail Hours]]&gt;0,DaybyDay[[#This Row],[Retail Hours]]*$AS$2,"")</f>
        <v/>
      </c>
      <c r="AT217" s="40">
        <f>SUMIFS(DaybyDay[Est-Retail-Payroll],DaybyDay[Date],"&gt;="&amp;$C$5,DaybyDay[RowYear],"&gt;="&amp;$C$4,DaybyDay[Date],"&lt;="&amp;DaybyDay[[#This Row],[Date]])</f>
        <v>0</v>
      </c>
      <c r="AU217" s="82" t="str">
        <f>IF(AND(DaybyDay[[#This Row],[_Space]],ISNUMBER(DaybyDay[[#This Row],[Retail Hours]])),DaybyDay[[#This Row],[Est-Retail-Payroll]]/(DaybyDay[[#This Row],[Retail-Actuals]]),"")</f>
        <v/>
      </c>
      <c r="AV217" s="82" t="e">
        <f>DaybyDay[[#This Row],[Est-Retail-PayrollRU]]/DaybyDay[[#This Row],[Simple-Forecast-Retail]]</f>
        <v>#DIV/0!</v>
      </c>
      <c r="AW217" s="8"/>
    </row>
    <row r="218" spans="3:49" hidden="1" x14ac:dyDescent="0.25">
      <c r="C218" s="26" t="str">
        <f>Tools!$C$1</f>
        <v>Example</v>
      </c>
      <c r="D218" s="27" t="s">
        <v>75</v>
      </c>
      <c r="E218" s="28">
        <v>2017</v>
      </c>
      <c r="F218" s="28">
        <f>MATCH(DaybyDay[[#This Row],[RowMonth]],Table3[SummaryMonth],0)</f>
        <v>8</v>
      </c>
      <c r="G218" s="29" t="e">
        <f>MATCH(DaybyDay[[#This Row],[LY-Date]],DaybyDay[Date],0)</f>
        <v>#N/A</v>
      </c>
      <c r="H218" s="30">
        <f>WEEKDAY(DaybyDay[[#This Row],[Date]])</f>
        <v>2</v>
      </c>
      <c r="I218" s="31">
        <v>42947</v>
      </c>
      <c r="J218" s="74">
        <v>17</v>
      </c>
      <c r="K218" s="32">
        <f>SUMIFS(BudgetSeasonality[365 Seasonality],BudgetSeasonality[MonthAdjustment],DaybyDay[[#This Row],[Date]])*SUMIFS(Budgets[Service-Budget],Budgets[BudgetMonth],DaybyDay[[#This Row],[RowMonth]],Budgets[BudgetYear],DaybyDay[[#This Row],[RowYear]])</f>
        <v>0</v>
      </c>
      <c r="L218" s="75">
        <v>3770.2</v>
      </c>
      <c r="M218" s="32">
        <f>INDEX(BudgetSeasonality[365 Seasonality],MATCH(DaybyDay[[#This Row],[Date]],BudgetSeasonality[MonthAdjustment],0))*SUMIFS(Budgets[Retail-Budget],Budgets[BudgetMonth],DaybyDay[[#This Row],[RowMonth]],Budgets[BudgetYear],DaybyDay[[#This Row],[RowYear]])</f>
        <v>0</v>
      </c>
      <c r="N218" s="75">
        <v>19.5</v>
      </c>
      <c r="O218" s="33">
        <f>SUMIFS(DaybyDay[Service-Budgets],DaybyDay[Date],"&gt;="&amp;$C$5,DaybyDay[RowYear],"&gt;="&amp;$C$4,DaybyDay[Date],"&lt;="&amp;DaybyDay[[#This Row],[Date]])</f>
        <v>0</v>
      </c>
      <c r="P218" s="33">
        <f>SUMIFS(DaybyDay[Retail-Budgets],DaybyDay[Date],"&gt;="&amp;$C$5,DaybyDay[RowYear],"&gt;="&amp;$C$4,DaybyDay[Date],"&lt;="&amp;DaybyDay[[#This Row],[Date]])</f>
        <v>0</v>
      </c>
      <c r="Q218" s="34">
        <f>SUMIFS(DaybyDay[Service-Actuals],DaybyDay[Date],"&gt;="&amp;$C$5,DaybyDay[RowYear],"&gt;="&amp;$C$4,DaybyDay[Date],"&lt;="&amp;DaybyDay[[#This Row],[Date]])</f>
        <v>0</v>
      </c>
      <c r="R218" s="34">
        <f>SUMIFS(DaybyDay[Retail-Actuals],DaybyDay[Date],"&gt;="&amp;$C$5,DaybyDay[RowYear],"&gt;="&amp;$C$4,DaybyDay[Date],"&lt;="&amp;DaybyDay[[#This Row],[Date]])</f>
        <v>0</v>
      </c>
      <c r="S218" s="35">
        <f>SUMIFS(DaybyDay[Service-LY],DaybyDay[Date],"&gt;="&amp;$C$5,DaybyDay[RowYear],"&gt;="&amp;$C$4,DaybyDay[Date],"&lt;="&amp;DaybyDay[[#This Row],[Date]])</f>
        <v>0</v>
      </c>
      <c r="T218" s="35">
        <f>SUMIFS(DaybyDay[Retail-LY],DaybyDay[Date],"&gt;="&amp;$C$5,DaybyDay[RowYear],"&gt;="&amp;$C$4,DaybyDay[Date],"&lt;="&amp;DaybyDay[[#This Row],[Date]])</f>
        <v>0</v>
      </c>
      <c r="U218" s="32">
        <f>DaybyDay[[#This Row],[Serv-Bud-RU]]+DaybyDay[[#This Row],[Ret-Bud-RU]]</f>
        <v>0</v>
      </c>
      <c r="V218" s="32">
        <f>DaybyDay[[#This Row],[Serv-Act-RU]]+DaybyDay[[#This Row],[Ret-Act-RU]]</f>
        <v>0</v>
      </c>
      <c r="W218" s="36">
        <f>IF(DaybyDay[[#This Row],[_Space]],IFERROR(
((DaybyDay[[#This Row],[Actual-Rollup]]-DaybyDay[[#This Row],[Budget-Rollup]])/DaybyDay[[#This Row],[Budget-Rollup]]),0),"")</f>
        <v>0</v>
      </c>
      <c r="X218" t="b">
        <f>NOT(AND(ISBLANK(DaybyDay[[#This Row],[Appts]]),ISBLANK(DaybyDay[[#This Row],[Service-Actuals]]),ISBLANK(DaybyDay[[#This Row],[Retail-Actuals]])))</f>
        <v>1</v>
      </c>
      <c r="Y218" s="36">
        <f>IF(DaybyDay[[#This Row],[_Space]],IFERROR(
((DaybyDay[[#This Row],[Actual-Rollup]]-DaybyDay[[#This Row],[LY-Rollup]])/DaybyDay[[#This Row],[LY-Rollup]]),0),"")</f>
        <v>0</v>
      </c>
      <c r="Z218"/>
      <c r="AA218" s="37" t="e">
        <f>IF(DaybyDay[[#This Row],[_Space]],DaybyDay[[#This Row],[Ret-Act-RU]]/DaybyDay[[#This Row],[Serv-Act-RU]],"")</f>
        <v>#DIV/0!</v>
      </c>
      <c r="AB218" s="50" t="e">
        <f>IF(DaybyDay[[#This Row],[_Space]],DaybyDay[[#This Row],[RETPEN-Act]]/DaybyDay[[#This Row],[RETPEN-Bud]],"")</f>
        <v>#DIV/0!</v>
      </c>
      <c r="AC218" s="37" t="e">
        <f>IF(DaybyDay[[#This Row],[_Space]],DaybyDay[[#This Row],[Ret-Bud-RU]]/DaybyDay[[#This Row],[Serv-Bud-RU]],"")</f>
        <v>#DIV/0!</v>
      </c>
      <c r="AD218" s="37" t="e">
        <f>IF(DaybyDay[[#This Row],[_Space]],DaybyDay[[#This Row],[Ret-LY-RU]]/DaybyDay[[#This Row],[Serv-LY-RU]],"")</f>
        <v>#DIV/0!</v>
      </c>
      <c r="AE218" s="30">
        <f>WEEKDAY(DaybyDay[[#This Row],[LY-Date]])</f>
        <v>2</v>
      </c>
      <c r="AF218" s="38">
        <f>$E$2+_xlfn.DAYS(DaybyDay[[#This Row],[Date]],minDate)</f>
        <v>42583</v>
      </c>
      <c r="AG218" s="39" t="str" cm="1">
        <f t="array" ref="AG218">IFERROR(INDEX(DaybyDay[],DaybyDay[[#This Row],[FORM_MATCH_HELPER]],8),"")</f>
        <v/>
      </c>
      <c r="AH218" s="39" t="str" cm="1">
        <f t="array" ref="AH218">IFERROR(INDEX(DaybyDay[],DaybyDay[[#This Row],[FORM_MATCH_HELPER]],10),"")</f>
        <v/>
      </c>
      <c r="AI218" s="39" t="str" cm="1">
        <f t="array" ref="AI218">IFERROR(INDEX(DaybyDay[],DaybyDay[[#This Row],[FORM_MATCH_HELPER]],12),"")</f>
        <v/>
      </c>
      <c r="AJ218" s="32">
        <f>IFERROR(DaybyDay[[#This Row],[Serv-LY-RU]]+DaybyDay[[#This Row],[Ret-LY-RU]],"")</f>
        <v>0</v>
      </c>
      <c r="AK2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8" s="77"/>
      <c r="AM218" s="40" t="str">
        <f>IF(DaybyDay[[#This Row],[Admin Hours]]&gt;0,DaybyDay[[#This Row],[Admin Hours]]*$AM$2+$AM$3,"")</f>
        <v/>
      </c>
      <c r="AN218" s="40">
        <f>SUMIFS(DaybyDay[Est-Admin-Payroll],DaybyDay[Date],"&gt;="&amp;$C$5,DaybyDay[RowYear],"&gt;="&amp;$C$4,DaybyDay[Date],"&lt;="&amp;DaybyDay[[#This Row],[Date]])</f>
        <v>0</v>
      </c>
      <c r="AO218" s="41" t="str">
        <f>IF(AND(DaybyDay[[#This Row],[_Space]],ISNUMBER(DaybyDay[[#This Row],[Admin Hours]])),DaybyDay[[#This Row],[Est-Admin-Payroll]]/(DaybyDay[[#This Row],[Service-Actuals]]+DaybyDay[[#This Row],[Retail-Actuals]]),"")</f>
        <v/>
      </c>
      <c r="AP218" s="41" t="e">
        <f>DaybyDay[[#This Row],[Estimated-Payroll-Rollup]]/DaybyDay[[#This Row],[Simple-Forecast]]</f>
        <v>#DIV/0!</v>
      </c>
      <c r="AQ2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8" s="77"/>
      <c r="AS218" s="40" t="str">
        <f>IF(DaybyDay[[#This Row],[Retail Hours]]&gt;0,DaybyDay[[#This Row],[Retail Hours]]*$AS$2,"")</f>
        <v/>
      </c>
      <c r="AT218" s="40">
        <f>SUMIFS(DaybyDay[Est-Retail-Payroll],DaybyDay[Date],"&gt;="&amp;$C$5,DaybyDay[RowYear],"&gt;="&amp;$C$4,DaybyDay[Date],"&lt;="&amp;DaybyDay[[#This Row],[Date]])</f>
        <v>0</v>
      </c>
      <c r="AU218" s="82" t="str">
        <f>IF(AND(DaybyDay[[#This Row],[_Space]],ISNUMBER(DaybyDay[[#This Row],[Retail Hours]])),DaybyDay[[#This Row],[Est-Retail-Payroll]]/(DaybyDay[[#This Row],[Retail-Actuals]]),"")</f>
        <v/>
      </c>
      <c r="AV218" s="82" t="e">
        <f>DaybyDay[[#This Row],[Est-Retail-PayrollRU]]/DaybyDay[[#This Row],[Simple-Forecast-Retail]]</f>
        <v>#DIV/0!</v>
      </c>
      <c r="AW218" s="8"/>
    </row>
    <row r="219" spans="3:49" hidden="1" x14ac:dyDescent="0.25">
      <c r="C219" s="26" t="str">
        <f>Tools!$C$1</f>
        <v>Example</v>
      </c>
      <c r="D219" s="27" t="s">
        <v>75</v>
      </c>
      <c r="E219" s="28">
        <v>2017</v>
      </c>
      <c r="F219" s="28">
        <f>MATCH(DaybyDay[[#This Row],[RowMonth]],Table3[SummaryMonth],0)</f>
        <v>8</v>
      </c>
      <c r="G219" s="29" t="e">
        <f>MATCH(DaybyDay[[#This Row],[LY-Date]],DaybyDay[Date],0)</f>
        <v>#N/A</v>
      </c>
      <c r="H219" s="30">
        <f>WEEKDAY(DaybyDay[[#This Row],[Date]])</f>
        <v>3</v>
      </c>
      <c r="I219" s="31">
        <v>42948</v>
      </c>
      <c r="J219" s="74">
        <v>19</v>
      </c>
      <c r="K219" s="32">
        <f>SUMIFS(BudgetSeasonality[365 Seasonality],BudgetSeasonality[MonthAdjustment],DaybyDay[[#This Row],[Date]])*SUMIFS(Budgets[Service-Budget],Budgets[BudgetMonth],DaybyDay[[#This Row],[RowMonth]],Budgets[BudgetYear],DaybyDay[[#This Row],[RowYear]])</f>
        <v>0</v>
      </c>
      <c r="L219" s="75">
        <v>3669.58</v>
      </c>
      <c r="M219" s="32">
        <f>INDEX(BudgetSeasonality[365 Seasonality],MATCH(DaybyDay[[#This Row],[Date]],BudgetSeasonality[MonthAdjustment],0))*SUMIFS(Budgets[Retail-Budget],Budgets[BudgetMonth],DaybyDay[[#This Row],[RowMonth]],Budgets[BudgetYear],DaybyDay[[#This Row],[RowYear]])</f>
        <v>0</v>
      </c>
      <c r="N219" s="75">
        <v>963</v>
      </c>
      <c r="O219" s="33">
        <f>SUMIFS(DaybyDay[Service-Budgets],DaybyDay[Date],"&gt;="&amp;$C$5,DaybyDay[RowYear],"&gt;="&amp;$C$4,DaybyDay[Date],"&lt;="&amp;DaybyDay[[#This Row],[Date]])</f>
        <v>0</v>
      </c>
      <c r="P219" s="33">
        <f>SUMIFS(DaybyDay[Retail-Budgets],DaybyDay[Date],"&gt;="&amp;$C$5,DaybyDay[RowYear],"&gt;="&amp;$C$4,DaybyDay[Date],"&lt;="&amp;DaybyDay[[#This Row],[Date]])</f>
        <v>0</v>
      </c>
      <c r="Q219" s="34">
        <f>SUMIFS(DaybyDay[Service-Actuals],DaybyDay[Date],"&gt;="&amp;$C$5,DaybyDay[RowYear],"&gt;="&amp;$C$4,DaybyDay[Date],"&lt;="&amp;DaybyDay[[#This Row],[Date]])</f>
        <v>0</v>
      </c>
      <c r="R219" s="34">
        <f>SUMIFS(DaybyDay[Retail-Actuals],DaybyDay[Date],"&gt;="&amp;$C$5,DaybyDay[RowYear],"&gt;="&amp;$C$4,DaybyDay[Date],"&lt;="&amp;DaybyDay[[#This Row],[Date]])</f>
        <v>0</v>
      </c>
      <c r="S219" s="35">
        <f>SUMIFS(DaybyDay[Service-LY],DaybyDay[Date],"&gt;="&amp;$C$5,DaybyDay[RowYear],"&gt;="&amp;$C$4,DaybyDay[Date],"&lt;="&amp;DaybyDay[[#This Row],[Date]])</f>
        <v>0</v>
      </c>
      <c r="T219" s="35">
        <f>SUMIFS(DaybyDay[Retail-LY],DaybyDay[Date],"&gt;="&amp;$C$5,DaybyDay[RowYear],"&gt;="&amp;$C$4,DaybyDay[Date],"&lt;="&amp;DaybyDay[[#This Row],[Date]])</f>
        <v>0</v>
      </c>
      <c r="U219" s="32">
        <f>DaybyDay[[#This Row],[Serv-Bud-RU]]+DaybyDay[[#This Row],[Ret-Bud-RU]]</f>
        <v>0</v>
      </c>
      <c r="V219" s="32">
        <f>DaybyDay[[#This Row],[Serv-Act-RU]]+DaybyDay[[#This Row],[Ret-Act-RU]]</f>
        <v>0</v>
      </c>
      <c r="W219" s="36">
        <f>IF(DaybyDay[[#This Row],[_Space]],IFERROR(
((DaybyDay[[#This Row],[Actual-Rollup]]-DaybyDay[[#This Row],[Budget-Rollup]])/DaybyDay[[#This Row],[Budget-Rollup]]),0),"")</f>
        <v>0</v>
      </c>
      <c r="X219" t="b">
        <f>NOT(AND(ISBLANK(DaybyDay[[#This Row],[Appts]]),ISBLANK(DaybyDay[[#This Row],[Service-Actuals]]),ISBLANK(DaybyDay[[#This Row],[Retail-Actuals]])))</f>
        <v>1</v>
      </c>
      <c r="Y219" s="36">
        <f>IF(DaybyDay[[#This Row],[_Space]],IFERROR(
((DaybyDay[[#This Row],[Actual-Rollup]]-DaybyDay[[#This Row],[LY-Rollup]])/DaybyDay[[#This Row],[LY-Rollup]]),0),"")</f>
        <v>0</v>
      </c>
      <c r="Z219"/>
      <c r="AA219" s="37" t="e">
        <f>IF(DaybyDay[[#This Row],[_Space]],DaybyDay[[#This Row],[Ret-Act-RU]]/DaybyDay[[#This Row],[Serv-Act-RU]],"")</f>
        <v>#DIV/0!</v>
      </c>
      <c r="AB219" s="50" t="e">
        <f>IF(DaybyDay[[#This Row],[_Space]],DaybyDay[[#This Row],[RETPEN-Act]]/DaybyDay[[#This Row],[RETPEN-Bud]],"")</f>
        <v>#DIV/0!</v>
      </c>
      <c r="AC219" s="37" t="e">
        <f>IF(DaybyDay[[#This Row],[_Space]],DaybyDay[[#This Row],[Ret-Bud-RU]]/DaybyDay[[#This Row],[Serv-Bud-RU]],"")</f>
        <v>#DIV/0!</v>
      </c>
      <c r="AD219" s="37" t="e">
        <f>IF(DaybyDay[[#This Row],[_Space]],DaybyDay[[#This Row],[Ret-LY-RU]]/DaybyDay[[#This Row],[Serv-LY-RU]],"")</f>
        <v>#DIV/0!</v>
      </c>
      <c r="AE219" s="30">
        <f>WEEKDAY(DaybyDay[[#This Row],[LY-Date]])</f>
        <v>3</v>
      </c>
      <c r="AF219" s="38">
        <f>$E$2+_xlfn.DAYS(DaybyDay[[#This Row],[Date]],minDate)</f>
        <v>42584</v>
      </c>
      <c r="AG219" s="39" t="str" cm="1">
        <f t="array" ref="AG219">IFERROR(INDEX(DaybyDay[],DaybyDay[[#This Row],[FORM_MATCH_HELPER]],8),"")</f>
        <v/>
      </c>
      <c r="AH219" s="39" t="str" cm="1">
        <f t="array" ref="AH219">IFERROR(INDEX(DaybyDay[],DaybyDay[[#This Row],[FORM_MATCH_HELPER]],10),"")</f>
        <v/>
      </c>
      <c r="AI219" s="39" t="str" cm="1">
        <f t="array" ref="AI219">IFERROR(INDEX(DaybyDay[],DaybyDay[[#This Row],[FORM_MATCH_HELPER]],12),"")</f>
        <v/>
      </c>
      <c r="AJ219" s="32">
        <f>IFERROR(DaybyDay[[#This Row],[Serv-LY-RU]]+DaybyDay[[#This Row],[Ret-LY-RU]],"")</f>
        <v>0</v>
      </c>
      <c r="AK2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19" s="77"/>
      <c r="AM219" s="40" t="str">
        <f>IF(DaybyDay[[#This Row],[Admin Hours]]&gt;0,DaybyDay[[#This Row],[Admin Hours]]*$AM$2+$AM$3,"")</f>
        <v/>
      </c>
      <c r="AN219" s="40">
        <f>SUMIFS(DaybyDay[Est-Admin-Payroll],DaybyDay[Date],"&gt;="&amp;$C$5,DaybyDay[RowYear],"&gt;="&amp;$C$4,DaybyDay[Date],"&lt;="&amp;DaybyDay[[#This Row],[Date]])</f>
        <v>0</v>
      </c>
      <c r="AO219" s="41" t="str">
        <f>IF(AND(DaybyDay[[#This Row],[_Space]],ISNUMBER(DaybyDay[[#This Row],[Admin Hours]])),DaybyDay[[#This Row],[Est-Admin-Payroll]]/(DaybyDay[[#This Row],[Service-Actuals]]+DaybyDay[[#This Row],[Retail-Actuals]]),"")</f>
        <v/>
      </c>
      <c r="AP219" s="41" t="e">
        <f>DaybyDay[[#This Row],[Estimated-Payroll-Rollup]]/DaybyDay[[#This Row],[Simple-Forecast]]</f>
        <v>#DIV/0!</v>
      </c>
      <c r="AQ2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19" s="77"/>
      <c r="AS219" s="40" t="str">
        <f>IF(DaybyDay[[#This Row],[Retail Hours]]&gt;0,DaybyDay[[#This Row],[Retail Hours]]*$AS$2,"")</f>
        <v/>
      </c>
      <c r="AT219" s="40">
        <f>SUMIFS(DaybyDay[Est-Retail-Payroll],DaybyDay[Date],"&gt;="&amp;$C$5,DaybyDay[RowYear],"&gt;="&amp;$C$4,DaybyDay[Date],"&lt;="&amp;DaybyDay[[#This Row],[Date]])</f>
        <v>0</v>
      </c>
      <c r="AU219" s="82" t="str">
        <f>IF(AND(DaybyDay[[#This Row],[_Space]],ISNUMBER(DaybyDay[[#This Row],[Retail Hours]])),DaybyDay[[#This Row],[Est-Retail-Payroll]]/(DaybyDay[[#This Row],[Retail-Actuals]]),"")</f>
        <v/>
      </c>
      <c r="AV219" s="82" t="e">
        <f>DaybyDay[[#This Row],[Est-Retail-PayrollRU]]/DaybyDay[[#This Row],[Simple-Forecast-Retail]]</f>
        <v>#DIV/0!</v>
      </c>
      <c r="AW219" s="8"/>
    </row>
    <row r="220" spans="3:49" hidden="1" x14ac:dyDescent="0.25">
      <c r="C220" s="26" t="str">
        <f>Tools!$C$1</f>
        <v>Example</v>
      </c>
      <c r="D220" s="27" t="s">
        <v>75</v>
      </c>
      <c r="E220" s="28">
        <v>2017</v>
      </c>
      <c r="F220" s="28">
        <f>MATCH(DaybyDay[[#This Row],[RowMonth]],Table3[SummaryMonth],0)</f>
        <v>8</v>
      </c>
      <c r="G220" s="29" t="e">
        <f>MATCH(DaybyDay[[#This Row],[LY-Date]],DaybyDay[Date],0)</f>
        <v>#N/A</v>
      </c>
      <c r="H220" s="30">
        <f>WEEKDAY(DaybyDay[[#This Row],[Date]])</f>
        <v>4</v>
      </c>
      <c r="I220" s="31">
        <v>42949</v>
      </c>
      <c r="J220" s="74">
        <v>24</v>
      </c>
      <c r="K220" s="32">
        <f>SUMIFS(BudgetSeasonality[365 Seasonality],BudgetSeasonality[MonthAdjustment],DaybyDay[[#This Row],[Date]])*SUMIFS(Budgets[Service-Budget],Budgets[BudgetMonth],DaybyDay[[#This Row],[RowMonth]],Budgets[BudgetYear],DaybyDay[[#This Row],[RowYear]])</f>
        <v>0</v>
      </c>
      <c r="L220" s="75">
        <v>5420.6</v>
      </c>
      <c r="M220" s="32">
        <f>INDEX(BudgetSeasonality[365 Seasonality],MATCH(DaybyDay[[#This Row],[Date]],BudgetSeasonality[MonthAdjustment],0))*SUMIFS(Budgets[Retail-Budget],Budgets[BudgetMonth],DaybyDay[[#This Row],[RowMonth]],Budgets[BudgetYear],DaybyDay[[#This Row],[RowYear]])</f>
        <v>0</v>
      </c>
      <c r="N220" s="75">
        <v>2312.04</v>
      </c>
      <c r="O220" s="33">
        <f>SUMIFS(DaybyDay[Service-Budgets],DaybyDay[Date],"&gt;="&amp;$C$5,DaybyDay[RowYear],"&gt;="&amp;$C$4,DaybyDay[Date],"&lt;="&amp;DaybyDay[[#This Row],[Date]])</f>
        <v>0</v>
      </c>
      <c r="P220" s="33">
        <f>SUMIFS(DaybyDay[Retail-Budgets],DaybyDay[Date],"&gt;="&amp;$C$5,DaybyDay[RowYear],"&gt;="&amp;$C$4,DaybyDay[Date],"&lt;="&amp;DaybyDay[[#This Row],[Date]])</f>
        <v>0</v>
      </c>
      <c r="Q220" s="34">
        <f>SUMIFS(DaybyDay[Service-Actuals],DaybyDay[Date],"&gt;="&amp;$C$5,DaybyDay[RowYear],"&gt;="&amp;$C$4,DaybyDay[Date],"&lt;="&amp;DaybyDay[[#This Row],[Date]])</f>
        <v>0</v>
      </c>
      <c r="R220" s="34">
        <f>SUMIFS(DaybyDay[Retail-Actuals],DaybyDay[Date],"&gt;="&amp;$C$5,DaybyDay[RowYear],"&gt;="&amp;$C$4,DaybyDay[Date],"&lt;="&amp;DaybyDay[[#This Row],[Date]])</f>
        <v>0</v>
      </c>
      <c r="S220" s="35">
        <f>SUMIFS(DaybyDay[Service-LY],DaybyDay[Date],"&gt;="&amp;$C$5,DaybyDay[RowYear],"&gt;="&amp;$C$4,DaybyDay[Date],"&lt;="&amp;DaybyDay[[#This Row],[Date]])</f>
        <v>0</v>
      </c>
      <c r="T220" s="35">
        <f>SUMIFS(DaybyDay[Retail-LY],DaybyDay[Date],"&gt;="&amp;$C$5,DaybyDay[RowYear],"&gt;="&amp;$C$4,DaybyDay[Date],"&lt;="&amp;DaybyDay[[#This Row],[Date]])</f>
        <v>0</v>
      </c>
      <c r="U220" s="32">
        <f>DaybyDay[[#This Row],[Serv-Bud-RU]]+DaybyDay[[#This Row],[Ret-Bud-RU]]</f>
        <v>0</v>
      </c>
      <c r="V220" s="32">
        <f>DaybyDay[[#This Row],[Serv-Act-RU]]+DaybyDay[[#This Row],[Ret-Act-RU]]</f>
        <v>0</v>
      </c>
      <c r="W220" s="36">
        <f>IF(DaybyDay[[#This Row],[_Space]],IFERROR(
((DaybyDay[[#This Row],[Actual-Rollup]]-DaybyDay[[#This Row],[Budget-Rollup]])/DaybyDay[[#This Row],[Budget-Rollup]]),0),"")</f>
        <v>0</v>
      </c>
      <c r="X220" t="b">
        <f>NOT(AND(ISBLANK(DaybyDay[[#This Row],[Appts]]),ISBLANK(DaybyDay[[#This Row],[Service-Actuals]]),ISBLANK(DaybyDay[[#This Row],[Retail-Actuals]])))</f>
        <v>1</v>
      </c>
      <c r="Y220" s="36">
        <f>IF(DaybyDay[[#This Row],[_Space]],IFERROR(
((DaybyDay[[#This Row],[Actual-Rollup]]-DaybyDay[[#This Row],[LY-Rollup]])/DaybyDay[[#This Row],[LY-Rollup]]),0),"")</f>
        <v>0</v>
      </c>
      <c r="Z220"/>
      <c r="AA220" s="37" t="e">
        <f>IF(DaybyDay[[#This Row],[_Space]],DaybyDay[[#This Row],[Ret-Act-RU]]/DaybyDay[[#This Row],[Serv-Act-RU]],"")</f>
        <v>#DIV/0!</v>
      </c>
      <c r="AB220" s="50" t="e">
        <f>IF(DaybyDay[[#This Row],[_Space]],DaybyDay[[#This Row],[RETPEN-Act]]/DaybyDay[[#This Row],[RETPEN-Bud]],"")</f>
        <v>#DIV/0!</v>
      </c>
      <c r="AC220" s="37" t="e">
        <f>IF(DaybyDay[[#This Row],[_Space]],DaybyDay[[#This Row],[Ret-Bud-RU]]/DaybyDay[[#This Row],[Serv-Bud-RU]],"")</f>
        <v>#DIV/0!</v>
      </c>
      <c r="AD220" s="37" t="e">
        <f>IF(DaybyDay[[#This Row],[_Space]],DaybyDay[[#This Row],[Ret-LY-RU]]/DaybyDay[[#This Row],[Serv-LY-RU]],"")</f>
        <v>#DIV/0!</v>
      </c>
      <c r="AE220" s="30">
        <f>WEEKDAY(DaybyDay[[#This Row],[LY-Date]])</f>
        <v>4</v>
      </c>
      <c r="AF220" s="38">
        <f>$E$2+_xlfn.DAYS(DaybyDay[[#This Row],[Date]],minDate)</f>
        <v>42585</v>
      </c>
      <c r="AG220" s="39" t="str" cm="1">
        <f t="array" ref="AG220">IFERROR(INDEX(DaybyDay[],DaybyDay[[#This Row],[FORM_MATCH_HELPER]],8),"")</f>
        <v/>
      </c>
      <c r="AH220" s="39" t="str" cm="1">
        <f t="array" ref="AH220">IFERROR(INDEX(DaybyDay[],DaybyDay[[#This Row],[FORM_MATCH_HELPER]],10),"")</f>
        <v/>
      </c>
      <c r="AI220" s="39" t="str" cm="1">
        <f t="array" ref="AI220">IFERROR(INDEX(DaybyDay[],DaybyDay[[#This Row],[FORM_MATCH_HELPER]],12),"")</f>
        <v/>
      </c>
      <c r="AJ220" s="32">
        <f>IFERROR(DaybyDay[[#This Row],[Serv-LY-RU]]+DaybyDay[[#This Row],[Ret-LY-RU]],"")</f>
        <v>0</v>
      </c>
      <c r="AK2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0" s="77"/>
      <c r="AM220" s="40" t="str">
        <f>IF(DaybyDay[[#This Row],[Admin Hours]]&gt;0,DaybyDay[[#This Row],[Admin Hours]]*$AM$2+$AM$3,"")</f>
        <v/>
      </c>
      <c r="AN220" s="40">
        <f>SUMIFS(DaybyDay[Est-Admin-Payroll],DaybyDay[Date],"&gt;="&amp;$C$5,DaybyDay[RowYear],"&gt;="&amp;$C$4,DaybyDay[Date],"&lt;="&amp;DaybyDay[[#This Row],[Date]])</f>
        <v>0</v>
      </c>
      <c r="AO220" s="41" t="str">
        <f>IF(AND(DaybyDay[[#This Row],[_Space]],ISNUMBER(DaybyDay[[#This Row],[Admin Hours]])),DaybyDay[[#This Row],[Est-Admin-Payroll]]/(DaybyDay[[#This Row],[Service-Actuals]]+DaybyDay[[#This Row],[Retail-Actuals]]),"")</f>
        <v/>
      </c>
      <c r="AP220" s="41" t="e">
        <f>DaybyDay[[#This Row],[Estimated-Payroll-Rollup]]/DaybyDay[[#This Row],[Simple-Forecast]]</f>
        <v>#DIV/0!</v>
      </c>
      <c r="AQ2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0" s="77"/>
      <c r="AS220" s="40" t="str">
        <f>IF(DaybyDay[[#This Row],[Retail Hours]]&gt;0,DaybyDay[[#This Row],[Retail Hours]]*$AS$2,"")</f>
        <v/>
      </c>
      <c r="AT220" s="40">
        <f>SUMIFS(DaybyDay[Est-Retail-Payroll],DaybyDay[Date],"&gt;="&amp;$C$5,DaybyDay[RowYear],"&gt;="&amp;$C$4,DaybyDay[Date],"&lt;="&amp;DaybyDay[[#This Row],[Date]])</f>
        <v>0</v>
      </c>
      <c r="AU220" s="82" t="str">
        <f>IF(AND(DaybyDay[[#This Row],[_Space]],ISNUMBER(DaybyDay[[#This Row],[Retail Hours]])),DaybyDay[[#This Row],[Est-Retail-Payroll]]/(DaybyDay[[#This Row],[Retail-Actuals]]),"")</f>
        <v/>
      </c>
      <c r="AV220" s="82" t="e">
        <f>DaybyDay[[#This Row],[Est-Retail-PayrollRU]]/DaybyDay[[#This Row],[Simple-Forecast-Retail]]</f>
        <v>#DIV/0!</v>
      </c>
      <c r="AW220" s="8"/>
    </row>
    <row r="221" spans="3:49" hidden="1" x14ac:dyDescent="0.25">
      <c r="C221" s="26" t="str">
        <f>Tools!$C$1</f>
        <v>Example</v>
      </c>
      <c r="D221" s="27" t="s">
        <v>75</v>
      </c>
      <c r="E221" s="28">
        <v>2017</v>
      </c>
      <c r="F221" s="28">
        <f>MATCH(DaybyDay[[#This Row],[RowMonth]],Table3[SummaryMonth],0)</f>
        <v>8</v>
      </c>
      <c r="G221" s="29" t="e">
        <f>MATCH(DaybyDay[[#This Row],[LY-Date]],DaybyDay[Date],0)</f>
        <v>#N/A</v>
      </c>
      <c r="H221" s="30">
        <f>WEEKDAY(DaybyDay[[#This Row],[Date]])</f>
        <v>5</v>
      </c>
      <c r="I221" s="31">
        <v>42950</v>
      </c>
      <c r="J221" s="74">
        <v>36</v>
      </c>
      <c r="K221" s="32">
        <f>SUMIFS(BudgetSeasonality[365 Seasonality],BudgetSeasonality[MonthAdjustment],DaybyDay[[#This Row],[Date]])*SUMIFS(Budgets[Service-Budget],Budgets[BudgetMonth],DaybyDay[[#This Row],[RowMonth]],Budgets[BudgetYear],DaybyDay[[#This Row],[RowYear]])</f>
        <v>0</v>
      </c>
      <c r="L221" s="75">
        <v>6152.71</v>
      </c>
      <c r="M221" s="32">
        <f>INDEX(BudgetSeasonality[365 Seasonality],MATCH(DaybyDay[[#This Row],[Date]],BudgetSeasonality[MonthAdjustment],0))*SUMIFS(Budgets[Retail-Budget],Budgets[BudgetMonth],DaybyDay[[#This Row],[RowMonth]],Budgets[BudgetYear],DaybyDay[[#This Row],[RowYear]])</f>
        <v>0</v>
      </c>
      <c r="N221" s="75">
        <v>1391.45</v>
      </c>
      <c r="O221" s="33">
        <f>SUMIFS(DaybyDay[Service-Budgets],DaybyDay[Date],"&gt;="&amp;$C$5,DaybyDay[RowYear],"&gt;="&amp;$C$4,DaybyDay[Date],"&lt;="&amp;DaybyDay[[#This Row],[Date]])</f>
        <v>0</v>
      </c>
      <c r="P221" s="33">
        <f>SUMIFS(DaybyDay[Retail-Budgets],DaybyDay[Date],"&gt;="&amp;$C$5,DaybyDay[RowYear],"&gt;="&amp;$C$4,DaybyDay[Date],"&lt;="&amp;DaybyDay[[#This Row],[Date]])</f>
        <v>0</v>
      </c>
      <c r="Q221" s="34">
        <f>SUMIFS(DaybyDay[Service-Actuals],DaybyDay[Date],"&gt;="&amp;$C$5,DaybyDay[RowYear],"&gt;="&amp;$C$4,DaybyDay[Date],"&lt;="&amp;DaybyDay[[#This Row],[Date]])</f>
        <v>0</v>
      </c>
      <c r="R221" s="34">
        <f>SUMIFS(DaybyDay[Retail-Actuals],DaybyDay[Date],"&gt;="&amp;$C$5,DaybyDay[RowYear],"&gt;="&amp;$C$4,DaybyDay[Date],"&lt;="&amp;DaybyDay[[#This Row],[Date]])</f>
        <v>0</v>
      </c>
      <c r="S221" s="35">
        <f>SUMIFS(DaybyDay[Service-LY],DaybyDay[Date],"&gt;="&amp;$C$5,DaybyDay[RowYear],"&gt;="&amp;$C$4,DaybyDay[Date],"&lt;="&amp;DaybyDay[[#This Row],[Date]])</f>
        <v>0</v>
      </c>
      <c r="T221" s="35">
        <f>SUMIFS(DaybyDay[Retail-LY],DaybyDay[Date],"&gt;="&amp;$C$5,DaybyDay[RowYear],"&gt;="&amp;$C$4,DaybyDay[Date],"&lt;="&amp;DaybyDay[[#This Row],[Date]])</f>
        <v>0</v>
      </c>
      <c r="U221" s="32">
        <f>DaybyDay[[#This Row],[Serv-Bud-RU]]+DaybyDay[[#This Row],[Ret-Bud-RU]]</f>
        <v>0</v>
      </c>
      <c r="V221" s="32">
        <f>DaybyDay[[#This Row],[Serv-Act-RU]]+DaybyDay[[#This Row],[Ret-Act-RU]]</f>
        <v>0</v>
      </c>
      <c r="W221" s="36">
        <f>IF(DaybyDay[[#This Row],[_Space]],IFERROR(
((DaybyDay[[#This Row],[Actual-Rollup]]-DaybyDay[[#This Row],[Budget-Rollup]])/DaybyDay[[#This Row],[Budget-Rollup]]),0),"")</f>
        <v>0</v>
      </c>
      <c r="X221" t="b">
        <f>NOT(AND(ISBLANK(DaybyDay[[#This Row],[Appts]]),ISBLANK(DaybyDay[[#This Row],[Service-Actuals]]),ISBLANK(DaybyDay[[#This Row],[Retail-Actuals]])))</f>
        <v>1</v>
      </c>
      <c r="Y221" s="36">
        <f>IF(DaybyDay[[#This Row],[_Space]],IFERROR(
((DaybyDay[[#This Row],[Actual-Rollup]]-DaybyDay[[#This Row],[LY-Rollup]])/DaybyDay[[#This Row],[LY-Rollup]]),0),"")</f>
        <v>0</v>
      </c>
      <c r="Z221"/>
      <c r="AA221" s="37" t="e">
        <f>IF(DaybyDay[[#This Row],[_Space]],DaybyDay[[#This Row],[Ret-Act-RU]]/DaybyDay[[#This Row],[Serv-Act-RU]],"")</f>
        <v>#DIV/0!</v>
      </c>
      <c r="AB221" s="50" t="e">
        <f>IF(DaybyDay[[#This Row],[_Space]],DaybyDay[[#This Row],[RETPEN-Act]]/DaybyDay[[#This Row],[RETPEN-Bud]],"")</f>
        <v>#DIV/0!</v>
      </c>
      <c r="AC221" s="37" t="e">
        <f>IF(DaybyDay[[#This Row],[_Space]],DaybyDay[[#This Row],[Ret-Bud-RU]]/DaybyDay[[#This Row],[Serv-Bud-RU]],"")</f>
        <v>#DIV/0!</v>
      </c>
      <c r="AD221" s="37" t="e">
        <f>IF(DaybyDay[[#This Row],[_Space]],DaybyDay[[#This Row],[Ret-LY-RU]]/DaybyDay[[#This Row],[Serv-LY-RU]],"")</f>
        <v>#DIV/0!</v>
      </c>
      <c r="AE221" s="30">
        <f>WEEKDAY(DaybyDay[[#This Row],[LY-Date]])</f>
        <v>5</v>
      </c>
      <c r="AF221" s="38">
        <f>$E$2+_xlfn.DAYS(DaybyDay[[#This Row],[Date]],minDate)</f>
        <v>42586</v>
      </c>
      <c r="AG221" s="39" t="str" cm="1">
        <f t="array" ref="AG221">IFERROR(INDEX(DaybyDay[],DaybyDay[[#This Row],[FORM_MATCH_HELPER]],8),"")</f>
        <v/>
      </c>
      <c r="AH221" s="39" t="str" cm="1">
        <f t="array" ref="AH221">IFERROR(INDEX(DaybyDay[],DaybyDay[[#This Row],[FORM_MATCH_HELPER]],10),"")</f>
        <v/>
      </c>
      <c r="AI221" s="39" t="str" cm="1">
        <f t="array" ref="AI221">IFERROR(INDEX(DaybyDay[],DaybyDay[[#This Row],[FORM_MATCH_HELPER]],12),"")</f>
        <v/>
      </c>
      <c r="AJ221" s="32">
        <f>IFERROR(DaybyDay[[#This Row],[Serv-LY-RU]]+DaybyDay[[#This Row],[Ret-LY-RU]],"")</f>
        <v>0</v>
      </c>
      <c r="AK2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1" s="77"/>
      <c r="AM221" s="40" t="str">
        <f>IF(DaybyDay[[#This Row],[Admin Hours]]&gt;0,DaybyDay[[#This Row],[Admin Hours]]*$AM$2+$AM$3,"")</f>
        <v/>
      </c>
      <c r="AN221" s="40">
        <f>SUMIFS(DaybyDay[Est-Admin-Payroll],DaybyDay[Date],"&gt;="&amp;$C$5,DaybyDay[RowYear],"&gt;="&amp;$C$4,DaybyDay[Date],"&lt;="&amp;DaybyDay[[#This Row],[Date]])</f>
        <v>0</v>
      </c>
      <c r="AO221" s="41" t="str">
        <f>IF(AND(DaybyDay[[#This Row],[_Space]],ISNUMBER(DaybyDay[[#This Row],[Admin Hours]])),DaybyDay[[#This Row],[Est-Admin-Payroll]]/(DaybyDay[[#This Row],[Service-Actuals]]+DaybyDay[[#This Row],[Retail-Actuals]]),"")</f>
        <v/>
      </c>
      <c r="AP221" s="41" t="e">
        <f>DaybyDay[[#This Row],[Estimated-Payroll-Rollup]]/DaybyDay[[#This Row],[Simple-Forecast]]</f>
        <v>#DIV/0!</v>
      </c>
      <c r="AQ2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1" s="77"/>
      <c r="AS221" s="40" t="str">
        <f>IF(DaybyDay[[#This Row],[Retail Hours]]&gt;0,DaybyDay[[#This Row],[Retail Hours]]*$AS$2,"")</f>
        <v/>
      </c>
      <c r="AT221" s="40">
        <f>SUMIFS(DaybyDay[Est-Retail-Payroll],DaybyDay[Date],"&gt;="&amp;$C$5,DaybyDay[RowYear],"&gt;="&amp;$C$4,DaybyDay[Date],"&lt;="&amp;DaybyDay[[#This Row],[Date]])</f>
        <v>0</v>
      </c>
      <c r="AU221" s="82" t="str">
        <f>IF(AND(DaybyDay[[#This Row],[_Space]],ISNUMBER(DaybyDay[[#This Row],[Retail Hours]])),DaybyDay[[#This Row],[Est-Retail-Payroll]]/(DaybyDay[[#This Row],[Retail-Actuals]]),"")</f>
        <v/>
      </c>
      <c r="AV221" s="82" t="e">
        <f>DaybyDay[[#This Row],[Est-Retail-PayrollRU]]/DaybyDay[[#This Row],[Simple-Forecast-Retail]]</f>
        <v>#DIV/0!</v>
      </c>
      <c r="AW221" s="8"/>
    </row>
    <row r="222" spans="3:49" hidden="1" x14ac:dyDescent="0.25">
      <c r="C222" s="26" t="str">
        <f>Tools!$C$1</f>
        <v>Example</v>
      </c>
      <c r="D222" s="27" t="s">
        <v>75</v>
      </c>
      <c r="E222" s="28">
        <v>2017</v>
      </c>
      <c r="F222" s="28">
        <f>MATCH(DaybyDay[[#This Row],[RowMonth]],Table3[SummaryMonth],0)</f>
        <v>8</v>
      </c>
      <c r="G222" s="29" t="e">
        <f>MATCH(DaybyDay[[#This Row],[LY-Date]],DaybyDay[Date],0)</f>
        <v>#N/A</v>
      </c>
      <c r="H222" s="30">
        <f>WEEKDAY(DaybyDay[[#This Row],[Date]])</f>
        <v>6</v>
      </c>
      <c r="I222" s="31">
        <v>42951</v>
      </c>
      <c r="J222" s="74">
        <v>25</v>
      </c>
      <c r="K222" s="32">
        <f>SUMIFS(BudgetSeasonality[365 Seasonality],BudgetSeasonality[MonthAdjustment],DaybyDay[[#This Row],[Date]])*SUMIFS(Budgets[Service-Budget],Budgets[BudgetMonth],DaybyDay[[#This Row],[RowMonth]],Budgets[BudgetYear],DaybyDay[[#This Row],[RowYear]])</f>
        <v>0</v>
      </c>
      <c r="L222" s="75">
        <v>5066.2</v>
      </c>
      <c r="M222" s="32">
        <f>INDEX(BudgetSeasonality[365 Seasonality],MATCH(DaybyDay[[#This Row],[Date]],BudgetSeasonality[MonthAdjustment],0))*SUMIFS(Budgets[Retail-Budget],Budgets[BudgetMonth],DaybyDay[[#This Row],[RowMonth]],Budgets[BudgetYear],DaybyDay[[#This Row],[RowYear]])</f>
        <v>0</v>
      </c>
      <c r="N222" s="75">
        <v>1262</v>
      </c>
      <c r="O222" s="33">
        <f>SUMIFS(DaybyDay[Service-Budgets],DaybyDay[Date],"&gt;="&amp;$C$5,DaybyDay[RowYear],"&gt;="&amp;$C$4,DaybyDay[Date],"&lt;="&amp;DaybyDay[[#This Row],[Date]])</f>
        <v>0</v>
      </c>
      <c r="P222" s="33">
        <f>SUMIFS(DaybyDay[Retail-Budgets],DaybyDay[Date],"&gt;="&amp;$C$5,DaybyDay[RowYear],"&gt;="&amp;$C$4,DaybyDay[Date],"&lt;="&amp;DaybyDay[[#This Row],[Date]])</f>
        <v>0</v>
      </c>
      <c r="Q222" s="34">
        <f>SUMIFS(DaybyDay[Service-Actuals],DaybyDay[Date],"&gt;="&amp;$C$5,DaybyDay[RowYear],"&gt;="&amp;$C$4,DaybyDay[Date],"&lt;="&amp;DaybyDay[[#This Row],[Date]])</f>
        <v>0</v>
      </c>
      <c r="R222" s="34">
        <f>SUMIFS(DaybyDay[Retail-Actuals],DaybyDay[Date],"&gt;="&amp;$C$5,DaybyDay[RowYear],"&gt;="&amp;$C$4,DaybyDay[Date],"&lt;="&amp;DaybyDay[[#This Row],[Date]])</f>
        <v>0</v>
      </c>
      <c r="S222" s="35">
        <f>SUMIFS(DaybyDay[Service-LY],DaybyDay[Date],"&gt;="&amp;$C$5,DaybyDay[RowYear],"&gt;="&amp;$C$4,DaybyDay[Date],"&lt;="&amp;DaybyDay[[#This Row],[Date]])</f>
        <v>0</v>
      </c>
      <c r="T222" s="35">
        <f>SUMIFS(DaybyDay[Retail-LY],DaybyDay[Date],"&gt;="&amp;$C$5,DaybyDay[RowYear],"&gt;="&amp;$C$4,DaybyDay[Date],"&lt;="&amp;DaybyDay[[#This Row],[Date]])</f>
        <v>0</v>
      </c>
      <c r="U222" s="32">
        <f>DaybyDay[[#This Row],[Serv-Bud-RU]]+DaybyDay[[#This Row],[Ret-Bud-RU]]</f>
        <v>0</v>
      </c>
      <c r="V222" s="32">
        <f>DaybyDay[[#This Row],[Serv-Act-RU]]+DaybyDay[[#This Row],[Ret-Act-RU]]</f>
        <v>0</v>
      </c>
      <c r="W222" s="36">
        <f>IF(DaybyDay[[#This Row],[_Space]],IFERROR(
((DaybyDay[[#This Row],[Actual-Rollup]]-DaybyDay[[#This Row],[Budget-Rollup]])/DaybyDay[[#This Row],[Budget-Rollup]]),0),"")</f>
        <v>0</v>
      </c>
      <c r="X222" t="b">
        <f>NOT(AND(ISBLANK(DaybyDay[[#This Row],[Appts]]),ISBLANK(DaybyDay[[#This Row],[Service-Actuals]]),ISBLANK(DaybyDay[[#This Row],[Retail-Actuals]])))</f>
        <v>1</v>
      </c>
      <c r="Y222" s="36">
        <f>IF(DaybyDay[[#This Row],[_Space]],IFERROR(
((DaybyDay[[#This Row],[Actual-Rollup]]-DaybyDay[[#This Row],[LY-Rollup]])/DaybyDay[[#This Row],[LY-Rollup]]),0),"")</f>
        <v>0</v>
      </c>
      <c r="Z222"/>
      <c r="AA222" s="37" t="e">
        <f>IF(DaybyDay[[#This Row],[_Space]],DaybyDay[[#This Row],[Ret-Act-RU]]/DaybyDay[[#This Row],[Serv-Act-RU]],"")</f>
        <v>#DIV/0!</v>
      </c>
      <c r="AB222" s="50" t="e">
        <f>IF(DaybyDay[[#This Row],[_Space]],DaybyDay[[#This Row],[RETPEN-Act]]/DaybyDay[[#This Row],[RETPEN-Bud]],"")</f>
        <v>#DIV/0!</v>
      </c>
      <c r="AC222" s="37" t="e">
        <f>IF(DaybyDay[[#This Row],[_Space]],DaybyDay[[#This Row],[Ret-Bud-RU]]/DaybyDay[[#This Row],[Serv-Bud-RU]],"")</f>
        <v>#DIV/0!</v>
      </c>
      <c r="AD222" s="37" t="e">
        <f>IF(DaybyDay[[#This Row],[_Space]],DaybyDay[[#This Row],[Ret-LY-RU]]/DaybyDay[[#This Row],[Serv-LY-RU]],"")</f>
        <v>#DIV/0!</v>
      </c>
      <c r="AE222" s="30">
        <f>WEEKDAY(DaybyDay[[#This Row],[LY-Date]])</f>
        <v>6</v>
      </c>
      <c r="AF222" s="38">
        <f>$E$2+_xlfn.DAYS(DaybyDay[[#This Row],[Date]],minDate)</f>
        <v>42587</v>
      </c>
      <c r="AG222" s="39" t="str" cm="1">
        <f t="array" ref="AG222">IFERROR(INDEX(DaybyDay[],DaybyDay[[#This Row],[FORM_MATCH_HELPER]],8),"")</f>
        <v/>
      </c>
      <c r="AH222" s="39" t="str" cm="1">
        <f t="array" ref="AH222">IFERROR(INDEX(DaybyDay[],DaybyDay[[#This Row],[FORM_MATCH_HELPER]],10),"")</f>
        <v/>
      </c>
      <c r="AI222" s="39" t="str" cm="1">
        <f t="array" ref="AI222">IFERROR(INDEX(DaybyDay[],DaybyDay[[#This Row],[FORM_MATCH_HELPER]],12),"")</f>
        <v/>
      </c>
      <c r="AJ222" s="32">
        <f>IFERROR(DaybyDay[[#This Row],[Serv-LY-RU]]+DaybyDay[[#This Row],[Ret-LY-RU]],"")</f>
        <v>0</v>
      </c>
      <c r="AK2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2" s="77"/>
      <c r="AM222" s="40" t="str">
        <f>IF(DaybyDay[[#This Row],[Admin Hours]]&gt;0,DaybyDay[[#This Row],[Admin Hours]]*$AM$2+$AM$3,"")</f>
        <v/>
      </c>
      <c r="AN222" s="40">
        <f>SUMIFS(DaybyDay[Est-Admin-Payroll],DaybyDay[Date],"&gt;="&amp;$C$5,DaybyDay[RowYear],"&gt;="&amp;$C$4,DaybyDay[Date],"&lt;="&amp;DaybyDay[[#This Row],[Date]])</f>
        <v>0</v>
      </c>
      <c r="AO222" s="41" t="str">
        <f>IF(AND(DaybyDay[[#This Row],[_Space]],ISNUMBER(DaybyDay[[#This Row],[Admin Hours]])),DaybyDay[[#This Row],[Est-Admin-Payroll]]/(DaybyDay[[#This Row],[Service-Actuals]]+DaybyDay[[#This Row],[Retail-Actuals]]),"")</f>
        <v/>
      </c>
      <c r="AP222" s="41" t="e">
        <f>DaybyDay[[#This Row],[Estimated-Payroll-Rollup]]/DaybyDay[[#This Row],[Simple-Forecast]]</f>
        <v>#DIV/0!</v>
      </c>
      <c r="AQ2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2" s="77"/>
      <c r="AS222" s="40" t="str">
        <f>IF(DaybyDay[[#This Row],[Retail Hours]]&gt;0,DaybyDay[[#This Row],[Retail Hours]]*$AS$2,"")</f>
        <v/>
      </c>
      <c r="AT222" s="40">
        <f>SUMIFS(DaybyDay[Est-Retail-Payroll],DaybyDay[Date],"&gt;="&amp;$C$5,DaybyDay[RowYear],"&gt;="&amp;$C$4,DaybyDay[Date],"&lt;="&amp;DaybyDay[[#This Row],[Date]])</f>
        <v>0</v>
      </c>
      <c r="AU222" s="82" t="str">
        <f>IF(AND(DaybyDay[[#This Row],[_Space]],ISNUMBER(DaybyDay[[#This Row],[Retail Hours]])),DaybyDay[[#This Row],[Est-Retail-Payroll]]/(DaybyDay[[#This Row],[Retail-Actuals]]),"")</f>
        <v/>
      </c>
      <c r="AV222" s="82" t="e">
        <f>DaybyDay[[#This Row],[Est-Retail-PayrollRU]]/DaybyDay[[#This Row],[Simple-Forecast-Retail]]</f>
        <v>#DIV/0!</v>
      </c>
      <c r="AW222" s="8"/>
    </row>
    <row r="223" spans="3:49" hidden="1" x14ac:dyDescent="0.25">
      <c r="C223" s="26" t="str">
        <f>Tools!$C$1</f>
        <v>Example</v>
      </c>
      <c r="D223" s="27" t="s">
        <v>75</v>
      </c>
      <c r="E223" s="28">
        <v>2017</v>
      </c>
      <c r="F223" s="28">
        <f>MATCH(DaybyDay[[#This Row],[RowMonth]],Table3[SummaryMonth],0)</f>
        <v>8</v>
      </c>
      <c r="G223" s="29" t="e">
        <f>MATCH(DaybyDay[[#This Row],[LY-Date]],DaybyDay[Date],0)</f>
        <v>#N/A</v>
      </c>
      <c r="H223" s="30">
        <f>WEEKDAY(DaybyDay[[#This Row],[Date]])</f>
        <v>7</v>
      </c>
      <c r="I223" s="31">
        <v>42952</v>
      </c>
      <c r="J223" s="74">
        <v>32</v>
      </c>
      <c r="K223" s="32">
        <f>SUMIFS(BudgetSeasonality[365 Seasonality],BudgetSeasonality[MonthAdjustment],DaybyDay[[#This Row],[Date]])*SUMIFS(Budgets[Service-Budget],Budgets[BudgetMonth],DaybyDay[[#This Row],[RowMonth]],Budgets[BudgetYear],DaybyDay[[#This Row],[RowYear]])</f>
        <v>0</v>
      </c>
      <c r="L223" s="75">
        <v>6602.99</v>
      </c>
      <c r="M223" s="32">
        <f>INDEX(BudgetSeasonality[365 Seasonality],MATCH(DaybyDay[[#This Row],[Date]],BudgetSeasonality[MonthAdjustment],0))*SUMIFS(Budgets[Retail-Budget],Budgets[BudgetMonth],DaybyDay[[#This Row],[RowMonth]],Budgets[BudgetYear],DaybyDay[[#This Row],[RowYear]])</f>
        <v>0</v>
      </c>
      <c r="N223" s="75">
        <v>694.18</v>
      </c>
      <c r="O223" s="33">
        <f>SUMIFS(DaybyDay[Service-Budgets],DaybyDay[Date],"&gt;="&amp;$C$5,DaybyDay[RowYear],"&gt;="&amp;$C$4,DaybyDay[Date],"&lt;="&amp;DaybyDay[[#This Row],[Date]])</f>
        <v>0</v>
      </c>
      <c r="P223" s="33">
        <f>SUMIFS(DaybyDay[Retail-Budgets],DaybyDay[Date],"&gt;="&amp;$C$5,DaybyDay[RowYear],"&gt;="&amp;$C$4,DaybyDay[Date],"&lt;="&amp;DaybyDay[[#This Row],[Date]])</f>
        <v>0</v>
      </c>
      <c r="Q223" s="34">
        <f>SUMIFS(DaybyDay[Service-Actuals],DaybyDay[Date],"&gt;="&amp;$C$5,DaybyDay[RowYear],"&gt;="&amp;$C$4,DaybyDay[Date],"&lt;="&amp;DaybyDay[[#This Row],[Date]])</f>
        <v>0</v>
      </c>
      <c r="R223" s="34">
        <f>SUMIFS(DaybyDay[Retail-Actuals],DaybyDay[Date],"&gt;="&amp;$C$5,DaybyDay[RowYear],"&gt;="&amp;$C$4,DaybyDay[Date],"&lt;="&amp;DaybyDay[[#This Row],[Date]])</f>
        <v>0</v>
      </c>
      <c r="S223" s="35">
        <f>SUMIFS(DaybyDay[Service-LY],DaybyDay[Date],"&gt;="&amp;$C$5,DaybyDay[RowYear],"&gt;="&amp;$C$4,DaybyDay[Date],"&lt;="&amp;DaybyDay[[#This Row],[Date]])</f>
        <v>0</v>
      </c>
      <c r="T223" s="35">
        <f>SUMIFS(DaybyDay[Retail-LY],DaybyDay[Date],"&gt;="&amp;$C$5,DaybyDay[RowYear],"&gt;="&amp;$C$4,DaybyDay[Date],"&lt;="&amp;DaybyDay[[#This Row],[Date]])</f>
        <v>0</v>
      </c>
      <c r="U223" s="32">
        <f>DaybyDay[[#This Row],[Serv-Bud-RU]]+DaybyDay[[#This Row],[Ret-Bud-RU]]</f>
        <v>0</v>
      </c>
      <c r="V223" s="32">
        <f>DaybyDay[[#This Row],[Serv-Act-RU]]+DaybyDay[[#This Row],[Ret-Act-RU]]</f>
        <v>0</v>
      </c>
      <c r="W223" s="36">
        <f>IF(DaybyDay[[#This Row],[_Space]],IFERROR(
((DaybyDay[[#This Row],[Actual-Rollup]]-DaybyDay[[#This Row],[Budget-Rollup]])/DaybyDay[[#This Row],[Budget-Rollup]]),0),"")</f>
        <v>0</v>
      </c>
      <c r="X223" t="b">
        <f>NOT(AND(ISBLANK(DaybyDay[[#This Row],[Appts]]),ISBLANK(DaybyDay[[#This Row],[Service-Actuals]]),ISBLANK(DaybyDay[[#This Row],[Retail-Actuals]])))</f>
        <v>1</v>
      </c>
      <c r="Y223" s="36">
        <f>IF(DaybyDay[[#This Row],[_Space]],IFERROR(
((DaybyDay[[#This Row],[Actual-Rollup]]-DaybyDay[[#This Row],[LY-Rollup]])/DaybyDay[[#This Row],[LY-Rollup]]),0),"")</f>
        <v>0</v>
      </c>
      <c r="Z223"/>
      <c r="AA223" s="37" t="e">
        <f>IF(DaybyDay[[#This Row],[_Space]],DaybyDay[[#This Row],[Ret-Act-RU]]/DaybyDay[[#This Row],[Serv-Act-RU]],"")</f>
        <v>#DIV/0!</v>
      </c>
      <c r="AB223" s="50" t="e">
        <f>IF(DaybyDay[[#This Row],[_Space]],DaybyDay[[#This Row],[RETPEN-Act]]/DaybyDay[[#This Row],[RETPEN-Bud]],"")</f>
        <v>#DIV/0!</v>
      </c>
      <c r="AC223" s="37" t="e">
        <f>IF(DaybyDay[[#This Row],[_Space]],DaybyDay[[#This Row],[Ret-Bud-RU]]/DaybyDay[[#This Row],[Serv-Bud-RU]],"")</f>
        <v>#DIV/0!</v>
      </c>
      <c r="AD223" s="37" t="e">
        <f>IF(DaybyDay[[#This Row],[_Space]],DaybyDay[[#This Row],[Ret-LY-RU]]/DaybyDay[[#This Row],[Serv-LY-RU]],"")</f>
        <v>#DIV/0!</v>
      </c>
      <c r="AE223" s="30">
        <f>WEEKDAY(DaybyDay[[#This Row],[LY-Date]])</f>
        <v>7</v>
      </c>
      <c r="AF223" s="38">
        <f>$E$2+_xlfn.DAYS(DaybyDay[[#This Row],[Date]],minDate)</f>
        <v>42588</v>
      </c>
      <c r="AG223" s="39" t="str" cm="1">
        <f t="array" ref="AG223">IFERROR(INDEX(DaybyDay[],DaybyDay[[#This Row],[FORM_MATCH_HELPER]],8),"")</f>
        <v/>
      </c>
      <c r="AH223" s="39" t="str" cm="1">
        <f t="array" ref="AH223">IFERROR(INDEX(DaybyDay[],DaybyDay[[#This Row],[FORM_MATCH_HELPER]],10),"")</f>
        <v/>
      </c>
      <c r="AI223" s="39" t="str" cm="1">
        <f t="array" ref="AI223">IFERROR(INDEX(DaybyDay[],DaybyDay[[#This Row],[FORM_MATCH_HELPER]],12),"")</f>
        <v/>
      </c>
      <c r="AJ223" s="32">
        <f>IFERROR(DaybyDay[[#This Row],[Serv-LY-RU]]+DaybyDay[[#This Row],[Ret-LY-RU]],"")</f>
        <v>0</v>
      </c>
      <c r="AK2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3" s="77"/>
      <c r="AM223" s="40" t="str">
        <f>IF(DaybyDay[[#This Row],[Admin Hours]]&gt;0,DaybyDay[[#This Row],[Admin Hours]]*$AM$2+$AM$3,"")</f>
        <v/>
      </c>
      <c r="AN223" s="40">
        <f>SUMIFS(DaybyDay[Est-Admin-Payroll],DaybyDay[Date],"&gt;="&amp;$C$5,DaybyDay[RowYear],"&gt;="&amp;$C$4,DaybyDay[Date],"&lt;="&amp;DaybyDay[[#This Row],[Date]])</f>
        <v>0</v>
      </c>
      <c r="AO223" s="41" t="str">
        <f>IF(AND(DaybyDay[[#This Row],[_Space]],ISNUMBER(DaybyDay[[#This Row],[Admin Hours]])),DaybyDay[[#This Row],[Est-Admin-Payroll]]/(DaybyDay[[#This Row],[Service-Actuals]]+DaybyDay[[#This Row],[Retail-Actuals]]),"")</f>
        <v/>
      </c>
      <c r="AP223" s="41" t="e">
        <f>DaybyDay[[#This Row],[Estimated-Payroll-Rollup]]/DaybyDay[[#This Row],[Simple-Forecast]]</f>
        <v>#DIV/0!</v>
      </c>
      <c r="AQ2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3" s="77"/>
      <c r="AS223" s="40" t="str">
        <f>IF(DaybyDay[[#This Row],[Retail Hours]]&gt;0,DaybyDay[[#This Row],[Retail Hours]]*$AS$2,"")</f>
        <v/>
      </c>
      <c r="AT223" s="40">
        <f>SUMIFS(DaybyDay[Est-Retail-Payroll],DaybyDay[Date],"&gt;="&amp;$C$5,DaybyDay[RowYear],"&gt;="&amp;$C$4,DaybyDay[Date],"&lt;="&amp;DaybyDay[[#This Row],[Date]])</f>
        <v>0</v>
      </c>
      <c r="AU223" s="82" t="str">
        <f>IF(AND(DaybyDay[[#This Row],[_Space]],ISNUMBER(DaybyDay[[#This Row],[Retail Hours]])),DaybyDay[[#This Row],[Est-Retail-Payroll]]/(DaybyDay[[#This Row],[Retail-Actuals]]),"")</f>
        <v/>
      </c>
      <c r="AV223" s="82" t="e">
        <f>DaybyDay[[#This Row],[Est-Retail-PayrollRU]]/DaybyDay[[#This Row],[Simple-Forecast-Retail]]</f>
        <v>#DIV/0!</v>
      </c>
      <c r="AW223" s="8"/>
    </row>
    <row r="224" spans="3:49" hidden="1" x14ac:dyDescent="0.25">
      <c r="C224" s="26" t="str">
        <f>Tools!$C$1</f>
        <v>Example</v>
      </c>
      <c r="D224" s="27" t="s">
        <v>75</v>
      </c>
      <c r="E224" s="28">
        <v>2017</v>
      </c>
      <c r="F224" s="28">
        <f>MATCH(DaybyDay[[#This Row],[RowMonth]],Table3[SummaryMonth],0)</f>
        <v>8</v>
      </c>
      <c r="G224" s="29" t="e">
        <f>MATCH(DaybyDay[[#This Row],[LY-Date]],DaybyDay[Date],0)</f>
        <v>#N/A</v>
      </c>
      <c r="H224" s="30">
        <f>WEEKDAY(DaybyDay[[#This Row],[Date]])</f>
        <v>1</v>
      </c>
      <c r="I224" s="31">
        <v>42953</v>
      </c>
      <c r="J224" s="74">
        <v>18</v>
      </c>
      <c r="K224" s="32">
        <f>SUMIFS(BudgetSeasonality[365 Seasonality],BudgetSeasonality[MonthAdjustment],DaybyDay[[#This Row],[Date]])*SUMIFS(Budgets[Service-Budget],Budgets[BudgetMonth],DaybyDay[[#This Row],[RowMonth]],Budgets[BudgetYear],DaybyDay[[#This Row],[RowYear]])</f>
        <v>0</v>
      </c>
      <c r="L224" s="75">
        <v>4130.3999999999996</v>
      </c>
      <c r="M224" s="32">
        <f>INDEX(BudgetSeasonality[365 Seasonality],MATCH(DaybyDay[[#This Row],[Date]],BudgetSeasonality[MonthAdjustment],0))*SUMIFS(Budgets[Retail-Budget],Budgets[BudgetMonth],DaybyDay[[#This Row],[RowMonth]],Budgets[BudgetYear],DaybyDay[[#This Row],[RowYear]])</f>
        <v>0</v>
      </c>
      <c r="N224" s="75">
        <v>319.25</v>
      </c>
      <c r="O224" s="33">
        <f>SUMIFS(DaybyDay[Service-Budgets],DaybyDay[Date],"&gt;="&amp;$C$5,DaybyDay[RowYear],"&gt;="&amp;$C$4,DaybyDay[Date],"&lt;="&amp;DaybyDay[[#This Row],[Date]])</f>
        <v>0</v>
      </c>
      <c r="P224" s="33">
        <f>SUMIFS(DaybyDay[Retail-Budgets],DaybyDay[Date],"&gt;="&amp;$C$5,DaybyDay[RowYear],"&gt;="&amp;$C$4,DaybyDay[Date],"&lt;="&amp;DaybyDay[[#This Row],[Date]])</f>
        <v>0</v>
      </c>
      <c r="Q224" s="34">
        <f>SUMIFS(DaybyDay[Service-Actuals],DaybyDay[Date],"&gt;="&amp;$C$5,DaybyDay[RowYear],"&gt;="&amp;$C$4,DaybyDay[Date],"&lt;="&amp;DaybyDay[[#This Row],[Date]])</f>
        <v>0</v>
      </c>
      <c r="R224" s="34">
        <f>SUMIFS(DaybyDay[Retail-Actuals],DaybyDay[Date],"&gt;="&amp;$C$5,DaybyDay[RowYear],"&gt;="&amp;$C$4,DaybyDay[Date],"&lt;="&amp;DaybyDay[[#This Row],[Date]])</f>
        <v>0</v>
      </c>
      <c r="S224" s="35">
        <f>SUMIFS(DaybyDay[Service-LY],DaybyDay[Date],"&gt;="&amp;$C$5,DaybyDay[RowYear],"&gt;="&amp;$C$4,DaybyDay[Date],"&lt;="&amp;DaybyDay[[#This Row],[Date]])</f>
        <v>0</v>
      </c>
      <c r="T224" s="35">
        <f>SUMIFS(DaybyDay[Retail-LY],DaybyDay[Date],"&gt;="&amp;$C$5,DaybyDay[RowYear],"&gt;="&amp;$C$4,DaybyDay[Date],"&lt;="&amp;DaybyDay[[#This Row],[Date]])</f>
        <v>0</v>
      </c>
      <c r="U224" s="32">
        <f>DaybyDay[[#This Row],[Serv-Bud-RU]]+DaybyDay[[#This Row],[Ret-Bud-RU]]</f>
        <v>0</v>
      </c>
      <c r="V224" s="32">
        <f>DaybyDay[[#This Row],[Serv-Act-RU]]+DaybyDay[[#This Row],[Ret-Act-RU]]</f>
        <v>0</v>
      </c>
      <c r="W224" s="36">
        <f>IF(DaybyDay[[#This Row],[_Space]],IFERROR(
((DaybyDay[[#This Row],[Actual-Rollup]]-DaybyDay[[#This Row],[Budget-Rollup]])/DaybyDay[[#This Row],[Budget-Rollup]]),0),"")</f>
        <v>0</v>
      </c>
      <c r="X224" t="b">
        <f>NOT(AND(ISBLANK(DaybyDay[[#This Row],[Appts]]),ISBLANK(DaybyDay[[#This Row],[Service-Actuals]]),ISBLANK(DaybyDay[[#This Row],[Retail-Actuals]])))</f>
        <v>1</v>
      </c>
      <c r="Y224" s="36">
        <f>IF(DaybyDay[[#This Row],[_Space]],IFERROR(
((DaybyDay[[#This Row],[Actual-Rollup]]-DaybyDay[[#This Row],[LY-Rollup]])/DaybyDay[[#This Row],[LY-Rollup]]),0),"")</f>
        <v>0</v>
      </c>
      <c r="Z224"/>
      <c r="AA224" s="37" t="e">
        <f>IF(DaybyDay[[#This Row],[_Space]],DaybyDay[[#This Row],[Ret-Act-RU]]/DaybyDay[[#This Row],[Serv-Act-RU]],"")</f>
        <v>#DIV/0!</v>
      </c>
      <c r="AB224" s="50" t="e">
        <f>IF(DaybyDay[[#This Row],[_Space]],DaybyDay[[#This Row],[RETPEN-Act]]/DaybyDay[[#This Row],[RETPEN-Bud]],"")</f>
        <v>#DIV/0!</v>
      </c>
      <c r="AC224" s="37" t="e">
        <f>IF(DaybyDay[[#This Row],[_Space]],DaybyDay[[#This Row],[Ret-Bud-RU]]/DaybyDay[[#This Row],[Serv-Bud-RU]],"")</f>
        <v>#DIV/0!</v>
      </c>
      <c r="AD224" s="37" t="e">
        <f>IF(DaybyDay[[#This Row],[_Space]],DaybyDay[[#This Row],[Ret-LY-RU]]/DaybyDay[[#This Row],[Serv-LY-RU]],"")</f>
        <v>#DIV/0!</v>
      </c>
      <c r="AE224" s="30">
        <f>WEEKDAY(DaybyDay[[#This Row],[LY-Date]])</f>
        <v>1</v>
      </c>
      <c r="AF224" s="38">
        <f>$E$2+_xlfn.DAYS(DaybyDay[[#This Row],[Date]],minDate)</f>
        <v>42589</v>
      </c>
      <c r="AG224" s="39" t="str" cm="1">
        <f t="array" ref="AG224">IFERROR(INDEX(DaybyDay[],DaybyDay[[#This Row],[FORM_MATCH_HELPER]],8),"")</f>
        <v/>
      </c>
      <c r="AH224" s="39" t="str" cm="1">
        <f t="array" ref="AH224">IFERROR(INDEX(DaybyDay[],DaybyDay[[#This Row],[FORM_MATCH_HELPER]],10),"")</f>
        <v/>
      </c>
      <c r="AI224" s="39" t="str" cm="1">
        <f t="array" ref="AI224">IFERROR(INDEX(DaybyDay[],DaybyDay[[#This Row],[FORM_MATCH_HELPER]],12),"")</f>
        <v/>
      </c>
      <c r="AJ224" s="32">
        <f>IFERROR(DaybyDay[[#This Row],[Serv-LY-RU]]+DaybyDay[[#This Row],[Ret-LY-RU]],"")</f>
        <v>0</v>
      </c>
      <c r="AK2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4" s="77"/>
      <c r="AM224" s="40" t="str">
        <f>IF(DaybyDay[[#This Row],[Admin Hours]]&gt;0,DaybyDay[[#This Row],[Admin Hours]]*$AM$2+$AM$3,"")</f>
        <v/>
      </c>
      <c r="AN224" s="40">
        <f>SUMIFS(DaybyDay[Est-Admin-Payroll],DaybyDay[Date],"&gt;="&amp;$C$5,DaybyDay[RowYear],"&gt;="&amp;$C$4,DaybyDay[Date],"&lt;="&amp;DaybyDay[[#This Row],[Date]])</f>
        <v>0</v>
      </c>
      <c r="AO224" s="41" t="str">
        <f>IF(AND(DaybyDay[[#This Row],[_Space]],ISNUMBER(DaybyDay[[#This Row],[Admin Hours]])),DaybyDay[[#This Row],[Est-Admin-Payroll]]/(DaybyDay[[#This Row],[Service-Actuals]]+DaybyDay[[#This Row],[Retail-Actuals]]),"")</f>
        <v/>
      </c>
      <c r="AP224" s="41" t="e">
        <f>DaybyDay[[#This Row],[Estimated-Payroll-Rollup]]/DaybyDay[[#This Row],[Simple-Forecast]]</f>
        <v>#DIV/0!</v>
      </c>
      <c r="AQ2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4" s="77"/>
      <c r="AS224" s="40" t="str">
        <f>IF(DaybyDay[[#This Row],[Retail Hours]]&gt;0,DaybyDay[[#This Row],[Retail Hours]]*$AS$2,"")</f>
        <v/>
      </c>
      <c r="AT224" s="40">
        <f>SUMIFS(DaybyDay[Est-Retail-Payroll],DaybyDay[Date],"&gt;="&amp;$C$5,DaybyDay[RowYear],"&gt;="&amp;$C$4,DaybyDay[Date],"&lt;="&amp;DaybyDay[[#This Row],[Date]])</f>
        <v>0</v>
      </c>
      <c r="AU224" s="82" t="str">
        <f>IF(AND(DaybyDay[[#This Row],[_Space]],ISNUMBER(DaybyDay[[#This Row],[Retail Hours]])),DaybyDay[[#This Row],[Est-Retail-Payroll]]/(DaybyDay[[#This Row],[Retail-Actuals]]),"")</f>
        <v/>
      </c>
      <c r="AV224" s="82" t="e">
        <f>DaybyDay[[#This Row],[Est-Retail-PayrollRU]]/DaybyDay[[#This Row],[Simple-Forecast-Retail]]</f>
        <v>#DIV/0!</v>
      </c>
      <c r="AW224" s="8"/>
    </row>
    <row r="225" spans="3:49" hidden="1" x14ac:dyDescent="0.25">
      <c r="C225" s="26" t="str">
        <f>Tools!$C$1</f>
        <v>Example</v>
      </c>
      <c r="D225" s="27" t="s">
        <v>75</v>
      </c>
      <c r="E225" s="28">
        <v>2017</v>
      </c>
      <c r="F225" s="28">
        <f>MATCH(DaybyDay[[#This Row],[RowMonth]],Table3[SummaryMonth],0)</f>
        <v>8</v>
      </c>
      <c r="G225" s="29" t="e">
        <f>MATCH(DaybyDay[[#This Row],[LY-Date]],DaybyDay[Date],0)</f>
        <v>#N/A</v>
      </c>
      <c r="H225" s="30">
        <f>WEEKDAY(DaybyDay[[#This Row],[Date]])</f>
        <v>2</v>
      </c>
      <c r="I225" s="31">
        <v>42954</v>
      </c>
      <c r="J225" s="74">
        <v>12</v>
      </c>
      <c r="K225" s="32">
        <f>SUMIFS(BudgetSeasonality[365 Seasonality],BudgetSeasonality[MonthAdjustment],DaybyDay[[#This Row],[Date]])*SUMIFS(Budgets[Service-Budget],Budgets[BudgetMonth],DaybyDay[[#This Row],[RowMonth]],Budgets[BudgetYear],DaybyDay[[#This Row],[RowYear]])</f>
        <v>0</v>
      </c>
      <c r="L225" s="75">
        <v>2151</v>
      </c>
      <c r="M225" s="32">
        <f>INDEX(BudgetSeasonality[365 Seasonality],MATCH(DaybyDay[[#This Row],[Date]],BudgetSeasonality[MonthAdjustment],0))*SUMIFS(Budgets[Retail-Budget],Budgets[BudgetMonth],DaybyDay[[#This Row],[RowMonth]],Budgets[BudgetYear],DaybyDay[[#This Row],[RowYear]])</f>
        <v>0</v>
      </c>
      <c r="N225" s="75">
        <v>267</v>
      </c>
      <c r="O225" s="33">
        <f>SUMIFS(DaybyDay[Service-Budgets],DaybyDay[Date],"&gt;="&amp;$C$5,DaybyDay[RowYear],"&gt;="&amp;$C$4,DaybyDay[Date],"&lt;="&amp;DaybyDay[[#This Row],[Date]])</f>
        <v>0</v>
      </c>
      <c r="P225" s="33">
        <f>SUMIFS(DaybyDay[Retail-Budgets],DaybyDay[Date],"&gt;="&amp;$C$5,DaybyDay[RowYear],"&gt;="&amp;$C$4,DaybyDay[Date],"&lt;="&amp;DaybyDay[[#This Row],[Date]])</f>
        <v>0</v>
      </c>
      <c r="Q225" s="34">
        <f>SUMIFS(DaybyDay[Service-Actuals],DaybyDay[Date],"&gt;="&amp;$C$5,DaybyDay[RowYear],"&gt;="&amp;$C$4,DaybyDay[Date],"&lt;="&amp;DaybyDay[[#This Row],[Date]])</f>
        <v>0</v>
      </c>
      <c r="R225" s="34">
        <f>SUMIFS(DaybyDay[Retail-Actuals],DaybyDay[Date],"&gt;="&amp;$C$5,DaybyDay[RowYear],"&gt;="&amp;$C$4,DaybyDay[Date],"&lt;="&amp;DaybyDay[[#This Row],[Date]])</f>
        <v>0</v>
      </c>
      <c r="S225" s="35">
        <f>SUMIFS(DaybyDay[Service-LY],DaybyDay[Date],"&gt;="&amp;$C$5,DaybyDay[RowYear],"&gt;="&amp;$C$4,DaybyDay[Date],"&lt;="&amp;DaybyDay[[#This Row],[Date]])</f>
        <v>0</v>
      </c>
      <c r="T225" s="35">
        <f>SUMIFS(DaybyDay[Retail-LY],DaybyDay[Date],"&gt;="&amp;$C$5,DaybyDay[RowYear],"&gt;="&amp;$C$4,DaybyDay[Date],"&lt;="&amp;DaybyDay[[#This Row],[Date]])</f>
        <v>0</v>
      </c>
      <c r="U225" s="32">
        <f>DaybyDay[[#This Row],[Serv-Bud-RU]]+DaybyDay[[#This Row],[Ret-Bud-RU]]</f>
        <v>0</v>
      </c>
      <c r="V225" s="32">
        <f>DaybyDay[[#This Row],[Serv-Act-RU]]+DaybyDay[[#This Row],[Ret-Act-RU]]</f>
        <v>0</v>
      </c>
      <c r="W225" s="36">
        <f>IF(DaybyDay[[#This Row],[_Space]],IFERROR(
((DaybyDay[[#This Row],[Actual-Rollup]]-DaybyDay[[#This Row],[Budget-Rollup]])/DaybyDay[[#This Row],[Budget-Rollup]]),0),"")</f>
        <v>0</v>
      </c>
      <c r="X225" t="b">
        <f>NOT(AND(ISBLANK(DaybyDay[[#This Row],[Appts]]),ISBLANK(DaybyDay[[#This Row],[Service-Actuals]]),ISBLANK(DaybyDay[[#This Row],[Retail-Actuals]])))</f>
        <v>1</v>
      </c>
      <c r="Y225" s="36">
        <f>IF(DaybyDay[[#This Row],[_Space]],IFERROR(
((DaybyDay[[#This Row],[Actual-Rollup]]-DaybyDay[[#This Row],[LY-Rollup]])/DaybyDay[[#This Row],[LY-Rollup]]),0),"")</f>
        <v>0</v>
      </c>
      <c r="Z225"/>
      <c r="AA225" s="37" t="e">
        <f>IF(DaybyDay[[#This Row],[_Space]],DaybyDay[[#This Row],[Ret-Act-RU]]/DaybyDay[[#This Row],[Serv-Act-RU]],"")</f>
        <v>#DIV/0!</v>
      </c>
      <c r="AB225" s="50" t="e">
        <f>IF(DaybyDay[[#This Row],[_Space]],DaybyDay[[#This Row],[RETPEN-Act]]/DaybyDay[[#This Row],[RETPEN-Bud]],"")</f>
        <v>#DIV/0!</v>
      </c>
      <c r="AC225" s="37" t="e">
        <f>IF(DaybyDay[[#This Row],[_Space]],DaybyDay[[#This Row],[Ret-Bud-RU]]/DaybyDay[[#This Row],[Serv-Bud-RU]],"")</f>
        <v>#DIV/0!</v>
      </c>
      <c r="AD225" s="37" t="e">
        <f>IF(DaybyDay[[#This Row],[_Space]],DaybyDay[[#This Row],[Ret-LY-RU]]/DaybyDay[[#This Row],[Serv-LY-RU]],"")</f>
        <v>#DIV/0!</v>
      </c>
      <c r="AE225" s="30">
        <f>WEEKDAY(DaybyDay[[#This Row],[LY-Date]])</f>
        <v>2</v>
      </c>
      <c r="AF225" s="38">
        <f>$E$2+_xlfn.DAYS(DaybyDay[[#This Row],[Date]],minDate)</f>
        <v>42590</v>
      </c>
      <c r="AG225" s="39" t="str" cm="1">
        <f t="array" ref="AG225">IFERROR(INDEX(DaybyDay[],DaybyDay[[#This Row],[FORM_MATCH_HELPER]],8),"")</f>
        <v/>
      </c>
      <c r="AH225" s="39" t="str" cm="1">
        <f t="array" ref="AH225">IFERROR(INDEX(DaybyDay[],DaybyDay[[#This Row],[FORM_MATCH_HELPER]],10),"")</f>
        <v/>
      </c>
      <c r="AI225" s="39" t="str" cm="1">
        <f t="array" ref="AI225">IFERROR(INDEX(DaybyDay[],DaybyDay[[#This Row],[FORM_MATCH_HELPER]],12),"")</f>
        <v/>
      </c>
      <c r="AJ225" s="32">
        <f>IFERROR(DaybyDay[[#This Row],[Serv-LY-RU]]+DaybyDay[[#This Row],[Ret-LY-RU]],"")</f>
        <v>0</v>
      </c>
      <c r="AK2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5" s="77"/>
      <c r="AM225" s="40" t="str">
        <f>IF(DaybyDay[[#This Row],[Admin Hours]]&gt;0,DaybyDay[[#This Row],[Admin Hours]]*$AM$2+$AM$3,"")</f>
        <v/>
      </c>
      <c r="AN225" s="40">
        <f>SUMIFS(DaybyDay[Est-Admin-Payroll],DaybyDay[Date],"&gt;="&amp;$C$5,DaybyDay[RowYear],"&gt;="&amp;$C$4,DaybyDay[Date],"&lt;="&amp;DaybyDay[[#This Row],[Date]])</f>
        <v>0</v>
      </c>
      <c r="AO225" s="41" t="str">
        <f>IF(AND(DaybyDay[[#This Row],[_Space]],ISNUMBER(DaybyDay[[#This Row],[Admin Hours]])),DaybyDay[[#This Row],[Est-Admin-Payroll]]/(DaybyDay[[#This Row],[Service-Actuals]]+DaybyDay[[#This Row],[Retail-Actuals]]),"")</f>
        <v/>
      </c>
      <c r="AP225" s="41" t="e">
        <f>DaybyDay[[#This Row],[Estimated-Payroll-Rollup]]/DaybyDay[[#This Row],[Simple-Forecast]]</f>
        <v>#DIV/0!</v>
      </c>
      <c r="AQ2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5" s="77"/>
      <c r="AS225" s="40" t="str">
        <f>IF(DaybyDay[[#This Row],[Retail Hours]]&gt;0,DaybyDay[[#This Row],[Retail Hours]]*$AS$2,"")</f>
        <v/>
      </c>
      <c r="AT225" s="40">
        <f>SUMIFS(DaybyDay[Est-Retail-Payroll],DaybyDay[Date],"&gt;="&amp;$C$5,DaybyDay[RowYear],"&gt;="&amp;$C$4,DaybyDay[Date],"&lt;="&amp;DaybyDay[[#This Row],[Date]])</f>
        <v>0</v>
      </c>
      <c r="AU225" s="82" t="str">
        <f>IF(AND(DaybyDay[[#This Row],[_Space]],ISNUMBER(DaybyDay[[#This Row],[Retail Hours]])),DaybyDay[[#This Row],[Est-Retail-Payroll]]/(DaybyDay[[#This Row],[Retail-Actuals]]),"")</f>
        <v/>
      </c>
      <c r="AV225" s="82" t="e">
        <f>DaybyDay[[#This Row],[Est-Retail-PayrollRU]]/DaybyDay[[#This Row],[Simple-Forecast-Retail]]</f>
        <v>#DIV/0!</v>
      </c>
      <c r="AW225" s="8"/>
    </row>
    <row r="226" spans="3:49" hidden="1" x14ac:dyDescent="0.25">
      <c r="C226" s="26" t="str">
        <f>Tools!$C$1</f>
        <v>Example</v>
      </c>
      <c r="D226" s="27" t="s">
        <v>75</v>
      </c>
      <c r="E226" s="28">
        <v>2017</v>
      </c>
      <c r="F226" s="28">
        <f>MATCH(DaybyDay[[#This Row],[RowMonth]],Table3[SummaryMonth],0)</f>
        <v>8</v>
      </c>
      <c r="G226" s="29" t="e">
        <f>MATCH(DaybyDay[[#This Row],[LY-Date]],DaybyDay[Date],0)</f>
        <v>#N/A</v>
      </c>
      <c r="H226" s="30">
        <f>WEEKDAY(DaybyDay[[#This Row],[Date]])</f>
        <v>3</v>
      </c>
      <c r="I226" s="31">
        <v>42955</v>
      </c>
      <c r="J226" s="74">
        <v>8</v>
      </c>
      <c r="K226" s="32">
        <f>SUMIFS(BudgetSeasonality[365 Seasonality],BudgetSeasonality[MonthAdjustment],DaybyDay[[#This Row],[Date]])*SUMIFS(Budgets[Service-Budget],Budgets[BudgetMonth],DaybyDay[[#This Row],[RowMonth]],Budgets[BudgetYear],DaybyDay[[#This Row],[RowYear]])</f>
        <v>0</v>
      </c>
      <c r="L226" s="75">
        <v>1509.2</v>
      </c>
      <c r="M226" s="32">
        <f>INDEX(BudgetSeasonality[365 Seasonality],MATCH(DaybyDay[[#This Row],[Date]],BudgetSeasonality[MonthAdjustment],0))*SUMIFS(Budgets[Retail-Budget],Budgets[BudgetMonth],DaybyDay[[#This Row],[RowMonth]],Budgets[BudgetYear],DaybyDay[[#This Row],[RowYear]])</f>
        <v>0</v>
      </c>
      <c r="N226" s="75">
        <v>260</v>
      </c>
      <c r="O226" s="33">
        <f>SUMIFS(DaybyDay[Service-Budgets],DaybyDay[Date],"&gt;="&amp;$C$5,DaybyDay[RowYear],"&gt;="&amp;$C$4,DaybyDay[Date],"&lt;="&amp;DaybyDay[[#This Row],[Date]])</f>
        <v>0</v>
      </c>
      <c r="P226" s="33">
        <f>SUMIFS(DaybyDay[Retail-Budgets],DaybyDay[Date],"&gt;="&amp;$C$5,DaybyDay[RowYear],"&gt;="&amp;$C$4,DaybyDay[Date],"&lt;="&amp;DaybyDay[[#This Row],[Date]])</f>
        <v>0</v>
      </c>
      <c r="Q226" s="34">
        <f>SUMIFS(DaybyDay[Service-Actuals],DaybyDay[Date],"&gt;="&amp;$C$5,DaybyDay[RowYear],"&gt;="&amp;$C$4,DaybyDay[Date],"&lt;="&amp;DaybyDay[[#This Row],[Date]])</f>
        <v>0</v>
      </c>
      <c r="R226" s="34">
        <f>SUMIFS(DaybyDay[Retail-Actuals],DaybyDay[Date],"&gt;="&amp;$C$5,DaybyDay[RowYear],"&gt;="&amp;$C$4,DaybyDay[Date],"&lt;="&amp;DaybyDay[[#This Row],[Date]])</f>
        <v>0</v>
      </c>
      <c r="S226" s="35">
        <f>SUMIFS(DaybyDay[Service-LY],DaybyDay[Date],"&gt;="&amp;$C$5,DaybyDay[RowYear],"&gt;="&amp;$C$4,DaybyDay[Date],"&lt;="&amp;DaybyDay[[#This Row],[Date]])</f>
        <v>0</v>
      </c>
      <c r="T226" s="35">
        <f>SUMIFS(DaybyDay[Retail-LY],DaybyDay[Date],"&gt;="&amp;$C$5,DaybyDay[RowYear],"&gt;="&amp;$C$4,DaybyDay[Date],"&lt;="&amp;DaybyDay[[#This Row],[Date]])</f>
        <v>0</v>
      </c>
      <c r="U226" s="32">
        <f>DaybyDay[[#This Row],[Serv-Bud-RU]]+DaybyDay[[#This Row],[Ret-Bud-RU]]</f>
        <v>0</v>
      </c>
      <c r="V226" s="32">
        <f>DaybyDay[[#This Row],[Serv-Act-RU]]+DaybyDay[[#This Row],[Ret-Act-RU]]</f>
        <v>0</v>
      </c>
      <c r="W226" s="36">
        <f>IF(DaybyDay[[#This Row],[_Space]],IFERROR(
((DaybyDay[[#This Row],[Actual-Rollup]]-DaybyDay[[#This Row],[Budget-Rollup]])/DaybyDay[[#This Row],[Budget-Rollup]]),0),"")</f>
        <v>0</v>
      </c>
      <c r="X226" t="b">
        <f>NOT(AND(ISBLANK(DaybyDay[[#This Row],[Appts]]),ISBLANK(DaybyDay[[#This Row],[Service-Actuals]]),ISBLANK(DaybyDay[[#This Row],[Retail-Actuals]])))</f>
        <v>1</v>
      </c>
      <c r="Y226" s="36">
        <f>IF(DaybyDay[[#This Row],[_Space]],IFERROR(
((DaybyDay[[#This Row],[Actual-Rollup]]-DaybyDay[[#This Row],[LY-Rollup]])/DaybyDay[[#This Row],[LY-Rollup]]),0),"")</f>
        <v>0</v>
      </c>
      <c r="Z226"/>
      <c r="AA226" s="37" t="e">
        <f>IF(DaybyDay[[#This Row],[_Space]],DaybyDay[[#This Row],[Ret-Act-RU]]/DaybyDay[[#This Row],[Serv-Act-RU]],"")</f>
        <v>#DIV/0!</v>
      </c>
      <c r="AB226" s="50" t="e">
        <f>IF(DaybyDay[[#This Row],[_Space]],DaybyDay[[#This Row],[RETPEN-Act]]/DaybyDay[[#This Row],[RETPEN-Bud]],"")</f>
        <v>#DIV/0!</v>
      </c>
      <c r="AC226" s="37" t="e">
        <f>IF(DaybyDay[[#This Row],[_Space]],DaybyDay[[#This Row],[Ret-Bud-RU]]/DaybyDay[[#This Row],[Serv-Bud-RU]],"")</f>
        <v>#DIV/0!</v>
      </c>
      <c r="AD226" s="37" t="e">
        <f>IF(DaybyDay[[#This Row],[_Space]],DaybyDay[[#This Row],[Ret-LY-RU]]/DaybyDay[[#This Row],[Serv-LY-RU]],"")</f>
        <v>#DIV/0!</v>
      </c>
      <c r="AE226" s="30">
        <f>WEEKDAY(DaybyDay[[#This Row],[LY-Date]])</f>
        <v>3</v>
      </c>
      <c r="AF226" s="38">
        <f>$E$2+_xlfn.DAYS(DaybyDay[[#This Row],[Date]],minDate)</f>
        <v>42591</v>
      </c>
      <c r="AG226" s="39" t="str" cm="1">
        <f t="array" ref="AG226">IFERROR(INDEX(DaybyDay[],DaybyDay[[#This Row],[FORM_MATCH_HELPER]],8),"")</f>
        <v/>
      </c>
      <c r="AH226" s="39" t="str" cm="1">
        <f t="array" ref="AH226">IFERROR(INDEX(DaybyDay[],DaybyDay[[#This Row],[FORM_MATCH_HELPER]],10),"")</f>
        <v/>
      </c>
      <c r="AI226" s="39" t="str" cm="1">
        <f t="array" ref="AI226">IFERROR(INDEX(DaybyDay[],DaybyDay[[#This Row],[FORM_MATCH_HELPER]],12),"")</f>
        <v/>
      </c>
      <c r="AJ226" s="32">
        <f>IFERROR(DaybyDay[[#This Row],[Serv-LY-RU]]+DaybyDay[[#This Row],[Ret-LY-RU]],"")</f>
        <v>0</v>
      </c>
      <c r="AK2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6" s="77"/>
      <c r="AM226" s="40" t="str">
        <f>IF(DaybyDay[[#This Row],[Admin Hours]]&gt;0,DaybyDay[[#This Row],[Admin Hours]]*$AM$2+$AM$3,"")</f>
        <v/>
      </c>
      <c r="AN226" s="40">
        <f>SUMIFS(DaybyDay[Est-Admin-Payroll],DaybyDay[Date],"&gt;="&amp;$C$5,DaybyDay[RowYear],"&gt;="&amp;$C$4,DaybyDay[Date],"&lt;="&amp;DaybyDay[[#This Row],[Date]])</f>
        <v>0</v>
      </c>
      <c r="AO226" s="41" t="str">
        <f>IF(AND(DaybyDay[[#This Row],[_Space]],ISNUMBER(DaybyDay[[#This Row],[Admin Hours]])),DaybyDay[[#This Row],[Est-Admin-Payroll]]/(DaybyDay[[#This Row],[Service-Actuals]]+DaybyDay[[#This Row],[Retail-Actuals]]),"")</f>
        <v/>
      </c>
      <c r="AP226" s="41" t="e">
        <f>DaybyDay[[#This Row],[Estimated-Payroll-Rollup]]/DaybyDay[[#This Row],[Simple-Forecast]]</f>
        <v>#DIV/0!</v>
      </c>
      <c r="AQ2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6" s="77"/>
      <c r="AS226" s="40" t="str">
        <f>IF(DaybyDay[[#This Row],[Retail Hours]]&gt;0,DaybyDay[[#This Row],[Retail Hours]]*$AS$2,"")</f>
        <v/>
      </c>
      <c r="AT226" s="40">
        <f>SUMIFS(DaybyDay[Est-Retail-Payroll],DaybyDay[Date],"&gt;="&amp;$C$5,DaybyDay[RowYear],"&gt;="&amp;$C$4,DaybyDay[Date],"&lt;="&amp;DaybyDay[[#This Row],[Date]])</f>
        <v>0</v>
      </c>
      <c r="AU226" s="82" t="str">
        <f>IF(AND(DaybyDay[[#This Row],[_Space]],ISNUMBER(DaybyDay[[#This Row],[Retail Hours]])),DaybyDay[[#This Row],[Est-Retail-Payroll]]/(DaybyDay[[#This Row],[Retail-Actuals]]),"")</f>
        <v/>
      </c>
      <c r="AV226" s="82" t="e">
        <f>DaybyDay[[#This Row],[Est-Retail-PayrollRU]]/DaybyDay[[#This Row],[Simple-Forecast-Retail]]</f>
        <v>#DIV/0!</v>
      </c>
      <c r="AW226" s="8"/>
    </row>
    <row r="227" spans="3:49" hidden="1" x14ac:dyDescent="0.25">
      <c r="C227" s="26" t="str">
        <f>Tools!$C$1</f>
        <v>Example</v>
      </c>
      <c r="D227" s="27" t="s">
        <v>75</v>
      </c>
      <c r="E227" s="28">
        <v>2017</v>
      </c>
      <c r="F227" s="28">
        <f>MATCH(DaybyDay[[#This Row],[RowMonth]],Table3[SummaryMonth],0)</f>
        <v>8</v>
      </c>
      <c r="G227" s="29" t="e">
        <f>MATCH(DaybyDay[[#This Row],[LY-Date]],DaybyDay[Date],0)</f>
        <v>#N/A</v>
      </c>
      <c r="H227" s="30">
        <f>WEEKDAY(DaybyDay[[#This Row],[Date]])</f>
        <v>4</v>
      </c>
      <c r="I227" s="31">
        <v>42956</v>
      </c>
      <c r="J227" s="74">
        <v>18</v>
      </c>
      <c r="K227" s="32">
        <f>SUMIFS(BudgetSeasonality[365 Seasonality],BudgetSeasonality[MonthAdjustment],DaybyDay[[#This Row],[Date]])*SUMIFS(Budgets[Service-Budget],Budgets[BudgetMonth],DaybyDay[[#This Row],[RowMonth]],Budgets[BudgetYear],DaybyDay[[#This Row],[RowYear]])</f>
        <v>0</v>
      </c>
      <c r="L227" s="75">
        <v>4136.2</v>
      </c>
      <c r="M227" s="32">
        <f>INDEX(BudgetSeasonality[365 Seasonality],MATCH(DaybyDay[[#This Row],[Date]],BudgetSeasonality[MonthAdjustment],0))*SUMIFS(Budgets[Retail-Budget],Budgets[BudgetMonth],DaybyDay[[#This Row],[RowMonth]],Budgets[BudgetYear],DaybyDay[[#This Row],[RowYear]])</f>
        <v>0</v>
      </c>
      <c r="N227" s="75">
        <v>1480</v>
      </c>
      <c r="O227" s="33">
        <f>SUMIFS(DaybyDay[Service-Budgets],DaybyDay[Date],"&gt;="&amp;$C$5,DaybyDay[RowYear],"&gt;="&amp;$C$4,DaybyDay[Date],"&lt;="&amp;DaybyDay[[#This Row],[Date]])</f>
        <v>0</v>
      </c>
      <c r="P227" s="33">
        <f>SUMIFS(DaybyDay[Retail-Budgets],DaybyDay[Date],"&gt;="&amp;$C$5,DaybyDay[RowYear],"&gt;="&amp;$C$4,DaybyDay[Date],"&lt;="&amp;DaybyDay[[#This Row],[Date]])</f>
        <v>0</v>
      </c>
      <c r="Q227" s="34">
        <f>SUMIFS(DaybyDay[Service-Actuals],DaybyDay[Date],"&gt;="&amp;$C$5,DaybyDay[RowYear],"&gt;="&amp;$C$4,DaybyDay[Date],"&lt;="&amp;DaybyDay[[#This Row],[Date]])</f>
        <v>0</v>
      </c>
      <c r="R227" s="34">
        <f>SUMIFS(DaybyDay[Retail-Actuals],DaybyDay[Date],"&gt;="&amp;$C$5,DaybyDay[RowYear],"&gt;="&amp;$C$4,DaybyDay[Date],"&lt;="&amp;DaybyDay[[#This Row],[Date]])</f>
        <v>0</v>
      </c>
      <c r="S227" s="35">
        <f>SUMIFS(DaybyDay[Service-LY],DaybyDay[Date],"&gt;="&amp;$C$5,DaybyDay[RowYear],"&gt;="&amp;$C$4,DaybyDay[Date],"&lt;="&amp;DaybyDay[[#This Row],[Date]])</f>
        <v>0</v>
      </c>
      <c r="T227" s="35">
        <f>SUMIFS(DaybyDay[Retail-LY],DaybyDay[Date],"&gt;="&amp;$C$5,DaybyDay[RowYear],"&gt;="&amp;$C$4,DaybyDay[Date],"&lt;="&amp;DaybyDay[[#This Row],[Date]])</f>
        <v>0</v>
      </c>
      <c r="U227" s="32">
        <f>DaybyDay[[#This Row],[Serv-Bud-RU]]+DaybyDay[[#This Row],[Ret-Bud-RU]]</f>
        <v>0</v>
      </c>
      <c r="V227" s="32">
        <f>DaybyDay[[#This Row],[Serv-Act-RU]]+DaybyDay[[#This Row],[Ret-Act-RU]]</f>
        <v>0</v>
      </c>
      <c r="W227" s="36">
        <f>IF(DaybyDay[[#This Row],[_Space]],IFERROR(
((DaybyDay[[#This Row],[Actual-Rollup]]-DaybyDay[[#This Row],[Budget-Rollup]])/DaybyDay[[#This Row],[Budget-Rollup]]),0),"")</f>
        <v>0</v>
      </c>
      <c r="X227" t="b">
        <f>NOT(AND(ISBLANK(DaybyDay[[#This Row],[Appts]]),ISBLANK(DaybyDay[[#This Row],[Service-Actuals]]),ISBLANK(DaybyDay[[#This Row],[Retail-Actuals]])))</f>
        <v>1</v>
      </c>
      <c r="Y227" s="36">
        <f>IF(DaybyDay[[#This Row],[_Space]],IFERROR(
((DaybyDay[[#This Row],[Actual-Rollup]]-DaybyDay[[#This Row],[LY-Rollup]])/DaybyDay[[#This Row],[LY-Rollup]]),0),"")</f>
        <v>0</v>
      </c>
      <c r="Z227"/>
      <c r="AA227" s="37" t="e">
        <f>IF(DaybyDay[[#This Row],[_Space]],DaybyDay[[#This Row],[Ret-Act-RU]]/DaybyDay[[#This Row],[Serv-Act-RU]],"")</f>
        <v>#DIV/0!</v>
      </c>
      <c r="AB227" s="50" t="e">
        <f>IF(DaybyDay[[#This Row],[_Space]],DaybyDay[[#This Row],[RETPEN-Act]]/DaybyDay[[#This Row],[RETPEN-Bud]],"")</f>
        <v>#DIV/0!</v>
      </c>
      <c r="AC227" s="37" t="e">
        <f>IF(DaybyDay[[#This Row],[_Space]],DaybyDay[[#This Row],[Ret-Bud-RU]]/DaybyDay[[#This Row],[Serv-Bud-RU]],"")</f>
        <v>#DIV/0!</v>
      </c>
      <c r="AD227" s="37" t="e">
        <f>IF(DaybyDay[[#This Row],[_Space]],DaybyDay[[#This Row],[Ret-LY-RU]]/DaybyDay[[#This Row],[Serv-LY-RU]],"")</f>
        <v>#DIV/0!</v>
      </c>
      <c r="AE227" s="30">
        <f>WEEKDAY(DaybyDay[[#This Row],[LY-Date]])</f>
        <v>4</v>
      </c>
      <c r="AF227" s="38">
        <f>$E$2+_xlfn.DAYS(DaybyDay[[#This Row],[Date]],minDate)</f>
        <v>42592</v>
      </c>
      <c r="AG227" s="39" t="str" cm="1">
        <f t="array" ref="AG227">IFERROR(INDEX(DaybyDay[],DaybyDay[[#This Row],[FORM_MATCH_HELPER]],8),"")</f>
        <v/>
      </c>
      <c r="AH227" s="39" t="str" cm="1">
        <f t="array" ref="AH227">IFERROR(INDEX(DaybyDay[],DaybyDay[[#This Row],[FORM_MATCH_HELPER]],10),"")</f>
        <v/>
      </c>
      <c r="AI227" s="39" t="str" cm="1">
        <f t="array" ref="AI227">IFERROR(INDEX(DaybyDay[],DaybyDay[[#This Row],[FORM_MATCH_HELPER]],12),"")</f>
        <v/>
      </c>
      <c r="AJ227" s="32">
        <f>IFERROR(DaybyDay[[#This Row],[Serv-LY-RU]]+DaybyDay[[#This Row],[Ret-LY-RU]],"")</f>
        <v>0</v>
      </c>
      <c r="AK2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7" s="77"/>
      <c r="AM227" s="40" t="str">
        <f>IF(DaybyDay[[#This Row],[Admin Hours]]&gt;0,DaybyDay[[#This Row],[Admin Hours]]*$AM$2+$AM$3,"")</f>
        <v/>
      </c>
      <c r="AN227" s="40">
        <f>SUMIFS(DaybyDay[Est-Admin-Payroll],DaybyDay[Date],"&gt;="&amp;$C$5,DaybyDay[RowYear],"&gt;="&amp;$C$4,DaybyDay[Date],"&lt;="&amp;DaybyDay[[#This Row],[Date]])</f>
        <v>0</v>
      </c>
      <c r="AO227" s="41" t="str">
        <f>IF(AND(DaybyDay[[#This Row],[_Space]],ISNUMBER(DaybyDay[[#This Row],[Admin Hours]])),DaybyDay[[#This Row],[Est-Admin-Payroll]]/(DaybyDay[[#This Row],[Service-Actuals]]+DaybyDay[[#This Row],[Retail-Actuals]]),"")</f>
        <v/>
      </c>
      <c r="AP227" s="41" t="e">
        <f>DaybyDay[[#This Row],[Estimated-Payroll-Rollup]]/DaybyDay[[#This Row],[Simple-Forecast]]</f>
        <v>#DIV/0!</v>
      </c>
      <c r="AQ2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7" s="77"/>
      <c r="AS227" s="40" t="str">
        <f>IF(DaybyDay[[#This Row],[Retail Hours]]&gt;0,DaybyDay[[#This Row],[Retail Hours]]*$AS$2,"")</f>
        <v/>
      </c>
      <c r="AT227" s="40">
        <f>SUMIFS(DaybyDay[Est-Retail-Payroll],DaybyDay[Date],"&gt;="&amp;$C$5,DaybyDay[RowYear],"&gt;="&amp;$C$4,DaybyDay[Date],"&lt;="&amp;DaybyDay[[#This Row],[Date]])</f>
        <v>0</v>
      </c>
      <c r="AU227" s="82" t="str">
        <f>IF(AND(DaybyDay[[#This Row],[_Space]],ISNUMBER(DaybyDay[[#This Row],[Retail Hours]])),DaybyDay[[#This Row],[Est-Retail-Payroll]]/(DaybyDay[[#This Row],[Retail-Actuals]]),"")</f>
        <v/>
      </c>
      <c r="AV227" s="82" t="e">
        <f>DaybyDay[[#This Row],[Est-Retail-PayrollRU]]/DaybyDay[[#This Row],[Simple-Forecast-Retail]]</f>
        <v>#DIV/0!</v>
      </c>
      <c r="AW227" s="8"/>
    </row>
    <row r="228" spans="3:49" hidden="1" x14ac:dyDescent="0.25">
      <c r="C228" s="26" t="str">
        <f>Tools!$C$1</f>
        <v>Example</v>
      </c>
      <c r="D228" s="27" t="s">
        <v>75</v>
      </c>
      <c r="E228" s="28">
        <v>2017</v>
      </c>
      <c r="F228" s="28">
        <f>MATCH(DaybyDay[[#This Row],[RowMonth]],Table3[SummaryMonth],0)</f>
        <v>8</v>
      </c>
      <c r="G228" s="29" t="e">
        <f>MATCH(DaybyDay[[#This Row],[LY-Date]],DaybyDay[Date],0)</f>
        <v>#N/A</v>
      </c>
      <c r="H228" s="30">
        <f>WEEKDAY(DaybyDay[[#This Row],[Date]])</f>
        <v>5</v>
      </c>
      <c r="I228" s="31">
        <v>42957</v>
      </c>
      <c r="J228" s="74">
        <v>15</v>
      </c>
      <c r="K228" s="32">
        <f>SUMIFS(BudgetSeasonality[365 Seasonality],BudgetSeasonality[MonthAdjustment],DaybyDay[[#This Row],[Date]])*SUMIFS(Budgets[Service-Budget],Budgets[BudgetMonth],DaybyDay[[#This Row],[RowMonth]],Budgets[BudgetYear],DaybyDay[[#This Row],[RowYear]])</f>
        <v>0</v>
      </c>
      <c r="L228" s="75">
        <v>3745.4</v>
      </c>
      <c r="M228" s="32">
        <f>INDEX(BudgetSeasonality[365 Seasonality],MATCH(DaybyDay[[#This Row],[Date]],BudgetSeasonality[MonthAdjustment],0))*SUMIFS(Budgets[Retail-Budget],Budgets[BudgetMonth],DaybyDay[[#This Row],[RowMonth]],Budgets[BudgetYear],DaybyDay[[#This Row],[RowYear]])</f>
        <v>0</v>
      </c>
      <c r="N228" s="75">
        <v>1274.2</v>
      </c>
      <c r="O228" s="33">
        <f>SUMIFS(DaybyDay[Service-Budgets],DaybyDay[Date],"&gt;="&amp;$C$5,DaybyDay[RowYear],"&gt;="&amp;$C$4,DaybyDay[Date],"&lt;="&amp;DaybyDay[[#This Row],[Date]])</f>
        <v>0</v>
      </c>
      <c r="P228" s="33">
        <f>SUMIFS(DaybyDay[Retail-Budgets],DaybyDay[Date],"&gt;="&amp;$C$5,DaybyDay[RowYear],"&gt;="&amp;$C$4,DaybyDay[Date],"&lt;="&amp;DaybyDay[[#This Row],[Date]])</f>
        <v>0</v>
      </c>
      <c r="Q228" s="34">
        <f>SUMIFS(DaybyDay[Service-Actuals],DaybyDay[Date],"&gt;="&amp;$C$5,DaybyDay[RowYear],"&gt;="&amp;$C$4,DaybyDay[Date],"&lt;="&amp;DaybyDay[[#This Row],[Date]])</f>
        <v>0</v>
      </c>
      <c r="R228" s="34">
        <f>SUMIFS(DaybyDay[Retail-Actuals],DaybyDay[Date],"&gt;="&amp;$C$5,DaybyDay[RowYear],"&gt;="&amp;$C$4,DaybyDay[Date],"&lt;="&amp;DaybyDay[[#This Row],[Date]])</f>
        <v>0</v>
      </c>
      <c r="S228" s="35">
        <f>SUMIFS(DaybyDay[Service-LY],DaybyDay[Date],"&gt;="&amp;$C$5,DaybyDay[RowYear],"&gt;="&amp;$C$4,DaybyDay[Date],"&lt;="&amp;DaybyDay[[#This Row],[Date]])</f>
        <v>0</v>
      </c>
      <c r="T228" s="35">
        <f>SUMIFS(DaybyDay[Retail-LY],DaybyDay[Date],"&gt;="&amp;$C$5,DaybyDay[RowYear],"&gt;="&amp;$C$4,DaybyDay[Date],"&lt;="&amp;DaybyDay[[#This Row],[Date]])</f>
        <v>0</v>
      </c>
      <c r="U228" s="32">
        <f>DaybyDay[[#This Row],[Serv-Bud-RU]]+DaybyDay[[#This Row],[Ret-Bud-RU]]</f>
        <v>0</v>
      </c>
      <c r="V228" s="32">
        <f>DaybyDay[[#This Row],[Serv-Act-RU]]+DaybyDay[[#This Row],[Ret-Act-RU]]</f>
        <v>0</v>
      </c>
      <c r="W228" s="36">
        <f>IF(DaybyDay[[#This Row],[_Space]],IFERROR(
((DaybyDay[[#This Row],[Actual-Rollup]]-DaybyDay[[#This Row],[Budget-Rollup]])/DaybyDay[[#This Row],[Budget-Rollup]]),0),"")</f>
        <v>0</v>
      </c>
      <c r="X228" t="b">
        <f>NOT(AND(ISBLANK(DaybyDay[[#This Row],[Appts]]),ISBLANK(DaybyDay[[#This Row],[Service-Actuals]]),ISBLANK(DaybyDay[[#This Row],[Retail-Actuals]])))</f>
        <v>1</v>
      </c>
      <c r="Y228" s="36">
        <f>IF(DaybyDay[[#This Row],[_Space]],IFERROR(
((DaybyDay[[#This Row],[Actual-Rollup]]-DaybyDay[[#This Row],[LY-Rollup]])/DaybyDay[[#This Row],[LY-Rollup]]),0),"")</f>
        <v>0</v>
      </c>
      <c r="Z228"/>
      <c r="AA228" s="37" t="e">
        <f>IF(DaybyDay[[#This Row],[_Space]],DaybyDay[[#This Row],[Ret-Act-RU]]/DaybyDay[[#This Row],[Serv-Act-RU]],"")</f>
        <v>#DIV/0!</v>
      </c>
      <c r="AB228" s="50" t="e">
        <f>IF(DaybyDay[[#This Row],[_Space]],DaybyDay[[#This Row],[RETPEN-Act]]/DaybyDay[[#This Row],[RETPEN-Bud]],"")</f>
        <v>#DIV/0!</v>
      </c>
      <c r="AC228" s="37" t="e">
        <f>IF(DaybyDay[[#This Row],[_Space]],DaybyDay[[#This Row],[Ret-Bud-RU]]/DaybyDay[[#This Row],[Serv-Bud-RU]],"")</f>
        <v>#DIV/0!</v>
      </c>
      <c r="AD228" s="37" t="e">
        <f>IF(DaybyDay[[#This Row],[_Space]],DaybyDay[[#This Row],[Ret-LY-RU]]/DaybyDay[[#This Row],[Serv-LY-RU]],"")</f>
        <v>#DIV/0!</v>
      </c>
      <c r="AE228" s="30">
        <f>WEEKDAY(DaybyDay[[#This Row],[LY-Date]])</f>
        <v>5</v>
      </c>
      <c r="AF228" s="38">
        <f>$E$2+_xlfn.DAYS(DaybyDay[[#This Row],[Date]],minDate)</f>
        <v>42593</v>
      </c>
      <c r="AG228" s="39" t="str" cm="1">
        <f t="array" ref="AG228">IFERROR(INDEX(DaybyDay[],DaybyDay[[#This Row],[FORM_MATCH_HELPER]],8),"")</f>
        <v/>
      </c>
      <c r="AH228" s="39" t="str" cm="1">
        <f t="array" ref="AH228">IFERROR(INDEX(DaybyDay[],DaybyDay[[#This Row],[FORM_MATCH_HELPER]],10),"")</f>
        <v/>
      </c>
      <c r="AI228" s="39" t="str" cm="1">
        <f t="array" ref="AI228">IFERROR(INDEX(DaybyDay[],DaybyDay[[#This Row],[FORM_MATCH_HELPER]],12),"")</f>
        <v/>
      </c>
      <c r="AJ228" s="32">
        <f>IFERROR(DaybyDay[[#This Row],[Serv-LY-RU]]+DaybyDay[[#This Row],[Ret-LY-RU]],"")</f>
        <v>0</v>
      </c>
      <c r="AK2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8" s="77"/>
      <c r="AM228" s="40" t="str">
        <f>IF(DaybyDay[[#This Row],[Admin Hours]]&gt;0,DaybyDay[[#This Row],[Admin Hours]]*$AM$2+$AM$3,"")</f>
        <v/>
      </c>
      <c r="AN228" s="40">
        <f>SUMIFS(DaybyDay[Est-Admin-Payroll],DaybyDay[Date],"&gt;="&amp;$C$5,DaybyDay[RowYear],"&gt;="&amp;$C$4,DaybyDay[Date],"&lt;="&amp;DaybyDay[[#This Row],[Date]])</f>
        <v>0</v>
      </c>
      <c r="AO228" s="41" t="str">
        <f>IF(AND(DaybyDay[[#This Row],[_Space]],ISNUMBER(DaybyDay[[#This Row],[Admin Hours]])),DaybyDay[[#This Row],[Est-Admin-Payroll]]/(DaybyDay[[#This Row],[Service-Actuals]]+DaybyDay[[#This Row],[Retail-Actuals]]),"")</f>
        <v/>
      </c>
      <c r="AP228" s="41" t="e">
        <f>DaybyDay[[#This Row],[Estimated-Payroll-Rollup]]/DaybyDay[[#This Row],[Simple-Forecast]]</f>
        <v>#DIV/0!</v>
      </c>
      <c r="AQ2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8" s="77"/>
      <c r="AS228" s="40" t="str">
        <f>IF(DaybyDay[[#This Row],[Retail Hours]]&gt;0,DaybyDay[[#This Row],[Retail Hours]]*$AS$2,"")</f>
        <v/>
      </c>
      <c r="AT228" s="40">
        <f>SUMIFS(DaybyDay[Est-Retail-Payroll],DaybyDay[Date],"&gt;="&amp;$C$5,DaybyDay[RowYear],"&gt;="&amp;$C$4,DaybyDay[Date],"&lt;="&amp;DaybyDay[[#This Row],[Date]])</f>
        <v>0</v>
      </c>
      <c r="AU228" s="82" t="str">
        <f>IF(AND(DaybyDay[[#This Row],[_Space]],ISNUMBER(DaybyDay[[#This Row],[Retail Hours]])),DaybyDay[[#This Row],[Est-Retail-Payroll]]/(DaybyDay[[#This Row],[Retail-Actuals]]),"")</f>
        <v/>
      </c>
      <c r="AV228" s="82" t="e">
        <f>DaybyDay[[#This Row],[Est-Retail-PayrollRU]]/DaybyDay[[#This Row],[Simple-Forecast-Retail]]</f>
        <v>#DIV/0!</v>
      </c>
      <c r="AW228" s="8"/>
    </row>
    <row r="229" spans="3:49" hidden="1" x14ac:dyDescent="0.25">
      <c r="C229" s="26" t="str">
        <f>Tools!$C$1</f>
        <v>Example</v>
      </c>
      <c r="D229" s="27" t="s">
        <v>75</v>
      </c>
      <c r="E229" s="28">
        <v>2017</v>
      </c>
      <c r="F229" s="28">
        <f>MATCH(DaybyDay[[#This Row],[RowMonth]],Table3[SummaryMonth],0)</f>
        <v>8</v>
      </c>
      <c r="G229" s="29" t="e">
        <f>MATCH(DaybyDay[[#This Row],[LY-Date]],DaybyDay[Date],0)</f>
        <v>#N/A</v>
      </c>
      <c r="H229" s="30">
        <f>WEEKDAY(DaybyDay[[#This Row],[Date]])</f>
        <v>6</v>
      </c>
      <c r="I229" s="31">
        <v>42958</v>
      </c>
      <c r="J229" s="74">
        <v>26</v>
      </c>
      <c r="K229" s="32">
        <f>SUMIFS(BudgetSeasonality[365 Seasonality],BudgetSeasonality[MonthAdjustment],DaybyDay[[#This Row],[Date]])*SUMIFS(Budgets[Service-Budget],Budgets[BudgetMonth],DaybyDay[[#This Row],[RowMonth]],Budgets[BudgetYear],DaybyDay[[#This Row],[RowYear]])</f>
        <v>0</v>
      </c>
      <c r="L229" s="75">
        <v>6096.58</v>
      </c>
      <c r="M229" s="32">
        <f>INDEX(BudgetSeasonality[365 Seasonality],MATCH(DaybyDay[[#This Row],[Date]],BudgetSeasonality[MonthAdjustment],0))*SUMIFS(Budgets[Retail-Budget],Budgets[BudgetMonth],DaybyDay[[#This Row],[RowMonth]],Budgets[BudgetYear],DaybyDay[[#This Row],[RowYear]])</f>
        <v>0</v>
      </c>
      <c r="N229" s="75">
        <v>1594.85</v>
      </c>
      <c r="O229" s="33">
        <f>SUMIFS(DaybyDay[Service-Budgets],DaybyDay[Date],"&gt;="&amp;$C$5,DaybyDay[RowYear],"&gt;="&amp;$C$4,DaybyDay[Date],"&lt;="&amp;DaybyDay[[#This Row],[Date]])</f>
        <v>0</v>
      </c>
      <c r="P229" s="33">
        <f>SUMIFS(DaybyDay[Retail-Budgets],DaybyDay[Date],"&gt;="&amp;$C$5,DaybyDay[RowYear],"&gt;="&amp;$C$4,DaybyDay[Date],"&lt;="&amp;DaybyDay[[#This Row],[Date]])</f>
        <v>0</v>
      </c>
      <c r="Q229" s="34">
        <f>SUMIFS(DaybyDay[Service-Actuals],DaybyDay[Date],"&gt;="&amp;$C$5,DaybyDay[RowYear],"&gt;="&amp;$C$4,DaybyDay[Date],"&lt;="&amp;DaybyDay[[#This Row],[Date]])</f>
        <v>0</v>
      </c>
      <c r="R229" s="34">
        <f>SUMIFS(DaybyDay[Retail-Actuals],DaybyDay[Date],"&gt;="&amp;$C$5,DaybyDay[RowYear],"&gt;="&amp;$C$4,DaybyDay[Date],"&lt;="&amp;DaybyDay[[#This Row],[Date]])</f>
        <v>0</v>
      </c>
      <c r="S229" s="35">
        <f>SUMIFS(DaybyDay[Service-LY],DaybyDay[Date],"&gt;="&amp;$C$5,DaybyDay[RowYear],"&gt;="&amp;$C$4,DaybyDay[Date],"&lt;="&amp;DaybyDay[[#This Row],[Date]])</f>
        <v>0</v>
      </c>
      <c r="T229" s="35">
        <f>SUMIFS(DaybyDay[Retail-LY],DaybyDay[Date],"&gt;="&amp;$C$5,DaybyDay[RowYear],"&gt;="&amp;$C$4,DaybyDay[Date],"&lt;="&amp;DaybyDay[[#This Row],[Date]])</f>
        <v>0</v>
      </c>
      <c r="U229" s="32">
        <f>DaybyDay[[#This Row],[Serv-Bud-RU]]+DaybyDay[[#This Row],[Ret-Bud-RU]]</f>
        <v>0</v>
      </c>
      <c r="V229" s="32">
        <f>DaybyDay[[#This Row],[Serv-Act-RU]]+DaybyDay[[#This Row],[Ret-Act-RU]]</f>
        <v>0</v>
      </c>
      <c r="W229" s="36">
        <f>IF(DaybyDay[[#This Row],[_Space]],IFERROR(
((DaybyDay[[#This Row],[Actual-Rollup]]-DaybyDay[[#This Row],[Budget-Rollup]])/DaybyDay[[#This Row],[Budget-Rollup]]),0),"")</f>
        <v>0</v>
      </c>
      <c r="X229" t="b">
        <f>NOT(AND(ISBLANK(DaybyDay[[#This Row],[Appts]]),ISBLANK(DaybyDay[[#This Row],[Service-Actuals]]),ISBLANK(DaybyDay[[#This Row],[Retail-Actuals]])))</f>
        <v>1</v>
      </c>
      <c r="Y229" s="36">
        <f>IF(DaybyDay[[#This Row],[_Space]],IFERROR(
((DaybyDay[[#This Row],[Actual-Rollup]]-DaybyDay[[#This Row],[LY-Rollup]])/DaybyDay[[#This Row],[LY-Rollup]]),0),"")</f>
        <v>0</v>
      </c>
      <c r="Z229"/>
      <c r="AA229" s="37" t="e">
        <f>IF(DaybyDay[[#This Row],[_Space]],DaybyDay[[#This Row],[Ret-Act-RU]]/DaybyDay[[#This Row],[Serv-Act-RU]],"")</f>
        <v>#DIV/0!</v>
      </c>
      <c r="AB229" s="50" t="e">
        <f>IF(DaybyDay[[#This Row],[_Space]],DaybyDay[[#This Row],[RETPEN-Act]]/DaybyDay[[#This Row],[RETPEN-Bud]],"")</f>
        <v>#DIV/0!</v>
      </c>
      <c r="AC229" s="37" t="e">
        <f>IF(DaybyDay[[#This Row],[_Space]],DaybyDay[[#This Row],[Ret-Bud-RU]]/DaybyDay[[#This Row],[Serv-Bud-RU]],"")</f>
        <v>#DIV/0!</v>
      </c>
      <c r="AD229" s="37" t="e">
        <f>IF(DaybyDay[[#This Row],[_Space]],DaybyDay[[#This Row],[Ret-LY-RU]]/DaybyDay[[#This Row],[Serv-LY-RU]],"")</f>
        <v>#DIV/0!</v>
      </c>
      <c r="AE229" s="30">
        <f>WEEKDAY(DaybyDay[[#This Row],[LY-Date]])</f>
        <v>6</v>
      </c>
      <c r="AF229" s="38">
        <f>$E$2+_xlfn.DAYS(DaybyDay[[#This Row],[Date]],minDate)</f>
        <v>42594</v>
      </c>
      <c r="AG229" s="39" t="str" cm="1">
        <f t="array" ref="AG229">IFERROR(INDEX(DaybyDay[],DaybyDay[[#This Row],[FORM_MATCH_HELPER]],8),"")</f>
        <v/>
      </c>
      <c r="AH229" s="39" t="str" cm="1">
        <f t="array" ref="AH229">IFERROR(INDEX(DaybyDay[],DaybyDay[[#This Row],[FORM_MATCH_HELPER]],10),"")</f>
        <v/>
      </c>
      <c r="AI229" s="39" t="str" cm="1">
        <f t="array" ref="AI229">IFERROR(INDEX(DaybyDay[],DaybyDay[[#This Row],[FORM_MATCH_HELPER]],12),"")</f>
        <v/>
      </c>
      <c r="AJ229" s="32">
        <f>IFERROR(DaybyDay[[#This Row],[Serv-LY-RU]]+DaybyDay[[#This Row],[Ret-LY-RU]],"")</f>
        <v>0</v>
      </c>
      <c r="AK2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29" s="77"/>
      <c r="AM229" s="40" t="str">
        <f>IF(DaybyDay[[#This Row],[Admin Hours]]&gt;0,DaybyDay[[#This Row],[Admin Hours]]*$AM$2+$AM$3,"")</f>
        <v/>
      </c>
      <c r="AN229" s="40">
        <f>SUMIFS(DaybyDay[Est-Admin-Payroll],DaybyDay[Date],"&gt;="&amp;$C$5,DaybyDay[RowYear],"&gt;="&amp;$C$4,DaybyDay[Date],"&lt;="&amp;DaybyDay[[#This Row],[Date]])</f>
        <v>0</v>
      </c>
      <c r="AO229" s="41" t="str">
        <f>IF(AND(DaybyDay[[#This Row],[_Space]],ISNUMBER(DaybyDay[[#This Row],[Admin Hours]])),DaybyDay[[#This Row],[Est-Admin-Payroll]]/(DaybyDay[[#This Row],[Service-Actuals]]+DaybyDay[[#This Row],[Retail-Actuals]]),"")</f>
        <v/>
      </c>
      <c r="AP229" s="41" t="e">
        <f>DaybyDay[[#This Row],[Estimated-Payroll-Rollup]]/DaybyDay[[#This Row],[Simple-Forecast]]</f>
        <v>#DIV/0!</v>
      </c>
      <c r="AQ2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29" s="77"/>
      <c r="AS229" s="40" t="str">
        <f>IF(DaybyDay[[#This Row],[Retail Hours]]&gt;0,DaybyDay[[#This Row],[Retail Hours]]*$AS$2,"")</f>
        <v/>
      </c>
      <c r="AT229" s="40">
        <f>SUMIFS(DaybyDay[Est-Retail-Payroll],DaybyDay[Date],"&gt;="&amp;$C$5,DaybyDay[RowYear],"&gt;="&amp;$C$4,DaybyDay[Date],"&lt;="&amp;DaybyDay[[#This Row],[Date]])</f>
        <v>0</v>
      </c>
      <c r="AU229" s="82" t="str">
        <f>IF(AND(DaybyDay[[#This Row],[_Space]],ISNUMBER(DaybyDay[[#This Row],[Retail Hours]])),DaybyDay[[#This Row],[Est-Retail-Payroll]]/(DaybyDay[[#This Row],[Retail-Actuals]]),"")</f>
        <v/>
      </c>
      <c r="AV229" s="82" t="e">
        <f>DaybyDay[[#This Row],[Est-Retail-PayrollRU]]/DaybyDay[[#This Row],[Simple-Forecast-Retail]]</f>
        <v>#DIV/0!</v>
      </c>
      <c r="AW229" s="8"/>
    </row>
    <row r="230" spans="3:49" hidden="1" x14ac:dyDescent="0.25">
      <c r="C230" s="26" t="str">
        <f>Tools!$C$1</f>
        <v>Example</v>
      </c>
      <c r="D230" s="27" t="s">
        <v>75</v>
      </c>
      <c r="E230" s="28">
        <v>2017</v>
      </c>
      <c r="F230" s="28">
        <f>MATCH(DaybyDay[[#This Row],[RowMonth]],Table3[SummaryMonth],0)</f>
        <v>8</v>
      </c>
      <c r="G230" s="29" t="e">
        <f>MATCH(DaybyDay[[#This Row],[LY-Date]],DaybyDay[Date],0)</f>
        <v>#N/A</v>
      </c>
      <c r="H230" s="30">
        <f>WEEKDAY(DaybyDay[[#This Row],[Date]])</f>
        <v>7</v>
      </c>
      <c r="I230" s="31">
        <v>42959</v>
      </c>
      <c r="J230" s="74">
        <v>31</v>
      </c>
      <c r="K230" s="32">
        <f>SUMIFS(BudgetSeasonality[365 Seasonality],BudgetSeasonality[MonthAdjustment],DaybyDay[[#This Row],[Date]])*SUMIFS(Budgets[Service-Budget],Budgets[BudgetMonth],DaybyDay[[#This Row],[RowMonth]],Budgets[BudgetYear],DaybyDay[[#This Row],[RowYear]])</f>
        <v>0</v>
      </c>
      <c r="L230" s="75">
        <v>6030.25</v>
      </c>
      <c r="M230" s="32">
        <f>INDEX(BudgetSeasonality[365 Seasonality],MATCH(DaybyDay[[#This Row],[Date]],BudgetSeasonality[MonthAdjustment],0))*SUMIFS(Budgets[Retail-Budget],Budgets[BudgetMonth],DaybyDay[[#This Row],[RowMonth]],Budgets[BudgetYear],DaybyDay[[#This Row],[RowYear]])</f>
        <v>0</v>
      </c>
      <c r="N230" s="75">
        <v>3471.2</v>
      </c>
      <c r="O230" s="33">
        <f>SUMIFS(DaybyDay[Service-Budgets],DaybyDay[Date],"&gt;="&amp;$C$5,DaybyDay[RowYear],"&gt;="&amp;$C$4,DaybyDay[Date],"&lt;="&amp;DaybyDay[[#This Row],[Date]])</f>
        <v>0</v>
      </c>
      <c r="P230" s="33">
        <f>SUMIFS(DaybyDay[Retail-Budgets],DaybyDay[Date],"&gt;="&amp;$C$5,DaybyDay[RowYear],"&gt;="&amp;$C$4,DaybyDay[Date],"&lt;="&amp;DaybyDay[[#This Row],[Date]])</f>
        <v>0</v>
      </c>
      <c r="Q230" s="34">
        <f>SUMIFS(DaybyDay[Service-Actuals],DaybyDay[Date],"&gt;="&amp;$C$5,DaybyDay[RowYear],"&gt;="&amp;$C$4,DaybyDay[Date],"&lt;="&amp;DaybyDay[[#This Row],[Date]])</f>
        <v>0</v>
      </c>
      <c r="R230" s="34">
        <f>SUMIFS(DaybyDay[Retail-Actuals],DaybyDay[Date],"&gt;="&amp;$C$5,DaybyDay[RowYear],"&gt;="&amp;$C$4,DaybyDay[Date],"&lt;="&amp;DaybyDay[[#This Row],[Date]])</f>
        <v>0</v>
      </c>
      <c r="S230" s="35">
        <f>SUMIFS(DaybyDay[Service-LY],DaybyDay[Date],"&gt;="&amp;$C$5,DaybyDay[RowYear],"&gt;="&amp;$C$4,DaybyDay[Date],"&lt;="&amp;DaybyDay[[#This Row],[Date]])</f>
        <v>0</v>
      </c>
      <c r="T230" s="35">
        <f>SUMIFS(DaybyDay[Retail-LY],DaybyDay[Date],"&gt;="&amp;$C$5,DaybyDay[RowYear],"&gt;="&amp;$C$4,DaybyDay[Date],"&lt;="&amp;DaybyDay[[#This Row],[Date]])</f>
        <v>0</v>
      </c>
      <c r="U230" s="32">
        <f>DaybyDay[[#This Row],[Serv-Bud-RU]]+DaybyDay[[#This Row],[Ret-Bud-RU]]</f>
        <v>0</v>
      </c>
      <c r="V230" s="32">
        <f>DaybyDay[[#This Row],[Serv-Act-RU]]+DaybyDay[[#This Row],[Ret-Act-RU]]</f>
        <v>0</v>
      </c>
      <c r="W230" s="36">
        <f>IF(DaybyDay[[#This Row],[_Space]],IFERROR(
((DaybyDay[[#This Row],[Actual-Rollup]]-DaybyDay[[#This Row],[Budget-Rollup]])/DaybyDay[[#This Row],[Budget-Rollup]]),0),"")</f>
        <v>0</v>
      </c>
      <c r="X230" t="b">
        <f>NOT(AND(ISBLANK(DaybyDay[[#This Row],[Appts]]),ISBLANK(DaybyDay[[#This Row],[Service-Actuals]]),ISBLANK(DaybyDay[[#This Row],[Retail-Actuals]])))</f>
        <v>1</v>
      </c>
      <c r="Y230" s="36">
        <f>IF(DaybyDay[[#This Row],[_Space]],IFERROR(
((DaybyDay[[#This Row],[Actual-Rollup]]-DaybyDay[[#This Row],[LY-Rollup]])/DaybyDay[[#This Row],[LY-Rollup]]),0),"")</f>
        <v>0</v>
      </c>
      <c r="Z230"/>
      <c r="AA230" s="37" t="e">
        <f>IF(DaybyDay[[#This Row],[_Space]],DaybyDay[[#This Row],[Ret-Act-RU]]/DaybyDay[[#This Row],[Serv-Act-RU]],"")</f>
        <v>#DIV/0!</v>
      </c>
      <c r="AB230" s="50" t="e">
        <f>IF(DaybyDay[[#This Row],[_Space]],DaybyDay[[#This Row],[RETPEN-Act]]/DaybyDay[[#This Row],[RETPEN-Bud]],"")</f>
        <v>#DIV/0!</v>
      </c>
      <c r="AC230" s="37" t="e">
        <f>IF(DaybyDay[[#This Row],[_Space]],DaybyDay[[#This Row],[Ret-Bud-RU]]/DaybyDay[[#This Row],[Serv-Bud-RU]],"")</f>
        <v>#DIV/0!</v>
      </c>
      <c r="AD230" s="37" t="e">
        <f>IF(DaybyDay[[#This Row],[_Space]],DaybyDay[[#This Row],[Ret-LY-RU]]/DaybyDay[[#This Row],[Serv-LY-RU]],"")</f>
        <v>#DIV/0!</v>
      </c>
      <c r="AE230" s="30">
        <f>WEEKDAY(DaybyDay[[#This Row],[LY-Date]])</f>
        <v>7</v>
      </c>
      <c r="AF230" s="38">
        <f>$E$2+_xlfn.DAYS(DaybyDay[[#This Row],[Date]],minDate)</f>
        <v>42595</v>
      </c>
      <c r="AG230" s="39" t="str" cm="1">
        <f t="array" ref="AG230">IFERROR(INDEX(DaybyDay[],DaybyDay[[#This Row],[FORM_MATCH_HELPER]],8),"")</f>
        <v/>
      </c>
      <c r="AH230" s="39" t="str" cm="1">
        <f t="array" ref="AH230">IFERROR(INDEX(DaybyDay[],DaybyDay[[#This Row],[FORM_MATCH_HELPER]],10),"")</f>
        <v/>
      </c>
      <c r="AI230" s="39" t="str" cm="1">
        <f t="array" ref="AI230">IFERROR(INDEX(DaybyDay[],DaybyDay[[#This Row],[FORM_MATCH_HELPER]],12),"")</f>
        <v/>
      </c>
      <c r="AJ230" s="32">
        <f>IFERROR(DaybyDay[[#This Row],[Serv-LY-RU]]+DaybyDay[[#This Row],[Ret-LY-RU]],"")</f>
        <v>0</v>
      </c>
      <c r="AK2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0" s="77"/>
      <c r="AM230" s="40" t="str">
        <f>IF(DaybyDay[[#This Row],[Admin Hours]]&gt;0,DaybyDay[[#This Row],[Admin Hours]]*$AM$2+$AM$3,"")</f>
        <v/>
      </c>
      <c r="AN230" s="40">
        <f>SUMIFS(DaybyDay[Est-Admin-Payroll],DaybyDay[Date],"&gt;="&amp;$C$5,DaybyDay[RowYear],"&gt;="&amp;$C$4,DaybyDay[Date],"&lt;="&amp;DaybyDay[[#This Row],[Date]])</f>
        <v>0</v>
      </c>
      <c r="AO230" s="41" t="str">
        <f>IF(AND(DaybyDay[[#This Row],[_Space]],ISNUMBER(DaybyDay[[#This Row],[Admin Hours]])),DaybyDay[[#This Row],[Est-Admin-Payroll]]/(DaybyDay[[#This Row],[Service-Actuals]]+DaybyDay[[#This Row],[Retail-Actuals]]),"")</f>
        <v/>
      </c>
      <c r="AP230" s="41" t="e">
        <f>DaybyDay[[#This Row],[Estimated-Payroll-Rollup]]/DaybyDay[[#This Row],[Simple-Forecast]]</f>
        <v>#DIV/0!</v>
      </c>
      <c r="AQ2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0" s="77"/>
      <c r="AS230" s="40" t="str">
        <f>IF(DaybyDay[[#This Row],[Retail Hours]]&gt;0,DaybyDay[[#This Row],[Retail Hours]]*$AS$2,"")</f>
        <v/>
      </c>
      <c r="AT230" s="40">
        <f>SUMIFS(DaybyDay[Est-Retail-Payroll],DaybyDay[Date],"&gt;="&amp;$C$5,DaybyDay[RowYear],"&gt;="&amp;$C$4,DaybyDay[Date],"&lt;="&amp;DaybyDay[[#This Row],[Date]])</f>
        <v>0</v>
      </c>
      <c r="AU230" s="82" t="str">
        <f>IF(AND(DaybyDay[[#This Row],[_Space]],ISNUMBER(DaybyDay[[#This Row],[Retail Hours]])),DaybyDay[[#This Row],[Est-Retail-Payroll]]/(DaybyDay[[#This Row],[Retail-Actuals]]),"")</f>
        <v/>
      </c>
      <c r="AV230" s="82" t="e">
        <f>DaybyDay[[#This Row],[Est-Retail-PayrollRU]]/DaybyDay[[#This Row],[Simple-Forecast-Retail]]</f>
        <v>#DIV/0!</v>
      </c>
      <c r="AW230" s="8"/>
    </row>
    <row r="231" spans="3:49" hidden="1" x14ac:dyDescent="0.25">
      <c r="C231" s="26" t="str">
        <f>Tools!$C$1</f>
        <v>Example</v>
      </c>
      <c r="D231" s="27" t="s">
        <v>75</v>
      </c>
      <c r="E231" s="28">
        <v>2017</v>
      </c>
      <c r="F231" s="28">
        <f>MATCH(DaybyDay[[#This Row],[RowMonth]],Table3[SummaryMonth],0)</f>
        <v>8</v>
      </c>
      <c r="G231" s="29" t="e">
        <f>MATCH(DaybyDay[[#This Row],[LY-Date]],DaybyDay[Date],0)</f>
        <v>#N/A</v>
      </c>
      <c r="H231" s="30">
        <f>WEEKDAY(DaybyDay[[#This Row],[Date]])</f>
        <v>1</v>
      </c>
      <c r="I231" s="31">
        <v>42960</v>
      </c>
      <c r="J231" s="74">
        <v>20</v>
      </c>
      <c r="K231" s="32">
        <f>SUMIFS(BudgetSeasonality[365 Seasonality],BudgetSeasonality[MonthAdjustment],DaybyDay[[#This Row],[Date]])*SUMIFS(Budgets[Service-Budget],Budgets[BudgetMonth],DaybyDay[[#This Row],[RowMonth]],Budgets[BudgetYear],DaybyDay[[#This Row],[RowYear]])</f>
        <v>0</v>
      </c>
      <c r="L231" s="75">
        <v>3688</v>
      </c>
      <c r="M231" s="32">
        <f>INDEX(BudgetSeasonality[365 Seasonality],MATCH(DaybyDay[[#This Row],[Date]],BudgetSeasonality[MonthAdjustment],0))*SUMIFS(Budgets[Retail-Budget],Budgets[BudgetMonth],DaybyDay[[#This Row],[RowMonth]],Budgets[BudgetYear],DaybyDay[[#This Row],[RowYear]])</f>
        <v>0</v>
      </c>
      <c r="N231" s="75">
        <v>3471</v>
      </c>
      <c r="O231" s="33">
        <f>SUMIFS(DaybyDay[Service-Budgets],DaybyDay[Date],"&gt;="&amp;$C$5,DaybyDay[RowYear],"&gt;="&amp;$C$4,DaybyDay[Date],"&lt;="&amp;DaybyDay[[#This Row],[Date]])</f>
        <v>0</v>
      </c>
      <c r="P231" s="33">
        <f>SUMIFS(DaybyDay[Retail-Budgets],DaybyDay[Date],"&gt;="&amp;$C$5,DaybyDay[RowYear],"&gt;="&amp;$C$4,DaybyDay[Date],"&lt;="&amp;DaybyDay[[#This Row],[Date]])</f>
        <v>0</v>
      </c>
      <c r="Q231" s="34">
        <f>SUMIFS(DaybyDay[Service-Actuals],DaybyDay[Date],"&gt;="&amp;$C$5,DaybyDay[RowYear],"&gt;="&amp;$C$4,DaybyDay[Date],"&lt;="&amp;DaybyDay[[#This Row],[Date]])</f>
        <v>0</v>
      </c>
      <c r="R231" s="34">
        <f>SUMIFS(DaybyDay[Retail-Actuals],DaybyDay[Date],"&gt;="&amp;$C$5,DaybyDay[RowYear],"&gt;="&amp;$C$4,DaybyDay[Date],"&lt;="&amp;DaybyDay[[#This Row],[Date]])</f>
        <v>0</v>
      </c>
      <c r="S231" s="35">
        <f>SUMIFS(DaybyDay[Service-LY],DaybyDay[Date],"&gt;="&amp;$C$5,DaybyDay[RowYear],"&gt;="&amp;$C$4,DaybyDay[Date],"&lt;="&amp;DaybyDay[[#This Row],[Date]])</f>
        <v>0</v>
      </c>
      <c r="T231" s="35">
        <f>SUMIFS(DaybyDay[Retail-LY],DaybyDay[Date],"&gt;="&amp;$C$5,DaybyDay[RowYear],"&gt;="&amp;$C$4,DaybyDay[Date],"&lt;="&amp;DaybyDay[[#This Row],[Date]])</f>
        <v>0</v>
      </c>
      <c r="U231" s="32">
        <f>DaybyDay[[#This Row],[Serv-Bud-RU]]+DaybyDay[[#This Row],[Ret-Bud-RU]]</f>
        <v>0</v>
      </c>
      <c r="V231" s="32">
        <f>DaybyDay[[#This Row],[Serv-Act-RU]]+DaybyDay[[#This Row],[Ret-Act-RU]]</f>
        <v>0</v>
      </c>
      <c r="W231" s="36">
        <f>IF(DaybyDay[[#This Row],[_Space]],IFERROR(
((DaybyDay[[#This Row],[Actual-Rollup]]-DaybyDay[[#This Row],[Budget-Rollup]])/DaybyDay[[#This Row],[Budget-Rollup]]),0),"")</f>
        <v>0</v>
      </c>
      <c r="X231" t="b">
        <f>NOT(AND(ISBLANK(DaybyDay[[#This Row],[Appts]]),ISBLANK(DaybyDay[[#This Row],[Service-Actuals]]),ISBLANK(DaybyDay[[#This Row],[Retail-Actuals]])))</f>
        <v>1</v>
      </c>
      <c r="Y231" s="36">
        <f>IF(DaybyDay[[#This Row],[_Space]],IFERROR(
((DaybyDay[[#This Row],[Actual-Rollup]]-DaybyDay[[#This Row],[LY-Rollup]])/DaybyDay[[#This Row],[LY-Rollup]]),0),"")</f>
        <v>0</v>
      </c>
      <c r="Z231"/>
      <c r="AA231" s="37" t="e">
        <f>IF(DaybyDay[[#This Row],[_Space]],DaybyDay[[#This Row],[Ret-Act-RU]]/DaybyDay[[#This Row],[Serv-Act-RU]],"")</f>
        <v>#DIV/0!</v>
      </c>
      <c r="AB231" s="50" t="e">
        <f>IF(DaybyDay[[#This Row],[_Space]],DaybyDay[[#This Row],[RETPEN-Act]]/DaybyDay[[#This Row],[RETPEN-Bud]],"")</f>
        <v>#DIV/0!</v>
      </c>
      <c r="AC231" s="37" t="e">
        <f>IF(DaybyDay[[#This Row],[_Space]],DaybyDay[[#This Row],[Ret-Bud-RU]]/DaybyDay[[#This Row],[Serv-Bud-RU]],"")</f>
        <v>#DIV/0!</v>
      </c>
      <c r="AD231" s="37" t="e">
        <f>IF(DaybyDay[[#This Row],[_Space]],DaybyDay[[#This Row],[Ret-LY-RU]]/DaybyDay[[#This Row],[Serv-LY-RU]],"")</f>
        <v>#DIV/0!</v>
      </c>
      <c r="AE231" s="30">
        <f>WEEKDAY(DaybyDay[[#This Row],[LY-Date]])</f>
        <v>1</v>
      </c>
      <c r="AF231" s="38">
        <f>$E$2+_xlfn.DAYS(DaybyDay[[#This Row],[Date]],minDate)</f>
        <v>42596</v>
      </c>
      <c r="AG231" s="39" t="str" cm="1">
        <f t="array" ref="AG231">IFERROR(INDEX(DaybyDay[],DaybyDay[[#This Row],[FORM_MATCH_HELPER]],8),"")</f>
        <v/>
      </c>
      <c r="AH231" s="39" t="str" cm="1">
        <f t="array" ref="AH231">IFERROR(INDEX(DaybyDay[],DaybyDay[[#This Row],[FORM_MATCH_HELPER]],10),"")</f>
        <v/>
      </c>
      <c r="AI231" s="39" t="str" cm="1">
        <f t="array" ref="AI231">IFERROR(INDEX(DaybyDay[],DaybyDay[[#This Row],[FORM_MATCH_HELPER]],12),"")</f>
        <v/>
      </c>
      <c r="AJ231" s="32">
        <f>IFERROR(DaybyDay[[#This Row],[Serv-LY-RU]]+DaybyDay[[#This Row],[Ret-LY-RU]],"")</f>
        <v>0</v>
      </c>
      <c r="AK2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1" s="77"/>
      <c r="AM231" s="40" t="str">
        <f>IF(DaybyDay[[#This Row],[Admin Hours]]&gt;0,DaybyDay[[#This Row],[Admin Hours]]*$AM$2+$AM$3,"")</f>
        <v/>
      </c>
      <c r="AN231" s="40">
        <f>SUMIFS(DaybyDay[Est-Admin-Payroll],DaybyDay[Date],"&gt;="&amp;$C$5,DaybyDay[RowYear],"&gt;="&amp;$C$4,DaybyDay[Date],"&lt;="&amp;DaybyDay[[#This Row],[Date]])</f>
        <v>0</v>
      </c>
      <c r="AO231" s="41" t="str">
        <f>IF(AND(DaybyDay[[#This Row],[_Space]],ISNUMBER(DaybyDay[[#This Row],[Admin Hours]])),DaybyDay[[#This Row],[Est-Admin-Payroll]]/(DaybyDay[[#This Row],[Service-Actuals]]+DaybyDay[[#This Row],[Retail-Actuals]]),"")</f>
        <v/>
      </c>
      <c r="AP231" s="41" t="e">
        <f>DaybyDay[[#This Row],[Estimated-Payroll-Rollup]]/DaybyDay[[#This Row],[Simple-Forecast]]</f>
        <v>#DIV/0!</v>
      </c>
      <c r="AQ2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1" s="77"/>
      <c r="AS231" s="40" t="str">
        <f>IF(DaybyDay[[#This Row],[Retail Hours]]&gt;0,DaybyDay[[#This Row],[Retail Hours]]*$AS$2,"")</f>
        <v/>
      </c>
      <c r="AT231" s="40">
        <f>SUMIFS(DaybyDay[Est-Retail-Payroll],DaybyDay[Date],"&gt;="&amp;$C$5,DaybyDay[RowYear],"&gt;="&amp;$C$4,DaybyDay[Date],"&lt;="&amp;DaybyDay[[#This Row],[Date]])</f>
        <v>0</v>
      </c>
      <c r="AU231" s="82" t="str">
        <f>IF(AND(DaybyDay[[#This Row],[_Space]],ISNUMBER(DaybyDay[[#This Row],[Retail Hours]])),DaybyDay[[#This Row],[Est-Retail-Payroll]]/(DaybyDay[[#This Row],[Retail-Actuals]]),"")</f>
        <v/>
      </c>
      <c r="AV231" s="82" t="e">
        <f>DaybyDay[[#This Row],[Est-Retail-PayrollRU]]/DaybyDay[[#This Row],[Simple-Forecast-Retail]]</f>
        <v>#DIV/0!</v>
      </c>
      <c r="AW231" s="8"/>
    </row>
    <row r="232" spans="3:49" hidden="1" x14ac:dyDescent="0.25">
      <c r="C232" s="26" t="str">
        <f>Tools!$C$1</f>
        <v>Example</v>
      </c>
      <c r="D232" s="27" t="s">
        <v>75</v>
      </c>
      <c r="E232" s="28">
        <v>2017</v>
      </c>
      <c r="F232" s="28">
        <f>MATCH(DaybyDay[[#This Row],[RowMonth]],Table3[SummaryMonth],0)</f>
        <v>8</v>
      </c>
      <c r="G232" s="29" t="e">
        <f>MATCH(DaybyDay[[#This Row],[LY-Date]],DaybyDay[Date],0)</f>
        <v>#N/A</v>
      </c>
      <c r="H232" s="30">
        <f>WEEKDAY(DaybyDay[[#This Row],[Date]])</f>
        <v>2</v>
      </c>
      <c r="I232" s="31">
        <v>42961</v>
      </c>
      <c r="J232" s="74">
        <v>5</v>
      </c>
      <c r="K232" s="32">
        <f>SUMIFS(BudgetSeasonality[365 Seasonality],BudgetSeasonality[MonthAdjustment],DaybyDay[[#This Row],[Date]])*SUMIFS(Budgets[Service-Budget],Budgets[BudgetMonth],DaybyDay[[#This Row],[RowMonth]],Budgets[BudgetYear],DaybyDay[[#This Row],[RowYear]])</f>
        <v>0</v>
      </c>
      <c r="L232" s="75">
        <v>895.6</v>
      </c>
      <c r="M232" s="32">
        <f>INDEX(BudgetSeasonality[365 Seasonality],MATCH(DaybyDay[[#This Row],[Date]],BudgetSeasonality[MonthAdjustment],0))*SUMIFS(Budgets[Retail-Budget],Budgets[BudgetMonth],DaybyDay[[#This Row],[RowMonth]],Budgets[BudgetYear],DaybyDay[[#This Row],[RowYear]])</f>
        <v>0</v>
      </c>
      <c r="N232" s="75">
        <v>602</v>
      </c>
      <c r="O232" s="33">
        <f>SUMIFS(DaybyDay[Service-Budgets],DaybyDay[Date],"&gt;="&amp;$C$5,DaybyDay[RowYear],"&gt;="&amp;$C$4,DaybyDay[Date],"&lt;="&amp;DaybyDay[[#This Row],[Date]])</f>
        <v>0</v>
      </c>
      <c r="P232" s="33">
        <f>SUMIFS(DaybyDay[Retail-Budgets],DaybyDay[Date],"&gt;="&amp;$C$5,DaybyDay[RowYear],"&gt;="&amp;$C$4,DaybyDay[Date],"&lt;="&amp;DaybyDay[[#This Row],[Date]])</f>
        <v>0</v>
      </c>
      <c r="Q232" s="34">
        <f>SUMIFS(DaybyDay[Service-Actuals],DaybyDay[Date],"&gt;="&amp;$C$5,DaybyDay[RowYear],"&gt;="&amp;$C$4,DaybyDay[Date],"&lt;="&amp;DaybyDay[[#This Row],[Date]])</f>
        <v>0</v>
      </c>
      <c r="R232" s="34">
        <f>SUMIFS(DaybyDay[Retail-Actuals],DaybyDay[Date],"&gt;="&amp;$C$5,DaybyDay[RowYear],"&gt;="&amp;$C$4,DaybyDay[Date],"&lt;="&amp;DaybyDay[[#This Row],[Date]])</f>
        <v>0</v>
      </c>
      <c r="S232" s="35">
        <f>SUMIFS(DaybyDay[Service-LY],DaybyDay[Date],"&gt;="&amp;$C$5,DaybyDay[RowYear],"&gt;="&amp;$C$4,DaybyDay[Date],"&lt;="&amp;DaybyDay[[#This Row],[Date]])</f>
        <v>0</v>
      </c>
      <c r="T232" s="35">
        <f>SUMIFS(DaybyDay[Retail-LY],DaybyDay[Date],"&gt;="&amp;$C$5,DaybyDay[RowYear],"&gt;="&amp;$C$4,DaybyDay[Date],"&lt;="&amp;DaybyDay[[#This Row],[Date]])</f>
        <v>0</v>
      </c>
      <c r="U232" s="32">
        <f>DaybyDay[[#This Row],[Serv-Bud-RU]]+DaybyDay[[#This Row],[Ret-Bud-RU]]</f>
        <v>0</v>
      </c>
      <c r="V232" s="32">
        <f>DaybyDay[[#This Row],[Serv-Act-RU]]+DaybyDay[[#This Row],[Ret-Act-RU]]</f>
        <v>0</v>
      </c>
      <c r="W232" s="36">
        <f>IF(DaybyDay[[#This Row],[_Space]],IFERROR(
((DaybyDay[[#This Row],[Actual-Rollup]]-DaybyDay[[#This Row],[Budget-Rollup]])/DaybyDay[[#This Row],[Budget-Rollup]]),0),"")</f>
        <v>0</v>
      </c>
      <c r="X232" t="b">
        <f>NOT(AND(ISBLANK(DaybyDay[[#This Row],[Appts]]),ISBLANK(DaybyDay[[#This Row],[Service-Actuals]]),ISBLANK(DaybyDay[[#This Row],[Retail-Actuals]])))</f>
        <v>1</v>
      </c>
      <c r="Y232" s="36">
        <f>IF(DaybyDay[[#This Row],[_Space]],IFERROR(
((DaybyDay[[#This Row],[Actual-Rollup]]-DaybyDay[[#This Row],[LY-Rollup]])/DaybyDay[[#This Row],[LY-Rollup]]),0),"")</f>
        <v>0</v>
      </c>
      <c r="Z232"/>
      <c r="AA232" s="37" t="e">
        <f>IF(DaybyDay[[#This Row],[_Space]],DaybyDay[[#This Row],[Ret-Act-RU]]/DaybyDay[[#This Row],[Serv-Act-RU]],"")</f>
        <v>#DIV/0!</v>
      </c>
      <c r="AB232" s="50" t="e">
        <f>IF(DaybyDay[[#This Row],[_Space]],DaybyDay[[#This Row],[RETPEN-Act]]/DaybyDay[[#This Row],[RETPEN-Bud]],"")</f>
        <v>#DIV/0!</v>
      </c>
      <c r="AC232" s="37" t="e">
        <f>IF(DaybyDay[[#This Row],[_Space]],DaybyDay[[#This Row],[Ret-Bud-RU]]/DaybyDay[[#This Row],[Serv-Bud-RU]],"")</f>
        <v>#DIV/0!</v>
      </c>
      <c r="AD232" s="37" t="e">
        <f>IF(DaybyDay[[#This Row],[_Space]],DaybyDay[[#This Row],[Ret-LY-RU]]/DaybyDay[[#This Row],[Serv-LY-RU]],"")</f>
        <v>#DIV/0!</v>
      </c>
      <c r="AE232" s="30">
        <f>WEEKDAY(DaybyDay[[#This Row],[LY-Date]])</f>
        <v>2</v>
      </c>
      <c r="AF232" s="38">
        <f>$E$2+_xlfn.DAYS(DaybyDay[[#This Row],[Date]],minDate)</f>
        <v>42597</v>
      </c>
      <c r="AG232" s="39" t="str" cm="1">
        <f t="array" ref="AG232">IFERROR(INDEX(DaybyDay[],DaybyDay[[#This Row],[FORM_MATCH_HELPER]],8),"")</f>
        <v/>
      </c>
      <c r="AH232" s="39" t="str" cm="1">
        <f t="array" ref="AH232">IFERROR(INDEX(DaybyDay[],DaybyDay[[#This Row],[FORM_MATCH_HELPER]],10),"")</f>
        <v/>
      </c>
      <c r="AI232" s="39" t="str" cm="1">
        <f t="array" ref="AI232">IFERROR(INDEX(DaybyDay[],DaybyDay[[#This Row],[FORM_MATCH_HELPER]],12),"")</f>
        <v/>
      </c>
      <c r="AJ232" s="32">
        <f>IFERROR(DaybyDay[[#This Row],[Serv-LY-RU]]+DaybyDay[[#This Row],[Ret-LY-RU]],"")</f>
        <v>0</v>
      </c>
      <c r="AK2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2" s="77"/>
      <c r="AM232" s="40" t="str">
        <f>IF(DaybyDay[[#This Row],[Admin Hours]]&gt;0,DaybyDay[[#This Row],[Admin Hours]]*$AM$2+$AM$3,"")</f>
        <v/>
      </c>
      <c r="AN232" s="40">
        <f>SUMIFS(DaybyDay[Est-Admin-Payroll],DaybyDay[Date],"&gt;="&amp;$C$5,DaybyDay[RowYear],"&gt;="&amp;$C$4,DaybyDay[Date],"&lt;="&amp;DaybyDay[[#This Row],[Date]])</f>
        <v>0</v>
      </c>
      <c r="AO232" s="41" t="str">
        <f>IF(AND(DaybyDay[[#This Row],[_Space]],ISNUMBER(DaybyDay[[#This Row],[Admin Hours]])),DaybyDay[[#This Row],[Est-Admin-Payroll]]/(DaybyDay[[#This Row],[Service-Actuals]]+DaybyDay[[#This Row],[Retail-Actuals]]),"")</f>
        <v/>
      </c>
      <c r="AP232" s="41" t="e">
        <f>DaybyDay[[#This Row],[Estimated-Payroll-Rollup]]/DaybyDay[[#This Row],[Simple-Forecast]]</f>
        <v>#DIV/0!</v>
      </c>
      <c r="AQ2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2" s="77"/>
      <c r="AS232" s="40" t="str">
        <f>IF(DaybyDay[[#This Row],[Retail Hours]]&gt;0,DaybyDay[[#This Row],[Retail Hours]]*$AS$2,"")</f>
        <v/>
      </c>
      <c r="AT232" s="40">
        <f>SUMIFS(DaybyDay[Est-Retail-Payroll],DaybyDay[Date],"&gt;="&amp;$C$5,DaybyDay[RowYear],"&gt;="&amp;$C$4,DaybyDay[Date],"&lt;="&amp;DaybyDay[[#This Row],[Date]])</f>
        <v>0</v>
      </c>
      <c r="AU232" s="82" t="str">
        <f>IF(AND(DaybyDay[[#This Row],[_Space]],ISNUMBER(DaybyDay[[#This Row],[Retail Hours]])),DaybyDay[[#This Row],[Est-Retail-Payroll]]/(DaybyDay[[#This Row],[Retail-Actuals]]),"")</f>
        <v/>
      </c>
      <c r="AV232" s="82" t="e">
        <f>DaybyDay[[#This Row],[Est-Retail-PayrollRU]]/DaybyDay[[#This Row],[Simple-Forecast-Retail]]</f>
        <v>#DIV/0!</v>
      </c>
      <c r="AW232" s="8"/>
    </row>
    <row r="233" spans="3:49" hidden="1" x14ac:dyDescent="0.25">
      <c r="C233" s="26" t="str">
        <f>Tools!$C$1</f>
        <v>Example</v>
      </c>
      <c r="D233" s="27" t="s">
        <v>75</v>
      </c>
      <c r="E233" s="28">
        <v>2017</v>
      </c>
      <c r="F233" s="28">
        <f>MATCH(DaybyDay[[#This Row],[RowMonth]],Table3[SummaryMonth],0)</f>
        <v>8</v>
      </c>
      <c r="G233" s="29" t="e">
        <f>MATCH(DaybyDay[[#This Row],[LY-Date]],DaybyDay[Date],0)</f>
        <v>#N/A</v>
      </c>
      <c r="H233" s="30">
        <f>WEEKDAY(DaybyDay[[#This Row],[Date]])</f>
        <v>3</v>
      </c>
      <c r="I233" s="31">
        <v>42962</v>
      </c>
      <c r="J233" s="74">
        <v>14</v>
      </c>
      <c r="K233" s="32">
        <f>SUMIFS(BudgetSeasonality[365 Seasonality],BudgetSeasonality[MonthAdjustment],DaybyDay[[#This Row],[Date]])*SUMIFS(Budgets[Service-Budget],Budgets[BudgetMonth],DaybyDay[[#This Row],[RowMonth]],Budgets[BudgetYear],DaybyDay[[#This Row],[RowYear]])</f>
        <v>0</v>
      </c>
      <c r="L233" s="75">
        <v>3316.5</v>
      </c>
      <c r="M233" s="32">
        <f>INDEX(BudgetSeasonality[365 Seasonality],MATCH(DaybyDay[[#This Row],[Date]],BudgetSeasonality[MonthAdjustment],0))*SUMIFS(Budgets[Retail-Budget],Budgets[BudgetMonth],DaybyDay[[#This Row],[RowMonth]],Budgets[BudgetYear],DaybyDay[[#This Row],[RowYear]])</f>
        <v>0</v>
      </c>
      <c r="N233" s="75">
        <v>667.2</v>
      </c>
      <c r="O233" s="33">
        <f>SUMIFS(DaybyDay[Service-Budgets],DaybyDay[Date],"&gt;="&amp;$C$5,DaybyDay[RowYear],"&gt;="&amp;$C$4,DaybyDay[Date],"&lt;="&amp;DaybyDay[[#This Row],[Date]])</f>
        <v>0</v>
      </c>
      <c r="P233" s="33">
        <f>SUMIFS(DaybyDay[Retail-Budgets],DaybyDay[Date],"&gt;="&amp;$C$5,DaybyDay[RowYear],"&gt;="&amp;$C$4,DaybyDay[Date],"&lt;="&amp;DaybyDay[[#This Row],[Date]])</f>
        <v>0</v>
      </c>
      <c r="Q233" s="34">
        <f>SUMIFS(DaybyDay[Service-Actuals],DaybyDay[Date],"&gt;="&amp;$C$5,DaybyDay[RowYear],"&gt;="&amp;$C$4,DaybyDay[Date],"&lt;="&amp;DaybyDay[[#This Row],[Date]])</f>
        <v>0</v>
      </c>
      <c r="R233" s="34">
        <f>SUMIFS(DaybyDay[Retail-Actuals],DaybyDay[Date],"&gt;="&amp;$C$5,DaybyDay[RowYear],"&gt;="&amp;$C$4,DaybyDay[Date],"&lt;="&amp;DaybyDay[[#This Row],[Date]])</f>
        <v>0</v>
      </c>
      <c r="S233" s="35">
        <f>SUMIFS(DaybyDay[Service-LY],DaybyDay[Date],"&gt;="&amp;$C$5,DaybyDay[RowYear],"&gt;="&amp;$C$4,DaybyDay[Date],"&lt;="&amp;DaybyDay[[#This Row],[Date]])</f>
        <v>0</v>
      </c>
      <c r="T233" s="35">
        <f>SUMIFS(DaybyDay[Retail-LY],DaybyDay[Date],"&gt;="&amp;$C$5,DaybyDay[RowYear],"&gt;="&amp;$C$4,DaybyDay[Date],"&lt;="&amp;DaybyDay[[#This Row],[Date]])</f>
        <v>0</v>
      </c>
      <c r="U233" s="32">
        <f>DaybyDay[[#This Row],[Serv-Bud-RU]]+DaybyDay[[#This Row],[Ret-Bud-RU]]</f>
        <v>0</v>
      </c>
      <c r="V233" s="32">
        <f>DaybyDay[[#This Row],[Serv-Act-RU]]+DaybyDay[[#This Row],[Ret-Act-RU]]</f>
        <v>0</v>
      </c>
      <c r="W233" s="36">
        <f>IF(DaybyDay[[#This Row],[_Space]],IFERROR(
((DaybyDay[[#This Row],[Actual-Rollup]]-DaybyDay[[#This Row],[Budget-Rollup]])/DaybyDay[[#This Row],[Budget-Rollup]]),0),"")</f>
        <v>0</v>
      </c>
      <c r="X233" t="b">
        <f>NOT(AND(ISBLANK(DaybyDay[[#This Row],[Appts]]),ISBLANK(DaybyDay[[#This Row],[Service-Actuals]]),ISBLANK(DaybyDay[[#This Row],[Retail-Actuals]])))</f>
        <v>1</v>
      </c>
      <c r="Y233" s="36">
        <f>IF(DaybyDay[[#This Row],[_Space]],IFERROR(
((DaybyDay[[#This Row],[Actual-Rollup]]-DaybyDay[[#This Row],[LY-Rollup]])/DaybyDay[[#This Row],[LY-Rollup]]),0),"")</f>
        <v>0</v>
      </c>
      <c r="Z233"/>
      <c r="AA233" s="37" t="e">
        <f>IF(DaybyDay[[#This Row],[_Space]],DaybyDay[[#This Row],[Ret-Act-RU]]/DaybyDay[[#This Row],[Serv-Act-RU]],"")</f>
        <v>#DIV/0!</v>
      </c>
      <c r="AB233" s="50" t="e">
        <f>IF(DaybyDay[[#This Row],[_Space]],DaybyDay[[#This Row],[RETPEN-Act]]/DaybyDay[[#This Row],[RETPEN-Bud]],"")</f>
        <v>#DIV/0!</v>
      </c>
      <c r="AC233" s="37" t="e">
        <f>IF(DaybyDay[[#This Row],[_Space]],DaybyDay[[#This Row],[Ret-Bud-RU]]/DaybyDay[[#This Row],[Serv-Bud-RU]],"")</f>
        <v>#DIV/0!</v>
      </c>
      <c r="AD233" s="37" t="e">
        <f>IF(DaybyDay[[#This Row],[_Space]],DaybyDay[[#This Row],[Ret-LY-RU]]/DaybyDay[[#This Row],[Serv-LY-RU]],"")</f>
        <v>#DIV/0!</v>
      </c>
      <c r="AE233" s="30">
        <f>WEEKDAY(DaybyDay[[#This Row],[LY-Date]])</f>
        <v>3</v>
      </c>
      <c r="AF233" s="38">
        <f>$E$2+_xlfn.DAYS(DaybyDay[[#This Row],[Date]],minDate)</f>
        <v>42598</v>
      </c>
      <c r="AG233" s="39" t="str" cm="1">
        <f t="array" ref="AG233">IFERROR(INDEX(DaybyDay[],DaybyDay[[#This Row],[FORM_MATCH_HELPER]],8),"")</f>
        <v/>
      </c>
      <c r="AH233" s="39" t="str" cm="1">
        <f t="array" ref="AH233">IFERROR(INDEX(DaybyDay[],DaybyDay[[#This Row],[FORM_MATCH_HELPER]],10),"")</f>
        <v/>
      </c>
      <c r="AI233" s="39" t="str" cm="1">
        <f t="array" ref="AI233">IFERROR(INDEX(DaybyDay[],DaybyDay[[#This Row],[FORM_MATCH_HELPER]],12),"")</f>
        <v/>
      </c>
      <c r="AJ233" s="32">
        <f>IFERROR(DaybyDay[[#This Row],[Serv-LY-RU]]+DaybyDay[[#This Row],[Ret-LY-RU]],"")</f>
        <v>0</v>
      </c>
      <c r="AK2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3" s="77"/>
      <c r="AM233" s="40" t="str">
        <f>IF(DaybyDay[[#This Row],[Admin Hours]]&gt;0,DaybyDay[[#This Row],[Admin Hours]]*$AM$2+$AM$3,"")</f>
        <v/>
      </c>
      <c r="AN233" s="40">
        <f>SUMIFS(DaybyDay[Est-Admin-Payroll],DaybyDay[Date],"&gt;="&amp;$C$5,DaybyDay[RowYear],"&gt;="&amp;$C$4,DaybyDay[Date],"&lt;="&amp;DaybyDay[[#This Row],[Date]])</f>
        <v>0</v>
      </c>
      <c r="AO233" s="41" t="str">
        <f>IF(AND(DaybyDay[[#This Row],[_Space]],ISNUMBER(DaybyDay[[#This Row],[Admin Hours]])),DaybyDay[[#This Row],[Est-Admin-Payroll]]/(DaybyDay[[#This Row],[Service-Actuals]]+DaybyDay[[#This Row],[Retail-Actuals]]),"")</f>
        <v/>
      </c>
      <c r="AP233" s="41" t="e">
        <f>DaybyDay[[#This Row],[Estimated-Payroll-Rollup]]/DaybyDay[[#This Row],[Simple-Forecast]]</f>
        <v>#DIV/0!</v>
      </c>
      <c r="AQ2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3" s="77"/>
      <c r="AS233" s="40" t="str">
        <f>IF(DaybyDay[[#This Row],[Retail Hours]]&gt;0,DaybyDay[[#This Row],[Retail Hours]]*$AS$2,"")</f>
        <v/>
      </c>
      <c r="AT233" s="40">
        <f>SUMIFS(DaybyDay[Est-Retail-Payroll],DaybyDay[Date],"&gt;="&amp;$C$5,DaybyDay[RowYear],"&gt;="&amp;$C$4,DaybyDay[Date],"&lt;="&amp;DaybyDay[[#This Row],[Date]])</f>
        <v>0</v>
      </c>
      <c r="AU233" s="82" t="str">
        <f>IF(AND(DaybyDay[[#This Row],[_Space]],ISNUMBER(DaybyDay[[#This Row],[Retail Hours]])),DaybyDay[[#This Row],[Est-Retail-Payroll]]/(DaybyDay[[#This Row],[Retail-Actuals]]),"")</f>
        <v/>
      </c>
      <c r="AV233" s="82" t="e">
        <f>DaybyDay[[#This Row],[Est-Retail-PayrollRU]]/DaybyDay[[#This Row],[Simple-Forecast-Retail]]</f>
        <v>#DIV/0!</v>
      </c>
      <c r="AW233" s="8"/>
    </row>
    <row r="234" spans="3:49" hidden="1" x14ac:dyDescent="0.25">
      <c r="C234" s="26" t="str">
        <f>Tools!$C$1</f>
        <v>Example</v>
      </c>
      <c r="D234" s="27" t="s">
        <v>75</v>
      </c>
      <c r="E234" s="28">
        <v>2017</v>
      </c>
      <c r="F234" s="28">
        <f>MATCH(DaybyDay[[#This Row],[RowMonth]],Table3[SummaryMonth],0)</f>
        <v>8</v>
      </c>
      <c r="G234" s="29" t="e">
        <f>MATCH(DaybyDay[[#This Row],[LY-Date]],DaybyDay[Date],0)</f>
        <v>#N/A</v>
      </c>
      <c r="H234" s="30">
        <f>WEEKDAY(DaybyDay[[#This Row],[Date]])</f>
        <v>4</v>
      </c>
      <c r="I234" s="31">
        <v>42963</v>
      </c>
      <c r="J234" s="74">
        <v>15</v>
      </c>
      <c r="K234" s="32">
        <f>SUMIFS(BudgetSeasonality[365 Seasonality],BudgetSeasonality[MonthAdjustment],DaybyDay[[#This Row],[Date]])*SUMIFS(Budgets[Service-Budget],Budgets[BudgetMonth],DaybyDay[[#This Row],[RowMonth]],Budgets[BudgetYear],DaybyDay[[#This Row],[RowYear]])</f>
        <v>0</v>
      </c>
      <c r="L234" s="75">
        <v>2326.46</v>
      </c>
      <c r="M234" s="32">
        <f>INDEX(BudgetSeasonality[365 Seasonality],MATCH(DaybyDay[[#This Row],[Date]],BudgetSeasonality[MonthAdjustment],0))*SUMIFS(Budgets[Retail-Budget],Budgets[BudgetMonth],DaybyDay[[#This Row],[RowMonth]],Budgets[BudgetYear],DaybyDay[[#This Row],[RowYear]])</f>
        <v>0</v>
      </c>
      <c r="N234" s="75">
        <v>2713.35</v>
      </c>
      <c r="O234" s="33">
        <f>SUMIFS(DaybyDay[Service-Budgets],DaybyDay[Date],"&gt;="&amp;$C$5,DaybyDay[RowYear],"&gt;="&amp;$C$4,DaybyDay[Date],"&lt;="&amp;DaybyDay[[#This Row],[Date]])</f>
        <v>0</v>
      </c>
      <c r="P234" s="33">
        <f>SUMIFS(DaybyDay[Retail-Budgets],DaybyDay[Date],"&gt;="&amp;$C$5,DaybyDay[RowYear],"&gt;="&amp;$C$4,DaybyDay[Date],"&lt;="&amp;DaybyDay[[#This Row],[Date]])</f>
        <v>0</v>
      </c>
      <c r="Q234" s="34">
        <f>SUMIFS(DaybyDay[Service-Actuals],DaybyDay[Date],"&gt;="&amp;$C$5,DaybyDay[RowYear],"&gt;="&amp;$C$4,DaybyDay[Date],"&lt;="&amp;DaybyDay[[#This Row],[Date]])</f>
        <v>0</v>
      </c>
      <c r="R234" s="34">
        <f>SUMIFS(DaybyDay[Retail-Actuals],DaybyDay[Date],"&gt;="&amp;$C$5,DaybyDay[RowYear],"&gt;="&amp;$C$4,DaybyDay[Date],"&lt;="&amp;DaybyDay[[#This Row],[Date]])</f>
        <v>0</v>
      </c>
      <c r="S234" s="35">
        <f>SUMIFS(DaybyDay[Service-LY],DaybyDay[Date],"&gt;="&amp;$C$5,DaybyDay[RowYear],"&gt;="&amp;$C$4,DaybyDay[Date],"&lt;="&amp;DaybyDay[[#This Row],[Date]])</f>
        <v>0</v>
      </c>
      <c r="T234" s="35">
        <f>SUMIFS(DaybyDay[Retail-LY],DaybyDay[Date],"&gt;="&amp;$C$5,DaybyDay[RowYear],"&gt;="&amp;$C$4,DaybyDay[Date],"&lt;="&amp;DaybyDay[[#This Row],[Date]])</f>
        <v>0</v>
      </c>
      <c r="U234" s="32">
        <f>DaybyDay[[#This Row],[Serv-Bud-RU]]+DaybyDay[[#This Row],[Ret-Bud-RU]]</f>
        <v>0</v>
      </c>
      <c r="V234" s="32">
        <f>DaybyDay[[#This Row],[Serv-Act-RU]]+DaybyDay[[#This Row],[Ret-Act-RU]]</f>
        <v>0</v>
      </c>
      <c r="W234" s="36">
        <f>IF(DaybyDay[[#This Row],[_Space]],IFERROR(
((DaybyDay[[#This Row],[Actual-Rollup]]-DaybyDay[[#This Row],[Budget-Rollup]])/DaybyDay[[#This Row],[Budget-Rollup]]),0),"")</f>
        <v>0</v>
      </c>
      <c r="X234" t="b">
        <f>NOT(AND(ISBLANK(DaybyDay[[#This Row],[Appts]]),ISBLANK(DaybyDay[[#This Row],[Service-Actuals]]),ISBLANK(DaybyDay[[#This Row],[Retail-Actuals]])))</f>
        <v>1</v>
      </c>
      <c r="Y234" s="36">
        <f>IF(DaybyDay[[#This Row],[_Space]],IFERROR(
((DaybyDay[[#This Row],[Actual-Rollup]]-DaybyDay[[#This Row],[LY-Rollup]])/DaybyDay[[#This Row],[LY-Rollup]]),0),"")</f>
        <v>0</v>
      </c>
      <c r="Z234"/>
      <c r="AA234" s="37" t="e">
        <f>IF(DaybyDay[[#This Row],[_Space]],DaybyDay[[#This Row],[Ret-Act-RU]]/DaybyDay[[#This Row],[Serv-Act-RU]],"")</f>
        <v>#DIV/0!</v>
      </c>
      <c r="AB234" s="50" t="e">
        <f>IF(DaybyDay[[#This Row],[_Space]],DaybyDay[[#This Row],[RETPEN-Act]]/DaybyDay[[#This Row],[RETPEN-Bud]],"")</f>
        <v>#DIV/0!</v>
      </c>
      <c r="AC234" s="37" t="e">
        <f>IF(DaybyDay[[#This Row],[_Space]],DaybyDay[[#This Row],[Ret-Bud-RU]]/DaybyDay[[#This Row],[Serv-Bud-RU]],"")</f>
        <v>#DIV/0!</v>
      </c>
      <c r="AD234" s="37" t="e">
        <f>IF(DaybyDay[[#This Row],[_Space]],DaybyDay[[#This Row],[Ret-LY-RU]]/DaybyDay[[#This Row],[Serv-LY-RU]],"")</f>
        <v>#DIV/0!</v>
      </c>
      <c r="AE234" s="30">
        <f>WEEKDAY(DaybyDay[[#This Row],[LY-Date]])</f>
        <v>4</v>
      </c>
      <c r="AF234" s="38">
        <f>$E$2+_xlfn.DAYS(DaybyDay[[#This Row],[Date]],minDate)</f>
        <v>42599</v>
      </c>
      <c r="AG234" s="39" t="str" cm="1">
        <f t="array" ref="AG234">IFERROR(INDEX(DaybyDay[],DaybyDay[[#This Row],[FORM_MATCH_HELPER]],8),"")</f>
        <v/>
      </c>
      <c r="AH234" s="39" t="str" cm="1">
        <f t="array" ref="AH234">IFERROR(INDEX(DaybyDay[],DaybyDay[[#This Row],[FORM_MATCH_HELPER]],10),"")</f>
        <v/>
      </c>
      <c r="AI234" s="39" t="str" cm="1">
        <f t="array" ref="AI234">IFERROR(INDEX(DaybyDay[],DaybyDay[[#This Row],[FORM_MATCH_HELPER]],12),"")</f>
        <v/>
      </c>
      <c r="AJ234" s="32">
        <f>IFERROR(DaybyDay[[#This Row],[Serv-LY-RU]]+DaybyDay[[#This Row],[Ret-LY-RU]],"")</f>
        <v>0</v>
      </c>
      <c r="AK2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4" s="77"/>
      <c r="AM234" s="40" t="str">
        <f>IF(DaybyDay[[#This Row],[Admin Hours]]&gt;0,DaybyDay[[#This Row],[Admin Hours]]*$AM$2+$AM$3,"")</f>
        <v/>
      </c>
      <c r="AN234" s="40">
        <f>SUMIFS(DaybyDay[Est-Admin-Payroll],DaybyDay[Date],"&gt;="&amp;$C$5,DaybyDay[RowYear],"&gt;="&amp;$C$4,DaybyDay[Date],"&lt;="&amp;DaybyDay[[#This Row],[Date]])</f>
        <v>0</v>
      </c>
      <c r="AO234" s="41" t="str">
        <f>IF(AND(DaybyDay[[#This Row],[_Space]],ISNUMBER(DaybyDay[[#This Row],[Admin Hours]])),DaybyDay[[#This Row],[Est-Admin-Payroll]]/(DaybyDay[[#This Row],[Service-Actuals]]+DaybyDay[[#This Row],[Retail-Actuals]]),"")</f>
        <v/>
      </c>
      <c r="AP234" s="41" t="e">
        <f>DaybyDay[[#This Row],[Estimated-Payroll-Rollup]]/DaybyDay[[#This Row],[Simple-Forecast]]</f>
        <v>#DIV/0!</v>
      </c>
      <c r="AQ2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4" s="77"/>
      <c r="AS234" s="40" t="str">
        <f>IF(DaybyDay[[#This Row],[Retail Hours]]&gt;0,DaybyDay[[#This Row],[Retail Hours]]*$AS$2,"")</f>
        <v/>
      </c>
      <c r="AT234" s="40">
        <f>SUMIFS(DaybyDay[Est-Retail-Payroll],DaybyDay[Date],"&gt;="&amp;$C$5,DaybyDay[RowYear],"&gt;="&amp;$C$4,DaybyDay[Date],"&lt;="&amp;DaybyDay[[#This Row],[Date]])</f>
        <v>0</v>
      </c>
      <c r="AU234" s="82" t="str">
        <f>IF(AND(DaybyDay[[#This Row],[_Space]],ISNUMBER(DaybyDay[[#This Row],[Retail Hours]])),DaybyDay[[#This Row],[Est-Retail-Payroll]]/(DaybyDay[[#This Row],[Retail-Actuals]]),"")</f>
        <v/>
      </c>
      <c r="AV234" s="82" t="e">
        <f>DaybyDay[[#This Row],[Est-Retail-PayrollRU]]/DaybyDay[[#This Row],[Simple-Forecast-Retail]]</f>
        <v>#DIV/0!</v>
      </c>
      <c r="AW234" s="8"/>
    </row>
    <row r="235" spans="3:49" hidden="1" x14ac:dyDescent="0.25">
      <c r="C235" s="26" t="str">
        <f>Tools!$C$1</f>
        <v>Example</v>
      </c>
      <c r="D235" s="27" t="s">
        <v>75</v>
      </c>
      <c r="E235" s="28">
        <v>2017</v>
      </c>
      <c r="F235" s="28">
        <f>MATCH(DaybyDay[[#This Row],[RowMonth]],Table3[SummaryMonth],0)</f>
        <v>8</v>
      </c>
      <c r="G235" s="29" t="e">
        <f>MATCH(DaybyDay[[#This Row],[LY-Date]],DaybyDay[Date],0)</f>
        <v>#N/A</v>
      </c>
      <c r="H235" s="30">
        <f>WEEKDAY(DaybyDay[[#This Row],[Date]])</f>
        <v>5</v>
      </c>
      <c r="I235" s="31">
        <v>42964</v>
      </c>
      <c r="J235" s="74">
        <v>33</v>
      </c>
      <c r="K235" s="32">
        <f>SUMIFS(BudgetSeasonality[365 Seasonality],BudgetSeasonality[MonthAdjustment],DaybyDay[[#This Row],[Date]])*SUMIFS(Budgets[Service-Budget],Budgets[BudgetMonth],DaybyDay[[#This Row],[RowMonth]],Budgets[BudgetYear],DaybyDay[[#This Row],[RowYear]])</f>
        <v>0</v>
      </c>
      <c r="L235" s="75">
        <v>5726.9</v>
      </c>
      <c r="M235" s="32">
        <f>INDEX(BudgetSeasonality[365 Seasonality],MATCH(DaybyDay[[#This Row],[Date]],BudgetSeasonality[MonthAdjustment],0))*SUMIFS(Budgets[Retail-Budget],Budgets[BudgetMonth],DaybyDay[[#This Row],[RowMonth]],Budgets[BudgetYear],DaybyDay[[#This Row],[RowYear]])</f>
        <v>0</v>
      </c>
      <c r="N235" s="75">
        <v>184</v>
      </c>
      <c r="O235" s="33">
        <f>SUMIFS(DaybyDay[Service-Budgets],DaybyDay[Date],"&gt;="&amp;$C$5,DaybyDay[RowYear],"&gt;="&amp;$C$4,DaybyDay[Date],"&lt;="&amp;DaybyDay[[#This Row],[Date]])</f>
        <v>0</v>
      </c>
      <c r="P235" s="33">
        <f>SUMIFS(DaybyDay[Retail-Budgets],DaybyDay[Date],"&gt;="&amp;$C$5,DaybyDay[RowYear],"&gt;="&amp;$C$4,DaybyDay[Date],"&lt;="&amp;DaybyDay[[#This Row],[Date]])</f>
        <v>0</v>
      </c>
      <c r="Q235" s="34">
        <f>SUMIFS(DaybyDay[Service-Actuals],DaybyDay[Date],"&gt;="&amp;$C$5,DaybyDay[RowYear],"&gt;="&amp;$C$4,DaybyDay[Date],"&lt;="&amp;DaybyDay[[#This Row],[Date]])</f>
        <v>0</v>
      </c>
      <c r="R235" s="34">
        <f>SUMIFS(DaybyDay[Retail-Actuals],DaybyDay[Date],"&gt;="&amp;$C$5,DaybyDay[RowYear],"&gt;="&amp;$C$4,DaybyDay[Date],"&lt;="&amp;DaybyDay[[#This Row],[Date]])</f>
        <v>0</v>
      </c>
      <c r="S235" s="35">
        <f>SUMIFS(DaybyDay[Service-LY],DaybyDay[Date],"&gt;="&amp;$C$5,DaybyDay[RowYear],"&gt;="&amp;$C$4,DaybyDay[Date],"&lt;="&amp;DaybyDay[[#This Row],[Date]])</f>
        <v>0</v>
      </c>
      <c r="T235" s="35">
        <f>SUMIFS(DaybyDay[Retail-LY],DaybyDay[Date],"&gt;="&amp;$C$5,DaybyDay[RowYear],"&gt;="&amp;$C$4,DaybyDay[Date],"&lt;="&amp;DaybyDay[[#This Row],[Date]])</f>
        <v>0</v>
      </c>
      <c r="U235" s="32">
        <f>DaybyDay[[#This Row],[Serv-Bud-RU]]+DaybyDay[[#This Row],[Ret-Bud-RU]]</f>
        <v>0</v>
      </c>
      <c r="V235" s="32">
        <f>DaybyDay[[#This Row],[Serv-Act-RU]]+DaybyDay[[#This Row],[Ret-Act-RU]]</f>
        <v>0</v>
      </c>
      <c r="W235" s="36">
        <f>IF(DaybyDay[[#This Row],[_Space]],IFERROR(
((DaybyDay[[#This Row],[Actual-Rollup]]-DaybyDay[[#This Row],[Budget-Rollup]])/DaybyDay[[#This Row],[Budget-Rollup]]),0),"")</f>
        <v>0</v>
      </c>
      <c r="X235" t="b">
        <f>NOT(AND(ISBLANK(DaybyDay[[#This Row],[Appts]]),ISBLANK(DaybyDay[[#This Row],[Service-Actuals]]),ISBLANK(DaybyDay[[#This Row],[Retail-Actuals]])))</f>
        <v>1</v>
      </c>
      <c r="Y235" s="36">
        <f>IF(DaybyDay[[#This Row],[_Space]],IFERROR(
((DaybyDay[[#This Row],[Actual-Rollup]]-DaybyDay[[#This Row],[LY-Rollup]])/DaybyDay[[#This Row],[LY-Rollup]]),0),"")</f>
        <v>0</v>
      </c>
      <c r="Z235"/>
      <c r="AA235" s="37" t="e">
        <f>IF(DaybyDay[[#This Row],[_Space]],DaybyDay[[#This Row],[Ret-Act-RU]]/DaybyDay[[#This Row],[Serv-Act-RU]],"")</f>
        <v>#DIV/0!</v>
      </c>
      <c r="AB235" s="50" t="e">
        <f>IF(DaybyDay[[#This Row],[_Space]],DaybyDay[[#This Row],[RETPEN-Act]]/DaybyDay[[#This Row],[RETPEN-Bud]],"")</f>
        <v>#DIV/0!</v>
      </c>
      <c r="AC235" s="37" t="e">
        <f>IF(DaybyDay[[#This Row],[_Space]],DaybyDay[[#This Row],[Ret-Bud-RU]]/DaybyDay[[#This Row],[Serv-Bud-RU]],"")</f>
        <v>#DIV/0!</v>
      </c>
      <c r="AD235" s="37" t="e">
        <f>IF(DaybyDay[[#This Row],[_Space]],DaybyDay[[#This Row],[Ret-LY-RU]]/DaybyDay[[#This Row],[Serv-LY-RU]],"")</f>
        <v>#DIV/0!</v>
      </c>
      <c r="AE235" s="30">
        <f>WEEKDAY(DaybyDay[[#This Row],[LY-Date]])</f>
        <v>5</v>
      </c>
      <c r="AF235" s="38">
        <f>$E$2+_xlfn.DAYS(DaybyDay[[#This Row],[Date]],minDate)</f>
        <v>42600</v>
      </c>
      <c r="AG235" s="39" t="str" cm="1">
        <f t="array" ref="AG235">IFERROR(INDEX(DaybyDay[],DaybyDay[[#This Row],[FORM_MATCH_HELPER]],8),"")</f>
        <v/>
      </c>
      <c r="AH235" s="39" t="str" cm="1">
        <f t="array" ref="AH235">IFERROR(INDEX(DaybyDay[],DaybyDay[[#This Row],[FORM_MATCH_HELPER]],10),"")</f>
        <v/>
      </c>
      <c r="AI235" s="39" t="str" cm="1">
        <f t="array" ref="AI235">IFERROR(INDEX(DaybyDay[],DaybyDay[[#This Row],[FORM_MATCH_HELPER]],12),"")</f>
        <v/>
      </c>
      <c r="AJ235" s="32">
        <f>IFERROR(DaybyDay[[#This Row],[Serv-LY-RU]]+DaybyDay[[#This Row],[Ret-LY-RU]],"")</f>
        <v>0</v>
      </c>
      <c r="AK2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5" s="77"/>
      <c r="AM235" s="40" t="str">
        <f>IF(DaybyDay[[#This Row],[Admin Hours]]&gt;0,DaybyDay[[#This Row],[Admin Hours]]*$AM$2+$AM$3,"")</f>
        <v/>
      </c>
      <c r="AN235" s="40">
        <f>SUMIFS(DaybyDay[Est-Admin-Payroll],DaybyDay[Date],"&gt;="&amp;$C$5,DaybyDay[RowYear],"&gt;="&amp;$C$4,DaybyDay[Date],"&lt;="&amp;DaybyDay[[#This Row],[Date]])</f>
        <v>0</v>
      </c>
      <c r="AO235" s="41" t="str">
        <f>IF(AND(DaybyDay[[#This Row],[_Space]],ISNUMBER(DaybyDay[[#This Row],[Admin Hours]])),DaybyDay[[#This Row],[Est-Admin-Payroll]]/(DaybyDay[[#This Row],[Service-Actuals]]+DaybyDay[[#This Row],[Retail-Actuals]]),"")</f>
        <v/>
      </c>
      <c r="AP235" s="41" t="e">
        <f>DaybyDay[[#This Row],[Estimated-Payroll-Rollup]]/DaybyDay[[#This Row],[Simple-Forecast]]</f>
        <v>#DIV/0!</v>
      </c>
      <c r="AQ2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5" s="77"/>
      <c r="AS235" s="40" t="str">
        <f>IF(DaybyDay[[#This Row],[Retail Hours]]&gt;0,DaybyDay[[#This Row],[Retail Hours]]*$AS$2,"")</f>
        <v/>
      </c>
      <c r="AT235" s="40">
        <f>SUMIFS(DaybyDay[Est-Retail-Payroll],DaybyDay[Date],"&gt;="&amp;$C$5,DaybyDay[RowYear],"&gt;="&amp;$C$4,DaybyDay[Date],"&lt;="&amp;DaybyDay[[#This Row],[Date]])</f>
        <v>0</v>
      </c>
      <c r="AU235" s="82" t="str">
        <f>IF(AND(DaybyDay[[#This Row],[_Space]],ISNUMBER(DaybyDay[[#This Row],[Retail Hours]])),DaybyDay[[#This Row],[Est-Retail-Payroll]]/(DaybyDay[[#This Row],[Retail-Actuals]]),"")</f>
        <v/>
      </c>
      <c r="AV235" s="82" t="e">
        <f>DaybyDay[[#This Row],[Est-Retail-PayrollRU]]/DaybyDay[[#This Row],[Simple-Forecast-Retail]]</f>
        <v>#DIV/0!</v>
      </c>
      <c r="AW235" s="8"/>
    </row>
    <row r="236" spans="3:49" hidden="1" x14ac:dyDescent="0.25">
      <c r="C236" s="26" t="str">
        <f>Tools!$C$1</f>
        <v>Example</v>
      </c>
      <c r="D236" s="27" t="s">
        <v>75</v>
      </c>
      <c r="E236" s="28">
        <v>2017</v>
      </c>
      <c r="F236" s="28">
        <f>MATCH(DaybyDay[[#This Row],[RowMonth]],Table3[SummaryMonth],0)</f>
        <v>8</v>
      </c>
      <c r="G236" s="29" t="e">
        <f>MATCH(DaybyDay[[#This Row],[LY-Date]],DaybyDay[Date],0)</f>
        <v>#N/A</v>
      </c>
      <c r="H236" s="30">
        <f>WEEKDAY(DaybyDay[[#This Row],[Date]])</f>
        <v>6</v>
      </c>
      <c r="I236" s="31">
        <v>42965</v>
      </c>
      <c r="J236" s="74">
        <v>34</v>
      </c>
      <c r="K236" s="32">
        <f>SUMIFS(BudgetSeasonality[365 Seasonality],BudgetSeasonality[MonthAdjustment],DaybyDay[[#This Row],[Date]])*SUMIFS(Budgets[Service-Budget],Budgets[BudgetMonth],DaybyDay[[#This Row],[RowMonth]],Budgets[BudgetYear],DaybyDay[[#This Row],[RowYear]])</f>
        <v>0</v>
      </c>
      <c r="L236" s="75">
        <v>5723.48</v>
      </c>
      <c r="M236" s="32">
        <f>INDEX(BudgetSeasonality[365 Seasonality],MATCH(DaybyDay[[#This Row],[Date]],BudgetSeasonality[MonthAdjustment],0))*SUMIFS(Budgets[Retail-Budget],Budgets[BudgetMonth],DaybyDay[[#This Row],[RowMonth]],Budgets[BudgetYear],DaybyDay[[#This Row],[RowYear]])</f>
        <v>0</v>
      </c>
      <c r="N236" s="75">
        <v>730.5</v>
      </c>
      <c r="O236" s="33">
        <f>SUMIFS(DaybyDay[Service-Budgets],DaybyDay[Date],"&gt;="&amp;$C$5,DaybyDay[RowYear],"&gt;="&amp;$C$4,DaybyDay[Date],"&lt;="&amp;DaybyDay[[#This Row],[Date]])</f>
        <v>0</v>
      </c>
      <c r="P236" s="33">
        <f>SUMIFS(DaybyDay[Retail-Budgets],DaybyDay[Date],"&gt;="&amp;$C$5,DaybyDay[RowYear],"&gt;="&amp;$C$4,DaybyDay[Date],"&lt;="&amp;DaybyDay[[#This Row],[Date]])</f>
        <v>0</v>
      </c>
      <c r="Q236" s="34">
        <f>SUMIFS(DaybyDay[Service-Actuals],DaybyDay[Date],"&gt;="&amp;$C$5,DaybyDay[RowYear],"&gt;="&amp;$C$4,DaybyDay[Date],"&lt;="&amp;DaybyDay[[#This Row],[Date]])</f>
        <v>0</v>
      </c>
      <c r="R236" s="34">
        <f>SUMIFS(DaybyDay[Retail-Actuals],DaybyDay[Date],"&gt;="&amp;$C$5,DaybyDay[RowYear],"&gt;="&amp;$C$4,DaybyDay[Date],"&lt;="&amp;DaybyDay[[#This Row],[Date]])</f>
        <v>0</v>
      </c>
      <c r="S236" s="35">
        <f>SUMIFS(DaybyDay[Service-LY],DaybyDay[Date],"&gt;="&amp;$C$5,DaybyDay[RowYear],"&gt;="&amp;$C$4,DaybyDay[Date],"&lt;="&amp;DaybyDay[[#This Row],[Date]])</f>
        <v>0</v>
      </c>
      <c r="T236" s="35">
        <f>SUMIFS(DaybyDay[Retail-LY],DaybyDay[Date],"&gt;="&amp;$C$5,DaybyDay[RowYear],"&gt;="&amp;$C$4,DaybyDay[Date],"&lt;="&amp;DaybyDay[[#This Row],[Date]])</f>
        <v>0</v>
      </c>
      <c r="U236" s="32">
        <f>DaybyDay[[#This Row],[Serv-Bud-RU]]+DaybyDay[[#This Row],[Ret-Bud-RU]]</f>
        <v>0</v>
      </c>
      <c r="V236" s="32">
        <f>DaybyDay[[#This Row],[Serv-Act-RU]]+DaybyDay[[#This Row],[Ret-Act-RU]]</f>
        <v>0</v>
      </c>
      <c r="W236" s="36">
        <f>IF(DaybyDay[[#This Row],[_Space]],IFERROR(
((DaybyDay[[#This Row],[Actual-Rollup]]-DaybyDay[[#This Row],[Budget-Rollup]])/DaybyDay[[#This Row],[Budget-Rollup]]),0),"")</f>
        <v>0</v>
      </c>
      <c r="X236" t="b">
        <f>NOT(AND(ISBLANK(DaybyDay[[#This Row],[Appts]]),ISBLANK(DaybyDay[[#This Row],[Service-Actuals]]),ISBLANK(DaybyDay[[#This Row],[Retail-Actuals]])))</f>
        <v>1</v>
      </c>
      <c r="Y236" s="36">
        <f>IF(DaybyDay[[#This Row],[_Space]],IFERROR(
((DaybyDay[[#This Row],[Actual-Rollup]]-DaybyDay[[#This Row],[LY-Rollup]])/DaybyDay[[#This Row],[LY-Rollup]]),0),"")</f>
        <v>0</v>
      </c>
      <c r="Z236"/>
      <c r="AA236" s="37" t="e">
        <f>IF(DaybyDay[[#This Row],[_Space]],DaybyDay[[#This Row],[Ret-Act-RU]]/DaybyDay[[#This Row],[Serv-Act-RU]],"")</f>
        <v>#DIV/0!</v>
      </c>
      <c r="AB236" s="50" t="e">
        <f>IF(DaybyDay[[#This Row],[_Space]],DaybyDay[[#This Row],[RETPEN-Act]]/DaybyDay[[#This Row],[RETPEN-Bud]],"")</f>
        <v>#DIV/0!</v>
      </c>
      <c r="AC236" s="37" t="e">
        <f>IF(DaybyDay[[#This Row],[_Space]],DaybyDay[[#This Row],[Ret-Bud-RU]]/DaybyDay[[#This Row],[Serv-Bud-RU]],"")</f>
        <v>#DIV/0!</v>
      </c>
      <c r="AD236" s="37" t="e">
        <f>IF(DaybyDay[[#This Row],[_Space]],DaybyDay[[#This Row],[Ret-LY-RU]]/DaybyDay[[#This Row],[Serv-LY-RU]],"")</f>
        <v>#DIV/0!</v>
      </c>
      <c r="AE236" s="30">
        <f>WEEKDAY(DaybyDay[[#This Row],[LY-Date]])</f>
        <v>6</v>
      </c>
      <c r="AF236" s="38">
        <f>$E$2+_xlfn.DAYS(DaybyDay[[#This Row],[Date]],minDate)</f>
        <v>42601</v>
      </c>
      <c r="AG236" s="39" t="str" cm="1">
        <f t="array" ref="AG236">IFERROR(INDEX(DaybyDay[],DaybyDay[[#This Row],[FORM_MATCH_HELPER]],8),"")</f>
        <v/>
      </c>
      <c r="AH236" s="39" t="str" cm="1">
        <f t="array" ref="AH236">IFERROR(INDEX(DaybyDay[],DaybyDay[[#This Row],[FORM_MATCH_HELPER]],10),"")</f>
        <v/>
      </c>
      <c r="AI236" s="39" t="str" cm="1">
        <f t="array" ref="AI236">IFERROR(INDEX(DaybyDay[],DaybyDay[[#This Row],[FORM_MATCH_HELPER]],12),"")</f>
        <v/>
      </c>
      <c r="AJ236" s="32">
        <f>IFERROR(DaybyDay[[#This Row],[Serv-LY-RU]]+DaybyDay[[#This Row],[Ret-LY-RU]],"")</f>
        <v>0</v>
      </c>
      <c r="AK2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6" s="77"/>
      <c r="AM236" s="40" t="str">
        <f>IF(DaybyDay[[#This Row],[Admin Hours]]&gt;0,DaybyDay[[#This Row],[Admin Hours]]*$AM$2+$AM$3,"")</f>
        <v/>
      </c>
      <c r="AN236" s="40">
        <f>SUMIFS(DaybyDay[Est-Admin-Payroll],DaybyDay[Date],"&gt;="&amp;$C$5,DaybyDay[RowYear],"&gt;="&amp;$C$4,DaybyDay[Date],"&lt;="&amp;DaybyDay[[#This Row],[Date]])</f>
        <v>0</v>
      </c>
      <c r="AO236" s="41" t="str">
        <f>IF(AND(DaybyDay[[#This Row],[_Space]],ISNUMBER(DaybyDay[[#This Row],[Admin Hours]])),DaybyDay[[#This Row],[Est-Admin-Payroll]]/(DaybyDay[[#This Row],[Service-Actuals]]+DaybyDay[[#This Row],[Retail-Actuals]]),"")</f>
        <v/>
      </c>
      <c r="AP236" s="41" t="e">
        <f>DaybyDay[[#This Row],[Estimated-Payroll-Rollup]]/DaybyDay[[#This Row],[Simple-Forecast]]</f>
        <v>#DIV/0!</v>
      </c>
      <c r="AQ2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6" s="77"/>
      <c r="AS236" s="40" t="str">
        <f>IF(DaybyDay[[#This Row],[Retail Hours]]&gt;0,DaybyDay[[#This Row],[Retail Hours]]*$AS$2,"")</f>
        <v/>
      </c>
      <c r="AT236" s="40">
        <f>SUMIFS(DaybyDay[Est-Retail-Payroll],DaybyDay[Date],"&gt;="&amp;$C$5,DaybyDay[RowYear],"&gt;="&amp;$C$4,DaybyDay[Date],"&lt;="&amp;DaybyDay[[#This Row],[Date]])</f>
        <v>0</v>
      </c>
      <c r="AU236" s="82" t="str">
        <f>IF(AND(DaybyDay[[#This Row],[_Space]],ISNUMBER(DaybyDay[[#This Row],[Retail Hours]])),DaybyDay[[#This Row],[Est-Retail-Payroll]]/(DaybyDay[[#This Row],[Retail-Actuals]]),"")</f>
        <v/>
      </c>
      <c r="AV236" s="82" t="e">
        <f>DaybyDay[[#This Row],[Est-Retail-PayrollRU]]/DaybyDay[[#This Row],[Simple-Forecast-Retail]]</f>
        <v>#DIV/0!</v>
      </c>
      <c r="AW236" s="8"/>
    </row>
    <row r="237" spans="3:49" hidden="1" x14ac:dyDescent="0.25">
      <c r="C237" s="26" t="str">
        <f>Tools!$C$1</f>
        <v>Example</v>
      </c>
      <c r="D237" s="27" t="s">
        <v>75</v>
      </c>
      <c r="E237" s="28">
        <v>2017</v>
      </c>
      <c r="F237" s="28">
        <f>MATCH(DaybyDay[[#This Row],[RowMonth]],Table3[SummaryMonth],0)</f>
        <v>8</v>
      </c>
      <c r="G237" s="29" t="e">
        <f>MATCH(DaybyDay[[#This Row],[LY-Date]],DaybyDay[Date],0)</f>
        <v>#N/A</v>
      </c>
      <c r="H237" s="30">
        <f>WEEKDAY(DaybyDay[[#This Row],[Date]])</f>
        <v>7</v>
      </c>
      <c r="I237" s="31">
        <v>42966</v>
      </c>
      <c r="J237" s="74">
        <v>23</v>
      </c>
      <c r="K237" s="32">
        <f>SUMIFS(BudgetSeasonality[365 Seasonality],BudgetSeasonality[MonthAdjustment],DaybyDay[[#This Row],[Date]])*SUMIFS(Budgets[Service-Budget],Budgets[BudgetMonth],DaybyDay[[#This Row],[RowMonth]],Budgets[BudgetYear],DaybyDay[[#This Row],[RowYear]])</f>
        <v>0</v>
      </c>
      <c r="L237" s="75">
        <v>5845</v>
      </c>
      <c r="M237" s="32">
        <f>INDEX(BudgetSeasonality[365 Seasonality],MATCH(DaybyDay[[#This Row],[Date]],BudgetSeasonality[MonthAdjustment],0))*SUMIFS(Budgets[Retail-Budget],Budgets[BudgetMonth],DaybyDay[[#This Row],[RowMonth]],Budgets[BudgetYear],DaybyDay[[#This Row],[RowYear]])</f>
        <v>0</v>
      </c>
      <c r="N237" s="75">
        <v>1048.75</v>
      </c>
      <c r="O237" s="33">
        <f>SUMIFS(DaybyDay[Service-Budgets],DaybyDay[Date],"&gt;="&amp;$C$5,DaybyDay[RowYear],"&gt;="&amp;$C$4,DaybyDay[Date],"&lt;="&amp;DaybyDay[[#This Row],[Date]])</f>
        <v>0</v>
      </c>
      <c r="P237" s="33">
        <f>SUMIFS(DaybyDay[Retail-Budgets],DaybyDay[Date],"&gt;="&amp;$C$5,DaybyDay[RowYear],"&gt;="&amp;$C$4,DaybyDay[Date],"&lt;="&amp;DaybyDay[[#This Row],[Date]])</f>
        <v>0</v>
      </c>
      <c r="Q237" s="34">
        <f>SUMIFS(DaybyDay[Service-Actuals],DaybyDay[Date],"&gt;="&amp;$C$5,DaybyDay[RowYear],"&gt;="&amp;$C$4,DaybyDay[Date],"&lt;="&amp;DaybyDay[[#This Row],[Date]])</f>
        <v>0</v>
      </c>
      <c r="R237" s="34">
        <f>SUMIFS(DaybyDay[Retail-Actuals],DaybyDay[Date],"&gt;="&amp;$C$5,DaybyDay[RowYear],"&gt;="&amp;$C$4,DaybyDay[Date],"&lt;="&amp;DaybyDay[[#This Row],[Date]])</f>
        <v>0</v>
      </c>
      <c r="S237" s="35">
        <f>SUMIFS(DaybyDay[Service-LY],DaybyDay[Date],"&gt;="&amp;$C$5,DaybyDay[RowYear],"&gt;="&amp;$C$4,DaybyDay[Date],"&lt;="&amp;DaybyDay[[#This Row],[Date]])</f>
        <v>0</v>
      </c>
      <c r="T237" s="35">
        <f>SUMIFS(DaybyDay[Retail-LY],DaybyDay[Date],"&gt;="&amp;$C$5,DaybyDay[RowYear],"&gt;="&amp;$C$4,DaybyDay[Date],"&lt;="&amp;DaybyDay[[#This Row],[Date]])</f>
        <v>0</v>
      </c>
      <c r="U237" s="32">
        <f>DaybyDay[[#This Row],[Serv-Bud-RU]]+DaybyDay[[#This Row],[Ret-Bud-RU]]</f>
        <v>0</v>
      </c>
      <c r="V237" s="32">
        <f>DaybyDay[[#This Row],[Serv-Act-RU]]+DaybyDay[[#This Row],[Ret-Act-RU]]</f>
        <v>0</v>
      </c>
      <c r="W237" s="36">
        <f>IF(DaybyDay[[#This Row],[_Space]],IFERROR(
((DaybyDay[[#This Row],[Actual-Rollup]]-DaybyDay[[#This Row],[Budget-Rollup]])/DaybyDay[[#This Row],[Budget-Rollup]]),0),"")</f>
        <v>0</v>
      </c>
      <c r="X237" t="b">
        <f>NOT(AND(ISBLANK(DaybyDay[[#This Row],[Appts]]),ISBLANK(DaybyDay[[#This Row],[Service-Actuals]]),ISBLANK(DaybyDay[[#This Row],[Retail-Actuals]])))</f>
        <v>1</v>
      </c>
      <c r="Y237" s="36">
        <f>IF(DaybyDay[[#This Row],[_Space]],IFERROR(
((DaybyDay[[#This Row],[Actual-Rollup]]-DaybyDay[[#This Row],[LY-Rollup]])/DaybyDay[[#This Row],[LY-Rollup]]),0),"")</f>
        <v>0</v>
      </c>
      <c r="Z237"/>
      <c r="AA237" s="37" t="e">
        <f>IF(DaybyDay[[#This Row],[_Space]],DaybyDay[[#This Row],[Ret-Act-RU]]/DaybyDay[[#This Row],[Serv-Act-RU]],"")</f>
        <v>#DIV/0!</v>
      </c>
      <c r="AB237" s="50" t="e">
        <f>IF(DaybyDay[[#This Row],[_Space]],DaybyDay[[#This Row],[RETPEN-Act]]/DaybyDay[[#This Row],[RETPEN-Bud]],"")</f>
        <v>#DIV/0!</v>
      </c>
      <c r="AC237" s="37" t="e">
        <f>IF(DaybyDay[[#This Row],[_Space]],DaybyDay[[#This Row],[Ret-Bud-RU]]/DaybyDay[[#This Row],[Serv-Bud-RU]],"")</f>
        <v>#DIV/0!</v>
      </c>
      <c r="AD237" s="37" t="e">
        <f>IF(DaybyDay[[#This Row],[_Space]],DaybyDay[[#This Row],[Ret-LY-RU]]/DaybyDay[[#This Row],[Serv-LY-RU]],"")</f>
        <v>#DIV/0!</v>
      </c>
      <c r="AE237" s="30">
        <f>WEEKDAY(DaybyDay[[#This Row],[LY-Date]])</f>
        <v>7</v>
      </c>
      <c r="AF237" s="38">
        <f>$E$2+_xlfn.DAYS(DaybyDay[[#This Row],[Date]],minDate)</f>
        <v>42602</v>
      </c>
      <c r="AG237" s="39" t="str" cm="1">
        <f t="array" ref="AG237">IFERROR(INDEX(DaybyDay[],DaybyDay[[#This Row],[FORM_MATCH_HELPER]],8),"")</f>
        <v/>
      </c>
      <c r="AH237" s="39" t="str" cm="1">
        <f t="array" ref="AH237">IFERROR(INDEX(DaybyDay[],DaybyDay[[#This Row],[FORM_MATCH_HELPER]],10),"")</f>
        <v/>
      </c>
      <c r="AI237" s="39" t="str" cm="1">
        <f t="array" ref="AI237">IFERROR(INDEX(DaybyDay[],DaybyDay[[#This Row],[FORM_MATCH_HELPER]],12),"")</f>
        <v/>
      </c>
      <c r="AJ237" s="32">
        <f>IFERROR(DaybyDay[[#This Row],[Serv-LY-RU]]+DaybyDay[[#This Row],[Ret-LY-RU]],"")</f>
        <v>0</v>
      </c>
      <c r="AK2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7" s="77"/>
      <c r="AM237" s="40" t="str">
        <f>IF(DaybyDay[[#This Row],[Admin Hours]]&gt;0,DaybyDay[[#This Row],[Admin Hours]]*$AM$2+$AM$3,"")</f>
        <v/>
      </c>
      <c r="AN237" s="40">
        <f>SUMIFS(DaybyDay[Est-Admin-Payroll],DaybyDay[Date],"&gt;="&amp;$C$5,DaybyDay[RowYear],"&gt;="&amp;$C$4,DaybyDay[Date],"&lt;="&amp;DaybyDay[[#This Row],[Date]])</f>
        <v>0</v>
      </c>
      <c r="AO237" s="41" t="str">
        <f>IF(AND(DaybyDay[[#This Row],[_Space]],ISNUMBER(DaybyDay[[#This Row],[Admin Hours]])),DaybyDay[[#This Row],[Est-Admin-Payroll]]/(DaybyDay[[#This Row],[Service-Actuals]]+DaybyDay[[#This Row],[Retail-Actuals]]),"")</f>
        <v/>
      </c>
      <c r="AP237" s="41" t="e">
        <f>DaybyDay[[#This Row],[Estimated-Payroll-Rollup]]/DaybyDay[[#This Row],[Simple-Forecast]]</f>
        <v>#DIV/0!</v>
      </c>
      <c r="AQ2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7" s="77"/>
      <c r="AS237" s="40" t="str">
        <f>IF(DaybyDay[[#This Row],[Retail Hours]]&gt;0,DaybyDay[[#This Row],[Retail Hours]]*$AS$2,"")</f>
        <v/>
      </c>
      <c r="AT237" s="40">
        <f>SUMIFS(DaybyDay[Est-Retail-Payroll],DaybyDay[Date],"&gt;="&amp;$C$5,DaybyDay[RowYear],"&gt;="&amp;$C$4,DaybyDay[Date],"&lt;="&amp;DaybyDay[[#This Row],[Date]])</f>
        <v>0</v>
      </c>
      <c r="AU237" s="82" t="str">
        <f>IF(AND(DaybyDay[[#This Row],[_Space]],ISNUMBER(DaybyDay[[#This Row],[Retail Hours]])),DaybyDay[[#This Row],[Est-Retail-Payroll]]/(DaybyDay[[#This Row],[Retail-Actuals]]),"")</f>
        <v/>
      </c>
      <c r="AV237" s="82" t="e">
        <f>DaybyDay[[#This Row],[Est-Retail-PayrollRU]]/DaybyDay[[#This Row],[Simple-Forecast-Retail]]</f>
        <v>#DIV/0!</v>
      </c>
      <c r="AW237" s="8"/>
    </row>
    <row r="238" spans="3:49" hidden="1" x14ac:dyDescent="0.25">
      <c r="C238" s="26" t="str">
        <f>Tools!$C$1</f>
        <v>Example</v>
      </c>
      <c r="D238" s="27" t="s">
        <v>75</v>
      </c>
      <c r="E238" s="28">
        <v>2017</v>
      </c>
      <c r="F238" s="28">
        <f>MATCH(DaybyDay[[#This Row],[RowMonth]],Table3[SummaryMonth],0)</f>
        <v>8</v>
      </c>
      <c r="G238" s="29" t="e">
        <f>MATCH(DaybyDay[[#This Row],[LY-Date]],DaybyDay[Date],0)</f>
        <v>#N/A</v>
      </c>
      <c r="H238" s="30">
        <f>WEEKDAY(DaybyDay[[#This Row],[Date]])</f>
        <v>1</v>
      </c>
      <c r="I238" s="31">
        <v>42967</v>
      </c>
      <c r="J238" s="74">
        <v>23</v>
      </c>
      <c r="K238" s="32">
        <f>SUMIFS(BudgetSeasonality[365 Seasonality],BudgetSeasonality[MonthAdjustment],DaybyDay[[#This Row],[Date]])*SUMIFS(Budgets[Service-Budget],Budgets[BudgetMonth],DaybyDay[[#This Row],[RowMonth]],Budgets[BudgetYear],DaybyDay[[#This Row],[RowYear]])</f>
        <v>0</v>
      </c>
      <c r="L238" s="75">
        <v>4611.78</v>
      </c>
      <c r="M238" s="32">
        <f>INDEX(BudgetSeasonality[365 Seasonality],MATCH(DaybyDay[[#This Row],[Date]],BudgetSeasonality[MonthAdjustment],0))*SUMIFS(Budgets[Retail-Budget],Budgets[BudgetMonth],DaybyDay[[#This Row],[RowMonth]],Budgets[BudgetYear],DaybyDay[[#This Row],[RowYear]])</f>
        <v>0</v>
      </c>
      <c r="N238" s="75">
        <v>2596</v>
      </c>
      <c r="O238" s="33">
        <f>SUMIFS(DaybyDay[Service-Budgets],DaybyDay[Date],"&gt;="&amp;$C$5,DaybyDay[RowYear],"&gt;="&amp;$C$4,DaybyDay[Date],"&lt;="&amp;DaybyDay[[#This Row],[Date]])</f>
        <v>0</v>
      </c>
      <c r="P238" s="33">
        <f>SUMIFS(DaybyDay[Retail-Budgets],DaybyDay[Date],"&gt;="&amp;$C$5,DaybyDay[RowYear],"&gt;="&amp;$C$4,DaybyDay[Date],"&lt;="&amp;DaybyDay[[#This Row],[Date]])</f>
        <v>0</v>
      </c>
      <c r="Q238" s="34">
        <f>SUMIFS(DaybyDay[Service-Actuals],DaybyDay[Date],"&gt;="&amp;$C$5,DaybyDay[RowYear],"&gt;="&amp;$C$4,DaybyDay[Date],"&lt;="&amp;DaybyDay[[#This Row],[Date]])</f>
        <v>0</v>
      </c>
      <c r="R238" s="34">
        <f>SUMIFS(DaybyDay[Retail-Actuals],DaybyDay[Date],"&gt;="&amp;$C$5,DaybyDay[RowYear],"&gt;="&amp;$C$4,DaybyDay[Date],"&lt;="&amp;DaybyDay[[#This Row],[Date]])</f>
        <v>0</v>
      </c>
      <c r="S238" s="35">
        <f>SUMIFS(DaybyDay[Service-LY],DaybyDay[Date],"&gt;="&amp;$C$5,DaybyDay[RowYear],"&gt;="&amp;$C$4,DaybyDay[Date],"&lt;="&amp;DaybyDay[[#This Row],[Date]])</f>
        <v>0</v>
      </c>
      <c r="T238" s="35">
        <f>SUMIFS(DaybyDay[Retail-LY],DaybyDay[Date],"&gt;="&amp;$C$5,DaybyDay[RowYear],"&gt;="&amp;$C$4,DaybyDay[Date],"&lt;="&amp;DaybyDay[[#This Row],[Date]])</f>
        <v>0</v>
      </c>
      <c r="U238" s="32">
        <f>DaybyDay[[#This Row],[Serv-Bud-RU]]+DaybyDay[[#This Row],[Ret-Bud-RU]]</f>
        <v>0</v>
      </c>
      <c r="V238" s="32">
        <f>DaybyDay[[#This Row],[Serv-Act-RU]]+DaybyDay[[#This Row],[Ret-Act-RU]]</f>
        <v>0</v>
      </c>
      <c r="W238" s="36">
        <f>IF(DaybyDay[[#This Row],[_Space]],IFERROR(
((DaybyDay[[#This Row],[Actual-Rollup]]-DaybyDay[[#This Row],[Budget-Rollup]])/DaybyDay[[#This Row],[Budget-Rollup]]),0),"")</f>
        <v>0</v>
      </c>
      <c r="X238" t="b">
        <f>NOT(AND(ISBLANK(DaybyDay[[#This Row],[Appts]]),ISBLANK(DaybyDay[[#This Row],[Service-Actuals]]),ISBLANK(DaybyDay[[#This Row],[Retail-Actuals]])))</f>
        <v>1</v>
      </c>
      <c r="Y238" s="36">
        <f>IF(DaybyDay[[#This Row],[_Space]],IFERROR(
((DaybyDay[[#This Row],[Actual-Rollup]]-DaybyDay[[#This Row],[LY-Rollup]])/DaybyDay[[#This Row],[LY-Rollup]]),0),"")</f>
        <v>0</v>
      </c>
      <c r="Z238"/>
      <c r="AA238" s="37" t="e">
        <f>IF(DaybyDay[[#This Row],[_Space]],DaybyDay[[#This Row],[Ret-Act-RU]]/DaybyDay[[#This Row],[Serv-Act-RU]],"")</f>
        <v>#DIV/0!</v>
      </c>
      <c r="AB238" s="50" t="e">
        <f>IF(DaybyDay[[#This Row],[_Space]],DaybyDay[[#This Row],[RETPEN-Act]]/DaybyDay[[#This Row],[RETPEN-Bud]],"")</f>
        <v>#DIV/0!</v>
      </c>
      <c r="AC238" s="37" t="e">
        <f>IF(DaybyDay[[#This Row],[_Space]],DaybyDay[[#This Row],[Ret-Bud-RU]]/DaybyDay[[#This Row],[Serv-Bud-RU]],"")</f>
        <v>#DIV/0!</v>
      </c>
      <c r="AD238" s="37" t="e">
        <f>IF(DaybyDay[[#This Row],[_Space]],DaybyDay[[#This Row],[Ret-LY-RU]]/DaybyDay[[#This Row],[Serv-LY-RU]],"")</f>
        <v>#DIV/0!</v>
      </c>
      <c r="AE238" s="30">
        <f>WEEKDAY(DaybyDay[[#This Row],[LY-Date]])</f>
        <v>1</v>
      </c>
      <c r="AF238" s="38">
        <f>$E$2+_xlfn.DAYS(DaybyDay[[#This Row],[Date]],minDate)</f>
        <v>42603</v>
      </c>
      <c r="AG238" s="39" t="str" cm="1">
        <f t="array" ref="AG238">IFERROR(INDEX(DaybyDay[],DaybyDay[[#This Row],[FORM_MATCH_HELPER]],8),"")</f>
        <v/>
      </c>
      <c r="AH238" s="39" t="str" cm="1">
        <f t="array" ref="AH238">IFERROR(INDEX(DaybyDay[],DaybyDay[[#This Row],[FORM_MATCH_HELPER]],10),"")</f>
        <v/>
      </c>
      <c r="AI238" s="39" t="str" cm="1">
        <f t="array" ref="AI238">IFERROR(INDEX(DaybyDay[],DaybyDay[[#This Row],[FORM_MATCH_HELPER]],12),"")</f>
        <v/>
      </c>
      <c r="AJ238" s="32">
        <f>IFERROR(DaybyDay[[#This Row],[Serv-LY-RU]]+DaybyDay[[#This Row],[Ret-LY-RU]],"")</f>
        <v>0</v>
      </c>
      <c r="AK2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8" s="77"/>
      <c r="AM238" s="40" t="str">
        <f>IF(DaybyDay[[#This Row],[Admin Hours]]&gt;0,DaybyDay[[#This Row],[Admin Hours]]*$AM$2+$AM$3,"")</f>
        <v/>
      </c>
      <c r="AN238" s="40">
        <f>SUMIFS(DaybyDay[Est-Admin-Payroll],DaybyDay[Date],"&gt;="&amp;$C$5,DaybyDay[RowYear],"&gt;="&amp;$C$4,DaybyDay[Date],"&lt;="&amp;DaybyDay[[#This Row],[Date]])</f>
        <v>0</v>
      </c>
      <c r="AO238" s="41" t="str">
        <f>IF(AND(DaybyDay[[#This Row],[_Space]],ISNUMBER(DaybyDay[[#This Row],[Admin Hours]])),DaybyDay[[#This Row],[Est-Admin-Payroll]]/(DaybyDay[[#This Row],[Service-Actuals]]+DaybyDay[[#This Row],[Retail-Actuals]]),"")</f>
        <v/>
      </c>
      <c r="AP238" s="41" t="e">
        <f>DaybyDay[[#This Row],[Estimated-Payroll-Rollup]]/DaybyDay[[#This Row],[Simple-Forecast]]</f>
        <v>#DIV/0!</v>
      </c>
      <c r="AQ2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8" s="77"/>
      <c r="AS238" s="40" t="str">
        <f>IF(DaybyDay[[#This Row],[Retail Hours]]&gt;0,DaybyDay[[#This Row],[Retail Hours]]*$AS$2,"")</f>
        <v/>
      </c>
      <c r="AT238" s="40">
        <f>SUMIFS(DaybyDay[Est-Retail-Payroll],DaybyDay[Date],"&gt;="&amp;$C$5,DaybyDay[RowYear],"&gt;="&amp;$C$4,DaybyDay[Date],"&lt;="&amp;DaybyDay[[#This Row],[Date]])</f>
        <v>0</v>
      </c>
      <c r="AU238" s="82" t="str">
        <f>IF(AND(DaybyDay[[#This Row],[_Space]],ISNUMBER(DaybyDay[[#This Row],[Retail Hours]])),DaybyDay[[#This Row],[Est-Retail-Payroll]]/(DaybyDay[[#This Row],[Retail-Actuals]]),"")</f>
        <v/>
      </c>
      <c r="AV238" s="82" t="e">
        <f>DaybyDay[[#This Row],[Est-Retail-PayrollRU]]/DaybyDay[[#This Row],[Simple-Forecast-Retail]]</f>
        <v>#DIV/0!</v>
      </c>
      <c r="AW238" s="8"/>
    </row>
    <row r="239" spans="3:49" hidden="1" x14ac:dyDescent="0.25">
      <c r="C239" s="26" t="str">
        <f>Tools!$C$1</f>
        <v>Example</v>
      </c>
      <c r="D239" s="27" t="s">
        <v>75</v>
      </c>
      <c r="E239" s="28">
        <v>2017</v>
      </c>
      <c r="F239" s="28">
        <f>MATCH(DaybyDay[[#This Row],[RowMonth]],Table3[SummaryMonth],0)</f>
        <v>8</v>
      </c>
      <c r="G239" s="29" t="e">
        <f>MATCH(DaybyDay[[#This Row],[LY-Date]],DaybyDay[Date],0)</f>
        <v>#N/A</v>
      </c>
      <c r="H239" s="30">
        <f>WEEKDAY(DaybyDay[[#This Row],[Date]])</f>
        <v>2</v>
      </c>
      <c r="I239" s="31">
        <v>42968</v>
      </c>
      <c r="J239" s="74">
        <v>9</v>
      </c>
      <c r="K239" s="32">
        <f>SUMIFS(BudgetSeasonality[365 Seasonality],BudgetSeasonality[MonthAdjustment],DaybyDay[[#This Row],[Date]])*SUMIFS(Budgets[Service-Budget],Budgets[BudgetMonth],DaybyDay[[#This Row],[RowMonth]],Budgets[BudgetYear],DaybyDay[[#This Row],[RowYear]])</f>
        <v>0</v>
      </c>
      <c r="L239" s="75">
        <v>1604.4</v>
      </c>
      <c r="M239" s="32">
        <f>INDEX(BudgetSeasonality[365 Seasonality],MATCH(DaybyDay[[#This Row],[Date]],BudgetSeasonality[MonthAdjustment],0))*SUMIFS(Budgets[Retail-Budget],Budgets[BudgetMonth],DaybyDay[[#This Row],[RowMonth]],Budgets[BudgetYear],DaybyDay[[#This Row],[RowYear]])</f>
        <v>0</v>
      </c>
      <c r="N239" s="75">
        <v>133</v>
      </c>
      <c r="O239" s="33">
        <f>SUMIFS(DaybyDay[Service-Budgets],DaybyDay[Date],"&gt;="&amp;$C$5,DaybyDay[RowYear],"&gt;="&amp;$C$4,DaybyDay[Date],"&lt;="&amp;DaybyDay[[#This Row],[Date]])</f>
        <v>0</v>
      </c>
      <c r="P239" s="33">
        <f>SUMIFS(DaybyDay[Retail-Budgets],DaybyDay[Date],"&gt;="&amp;$C$5,DaybyDay[RowYear],"&gt;="&amp;$C$4,DaybyDay[Date],"&lt;="&amp;DaybyDay[[#This Row],[Date]])</f>
        <v>0</v>
      </c>
      <c r="Q239" s="34">
        <f>SUMIFS(DaybyDay[Service-Actuals],DaybyDay[Date],"&gt;="&amp;$C$5,DaybyDay[RowYear],"&gt;="&amp;$C$4,DaybyDay[Date],"&lt;="&amp;DaybyDay[[#This Row],[Date]])</f>
        <v>0</v>
      </c>
      <c r="R239" s="34">
        <f>SUMIFS(DaybyDay[Retail-Actuals],DaybyDay[Date],"&gt;="&amp;$C$5,DaybyDay[RowYear],"&gt;="&amp;$C$4,DaybyDay[Date],"&lt;="&amp;DaybyDay[[#This Row],[Date]])</f>
        <v>0</v>
      </c>
      <c r="S239" s="35">
        <f>SUMIFS(DaybyDay[Service-LY],DaybyDay[Date],"&gt;="&amp;$C$5,DaybyDay[RowYear],"&gt;="&amp;$C$4,DaybyDay[Date],"&lt;="&amp;DaybyDay[[#This Row],[Date]])</f>
        <v>0</v>
      </c>
      <c r="T239" s="35">
        <f>SUMIFS(DaybyDay[Retail-LY],DaybyDay[Date],"&gt;="&amp;$C$5,DaybyDay[RowYear],"&gt;="&amp;$C$4,DaybyDay[Date],"&lt;="&amp;DaybyDay[[#This Row],[Date]])</f>
        <v>0</v>
      </c>
      <c r="U239" s="32">
        <f>DaybyDay[[#This Row],[Serv-Bud-RU]]+DaybyDay[[#This Row],[Ret-Bud-RU]]</f>
        <v>0</v>
      </c>
      <c r="V239" s="32">
        <f>DaybyDay[[#This Row],[Serv-Act-RU]]+DaybyDay[[#This Row],[Ret-Act-RU]]</f>
        <v>0</v>
      </c>
      <c r="W239" s="36">
        <f>IF(DaybyDay[[#This Row],[_Space]],IFERROR(
((DaybyDay[[#This Row],[Actual-Rollup]]-DaybyDay[[#This Row],[Budget-Rollup]])/DaybyDay[[#This Row],[Budget-Rollup]]),0),"")</f>
        <v>0</v>
      </c>
      <c r="X239" t="b">
        <f>NOT(AND(ISBLANK(DaybyDay[[#This Row],[Appts]]),ISBLANK(DaybyDay[[#This Row],[Service-Actuals]]),ISBLANK(DaybyDay[[#This Row],[Retail-Actuals]])))</f>
        <v>1</v>
      </c>
      <c r="Y239" s="36">
        <f>IF(DaybyDay[[#This Row],[_Space]],IFERROR(
((DaybyDay[[#This Row],[Actual-Rollup]]-DaybyDay[[#This Row],[LY-Rollup]])/DaybyDay[[#This Row],[LY-Rollup]]),0),"")</f>
        <v>0</v>
      </c>
      <c r="Z239"/>
      <c r="AA239" s="37" t="e">
        <f>IF(DaybyDay[[#This Row],[_Space]],DaybyDay[[#This Row],[Ret-Act-RU]]/DaybyDay[[#This Row],[Serv-Act-RU]],"")</f>
        <v>#DIV/0!</v>
      </c>
      <c r="AB239" s="50" t="e">
        <f>IF(DaybyDay[[#This Row],[_Space]],DaybyDay[[#This Row],[RETPEN-Act]]/DaybyDay[[#This Row],[RETPEN-Bud]],"")</f>
        <v>#DIV/0!</v>
      </c>
      <c r="AC239" s="37" t="e">
        <f>IF(DaybyDay[[#This Row],[_Space]],DaybyDay[[#This Row],[Ret-Bud-RU]]/DaybyDay[[#This Row],[Serv-Bud-RU]],"")</f>
        <v>#DIV/0!</v>
      </c>
      <c r="AD239" s="37" t="e">
        <f>IF(DaybyDay[[#This Row],[_Space]],DaybyDay[[#This Row],[Ret-LY-RU]]/DaybyDay[[#This Row],[Serv-LY-RU]],"")</f>
        <v>#DIV/0!</v>
      </c>
      <c r="AE239" s="30">
        <f>WEEKDAY(DaybyDay[[#This Row],[LY-Date]])</f>
        <v>2</v>
      </c>
      <c r="AF239" s="38">
        <f>$E$2+_xlfn.DAYS(DaybyDay[[#This Row],[Date]],minDate)</f>
        <v>42604</v>
      </c>
      <c r="AG239" s="39" t="str" cm="1">
        <f t="array" ref="AG239">IFERROR(INDEX(DaybyDay[],DaybyDay[[#This Row],[FORM_MATCH_HELPER]],8),"")</f>
        <v/>
      </c>
      <c r="AH239" s="39" t="str" cm="1">
        <f t="array" ref="AH239">IFERROR(INDEX(DaybyDay[],DaybyDay[[#This Row],[FORM_MATCH_HELPER]],10),"")</f>
        <v/>
      </c>
      <c r="AI239" s="39" t="str" cm="1">
        <f t="array" ref="AI239">IFERROR(INDEX(DaybyDay[],DaybyDay[[#This Row],[FORM_MATCH_HELPER]],12),"")</f>
        <v/>
      </c>
      <c r="AJ239" s="32">
        <f>IFERROR(DaybyDay[[#This Row],[Serv-LY-RU]]+DaybyDay[[#This Row],[Ret-LY-RU]],"")</f>
        <v>0</v>
      </c>
      <c r="AK2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39" s="77"/>
      <c r="AM239" s="40" t="str">
        <f>IF(DaybyDay[[#This Row],[Admin Hours]]&gt;0,DaybyDay[[#This Row],[Admin Hours]]*$AM$2+$AM$3,"")</f>
        <v/>
      </c>
      <c r="AN239" s="40">
        <f>SUMIFS(DaybyDay[Est-Admin-Payroll],DaybyDay[Date],"&gt;="&amp;$C$5,DaybyDay[RowYear],"&gt;="&amp;$C$4,DaybyDay[Date],"&lt;="&amp;DaybyDay[[#This Row],[Date]])</f>
        <v>0</v>
      </c>
      <c r="AO239" s="41" t="str">
        <f>IF(AND(DaybyDay[[#This Row],[_Space]],ISNUMBER(DaybyDay[[#This Row],[Admin Hours]])),DaybyDay[[#This Row],[Est-Admin-Payroll]]/(DaybyDay[[#This Row],[Service-Actuals]]+DaybyDay[[#This Row],[Retail-Actuals]]),"")</f>
        <v/>
      </c>
      <c r="AP239" s="41" t="e">
        <f>DaybyDay[[#This Row],[Estimated-Payroll-Rollup]]/DaybyDay[[#This Row],[Simple-Forecast]]</f>
        <v>#DIV/0!</v>
      </c>
      <c r="AQ2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39" s="77"/>
      <c r="AS239" s="40" t="str">
        <f>IF(DaybyDay[[#This Row],[Retail Hours]]&gt;0,DaybyDay[[#This Row],[Retail Hours]]*$AS$2,"")</f>
        <v/>
      </c>
      <c r="AT239" s="40">
        <f>SUMIFS(DaybyDay[Est-Retail-Payroll],DaybyDay[Date],"&gt;="&amp;$C$5,DaybyDay[RowYear],"&gt;="&amp;$C$4,DaybyDay[Date],"&lt;="&amp;DaybyDay[[#This Row],[Date]])</f>
        <v>0</v>
      </c>
      <c r="AU239" s="82" t="str">
        <f>IF(AND(DaybyDay[[#This Row],[_Space]],ISNUMBER(DaybyDay[[#This Row],[Retail Hours]])),DaybyDay[[#This Row],[Est-Retail-Payroll]]/(DaybyDay[[#This Row],[Retail-Actuals]]),"")</f>
        <v/>
      </c>
      <c r="AV239" s="82" t="e">
        <f>DaybyDay[[#This Row],[Est-Retail-PayrollRU]]/DaybyDay[[#This Row],[Simple-Forecast-Retail]]</f>
        <v>#DIV/0!</v>
      </c>
      <c r="AW239" s="8"/>
    </row>
    <row r="240" spans="3:49" hidden="1" x14ac:dyDescent="0.25">
      <c r="C240" s="26" t="str">
        <f>Tools!$C$1</f>
        <v>Example</v>
      </c>
      <c r="D240" s="27" t="s">
        <v>75</v>
      </c>
      <c r="E240" s="28">
        <v>2017</v>
      </c>
      <c r="F240" s="28">
        <f>MATCH(DaybyDay[[#This Row],[RowMonth]],Table3[SummaryMonth],0)</f>
        <v>8</v>
      </c>
      <c r="G240" s="29" t="e">
        <f>MATCH(DaybyDay[[#This Row],[LY-Date]],DaybyDay[Date],0)</f>
        <v>#N/A</v>
      </c>
      <c r="H240" s="30">
        <f>WEEKDAY(DaybyDay[[#This Row],[Date]])</f>
        <v>3</v>
      </c>
      <c r="I240" s="31">
        <v>42969</v>
      </c>
      <c r="J240" s="74">
        <v>16</v>
      </c>
      <c r="K240" s="32">
        <f>SUMIFS(BudgetSeasonality[365 Seasonality],BudgetSeasonality[MonthAdjustment],DaybyDay[[#This Row],[Date]])*SUMIFS(Budgets[Service-Budget],Budgets[BudgetMonth],DaybyDay[[#This Row],[RowMonth]],Budgets[BudgetYear],DaybyDay[[#This Row],[RowYear]])</f>
        <v>0</v>
      </c>
      <c r="L240" s="75">
        <v>3288.3</v>
      </c>
      <c r="M240" s="32">
        <f>INDEX(BudgetSeasonality[365 Seasonality],MATCH(DaybyDay[[#This Row],[Date]],BudgetSeasonality[MonthAdjustment],0))*SUMIFS(Budgets[Retail-Budget],Budgets[BudgetMonth],DaybyDay[[#This Row],[RowMonth]],Budgets[BudgetYear],DaybyDay[[#This Row],[RowYear]])</f>
        <v>0</v>
      </c>
      <c r="N240" s="75">
        <v>1634</v>
      </c>
      <c r="O240" s="33">
        <f>SUMIFS(DaybyDay[Service-Budgets],DaybyDay[Date],"&gt;="&amp;$C$5,DaybyDay[RowYear],"&gt;="&amp;$C$4,DaybyDay[Date],"&lt;="&amp;DaybyDay[[#This Row],[Date]])</f>
        <v>0</v>
      </c>
      <c r="P240" s="33">
        <f>SUMIFS(DaybyDay[Retail-Budgets],DaybyDay[Date],"&gt;="&amp;$C$5,DaybyDay[RowYear],"&gt;="&amp;$C$4,DaybyDay[Date],"&lt;="&amp;DaybyDay[[#This Row],[Date]])</f>
        <v>0</v>
      </c>
      <c r="Q240" s="34">
        <f>SUMIFS(DaybyDay[Service-Actuals],DaybyDay[Date],"&gt;="&amp;$C$5,DaybyDay[RowYear],"&gt;="&amp;$C$4,DaybyDay[Date],"&lt;="&amp;DaybyDay[[#This Row],[Date]])</f>
        <v>0</v>
      </c>
      <c r="R240" s="34">
        <f>SUMIFS(DaybyDay[Retail-Actuals],DaybyDay[Date],"&gt;="&amp;$C$5,DaybyDay[RowYear],"&gt;="&amp;$C$4,DaybyDay[Date],"&lt;="&amp;DaybyDay[[#This Row],[Date]])</f>
        <v>0</v>
      </c>
      <c r="S240" s="35">
        <f>SUMIFS(DaybyDay[Service-LY],DaybyDay[Date],"&gt;="&amp;$C$5,DaybyDay[RowYear],"&gt;="&amp;$C$4,DaybyDay[Date],"&lt;="&amp;DaybyDay[[#This Row],[Date]])</f>
        <v>0</v>
      </c>
      <c r="T240" s="35">
        <f>SUMIFS(DaybyDay[Retail-LY],DaybyDay[Date],"&gt;="&amp;$C$5,DaybyDay[RowYear],"&gt;="&amp;$C$4,DaybyDay[Date],"&lt;="&amp;DaybyDay[[#This Row],[Date]])</f>
        <v>0</v>
      </c>
      <c r="U240" s="32">
        <f>DaybyDay[[#This Row],[Serv-Bud-RU]]+DaybyDay[[#This Row],[Ret-Bud-RU]]</f>
        <v>0</v>
      </c>
      <c r="V240" s="32">
        <f>DaybyDay[[#This Row],[Serv-Act-RU]]+DaybyDay[[#This Row],[Ret-Act-RU]]</f>
        <v>0</v>
      </c>
      <c r="W240" s="36">
        <f>IF(DaybyDay[[#This Row],[_Space]],IFERROR(
((DaybyDay[[#This Row],[Actual-Rollup]]-DaybyDay[[#This Row],[Budget-Rollup]])/DaybyDay[[#This Row],[Budget-Rollup]]),0),"")</f>
        <v>0</v>
      </c>
      <c r="X240" t="b">
        <f>NOT(AND(ISBLANK(DaybyDay[[#This Row],[Appts]]),ISBLANK(DaybyDay[[#This Row],[Service-Actuals]]),ISBLANK(DaybyDay[[#This Row],[Retail-Actuals]])))</f>
        <v>1</v>
      </c>
      <c r="Y240" s="36">
        <f>IF(DaybyDay[[#This Row],[_Space]],IFERROR(
((DaybyDay[[#This Row],[Actual-Rollup]]-DaybyDay[[#This Row],[LY-Rollup]])/DaybyDay[[#This Row],[LY-Rollup]]),0),"")</f>
        <v>0</v>
      </c>
      <c r="Z240"/>
      <c r="AA240" s="37" t="e">
        <f>IF(DaybyDay[[#This Row],[_Space]],DaybyDay[[#This Row],[Ret-Act-RU]]/DaybyDay[[#This Row],[Serv-Act-RU]],"")</f>
        <v>#DIV/0!</v>
      </c>
      <c r="AB240" s="50" t="e">
        <f>IF(DaybyDay[[#This Row],[_Space]],DaybyDay[[#This Row],[RETPEN-Act]]/DaybyDay[[#This Row],[RETPEN-Bud]],"")</f>
        <v>#DIV/0!</v>
      </c>
      <c r="AC240" s="37" t="e">
        <f>IF(DaybyDay[[#This Row],[_Space]],DaybyDay[[#This Row],[Ret-Bud-RU]]/DaybyDay[[#This Row],[Serv-Bud-RU]],"")</f>
        <v>#DIV/0!</v>
      </c>
      <c r="AD240" s="37" t="e">
        <f>IF(DaybyDay[[#This Row],[_Space]],DaybyDay[[#This Row],[Ret-LY-RU]]/DaybyDay[[#This Row],[Serv-LY-RU]],"")</f>
        <v>#DIV/0!</v>
      </c>
      <c r="AE240" s="30">
        <f>WEEKDAY(DaybyDay[[#This Row],[LY-Date]])</f>
        <v>3</v>
      </c>
      <c r="AF240" s="38">
        <f>$E$2+_xlfn.DAYS(DaybyDay[[#This Row],[Date]],minDate)</f>
        <v>42605</v>
      </c>
      <c r="AG240" s="39" t="str" cm="1">
        <f t="array" ref="AG240">IFERROR(INDEX(DaybyDay[],DaybyDay[[#This Row],[FORM_MATCH_HELPER]],8),"")</f>
        <v/>
      </c>
      <c r="AH240" s="39" t="str" cm="1">
        <f t="array" ref="AH240">IFERROR(INDEX(DaybyDay[],DaybyDay[[#This Row],[FORM_MATCH_HELPER]],10),"")</f>
        <v/>
      </c>
      <c r="AI240" s="39" t="str" cm="1">
        <f t="array" ref="AI240">IFERROR(INDEX(DaybyDay[],DaybyDay[[#This Row],[FORM_MATCH_HELPER]],12),"")</f>
        <v/>
      </c>
      <c r="AJ240" s="32">
        <f>IFERROR(DaybyDay[[#This Row],[Serv-LY-RU]]+DaybyDay[[#This Row],[Ret-LY-RU]],"")</f>
        <v>0</v>
      </c>
      <c r="AK2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0" s="77"/>
      <c r="AM240" s="40" t="str">
        <f>IF(DaybyDay[[#This Row],[Admin Hours]]&gt;0,DaybyDay[[#This Row],[Admin Hours]]*$AM$2+$AM$3,"")</f>
        <v/>
      </c>
      <c r="AN240" s="40">
        <f>SUMIFS(DaybyDay[Est-Admin-Payroll],DaybyDay[Date],"&gt;="&amp;$C$5,DaybyDay[RowYear],"&gt;="&amp;$C$4,DaybyDay[Date],"&lt;="&amp;DaybyDay[[#This Row],[Date]])</f>
        <v>0</v>
      </c>
      <c r="AO240" s="41" t="str">
        <f>IF(AND(DaybyDay[[#This Row],[_Space]],ISNUMBER(DaybyDay[[#This Row],[Admin Hours]])),DaybyDay[[#This Row],[Est-Admin-Payroll]]/(DaybyDay[[#This Row],[Service-Actuals]]+DaybyDay[[#This Row],[Retail-Actuals]]),"")</f>
        <v/>
      </c>
      <c r="AP240" s="41" t="e">
        <f>DaybyDay[[#This Row],[Estimated-Payroll-Rollup]]/DaybyDay[[#This Row],[Simple-Forecast]]</f>
        <v>#DIV/0!</v>
      </c>
      <c r="AQ2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0" s="77"/>
      <c r="AS240" s="40" t="str">
        <f>IF(DaybyDay[[#This Row],[Retail Hours]]&gt;0,DaybyDay[[#This Row],[Retail Hours]]*$AS$2,"")</f>
        <v/>
      </c>
      <c r="AT240" s="40">
        <f>SUMIFS(DaybyDay[Est-Retail-Payroll],DaybyDay[Date],"&gt;="&amp;$C$5,DaybyDay[RowYear],"&gt;="&amp;$C$4,DaybyDay[Date],"&lt;="&amp;DaybyDay[[#This Row],[Date]])</f>
        <v>0</v>
      </c>
      <c r="AU240" s="82" t="str">
        <f>IF(AND(DaybyDay[[#This Row],[_Space]],ISNUMBER(DaybyDay[[#This Row],[Retail Hours]])),DaybyDay[[#This Row],[Est-Retail-Payroll]]/(DaybyDay[[#This Row],[Retail-Actuals]]),"")</f>
        <v/>
      </c>
      <c r="AV240" s="82" t="e">
        <f>DaybyDay[[#This Row],[Est-Retail-PayrollRU]]/DaybyDay[[#This Row],[Simple-Forecast-Retail]]</f>
        <v>#DIV/0!</v>
      </c>
      <c r="AW240" s="8"/>
    </row>
    <row r="241" spans="3:49" hidden="1" x14ac:dyDescent="0.25">
      <c r="C241" s="26" t="str">
        <f>Tools!$C$1</f>
        <v>Example</v>
      </c>
      <c r="D241" s="27" t="s">
        <v>75</v>
      </c>
      <c r="E241" s="28">
        <v>2017</v>
      </c>
      <c r="F241" s="28">
        <f>MATCH(DaybyDay[[#This Row],[RowMonth]],Table3[SummaryMonth],0)</f>
        <v>8</v>
      </c>
      <c r="G241" s="29" t="e">
        <f>MATCH(DaybyDay[[#This Row],[LY-Date]],DaybyDay[Date],0)</f>
        <v>#N/A</v>
      </c>
      <c r="H241" s="30">
        <f>WEEKDAY(DaybyDay[[#This Row],[Date]])</f>
        <v>4</v>
      </c>
      <c r="I241" s="31">
        <v>42970</v>
      </c>
      <c r="J241" s="74">
        <v>22</v>
      </c>
      <c r="K241" s="32">
        <f>SUMIFS(BudgetSeasonality[365 Seasonality],BudgetSeasonality[MonthAdjustment],DaybyDay[[#This Row],[Date]])*SUMIFS(Budgets[Service-Budget],Budgets[BudgetMonth],DaybyDay[[#This Row],[RowMonth]],Budgets[BudgetYear],DaybyDay[[#This Row],[RowYear]])</f>
        <v>0</v>
      </c>
      <c r="L241" s="75">
        <v>4650.3900000000003</v>
      </c>
      <c r="M241" s="32">
        <f>INDEX(BudgetSeasonality[365 Seasonality],MATCH(DaybyDay[[#This Row],[Date]],BudgetSeasonality[MonthAdjustment],0))*SUMIFS(Budgets[Retail-Budget],Budgets[BudgetMonth],DaybyDay[[#This Row],[RowMonth]],Budgets[BudgetYear],DaybyDay[[#This Row],[RowYear]])</f>
        <v>0</v>
      </c>
      <c r="N241" s="75">
        <v>2738.83</v>
      </c>
      <c r="O241" s="33">
        <f>SUMIFS(DaybyDay[Service-Budgets],DaybyDay[Date],"&gt;="&amp;$C$5,DaybyDay[RowYear],"&gt;="&amp;$C$4,DaybyDay[Date],"&lt;="&amp;DaybyDay[[#This Row],[Date]])</f>
        <v>0</v>
      </c>
      <c r="P241" s="33">
        <f>SUMIFS(DaybyDay[Retail-Budgets],DaybyDay[Date],"&gt;="&amp;$C$5,DaybyDay[RowYear],"&gt;="&amp;$C$4,DaybyDay[Date],"&lt;="&amp;DaybyDay[[#This Row],[Date]])</f>
        <v>0</v>
      </c>
      <c r="Q241" s="34">
        <f>SUMIFS(DaybyDay[Service-Actuals],DaybyDay[Date],"&gt;="&amp;$C$5,DaybyDay[RowYear],"&gt;="&amp;$C$4,DaybyDay[Date],"&lt;="&amp;DaybyDay[[#This Row],[Date]])</f>
        <v>0</v>
      </c>
      <c r="R241" s="34">
        <f>SUMIFS(DaybyDay[Retail-Actuals],DaybyDay[Date],"&gt;="&amp;$C$5,DaybyDay[RowYear],"&gt;="&amp;$C$4,DaybyDay[Date],"&lt;="&amp;DaybyDay[[#This Row],[Date]])</f>
        <v>0</v>
      </c>
      <c r="S241" s="35">
        <f>SUMIFS(DaybyDay[Service-LY],DaybyDay[Date],"&gt;="&amp;$C$5,DaybyDay[RowYear],"&gt;="&amp;$C$4,DaybyDay[Date],"&lt;="&amp;DaybyDay[[#This Row],[Date]])</f>
        <v>0</v>
      </c>
      <c r="T241" s="35">
        <f>SUMIFS(DaybyDay[Retail-LY],DaybyDay[Date],"&gt;="&amp;$C$5,DaybyDay[RowYear],"&gt;="&amp;$C$4,DaybyDay[Date],"&lt;="&amp;DaybyDay[[#This Row],[Date]])</f>
        <v>0</v>
      </c>
      <c r="U241" s="32">
        <f>DaybyDay[[#This Row],[Serv-Bud-RU]]+DaybyDay[[#This Row],[Ret-Bud-RU]]</f>
        <v>0</v>
      </c>
      <c r="V241" s="32">
        <f>DaybyDay[[#This Row],[Serv-Act-RU]]+DaybyDay[[#This Row],[Ret-Act-RU]]</f>
        <v>0</v>
      </c>
      <c r="W241" s="36">
        <f>IF(DaybyDay[[#This Row],[_Space]],IFERROR(
((DaybyDay[[#This Row],[Actual-Rollup]]-DaybyDay[[#This Row],[Budget-Rollup]])/DaybyDay[[#This Row],[Budget-Rollup]]),0),"")</f>
        <v>0</v>
      </c>
      <c r="X241" t="b">
        <f>NOT(AND(ISBLANK(DaybyDay[[#This Row],[Appts]]),ISBLANK(DaybyDay[[#This Row],[Service-Actuals]]),ISBLANK(DaybyDay[[#This Row],[Retail-Actuals]])))</f>
        <v>1</v>
      </c>
      <c r="Y241" s="36">
        <f>IF(DaybyDay[[#This Row],[_Space]],IFERROR(
((DaybyDay[[#This Row],[Actual-Rollup]]-DaybyDay[[#This Row],[LY-Rollup]])/DaybyDay[[#This Row],[LY-Rollup]]),0),"")</f>
        <v>0</v>
      </c>
      <c r="Z241"/>
      <c r="AA241" s="37" t="e">
        <f>IF(DaybyDay[[#This Row],[_Space]],DaybyDay[[#This Row],[Ret-Act-RU]]/DaybyDay[[#This Row],[Serv-Act-RU]],"")</f>
        <v>#DIV/0!</v>
      </c>
      <c r="AB241" s="50" t="e">
        <f>IF(DaybyDay[[#This Row],[_Space]],DaybyDay[[#This Row],[RETPEN-Act]]/DaybyDay[[#This Row],[RETPEN-Bud]],"")</f>
        <v>#DIV/0!</v>
      </c>
      <c r="AC241" s="37" t="e">
        <f>IF(DaybyDay[[#This Row],[_Space]],DaybyDay[[#This Row],[Ret-Bud-RU]]/DaybyDay[[#This Row],[Serv-Bud-RU]],"")</f>
        <v>#DIV/0!</v>
      </c>
      <c r="AD241" s="37" t="e">
        <f>IF(DaybyDay[[#This Row],[_Space]],DaybyDay[[#This Row],[Ret-LY-RU]]/DaybyDay[[#This Row],[Serv-LY-RU]],"")</f>
        <v>#DIV/0!</v>
      </c>
      <c r="AE241" s="30">
        <f>WEEKDAY(DaybyDay[[#This Row],[LY-Date]])</f>
        <v>4</v>
      </c>
      <c r="AF241" s="38">
        <f>$E$2+_xlfn.DAYS(DaybyDay[[#This Row],[Date]],minDate)</f>
        <v>42606</v>
      </c>
      <c r="AG241" s="39" t="str" cm="1">
        <f t="array" ref="AG241">IFERROR(INDEX(DaybyDay[],DaybyDay[[#This Row],[FORM_MATCH_HELPER]],8),"")</f>
        <v/>
      </c>
      <c r="AH241" s="39" t="str" cm="1">
        <f t="array" ref="AH241">IFERROR(INDEX(DaybyDay[],DaybyDay[[#This Row],[FORM_MATCH_HELPER]],10),"")</f>
        <v/>
      </c>
      <c r="AI241" s="39" t="str" cm="1">
        <f t="array" ref="AI241">IFERROR(INDEX(DaybyDay[],DaybyDay[[#This Row],[FORM_MATCH_HELPER]],12),"")</f>
        <v/>
      </c>
      <c r="AJ241" s="32">
        <f>IFERROR(DaybyDay[[#This Row],[Serv-LY-RU]]+DaybyDay[[#This Row],[Ret-LY-RU]],"")</f>
        <v>0</v>
      </c>
      <c r="AK2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1" s="77"/>
      <c r="AM241" s="40" t="str">
        <f>IF(DaybyDay[[#This Row],[Admin Hours]]&gt;0,DaybyDay[[#This Row],[Admin Hours]]*$AM$2+$AM$3,"")</f>
        <v/>
      </c>
      <c r="AN241" s="40">
        <f>SUMIFS(DaybyDay[Est-Admin-Payroll],DaybyDay[Date],"&gt;="&amp;$C$5,DaybyDay[RowYear],"&gt;="&amp;$C$4,DaybyDay[Date],"&lt;="&amp;DaybyDay[[#This Row],[Date]])</f>
        <v>0</v>
      </c>
      <c r="AO241" s="41" t="str">
        <f>IF(AND(DaybyDay[[#This Row],[_Space]],ISNUMBER(DaybyDay[[#This Row],[Admin Hours]])),DaybyDay[[#This Row],[Est-Admin-Payroll]]/(DaybyDay[[#This Row],[Service-Actuals]]+DaybyDay[[#This Row],[Retail-Actuals]]),"")</f>
        <v/>
      </c>
      <c r="AP241" s="41" t="e">
        <f>DaybyDay[[#This Row],[Estimated-Payroll-Rollup]]/DaybyDay[[#This Row],[Simple-Forecast]]</f>
        <v>#DIV/0!</v>
      </c>
      <c r="AQ2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1" s="77"/>
      <c r="AS241" s="40" t="str">
        <f>IF(DaybyDay[[#This Row],[Retail Hours]]&gt;0,DaybyDay[[#This Row],[Retail Hours]]*$AS$2,"")</f>
        <v/>
      </c>
      <c r="AT241" s="40">
        <f>SUMIFS(DaybyDay[Est-Retail-Payroll],DaybyDay[Date],"&gt;="&amp;$C$5,DaybyDay[RowYear],"&gt;="&amp;$C$4,DaybyDay[Date],"&lt;="&amp;DaybyDay[[#This Row],[Date]])</f>
        <v>0</v>
      </c>
      <c r="AU241" s="82" t="str">
        <f>IF(AND(DaybyDay[[#This Row],[_Space]],ISNUMBER(DaybyDay[[#This Row],[Retail Hours]])),DaybyDay[[#This Row],[Est-Retail-Payroll]]/(DaybyDay[[#This Row],[Retail-Actuals]]),"")</f>
        <v/>
      </c>
      <c r="AV241" s="82" t="e">
        <f>DaybyDay[[#This Row],[Est-Retail-PayrollRU]]/DaybyDay[[#This Row],[Simple-Forecast-Retail]]</f>
        <v>#DIV/0!</v>
      </c>
      <c r="AW241" s="8"/>
    </row>
    <row r="242" spans="3:49" hidden="1" x14ac:dyDescent="0.25">
      <c r="C242" s="26" t="str">
        <f>Tools!$C$1</f>
        <v>Example</v>
      </c>
      <c r="D242" s="27" t="s">
        <v>75</v>
      </c>
      <c r="E242" s="28">
        <v>2017</v>
      </c>
      <c r="F242" s="28">
        <f>MATCH(DaybyDay[[#This Row],[RowMonth]],Table3[SummaryMonth],0)</f>
        <v>8</v>
      </c>
      <c r="G242" s="29" t="e">
        <f>MATCH(DaybyDay[[#This Row],[LY-Date]],DaybyDay[Date],0)</f>
        <v>#N/A</v>
      </c>
      <c r="H242" s="30">
        <f>WEEKDAY(DaybyDay[[#This Row],[Date]])</f>
        <v>5</v>
      </c>
      <c r="I242" s="31">
        <v>42971</v>
      </c>
      <c r="J242" s="74">
        <v>25</v>
      </c>
      <c r="K242" s="32">
        <f>SUMIFS(BudgetSeasonality[365 Seasonality],BudgetSeasonality[MonthAdjustment],DaybyDay[[#This Row],[Date]])*SUMIFS(Budgets[Service-Budget],Budgets[BudgetMonth],DaybyDay[[#This Row],[RowMonth]],Budgets[BudgetYear],DaybyDay[[#This Row],[RowYear]])</f>
        <v>0</v>
      </c>
      <c r="L242" s="75">
        <v>5046.3</v>
      </c>
      <c r="M242" s="32">
        <f>INDEX(BudgetSeasonality[365 Seasonality],MATCH(DaybyDay[[#This Row],[Date]],BudgetSeasonality[MonthAdjustment],0))*SUMIFS(Budgets[Retail-Budget],Budgets[BudgetMonth],DaybyDay[[#This Row],[RowMonth]],Budgets[BudgetYear],DaybyDay[[#This Row],[RowYear]])</f>
        <v>0</v>
      </c>
      <c r="N242" s="75">
        <v>1529.05</v>
      </c>
      <c r="O242" s="33">
        <f>SUMIFS(DaybyDay[Service-Budgets],DaybyDay[Date],"&gt;="&amp;$C$5,DaybyDay[RowYear],"&gt;="&amp;$C$4,DaybyDay[Date],"&lt;="&amp;DaybyDay[[#This Row],[Date]])</f>
        <v>0</v>
      </c>
      <c r="P242" s="33">
        <f>SUMIFS(DaybyDay[Retail-Budgets],DaybyDay[Date],"&gt;="&amp;$C$5,DaybyDay[RowYear],"&gt;="&amp;$C$4,DaybyDay[Date],"&lt;="&amp;DaybyDay[[#This Row],[Date]])</f>
        <v>0</v>
      </c>
      <c r="Q242" s="34">
        <f>SUMIFS(DaybyDay[Service-Actuals],DaybyDay[Date],"&gt;="&amp;$C$5,DaybyDay[RowYear],"&gt;="&amp;$C$4,DaybyDay[Date],"&lt;="&amp;DaybyDay[[#This Row],[Date]])</f>
        <v>0</v>
      </c>
      <c r="R242" s="34">
        <f>SUMIFS(DaybyDay[Retail-Actuals],DaybyDay[Date],"&gt;="&amp;$C$5,DaybyDay[RowYear],"&gt;="&amp;$C$4,DaybyDay[Date],"&lt;="&amp;DaybyDay[[#This Row],[Date]])</f>
        <v>0</v>
      </c>
      <c r="S242" s="35">
        <f>SUMIFS(DaybyDay[Service-LY],DaybyDay[Date],"&gt;="&amp;$C$5,DaybyDay[RowYear],"&gt;="&amp;$C$4,DaybyDay[Date],"&lt;="&amp;DaybyDay[[#This Row],[Date]])</f>
        <v>0</v>
      </c>
      <c r="T242" s="35">
        <f>SUMIFS(DaybyDay[Retail-LY],DaybyDay[Date],"&gt;="&amp;$C$5,DaybyDay[RowYear],"&gt;="&amp;$C$4,DaybyDay[Date],"&lt;="&amp;DaybyDay[[#This Row],[Date]])</f>
        <v>0</v>
      </c>
      <c r="U242" s="32">
        <f>DaybyDay[[#This Row],[Serv-Bud-RU]]+DaybyDay[[#This Row],[Ret-Bud-RU]]</f>
        <v>0</v>
      </c>
      <c r="V242" s="32">
        <f>DaybyDay[[#This Row],[Serv-Act-RU]]+DaybyDay[[#This Row],[Ret-Act-RU]]</f>
        <v>0</v>
      </c>
      <c r="W242" s="36">
        <f>IF(DaybyDay[[#This Row],[_Space]],IFERROR(
((DaybyDay[[#This Row],[Actual-Rollup]]-DaybyDay[[#This Row],[Budget-Rollup]])/DaybyDay[[#This Row],[Budget-Rollup]]),0),"")</f>
        <v>0</v>
      </c>
      <c r="X242" t="b">
        <f>NOT(AND(ISBLANK(DaybyDay[[#This Row],[Appts]]),ISBLANK(DaybyDay[[#This Row],[Service-Actuals]]),ISBLANK(DaybyDay[[#This Row],[Retail-Actuals]])))</f>
        <v>1</v>
      </c>
      <c r="Y242" s="36">
        <f>IF(DaybyDay[[#This Row],[_Space]],IFERROR(
((DaybyDay[[#This Row],[Actual-Rollup]]-DaybyDay[[#This Row],[LY-Rollup]])/DaybyDay[[#This Row],[LY-Rollup]]),0),"")</f>
        <v>0</v>
      </c>
      <c r="Z242"/>
      <c r="AA242" s="37" t="e">
        <f>IF(DaybyDay[[#This Row],[_Space]],DaybyDay[[#This Row],[Ret-Act-RU]]/DaybyDay[[#This Row],[Serv-Act-RU]],"")</f>
        <v>#DIV/0!</v>
      </c>
      <c r="AB242" s="50" t="e">
        <f>IF(DaybyDay[[#This Row],[_Space]],DaybyDay[[#This Row],[RETPEN-Act]]/DaybyDay[[#This Row],[RETPEN-Bud]],"")</f>
        <v>#DIV/0!</v>
      </c>
      <c r="AC242" s="37" t="e">
        <f>IF(DaybyDay[[#This Row],[_Space]],DaybyDay[[#This Row],[Ret-Bud-RU]]/DaybyDay[[#This Row],[Serv-Bud-RU]],"")</f>
        <v>#DIV/0!</v>
      </c>
      <c r="AD242" s="37" t="e">
        <f>IF(DaybyDay[[#This Row],[_Space]],DaybyDay[[#This Row],[Ret-LY-RU]]/DaybyDay[[#This Row],[Serv-LY-RU]],"")</f>
        <v>#DIV/0!</v>
      </c>
      <c r="AE242" s="30">
        <f>WEEKDAY(DaybyDay[[#This Row],[LY-Date]])</f>
        <v>5</v>
      </c>
      <c r="AF242" s="38">
        <f>$E$2+_xlfn.DAYS(DaybyDay[[#This Row],[Date]],minDate)</f>
        <v>42607</v>
      </c>
      <c r="AG242" s="39" t="str" cm="1">
        <f t="array" ref="AG242">IFERROR(INDEX(DaybyDay[],DaybyDay[[#This Row],[FORM_MATCH_HELPER]],8),"")</f>
        <v/>
      </c>
      <c r="AH242" s="39" t="str" cm="1">
        <f t="array" ref="AH242">IFERROR(INDEX(DaybyDay[],DaybyDay[[#This Row],[FORM_MATCH_HELPER]],10),"")</f>
        <v/>
      </c>
      <c r="AI242" s="39" t="str" cm="1">
        <f t="array" ref="AI242">IFERROR(INDEX(DaybyDay[],DaybyDay[[#This Row],[FORM_MATCH_HELPER]],12),"")</f>
        <v/>
      </c>
      <c r="AJ242" s="32">
        <f>IFERROR(DaybyDay[[#This Row],[Serv-LY-RU]]+DaybyDay[[#This Row],[Ret-LY-RU]],"")</f>
        <v>0</v>
      </c>
      <c r="AK2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2" s="77"/>
      <c r="AM242" s="40" t="str">
        <f>IF(DaybyDay[[#This Row],[Admin Hours]]&gt;0,DaybyDay[[#This Row],[Admin Hours]]*$AM$2+$AM$3,"")</f>
        <v/>
      </c>
      <c r="AN242" s="40">
        <f>SUMIFS(DaybyDay[Est-Admin-Payroll],DaybyDay[Date],"&gt;="&amp;$C$5,DaybyDay[RowYear],"&gt;="&amp;$C$4,DaybyDay[Date],"&lt;="&amp;DaybyDay[[#This Row],[Date]])</f>
        <v>0</v>
      </c>
      <c r="AO242" s="41" t="str">
        <f>IF(AND(DaybyDay[[#This Row],[_Space]],ISNUMBER(DaybyDay[[#This Row],[Admin Hours]])),DaybyDay[[#This Row],[Est-Admin-Payroll]]/(DaybyDay[[#This Row],[Service-Actuals]]+DaybyDay[[#This Row],[Retail-Actuals]]),"")</f>
        <v/>
      </c>
      <c r="AP242" s="41" t="e">
        <f>DaybyDay[[#This Row],[Estimated-Payroll-Rollup]]/DaybyDay[[#This Row],[Simple-Forecast]]</f>
        <v>#DIV/0!</v>
      </c>
      <c r="AQ2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2" s="77"/>
      <c r="AS242" s="40" t="str">
        <f>IF(DaybyDay[[#This Row],[Retail Hours]]&gt;0,DaybyDay[[#This Row],[Retail Hours]]*$AS$2,"")</f>
        <v/>
      </c>
      <c r="AT242" s="40">
        <f>SUMIFS(DaybyDay[Est-Retail-Payroll],DaybyDay[Date],"&gt;="&amp;$C$5,DaybyDay[RowYear],"&gt;="&amp;$C$4,DaybyDay[Date],"&lt;="&amp;DaybyDay[[#This Row],[Date]])</f>
        <v>0</v>
      </c>
      <c r="AU242" s="82" t="str">
        <f>IF(AND(DaybyDay[[#This Row],[_Space]],ISNUMBER(DaybyDay[[#This Row],[Retail Hours]])),DaybyDay[[#This Row],[Est-Retail-Payroll]]/(DaybyDay[[#This Row],[Retail-Actuals]]),"")</f>
        <v/>
      </c>
      <c r="AV242" s="82" t="e">
        <f>DaybyDay[[#This Row],[Est-Retail-PayrollRU]]/DaybyDay[[#This Row],[Simple-Forecast-Retail]]</f>
        <v>#DIV/0!</v>
      </c>
      <c r="AW242" s="8"/>
    </row>
    <row r="243" spans="3:49" hidden="1" x14ac:dyDescent="0.25">
      <c r="C243" s="26" t="str">
        <f>Tools!$C$1</f>
        <v>Example</v>
      </c>
      <c r="D243" s="27" t="s">
        <v>75</v>
      </c>
      <c r="E243" s="28">
        <v>2017</v>
      </c>
      <c r="F243" s="28">
        <f>MATCH(DaybyDay[[#This Row],[RowMonth]],Table3[SummaryMonth],0)</f>
        <v>8</v>
      </c>
      <c r="G243" s="29" t="e">
        <f>MATCH(DaybyDay[[#This Row],[LY-Date]],DaybyDay[Date],0)</f>
        <v>#N/A</v>
      </c>
      <c r="H243" s="30">
        <f>WEEKDAY(DaybyDay[[#This Row],[Date]])</f>
        <v>6</v>
      </c>
      <c r="I243" s="31">
        <v>42972</v>
      </c>
      <c r="J243" s="74">
        <v>29</v>
      </c>
      <c r="K243" s="32">
        <f>SUMIFS(BudgetSeasonality[365 Seasonality],BudgetSeasonality[MonthAdjustment],DaybyDay[[#This Row],[Date]])*SUMIFS(Budgets[Service-Budget],Budgets[BudgetMonth],DaybyDay[[#This Row],[RowMonth]],Budgets[BudgetYear],DaybyDay[[#This Row],[RowYear]])</f>
        <v>0</v>
      </c>
      <c r="L243" s="75">
        <v>4647.8</v>
      </c>
      <c r="M243" s="32">
        <f>INDEX(BudgetSeasonality[365 Seasonality],MATCH(DaybyDay[[#This Row],[Date]],BudgetSeasonality[MonthAdjustment],0))*SUMIFS(Budgets[Retail-Budget],Budgets[BudgetMonth],DaybyDay[[#This Row],[RowMonth]],Budgets[BudgetYear],DaybyDay[[#This Row],[RowYear]])</f>
        <v>0</v>
      </c>
      <c r="N243" s="75">
        <v>1735.27</v>
      </c>
      <c r="O243" s="33">
        <f>SUMIFS(DaybyDay[Service-Budgets],DaybyDay[Date],"&gt;="&amp;$C$5,DaybyDay[RowYear],"&gt;="&amp;$C$4,DaybyDay[Date],"&lt;="&amp;DaybyDay[[#This Row],[Date]])</f>
        <v>0</v>
      </c>
      <c r="P243" s="33">
        <f>SUMIFS(DaybyDay[Retail-Budgets],DaybyDay[Date],"&gt;="&amp;$C$5,DaybyDay[RowYear],"&gt;="&amp;$C$4,DaybyDay[Date],"&lt;="&amp;DaybyDay[[#This Row],[Date]])</f>
        <v>0</v>
      </c>
      <c r="Q243" s="34">
        <f>SUMIFS(DaybyDay[Service-Actuals],DaybyDay[Date],"&gt;="&amp;$C$5,DaybyDay[RowYear],"&gt;="&amp;$C$4,DaybyDay[Date],"&lt;="&amp;DaybyDay[[#This Row],[Date]])</f>
        <v>0</v>
      </c>
      <c r="R243" s="34">
        <f>SUMIFS(DaybyDay[Retail-Actuals],DaybyDay[Date],"&gt;="&amp;$C$5,DaybyDay[RowYear],"&gt;="&amp;$C$4,DaybyDay[Date],"&lt;="&amp;DaybyDay[[#This Row],[Date]])</f>
        <v>0</v>
      </c>
      <c r="S243" s="35">
        <f>SUMIFS(DaybyDay[Service-LY],DaybyDay[Date],"&gt;="&amp;$C$5,DaybyDay[RowYear],"&gt;="&amp;$C$4,DaybyDay[Date],"&lt;="&amp;DaybyDay[[#This Row],[Date]])</f>
        <v>0</v>
      </c>
      <c r="T243" s="35">
        <f>SUMIFS(DaybyDay[Retail-LY],DaybyDay[Date],"&gt;="&amp;$C$5,DaybyDay[RowYear],"&gt;="&amp;$C$4,DaybyDay[Date],"&lt;="&amp;DaybyDay[[#This Row],[Date]])</f>
        <v>0</v>
      </c>
      <c r="U243" s="32">
        <f>DaybyDay[[#This Row],[Serv-Bud-RU]]+DaybyDay[[#This Row],[Ret-Bud-RU]]</f>
        <v>0</v>
      </c>
      <c r="V243" s="32">
        <f>DaybyDay[[#This Row],[Serv-Act-RU]]+DaybyDay[[#This Row],[Ret-Act-RU]]</f>
        <v>0</v>
      </c>
      <c r="W243" s="36">
        <f>IF(DaybyDay[[#This Row],[_Space]],IFERROR(
((DaybyDay[[#This Row],[Actual-Rollup]]-DaybyDay[[#This Row],[Budget-Rollup]])/DaybyDay[[#This Row],[Budget-Rollup]]),0),"")</f>
        <v>0</v>
      </c>
      <c r="X243" t="b">
        <f>NOT(AND(ISBLANK(DaybyDay[[#This Row],[Appts]]),ISBLANK(DaybyDay[[#This Row],[Service-Actuals]]),ISBLANK(DaybyDay[[#This Row],[Retail-Actuals]])))</f>
        <v>1</v>
      </c>
      <c r="Y243" s="36">
        <f>IF(DaybyDay[[#This Row],[_Space]],IFERROR(
((DaybyDay[[#This Row],[Actual-Rollup]]-DaybyDay[[#This Row],[LY-Rollup]])/DaybyDay[[#This Row],[LY-Rollup]]),0),"")</f>
        <v>0</v>
      </c>
      <c r="Z243"/>
      <c r="AA243" s="37" t="e">
        <f>IF(DaybyDay[[#This Row],[_Space]],DaybyDay[[#This Row],[Ret-Act-RU]]/DaybyDay[[#This Row],[Serv-Act-RU]],"")</f>
        <v>#DIV/0!</v>
      </c>
      <c r="AB243" s="50" t="e">
        <f>IF(DaybyDay[[#This Row],[_Space]],DaybyDay[[#This Row],[RETPEN-Act]]/DaybyDay[[#This Row],[RETPEN-Bud]],"")</f>
        <v>#DIV/0!</v>
      </c>
      <c r="AC243" s="37" t="e">
        <f>IF(DaybyDay[[#This Row],[_Space]],DaybyDay[[#This Row],[Ret-Bud-RU]]/DaybyDay[[#This Row],[Serv-Bud-RU]],"")</f>
        <v>#DIV/0!</v>
      </c>
      <c r="AD243" s="37" t="e">
        <f>IF(DaybyDay[[#This Row],[_Space]],DaybyDay[[#This Row],[Ret-LY-RU]]/DaybyDay[[#This Row],[Serv-LY-RU]],"")</f>
        <v>#DIV/0!</v>
      </c>
      <c r="AE243" s="30">
        <f>WEEKDAY(DaybyDay[[#This Row],[LY-Date]])</f>
        <v>6</v>
      </c>
      <c r="AF243" s="38">
        <f>$E$2+_xlfn.DAYS(DaybyDay[[#This Row],[Date]],minDate)</f>
        <v>42608</v>
      </c>
      <c r="AG243" s="39" t="str" cm="1">
        <f t="array" ref="AG243">IFERROR(INDEX(DaybyDay[],DaybyDay[[#This Row],[FORM_MATCH_HELPER]],8),"")</f>
        <v/>
      </c>
      <c r="AH243" s="39" t="str" cm="1">
        <f t="array" ref="AH243">IFERROR(INDEX(DaybyDay[],DaybyDay[[#This Row],[FORM_MATCH_HELPER]],10),"")</f>
        <v/>
      </c>
      <c r="AI243" s="39" t="str" cm="1">
        <f t="array" ref="AI243">IFERROR(INDEX(DaybyDay[],DaybyDay[[#This Row],[FORM_MATCH_HELPER]],12),"")</f>
        <v/>
      </c>
      <c r="AJ243" s="32">
        <f>IFERROR(DaybyDay[[#This Row],[Serv-LY-RU]]+DaybyDay[[#This Row],[Ret-LY-RU]],"")</f>
        <v>0</v>
      </c>
      <c r="AK2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3" s="77"/>
      <c r="AM243" s="40" t="str">
        <f>IF(DaybyDay[[#This Row],[Admin Hours]]&gt;0,DaybyDay[[#This Row],[Admin Hours]]*$AM$2+$AM$3,"")</f>
        <v/>
      </c>
      <c r="AN243" s="40">
        <f>SUMIFS(DaybyDay[Est-Admin-Payroll],DaybyDay[Date],"&gt;="&amp;$C$5,DaybyDay[RowYear],"&gt;="&amp;$C$4,DaybyDay[Date],"&lt;="&amp;DaybyDay[[#This Row],[Date]])</f>
        <v>0</v>
      </c>
      <c r="AO243" s="41" t="str">
        <f>IF(AND(DaybyDay[[#This Row],[_Space]],ISNUMBER(DaybyDay[[#This Row],[Admin Hours]])),DaybyDay[[#This Row],[Est-Admin-Payroll]]/(DaybyDay[[#This Row],[Service-Actuals]]+DaybyDay[[#This Row],[Retail-Actuals]]),"")</f>
        <v/>
      </c>
      <c r="AP243" s="41" t="e">
        <f>DaybyDay[[#This Row],[Estimated-Payroll-Rollup]]/DaybyDay[[#This Row],[Simple-Forecast]]</f>
        <v>#DIV/0!</v>
      </c>
      <c r="AQ2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3" s="77"/>
      <c r="AS243" s="40" t="str">
        <f>IF(DaybyDay[[#This Row],[Retail Hours]]&gt;0,DaybyDay[[#This Row],[Retail Hours]]*$AS$2,"")</f>
        <v/>
      </c>
      <c r="AT243" s="40">
        <f>SUMIFS(DaybyDay[Est-Retail-Payroll],DaybyDay[Date],"&gt;="&amp;$C$5,DaybyDay[RowYear],"&gt;="&amp;$C$4,DaybyDay[Date],"&lt;="&amp;DaybyDay[[#This Row],[Date]])</f>
        <v>0</v>
      </c>
      <c r="AU243" s="82" t="str">
        <f>IF(AND(DaybyDay[[#This Row],[_Space]],ISNUMBER(DaybyDay[[#This Row],[Retail Hours]])),DaybyDay[[#This Row],[Est-Retail-Payroll]]/(DaybyDay[[#This Row],[Retail-Actuals]]),"")</f>
        <v/>
      </c>
      <c r="AV243" s="82" t="e">
        <f>DaybyDay[[#This Row],[Est-Retail-PayrollRU]]/DaybyDay[[#This Row],[Simple-Forecast-Retail]]</f>
        <v>#DIV/0!</v>
      </c>
      <c r="AW243" s="8"/>
    </row>
    <row r="244" spans="3:49" hidden="1" x14ac:dyDescent="0.25">
      <c r="C244" s="26" t="str">
        <f>Tools!$C$1</f>
        <v>Example</v>
      </c>
      <c r="D244" s="27" t="s">
        <v>75</v>
      </c>
      <c r="E244" s="28">
        <v>2017</v>
      </c>
      <c r="F244" s="28">
        <f>MATCH(DaybyDay[[#This Row],[RowMonth]],Table3[SummaryMonth],0)</f>
        <v>8</v>
      </c>
      <c r="G244" s="29" t="e">
        <f>MATCH(DaybyDay[[#This Row],[LY-Date]],DaybyDay[Date],0)</f>
        <v>#N/A</v>
      </c>
      <c r="H244" s="30">
        <f>WEEKDAY(DaybyDay[[#This Row],[Date]])</f>
        <v>7</v>
      </c>
      <c r="I244" s="31">
        <v>42973</v>
      </c>
      <c r="J244" s="74">
        <v>16</v>
      </c>
      <c r="K244" s="32">
        <f>SUMIFS(BudgetSeasonality[365 Seasonality],BudgetSeasonality[MonthAdjustment],DaybyDay[[#This Row],[Date]])*SUMIFS(Budgets[Service-Budget],Budgets[BudgetMonth],DaybyDay[[#This Row],[RowMonth]],Budgets[BudgetYear],DaybyDay[[#This Row],[RowYear]])</f>
        <v>0</v>
      </c>
      <c r="L244" s="75">
        <v>3322.5</v>
      </c>
      <c r="M244" s="32">
        <f>INDEX(BudgetSeasonality[365 Seasonality],MATCH(DaybyDay[[#This Row],[Date]],BudgetSeasonality[MonthAdjustment],0))*SUMIFS(Budgets[Retail-Budget],Budgets[BudgetMonth],DaybyDay[[#This Row],[RowMonth]],Budgets[BudgetYear],DaybyDay[[#This Row],[RowYear]])</f>
        <v>0</v>
      </c>
      <c r="N244" s="75">
        <v>403</v>
      </c>
      <c r="O244" s="33">
        <f>SUMIFS(DaybyDay[Service-Budgets],DaybyDay[Date],"&gt;="&amp;$C$5,DaybyDay[RowYear],"&gt;="&amp;$C$4,DaybyDay[Date],"&lt;="&amp;DaybyDay[[#This Row],[Date]])</f>
        <v>0</v>
      </c>
      <c r="P244" s="33">
        <f>SUMIFS(DaybyDay[Retail-Budgets],DaybyDay[Date],"&gt;="&amp;$C$5,DaybyDay[RowYear],"&gt;="&amp;$C$4,DaybyDay[Date],"&lt;="&amp;DaybyDay[[#This Row],[Date]])</f>
        <v>0</v>
      </c>
      <c r="Q244" s="34">
        <f>SUMIFS(DaybyDay[Service-Actuals],DaybyDay[Date],"&gt;="&amp;$C$5,DaybyDay[RowYear],"&gt;="&amp;$C$4,DaybyDay[Date],"&lt;="&amp;DaybyDay[[#This Row],[Date]])</f>
        <v>0</v>
      </c>
      <c r="R244" s="34">
        <f>SUMIFS(DaybyDay[Retail-Actuals],DaybyDay[Date],"&gt;="&amp;$C$5,DaybyDay[RowYear],"&gt;="&amp;$C$4,DaybyDay[Date],"&lt;="&amp;DaybyDay[[#This Row],[Date]])</f>
        <v>0</v>
      </c>
      <c r="S244" s="35">
        <f>SUMIFS(DaybyDay[Service-LY],DaybyDay[Date],"&gt;="&amp;$C$5,DaybyDay[RowYear],"&gt;="&amp;$C$4,DaybyDay[Date],"&lt;="&amp;DaybyDay[[#This Row],[Date]])</f>
        <v>0</v>
      </c>
      <c r="T244" s="35">
        <f>SUMIFS(DaybyDay[Retail-LY],DaybyDay[Date],"&gt;="&amp;$C$5,DaybyDay[RowYear],"&gt;="&amp;$C$4,DaybyDay[Date],"&lt;="&amp;DaybyDay[[#This Row],[Date]])</f>
        <v>0</v>
      </c>
      <c r="U244" s="32">
        <f>DaybyDay[[#This Row],[Serv-Bud-RU]]+DaybyDay[[#This Row],[Ret-Bud-RU]]</f>
        <v>0</v>
      </c>
      <c r="V244" s="32">
        <f>DaybyDay[[#This Row],[Serv-Act-RU]]+DaybyDay[[#This Row],[Ret-Act-RU]]</f>
        <v>0</v>
      </c>
      <c r="W244" s="36">
        <f>IF(DaybyDay[[#This Row],[_Space]],IFERROR(
((DaybyDay[[#This Row],[Actual-Rollup]]-DaybyDay[[#This Row],[Budget-Rollup]])/DaybyDay[[#This Row],[Budget-Rollup]]),0),"")</f>
        <v>0</v>
      </c>
      <c r="X244" t="b">
        <f>NOT(AND(ISBLANK(DaybyDay[[#This Row],[Appts]]),ISBLANK(DaybyDay[[#This Row],[Service-Actuals]]),ISBLANK(DaybyDay[[#This Row],[Retail-Actuals]])))</f>
        <v>1</v>
      </c>
      <c r="Y244" s="36">
        <f>IF(DaybyDay[[#This Row],[_Space]],IFERROR(
((DaybyDay[[#This Row],[Actual-Rollup]]-DaybyDay[[#This Row],[LY-Rollup]])/DaybyDay[[#This Row],[LY-Rollup]]),0),"")</f>
        <v>0</v>
      </c>
      <c r="Z244"/>
      <c r="AA244" s="37" t="e">
        <f>IF(DaybyDay[[#This Row],[_Space]],DaybyDay[[#This Row],[Ret-Act-RU]]/DaybyDay[[#This Row],[Serv-Act-RU]],"")</f>
        <v>#DIV/0!</v>
      </c>
      <c r="AB244" s="50" t="e">
        <f>IF(DaybyDay[[#This Row],[_Space]],DaybyDay[[#This Row],[RETPEN-Act]]/DaybyDay[[#This Row],[RETPEN-Bud]],"")</f>
        <v>#DIV/0!</v>
      </c>
      <c r="AC244" s="37" t="e">
        <f>IF(DaybyDay[[#This Row],[_Space]],DaybyDay[[#This Row],[Ret-Bud-RU]]/DaybyDay[[#This Row],[Serv-Bud-RU]],"")</f>
        <v>#DIV/0!</v>
      </c>
      <c r="AD244" s="37" t="e">
        <f>IF(DaybyDay[[#This Row],[_Space]],DaybyDay[[#This Row],[Ret-LY-RU]]/DaybyDay[[#This Row],[Serv-LY-RU]],"")</f>
        <v>#DIV/0!</v>
      </c>
      <c r="AE244" s="30">
        <f>WEEKDAY(DaybyDay[[#This Row],[LY-Date]])</f>
        <v>7</v>
      </c>
      <c r="AF244" s="38">
        <f>$E$2+_xlfn.DAYS(DaybyDay[[#This Row],[Date]],minDate)</f>
        <v>42609</v>
      </c>
      <c r="AG244" s="39" t="str" cm="1">
        <f t="array" ref="AG244">IFERROR(INDEX(DaybyDay[],DaybyDay[[#This Row],[FORM_MATCH_HELPER]],8),"")</f>
        <v/>
      </c>
      <c r="AH244" s="39" t="str" cm="1">
        <f t="array" ref="AH244">IFERROR(INDEX(DaybyDay[],DaybyDay[[#This Row],[FORM_MATCH_HELPER]],10),"")</f>
        <v/>
      </c>
      <c r="AI244" s="39" t="str" cm="1">
        <f t="array" ref="AI244">IFERROR(INDEX(DaybyDay[],DaybyDay[[#This Row],[FORM_MATCH_HELPER]],12),"")</f>
        <v/>
      </c>
      <c r="AJ244" s="32">
        <f>IFERROR(DaybyDay[[#This Row],[Serv-LY-RU]]+DaybyDay[[#This Row],[Ret-LY-RU]],"")</f>
        <v>0</v>
      </c>
      <c r="AK2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4" s="77"/>
      <c r="AM244" s="40" t="str">
        <f>IF(DaybyDay[[#This Row],[Admin Hours]]&gt;0,DaybyDay[[#This Row],[Admin Hours]]*$AM$2+$AM$3,"")</f>
        <v/>
      </c>
      <c r="AN244" s="40">
        <f>SUMIFS(DaybyDay[Est-Admin-Payroll],DaybyDay[Date],"&gt;="&amp;$C$5,DaybyDay[RowYear],"&gt;="&amp;$C$4,DaybyDay[Date],"&lt;="&amp;DaybyDay[[#This Row],[Date]])</f>
        <v>0</v>
      </c>
      <c r="AO244" s="41" t="str">
        <f>IF(AND(DaybyDay[[#This Row],[_Space]],ISNUMBER(DaybyDay[[#This Row],[Admin Hours]])),DaybyDay[[#This Row],[Est-Admin-Payroll]]/(DaybyDay[[#This Row],[Service-Actuals]]+DaybyDay[[#This Row],[Retail-Actuals]]),"")</f>
        <v/>
      </c>
      <c r="AP244" s="41" t="e">
        <f>DaybyDay[[#This Row],[Estimated-Payroll-Rollup]]/DaybyDay[[#This Row],[Simple-Forecast]]</f>
        <v>#DIV/0!</v>
      </c>
      <c r="AQ2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4" s="77"/>
      <c r="AS244" s="40" t="str">
        <f>IF(DaybyDay[[#This Row],[Retail Hours]]&gt;0,DaybyDay[[#This Row],[Retail Hours]]*$AS$2,"")</f>
        <v/>
      </c>
      <c r="AT244" s="40">
        <f>SUMIFS(DaybyDay[Est-Retail-Payroll],DaybyDay[Date],"&gt;="&amp;$C$5,DaybyDay[RowYear],"&gt;="&amp;$C$4,DaybyDay[Date],"&lt;="&amp;DaybyDay[[#This Row],[Date]])</f>
        <v>0</v>
      </c>
      <c r="AU244" s="82" t="str">
        <f>IF(AND(DaybyDay[[#This Row],[_Space]],ISNUMBER(DaybyDay[[#This Row],[Retail Hours]])),DaybyDay[[#This Row],[Est-Retail-Payroll]]/(DaybyDay[[#This Row],[Retail-Actuals]]),"")</f>
        <v/>
      </c>
      <c r="AV244" s="82" t="e">
        <f>DaybyDay[[#This Row],[Est-Retail-PayrollRU]]/DaybyDay[[#This Row],[Simple-Forecast-Retail]]</f>
        <v>#DIV/0!</v>
      </c>
      <c r="AW244" s="8"/>
    </row>
    <row r="245" spans="3:49" hidden="1" x14ac:dyDescent="0.25">
      <c r="C245" s="26" t="str">
        <f>Tools!$C$1</f>
        <v>Example</v>
      </c>
      <c r="D245" s="27" t="s">
        <v>76</v>
      </c>
      <c r="E245" s="28">
        <v>2017</v>
      </c>
      <c r="F245" s="28">
        <f>MATCH(DaybyDay[[#This Row],[RowMonth]],Table3[SummaryMonth],0)</f>
        <v>9</v>
      </c>
      <c r="G245" s="29" t="e">
        <f>MATCH(DaybyDay[[#This Row],[LY-Date]],DaybyDay[Date],0)</f>
        <v>#N/A</v>
      </c>
      <c r="H245" s="30">
        <f>WEEKDAY(DaybyDay[[#This Row],[Date]])</f>
        <v>1</v>
      </c>
      <c r="I245" s="31">
        <v>42974</v>
      </c>
      <c r="J245" s="74">
        <v>18</v>
      </c>
      <c r="K245" s="32">
        <f>SUMIFS(BudgetSeasonality[365 Seasonality],BudgetSeasonality[MonthAdjustment],DaybyDay[[#This Row],[Date]])*SUMIFS(Budgets[Service-Budget],Budgets[BudgetMonth],DaybyDay[[#This Row],[RowMonth]],Budgets[BudgetYear],DaybyDay[[#This Row],[RowYear]])</f>
        <v>0</v>
      </c>
      <c r="L245" s="75">
        <v>2923.6</v>
      </c>
      <c r="M245" s="32">
        <f>INDEX(BudgetSeasonality[365 Seasonality],MATCH(DaybyDay[[#This Row],[Date]],BudgetSeasonality[MonthAdjustment],0))*SUMIFS(Budgets[Retail-Budget],Budgets[BudgetMonth],DaybyDay[[#This Row],[RowMonth]],Budgets[BudgetYear],DaybyDay[[#This Row],[RowYear]])</f>
        <v>0</v>
      </c>
      <c r="N245" s="75">
        <v>127</v>
      </c>
      <c r="O245" s="33">
        <f>SUMIFS(DaybyDay[Service-Budgets],DaybyDay[Date],"&gt;="&amp;$C$5,DaybyDay[RowYear],"&gt;="&amp;$C$4,DaybyDay[Date],"&lt;="&amp;DaybyDay[[#This Row],[Date]])</f>
        <v>0</v>
      </c>
      <c r="P245" s="33">
        <f>SUMIFS(DaybyDay[Retail-Budgets],DaybyDay[Date],"&gt;="&amp;$C$5,DaybyDay[RowYear],"&gt;="&amp;$C$4,DaybyDay[Date],"&lt;="&amp;DaybyDay[[#This Row],[Date]])</f>
        <v>0</v>
      </c>
      <c r="Q245" s="34">
        <f>SUMIFS(DaybyDay[Service-Actuals],DaybyDay[Date],"&gt;="&amp;$C$5,DaybyDay[RowYear],"&gt;="&amp;$C$4,DaybyDay[Date],"&lt;="&amp;DaybyDay[[#This Row],[Date]])</f>
        <v>0</v>
      </c>
      <c r="R245" s="34">
        <f>SUMIFS(DaybyDay[Retail-Actuals],DaybyDay[Date],"&gt;="&amp;$C$5,DaybyDay[RowYear],"&gt;="&amp;$C$4,DaybyDay[Date],"&lt;="&amp;DaybyDay[[#This Row],[Date]])</f>
        <v>0</v>
      </c>
      <c r="S245" s="35">
        <f>SUMIFS(DaybyDay[Service-LY],DaybyDay[Date],"&gt;="&amp;$C$5,DaybyDay[RowYear],"&gt;="&amp;$C$4,DaybyDay[Date],"&lt;="&amp;DaybyDay[[#This Row],[Date]])</f>
        <v>0</v>
      </c>
      <c r="T245" s="35">
        <f>SUMIFS(DaybyDay[Retail-LY],DaybyDay[Date],"&gt;="&amp;$C$5,DaybyDay[RowYear],"&gt;="&amp;$C$4,DaybyDay[Date],"&lt;="&amp;DaybyDay[[#This Row],[Date]])</f>
        <v>0</v>
      </c>
      <c r="U245" s="32">
        <f>DaybyDay[[#This Row],[Serv-Bud-RU]]+DaybyDay[[#This Row],[Ret-Bud-RU]]</f>
        <v>0</v>
      </c>
      <c r="V245" s="32">
        <f>DaybyDay[[#This Row],[Serv-Act-RU]]+DaybyDay[[#This Row],[Ret-Act-RU]]</f>
        <v>0</v>
      </c>
      <c r="W245" s="36">
        <f>IF(DaybyDay[[#This Row],[_Space]],IFERROR(
((DaybyDay[[#This Row],[Actual-Rollup]]-DaybyDay[[#This Row],[Budget-Rollup]])/DaybyDay[[#This Row],[Budget-Rollup]]),0),"")</f>
        <v>0</v>
      </c>
      <c r="X245" t="b">
        <f>NOT(AND(ISBLANK(DaybyDay[[#This Row],[Appts]]),ISBLANK(DaybyDay[[#This Row],[Service-Actuals]]),ISBLANK(DaybyDay[[#This Row],[Retail-Actuals]])))</f>
        <v>1</v>
      </c>
      <c r="Y245" s="36">
        <f>IF(DaybyDay[[#This Row],[_Space]],IFERROR(
((DaybyDay[[#This Row],[Actual-Rollup]]-DaybyDay[[#This Row],[LY-Rollup]])/DaybyDay[[#This Row],[LY-Rollup]]),0),"")</f>
        <v>0</v>
      </c>
      <c r="Z245"/>
      <c r="AA245" s="37" t="e">
        <f>IF(DaybyDay[[#This Row],[_Space]],DaybyDay[[#This Row],[Ret-Act-RU]]/DaybyDay[[#This Row],[Serv-Act-RU]],"")</f>
        <v>#DIV/0!</v>
      </c>
      <c r="AB245" s="50" t="e">
        <f>IF(DaybyDay[[#This Row],[_Space]],DaybyDay[[#This Row],[RETPEN-Act]]/DaybyDay[[#This Row],[RETPEN-Bud]],"")</f>
        <v>#DIV/0!</v>
      </c>
      <c r="AC245" s="37" t="e">
        <f>IF(DaybyDay[[#This Row],[_Space]],DaybyDay[[#This Row],[Ret-Bud-RU]]/DaybyDay[[#This Row],[Serv-Bud-RU]],"")</f>
        <v>#DIV/0!</v>
      </c>
      <c r="AD245" s="37" t="e">
        <f>IF(DaybyDay[[#This Row],[_Space]],DaybyDay[[#This Row],[Ret-LY-RU]]/DaybyDay[[#This Row],[Serv-LY-RU]],"")</f>
        <v>#DIV/0!</v>
      </c>
      <c r="AE245" s="30">
        <f>WEEKDAY(DaybyDay[[#This Row],[LY-Date]])</f>
        <v>1</v>
      </c>
      <c r="AF245" s="38">
        <f>$E$2+_xlfn.DAYS(DaybyDay[[#This Row],[Date]],minDate)</f>
        <v>42610</v>
      </c>
      <c r="AG245" s="39" t="str" cm="1">
        <f t="array" ref="AG245">IFERROR(INDEX(DaybyDay[],DaybyDay[[#This Row],[FORM_MATCH_HELPER]],8),"")</f>
        <v/>
      </c>
      <c r="AH245" s="39" t="str" cm="1">
        <f t="array" ref="AH245">IFERROR(INDEX(DaybyDay[],DaybyDay[[#This Row],[FORM_MATCH_HELPER]],10),"")</f>
        <v/>
      </c>
      <c r="AI245" s="39" t="str" cm="1">
        <f t="array" ref="AI245">IFERROR(INDEX(DaybyDay[],DaybyDay[[#This Row],[FORM_MATCH_HELPER]],12),"")</f>
        <v/>
      </c>
      <c r="AJ245" s="32">
        <f>IFERROR(DaybyDay[[#This Row],[Serv-LY-RU]]+DaybyDay[[#This Row],[Ret-LY-RU]],"")</f>
        <v>0</v>
      </c>
      <c r="AK2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5" s="77"/>
      <c r="AM245" s="40" t="str">
        <f>IF(DaybyDay[[#This Row],[Admin Hours]]&gt;0,DaybyDay[[#This Row],[Admin Hours]]*$AM$2+$AM$3,"")</f>
        <v/>
      </c>
      <c r="AN245" s="40">
        <f>SUMIFS(DaybyDay[Est-Admin-Payroll],DaybyDay[Date],"&gt;="&amp;$C$5,DaybyDay[RowYear],"&gt;="&amp;$C$4,DaybyDay[Date],"&lt;="&amp;DaybyDay[[#This Row],[Date]])</f>
        <v>0</v>
      </c>
      <c r="AO245" s="41" t="str">
        <f>IF(AND(DaybyDay[[#This Row],[_Space]],ISNUMBER(DaybyDay[[#This Row],[Admin Hours]])),DaybyDay[[#This Row],[Est-Admin-Payroll]]/(DaybyDay[[#This Row],[Service-Actuals]]+DaybyDay[[#This Row],[Retail-Actuals]]),"")</f>
        <v/>
      </c>
      <c r="AP245" s="41" t="e">
        <f>DaybyDay[[#This Row],[Estimated-Payroll-Rollup]]/DaybyDay[[#This Row],[Simple-Forecast]]</f>
        <v>#DIV/0!</v>
      </c>
      <c r="AQ2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5" s="77"/>
      <c r="AS245" s="40" t="str">
        <f>IF(DaybyDay[[#This Row],[Retail Hours]]&gt;0,DaybyDay[[#This Row],[Retail Hours]]*$AS$2,"")</f>
        <v/>
      </c>
      <c r="AT245" s="40">
        <f>SUMIFS(DaybyDay[Est-Retail-Payroll],DaybyDay[Date],"&gt;="&amp;$C$5,DaybyDay[RowYear],"&gt;="&amp;$C$4,DaybyDay[Date],"&lt;="&amp;DaybyDay[[#This Row],[Date]])</f>
        <v>0</v>
      </c>
      <c r="AU245" s="82" t="str">
        <f>IF(AND(DaybyDay[[#This Row],[_Space]],ISNUMBER(DaybyDay[[#This Row],[Retail Hours]])),DaybyDay[[#This Row],[Est-Retail-Payroll]]/(DaybyDay[[#This Row],[Retail-Actuals]]),"")</f>
        <v/>
      </c>
      <c r="AV245" s="82" t="e">
        <f>DaybyDay[[#This Row],[Est-Retail-PayrollRU]]/DaybyDay[[#This Row],[Simple-Forecast-Retail]]</f>
        <v>#DIV/0!</v>
      </c>
      <c r="AW245" s="8"/>
    </row>
    <row r="246" spans="3:49" hidden="1" x14ac:dyDescent="0.25">
      <c r="C246" s="26" t="str">
        <f>Tools!$C$1</f>
        <v>Example</v>
      </c>
      <c r="D246" s="27" t="s">
        <v>76</v>
      </c>
      <c r="E246" s="28">
        <v>2017</v>
      </c>
      <c r="F246" s="28">
        <f>MATCH(DaybyDay[[#This Row],[RowMonth]],Table3[SummaryMonth],0)</f>
        <v>9</v>
      </c>
      <c r="G246" s="29" t="e">
        <f>MATCH(DaybyDay[[#This Row],[LY-Date]],DaybyDay[Date],0)</f>
        <v>#N/A</v>
      </c>
      <c r="H246" s="30">
        <f>WEEKDAY(DaybyDay[[#This Row],[Date]])</f>
        <v>2</v>
      </c>
      <c r="I246" s="31">
        <v>42975</v>
      </c>
      <c r="J246" s="74">
        <v>21</v>
      </c>
      <c r="K246" s="32">
        <f>SUMIFS(BudgetSeasonality[365 Seasonality],BudgetSeasonality[MonthAdjustment],DaybyDay[[#This Row],[Date]])*SUMIFS(Budgets[Service-Budget],Budgets[BudgetMonth],DaybyDay[[#This Row],[RowMonth]],Budgets[BudgetYear],DaybyDay[[#This Row],[RowYear]])</f>
        <v>0</v>
      </c>
      <c r="L246" s="75">
        <v>4019.3</v>
      </c>
      <c r="M246" s="32">
        <f>INDEX(BudgetSeasonality[365 Seasonality],MATCH(DaybyDay[[#This Row],[Date]],BudgetSeasonality[MonthAdjustment],0))*SUMIFS(Budgets[Retail-Budget],Budgets[BudgetMonth],DaybyDay[[#This Row],[RowMonth]],Budgets[BudgetYear],DaybyDay[[#This Row],[RowYear]])</f>
        <v>0</v>
      </c>
      <c r="N246" s="75">
        <v>3535</v>
      </c>
      <c r="O246" s="33">
        <f>SUMIFS(DaybyDay[Service-Budgets],DaybyDay[Date],"&gt;="&amp;$C$5,DaybyDay[RowYear],"&gt;="&amp;$C$4,DaybyDay[Date],"&lt;="&amp;DaybyDay[[#This Row],[Date]])</f>
        <v>0</v>
      </c>
      <c r="P246" s="33">
        <f>SUMIFS(DaybyDay[Retail-Budgets],DaybyDay[Date],"&gt;="&amp;$C$5,DaybyDay[RowYear],"&gt;="&amp;$C$4,DaybyDay[Date],"&lt;="&amp;DaybyDay[[#This Row],[Date]])</f>
        <v>0</v>
      </c>
      <c r="Q246" s="34">
        <f>SUMIFS(DaybyDay[Service-Actuals],DaybyDay[Date],"&gt;="&amp;$C$5,DaybyDay[RowYear],"&gt;="&amp;$C$4,DaybyDay[Date],"&lt;="&amp;DaybyDay[[#This Row],[Date]])</f>
        <v>0</v>
      </c>
      <c r="R246" s="34">
        <f>SUMIFS(DaybyDay[Retail-Actuals],DaybyDay[Date],"&gt;="&amp;$C$5,DaybyDay[RowYear],"&gt;="&amp;$C$4,DaybyDay[Date],"&lt;="&amp;DaybyDay[[#This Row],[Date]])</f>
        <v>0</v>
      </c>
      <c r="S246" s="35">
        <f>SUMIFS(DaybyDay[Service-LY],DaybyDay[Date],"&gt;="&amp;$C$5,DaybyDay[RowYear],"&gt;="&amp;$C$4,DaybyDay[Date],"&lt;="&amp;DaybyDay[[#This Row],[Date]])</f>
        <v>0</v>
      </c>
      <c r="T246" s="35">
        <f>SUMIFS(DaybyDay[Retail-LY],DaybyDay[Date],"&gt;="&amp;$C$5,DaybyDay[RowYear],"&gt;="&amp;$C$4,DaybyDay[Date],"&lt;="&amp;DaybyDay[[#This Row],[Date]])</f>
        <v>0</v>
      </c>
      <c r="U246" s="32">
        <f>DaybyDay[[#This Row],[Serv-Bud-RU]]+DaybyDay[[#This Row],[Ret-Bud-RU]]</f>
        <v>0</v>
      </c>
      <c r="V246" s="32">
        <f>DaybyDay[[#This Row],[Serv-Act-RU]]+DaybyDay[[#This Row],[Ret-Act-RU]]</f>
        <v>0</v>
      </c>
      <c r="W246" s="36">
        <f>IF(DaybyDay[[#This Row],[_Space]],IFERROR(
((DaybyDay[[#This Row],[Actual-Rollup]]-DaybyDay[[#This Row],[Budget-Rollup]])/DaybyDay[[#This Row],[Budget-Rollup]]),0),"")</f>
        <v>0</v>
      </c>
      <c r="X246" t="b">
        <f>NOT(AND(ISBLANK(DaybyDay[[#This Row],[Appts]]),ISBLANK(DaybyDay[[#This Row],[Service-Actuals]]),ISBLANK(DaybyDay[[#This Row],[Retail-Actuals]])))</f>
        <v>1</v>
      </c>
      <c r="Y246" s="36">
        <f>IF(DaybyDay[[#This Row],[_Space]],IFERROR(
((DaybyDay[[#This Row],[Actual-Rollup]]-DaybyDay[[#This Row],[LY-Rollup]])/DaybyDay[[#This Row],[LY-Rollup]]),0),"")</f>
        <v>0</v>
      </c>
      <c r="Z246"/>
      <c r="AA246" s="37" t="e">
        <f>IF(DaybyDay[[#This Row],[_Space]],DaybyDay[[#This Row],[Ret-Act-RU]]/DaybyDay[[#This Row],[Serv-Act-RU]],"")</f>
        <v>#DIV/0!</v>
      </c>
      <c r="AB246" s="50" t="e">
        <f>IF(DaybyDay[[#This Row],[_Space]],DaybyDay[[#This Row],[RETPEN-Act]]/DaybyDay[[#This Row],[RETPEN-Bud]],"")</f>
        <v>#DIV/0!</v>
      </c>
      <c r="AC246" s="37" t="e">
        <f>IF(DaybyDay[[#This Row],[_Space]],DaybyDay[[#This Row],[Ret-Bud-RU]]/DaybyDay[[#This Row],[Serv-Bud-RU]],"")</f>
        <v>#DIV/0!</v>
      </c>
      <c r="AD246" s="37" t="e">
        <f>IF(DaybyDay[[#This Row],[_Space]],DaybyDay[[#This Row],[Ret-LY-RU]]/DaybyDay[[#This Row],[Serv-LY-RU]],"")</f>
        <v>#DIV/0!</v>
      </c>
      <c r="AE246" s="30">
        <f>WEEKDAY(DaybyDay[[#This Row],[LY-Date]])</f>
        <v>2</v>
      </c>
      <c r="AF246" s="38">
        <f>$E$2+_xlfn.DAYS(DaybyDay[[#This Row],[Date]],minDate)</f>
        <v>42611</v>
      </c>
      <c r="AG246" s="39" t="str" cm="1">
        <f t="array" ref="AG246">IFERROR(INDEX(DaybyDay[],DaybyDay[[#This Row],[FORM_MATCH_HELPER]],8),"")</f>
        <v/>
      </c>
      <c r="AH246" s="39" t="str" cm="1">
        <f t="array" ref="AH246">IFERROR(INDEX(DaybyDay[],DaybyDay[[#This Row],[FORM_MATCH_HELPER]],10),"")</f>
        <v/>
      </c>
      <c r="AI246" s="39" t="str" cm="1">
        <f t="array" ref="AI246">IFERROR(INDEX(DaybyDay[],DaybyDay[[#This Row],[FORM_MATCH_HELPER]],12),"")</f>
        <v/>
      </c>
      <c r="AJ246" s="32">
        <f>IFERROR(DaybyDay[[#This Row],[Serv-LY-RU]]+DaybyDay[[#This Row],[Ret-LY-RU]],"")</f>
        <v>0</v>
      </c>
      <c r="AK2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6" s="77"/>
      <c r="AM246" s="40" t="str">
        <f>IF(DaybyDay[[#This Row],[Admin Hours]]&gt;0,DaybyDay[[#This Row],[Admin Hours]]*$AM$2+$AM$3,"")</f>
        <v/>
      </c>
      <c r="AN246" s="40">
        <f>SUMIFS(DaybyDay[Est-Admin-Payroll],DaybyDay[Date],"&gt;="&amp;$C$5,DaybyDay[RowYear],"&gt;="&amp;$C$4,DaybyDay[Date],"&lt;="&amp;DaybyDay[[#This Row],[Date]])</f>
        <v>0</v>
      </c>
      <c r="AO246" s="41" t="str">
        <f>IF(AND(DaybyDay[[#This Row],[_Space]],ISNUMBER(DaybyDay[[#This Row],[Admin Hours]])),DaybyDay[[#This Row],[Est-Admin-Payroll]]/(DaybyDay[[#This Row],[Service-Actuals]]+DaybyDay[[#This Row],[Retail-Actuals]]),"")</f>
        <v/>
      </c>
      <c r="AP246" s="41" t="e">
        <f>DaybyDay[[#This Row],[Estimated-Payroll-Rollup]]/DaybyDay[[#This Row],[Simple-Forecast]]</f>
        <v>#DIV/0!</v>
      </c>
      <c r="AQ2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6" s="77"/>
      <c r="AS246" s="40" t="str">
        <f>IF(DaybyDay[[#This Row],[Retail Hours]]&gt;0,DaybyDay[[#This Row],[Retail Hours]]*$AS$2,"")</f>
        <v/>
      </c>
      <c r="AT246" s="40">
        <f>SUMIFS(DaybyDay[Est-Retail-Payroll],DaybyDay[Date],"&gt;="&amp;$C$5,DaybyDay[RowYear],"&gt;="&amp;$C$4,DaybyDay[Date],"&lt;="&amp;DaybyDay[[#This Row],[Date]])</f>
        <v>0</v>
      </c>
      <c r="AU246" s="82" t="str">
        <f>IF(AND(DaybyDay[[#This Row],[_Space]],ISNUMBER(DaybyDay[[#This Row],[Retail Hours]])),DaybyDay[[#This Row],[Est-Retail-Payroll]]/(DaybyDay[[#This Row],[Retail-Actuals]]),"")</f>
        <v/>
      </c>
      <c r="AV246" s="82" t="e">
        <f>DaybyDay[[#This Row],[Est-Retail-PayrollRU]]/DaybyDay[[#This Row],[Simple-Forecast-Retail]]</f>
        <v>#DIV/0!</v>
      </c>
      <c r="AW246" s="8"/>
    </row>
    <row r="247" spans="3:49" hidden="1" x14ac:dyDescent="0.25">
      <c r="C247" s="26" t="str">
        <f>Tools!$C$1</f>
        <v>Example</v>
      </c>
      <c r="D247" s="27" t="s">
        <v>76</v>
      </c>
      <c r="E247" s="28">
        <v>2017</v>
      </c>
      <c r="F247" s="28">
        <f>MATCH(DaybyDay[[#This Row],[RowMonth]],Table3[SummaryMonth],0)</f>
        <v>9</v>
      </c>
      <c r="G247" s="29" t="e">
        <f>MATCH(DaybyDay[[#This Row],[LY-Date]],DaybyDay[Date],0)</f>
        <v>#N/A</v>
      </c>
      <c r="H247" s="30">
        <f>WEEKDAY(DaybyDay[[#This Row],[Date]])</f>
        <v>3</v>
      </c>
      <c r="I247" s="31">
        <v>42976</v>
      </c>
      <c r="J247" s="74">
        <v>10</v>
      </c>
      <c r="K247" s="32">
        <f>SUMIFS(BudgetSeasonality[365 Seasonality],BudgetSeasonality[MonthAdjustment],DaybyDay[[#This Row],[Date]])*SUMIFS(Budgets[Service-Budget],Budgets[BudgetMonth],DaybyDay[[#This Row],[RowMonth]],Budgets[BudgetYear],DaybyDay[[#This Row],[RowYear]])</f>
        <v>0</v>
      </c>
      <c r="L247" s="75">
        <v>3035.39</v>
      </c>
      <c r="M247" s="32">
        <f>INDEX(BudgetSeasonality[365 Seasonality],MATCH(DaybyDay[[#This Row],[Date]],BudgetSeasonality[MonthAdjustment],0))*SUMIFS(Budgets[Retail-Budget],Budgets[BudgetMonth],DaybyDay[[#This Row],[RowMonth]],Budgets[BudgetYear],DaybyDay[[#This Row],[RowYear]])</f>
        <v>0</v>
      </c>
      <c r="N247" s="75">
        <v>561.29999999999995</v>
      </c>
      <c r="O247" s="33">
        <f>SUMIFS(DaybyDay[Service-Budgets],DaybyDay[Date],"&gt;="&amp;$C$5,DaybyDay[RowYear],"&gt;="&amp;$C$4,DaybyDay[Date],"&lt;="&amp;DaybyDay[[#This Row],[Date]])</f>
        <v>0</v>
      </c>
      <c r="P247" s="33">
        <f>SUMIFS(DaybyDay[Retail-Budgets],DaybyDay[Date],"&gt;="&amp;$C$5,DaybyDay[RowYear],"&gt;="&amp;$C$4,DaybyDay[Date],"&lt;="&amp;DaybyDay[[#This Row],[Date]])</f>
        <v>0</v>
      </c>
      <c r="Q247" s="34">
        <f>SUMIFS(DaybyDay[Service-Actuals],DaybyDay[Date],"&gt;="&amp;$C$5,DaybyDay[RowYear],"&gt;="&amp;$C$4,DaybyDay[Date],"&lt;="&amp;DaybyDay[[#This Row],[Date]])</f>
        <v>0</v>
      </c>
      <c r="R247" s="34">
        <f>SUMIFS(DaybyDay[Retail-Actuals],DaybyDay[Date],"&gt;="&amp;$C$5,DaybyDay[RowYear],"&gt;="&amp;$C$4,DaybyDay[Date],"&lt;="&amp;DaybyDay[[#This Row],[Date]])</f>
        <v>0</v>
      </c>
      <c r="S247" s="35">
        <f>SUMIFS(DaybyDay[Service-LY],DaybyDay[Date],"&gt;="&amp;$C$5,DaybyDay[RowYear],"&gt;="&amp;$C$4,DaybyDay[Date],"&lt;="&amp;DaybyDay[[#This Row],[Date]])</f>
        <v>0</v>
      </c>
      <c r="T247" s="35">
        <f>SUMIFS(DaybyDay[Retail-LY],DaybyDay[Date],"&gt;="&amp;$C$5,DaybyDay[RowYear],"&gt;="&amp;$C$4,DaybyDay[Date],"&lt;="&amp;DaybyDay[[#This Row],[Date]])</f>
        <v>0</v>
      </c>
      <c r="U247" s="32">
        <f>DaybyDay[[#This Row],[Serv-Bud-RU]]+DaybyDay[[#This Row],[Ret-Bud-RU]]</f>
        <v>0</v>
      </c>
      <c r="V247" s="32">
        <f>DaybyDay[[#This Row],[Serv-Act-RU]]+DaybyDay[[#This Row],[Ret-Act-RU]]</f>
        <v>0</v>
      </c>
      <c r="W247" s="36">
        <f>IF(DaybyDay[[#This Row],[_Space]],IFERROR(
((DaybyDay[[#This Row],[Actual-Rollup]]-DaybyDay[[#This Row],[Budget-Rollup]])/DaybyDay[[#This Row],[Budget-Rollup]]),0),"")</f>
        <v>0</v>
      </c>
      <c r="X247" t="b">
        <f>NOT(AND(ISBLANK(DaybyDay[[#This Row],[Appts]]),ISBLANK(DaybyDay[[#This Row],[Service-Actuals]]),ISBLANK(DaybyDay[[#This Row],[Retail-Actuals]])))</f>
        <v>1</v>
      </c>
      <c r="Y247" s="36">
        <f>IF(DaybyDay[[#This Row],[_Space]],IFERROR(
((DaybyDay[[#This Row],[Actual-Rollup]]-DaybyDay[[#This Row],[LY-Rollup]])/DaybyDay[[#This Row],[LY-Rollup]]),0),"")</f>
        <v>0</v>
      </c>
      <c r="Z247"/>
      <c r="AA247" s="37" t="e">
        <f>IF(DaybyDay[[#This Row],[_Space]],DaybyDay[[#This Row],[Ret-Act-RU]]/DaybyDay[[#This Row],[Serv-Act-RU]],"")</f>
        <v>#DIV/0!</v>
      </c>
      <c r="AB247" s="50" t="e">
        <f>IF(DaybyDay[[#This Row],[_Space]],DaybyDay[[#This Row],[RETPEN-Act]]/DaybyDay[[#This Row],[RETPEN-Bud]],"")</f>
        <v>#DIV/0!</v>
      </c>
      <c r="AC247" s="37" t="e">
        <f>IF(DaybyDay[[#This Row],[_Space]],DaybyDay[[#This Row],[Ret-Bud-RU]]/DaybyDay[[#This Row],[Serv-Bud-RU]],"")</f>
        <v>#DIV/0!</v>
      </c>
      <c r="AD247" s="37" t="e">
        <f>IF(DaybyDay[[#This Row],[_Space]],DaybyDay[[#This Row],[Ret-LY-RU]]/DaybyDay[[#This Row],[Serv-LY-RU]],"")</f>
        <v>#DIV/0!</v>
      </c>
      <c r="AE247" s="30">
        <f>WEEKDAY(DaybyDay[[#This Row],[LY-Date]])</f>
        <v>3</v>
      </c>
      <c r="AF247" s="38">
        <f>$E$2+_xlfn.DAYS(DaybyDay[[#This Row],[Date]],minDate)</f>
        <v>42612</v>
      </c>
      <c r="AG247" s="39" t="str" cm="1">
        <f t="array" ref="AG247">IFERROR(INDEX(DaybyDay[],DaybyDay[[#This Row],[FORM_MATCH_HELPER]],8),"")</f>
        <v/>
      </c>
      <c r="AH247" s="39" t="str" cm="1">
        <f t="array" ref="AH247">IFERROR(INDEX(DaybyDay[],DaybyDay[[#This Row],[FORM_MATCH_HELPER]],10),"")</f>
        <v/>
      </c>
      <c r="AI247" s="39" t="str" cm="1">
        <f t="array" ref="AI247">IFERROR(INDEX(DaybyDay[],DaybyDay[[#This Row],[FORM_MATCH_HELPER]],12),"")</f>
        <v/>
      </c>
      <c r="AJ247" s="32">
        <f>IFERROR(DaybyDay[[#This Row],[Serv-LY-RU]]+DaybyDay[[#This Row],[Ret-LY-RU]],"")</f>
        <v>0</v>
      </c>
      <c r="AK2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7" s="77"/>
      <c r="AM247" s="40" t="str">
        <f>IF(DaybyDay[[#This Row],[Admin Hours]]&gt;0,DaybyDay[[#This Row],[Admin Hours]]*$AM$2+$AM$3,"")</f>
        <v/>
      </c>
      <c r="AN247" s="40">
        <f>SUMIFS(DaybyDay[Est-Admin-Payroll],DaybyDay[Date],"&gt;="&amp;$C$5,DaybyDay[RowYear],"&gt;="&amp;$C$4,DaybyDay[Date],"&lt;="&amp;DaybyDay[[#This Row],[Date]])</f>
        <v>0</v>
      </c>
      <c r="AO247" s="41" t="str">
        <f>IF(AND(DaybyDay[[#This Row],[_Space]],ISNUMBER(DaybyDay[[#This Row],[Admin Hours]])),DaybyDay[[#This Row],[Est-Admin-Payroll]]/(DaybyDay[[#This Row],[Service-Actuals]]+DaybyDay[[#This Row],[Retail-Actuals]]),"")</f>
        <v/>
      </c>
      <c r="AP247" s="41" t="e">
        <f>DaybyDay[[#This Row],[Estimated-Payroll-Rollup]]/DaybyDay[[#This Row],[Simple-Forecast]]</f>
        <v>#DIV/0!</v>
      </c>
      <c r="AQ2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7" s="77"/>
      <c r="AS247" s="40" t="str">
        <f>IF(DaybyDay[[#This Row],[Retail Hours]]&gt;0,DaybyDay[[#This Row],[Retail Hours]]*$AS$2,"")</f>
        <v/>
      </c>
      <c r="AT247" s="40">
        <f>SUMIFS(DaybyDay[Est-Retail-Payroll],DaybyDay[Date],"&gt;="&amp;$C$5,DaybyDay[RowYear],"&gt;="&amp;$C$4,DaybyDay[Date],"&lt;="&amp;DaybyDay[[#This Row],[Date]])</f>
        <v>0</v>
      </c>
      <c r="AU247" s="82" t="str">
        <f>IF(AND(DaybyDay[[#This Row],[_Space]],ISNUMBER(DaybyDay[[#This Row],[Retail Hours]])),DaybyDay[[#This Row],[Est-Retail-Payroll]]/(DaybyDay[[#This Row],[Retail-Actuals]]),"")</f>
        <v/>
      </c>
      <c r="AV247" s="82" t="e">
        <f>DaybyDay[[#This Row],[Est-Retail-PayrollRU]]/DaybyDay[[#This Row],[Simple-Forecast-Retail]]</f>
        <v>#DIV/0!</v>
      </c>
      <c r="AW247" s="8"/>
    </row>
    <row r="248" spans="3:49" hidden="1" x14ac:dyDescent="0.25">
      <c r="C248" s="26" t="str">
        <f>Tools!$C$1</f>
        <v>Example</v>
      </c>
      <c r="D248" s="27" t="s">
        <v>76</v>
      </c>
      <c r="E248" s="28">
        <v>2017</v>
      </c>
      <c r="F248" s="28">
        <f>MATCH(DaybyDay[[#This Row],[RowMonth]],Table3[SummaryMonth],0)</f>
        <v>9</v>
      </c>
      <c r="G248" s="29" t="e">
        <f>MATCH(DaybyDay[[#This Row],[LY-Date]],DaybyDay[Date],0)</f>
        <v>#N/A</v>
      </c>
      <c r="H248" s="30">
        <f>WEEKDAY(DaybyDay[[#This Row],[Date]])</f>
        <v>4</v>
      </c>
      <c r="I248" s="31">
        <v>42977</v>
      </c>
      <c r="J248" s="74">
        <v>21</v>
      </c>
      <c r="K248" s="32">
        <f>SUMIFS(BudgetSeasonality[365 Seasonality],BudgetSeasonality[MonthAdjustment],DaybyDay[[#This Row],[Date]])*SUMIFS(Budgets[Service-Budget],Budgets[BudgetMonth],DaybyDay[[#This Row],[RowMonth]],Budgets[BudgetYear],DaybyDay[[#This Row],[RowYear]])</f>
        <v>0</v>
      </c>
      <c r="L248" s="75">
        <v>4284.6000000000004</v>
      </c>
      <c r="M248" s="32">
        <f>INDEX(BudgetSeasonality[365 Seasonality],MATCH(DaybyDay[[#This Row],[Date]],BudgetSeasonality[MonthAdjustment],0))*SUMIFS(Budgets[Retail-Budget],Budgets[BudgetMonth],DaybyDay[[#This Row],[RowMonth]],Budgets[BudgetYear],DaybyDay[[#This Row],[RowYear]])</f>
        <v>0</v>
      </c>
      <c r="N248" s="75">
        <v>1039</v>
      </c>
      <c r="O248" s="33">
        <f>SUMIFS(DaybyDay[Service-Budgets],DaybyDay[Date],"&gt;="&amp;$C$5,DaybyDay[RowYear],"&gt;="&amp;$C$4,DaybyDay[Date],"&lt;="&amp;DaybyDay[[#This Row],[Date]])</f>
        <v>0</v>
      </c>
      <c r="P248" s="33">
        <f>SUMIFS(DaybyDay[Retail-Budgets],DaybyDay[Date],"&gt;="&amp;$C$5,DaybyDay[RowYear],"&gt;="&amp;$C$4,DaybyDay[Date],"&lt;="&amp;DaybyDay[[#This Row],[Date]])</f>
        <v>0</v>
      </c>
      <c r="Q248" s="34">
        <f>SUMIFS(DaybyDay[Service-Actuals],DaybyDay[Date],"&gt;="&amp;$C$5,DaybyDay[RowYear],"&gt;="&amp;$C$4,DaybyDay[Date],"&lt;="&amp;DaybyDay[[#This Row],[Date]])</f>
        <v>0</v>
      </c>
      <c r="R248" s="34">
        <f>SUMIFS(DaybyDay[Retail-Actuals],DaybyDay[Date],"&gt;="&amp;$C$5,DaybyDay[RowYear],"&gt;="&amp;$C$4,DaybyDay[Date],"&lt;="&amp;DaybyDay[[#This Row],[Date]])</f>
        <v>0</v>
      </c>
      <c r="S248" s="35">
        <f>SUMIFS(DaybyDay[Service-LY],DaybyDay[Date],"&gt;="&amp;$C$5,DaybyDay[RowYear],"&gt;="&amp;$C$4,DaybyDay[Date],"&lt;="&amp;DaybyDay[[#This Row],[Date]])</f>
        <v>0</v>
      </c>
      <c r="T248" s="35">
        <f>SUMIFS(DaybyDay[Retail-LY],DaybyDay[Date],"&gt;="&amp;$C$5,DaybyDay[RowYear],"&gt;="&amp;$C$4,DaybyDay[Date],"&lt;="&amp;DaybyDay[[#This Row],[Date]])</f>
        <v>0</v>
      </c>
      <c r="U248" s="32">
        <f>DaybyDay[[#This Row],[Serv-Bud-RU]]+DaybyDay[[#This Row],[Ret-Bud-RU]]</f>
        <v>0</v>
      </c>
      <c r="V248" s="32">
        <f>DaybyDay[[#This Row],[Serv-Act-RU]]+DaybyDay[[#This Row],[Ret-Act-RU]]</f>
        <v>0</v>
      </c>
      <c r="W248" s="36">
        <f>IF(DaybyDay[[#This Row],[_Space]],IFERROR(
((DaybyDay[[#This Row],[Actual-Rollup]]-DaybyDay[[#This Row],[Budget-Rollup]])/DaybyDay[[#This Row],[Budget-Rollup]]),0),"")</f>
        <v>0</v>
      </c>
      <c r="X248" t="b">
        <f>NOT(AND(ISBLANK(DaybyDay[[#This Row],[Appts]]),ISBLANK(DaybyDay[[#This Row],[Service-Actuals]]),ISBLANK(DaybyDay[[#This Row],[Retail-Actuals]])))</f>
        <v>1</v>
      </c>
      <c r="Y248" s="36">
        <f>IF(DaybyDay[[#This Row],[_Space]],IFERROR(
((DaybyDay[[#This Row],[Actual-Rollup]]-DaybyDay[[#This Row],[LY-Rollup]])/DaybyDay[[#This Row],[LY-Rollup]]),0),"")</f>
        <v>0</v>
      </c>
      <c r="Z248"/>
      <c r="AA248" s="37" t="e">
        <f>IF(DaybyDay[[#This Row],[_Space]],DaybyDay[[#This Row],[Ret-Act-RU]]/DaybyDay[[#This Row],[Serv-Act-RU]],"")</f>
        <v>#DIV/0!</v>
      </c>
      <c r="AB248" s="50" t="e">
        <f>IF(DaybyDay[[#This Row],[_Space]],DaybyDay[[#This Row],[RETPEN-Act]]/DaybyDay[[#This Row],[RETPEN-Bud]],"")</f>
        <v>#DIV/0!</v>
      </c>
      <c r="AC248" s="37" t="e">
        <f>IF(DaybyDay[[#This Row],[_Space]],DaybyDay[[#This Row],[Ret-Bud-RU]]/DaybyDay[[#This Row],[Serv-Bud-RU]],"")</f>
        <v>#DIV/0!</v>
      </c>
      <c r="AD248" s="37" t="e">
        <f>IF(DaybyDay[[#This Row],[_Space]],DaybyDay[[#This Row],[Ret-LY-RU]]/DaybyDay[[#This Row],[Serv-LY-RU]],"")</f>
        <v>#DIV/0!</v>
      </c>
      <c r="AE248" s="30">
        <f>WEEKDAY(DaybyDay[[#This Row],[LY-Date]])</f>
        <v>4</v>
      </c>
      <c r="AF248" s="38">
        <f>$E$2+_xlfn.DAYS(DaybyDay[[#This Row],[Date]],minDate)</f>
        <v>42613</v>
      </c>
      <c r="AG248" s="39" t="str" cm="1">
        <f t="array" ref="AG248">IFERROR(INDEX(DaybyDay[],DaybyDay[[#This Row],[FORM_MATCH_HELPER]],8),"")</f>
        <v/>
      </c>
      <c r="AH248" s="39" t="str" cm="1">
        <f t="array" ref="AH248">IFERROR(INDEX(DaybyDay[],DaybyDay[[#This Row],[FORM_MATCH_HELPER]],10),"")</f>
        <v/>
      </c>
      <c r="AI248" s="39" t="str" cm="1">
        <f t="array" ref="AI248">IFERROR(INDEX(DaybyDay[],DaybyDay[[#This Row],[FORM_MATCH_HELPER]],12),"")</f>
        <v/>
      </c>
      <c r="AJ248" s="32">
        <f>IFERROR(DaybyDay[[#This Row],[Serv-LY-RU]]+DaybyDay[[#This Row],[Ret-LY-RU]],"")</f>
        <v>0</v>
      </c>
      <c r="AK2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8" s="77"/>
      <c r="AM248" s="40" t="str">
        <f>IF(DaybyDay[[#This Row],[Admin Hours]]&gt;0,DaybyDay[[#This Row],[Admin Hours]]*$AM$2+$AM$3,"")</f>
        <v/>
      </c>
      <c r="AN248" s="40">
        <f>SUMIFS(DaybyDay[Est-Admin-Payroll],DaybyDay[Date],"&gt;="&amp;$C$5,DaybyDay[RowYear],"&gt;="&amp;$C$4,DaybyDay[Date],"&lt;="&amp;DaybyDay[[#This Row],[Date]])</f>
        <v>0</v>
      </c>
      <c r="AO248" s="41" t="str">
        <f>IF(AND(DaybyDay[[#This Row],[_Space]],ISNUMBER(DaybyDay[[#This Row],[Admin Hours]])),DaybyDay[[#This Row],[Est-Admin-Payroll]]/(DaybyDay[[#This Row],[Service-Actuals]]+DaybyDay[[#This Row],[Retail-Actuals]]),"")</f>
        <v/>
      </c>
      <c r="AP248" s="41" t="e">
        <f>DaybyDay[[#This Row],[Estimated-Payroll-Rollup]]/DaybyDay[[#This Row],[Simple-Forecast]]</f>
        <v>#DIV/0!</v>
      </c>
      <c r="AQ2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8" s="77"/>
      <c r="AS248" s="40" t="str">
        <f>IF(DaybyDay[[#This Row],[Retail Hours]]&gt;0,DaybyDay[[#This Row],[Retail Hours]]*$AS$2,"")</f>
        <v/>
      </c>
      <c r="AT248" s="40">
        <f>SUMIFS(DaybyDay[Est-Retail-Payroll],DaybyDay[Date],"&gt;="&amp;$C$5,DaybyDay[RowYear],"&gt;="&amp;$C$4,DaybyDay[Date],"&lt;="&amp;DaybyDay[[#This Row],[Date]])</f>
        <v>0</v>
      </c>
      <c r="AU248" s="82" t="str">
        <f>IF(AND(DaybyDay[[#This Row],[_Space]],ISNUMBER(DaybyDay[[#This Row],[Retail Hours]])),DaybyDay[[#This Row],[Est-Retail-Payroll]]/(DaybyDay[[#This Row],[Retail-Actuals]]),"")</f>
        <v/>
      </c>
      <c r="AV248" s="82" t="e">
        <f>DaybyDay[[#This Row],[Est-Retail-PayrollRU]]/DaybyDay[[#This Row],[Simple-Forecast-Retail]]</f>
        <v>#DIV/0!</v>
      </c>
      <c r="AW248" s="8"/>
    </row>
    <row r="249" spans="3:49" hidden="1" x14ac:dyDescent="0.25">
      <c r="C249" s="26" t="str">
        <f>Tools!$C$1</f>
        <v>Example</v>
      </c>
      <c r="D249" s="27" t="s">
        <v>76</v>
      </c>
      <c r="E249" s="28">
        <v>2017</v>
      </c>
      <c r="F249" s="28">
        <f>MATCH(DaybyDay[[#This Row],[RowMonth]],Table3[SummaryMonth],0)</f>
        <v>9</v>
      </c>
      <c r="G249" s="29" t="e">
        <f>MATCH(DaybyDay[[#This Row],[LY-Date]],DaybyDay[Date],0)</f>
        <v>#N/A</v>
      </c>
      <c r="H249" s="30">
        <f>WEEKDAY(DaybyDay[[#This Row],[Date]])</f>
        <v>5</v>
      </c>
      <c r="I249" s="31">
        <v>42978</v>
      </c>
      <c r="J249" s="74">
        <v>24</v>
      </c>
      <c r="K249" s="32">
        <f>SUMIFS(BudgetSeasonality[365 Seasonality],BudgetSeasonality[MonthAdjustment],DaybyDay[[#This Row],[Date]])*SUMIFS(Budgets[Service-Budget],Budgets[BudgetMonth],DaybyDay[[#This Row],[RowMonth]],Budgets[BudgetYear],DaybyDay[[#This Row],[RowYear]])</f>
        <v>0</v>
      </c>
      <c r="L249" s="75">
        <v>4369.6000000000004</v>
      </c>
      <c r="M249" s="32">
        <f>INDEX(BudgetSeasonality[365 Seasonality],MATCH(DaybyDay[[#This Row],[Date]],BudgetSeasonality[MonthAdjustment],0))*SUMIFS(Budgets[Retail-Budget],Budgets[BudgetMonth],DaybyDay[[#This Row],[RowMonth]],Budgets[BudgetYear],DaybyDay[[#This Row],[RowYear]])</f>
        <v>0</v>
      </c>
      <c r="N249" s="75">
        <v>1409.4</v>
      </c>
      <c r="O249" s="33">
        <f>SUMIFS(DaybyDay[Service-Budgets],DaybyDay[Date],"&gt;="&amp;$C$5,DaybyDay[RowYear],"&gt;="&amp;$C$4,DaybyDay[Date],"&lt;="&amp;DaybyDay[[#This Row],[Date]])</f>
        <v>0</v>
      </c>
      <c r="P249" s="33">
        <f>SUMIFS(DaybyDay[Retail-Budgets],DaybyDay[Date],"&gt;="&amp;$C$5,DaybyDay[RowYear],"&gt;="&amp;$C$4,DaybyDay[Date],"&lt;="&amp;DaybyDay[[#This Row],[Date]])</f>
        <v>0</v>
      </c>
      <c r="Q249" s="34">
        <f>SUMIFS(DaybyDay[Service-Actuals],DaybyDay[Date],"&gt;="&amp;$C$5,DaybyDay[RowYear],"&gt;="&amp;$C$4,DaybyDay[Date],"&lt;="&amp;DaybyDay[[#This Row],[Date]])</f>
        <v>0</v>
      </c>
      <c r="R249" s="34">
        <f>SUMIFS(DaybyDay[Retail-Actuals],DaybyDay[Date],"&gt;="&amp;$C$5,DaybyDay[RowYear],"&gt;="&amp;$C$4,DaybyDay[Date],"&lt;="&amp;DaybyDay[[#This Row],[Date]])</f>
        <v>0</v>
      </c>
      <c r="S249" s="35">
        <f>SUMIFS(DaybyDay[Service-LY],DaybyDay[Date],"&gt;="&amp;$C$5,DaybyDay[RowYear],"&gt;="&amp;$C$4,DaybyDay[Date],"&lt;="&amp;DaybyDay[[#This Row],[Date]])</f>
        <v>0</v>
      </c>
      <c r="T249" s="35">
        <f>SUMIFS(DaybyDay[Retail-LY],DaybyDay[Date],"&gt;="&amp;$C$5,DaybyDay[RowYear],"&gt;="&amp;$C$4,DaybyDay[Date],"&lt;="&amp;DaybyDay[[#This Row],[Date]])</f>
        <v>0</v>
      </c>
      <c r="U249" s="32">
        <f>DaybyDay[[#This Row],[Serv-Bud-RU]]+DaybyDay[[#This Row],[Ret-Bud-RU]]</f>
        <v>0</v>
      </c>
      <c r="V249" s="32">
        <f>DaybyDay[[#This Row],[Serv-Act-RU]]+DaybyDay[[#This Row],[Ret-Act-RU]]</f>
        <v>0</v>
      </c>
      <c r="W249" s="36">
        <f>IF(DaybyDay[[#This Row],[_Space]],IFERROR(
((DaybyDay[[#This Row],[Actual-Rollup]]-DaybyDay[[#This Row],[Budget-Rollup]])/DaybyDay[[#This Row],[Budget-Rollup]]),0),"")</f>
        <v>0</v>
      </c>
      <c r="X249" t="b">
        <f>NOT(AND(ISBLANK(DaybyDay[[#This Row],[Appts]]),ISBLANK(DaybyDay[[#This Row],[Service-Actuals]]),ISBLANK(DaybyDay[[#This Row],[Retail-Actuals]])))</f>
        <v>1</v>
      </c>
      <c r="Y249" s="36">
        <f>IF(DaybyDay[[#This Row],[_Space]],IFERROR(
((DaybyDay[[#This Row],[Actual-Rollup]]-DaybyDay[[#This Row],[LY-Rollup]])/DaybyDay[[#This Row],[LY-Rollup]]),0),"")</f>
        <v>0</v>
      </c>
      <c r="Z249"/>
      <c r="AA249" s="37" t="e">
        <f>IF(DaybyDay[[#This Row],[_Space]],DaybyDay[[#This Row],[Ret-Act-RU]]/DaybyDay[[#This Row],[Serv-Act-RU]],"")</f>
        <v>#DIV/0!</v>
      </c>
      <c r="AB249" s="50" t="e">
        <f>IF(DaybyDay[[#This Row],[_Space]],DaybyDay[[#This Row],[RETPEN-Act]]/DaybyDay[[#This Row],[RETPEN-Bud]],"")</f>
        <v>#DIV/0!</v>
      </c>
      <c r="AC249" s="37" t="e">
        <f>IF(DaybyDay[[#This Row],[_Space]],DaybyDay[[#This Row],[Ret-Bud-RU]]/DaybyDay[[#This Row],[Serv-Bud-RU]],"")</f>
        <v>#DIV/0!</v>
      </c>
      <c r="AD249" s="37" t="e">
        <f>IF(DaybyDay[[#This Row],[_Space]],DaybyDay[[#This Row],[Ret-LY-RU]]/DaybyDay[[#This Row],[Serv-LY-RU]],"")</f>
        <v>#DIV/0!</v>
      </c>
      <c r="AE249" s="30">
        <f>WEEKDAY(DaybyDay[[#This Row],[LY-Date]])</f>
        <v>5</v>
      </c>
      <c r="AF249" s="38">
        <f>$E$2+_xlfn.DAYS(DaybyDay[[#This Row],[Date]],minDate)</f>
        <v>42614</v>
      </c>
      <c r="AG249" s="39" t="str" cm="1">
        <f t="array" ref="AG249">IFERROR(INDEX(DaybyDay[],DaybyDay[[#This Row],[FORM_MATCH_HELPER]],8),"")</f>
        <v/>
      </c>
      <c r="AH249" s="39" t="str" cm="1">
        <f t="array" ref="AH249">IFERROR(INDEX(DaybyDay[],DaybyDay[[#This Row],[FORM_MATCH_HELPER]],10),"")</f>
        <v/>
      </c>
      <c r="AI249" s="39" t="str" cm="1">
        <f t="array" ref="AI249">IFERROR(INDEX(DaybyDay[],DaybyDay[[#This Row],[FORM_MATCH_HELPER]],12),"")</f>
        <v/>
      </c>
      <c r="AJ249" s="32">
        <f>IFERROR(DaybyDay[[#This Row],[Serv-LY-RU]]+DaybyDay[[#This Row],[Ret-LY-RU]],"")</f>
        <v>0</v>
      </c>
      <c r="AK2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49" s="77"/>
      <c r="AM249" s="40" t="str">
        <f>IF(DaybyDay[[#This Row],[Admin Hours]]&gt;0,DaybyDay[[#This Row],[Admin Hours]]*$AM$2+$AM$3,"")</f>
        <v/>
      </c>
      <c r="AN249" s="40">
        <f>SUMIFS(DaybyDay[Est-Admin-Payroll],DaybyDay[Date],"&gt;="&amp;$C$5,DaybyDay[RowYear],"&gt;="&amp;$C$4,DaybyDay[Date],"&lt;="&amp;DaybyDay[[#This Row],[Date]])</f>
        <v>0</v>
      </c>
      <c r="AO249" s="41" t="str">
        <f>IF(AND(DaybyDay[[#This Row],[_Space]],ISNUMBER(DaybyDay[[#This Row],[Admin Hours]])),DaybyDay[[#This Row],[Est-Admin-Payroll]]/(DaybyDay[[#This Row],[Service-Actuals]]+DaybyDay[[#This Row],[Retail-Actuals]]),"")</f>
        <v/>
      </c>
      <c r="AP249" s="41" t="e">
        <f>DaybyDay[[#This Row],[Estimated-Payroll-Rollup]]/DaybyDay[[#This Row],[Simple-Forecast]]</f>
        <v>#DIV/0!</v>
      </c>
      <c r="AQ2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49" s="77"/>
      <c r="AS249" s="40" t="str">
        <f>IF(DaybyDay[[#This Row],[Retail Hours]]&gt;0,DaybyDay[[#This Row],[Retail Hours]]*$AS$2,"")</f>
        <v/>
      </c>
      <c r="AT249" s="40">
        <f>SUMIFS(DaybyDay[Est-Retail-Payroll],DaybyDay[Date],"&gt;="&amp;$C$5,DaybyDay[RowYear],"&gt;="&amp;$C$4,DaybyDay[Date],"&lt;="&amp;DaybyDay[[#This Row],[Date]])</f>
        <v>0</v>
      </c>
      <c r="AU249" s="82" t="str">
        <f>IF(AND(DaybyDay[[#This Row],[_Space]],ISNUMBER(DaybyDay[[#This Row],[Retail Hours]])),DaybyDay[[#This Row],[Est-Retail-Payroll]]/(DaybyDay[[#This Row],[Retail-Actuals]]),"")</f>
        <v/>
      </c>
      <c r="AV249" s="82" t="e">
        <f>DaybyDay[[#This Row],[Est-Retail-PayrollRU]]/DaybyDay[[#This Row],[Simple-Forecast-Retail]]</f>
        <v>#DIV/0!</v>
      </c>
      <c r="AW249" s="8"/>
    </row>
    <row r="250" spans="3:49" hidden="1" x14ac:dyDescent="0.25">
      <c r="C250" s="26" t="str">
        <f>Tools!$C$1</f>
        <v>Example</v>
      </c>
      <c r="D250" s="27" t="s">
        <v>76</v>
      </c>
      <c r="E250" s="28">
        <v>2017</v>
      </c>
      <c r="F250" s="28">
        <f>MATCH(DaybyDay[[#This Row],[RowMonth]],Table3[SummaryMonth],0)</f>
        <v>9</v>
      </c>
      <c r="G250" s="29" t="e">
        <f>MATCH(DaybyDay[[#This Row],[LY-Date]],DaybyDay[Date],0)</f>
        <v>#N/A</v>
      </c>
      <c r="H250" s="30">
        <f>WEEKDAY(DaybyDay[[#This Row],[Date]])</f>
        <v>6</v>
      </c>
      <c r="I250" s="31">
        <v>42979</v>
      </c>
      <c r="J250" s="74">
        <v>28</v>
      </c>
      <c r="K250" s="32">
        <f>SUMIFS(BudgetSeasonality[365 Seasonality],BudgetSeasonality[MonthAdjustment],DaybyDay[[#This Row],[Date]])*SUMIFS(Budgets[Service-Budget],Budgets[BudgetMonth],DaybyDay[[#This Row],[RowMonth]],Budgets[BudgetYear],DaybyDay[[#This Row],[RowYear]])</f>
        <v>0</v>
      </c>
      <c r="L250" s="75">
        <v>6008.9</v>
      </c>
      <c r="M250" s="32">
        <f>INDEX(BudgetSeasonality[365 Seasonality],MATCH(DaybyDay[[#This Row],[Date]],BudgetSeasonality[MonthAdjustment],0))*SUMIFS(Budgets[Retail-Budget],Budgets[BudgetMonth],DaybyDay[[#This Row],[RowMonth]],Budgets[BudgetYear],DaybyDay[[#This Row],[RowYear]])</f>
        <v>0</v>
      </c>
      <c r="N250" s="75">
        <v>2052.5</v>
      </c>
      <c r="O250" s="33">
        <f>SUMIFS(DaybyDay[Service-Budgets],DaybyDay[Date],"&gt;="&amp;$C$5,DaybyDay[RowYear],"&gt;="&amp;$C$4,DaybyDay[Date],"&lt;="&amp;DaybyDay[[#This Row],[Date]])</f>
        <v>0</v>
      </c>
      <c r="P250" s="33">
        <f>SUMIFS(DaybyDay[Retail-Budgets],DaybyDay[Date],"&gt;="&amp;$C$5,DaybyDay[RowYear],"&gt;="&amp;$C$4,DaybyDay[Date],"&lt;="&amp;DaybyDay[[#This Row],[Date]])</f>
        <v>0</v>
      </c>
      <c r="Q250" s="34">
        <f>SUMIFS(DaybyDay[Service-Actuals],DaybyDay[Date],"&gt;="&amp;$C$5,DaybyDay[RowYear],"&gt;="&amp;$C$4,DaybyDay[Date],"&lt;="&amp;DaybyDay[[#This Row],[Date]])</f>
        <v>0</v>
      </c>
      <c r="R250" s="34">
        <f>SUMIFS(DaybyDay[Retail-Actuals],DaybyDay[Date],"&gt;="&amp;$C$5,DaybyDay[RowYear],"&gt;="&amp;$C$4,DaybyDay[Date],"&lt;="&amp;DaybyDay[[#This Row],[Date]])</f>
        <v>0</v>
      </c>
      <c r="S250" s="35">
        <f>SUMIFS(DaybyDay[Service-LY],DaybyDay[Date],"&gt;="&amp;$C$5,DaybyDay[RowYear],"&gt;="&amp;$C$4,DaybyDay[Date],"&lt;="&amp;DaybyDay[[#This Row],[Date]])</f>
        <v>0</v>
      </c>
      <c r="T250" s="35">
        <f>SUMIFS(DaybyDay[Retail-LY],DaybyDay[Date],"&gt;="&amp;$C$5,DaybyDay[RowYear],"&gt;="&amp;$C$4,DaybyDay[Date],"&lt;="&amp;DaybyDay[[#This Row],[Date]])</f>
        <v>0</v>
      </c>
      <c r="U250" s="32">
        <f>DaybyDay[[#This Row],[Serv-Bud-RU]]+DaybyDay[[#This Row],[Ret-Bud-RU]]</f>
        <v>0</v>
      </c>
      <c r="V250" s="32">
        <f>DaybyDay[[#This Row],[Serv-Act-RU]]+DaybyDay[[#This Row],[Ret-Act-RU]]</f>
        <v>0</v>
      </c>
      <c r="W250" s="36">
        <f>IF(DaybyDay[[#This Row],[_Space]],IFERROR(
((DaybyDay[[#This Row],[Actual-Rollup]]-DaybyDay[[#This Row],[Budget-Rollup]])/DaybyDay[[#This Row],[Budget-Rollup]]),0),"")</f>
        <v>0</v>
      </c>
      <c r="X250" t="b">
        <f>NOT(AND(ISBLANK(DaybyDay[[#This Row],[Appts]]),ISBLANK(DaybyDay[[#This Row],[Service-Actuals]]),ISBLANK(DaybyDay[[#This Row],[Retail-Actuals]])))</f>
        <v>1</v>
      </c>
      <c r="Y250" s="36">
        <f>IF(DaybyDay[[#This Row],[_Space]],IFERROR(
((DaybyDay[[#This Row],[Actual-Rollup]]-DaybyDay[[#This Row],[LY-Rollup]])/DaybyDay[[#This Row],[LY-Rollup]]),0),"")</f>
        <v>0</v>
      </c>
      <c r="Z250"/>
      <c r="AA250" s="37" t="e">
        <f>IF(DaybyDay[[#This Row],[_Space]],DaybyDay[[#This Row],[Ret-Act-RU]]/DaybyDay[[#This Row],[Serv-Act-RU]],"")</f>
        <v>#DIV/0!</v>
      </c>
      <c r="AB250" s="50" t="e">
        <f>IF(DaybyDay[[#This Row],[_Space]],DaybyDay[[#This Row],[RETPEN-Act]]/DaybyDay[[#This Row],[RETPEN-Bud]],"")</f>
        <v>#DIV/0!</v>
      </c>
      <c r="AC250" s="37" t="e">
        <f>IF(DaybyDay[[#This Row],[_Space]],DaybyDay[[#This Row],[Ret-Bud-RU]]/DaybyDay[[#This Row],[Serv-Bud-RU]],"")</f>
        <v>#DIV/0!</v>
      </c>
      <c r="AD250" s="37" t="e">
        <f>IF(DaybyDay[[#This Row],[_Space]],DaybyDay[[#This Row],[Ret-LY-RU]]/DaybyDay[[#This Row],[Serv-LY-RU]],"")</f>
        <v>#DIV/0!</v>
      </c>
      <c r="AE250" s="30">
        <f>WEEKDAY(DaybyDay[[#This Row],[LY-Date]])</f>
        <v>6</v>
      </c>
      <c r="AF250" s="38">
        <f>$E$2+_xlfn.DAYS(DaybyDay[[#This Row],[Date]],minDate)</f>
        <v>42615</v>
      </c>
      <c r="AG250" s="39" t="str" cm="1">
        <f t="array" ref="AG250">IFERROR(INDEX(DaybyDay[],DaybyDay[[#This Row],[FORM_MATCH_HELPER]],8),"")</f>
        <v/>
      </c>
      <c r="AH250" s="39" t="str" cm="1">
        <f t="array" ref="AH250">IFERROR(INDEX(DaybyDay[],DaybyDay[[#This Row],[FORM_MATCH_HELPER]],10),"")</f>
        <v/>
      </c>
      <c r="AI250" s="39" t="str" cm="1">
        <f t="array" ref="AI250">IFERROR(INDEX(DaybyDay[],DaybyDay[[#This Row],[FORM_MATCH_HELPER]],12),"")</f>
        <v/>
      </c>
      <c r="AJ250" s="32">
        <f>IFERROR(DaybyDay[[#This Row],[Serv-LY-RU]]+DaybyDay[[#This Row],[Ret-LY-RU]],"")</f>
        <v>0</v>
      </c>
      <c r="AK2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0" s="77"/>
      <c r="AM250" s="40" t="str">
        <f>IF(DaybyDay[[#This Row],[Admin Hours]]&gt;0,DaybyDay[[#This Row],[Admin Hours]]*$AM$2+$AM$3,"")</f>
        <v/>
      </c>
      <c r="AN250" s="40">
        <f>SUMIFS(DaybyDay[Est-Admin-Payroll],DaybyDay[Date],"&gt;="&amp;$C$5,DaybyDay[RowYear],"&gt;="&amp;$C$4,DaybyDay[Date],"&lt;="&amp;DaybyDay[[#This Row],[Date]])</f>
        <v>0</v>
      </c>
      <c r="AO250" s="41" t="str">
        <f>IF(AND(DaybyDay[[#This Row],[_Space]],ISNUMBER(DaybyDay[[#This Row],[Admin Hours]])),DaybyDay[[#This Row],[Est-Admin-Payroll]]/(DaybyDay[[#This Row],[Service-Actuals]]+DaybyDay[[#This Row],[Retail-Actuals]]),"")</f>
        <v/>
      </c>
      <c r="AP250" s="41" t="e">
        <f>DaybyDay[[#This Row],[Estimated-Payroll-Rollup]]/DaybyDay[[#This Row],[Simple-Forecast]]</f>
        <v>#DIV/0!</v>
      </c>
      <c r="AQ2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0" s="77"/>
      <c r="AS250" s="40" t="str">
        <f>IF(DaybyDay[[#This Row],[Retail Hours]]&gt;0,DaybyDay[[#This Row],[Retail Hours]]*$AS$2,"")</f>
        <v/>
      </c>
      <c r="AT250" s="40">
        <f>SUMIFS(DaybyDay[Est-Retail-Payroll],DaybyDay[Date],"&gt;="&amp;$C$5,DaybyDay[RowYear],"&gt;="&amp;$C$4,DaybyDay[Date],"&lt;="&amp;DaybyDay[[#This Row],[Date]])</f>
        <v>0</v>
      </c>
      <c r="AU250" s="82" t="str">
        <f>IF(AND(DaybyDay[[#This Row],[_Space]],ISNUMBER(DaybyDay[[#This Row],[Retail Hours]])),DaybyDay[[#This Row],[Est-Retail-Payroll]]/(DaybyDay[[#This Row],[Retail-Actuals]]),"")</f>
        <v/>
      </c>
      <c r="AV250" s="82" t="e">
        <f>DaybyDay[[#This Row],[Est-Retail-PayrollRU]]/DaybyDay[[#This Row],[Simple-Forecast-Retail]]</f>
        <v>#DIV/0!</v>
      </c>
      <c r="AW250" s="8"/>
    </row>
    <row r="251" spans="3:49" hidden="1" x14ac:dyDescent="0.25">
      <c r="C251" s="26" t="str">
        <f>Tools!$C$1</f>
        <v>Example</v>
      </c>
      <c r="D251" s="27" t="s">
        <v>76</v>
      </c>
      <c r="E251" s="28">
        <v>2017</v>
      </c>
      <c r="F251" s="28">
        <f>MATCH(DaybyDay[[#This Row],[RowMonth]],Table3[SummaryMonth],0)</f>
        <v>9</v>
      </c>
      <c r="G251" s="29" t="e">
        <f>MATCH(DaybyDay[[#This Row],[LY-Date]],DaybyDay[Date],0)</f>
        <v>#N/A</v>
      </c>
      <c r="H251" s="30">
        <f>WEEKDAY(DaybyDay[[#This Row],[Date]])</f>
        <v>7</v>
      </c>
      <c r="I251" s="31">
        <v>42980</v>
      </c>
      <c r="J251" s="74">
        <v>30</v>
      </c>
      <c r="K251" s="32">
        <f>SUMIFS(BudgetSeasonality[365 Seasonality],BudgetSeasonality[MonthAdjustment],DaybyDay[[#This Row],[Date]])*SUMIFS(Budgets[Service-Budget],Budgets[BudgetMonth],DaybyDay[[#This Row],[RowMonth]],Budgets[BudgetYear],DaybyDay[[#This Row],[RowYear]])</f>
        <v>0</v>
      </c>
      <c r="L251" s="75">
        <v>7031.99</v>
      </c>
      <c r="M251" s="32">
        <f>INDEX(BudgetSeasonality[365 Seasonality],MATCH(DaybyDay[[#This Row],[Date]],BudgetSeasonality[MonthAdjustment],0))*SUMIFS(Budgets[Retail-Budget],Budgets[BudgetMonth],DaybyDay[[#This Row],[RowMonth]],Budgets[BudgetYear],DaybyDay[[#This Row],[RowYear]])</f>
        <v>0</v>
      </c>
      <c r="N251" s="75">
        <v>677.5</v>
      </c>
      <c r="O251" s="33">
        <f>SUMIFS(DaybyDay[Service-Budgets],DaybyDay[Date],"&gt;="&amp;$C$5,DaybyDay[RowYear],"&gt;="&amp;$C$4,DaybyDay[Date],"&lt;="&amp;DaybyDay[[#This Row],[Date]])</f>
        <v>0</v>
      </c>
      <c r="P251" s="33">
        <f>SUMIFS(DaybyDay[Retail-Budgets],DaybyDay[Date],"&gt;="&amp;$C$5,DaybyDay[RowYear],"&gt;="&amp;$C$4,DaybyDay[Date],"&lt;="&amp;DaybyDay[[#This Row],[Date]])</f>
        <v>0</v>
      </c>
      <c r="Q251" s="34">
        <f>SUMIFS(DaybyDay[Service-Actuals],DaybyDay[Date],"&gt;="&amp;$C$5,DaybyDay[RowYear],"&gt;="&amp;$C$4,DaybyDay[Date],"&lt;="&amp;DaybyDay[[#This Row],[Date]])</f>
        <v>0</v>
      </c>
      <c r="R251" s="34">
        <f>SUMIFS(DaybyDay[Retail-Actuals],DaybyDay[Date],"&gt;="&amp;$C$5,DaybyDay[RowYear],"&gt;="&amp;$C$4,DaybyDay[Date],"&lt;="&amp;DaybyDay[[#This Row],[Date]])</f>
        <v>0</v>
      </c>
      <c r="S251" s="35">
        <f>SUMIFS(DaybyDay[Service-LY],DaybyDay[Date],"&gt;="&amp;$C$5,DaybyDay[RowYear],"&gt;="&amp;$C$4,DaybyDay[Date],"&lt;="&amp;DaybyDay[[#This Row],[Date]])</f>
        <v>0</v>
      </c>
      <c r="T251" s="35">
        <f>SUMIFS(DaybyDay[Retail-LY],DaybyDay[Date],"&gt;="&amp;$C$5,DaybyDay[RowYear],"&gt;="&amp;$C$4,DaybyDay[Date],"&lt;="&amp;DaybyDay[[#This Row],[Date]])</f>
        <v>0</v>
      </c>
      <c r="U251" s="32">
        <f>DaybyDay[[#This Row],[Serv-Bud-RU]]+DaybyDay[[#This Row],[Ret-Bud-RU]]</f>
        <v>0</v>
      </c>
      <c r="V251" s="32">
        <f>DaybyDay[[#This Row],[Serv-Act-RU]]+DaybyDay[[#This Row],[Ret-Act-RU]]</f>
        <v>0</v>
      </c>
      <c r="W251" s="36">
        <f>IF(DaybyDay[[#This Row],[_Space]],IFERROR(
((DaybyDay[[#This Row],[Actual-Rollup]]-DaybyDay[[#This Row],[Budget-Rollup]])/DaybyDay[[#This Row],[Budget-Rollup]]),0),"")</f>
        <v>0</v>
      </c>
      <c r="X251" t="b">
        <f>NOT(AND(ISBLANK(DaybyDay[[#This Row],[Appts]]),ISBLANK(DaybyDay[[#This Row],[Service-Actuals]]),ISBLANK(DaybyDay[[#This Row],[Retail-Actuals]])))</f>
        <v>1</v>
      </c>
      <c r="Y251" s="36">
        <f>IF(DaybyDay[[#This Row],[_Space]],IFERROR(
((DaybyDay[[#This Row],[Actual-Rollup]]-DaybyDay[[#This Row],[LY-Rollup]])/DaybyDay[[#This Row],[LY-Rollup]]),0),"")</f>
        <v>0</v>
      </c>
      <c r="Z251"/>
      <c r="AA251" s="37" t="e">
        <f>IF(DaybyDay[[#This Row],[_Space]],DaybyDay[[#This Row],[Ret-Act-RU]]/DaybyDay[[#This Row],[Serv-Act-RU]],"")</f>
        <v>#DIV/0!</v>
      </c>
      <c r="AB251" s="50" t="e">
        <f>IF(DaybyDay[[#This Row],[_Space]],DaybyDay[[#This Row],[RETPEN-Act]]/DaybyDay[[#This Row],[RETPEN-Bud]],"")</f>
        <v>#DIV/0!</v>
      </c>
      <c r="AC251" s="37" t="e">
        <f>IF(DaybyDay[[#This Row],[_Space]],DaybyDay[[#This Row],[Ret-Bud-RU]]/DaybyDay[[#This Row],[Serv-Bud-RU]],"")</f>
        <v>#DIV/0!</v>
      </c>
      <c r="AD251" s="37" t="e">
        <f>IF(DaybyDay[[#This Row],[_Space]],DaybyDay[[#This Row],[Ret-LY-RU]]/DaybyDay[[#This Row],[Serv-LY-RU]],"")</f>
        <v>#DIV/0!</v>
      </c>
      <c r="AE251" s="30">
        <f>WEEKDAY(DaybyDay[[#This Row],[LY-Date]])</f>
        <v>7</v>
      </c>
      <c r="AF251" s="38">
        <f>$E$2+_xlfn.DAYS(DaybyDay[[#This Row],[Date]],minDate)</f>
        <v>42616</v>
      </c>
      <c r="AG251" s="39" t="str" cm="1">
        <f t="array" ref="AG251">IFERROR(INDEX(DaybyDay[],DaybyDay[[#This Row],[FORM_MATCH_HELPER]],8),"")</f>
        <v/>
      </c>
      <c r="AH251" s="39" t="str" cm="1">
        <f t="array" ref="AH251">IFERROR(INDEX(DaybyDay[],DaybyDay[[#This Row],[FORM_MATCH_HELPER]],10),"")</f>
        <v/>
      </c>
      <c r="AI251" s="39" t="str" cm="1">
        <f t="array" ref="AI251">IFERROR(INDEX(DaybyDay[],DaybyDay[[#This Row],[FORM_MATCH_HELPER]],12),"")</f>
        <v/>
      </c>
      <c r="AJ251" s="32">
        <f>IFERROR(DaybyDay[[#This Row],[Serv-LY-RU]]+DaybyDay[[#This Row],[Ret-LY-RU]],"")</f>
        <v>0</v>
      </c>
      <c r="AK2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1" s="77"/>
      <c r="AM251" s="40" t="str">
        <f>IF(DaybyDay[[#This Row],[Admin Hours]]&gt;0,DaybyDay[[#This Row],[Admin Hours]]*$AM$2+$AM$3,"")</f>
        <v/>
      </c>
      <c r="AN251" s="40">
        <f>SUMIFS(DaybyDay[Est-Admin-Payroll],DaybyDay[Date],"&gt;="&amp;$C$5,DaybyDay[RowYear],"&gt;="&amp;$C$4,DaybyDay[Date],"&lt;="&amp;DaybyDay[[#This Row],[Date]])</f>
        <v>0</v>
      </c>
      <c r="AO251" s="41" t="str">
        <f>IF(AND(DaybyDay[[#This Row],[_Space]],ISNUMBER(DaybyDay[[#This Row],[Admin Hours]])),DaybyDay[[#This Row],[Est-Admin-Payroll]]/(DaybyDay[[#This Row],[Service-Actuals]]+DaybyDay[[#This Row],[Retail-Actuals]]),"")</f>
        <v/>
      </c>
      <c r="AP251" s="41" t="e">
        <f>DaybyDay[[#This Row],[Estimated-Payroll-Rollup]]/DaybyDay[[#This Row],[Simple-Forecast]]</f>
        <v>#DIV/0!</v>
      </c>
      <c r="AQ2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1" s="77"/>
      <c r="AS251" s="40" t="str">
        <f>IF(DaybyDay[[#This Row],[Retail Hours]]&gt;0,DaybyDay[[#This Row],[Retail Hours]]*$AS$2,"")</f>
        <v/>
      </c>
      <c r="AT251" s="40">
        <f>SUMIFS(DaybyDay[Est-Retail-Payroll],DaybyDay[Date],"&gt;="&amp;$C$5,DaybyDay[RowYear],"&gt;="&amp;$C$4,DaybyDay[Date],"&lt;="&amp;DaybyDay[[#This Row],[Date]])</f>
        <v>0</v>
      </c>
      <c r="AU251" s="82" t="str">
        <f>IF(AND(DaybyDay[[#This Row],[_Space]],ISNUMBER(DaybyDay[[#This Row],[Retail Hours]])),DaybyDay[[#This Row],[Est-Retail-Payroll]]/(DaybyDay[[#This Row],[Retail-Actuals]]),"")</f>
        <v/>
      </c>
      <c r="AV251" s="82" t="e">
        <f>DaybyDay[[#This Row],[Est-Retail-PayrollRU]]/DaybyDay[[#This Row],[Simple-Forecast-Retail]]</f>
        <v>#DIV/0!</v>
      </c>
      <c r="AW251" s="8"/>
    </row>
    <row r="252" spans="3:49" hidden="1" x14ac:dyDescent="0.25">
      <c r="C252" s="26" t="str">
        <f>Tools!$C$1</f>
        <v>Example</v>
      </c>
      <c r="D252" s="27" t="s">
        <v>76</v>
      </c>
      <c r="E252" s="28">
        <v>2017</v>
      </c>
      <c r="F252" s="28">
        <f>MATCH(DaybyDay[[#This Row],[RowMonth]],Table3[SummaryMonth],0)</f>
        <v>9</v>
      </c>
      <c r="G252" s="29" t="e">
        <f>MATCH(DaybyDay[[#This Row],[LY-Date]],DaybyDay[Date],0)</f>
        <v>#N/A</v>
      </c>
      <c r="H252" s="30">
        <f>WEEKDAY(DaybyDay[[#This Row],[Date]])</f>
        <v>1</v>
      </c>
      <c r="I252" s="31">
        <v>42981</v>
      </c>
      <c r="J252" s="74">
        <v>18</v>
      </c>
      <c r="K252" s="32">
        <f>SUMIFS(BudgetSeasonality[365 Seasonality],BudgetSeasonality[MonthAdjustment],DaybyDay[[#This Row],[Date]])*SUMIFS(Budgets[Service-Budget],Budgets[BudgetMonth],DaybyDay[[#This Row],[RowMonth]],Budgets[BudgetYear],DaybyDay[[#This Row],[RowYear]])</f>
        <v>0</v>
      </c>
      <c r="L252" s="75">
        <v>3372</v>
      </c>
      <c r="M252" s="32">
        <f>INDEX(BudgetSeasonality[365 Seasonality],MATCH(DaybyDay[[#This Row],[Date]],BudgetSeasonality[MonthAdjustment],0))*SUMIFS(Budgets[Retail-Budget],Budgets[BudgetMonth],DaybyDay[[#This Row],[RowMonth]],Budgets[BudgetYear],DaybyDay[[#This Row],[RowYear]])</f>
        <v>0</v>
      </c>
      <c r="N252" s="75">
        <v>3599</v>
      </c>
      <c r="O252" s="33">
        <f>SUMIFS(DaybyDay[Service-Budgets],DaybyDay[Date],"&gt;="&amp;$C$5,DaybyDay[RowYear],"&gt;="&amp;$C$4,DaybyDay[Date],"&lt;="&amp;DaybyDay[[#This Row],[Date]])</f>
        <v>0</v>
      </c>
      <c r="P252" s="33">
        <f>SUMIFS(DaybyDay[Retail-Budgets],DaybyDay[Date],"&gt;="&amp;$C$5,DaybyDay[RowYear],"&gt;="&amp;$C$4,DaybyDay[Date],"&lt;="&amp;DaybyDay[[#This Row],[Date]])</f>
        <v>0</v>
      </c>
      <c r="Q252" s="34">
        <f>SUMIFS(DaybyDay[Service-Actuals],DaybyDay[Date],"&gt;="&amp;$C$5,DaybyDay[RowYear],"&gt;="&amp;$C$4,DaybyDay[Date],"&lt;="&amp;DaybyDay[[#This Row],[Date]])</f>
        <v>0</v>
      </c>
      <c r="R252" s="34">
        <f>SUMIFS(DaybyDay[Retail-Actuals],DaybyDay[Date],"&gt;="&amp;$C$5,DaybyDay[RowYear],"&gt;="&amp;$C$4,DaybyDay[Date],"&lt;="&amp;DaybyDay[[#This Row],[Date]])</f>
        <v>0</v>
      </c>
      <c r="S252" s="35">
        <f>SUMIFS(DaybyDay[Service-LY],DaybyDay[Date],"&gt;="&amp;$C$5,DaybyDay[RowYear],"&gt;="&amp;$C$4,DaybyDay[Date],"&lt;="&amp;DaybyDay[[#This Row],[Date]])</f>
        <v>0</v>
      </c>
      <c r="T252" s="35">
        <f>SUMIFS(DaybyDay[Retail-LY],DaybyDay[Date],"&gt;="&amp;$C$5,DaybyDay[RowYear],"&gt;="&amp;$C$4,DaybyDay[Date],"&lt;="&amp;DaybyDay[[#This Row],[Date]])</f>
        <v>0</v>
      </c>
      <c r="U252" s="32">
        <f>DaybyDay[[#This Row],[Serv-Bud-RU]]+DaybyDay[[#This Row],[Ret-Bud-RU]]</f>
        <v>0</v>
      </c>
      <c r="V252" s="32">
        <f>DaybyDay[[#This Row],[Serv-Act-RU]]+DaybyDay[[#This Row],[Ret-Act-RU]]</f>
        <v>0</v>
      </c>
      <c r="W252" s="36">
        <f>IF(DaybyDay[[#This Row],[_Space]],IFERROR(
((DaybyDay[[#This Row],[Actual-Rollup]]-DaybyDay[[#This Row],[Budget-Rollup]])/DaybyDay[[#This Row],[Budget-Rollup]]),0),"")</f>
        <v>0</v>
      </c>
      <c r="X252" t="b">
        <f>NOT(AND(ISBLANK(DaybyDay[[#This Row],[Appts]]),ISBLANK(DaybyDay[[#This Row],[Service-Actuals]]),ISBLANK(DaybyDay[[#This Row],[Retail-Actuals]])))</f>
        <v>1</v>
      </c>
      <c r="Y252" s="36">
        <f>IF(DaybyDay[[#This Row],[_Space]],IFERROR(
((DaybyDay[[#This Row],[Actual-Rollup]]-DaybyDay[[#This Row],[LY-Rollup]])/DaybyDay[[#This Row],[LY-Rollup]]),0),"")</f>
        <v>0</v>
      </c>
      <c r="Z252"/>
      <c r="AA252" s="37" t="e">
        <f>IF(DaybyDay[[#This Row],[_Space]],DaybyDay[[#This Row],[Ret-Act-RU]]/DaybyDay[[#This Row],[Serv-Act-RU]],"")</f>
        <v>#DIV/0!</v>
      </c>
      <c r="AB252" s="50" t="e">
        <f>IF(DaybyDay[[#This Row],[_Space]],DaybyDay[[#This Row],[RETPEN-Act]]/DaybyDay[[#This Row],[RETPEN-Bud]],"")</f>
        <v>#DIV/0!</v>
      </c>
      <c r="AC252" s="37" t="e">
        <f>IF(DaybyDay[[#This Row],[_Space]],DaybyDay[[#This Row],[Ret-Bud-RU]]/DaybyDay[[#This Row],[Serv-Bud-RU]],"")</f>
        <v>#DIV/0!</v>
      </c>
      <c r="AD252" s="37" t="e">
        <f>IF(DaybyDay[[#This Row],[_Space]],DaybyDay[[#This Row],[Ret-LY-RU]]/DaybyDay[[#This Row],[Serv-LY-RU]],"")</f>
        <v>#DIV/0!</v>
      </c>
      <c r="AE252" s="30">
        <f>WEEKDAY(DaybyDay[[#This Row],[LY-Date]])</f>
        <v>1</v>
      </c>
      <c r="AF252" s="38">
        <f>$E$2+_xlfn.DAYS(DaybyDay[[#This Row],[Date]],minDate)</f>
        <v>42617</v>
      </c>
      <c r="AG252" s="39" t="str" cm="1">
        <f t="array" ref="AG252">IFERROR(INDEX(DaybyDay[],DaybyDay[[#This Row],[FORM_MATCH_HELPER]],8),"")</f>
        <v/>
      </c>
      <c r="AH252" s="39" t="str" cm="1">
        <f t="array" ref="AH252">IFERROR(INDEX(DaybyDay[],DaybyDay[[#This Row],[FORM_MATCH_HELPER]],10),"")</f>
        <v/>
      </c>
      <c r="AI252" s="39" t="str" cm="1">
        <f t="array" ref="AI252">IFERROR(INDEX(DaybyDay[],DaybyDay[[#This Row],[FORM_MATCH_HELPER]],12),"")</f>
        <v/>
      </c>
      <c r="AJ252" s="32">
        <f>IFERROR(DaybyDay[[#This Row],[Serv-LY-RU]]+DaybyDay[[#This Row],[Ret-LY-RU]],"")</f>
        <v>0</v>
      </c>
      <c r="AK2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2" s="77"/>
      <c r="AM252" s="40" t="str">
        <f>IF(DaybyDay[[#This Row],[Admin Hours]]&gt;0,DaybyDay[[#This Row],[Admin Hours]]*$AM$2+$AM$3,"")</f>
        <v/>
      </c>
      <c r="AN252" s="40">
        <f>SUMIFS(DaybyDay[Est-Admin-Payroll],DaybyDay[Date],"&gt;="&amp;$C$5,DaybyDay[RowYear],"&gt;="&amp;$C$4,DaybyDay[Date],"&lt;="&amp;DaybyDay[[#This Row],[Date]])</f>
        <v>0</v>
      </c>
      <c r="AO252" s="41" t="str">
        <f>IF(AND(DaybyDay[[#This Row],[_Space]],ISNUMBER(DaybyDay[[#This Row],[Admin Hours]])),DaybyDay[[#This Row],[Est-Admin-Payroll]]/(DaybyDay[[#This Row],[Service-Actuals]]+DaybyDay[[#This Row],[Retail-Actuals]]),"")</f>
        <v/>
      </c>
      <c r="AP252" s="41" t="e">
        <f>DaybyDay[[#This Row],[Estimated-Payroll-Rollup]]/DaybyDay[[#This Row],[Simple-Forecast]]</f>
        <v>#DIV/0!</v>
      </c>
      <c r="AQ2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2" s="77"/>
      <c r="AS252" s="40" t="str">
        <f>IF(DaybyDay[[#This Row],[Retail Hours]]&gt;0,DaybyDay[[#This Row],[Retail Hours]]*$AS$2,"")</f>
        <v/>
      </c>
      <c r="AT252" s="40">
        <f>SUMIFS(DaybyDay[Est-Retail-Payroll],DaybyDay[Date],"&gt;="&amp;$C$5,DaybyDay[RowYear],"&gt;="&amp;$C$4,DaybyDay[Date],"&lt;="&amp;DaybyDay[[#This Row],[Date]])</f>
        <v>0</v>
      </c>
      <c r="AU252" s="82" t="str">
        <f>IF(AND(DaybyDay[[#This Row],[_Space]],ISNUMBER(DaybyDay[[#This Row],[Retail Hours]])),DaybyDay[[#This Row],[Est-Retail-Payroll]]/(DaybyDay[[#This Row],[Retail-Actuals]]),"")</f>
        <v/>
      </c>
      <c r="AV252" s="82" t="e">
        <f>DaybyDay[[#This Row],[Est-Retail-PayrollRU]]/DaybyDay[[#This Row],[Simple-Forecast-Retail]]</f>
        <v>#DIV/0!</v>
      </c>
      <c r="AW252" s="8"/>
    </row>
    <row r="253" spans="3:49" hidden="1" x14ac:dyDescent="0.25">
      <c r="C253" s="26" t="str">
        <f>Tools!$C$1</f>
        <v>Example</v>
      </c>
      <c r="D253" s="27" t="s">
        <v>76</v>
      </c>
      <c r="E253" s="28">
        <v>2017</v>
      </c>
      <c r="F253" s="28">
        <f>MATCH(DaybyDay[[#This Row],[RowMonth]],Table3[SummaryMonth],0)</f>
        <v>9</v>
      </c>
      <c r="G253" s="29" t="e">
        <f>MATCH(DaybyDay[[#This Row],[LY-Date]],DaybyDay[Date],0)</f>
        <v>#N/A</v>
      </c>
      <c r="H253" s="30">
        <f>WEEKDAY(DaybyDay[[#This Row],[Date]])</f>
        <v>2</v>
      </c>
      <c r="I253" s="31">
        <v>42982</v>
      </c>
      <c r="J253" s="74">
        <v>15</v>
      </c>
      <c r="K253" s="32">
        <f>SUMIFS(BudgetSeasonality[365 Seasonality],BudgetSeasonality[MonthAdjustment],DaybyDay[[#This Row],[Date]])*SUMIFS(Budgets[Service-Budget],Budgets[BudgetMonth],DaybyDay[[#This Row],[RowMonth]],Budgets[BudgetYear],DaybyDay[[#This Row],[RowYear]])</f>
        <v>0</v>
      </c>
      <c r="L253" s="75">
        <v>4783.2</v>
      </c>
      <c r="M253" s="32">
        <f>INDEX(BudgetSeasonality[365 Seasonality],MATCH(DaybyDay[[#This Row],[Date]],BudgetSeasonality[MonthAdjustment],0))*SUMIFS(Budgets[Retail-Budget],Budgets[BudgetMonth],DaybyDay[[#This Row],[RowMonth]],Budgets[BudgetYear],DaybyDay[[#This Row],[RowYear]])</f>
        <v>0</v>
      </c>
      <c r="N253" s="75">
        <v>1524</v>
      </c>
      <c r="O253" s="33">
        <f>SUMIFS(DaybyDay[Service-Budgets],DaybyDay[Date],"&gt;="&amp;$C$5,DaybyDay[RowYear],"&gt;="&amp;$C$4,DaybyDay[Date],"&lt;="&amp;DaybyDay[[#This Row],[Date]])</f>
        <v>0</v>
      </c>
      <c r="P253" s="33">
        <f>SUMIFS(DaybyDay[Retail-Budgets],DaybyDay[Date],"&gt;="&amp;$C$5,DaybyDay[RowYear],"&gt;="&amp;$C$4,DaybyDay[Date],"&lt;="&amp;DaybyDay[[#This Row],[Date]])</f>
        <v>0</v>
      </c>
      <c r="Q253" s="34">
        <f>SUMIFS(DaybyDay[Service-Actuals],DaybyDay[Date],"&gt;="&amp;$C$5,DaybyDay[RowYear],"&gt;="&amp;$C$4,DaybyDay[Date],"&lt;="&amp;DaybyDay[[#This Row],[Date]])</f>
        <v>0</v>
      </c>
      <c r="R253" s="34">
        <f>SUMIFS(DaybyDay[Retail-Actuals],DaybyDay[Date],"&gt;="&amp;$C$5,DaybyDay[RowYear],"&gt;="&amp;$C$4,DaybyDay[Date],"&lt;="&amp;DaybyDay[[#This Row],[Date]])</f>
        <v>0</v>
      </c>
      <c r="S253" s="35">
        <f>SUMIFS(DaybyDay[Service-LY],DaybyDay[Date],"&gt;="&amp;$C$5,DaybyDay[RowYear],"&gt;="&amp;$C$4,DaybyDay[Date],"&lt;="&amp;DaybyDay[[#This Row],[Date]])</f>
        <v>0</v>
      </c>
      <c r="T253" s="35">
        <f>SUMIFS(DaybyDay[Retail-LY],DaybyDay[Date],"&gt;="&amp;$C$5,DaybyDay[RowYear],"&gt;="&amp;$C$4,DaybyDay[Date],"&lt;="&amp;DaybyDay[[#This Row],[Date]])</f>
        <v>0</v>
      </c>
      <c r="U253" s="32">
        <f>DaybyDay[[#This Row],[Serv-Bud-RU]]+DaybyDay[[#This Row],[Ret-Bud-RU]]</f>
        <v>0</v>
      </c>
      <c r="V253" s="32">
        <f>DaybyDay[[#This Row],[Serv-Act-RU]]+DaybyDay[[#This Row],[Ret-Act-RU]]</f>
        <v>0</v>
      </c>
      <c r="W253" s="36">
        <f>IF(DaybyDay[[#This Row],[_Space]],IFERROR(
((DaybyDay[[#This Row],[Actual-Rollup]]-DaybyDay[[#This Row],[Budget-Rollup]])/DaybyDay[[#This Row],[Budget-Rollup]]),0),"")</f>
        <v>0</v>
      </c>
      <c r="X253" t="b">
        <f>NOT(AND(ISBLANK(DaybyDay[[#This Row],[Appts]]),ISBLANK(DaybyDay[[#This Row],[Service-Actuals]]),ISBLANK(DaybyDay[[#This Row],[Retail-Actuals]])))</f>
        <v>1</v>
      </c>
      <c r="Y253" s="36">
        <f>IF(DaybyDay[[#This Row],[_Space]],IFERROR(
((DaybyDay[[#This Row],[Actual-Rollup]]-DaybyDay[[#This Row],[LY-Rollup]])/DaybyDay[[#This Row],[LY-Rollup]]),0),"")</f>
        <v>0</v>
      </c>
      <c r="Z253"/>
      <c r="AA253" s="37" t="e">
        <f>IF(DaybyDay[[#This Row],[_Space]],DaybyDay[[#This Row],[Ret-Act-RU]]/DaybyDay[[#This Row],[Serv-Act-RU]],"")</f>
        <v>#DIV/0!</v>
      </c>
      <c r="AB253" s="50" t="e">
        <f>IF(DaybyDay[[#This Row],[_Space]],DaybyDay[[#This Row],[RETPEN-Act]]/DaybyDay[[#This Row],[RETPEN-Bud]],"")</f>
        <v>#DIV/0!</v>
      </c>
      <c r="AC253" s="37" t="e">
        <f>IF(DaybyDay[[#This Row],[_Space]],DaybyDay[[#This Row],[Ret-Bud-RU]]/DaybyDay[[#This Row],[Serv-Bud-RU]],"")</f>
        <v>#DIV/0!</v>
      </c>
      <c r="AD253" s="37" t="e">
        <f>IF(DaybyDay[[#This Row],[_Space]],DaybyDay[[#This Row],[Ret-LY-RU]]/DaybyDay[[#This Row],[Serv-LY-RU]],"")</f>
        <v>#DIV/0!</v>
      </c>
      <c r="AE253" s="30">
        <f>WEEKDAY(DaybyDay[[#This Row],[LY-Date]])</f>
        <v>2</v>
      </c>
      <c r="AF253" s="38">
        <f>$E$2+_xlfn.DAYS(DaybyDay[[#This Row],[Date]],minDate)</f>
        <v>42618</v>
      </c>
      <c r="AG253" s="39" t="str" cm="1">
        <f t="array" ref="AG253">IFERROR(INDEX(DaybyDay[],DaybyDay[[#This Row],[FORM_MATCH_HELPER]],8),"")</f>
        <v/>
      </c>
      <c r="AH253" s="39" t="str" cm="1">
        <f t="array" ref="AH253">IFERROR(INDEX(DaybyDay[],DaybyDay[[#This Row],[FORM_MATCH_HELPER]],10),"")</f>
        <v/>
      </c>
      <c r="AI253" s="39" t="str" cm="1">
        <f t="array" ref="AI253">IFERROR(INDEX(DaybyDay[],DaybyDay[[#This Row],[FORM_MATCH_HELPER]],12),"")</f>
        <v/>
      </c>
      <c r="AJ253" s="32">
        <f>IFERROR(DaybyDay[[#This Row],[Serv-LY-RU]]+DaybyDay[[#This Row],[Ret-LY-RU]],"")</f>
        <v>0</v>
      </c>
      <c r="AK2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3" s="77"/>
      <c r="AM253" s="40" t="str">
        <f>IF(DaybyDay[[#This Row],[Admin Hours]]&gt;0,DaybyDay[[#This Row],[Admin Hours]]*$AM$2+$AM$3,"")</f>
        <v/>
      </c>
      <c r="AN253" s="40">
        <f>SUMIFS(DaybyDay[Est-Admin-Payroll],DaybyDay[Date],"&gt;="&amp;$C$5,DaybyDay[RowYear],"&gt;="&amp;$C$4,DaybyDay[Date],"&lt;="&amp;DaybyDay[[#This Row],[Date]])</f>
        <v>0</v>
      </c>
      <c r="AO253" s="41" t="str">
        <f>IF(AND(DaybyDay[[#This Row],[_Space]],ISNUMBER(DaybyDay[[#This Row],[Admin Hours]])),DaybyDay[[#This Row],[Est-Admin-Payroll]]/(DaybyDay[[#This Row],[Service-Actuals]]+DaybyDay[[#This Row],[Retail-Actuals]]),"")</f>
        <v/>
      </c>
      <c r="AP253" s="41" t="e">
        <f>DaybyDay[[#This Row],[Estimated-Payroll-Rollup]]/DaybyDay[[#This Row],[Simple-Forecast]]</f>
        <v>#DIV/0!</v>
      </c>
      <c r="AQ2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3" s="77"/>
      <c r="AS253" s="40" t="str">
        <f>IF(DaybyDay[[#This Row],[Retail Hours]]&gt;0,DaybyDay[[#This Row],[Retail Hours]]*$AS$2,"")</f>
        <v/>
      </c>
      <c r="AT253" s="40">
        <f>SUMIFS(DaybyDay[Est-Retail-Payroll],DaybyDay[Date],"&gt;="&amp;$C$5,DaybyDay[RowYear],"&gt;="&amp;$C$4,DaybyDay[Date],"&lt;="&amp;DaybyDay[[#This Row],[Date]])</f>
        <v>0</v>
      </c>
      <c r="AU253" s="82" t="str">
        <f>IF(AND(DaybyDay[[#This Row],[_Space]],ISNUMBER(DaybyDay[[#This Row],[Retail Hours]])),DaybyDay[[#This Row],[Est-Retail-Payroll]]/(DaybyDay[[#This Row],[Retail-Actuals]]),"")</f>
        <v/>
      </c>
      <c r="AV253" s="82" t="e">
        <f>DaybyDay[[#This Row],[Est-Retail-PayrollRU]]/DaybyDay[[#This Row],[Simple-Forecast-Retail]]</f>
        <v>#DIV/0!</v>
      </c>
      <c r="AW253" s="8"/>
    </row>
    <row r="254" spans="3:49" hidden="1" x14ac:dyDescent="0.25">
      <c r="C254" s="26" t="str">
        <f>Tools!$C$1</f>
        <v>Example</v>
      </c>
      <c r="D254" s="27" t="s">
        <v>76</v>
      </c>
      <c r="E254" s="28">
        <v>2017</v>
      </c>
      <c r="F254" s="28">
        <f>MATCH(DaybyDay[[#This Row],[RowMonth]],Table3[SummaryMonth],0)</f>
        <v>9</v>
      </c>
      <c r="G254" s="29" t="e">
        <f>MATCH(DaybyDay[[#This Row],[LY-Date]],DaybyDay[Date],0)</f>
        <v>#N/A</v>
      </c>
      <c r="H254" s="30">
        <f>WEEKDAY(DaybyDay[[#This Row],[Date]])</f>
        <v>3</v>
      </c>
      <c r="I254" s="31">
        <v>42983</v>
      </c>
      <c r="J254" s="74">
        <v>18</v>
      </c>
      <c r="K254" s="32">
        <f>SUMIFS(BudgetSeasonality[365 Seasonality],BudgetSeasonality[MonthAdjustment],DaybyDay[[#This Row],[Date]])*SUMIFS(Budgets[Service-Budget],Budgets[BudgetMonth],DaybyDay[[#This Row],[RowMonth]],Budgets[BudgetYear],DaybyDay[[#This Row],[RowYear]])</f>
        <v>0</v>
      </c>
      <c r="L254" s="75">
        <v>3616</v>
      </c>
      <c r="M254" s="32">
        <f>INDEX(BudgetSeasonality[365 Seasonality],MATCH(DaybyDay[[#This Row],[Date]],BudgetSeasonality[MonthAdjustment],0))*SUMIFS(Budgets[Retail-Budget],Budgets[BudgetMonth],DaybyDay[[#This Row],[RowMonth]],Budgets[BudgetYear],DaybyDay[[#This Row],[RowYear]])</f>
        <v>0</v>
      </c>
      <c r="N254" s="75">
        <v>3354.75</v>
      </c>
      <c r="O254" s="33">
        <f>SUMIFS(DaybyDay[Service-Budgets],DaybyDay[Date],"&gt;="&amp;$C$5,DaybyDay[RowYear],"&gt;="&amp;$C$4,DaybyDay[Date],"&lt;="&amp;DaybyDay[[#This Row],[Date]])</f>
        <v>0</v>
      </c>
      <c r="P254" s="33">
        <f>SUMIFS(DaybyDay[Retail-Budgets],DaybyDay[Date],"&gt;="&amp;$C$5,DaybyDay[RowYear],"&gt;="&amp;$C$4,DaybyDay[Date],"&lt;="&amp;DaybyDay[[#This Row],[Date]])</f>
        <v>0</v>
      </c>
      <c r="Q254" s="34">
        <f>SUMIFS(DaybyDay[Service-Actuals],DaybyDay[Date],"&gt;="&amp;$C$5,DaybyDay[RowYear],"&gt;="&amp;$C$4,DaybyDay[Date],"&lt;="&amp;DaybyDay[[#This Row],[Date]])</f>
        <v>0</v>
      </c>
      <c r="R254" s="34">
        <f>SUMIFS(DaybyDay[Retail-Actuals],DaybyDay[Date],"&gt;="&amp;$C$5,DaybyDay[RowYear],"&gt;="&amp;$C$4,DaybyDay[Date],"&lt;="&amp;DaybyDay[[#This Row],[Date]])</f>
        <v>0</v>
      </c>
      <c r="S254" s="35">
        <f>SUMIFS(DaybyDay[Service-LY],DaybyDay[Date],"&gt;="&amp;$C$5,DaybyDay[RowYear],"&gt;="&amp;$C$4,DaybyDay[Date],"&lt;="&amp;DaybyDay[[#This Row],[Date]])</f>
        <v>0</v>
      </c>
      <c r="T254" s="35">
        <f>SUMIFS(DaybyDay[Retail-LY],DaybyDay[Date],"&gt;="&amp;$C$5,DaybyDay[RowYear],"&gt;="&amp;$C$4,DaybyDay[Date],"&lt;="&amp;DaybyDay[[#This Row],[Date]])</f>
        <v>0</v>
      </c>
      <c r="U254" s="32">
        <f>DaybyDay[[#This Row],[Serv-Bud-RU]]+DaybyDay[[#This Row],[Ret-Bud-RU]]</f>
        <v>0</v>
      </c>
      <c r="V254" s="32">
        <f>DaybyDay[[#This Row],[Serv-Act-RU]]+DaybyDay[[#This Row],[Ret-Act-RU]]</f>
        <v>0</v>
      </c>
      <c r="W254" s="36">
        <f>IF(DaybyDay[[#This Row],[_Space]],IFERROR(
((DaybyDay[[#This Row],[Actual-Rollup]]-DaybyDay[[#This Row],[Budget-Rollup]])/DaybyDay[[#This Row],[Budget-Rollup]]),0),"")</f>
        <v>0</v>
      </c>
      <c r="X254" t="b">
        <f>NOT(AND(ISBLANK(DaybyDay[[#This Row],[Appts]]),ISBLANK(DaybyDay[[#This Row],[Service-Actuals]]),ISBLANK(DaybyDay[[#This Row],[Retail-Actuals]])))</f>
        <v>1</v>
      </c>
      <c r="Y254" s="36">
        <f>IF(DaybyDay[[#This Row],[_Space]],IFERROR(
((DaybyDay[[#This Row],[Actual-Rollup]]-DaybyDay[[#This Row],[LY-Rollup]])/DaybyDay[[#This Row],[LY-Rollup]]),0),"")</f>
        <v>0</v>
      </c>
      <c r="Z254"/>
      <c r="AA254" s="37" t="e">
        <f>IF(DaybyDay[[#This Row],[_Space]],DaybyDay[[#This Row],[Ret-Act-RU]]/DaybyDay[[#This Row],[Serv-Act-RU]],"")</f>
        <v>#DIV/0!</v>
      </c>
      <c r="AB254" s="50" t="e">
        <f>IF(DaybyDay[[#This Row],[_Space]],DaybyDay[[#This Row],[RETPEN-Act]]/DaybyDay[[#This Row],[RETPEN-Bud]],"")</f>
        <v>#DIV/0!</v>
      </c>
      <c r="AC254" s="37" t="e">
        <f>IF(DaybyDay[[#This Row],[_Space]],DaybyDay[[#This Row],[Ret-Bud-RU]]/DaybyDay[[#This Row],[Serv-Bud-RU]],"")</f>
        <v>#DIV/0!</v>
      </c>
      <c r="AD254" s="37" t="e">
        <f>IF(DaybyDay[[#This Row],[_Space]],DaybyDay[[#This Row],[Ret-LY-RU]]/DaybyDay[[#This Row],[Serv-LY-RU]],"")</f>
        <v>#DIV/0!</v>
      </c>
      <c r="AE254" s="30">
        <f>WEEKDAY(DaybyDay[[#This Row],[LY-Date]])</f>
        <v>3</v>
      </c>
      <c r="AF254" s="38">
        <f>$E$2+_xlfn.DAYS(DaybyDay[[#This Row],[Date]],minDate)</f>
        <v>42619</v>
      </c>
      <c r="AG254" s="39" t="str" cm="1">
        <f t="array" ref="AG254">IFERROR(INDEX(DaybyDay[],DaybyDay[[#This Row],[FORM_MATCH_HELPER]],8),"")</f>
        <v/>
      </c>
      <c r="AH254" s="39" t="str" cm="1">
        <f t="array" ref="AH254">IFERROR(INDEX(DaybyDay[],DaybyDay[[#This Row],[FORM_MATCH_HELPER]],10),"")</f>
        <v/>
      </c>
      <c r="AI254" s="39" t="str" cm="1">
        <f t="array" ref="AI254">IFERROR(INDEX(DaybyDay[],DaybyDay[[#This Row],[FORM_MATCH_HELPER]],12),"")</f>
        <v/>
      </c>
      <c r="AJ254" s="32">
        <f>IFERROR(DaybyDay[[#This Row],[Serv-LY-RU]]+DaybyDay[[#This Row],[Ret-LY-RU]],"")</f>
        <v>0</v>
      </c>
      <c r="AK2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4" s="77"/>
      <c r="AM254" s="40" t="str">
        <f>IF(DaybyDay[[#This Row],[Admin Hours]]&gt;0,DaybyDay[[#This Row],[Admin Hours]]*$AM$2+$AM$3,"")</f>
        <v/>
      </c>
      <c r="AN254" s="40">
        <f>SUMIFS(DaybyDay[Est-Admin-Payroll],DaybyDay[Date],"&gt;="&amp;$C$5,DaybyDay[RowYear],"&gt;="&amp;$C$4,DaybyDay[Date],"&lt;="&amp;DaybyDay[[#This Row],[Date]])</f>
        <v>0</v>
      </c>
      <c r="AO254" s="41" t="str">
        <f>IF(AND(DaybyDay[[#This Row],[_Space]],ISNUMBER(DaybyDay[[#This Row],[Admin Hours]])),DaybyDay[[#This Row],[Est-Admin-Payroll]]/(DaybyDay[[#This Row],[Service-Actuals]]+DaybyDay[[#This Row],[Retail-Actuals]]),"")</f>
        <v/>
      </c>
      <c r="AP254" s="41" t="e">
        <f>DaybyDay[[#This Row],[Estimated-Payroll-Rollup]]/DaybyDay[[#This Row],[Simple-Forecast]]</f>
        <v>#DIV/0!</v>
      </c>
      <c r="AQ2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4" s="77"/>
      <c r="AS254" s="40" t="str">
        <f>IF(DaybyDay[[#This Row],[Retail Hours]]&gt;0,DaybyDay[[#This Row],[Retail Hours]]*$AS$2,"")</f>
        <v/>
      </c>
      <c r="AT254" s="40">
        <f>SUMIFS(DaybyDay[Est-Retail-Payroll],DaybyDay[Date],"&gt;="&amp;$C$5,DaybyDay[RowYear],"&gt;="&amp;$C$4,DaybyDay[Date],"&lt;="&amp;DaybyDay[[#This Row],[Date]])</f>
        <v>0</v>
      </c>
      <c r="AU254" s="82" t="str">
        <f>IF(AND(DaybyDay[[#This Row],[_Space]],ISNUMBER(DaybyDay[[#This Row],[Retail Hours]])),DaybyDay[[#This Row],[Est-Retail-Payroll]]/(DaybyDay[[#This Row],[Retail-Actuals]]),"")</f>
        <v/>
      </c>
      <c r="AV254" s="82" t="e">
        <f>DaybyDay[[#This Row],[Est-Retail-PayrollRU]]/DaybyDay[[#This Row],[Simple-Forecast-Retail]]</f>
        <v>#DIV/0!</v>
      </c>
      <c r="AW254" s="8"/>
    </row>
    <row r="255" spans="3:49" hidden="1" x14ac:dyDescent="0.25">
      <c r="C255" s="26" t="str">
        <f>Tools!$C$1</f>
        <v>Example</v>
      </c>
      <c r="D255" s="27" t="s">
        <v>76</v>
      </c>
      <c r="E255" s="28">
        <v>2017</v>
      </c>
      <c r="F255" s="28">
        <f>MATCH(DaybyDay[[#This Row],[RowMonth]],Table3[SummaryMonth],0)</f>
        <v>9</v>
      </c>
      <c r="G255" s="29" t="e">
        <f>MATCH(DaybyDay[[#This Row],[LY-Date]],DaybyDay[Date],0)</f>
        <v>#N/A</v>
      </c>
      <c r="H255" s="30">
        <f>WEEKDAY(DaybyDay[[#This Row],[Date]])</f>
        <v>4</v>
      </c>
      <c r="I255" s="31">
        <v>42984</v>
      </c>
      <c r="J255" s="74">
        <v>11</v>
      </c>
      <c r="K255" s="32">
        <f>SUMIFS(BudgetSeasonality[365 Seasonality],BudgetSeasonality[MonthAdjustment],DaybyDay[[#This Row],[Date]])*SUMIFS(Budgets[Service-Budget],Budgets[BudgetMonth],DaybyDay[[#This Row],[RowMonth]],Budgets[BudgetYear],DaybyDay[[#This Row],[RowYear]])</f>
        <v>0</v>
      </c>
      <c r="L255" s="75">
        <v>2386.1999999999998</v>
      </c>
      <c r="M255" s="32">
        <f>INDEX(BudgetSeasonality[365 Seasonality],MATCH(DaybyDay[[#This Row],[Date]],BudgetSeasonality[MonthAdjustment],0))*SUMIFS(Budgets[Retail-Budget],Budgets[BudgetMonth],DaybyDay[[#This Row],[RowMonth]],Budgets[BudgetYear],DaybyDay[[#This Row],[RowYear]])</f>
        <v>0</v>
      </c>
      <c r="N255" s="75">
        <v>98</v>
      </c>
      <c r="O255" s="33">
        <f>SUMIFS(DaybyDay[Service-Budgets],DaybyDay[Date],"&gt;="&amp;$C$5,DaybyDay[RowYear],"&gt;="&amp;$C$4,DaybyDay[Date],"&lt;="&amp;DaybyDay[[#This Row],[Date]])</f>
        <v>0</v>
      </c>
      <c r="P255" s="33">
        <f>SUMIFS(DaybyDay[Retail-Budgets],DaybyDay[Date],"&gt;="&amp;$C$5,DaybyDay[RowYear],"&gt;="&amp;$C$4,DaybyDay[Date],"&lt;="&amp;DaybyDay[[#This Row],[Date]])</f>
        <v>0</v>
      </c>
      <c r="Q255" s="34">
        <f>SUMIFS(DaybyDay[Service-Actuals],DaybyDay[Date],"&gt;="&amp;$C$5,DaybyDay[RowYear],"&gt;="&amp;$C$4,DaybyDay[Date],"&lt;="&amp;DaybyDay[[#This Row],[Date]])</f>
        <v>0</v>
      </c>
      <c r="R255" s="34">
        <f>SUMIFS(DaybyDay[Retail-Actuals],DaybyDay[Date],"&gt;="&amp;$C$5,DaybyDay[RowYear],"&gt;="&amp;$C$4,DaybyDay[Date],"&lt;="&amp;DaybyDay[[#This Row],[Date]])</f>
        <v>0</v>
      </c>
      <c r="S255" s="35">
        <f>SUMIFS(DaybyDay[Service-LY],DaybyDay[Date],"&gt;="&amp;$C$5,DaybyDay[RowYear],"&gt;="&amp;$C$4,DaybyDay[Date],"&lt;="&amp;DaybyDay[[#This Row],[Date]])</f>
        <v>0</v>
      </c>
      <c r="T255" s="35">
        <f>SUMIFS(DaybyDay[Retail-LY],DaybyDay[Date],"&gt;="&amp;$C$5,DaybyDay[RowYear],"&gt;="&amp;$C$4,DaybyDay[Date],"&lt;="&amp;DaybyDay[[#This Row],[Date]])</f>
        <v>0</v>
      </c>
      <c r="U255" s="32">
        <f>DaybyDay[[#This Row],[Serv-Bud-RU]]+DaybyDay[[#This Row],[Ret-Bud-RU]]</f>
        <v>0</v>
      </c>
      <c r="V255" s="32">
        <f>DaybyDay[[#This Row],[Serv-Act-RU]]+DaybyDay[[#This Row],[Ret-Act-RU]]</f>
        <v>0</v>
      </c>
      <c r="W255" s="36">
        <f>IF(DaybyDay[[#This Row],[_Space]],IFERROR(
((DaybyDay[[#This Row],[Actual-Rollup]]-DaybyDay[[#This Row],[Budget-Rollup]])/DaybyDay[[#This Row],[Budget-Rollup]]),0),"")</f>
        <v>0</v>
      </c>
      <c r="X255" t="b">
        <f>NOT(AND(ISBLANK(DaybyDay[[#This Row],[Appts]]),ISBLANK(DaybyDay[[#This Row],[Service-Actuals]]),ISBLANK(DaybyDay[[#This Row],[Retail-Actuals]])))</f>
        <v>1</v>
      </c>
      <c r="Y255" s="36">
        <f>IF(DaybyDay[[#This Row],[_Space]],IFERROR(
((DaybyDay[[#This Row],[Actual-Rollup]]-DaybyDay[[#This Row],[LY-Rollup]])/DaybyDay[[#This Row],[LY-Rollup]]),0),"")</f>
        <v>0</v>
      </c>
      <c r="Z255"/>
      <c r="AA255" s="37" t="e">
        <f>IF(DaybyDay[[#This Row],[_Space]],DaybyDay[[#This Row],[Ret-Act-RU]]/DaybyDay[[#This Row],[Serv-Act-RU]],"")</f>
        <v>#DIV/0!</v>
      </c>
      <c r="AB255" s="50" t="e">
        <f>IF(DaybyDay[[#This Row],[_Space]],DaybyDay[[#This Row],[RETPEN-Act]]/DaybyDay[[#This Row],[RETPEN-Bud]],"")</f>
        <v>#DIV/0!</v>
      </c>
      <c r="AC255" s="37" t="e">
        <f>IF(DaybyDay[[#This Row],[_Space]],DaybyDay[[#This Row],[Ret-Bud-RU]]/DaybyDay[[#This Row],[Serv-Bud-RU]],"")</f>
        <v>#DIV/0!</v>
      </c>
      <c r="AD255" s="37" t="e">
        <f>IF(DaybyDay[[#This Row],[_Space]],DaybyDay[[#This Row],[Ret-LY-RU]]/DaybyDay[[#This Row],[Serv-LY-RU]],"")</f>
        <v>#DIV/0!</v>
      </c>
      <c r="AE255" s="30">
        <f>WEEKDAY(DaybyDay[[#This Row],[LY-Date]])</f>
        <v>4</v>
      </c>
      <c r="AF255" s="38">
        <f>$E$2+_xlfn.DAYS(DaybyDay[[#This Row],[Date]],minDate)</f>
        <v>42620</v>
      </c>
      <c r="AG255" s="39" t="str" cm="1">
        <f t="array" ref="AG255">IFERROR(INDEX(DaybyDay[],DaybyDay[[#This Row],[FORM_MATCH_HELPER]],8),"")</f>
        <v/>
      </c>
      <c r="AH255" s="39" t="str" cm="1">
        <f t="array" ref="AH255">IFERROR(INDEX(DaybyDay[],DaybyDay[[#This Row],[FORM_MATCH_HELPER]],10),"")</f>
        <v/>
      </c>
      <c r="AI255" s="39" t="str" cm="1">
        <f t="array" ref="AI255">IFERROR(INDEX(DaybyDay[],DaybyDay[[#This Row],[FORM_MATCH_HELPER]],12),"")</f>
        <v/>
      </c>
      <c r="AJ255" s="32">
        <f>IFERROR(DaybyDay[[#This Row],[Serv-LY-RU]]+DaybyDay[[#This Row],[Ret-LY-RU]],"")</f>
        <v>0</v>
      </c>
      <c r="AK2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5" s="77"/>
      <c r="AM255" s="40" t="str">
        <f>IF(DaybyDay[[#This Row],[Admin Hours]]&gt;0,DaybyDay[[#This Row],[Admin Hours]]*$AM$2+$AM$3,"")</f>
        <v/>
      </c>
      <c r="AN255" s="40">
        <f>SUMIFS(DaybyDay[Est-Admin-Payroll],DaybyDay[Date],"&gt;="&amp;$C$5,DaybyDay[RowYear],"&gt;="&amp;$C$4,DaybyDay[Date],"&lt;="&amp;DaybyDay[[#This Row],[Date]])</f>
        <v>0</v>
      </c>
      <c r="AO255" s="41" t="str">
        <f>IF(AND(DaybyDay[[#This Row],[_Space]],ISNUMBER(DaybyDay[[#This Row],[Admin Hours]])),DaybyDay[[#This Row],[Est-Admin-Payroll]]/(DaybyDay[[#This Row],[Service-Actuals]]+DaybyDay[[#This Row],[Retail-Actuals]]),"")</f>
        <v/>
      </c>
      <c r="AP255" s="41" t="e">
        <f>DaybyDay[[#This Row],[Estimated-Payroll-Rollup]]/DaybyDay[[#This Row],[Simple-Forecast]]</f>
        <v>#DIV/0!</v>
      </c>
      <c r="AQ2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5" s="77"/>
      <c r="AS255" s="40" t="str">
        <f>IF(DaybyDay[[#This Row],[Retail Hours]]&gt;0,DaybyDay[[#This Row],[Retail Hours]]*$AS$2,"")</f>
        <v/>
      </c>
      <c r="AT255" s="40">
        <f>SUMIFS(DaybyDay[Est-Retail-Payroll],DaybyDay[Date],"&gt;="&amp;$C$5,DaybyDay[RowYear],"&gt;="&amp;$C$4,DaybyDay[Date],"&lt;="&amp;DaybyDay[[#This Row],[Date]])</f>
        <v>0</v>
      </c>
      <c r="AU255" s="82" t="str">
        <f>IF(AND(DaybyDay[[#This Row],[_Space]],ISNUMBER(DaybyDay[[#This Row],[Retail Hours]])),DaybyDay[[#This Row],[Est-Retail-Payroll]]/(DaybyDay[[#This Row],[Retail-Actuals]]),"")</f>
        <v/>
      </c>
      <c r="AV255" s="82" t="e">
        <f>DaybyDay[[#This Row],[Est-Retail-PayrollRU]]/DaybyDay[[#This Row],[Simple-Forecast-Retail]]</f>
        <v>#DIV/0!</v>
      </c>
      <c r="AW255" s="8"/>
    </row>
    <row r="256" spans="3:49" hidden="1" x14ac:dyDescent="0.25">
      <c r="C256" s="26" t="str">
        <f>Tools!$C$1</f>
        <v>Example</v>
      </c>
      <c r="D256" s="27" t="s">
        <v>76</v>
      </c>
      <c r="E256" s="28">
        <v>2017</v>
      </c>
      <c r="F256" s="28">
        <f>MATCH(DaybyDay[[#This Row],[RowMonth]],Table3[SummaryMonth],0)</f>
        <v>9</v>
      </c>
      <c r="G256" s="29" t="e">
        <f>MATCH(DaybyDay[[#This Row],[LY-Date]],DaybyDay[Date],0)</f>
        <v>#N/A</v>
      </c>
      <c r="H256" s="30">
        <f>WEEKDAY(DaybyDay[[#This Row],[Date]])</f>
        <v>5</v>
      </c>
      <c r="I256" s="31">
        <v>42985</v>
      </c>
      <c r="J256" s="74">
        <v>16</v>
      </c>
      <c r="K256" s="32">
        <f>SUMIFS(BudgetSeasonality[365 Seasonality],BudgetSeasonality[MonthAdjustment],DaybyDay[[#This Row],[Date]])*SUMIFS(Budgets[Service-Budget],Budgets[BudgetMonth],DaybyDay[[#This Row],[RowMonth]],Budgets[BudgetYear],DaybyDay[[#This Row],[RowYear]])</f>
        <v>0</v>
      </c>
      <c r="L256" s="75">
        <v>3162.39</v>
      </c>
      <c r="M256" s="32">
        <f>INDEX(BudgetSeasonality[365 Seasonality],MATCH(DaybyDay[[#This Row],[Date]],BudgetSeasonality[MonthAdjustment],0))*SUMIFS(Budgets[Retail-Budget],Budgets[BudgetMonth],DaybyDay[[#This Row],[RowMonth]],Budgets[BudgetYear],DaybyDay[[#This Row],[RowYear]])</f>
        <v>0</v>
      </c>
      <c r="N256" s="75">
        <v>243</v>
      </c>
      <c r="O256" s="33">
        <f>SUMIFS(DaybyDay[Service-Budgets],DaybyDay[Date],"&gt;="&amp;$C$5,DaybyDay[RowYear],"&gt;="&amp;$C$4,DaybyDay[Date],"&lt;="&amp;DaybyDay[[#This Row],[Date]])</f>
        <v>0</v>
      </c>
      <c r="P256" s="33">
        <f>SUMIFS(DaybyDay[Retail-Budgets],DaybyDay[Date],"&gt;="&amp;$C$5,DaybyDay[RowYear],"&gt;="&amp;$C$4,DaybyDay[Date],"&lt;="&amp;DaybyDay[[#This Row],[Date]])</f>
        <v>0</v>
      </c>
      <c r="Q256" s="34">
        <f>SUMIFS(DaybyDay[Service-Actuals],DaybyDay[Date],"&gt;="&amp;$C$5,DaybyDay[RowYear],"&gt;="&amp;$C$4,DaybyDay[Date],"&lt;="&amp;DaybyDay[[#This Row],[Date]])</f>
        <v>0</v>
      </c>
      <c r="R256" s="34">
        <f>SUMIFS(DaybyDay[Retail-Actuals],DaybyDay[Date],"&gt;="&amp;$C$5,DaybyDay[RowYear],"&gt;="&amp;$C$4,DaybyDay[Date],"&lt;="&amp;DaybyDay[[#This Row],[Date]])</f>
        <v>0</v>
      </c>
      <c r="S256" s="35">
        <f>SUMIFS(DaybyDay[Service-LY],DaybyDay[Date],"&gt;="&amp;$C$5,DaybyDay[RowYear],"&gt;="&amp;$C$4,DaybyDay[Date],"&lt;="&amp;DaybyDay[[#This Row],[Date]])</f>
        <v>0</v>
      </c>
      <c r="T256" s="35">
        <f>SUMIFS(DaybyDay[Retail-LY],DaybyDay[Date],"&gt;="&amp;$C$5,DaybyDay[RowYear],"&gt;="&amp;$C$4,DaybyDay[Date],"&lt;="&amp;DaybyDay[[#This Row],[Date]])</f>
        <v>0</v>
      </c>
      <c r="U256" s="32">
        <f>DaybyDay[[#This Row],[Serv-Bud-RU]]+DaybyDay[[#This Row],[Ret-Bud-RU]]</f>
        <v>0</v>
      </c>
      <c r="V256" s="32">
        <f>DaybyDay[[#This Row],[Serv-Act-RU]]+DaybyDay[[#This Row],[Ret-Act-RU]]</f>
        <v>0</v>
      </c>
      <c r="W256" s="36">
        <f>IF(DaybyDay[[#This Row],[_Space]],IFERROR(
((DaybyDay[[#This Row],[Actual-Rollup]]-DaybyDay[[#This Row],[Budget-Rollup]])/DaybyDay[[#This Row],[Budget-Rollup]]),0),"")</f>
        <v>0</v>
      </c>
      <c r="X256" t="b">
        <f>NOT(AND(ISBLANK(DaybyDay[[#This Row],[Appts]]),ISBLANK(DaybyDay[[#This Row],[Service-Actuals]]),ISBLANK(DaybyDay[[#This Row],[Retail-Actuals]])))</f>
        <v>1</v>
      </c>
      <c r="Y256" s="36">
        <f>IF(DaybyDay[[#This Row],[_Space]],IFERROR(
((DaybyDay[[#This Row],[Actual-Rollup]]-DaybyDay[[#This Row],[LY-Rollup]])/DaybyDay[[#This Row],[LY-Rollup]]),0),"")</f>
        <v>0</v>
      </c>
      <c r="Z256"/>
      <c r="AA256" s="37" t="e">
        <f>IF(DaybyDay[[#This Row],[_Space]],DaybyDay[[#This Row],[Ret-Act-RU]]/DaybyDay[[#This Row],[Serv-Act-RU]],"")</f>
        <v>#DIV/0!</v>
      </c>
      <c r="AB256" s="50" t="e">
        <f>IF(DaybyDay[[#This Row],[_Space]],DaybyDay[[#This Row],[RETPEN-Act]]/DaybyDay[[#This Row],[RETPEN-Bud]],"")</f>
        <v>#DIV/0!</v>
      </c>
      <c r="AC256" s="37" t="e">
        <f>IF(DaybyDay[[#This Row],[_Space]],DaybyDay[[#This Row],[Ret-Bud-RU]]/DaybyDay[[#This Row],[Serv-Bud-RU]],"")</f>
        <v>#DIV/0!</v>
      </c>
      <c r="AD256" s="37" t="e">
        <f>IF(DaybyDay[[#This Row],[_Space]],DaybyDay[[#This Row],[Ret-LY-RU]]/DaybyDay[[#This Row],[Serv-LY-RU]],"")</f>
        <v>#DIV/0!</v>
      </c>
      <c r="AE256" s="30">
        <f>WEEKDAY(DaybyDay[[#This Row],[LY-Date]])</f>
        <v>5</v>
      </c>
      <c r="AF256" s="38">
        <f>$E$2+_xlfn.DAYS(DaybyDay[[#This Row],[Date]],minDate)</f>
        <v>42621</v>
      </c>
      <c r="AG256" s="39" t="str" cm="1">
        <f t="array" ref="AG256">IFERROR(INDEX(DaybyDay[],DaybyDay[[#This Row],[FORM_MATCH_HELPER]],8),"")</f>
        <v/>
      </c>
      <c r="AH256" s="39" t="str" cm="1">
        <f t="array" ref="AH256">IFERROR(INDEX(DaybyDay[],DaybyDay[[#This Row],[FORM_MATCH_HELPER]],10),"")</f>
        <v/>
      </c>
      <c r="AI256" s="39" t="str" cm="1">
        <f t="array" ref="AI256">IFERROR(INDEX(DaybyDay[],DaybyDay[[#This Row],[FORM_MATCH_HELPER]],12),"")</f>
        <v/>
      </c>
      <c r="AJ256" s="32">
        <f>IFERROR(DaybyDay[[#This Row],[Serv-LY-RU]]+DaybyDay[[#This Row],[Ret-LY-RU]],"")</f>
        <v>0</v>
      </c>
      <c r="AK2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6" s="77"/>
      <c r="AM256" s="40" t="str">
        <f>IF(DaybyDay[[#This Row],[Admin Hours]]&gt;0,DaybyDay[[#This Row],[Admin Hours]]*$AM$2+$AM$3,"")</f>
        <v/>
      </c>
      <c r="AN256" s="40">
        <f>SUMIFS(DaybyDay[Est-Admin-Payroll],DaybyDay[Date],"&gt;="&amp;$C$5,DaybyDay[RowYear],"&gt;="&amp;$C$4,DaybyDay[Date],"&lt;="&amp;DaybyDay[[#This Row],[Date]])</f>
        <v>0</v>
      </c>
      <c r="AO256" s="41" t="str">
        <f>IF(AND(DaybyDay[[#This Row],[_Space]],ISNUMBER(DaybyDay[[#This Row],[Admin Hours]])),DaybyDay[[#This Row],[Est-Admin-Payroll]]/(DaybyDay[[#This Row],[Service-Actuals]]+DaybyDay[[#This Row],[Retail-Actuals]]),"")</f>
        <v/>
      </c>
      <c r="AP256" s="41" t="e">
        <f>DaybyDay[[#This Row],[Estimated-Payroll-Rollup]]/DaybyDay[[#This Row],[Simple-Forecast]]</f>
        <v>#DIV/0!</v>
      </c>
      <c r="AQ2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6" s="77"/>
      <c r="AS256" s="40" t="str">
        <f>IF(DaybyDay[[#This Row],[Retail Hours]]&gt;0,DaybyDay[[#This Row],[Retail Hours]]*$AS$2,"")</f>
        <v/>
      </c>
      <c r="AT256" s="40">
        <f>SUMIFS(DaybyDay[Est-Retail-Payroll],DaybyDay[Date],"&gt;="&amp;$C$5,DaybyDay[RowYear],"&gt;="&amp;$C$4,DaybyDay[Date],"&lt;="&amp;DaybyDay[[#This Row],[Date]])</f>
        <v>0</v>
      </c>
      <c r="AU256" s="82" t="str">
        <f>IF(AND(DaybyDay[[#This Row],[_Space]],ISNUMBER(DaybyDay[[#This Row],[Retail Hours]])),DaybyDay[[#This Row],[Est-Retail-Payroll]]/(DaybyDay[[#This Row],[Retail-Actuals]]),"")</f>
        <v/>
      </c>
      <c r="AV256" s="82" t="e">
        <f>DaybyDay[[#This Row],[Est-Retail-PayrollRU]]/DaybyDay[[#This Row],[Simple-Forecast-Retail]]</f>
        <v>#DIV/0!</v>
      </c>
      <c r="AW256" s="8"/>
    </row>
    <row r="257" spans="3:49" hidden="1" x14ac:dyDescent="0.25">
      <c r="C257" s="26" t="str">
        <f>Tools!$C$1</f>
        <v>Example</v>
      </c>
      <c r="D257" s="27" t="s">
        <v>76</v>
      </c>
      <c r="E257" s="28">
        <v>2017</v>
      </c>
      <c r="F257" s="28">
        <f>MATCH(DaybyDay[[#This Row],[RowMonth]],Table3[SummaryMonth],0)</f>
        <v>9</v>
      </c>
      <c r="G257" s="29" t="e">
        <f>MATCH(DaybyDay[[#This Row],[LY-Date]],DaybyDay[Date],0)</f>
        <v>#N/A</v>
      </c>
      <c r="H257" s="30">
        <f>WEEKDAY(DaybyDay[[#This Row],[Date]])</f>
        <v>6</v>
      </c>
      <c r="I257" s="31">
        <v>42986</v>
      </c>
      <c r="J257" s="74">
        <v>28</v>
      </c>
      <c r="K257" s="32">
        <f>SUMIFS(BudgetSeasonality[365 Seasonality],BudgetSeasonality[MonthAdjustment],DaybyDay[[#This Row],[Date]])*SUMIFS(Budgets[Service-Budget],Budgets[BudgetMonth],DaybyDay[[#This Row],[RowMonth]],Budgets[BudgetYear],DaybyDay[[#This Row],[RowYear]])</f>
        <v>0</v>
      </c>
      <c r="L257" s="75">
        <v>5070.2</v>
      </c>
      <c r="M257" s="32">
        <f>INDEX(BudgetSeasonality[365 Seasonality],MATCH(DaybyDay[[#This Row],[Date]],BudgetSeasonality[MonthAdjustment],0))*SUMIFS(Budgets[Retail-Budget],Budgets[BudgetMonth],DaybyDay[[#This Row],[RowMonth]],Budgets[BudgetYear],DaybyDay[[#This Row],[RowYear]])</f>
        <v>0</v>
      </c>
      <c r="N257" s="75">
        <v>1368</v>
      </c>
      <c r="O257" s="33">
        <f>SUMIFS(DaybyDay[Service-Budgets],DaybyDay[Date],"&gt;="&amp;$C$5,DaybyDay[RowYear],"&gt;="&amp;$C$4,DaybyDay[Date],"&lt;="&amp;DaybyDay[[#This Row],[Date]])</f>
        <v>0</v>
      </c>
      <c r="P257" s="33">
        <f>SUMIFS(DaybyDay[Retail-Budgets],DaybyDay[Date],"&gt;="&amp;$C$5,DaybyDay[RowYear],"&gt;="&amp;$C$4,DaybyDay[Date],"&lt;="&amp;DaybyDay[[#This Row],[Date]])</f>
        <v>0</v>
      </c>
      <c r="Q257" s="34">
        <f>SUMIFS(DaybyDay[Service-Actuals],DaybyDay[Date],"&gt;="&amp;$C$5,DaybyDay[RowYear],"&gt;="&amp;$C$4,DaybyDay[Date],"&lt;="&amp;DaybyDay[[#This Row],[Date]])</f>
        <v>0</v>
      </c>
      <c r="R257" s="34">
        <f>SUMIFS(DaybyDay[Retail-Actuals],DaybyDay[Date],"&gt;="&amp;$C$5,DaybyDay[RowYear],"&gt;="&amp;$C$4,DaybyDay[Date],"&lt;="&amp;DaybyDay[[#This Row],[Date]])</f>
        <v>0</v>
      </c>
      <c r="S257" s="35">
        <f>SUMIFS(DaybyDay[Service-LY],DaybyDay[Date],"&gt;="&amp;$C$5,DaybyDay[RowYear],"&gt;="&amp;$C$4,DaybyDay[Date],"&lt;="&amp;DaybyDay[[#This Row],[Date]])</f>
        <v>0</v>
      </c>
      <c r="T257" s="35">
        <f>SUMIFS(DaybyDay[Retail-LY],DaybyDay[Date],"&gt;="&amp;$C$5,DaybyDay[RowYear],"&gt;="&amp;$C$4,DaybyDay[Date],"&lt;="&amp;DaybyDay[[#This Row],[Date]])</f>
        <v>0</v>
      </c>
      <c r="U257" s="32">
        <f>DaybyDay[[#This Row],[Serv-Bud-RU]]+DaybyDay[[#This Row],[Ret-Bud-RU]]</f>
        <v>0</v>
      </c>
      <c r="V257" s="32">
        <f>DaybyDay[[#This Row],[Serv-Act-RU]]+DaybyDay[[#This Row],[Ret-Act-RU]]</f>
        <v>0</v>
      </c>
      <c r="W257" s="36">
        <f>IF(DaybyDay[[#This Row],[_Space]],IFERROR(
((DaybyDay[[#This Row],[Actual-Rollup]]-DaybyDay[[#This Row],[Budget-Rollup]])/DaybyDay[[#This Row],[Budget-Rollup]]),0),"")</f>
        <v>0</v>
      </c>
      <c r="X257" t="b">
        <f>NOT(AND(ISBLANK(DaybyDay[[#This Row],[Appts]]),ISBLANK(DaybyDay[[#This Row],[Service-Actuals]]),ISBLANK(DaybyDay[[#This Row],[Retail-Actuals]])))</f>
        <v>1</v>
      </c>
      <c r="Y257" s="36">
        <f>IF(DaybyDay[[#This Row],[_Space]],IFERROR(
((DaybyDay[[#This Row],[Actual-Rollup]]-DaybyDay[[#This Row],[LY-Rollup]])/DaybyDay[[#This Row],[LY-Rollup]]),0),"")</f>
        <v>0</v>
      </c>
      <c r="Z257"/>
      <c r="AA257" s="37" t="e">
        <f>IF(DaybyDay[[#This Row],[_Space]],DaybyDay[[#This Row],[Ret-Act-RU]]/DaybyDay[[#This Row],[Serv-Act-RU]],"")</f>
        <v>#DIV/0!</v>
      </c>
      <c r="AB257" s="50" t="e">
        <f>IF(DaybyDay[[#This Row],[_Space]],DaybyDay[[#This Row],[RETPEN-Act]]/DaybyDay[[#This Row],[RETPEN-Bud]],"")</f>
        <v>#DIV/0!</v>
      </c>
      <c r="AC257" s="37" t="e">
        <f>IF(DaybyDay[[#This Row],[_Space]],DaybyDay[[#This Row],[Ret-Bud-RU]]/DaybyDay[[#This Row],[Serv-Bud-RU]],"")</f>
        <v>#DIV/0!</v>
      </c>
      <c r="AD257" s="37" t="e">
        <f>IF(DaybyDay[[#This Row],[_Space]],DaybyDay[[#This Row],[Ret-LY-RU]]/DaybyDay[[#This Row],[Serv-LY-RU]],"")</f>
        <v>#DIV/0!</v>
      </c>
      <c r="AE257" s="30">
        <f>WEEKDAY(DaybyDay[[#This Row],[LY-Date]])</f>
        <v>6</v>
      </c>
      <c r="AF257" s="38">
        <f>$E$2+_xlfn.DAYS(DaybyDay[[#This Row],[Date]],minDate)</f>
        <v>42622</v>
      </c>
      <c r="AG257" s="39" t="str" cm="1">
        <f t="array" ref="AG257">IFERROR(INDEX(DaybyDay[],DaybyDay[[#This Row],[FORM_MATCH_HELPER]],8),"")</f>
        <v/>
      </c>
      <c r="AH257" s="39" t="str" cm="1">
        <f t="array" ref="AH257">IFERROR(INDEX(DaybyDay[],DaybyDay[[#This Row],[FORM_MATCH_HELPER]],10),"")</f>
        <v/>
      </c>
      <c r="AI257" s="39" t="str" cm="1">
        <f t="array" ref="AI257">IFERROR(INDEX(DaybyDay[],DaybyDay[[#This Row],[FORM_MATCH_HELPER]],12),"")</f>
        <v/>
      </c>
      <c r="AJ257" s="32">
        <f>IFERROR(DaybyDay[[#This Row],[Serv-LY-RU]]+DaybyDay[[#This Row],[Ret-LY-RU]],"")</f>
        <v>0</v>
      </c>
      <c r="AK2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7" s="77"/>
      <c r="AM257" s="40" t="str">
        <f>IF(DaybyDay[[#This Row],[Admin Hours]]&gt;0,DaybyDay[[#This Row],[Admin Hours]]*$AM$2+$AM$3,"")</f>
        <v/>
      </c>
      <c r="AN257" s="40">
        <f>SUMIFS(DaybyDay[Est-Admin-Payroll],DaybyDay[Date],"&gt;="&amp;$C$5,DaybyDay[RowYear],"&gt;="&amp;$C$4,DaybyDay[Date],"&lt;="&amp;DaybyDay[[#This Row],[Date]])</f>
        <v>0</v>
      </c>
      <c r="AO257" s="41" t="str">
        <f>IF(AND(DaybyDay[[#This Row],[_Space]],ISNUMBER(DaybyDay[[#This Row],[Admin Hours]])),DaybyDay[[#This Row],[Est-Admin-Payroll]]/(DaybyDay[[#This Row],[Service-Actuals]]+DaybyDay[[#This Row],[Retail-Actuals]]),"")</f>
        <v/>
      </c>
      <c r="AP257" s="41" t="e">
        <f>DaybyDay[[#This Row],[Estimated-Payroll-Rollup]]/DaybyDay[[#This Row],[Simple-Forecast]]</f>
        <v>#DIV/0!</v>
      </c>
      <c r="AQ2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7" s="77"/>
      <c r="AS257" s="40" t="str">
        <f>IF(DaybyDay[[#This Row],[Retail Hours]]&gt;0,DaybyDay[[#This Row],[Retail Hours]]*$AS$2,"")</f>
        <v/>
      </c>
      <c r="AT257" s="40">
        <f>SUMIFS(DaybyDay[Est-Retail-Payroll],DaybyDay[Date],"&gt;="&amp;$C$5,DaybyDay[RowYear],"&gt;="&amp;$C$4,DaybyDay[Date],"&lt;="&amp;DaybyDay[[#This Row],[Date]])</f>
        <v>0</v>
      </c>
      <c r="AU257" s="82" t="str">
        <f>IF(AND(DaybyDay[[#This Row],[_Space]],ISNUMBER(DaybyDay[[#This Row],[Retail Hours]])),DaybyDay[[#This Row],[Est-Retail-Payroll]]/(DaybyDay[[#This Row],[Retail-Actuals]]),"")</f>
        <v/>
      </c>
      <c r="AV257" s="82" t="e">
        <f>DaybyDay[[#This Row],[Est-Retail-PayrollRU]]/DaybyDay[[#This Row],[Simple-Forecast-Retail]]</f>
        <v>#DIV/0!</v>
      </c>
      <c r="AW257" s="8"/>
    </row>
    <row r="258" spans="3:49" hidden="1" x14ac:dyDescent="0.25">
      <c r="C258" s="26" t="str">
        <f>Tools!$C$1</f>
        <v>Example</v>
      </c>
      <c r="D258" s="27" t="s">
        <v>76</v>
      </c>
      <c r="E258" s="28">
        <v>2017</v>
      </c>
      <c r="F258" s="28">
        <f>MATCH(DaybyDay[[#This Row],[RowMonth]],Table3[SummaryMonth],0)</f>
        <v>9</v>
      </c>
      <c r="G258" s="29" t="e">
        <f>MATCH(DaybyDay[[#This Row],[LY-Date]],DaybyDay[Date],0)</f>
        <v>#N/A</v>
      </c>
      <c r="H258" s="30">
        <f>WEEKDAY(DaybyDay[[#This Row],[Date]])</f>
        <v>7</v>
      </c>
      <c r="I258" s="31">
        <v>42987</v>
      </c>
      <c r="J258" s="74">
        <v>23</v>
      </c>
      <c r="K258" s="32">
        <f>SUMIFS(BudgetSeasonality[365 Seasonality],BudgetSeasonality[MonthAdjustment],DaybyDay[[#This Row],[Date]])*SUMIFS(Budgets[Service-Budget],Budgets[BudgetMonth],DaybyDay[[#This Row],[RowMonth]],Budgets[BudgetYear],DaybyDay[[#This Row],[RowYear]])</f>
        <v>0</v>
      </c>
      <c r="L258" s="75">
        <v>5540.85</v>
      </c>
      <c r="M258" s="32">
        <f>INDEX(BudgetSeasonality[365 Seasonality],MATCH(DaybyDay[[#This Row],[Date]],BudgetSeasonality[MonthAdjustment],0))*SUMIFS(Budgets[Retail-Budget],Budgets[BudgetMonth],DaybyDay[[#This Row],[RowMonth]],Budgets[BudgetYear],DaybyDay[[#This Row],[RowYear]])</f>
        <v>0</v>
      </c>
      <c r="N258" s="75">
        <v>1040</v>
      </c>
      <c r="O258" s="33">
        <f>SUMIFS(DaybyDay[Service-Budgets],DaybyDay[Date],"&gt;="&amp;$C$5,DaybyDay[RowYear],"&gt;="&amp;$C$4,DaybyDay[Date],"&lt;="&amp;DaybyDay[[#This Row],[Date]])</f>
        <v>0</v>
      </c>
      <c r="P258" s="33">
        <f>SUMIFS(DaybyDay[Retail-Budgets],DaybyDay[Date],"&gt;="&amp;$C$5,DaybyDay[RowYear],"&gt;="&amp;$C$4,DaybyDay[Date],"&lt;="&amp;DaybyDay[[#This Row],[Date]])</f>
        <v>0</v>
      </c>
      <c r="Q258" s="34">
        <f>SUMIFS(DaybyDay[Service-Actuals],DaybyDay[Date],"&gt;="&amp;$C$5,DaybyDay[RowYear],"&gt;="&amp;$C$4,DaybyDay[Date],"&lt;="&amp;DaybyDay[[#This Row],[Date]])</f>
        <v>0</v>
      </c>
      <c r="R258" s="34">
        <f>SUMIFS(DaybyDay[Retail-Actuals],DaybyDay[Date],"&gt;="&amp;$C$5,DaybyDay[RowYear],"&gt;="&amp;$C$4,DaybyDay[Date],"&lt;="&amp;DaybyDay[[#This Row],[Date]])</f>
        <v>0</v>
      </c>
      <c r="S258" s="35">
        <f>SUMIFS(DaybyDay[Service-LY],DaybyDay[Date],"&gt;="&amp;$C$5,DaybyDay[RowYear],"&gt;="&amp;$C$4,DaybyDay[Date],"&lt;="&amp;DaybyDay[[#This Row],[Date]])</f>
        <v>0</v>
      </c>
      <c r="T258" s="35">
        <f>SUMIFS(DaybyDay[Retail-LY],DaybyDay[Date],"&gt;="&amp;$C$5,DaybyDay[RowYear],"&gt;="&amp;$C$4,DaybyDay[Date],"&lt;="&amp;DaybyDay[[#This Row],[Date]])</f>
        <v>0</v>
      </c>
      <c r="U258" s="32">
        <f>DaybyDay[[#This Row],[Serv-Bud-RU]]+DaybyDay[[#This Row],[Ret-Bud-RU]]</f>
        <v>0</v>
      </c>
      <c r="V258" s="32">
        <f>DaybyDay[[#This Row],[Serv-Act-RU]]+DaybyDay[[#This Row],[Ret-Act-RU]]</f>
        <v>0</v>
      </c>
      <c r="W258" s="36">
        <f>IF(DaybyDay[[#This Row],[_Space]],IFERROR(
((DaybyDay[[#This Row],[Actual-Rollup]]-DaybyDay[[#This Row],[Budget-Rollup]])/DaybyDay[[#This Row],[Budget-Rollup]]),0),"")</f>
        <v>0</v>
      </c>
      <c r="X258" t="b">
        <f>NOT(AND(ISBLANK(DaybyDay[[#This Row],[Appts]]),ISBLANK(DaybyDay[[#This Row],[Service-Actuals]]),ISBLANK(DaybyDay[[#This Row],[Retail-Actuals]])))</f>
        <v>1</v>
      </c>
      <c r="Y258" s="36">
        <f>IF(DaybyDay[[#This Row],[_Space]],IFERROR(
((DaybyDay[[#This Row],[Actual-Rollup]]-DaybyDay[[#This Row],[LY-Rollup]])/DaybyDay[[#This Row],[LY-Rollup]]),0),"")</f>
        <v>0</v>
      </c>
      <c r="Z258"/>
      <c r="AA258" s="37" t="e">
        <f>IF(DaybyDay[[#This Row],[_Space]],DaybyDay[[#This Row],[Ret-Act-RU]]/DaybyDay[[#This Row],[Serv-Act-RU]],"")</f>
        <v>#DIV/0!</v>
      </c>
      <c r="AB258" s="50" t="e">
        <f>IF(DaybyDay[[#This Row],[_Space]],DaybyDay[[#This Row],[RETPEN-Act]]/DaybyDay[[#This Row],[RETPEN-Bud]],"")</f>
        <v>#DIV/0!</v>
      </c>
      <c r="AC258" s="37" t="e">
        <f>IF(DaybyDay[[#This Row],[_Space]],DaybyDay[[#This Row],[Ret-Bud-RU]]/DaybyDay[[#This Row],[Serv-Bud-RU]],"")</f>
        <v>#DIV/0!</v>
      </c>
      <c r="AD258" s="37" t="e">
        <f>IF(DaybyDay[[#This Row],[_Space]],DaybyDay[[#This Row],[Ret-LY-RU]]/DaybyDay[[#This Row],[Serv-LY-RU]],"")</f>
        <v>#DIV/0!</v>
      </c>
      <c r="AE258" s="30">
        <f>WEEKDAY(DaybyDay[[#This Row],[LY-Date]])</f>
        <v>7</v>
      </c>
      <c r="AF258" s="38">
        <f>$E$2+_xlfn.DAYS(DaybyDay[[#This Row],[Date]],minDate)</f>
        <v>42623</v>
      </c>
      <c r="AG258" s="39" t="str" cm="1">
        <f t="array" ref="AG258">IFERROR(INDEX(DaybyDay[],DaybyDay[[#This Row],[FORM_MATCH_HELPER]],8),"")</f>
        <v/>
      </c>
      <c r="AH258" s="39" t="str" cm="1">
        <f t="array" ref="AH258">IFERROR(INDEX(DaybyDay[],DaybyDay[[#This Row],[FORM_MATCH_HELPER]],10),"")</f>
        <v/>
      </c>
      <c r="AI258" s="39" t="str" cm="1">
        <f t="array" ref="AI258">IFERROR(INDEX(DaybyDay[],DaybyDay[[#This Row],[FORM_MATCH_HELPER]],12),"")</f>
        <v/>
      </c>
      <c r="AJ258" s="32">
        <f>IFERROR(DaybyDay[[#This Row],[Serv-LY-RU]]+DaybyDay[[#This Row],[Ret-LY-RU]],"")</f>
        <v>0</v>
      </c>
      <c r="AK2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8" s="77"/>
      <c r="AM258" s="40" t="str">
        <f>IF(DaybyDay[[#This Row],[Admin Hours]]&gt;0,DaybyDay[[#This Row],[Admin Hours]]*$AM$2+$AM$3,"")</f>
        <v/>
      </c>
      <c r="AN258" s="40">
        <f>SUMIFS(DaybyDay[Est-Admin-Payroll],DaybyDay[Date],"&gt;="&amp;$C$5,DaybyDay[RowYear],"&gt;="&amp;$C$4,DaybyDay[Date],"&lt;="&amp;DaybyDay[[#This Row],[Date]])</f>
        <v>0</v>
      </c>
      <c r="AO258" s="41" t="str">
        <f>IF(AND(DaybyDay[[#This Row],[_Space]],ISNUMBER(DaybyDay[[#This Row],[Admin Hours]])),DaybyDay[[#This Row],[Est-Admin-Payroll]]/(DaybyDay[[#This Row],[Service-Actuals]]+DaybyDay[[#This Row],[Retail-Actuals]]),"")</f>
        <v/>
      </c>
      <c r="AP258" s="41" t="e">
        <f>DaybyDay[[#This Row],[Estimated-Payroll-Rollup]]/DaybyDay[[#This Row],[Simple-Forecast]]</f>
        <v>#DIV/0!</v>
      </c>
      <c r="AQ2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8" s="77"/>
      <c r="AS258" s="40" t="str">
        <f>IF(DaybyDay[[#This Row],[Retail Hours]]&gt;0,DaybyDay[[#This Row],[Retail Hours]]*$AS$2,"")</f>
        <v/>
      </c>
      <c r="AT258" s="40">
        <f>SUMIFS(DaybyDay[Est-Retail-Payroll],DaybyDay[Date],"&gt;="&amp;$C$5,DaybyDay[RowYear],"&gt;="&amp;$C$4,DaybyDay[Date],"&lt;="&amp;DaybyDay[[#This Row],[Date]])</f>
        <v>0</v>
      </c>
      <c r="AU258" s="82" t="str">
        <f>IF(AND(DaybyDay[[#This Row],[_Space]],ISNUMBER(DaybyDay[[#This Row],[Retail Hours]])),DaybyDay[[#This Row],[Est-Retail-Payroll]]/(DaybyDay[[#This Row],[Retail-Actuals]]),"")</f>
        <v/>
      </c>
      <c r="AV258" s="82" t="e">
        <f>DaybyDay[[#This Row],[Est-Retail-PayrollRU]]/DaybyDay[[#This Row],[Simple-Forecast-Retail]]</f>
        <v>#DIV/0!</v>
      </c>
      <c r="AW258" s="8"/>
    </row>
    <row r="259" spans="3:49" hidden="1" x14ac:dyDescent="0.25">
      <c r="C259" s="26" t="str">
        <f>Tools!$C$1</f>
        <v>Example</v>
      </c>
      <c r="D259" s="27" t="s">
        <v>76</v>
      </c>
      <c r="E259" s="28">
        <v>2017</v>
      </c>
      <c r="F259" s="28">
        <f>MATCH(DaybyDay[[#This Row],[RowMonth]],Table3[SummaryMonth],0)</f>
        <v>9</v>
      </c>
      <c r="G259" s="29" t="e">
        <f>MATCH(DaybyDay[[#This Row],[LY-Date]],DaybyDay[Date],0)</f>
        <v>#N/A</v>
      </c>
      <c r="H259" s="30">
        <f>WEEKDAY(DaybyDay[[#This Row],[Date]])</f>
        <v>1</v>
      </c>
      <c r="I259" s="31">
        <v>42988</v>
      </c>
      <c r="J259" s="74">
        <v>21</v>
      </c>
      <c r="K259" s="32">
        <f>SUMIFS(BudgetSeasonality[365 Seasonality],BudgetSeasonality[MonthAdjustment],DaybyDay[[#This Row],[Date]])*SUMIFS(Budgets[Service-Budget],Budgets[BudgetMonth],DaybyDay[[#This Row],[RowMonth]],Budgets[BudgetYear],DaybyDay[[#This Row],[RowYear]])</f>
        <v>0</v>
      </c>
      <c r="L259" s="75">
        <v>5025.3999999999996</v>
      </c>
      <c r="M259" s="32">
        <f>INDEX(BudgetSeasonality[365 Seasonality],MATCH(DaybyDay[[#This Row],[Date]],BudgetSeasonality[MonthAdjustment],0))*SUMIFS(Budgets[Retail-Budget],Budgets[BudgetMonth],DaybyDay[[#This Row],[RowMonth]],Budgets[BudgetYear],DaybyDay[[#This Row],[RowYear]])</f>
        <v>0</v>
      </c>
      <c r="N259" s="75">
        <v>358</v>
      </c>
      <c r="O259" s="33">
        <f>SUMIFS(DaybyDay[Service-Budgets],DaybyDay[Date],"&gt;="&amp;$C$5,DaybyDay[RowYear],"&gt;="&amp;$C$4,DaybyDay[Date],"&lt;="&amp;DaybyDay[[#This Row],[Date]])</f>
        <v>0</v>
      </c>
      <c r="P259" s="33">
        <f>SUMIFS(DaybyDay[Retail-Budgets],DaybyDay[Date],"&gt;="&amp;$C$5,DaybyDay[RowYear],"&gt;="&amp;$C$4,DaybyDay[Date],"&lt;="&amp;DaybyDay[[#This Row],[Date]])</f>
        <v>0</v>
      </c>
      <c r="Q259" s="34">
        <f>SUMIFS(DaybyDay[Service-Actuals],DaybyDay[Date],"&gt;="&amp;$C$5,DaybyDay[RowYear],"&gt;="&amp;$C$4,DaybyDay[Date],"&lt;="&amp;DaybyDay[[#This Row],[Date]])</f>
        <v>0</v>
      </c>
      <c r="R259" s="34">
        <f>SUMIFS(DaybyDay[Retail-Actuals],DaybyDay[Date],"&gt;="&amp;$C$5,DaybyDay[RowYear],"&gt;="&amp;$C$4,DaybyDay[Date],"&lt;="&amp;DaybyDay[[#This Row],[Date]])</f>
        <v>0</v>
      </c>
      <c r="S259" s="35">
        <f>SUMIFS(DaybyDay[Service-LY],DaybyDay[Date],"&gt;="&amp;$C$5,DaybyDay[RowYear],"&gt;="&amp;$C$4,DaybyDay[Date],"&lt;="&amp;DaybyDay[[#This Row],[Date]])</f>
        <v>0</v>
      </c>
      <c r="T259" s="35">
        <f>SUMIFS(DaybyDay[Retail-LY],DaybyDay[Date],"&gt;="&amp;$C$5,DaybyDay[RowYear],"&gt;="&amp;$C$4,DaybyDay[Date],"&lt;="&amp;DaybyDay[[#This Row],[Date]])</f>
        <v>0</v>
      </c>
      <c r="U259" s="32">
        <f>DaybyDay[[#This Row],[Serv-Bud-RU]]+DaybyDay[[#This Row],[Ret-Bud-RU]]</f>
        <v>0</v>
      </c>
      <c r="V259" s="32">
        <f>DaybyDay[[#This Row],[Serv-Act-RU]]+DaybyDay[[#This Row],[Ret-Act-RU]]</f>
        <v>0</v>
      </c>
      <c r="W259" s="36">
        <f>IF(DaybyDay[[#This Row],[_Space]],IFERROR(
((DaybyDay[[#This Row],[Actual-Rollup]]-DaybyDay[[#This Row],[Budget-Rollup]])/DaybyDay[[#This Row],[Budget-Rollup]]),0),"")</f>
        <v>0</v>
      </c>
      <c r="X259" t="b">
        <f>NOT(AND(ISBLANK(DaybyDay[[#This Row],[Appts]]),ISBLANK(DaybyDay[[#This Row],[Service-Actuals]]),ISBLANK(DaybyDay[[#This Row],[Retail-Actuals]])))</f>
        <v>1</v>
      </c>
      <c r="Y259" s="36">
        <f>IF(DaybyDay[[#This Row],[_Space]],IFERROR(
((DaybyDay[[#This Row],[Actual-Rollup]]-DaybyDay[[#This Row],[LY-Rollup]])/DaybyDay[[#This Row],[LY-Rollup]]),0),"")</f>
        <v>0</v>
      </c>
      <c r="Z259"/>
      <c r="AA259" s="37" t="e">
        <f>IF(DaybyDay[[#This Row],[_Space]],DaybyDay[[#This Row],[Ret-Act-RU]]/DaybyDay[[#This Row],[Serv-Act-RU]],"")</f>
        <v>#DIV/0!</v>
      </c>
      <c r="AB259" s="50" t="e">
        <f>IF(DaybyDay[[#This Row],[_Space]],DaybyDay[[#This Row],[RETPEN-Act]]/DaybyDay[[#This Row],[RETPEN-Bud]],"")</f>
        <v>#DIV/0!</v>
      </c>
      <c r="AC259" s="37" t="e">
        <f>IF(DaybyDay[[#This Row],[_Space]],DaybyDay[[#This Row],[Ret-Bud-RU]]/DaybyDay[[#This Row],[Serv-Bud-RU]],"")</f>
        <v>#DIV/0!</v>
      </c>
      <c r="AD259" s="37" t="e">
        <f>IF(DaybyDay[[#This Row],[_Space]],DaybyDay[[#This Row],[Ret-LY-RU]]/DaybyDay[[#This Row],[Serv-LY-RU]],"")</f>
        <v>#DIV/0!</v>
      </c>
      <c r="AE259" s="30">
        <f>WEEKDAY(DaybyDay[[#This Row],[LY-Date]])</f>
        <v>1</v>
      </c>
      <c r="AF259" s="38">
        <f>$E$2+_xlfn.DAYS(DaybyDay[[#This Row],[Date]],minDate)</f>
        <v>42624</v>
      </c>
      <c r="AG259" s="39" t="str" cm="1">
        <f t="array" ref="AG259">IFERROR(INDEX(DaybyDay[],DaybyDay[[#This Row],[FORM_MATCH_HELPER]],8),"")</f>
        <v/>
      </c>
      <c r="AH259" s="39" t="str" cm="1">
        <f t="array" ref="AH259">IFERROR(INDEX(DaybyDay[],DaybyDay[[#This Row],[FORM_MATCH_HELPER]],10),"")</f>
        <v/>
      </c>
      <c r="AI259" s="39" t="str" cm="1">
        <f t="array" ref="AI259">IFERROR(INDEX(DaybyDay[],DaybyDay[[#This Row],[FORM_MATCH_HELPER]],12),"")</f>
        <v/>
      </c>
      <c r="AJ259" s="32">
        <f>IFERROR(DaybyDay[[#This Row],[Serv-LY-RU]]+DaybyDay[[#This Row],[Ret-LY-RU]],"")</f>
        <v>0</v>
      </c>
      <c r="AK2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59" s="77"/>
      <c r="AM259" s="40" t="str">
        <f>IF(DaybyDay[[#This Row],[Admin Hours]]&gt;0,DaybyDay[[#This Row],[Admin Hours]]*$AM$2+$AM$3,"")</f>
        <v/>
      </c>
      <c r="AN259" s="40">
        <f>SUMIFS(DaybyDay[Est-Admin-Payroll],DaybyDay[Date],"&gt;="&amp;$C$5,DaybyDay[RowYear],"&gt;="&amp;$C$4,DaybyDay[Date],"&lt;="&amp;DaybyDay[[#This Row],[Date]])</f>
        <v>0</v>
      </c>
      <c r="AO259" s="41" t="str">
        <f>IF(AND(DaybyDay[[#This Row],[_Space]],ISNUMBER(DaybyDay[[#This Row],[Admin Hours]])),DaybyDay[[#This Row],[Est-Admin-Payroll]]/(DaybyDay[[#This Row],[Service-Actuals]]+DaybyDay[[#This Row],[Retail-Actuals]]),"")</f>
        <v/>
      </c>
      <c r="AP259" s="41" t="e">
        <f>DaybyDay[[#This Row],[Estimated-Payroll-Rollup]]/DaybyDay[[#This Row],[Simple-Forecast]]</f>
        <v>#DIV/0!</v>
      </c>
      <c r="AQ2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59" s="77"/>
      <c r="AS259" s="40" t="str">
        <f>IF(DaybyDay[[#This Row],[Retail Hours]]&gt;0,DaybyDay[[#This Row],[Retail Hours]]*$AS$2,"")</f>
        <v/>
      </c>
      <c r="AT259" s="40">
        <f>SUMIFS(DaybyDay[Est-Retail-Payroll],DaybyDay[Date],"&gt;="&amp;$C$5,DaybyDay[RowYear],"&gt;="&amp;$C$4,DaybyDay[Date],"&lt;="&amp;DaybyDay[[#This Row],[Date]])</f>
        <v>0</v>
      </c>
      <c r="AU259" s="82" t="str">
        <f>IF(AND(DaybyDay[[#This Row],[_Space]],ISNUMBER(DaybyDay[[#This Row],[Retail Hours]])),DaybyDay[[#This Row],[Est-Retail-Payroll]]/(DaybyDay[[#This Row],[Retail-Actuals]]),"")</f>
        <v/>
      </c>
      <c r="AV259" s="82" t="e">
        <f>DaybyDay[[#This Row],[Est-Retail-PayrollRU]]/DaybyDay[[#This Row],[Simple-Forecast-Retail]]</f>
        <v>#DIV/0!</v>
      </c>
      <c r="AW259" s="8"/>
    </row>
    <row r="260" spans="3:49" hidden="1" x14ac:dyDescent="0.25">
      <c r="C260" s="26" t="str">
        <f>Tools!$C$1</f>
        <v>Example</v>
      </c>
      <c r="D260" s="27" t="s">
        <v>76</v>
      </c>
      <c r="E260" s="28">
        <v>2017</v>
      </c>
      <c r="F260" s="28">
        <f>MATCH(DaybyDay[[#This Row],[RowMonth]],Table3[SummaryMonth],0)</f>
        <v>9</v>
      </c>
      <c r="G260" s="29" t="e">
        <f>MATCH(DaybyDay[[#This Row],[LY-Date]],DaybyDay[Date],0)</f>
        <v>#N/A</v>
      </c>
      <c r="H260" s="30">
        <f>WEEKDAY(DaybyDay[[#This Row],[Date]])</f>
        <v>2</v>
      </c>
      <c r="I260" s="31">
        <v>42989</v>
      </c>
      <c r="J260" s="74">
        <v>9</v>
      </c>
      <c r="K260" s="32">
        <f>SUMIFS(BudgetSeasonality[365 Seasonality],BudgetSeasonality[MonthAdjustment],DaybyDay[[#This Row],[Date]])*SUMIFS(Budgets[Service-Budget],Budgets[BudgetMonth],DaybyDay[[#This Row],[RowMonth]],Budgets[BudgetYear],DaybyDay[[#This Row],[RowYear]])</f>
        <v>0</v>
      </c>
      <c r="L260" s="75">
        <v>2755</v>
      </c>
      <c r="M260" s="32">
        <f>INDEX(BudgetSeasonality[365 Seasonality],MATCH(DaybyDay[[#This Row],[Date]],BudgetSeasonality[MonthAdjustment],0))*SUMIFS(Budgets[Retail-Budget],Budgets[BudgetMonth],DaybyDay[[#This Row],[RowMonth]],Budgets[BudgetYear],DaybyDay[[#This Row],[RowYear]])</f>
        <v>0</v>
      </c>
      <c r="N260" s="75">
        <v>125</v>
      </c>
      <c r="O260" s="33">
        <f>SUMIFS(DaybyDay[Service-Budgets],DaybyDay[Date],"&gt;="&amp;$C$5,DaybyDay[RowYear],"&gt;="&amp;$C$4,DaybyDay[Date],"&lt;="&amp;DaybyDay[[#This Row],[Date]])</f>
        <v>0</v>
      </c>
      <c r="P260" s="33">
        <f>SUMIFS(DaybyDay[Retail-Budgets],DaybyDay[Date],"&gt;="&amp;$C$5,DaybyDay[RowYear],"&gt;="&amp;$C$4,DaybyDay[Date],"&lt;="&amp;DaybyDay[[#This Row],[Date]])</f>
        <v>0</v>
      </c>
      <c r="Q260" s="34">
        <f>SUMIFS(DaybyDay[Service-Actuals],DaybyDay[Date],"&gt;="&amp;$C$5,DaybyDay[RowYear],"&gt;="&amp;$C$4,DaybyDay[Date],"&lt;="&amp;DaybyDay[[#This Row],[Date]])</f>
        <v>0</v>
      </c>
      <c r="R260" s="34">
        <f>SUMIFS(DaybyDay[Retail-Actuals],DaybyDay[Date],"&gt;="&amp;$C$5,DaybyDay[RowYear],"&gt;="&amp;$C$4,DaybyDay[Date],"&lt;="&amp;DaybyDay[[#This Row],[Date]])</f>
        <v>0</v>
      </c>
      <c r="S260" s="35">
        <f>SUMIFS(DaybyDay[Service-LY],DaybyDay[Date],"&gt;="&amp;$C$5,DaybyDay[RowYear],"&gt;="&amp;$C$4,DaybyDay[Date],"&lt;="&amp;DaybyDay[[#This Row],[Date]])</f>
        <v>0</v>
      </c>
      <c r="T260" s="35">
        <f>SUMIFS(DaybyDay[Retail-LY],DaybyDay[Date],"&gt;="&amp;$C$5,DaybyDay[RowYear],"&gt;="&amp;$C$4,DaybyDay[Date],"&lt;="&amp;DaybyDay[[#This Row],[Date]])</f>
        <v>0</v>
      </c>
      <c r="U260" s="32">
        <f>DaybyDay[[#This Row],[Serv-Bud-RU]]+DaybyDay[[#This Row],[Ret-Bud-RU]]</f>
        <v>0</v>
      </c>
      <c r="V260" s="32">
        <f>DaybyDay[[#This Row],[Serv-Act-RU]]+DaybyDay[[#This Row],[Ret-Act-RU]]</f>
        <v>0</v>
      </c>
      <c r="W260" s="36">
        <f>IF(DaybyDay[[#This Row],[_Space]],IFERROR(
((DaybyDay[[#This Row],[Actual-Rollup]]-DaybyDay[[#This Row],[Budget-Rollup]])/DaybyDay[[#This Row],[Budget-Rollup]]),0),"")</f>
        <v>0</v>
      </c>
      <c r="X260" t="b">
        <f>NOT(AND(ISBLANK(DaybyDay[[#This Row],[Appts]]),ISBLANK(DaybyDay[[#This Row],[Service-Actuals]]),ISBLANK(DaybyDay[[#This Row],[Retail-Actuals]])))</f>
        <v>1</v>
      </c>
      <c r="Y260" s="36">
        <f>IF(DaybyDay[[#This Row],[_Space]],IFERROR(
((DaybyDay[[#This Row],[Actual-Rollup]]-DaybyDay[[#This Row],[LY-Rollup]])/DaybyDay[[#This Row],[LY-Rollup]]),0),"")</f>
        <v>0</v>
      </c>
      <c r="Z260"/>
      <c r="AA260" s="37" t="e">
        <f>IF(DaybyDay[[#This Row],[_Space]],DaybyDay[[#This Row],[Ret-Act-RU]]/DaybyDay[[#This Row],[Serv-Act-RU]],"")</f>
        <v>#DIV/0!</v>
      </c>
      <c r="AB260" s="50" t="e">
        <f>IF(DaybyDay[[#This Row],[_Space]],DaybyDay[[#This Row],[RETPEN-Act]]/DaybyDay[[#This Row],[RETPEN-Bud]],"")</f>
        <v>#DIV/0!</v>
      </c>
      <c r="AC260" s="37" t="e">
        <f>IF(DaybyDay[[#This Row],[_Space]],DaybyDay[[#This Row],[Ret-Bud-RU]]/DaybyDay[[#This Row],[Serv-Bud-RU]],"")</f>
        <v>#DIV/0!</v>
      </c>
      <c r="AD260" s="37" t="e">
        <f>IF(DaybyDay[[#This Row],[_Space]],DaybyDay[[#This Row],[Ret-LY-RU]]/DaybyDay[[#This Row],[Serv-LY-RU]],"")</f>
        <v>#DIV/0!</v>
      </c>
      <c r="AE260" s="30">
        <f>WEEKDAY(DaybyDay[[#This Row],[LY-Date]])</f>
        <v>2</v>
      </c>
      <c r="AF260" s="38">
        <f>$E$2+_xlfn.DAYS(DaybyDay[[#This Row],[Date]],minDate)</f>
        <v>42625</v>
      </c>
      <c r="AG260" s="39" t="str" cm="1">
        <f t="array" ref="AG260">IFERROR(INDEX(DaybyDay[],DaybyDay[[#This Row],[FORM_MATCH_HELPER]],8),"")</f>
        <v/>
      </c>
      <c r="AH260" s="39" t="str" cm="1">
        <f t="array" ref="AH260">IFERROR(INDEX(DaybyDay[],DaybyDay[[#This Row],[FORM_MATCH_HELPER]],10),"")</f>
        <v/>
      </c>
      <c r="AI260" s="39" t="str" cm="1">
        <f t="array" ref="AI260">IFERROR(INDEX(DaybyDay[],DaybyDay[[#This Row],[FORM_MATCH_HELPER]],12),"")</f>
        <v/>
      </c>
      <c r="AJ260" s="32">
        <f>IFERROR(DaybyDay[[#This Row],[Serv-LY-RU]]+DaybyDay[[#This Row],[Ret-LY-RU]],"")</f>
        <v>0</v>
      </c>
      <c r="AK2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0" s="77"/>
      <c r="AM260" s="40" t="str">
        <f>IF(DaybyDay[[#This Row],[Admin Hours]]&gt;0,DaybyDay[[#This Row],[Admin Hours]]*$AM$2+$AM$3,"")</f>
        <v/>
      </c>
      <c r="AN260" s="40">
        <f>SUMIFS(DaybyDay[Est-Admin-Payroll],DaybyDay[Date],"&gt;="&amp;$C$5,DaybyDay[RowYear],"&gt;="&amp;$C$4,DaybyDay[Date],"&lt;="&amp;DaybyDay[[#This Row],[Date]])</f>
        <v>0</v>
      </c>
      <c r="AO260" s="41" t="str">
        <f>IF(AND(DaybyDay[[#This Row],[_Space]],ISNUMBER(DaybyDay[[#This Row],[Admin Hours]])),DaybyDay[[#This Row],[Est-Admin-Payroll]]/(DaybyDay[[#This Row],[Service-Actuals]]+DaybyDay[[#This Row],[Retail-Actuals]]),"")</f>
        <v/>
      </c>
      <c r="AP260" s="41" t="e">
        <f>DaybyDay[[#This Row],[Estimated-Payroll-Rollup]]/DaybyDay[[#This Row],[Simple-Forecast]]</f>
        <v>#DIV/0!</v>
      </c>
      <c r="AQ2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0" s="77"/>
      <c r="AS260" s="40" t="str">
        <f>IF(DaybyDay[[#This Row],[Retail Hours]]&gt;0,DaybyDay[[#This Row],[Retail Hours]]*$AS$2,"")</f>
        <v/>
      </c>
      <c r="AT260" s="40">
        <f>SUMIFS(DaybyDay[Est-Retail-Payroll],DaybyDay[Date],"&gt;="&amp;$C$5,DaybyDay[RowYear],"&gt;="&amp;$C$4,DaybyDay[Date],"&lt;="&amp;DaybyDay[[#This Row],[Date]])</f>
        <v>0</v>
      </c>
      <c r="AU260" s="82" t="str">
        <f>IF(AND(DaybyDay[[#This Row],[_Space]],ISNUMBER(DaybyDay[[#This Row],[Retail Hours]])),DaybyDay[[#This Row],[Est-Retail-Payroll]]/(DaybyDay[[#This Row],[Retail-Actuals]]),"")</f>
        <v/>
      </c>
      <c r="AV260" s="82" t="e">
        <f>DaybyDay[[#This Row],[Est-Retail-PayrollRU]]/DaybyDay[[#This Row],[Simple-Forecast-Retail]]</f>
        <v>#DIV/0!</v>
      </c>
      <c r="AW260" s="8"/>
    </row>
    <row r="261" spans="3:49" hidden="1" x14ac:dyDescent="0.25">
      <c r="C261" s="26" t="str">
        <f>Tools!$C$1</f>
        <v>Example</v>
      </c>
      <c r="D261" s="27" t="s">
        <v>76</v>
      </c>
      <c r="E261" s="28">
        <v>2017</v>
      </c>
      <c r="F261" s="28">
        <f>MATCH(DaybyDay[[#This Row],[RowMonth]],Table3[SummaryMonth],0)</f>
        <v>9</v>
      </c>
      <c r="G261" s="29" t="e">
        <f>MATCH(DaybyDay[[#This Row],[LY-Date]],DaybyDay[Date],0)</f>
        <v>#N/A</v>
      </c>
      <c r="H261" s="30">
        <f>WEEKDAY(DaybyDay[[#This Row],[Date]])</f>
        <v>3</v>
      </c>
      <c r="I261" s="31">
        <v>42990</v>
      </c>
      <c r="J261" s="74">
        <v>17</v>
      </c>
      <c r="K261" s="32">
        <f>SUMIFS(BudgetSeasonality[365 Seasonality],BudgetSeasonality[MonthAdjustment],DaybyDay[[#This Row],[Date]])*SUMIFS(Budgets[Service-Budget],Budgets[BudgetMonth],DaybyDay[[#This Row],[RowMonth]],Budgets[BudgetYear],DaybyDay[[#This Row],[RowYear]])</f>
        <v>0</v>
      </c>
      <c r="L261" s="75">
        <v>3444</v>
      </c>
      <c r="M261" s="32">
        <f>INDEX(BudgetSeasonality[365 Seasonality],MATCH(DaybyDay[[#This Row],[Date]],BudgetSeasonality[MonthAdjustment],0))*SUMIFS(Budgets[Retail-Budget],Budgets[BudgetMonth],DaybyDay[[#This Row],[RowMonth]],Budgets[BudgetYear],DaybyDay[[#This Row],[RowYear]])</f>
        <v>0</v>
      </c>
      <c r="N261" s="75">
        <v>2801.6</v>
      </c>
      <c r="O261" s="33">
        <f>SUMIFS(DaybyDay[Service-Budgets],DaybyDay[Date],"&gt;="&amp;$C$5,DaybyDay[RowYear],"&gt;="&amp;$C$4,DaybyDay[Date],"&lt;="&amp;DaybyDay[[#This Row],[Date]])</f>
        <v>0</v>
      </c>
      <c r="P261" s="33">
        <f>SUMIFS(DaybyDay[Retail-Budgets],DaybyDay[Date],"&gt;="&amp;$C$5,DaybyDay[RowYear],"&gt;="&amp;$C$4,DaybyDay[Date],"&lt;="&amp;DaybyDay[[#This Row],[Date]])</f>
        <v>0</v>
      </c>
      <c r="Q261" s="34">
        <f>SUMIFS(DaybyDay[Service-Actuals],DaybyDay[Date],"&gt;="&amp;$C$5,DaybyDay[RowYear],"&gt;="&amp;$C$4,DaybyDay[Date],"&lt;="&amp;DaybyDay[[#This Row],[Date]])</f>
        <v>0</v>
      </c>
      <c r="R261" s="34">
        <f>SUMIFS(DaybyDay[Retail-Actuals],DaybyDay[Date],"&gt;="&amp;$C$5,DaybyDay[RowYear],"&gt;="&amp;$C$4,DaybyDay[Date],"&lt;="&amp;DaybyDay[[#This Row],[Date]])</f>
        <v>0</v>
      </c>
      <c r="S261" s="35">
        <f>SUMIFS(DaybyDay[Service-LY],DaybyDay[Date],"&gt;="&amp;$C$5,DaybyDay[RowYear],"&gt;="&amp;$C$4,DaybyDay[Date],"&lt;="&amp;DaybyDay[[#This Row],[Date]])</f>
        <v>0</v>
      </c>
      <c r="T261" s="35">
        <f>SUMIFS(DaybyDay[Retail-LY],DaybyDay[Date],"&gt;="&amp;$C$5,DaybyDay[RowYear],"&gt;="&amp;$C$4,DaybyDay[Date],"&lt;="&amp;DaybyDay[[#This Row],[Date]])</f>
        <v>0</v>
      </c>
      <c r="U261" s="32">
        <f>DaybyDay[[#This Row],[Serv-Bud-RU]]+DaybyDay[[#This Row],[Ret-Bud-RU]]</f>
        <v>0</v>
      </c>
      <c r="V261" s="32">
        <f>DaybyDay[[#This Row],[Serv-Act-RU]]+DaybyDay[[#This Row],[Ret-Act-RU]]</f>
        <v>0</v>
      </c>
      <c r="W261" s="36">
        <f>IF(DaybyDay[[#This Row],[_Space]],IFERROR(
((DaybyDay[[#This Row],[Actual-Rollup]]-DaybyDay[[#This Row],[Budget-Rollup]])/DaybyDay[[#This Row],[Budget-Rollup]]),0),"")</f>
        <v>0</v>
      </c>
      <c r="X261" t="b">
        <f>NOT(AND(ISBLANK(DaybyDay[[#This Row],[Appts]]),ISBLANK(DaybyDay[[#This Row],[Service-Actuals]]),ISBLANK(DaybyDay[[#This Row],[Retail-Actuals]])))</f>
        <v>1</v>
      </c>
      <c r="Y261" s="36">
        <f>IF(DaybyDay[[#This Row],[_Space]],IFERROR(
((DaybyDay[[#This Row],[Actual-Rollup]]-DaybyDay[[#This Row],[LY-Rollup]])/DaybyDay[[#This Row],[LY-Rollup]]),0),"")</f>
        <v>0</v>
      </c>
      <c r="Z261"/>
      <c r="AA261" s="37" t="e">
        <f>IF(DaybyDay[[#This Row],[_Space]],DaybyDay[[#This Row],[Ret-Act-RU]]/DaybyDay[[#This Row],[Serv-Act-RU]],"")</f>
        <v>#DIV/0!</v>
      </c>
      <c r="AB261" s="50" t="e">
        <f>IF(DaybyDay[[#This Row],[_Space]],DaybyDay[[#This Row],[RETPEN-Act]]/DaybyDay[[#This Row],[RETPEN-Bud]],"")</f>
        <v>#DIV/0!</v>
      </c>
      <c r="AC261" s="37" t="e">
        <f>IF(DaybyDay[[#This Row],[_Space]],DaybyDay[[#This Row],[Ret-Bud-RU]]/DaybyDay[[#This Row],[Serv-Bud-RU]],"")</f>
        <v>#DIV/0!</v>
      </c>
      <c r="AD261" s="37" t="e">
        <f>IF(DaybyDay[[#This Row],[_Space]],DaybyDay[[#This Row],[Ret-LY-RU]]/DaybyDay[[#This Row],[Serv-LY-RU]],"")</f>
        <v>#DIV/0!</v>
      </c>
      <c r="AE261" s="30">
        <f>WEEKDAY(DaybyDay[[#This Row],[LY-Date]])</f>
        <v>3</v>
      </c>
      <c r="AF261" s="38">
        <f>$E$2+_xlfn.DAYS(DaybyDay[[#This Row],[Date]],minDate)</f>
        <v>42626</v>
      </c>
      <c r="AG261" s="39" t="str" cm="1">
        <f t="array" ref="AG261">IFERROR(INDEX(DaybyDay[],DaybyDay[[#This Row],[FORM_MATCH_HELPER]],8),"")</f>
        <v/>
      </c>
      <c r="AH261" s="39" t="str" cm="1">
        <f t="array" ref="AH261">IFERROR(INDEX(DaybyDay[],DaybyDay[[#This Row],[FORM_MATCH_HELPER]],10),"")</f>
        <v/>
      </c>
      <c r="AI261" s="39" t="str" cm="1">
        <f t="array" ref="AI261">IFERROR(INDEX(DaybyDay[],DaybyDay[[#This Row],[FORM_MATCH_HELPER]],12),"")</f>
        <v/>
      </c>
      <c r="AJ261" s="32">
        <f>IFERROR(DaybyDay[[#This Row],[Serv-LY-RU]]+DaybyDay[[#This Row],[Ret-LY-RU]],"")</f>
        <v>0</v>
      </c>
      <c r="AK2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1" s="77"/>
      <c r="AM261" s="40" t="str">
        <f>IF(DaybyDay[[#This Row],[Admin Hours]]&gt;0,DaybyDay[[#This Row],[Admin Hours]]*$AM$2+$AM$3,"")</f>
        <v/>
      </c>
      <c r="AN261" s="40">
        <f>SUMIFS(DaybyDay[Est-Admin-Payroll],DaybyDay[Date],"&gt;="&amp;$C$5,DaybyDay[RowYear],"&gt;="&amp;$C$4,DaybyDay[Date],"&lt;="&amp;DaybyDay[[#This Row],[Date]])</f>
        <v>0</v>
      </c>
      <c r="AO261" s="41" t="str">
        <f>IF(AND(DaybyDay[[#This Row],[_Space]],ISNUMBER(DaybyDay[[#This Row],[Admin Hours]])),DaybyDay[[#This Row],[Est-Admin-Payroll]]/(DaybyDay[[#This Row],[Service-Actuals]]+DaybyDay[[#This Row],[Retail-Actuals]]),"")</f>
        <v/>
      </c>
      <c r="AP261" s="41" t="e">
        <f>DaybyDay[[#This Row],[Estimated-Payroll-Rollup]]/DaybyDay[[#This Row],[Simple-Forecast]]</f>
        <v>#DIV/0!</v>
      </c>
      <c r="AQ2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1" s="77"/>
      <c r="AS261" s="40" t="str">
        <f>IF(DaybyDay[[#This Row],[Retail Hours]]&gt;0,DaybyDay[[#This Row],[Retail Hours]]*$AS$2,"")</f>
        <v/>
      </c>
      <c r="AT261" s="40">
        <f>SUMIFS(DaybyDay[Est-Retail-Payroll],DaybyDay[Date],"&gt;="&amp;$C$5,DaybyDay[RowYear],"&gt;="&amp;$C$4,DaybyDay[Date],"&lt;="&amp;DaybyDay[[#This Row],[Date]])</f>
        <v>0</v>
      </c>
      <c r="AU261" s="82" t="str">
        <f>IF(AND(DaybyDay[[#This Row],[_Space]],ISNUMBER(DaybyDay[[#This Row],[Retail Hours]])),DaybyDay[[#This Row],[Est-Retail-Payroll]]/(DaybyDay[[#This Row],[Retail-Actuals]]),"")</f>
        <v/>
      </c>
      <c r="AV261" s="82" t="e">
        <f>DaybyDay[[#This Row],[Est-Retail-PayrollRU]]/DaybyDay[[#This Row],[Simple-Forecast-Retail]]</f>
        <v>#DIV/0!</v>
      </c>
      <c r="AW261" s="8"/>
    </row>
    <row r="262" spans="3:49" hidden="1" x14ac:dyDescent="0.25">
      <c r="C262" s="26" t="str">
        <f>Tools!$C$1</f>
        <v>Example</v>
      </c>
      <c r="D262" s="27" t="s">
        <v>76</v>
      </c>
      <c r="E262" s="28">
        <v>2017</v>
      </c>
      <c r="F262" s="28">
        <f>MATCH(DaybyDay[[#This Row],[RowMonth]],Table3[SummaryMonth],0)</f>
        <v>9</v>
      </c>
      <c r="G262" s="29" t="e">
        <f>MATCH(DaybyDay[[#This Row],[LY-Date]],DaybyDay[Date],0)</f>
        <v>#N/A</v>
      </c>
      <c r="H262" s="30">
        <f>WEEKDAY(DaybyDay[[#This Row],[Date]])</f>
        <v>4</v>
      </c>
      <c r="I262" s="31">
        <v>42991</v>
      </c>
      <c r="J262" s="74">
        <v>14</v>
      </c>
      <c r="K262" s="32">
        <f>SUMIFS(BudgetSeasonality[365 Seasonality],BudgetSeasonality[MonthAdjustment],DaybyDay[[#This Row],[Date]])*SUMIFS(Budgets[Service-Budget],Budgets[BudgetMonth],DaybyDay[[#This Row],[RowMonth]],Budgets[BudgetYear],DaybyDay[[#This Row],[RowYear]])</f>
        <v>0</v>
      </c>
      <c r="L262" s="75">
        <v>2588.6</v>
      </c>
      <c r="M262" s="32">
        <f>INDEX(BudgetSeasonality[365 Seasonality],MATCH(DaybyDay[[#This Row],[Date]],BudgetSeasonality[MonthAdjustment],0))*SUMIFS(Budgets[Retail-Budget],Budgets[BudgetMonth],DaybyDay[[#This Row],[RowMonth]],Budgets[BudgetYear],DaybyDay[[#This Row],[RowYear]])</f>
        <v>0</v>
      </c>
      <c r="N262" s="75">
        <v>383</v>
      </c>
      <c r="O262" s="33">
        <f>SUMIFS(DaybyDay[Service-Budgets],DaybyDay[Date],"&gt;="&amp;$C$5,DaybyDay[RowYear],"&gt;="&amp;$C$4,DaybyDay[Date],"&lt;="&amp;DaybyDay[[#This Row],[Date]])</f>
        <v>0</v>
      </c>
      <c r="P262" s="33">
        <f>SUMIFS(DaybyDay[Retail-Budgets],DaybyDay[Date],"&gt;="&amp;$C$5,DaybyDay[RowYear],"&gt;="&amp;$C$4,DaybyDay[Date],"&lt;="&amp;DaybyDay[[#This Row],[Date]])</f>
        <v>0</v>
      </c>
      <c r="Q262" s="34">
        <f>SUMIFS(DaybyDay[Service-Actuals],DaybyDay[Date],"&gt;="&amp;$C$5,DaybyDay[RowYear],"&gt;="&amp;$C$4,DaybyDay[Date],"&lt;="&amp;DaybyDay[[#This Row],[Date]])</f>
        <v>0</v>
      </c>
      <c r="R262" s="34">
        <f>SUMIFS(DaybyDay[Retail-Actuals],DaybyDay[Date],"&gt;="&amp;$C$5,DaybyDay[RowYear],"&gt;="&amp;$C$4,DaybyDay[Date],"&lt;="&amp;DaybyDay[[#This Row],[Date]])</f>
        <v>0</v>
      </c>
      <c r="S262" s="35">
        <f>SUMIFS(DaybyDay[Service-LY],DaybyDay[Date],"&gt;="&amp;$C$5,DaybyDay[RowYear],"&gt;="&amp;$C$4,DaybyDay[Date],"&lt;="&amp;DaybyDay[[#This Row],[Date]])</f>
        <v>0</v>
      </c>
      <c r="T262" s="35">
        <f>SUMIFS(DaybyDay[Retail-LY],DaybyDay[Date],"&gt;="&amp;$C$5,DaybyDay[RowYear],"&gt;="&amp;$C$4,DaybyDay[Date],"&lt;="&amp;DaybyDay[[#This Row],[Date]])</f>
        <v>0</v>
      </c>
      <c r="U262" s="32">
        <f>DaybyDay[[#This Row],[Serv-Bud-RU]]+DaybyDay[[#This Row],[Ret-Bud-RU]]</f>
        <v>0</v>
      </c>
      <c r="V262" s="32">
        <f>DaybyDay[[#This Row],[Serv-Act-RU]]+DaybyDay[[#This Row],[Ret-Act-RU]]</f>
        <v>0</v>
      </c>
      <c r="W262" s="36">
        <f>IF(DaybyDay[[#This Row],[_Space]],IFERROR(
((DaybyDay[[#This Row],[Actual-Rollup]]-DaybyDay[[#This Row],[Budget-Rollup]])/DaybyDay[[#This Row],[Budget-Rollup]]),0),"")</f>
        <v>0</v>
      </c>
      <c r="X262" t="b">
        <f>NOT(AND(ISBLANK(DaybyDay[[#This Row],[Appts]]),ISBLANK(DaybyDay[[#This Row],[Service-Actuals]]),ISBLANK(DaybyDay[[#This Row],[Retail-Actuals]])))</f>
        <v>1</v>
      </c>
      <c r="Y262" s="36">
        <f>IF(DaybyDay[[#This Row],[_Space]],IFERROR(
((DaybyDay[[#This Row],[Actual-Rollup]]-DaybyDay[[#This Row],[LY-Rollup]])/DaybyDay[[#This Row],[LY-Rollup]]),0),"")</f>
        <v>0</v>
      </c>
      <c r="Z262"/>
      <c r="AA262" s="37" t="e">
        <f>IF(DaybyDay[[#This Row],[_Space]],DaybyDay[[#This Row],[Ret-Act-RU]]/DaybyDay[[#This Row],[Serv-Act-RU]],"")</f>
        <v>#DIV/0!</v>
      </c>
      <c r="AB262" s="50" t="e">
        <f>IF(DaybyDay[[#This Row],[_Space]],DaybyDay[[#This Row],[RETPEN-Act]]/DaybyDay[[#This Row],[RETPEN-Bud]],"")</f>
        <v>#DIV/0!</v>
      </c>
      <c r="AC262" s="37" t="e">
        <f>IF(DaybyDay[[#This Row],[_Space]],DaybyDay[[#This Row],[Ret-Bud-RU]]/DaybyDay[[#This Row],[Serv-Bud-RU]],"")</f>
        <v>#DIV/0!</v>
      </c>
      <c r="AD262" s="37" t="e">
        <f>IF(DaybyDay[[#This Row],[_Space]],DaybyDay[[#This Row],[Ret-LY-RU]]/DaybyDay[[#This Row],[Serv-LY-RU]],"")</f>
        <v>#DIV/0!</v>
      </c>
      <c r="AE262" s="30">
        <f>WEEKDAY(DaybyDay[[#This Row],[LY-Date]])</f>
        <v>4</v>
      </c>
      <c r="AF262" s="38">
        <f>$E$2+_xlfn.DAYS(DaybyDay[[#This Row],[Date]],minDate)</f>
        <v>42627</v>
      </c>
      <c r="AG262" s="39" t="str" cm="1">
        <f t="array" ref="AG262">IFERROR(INDEX(DaybyDay[],DaybyDay[[#This Row],[FORM_MATCH_HELPER]],8),"")</f>
        <v/>
      </c>
      <c r="AH262" s="39" t="str" cm="1">
        <f t="array" ref="AH262">IFERROR(INDEX(DaybyDay[],DaybyDay[[#This Row],[FORM_MATCH_HELPER]],10),"")</f>
        <v/>
      </c>
      <c r="AI262" s="39" t="str" cm="1">
        <f t="array" ref="AI262">IFERROR(INDEX(DaybyDay[],DaybyDay[[#This Row],[FORM_MATCH_HELPER]],12),"")</f>
        <v/>
      </c>
      <c r="AJ262" s="32">
        <f>IFERROR(DaybyDay[[#This Row],[Serv-LY-RU]]+DaybyDay[[#This Row],[Ret-LY-RU]],"")</f>
        <v>0</v>
      </c>
      <c r="AK2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2" s="77"/>
      <c r="AM262" s="40" t="str">
        <f>IF(DaybyDay[[#This Row],[Admin Hours]]&gt;0,DaybyDay[[#This Row],[Admin Hours]]*$AM$2+$AM$3,"")</f>
        <v/>
      </c>
      <c r="AN262" s="40">
        <f>SUMIFS(DaybyDay[Est-Admin-Payroll],DaybyDay[Date],"&gt;="&amp;$C$5,DaybyDay[RowYear],"&gt;="&amp;$C$4,DaybyDay[Date],"&lt;="&amp;DaybyDay[[#This Row],[Date]])</f>
        <v>0</v>
      </c>
      <c r="AO262" s="41" t="str">
        <f>IF(AND(DaybyDay[[#This Row],[_Space]],ISNUMBER(DaybyDay[[#This Row],[Admin Hours]])),DaybyDay[[#This Row],[Est-Admin-Payroll]]/(DaybyDay[[#This Row],[Service-Actuals]]+DaybyDay[[#This Row],[Retail-Actuals]]),"")</f>
        <v/>
      </c>
      <c r="AP262" s="41" t="e">
        <f>DaybyDay[[#This Row],[Estimated-Payroll-Rollup]]/DaybyDay[[#This Row],[Simple-Forecast]]</f>
        <v>#DIV/0!</v>
      </c>
      <c r="AQ2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2" s="77"/>
      <c r="AS262" s="40" t="str">
        <f>IF(DaybyDay[[#This Row],[Retail Hours]]&gt;0,DaybyDay[[#This Row],[Retail Hours]]*$AS$2,"")</f>
        <v/>
      </c>
      <c r="AT262" s="40">
        <f>SUMIFS(DaybyDay[Est-Retail-Payroll],DaybyDay[Date],"&gt;="&amp;$C$5,DaybyDay[RowYear],"&gt;="&amp;$C$4,DaybyDay[Date],"&lt;="&amp;DaybyDay[[#This Row],[Date]])</f>
        <v>0</v>
      </c>
      <c r="AU262" s="82" t="str">
        <f>IF(AND(DaybyDay[[#This Row],[_Space]],ISNUMBER(DaybyDay[[#This Row],[Retail Hours]])),DaybyDay[[#This Row],[Est-Retail-Payroll]]/(DaybyDay[[#This Row],[Retail-Actuals]]),"")</f>
        <v/>
      </c>
      <c r="AV262" s="82" t="e">
        <f>DaybyDay[[#This Row],[Est-Retail-PayrollRU]]/DaybyDay[[#This Row],[Simple-Forecast-Retail]]</f>
        <v>#DIV/0!</v>
      </c>
      <c r="AW262" s="8"/>
    </row>
    <row r="263" spans="3:49" hidden="1" x14ac:dyDescent="0.25">
      <c r="C263" s="26" t="str">
        <f>Tools!$C$1</f>
        <v>Example</v>
      </c>
      <c r="D263" s="27" t="s">
        <v>76</v>
      </c>
      <c r="E263" s="28">
        <v>2017</v>
      </c>
      <c r="F263" s="28">
        <f>MATCH(DaybyDay[[#This Row],[RowMonth]],Table3[SummaryMonth],0)</f>
        <v>9</v>
      </c>
      <c r="G263" s="29" t="e">
        <f>MATCH(DaybyDay[[#This Row],[LY-Date]],DaybyDay[Date],0)</f>
        <v>#N/A</v>
      </c>
      <c r="H263" s="30">
        <f>WEEKDAY(DaybyDay[[#This Row],[Date]])</f>
        <v>5</v>
      </c>
      <c r="I263" s="31">
        <v>42992</v>
      </c>
      <c r="J263" s="74">
        <v>11</v>
      </c>
      <c r="K263" s="32">
        <f>SUMIFS(BudgetSeasonality[365 Seasonality],BudgetSeasonality[MonthAdjustment],DaybyDay[[#This Row],[Date]])*SUMIFS(Budgets[Service-Budget],Budgets[BudgetMonth],DaybyDay[[#This Row],[RowMonth]],Budgets[BudgetYear],DaybyDay[[#This Row],[RowYear]])</f>
        <v>0</v>
      </c>
      <c r="L263" s="75">
        <v>2420</v>
      </c>
      <c r="M263" s="32">
        <f>INDEX(BudgetSeasonality[365 Seasonality],MATCH(DaybyDay[[#This Row],[Date]],BudgetSeasonality[MonthAdjustment],0))*SUMIFS(Budgets[Retail-Budget],Budgets[BudgetMonth],DaybyDay[[#This Row],[RowMonth]],Budgets[BudgetYear],DaybyDay[[#This Row],[RowYear]])</f>
        <v>0</v>
      </c>
      <c r="N263" s="75">
        <v>921.3</v>
      </c>
      <c r="O263" s="33">
        <f>SUMIFS(DaybyDay[Service-Budgets],DaybyDay[Date],"&gt;="&amp;$C$5,DaybyDay[RowYear],"&gt;="&amp;$C$4,DaybyDay[Date],"&lt;="&amp;DaybyDay[[#This Row],[Date]])</f>
        <v>0</v>
      </c>
      <c r="P263" s="33">
        <f>SUMIFS(DaybyDay[Retail-Budgets],DaybyDay[Date],"&gt;="&amp;$C$5,DaybyDay[RowYear],"&gt;="&amp;$C$4,DaybyDay[Date],"&lt;="&amp;DaybyDay[[#This Row],[Date]])</f>
        <v>0</v>
      </c>
      <c r="Q263" s="34">
        <f>SUMIFS(DaybyDay[Service-Actuals],DaybyDay[Date],"&gt;="&amp;$C$5,DaybyDay[RowYear],"&gt;="&amp;$C$4,DaybyDay[Date],"&lt;="&amp;DaybyDay[[#This Row],[Date]])</f>
        <v>0</v>
      </c>
      <c r="R263" s="34">
        <f>SUMIFS(DaybyDay[Retail-Actuals],DaybyDay[Date],"&gt;="&amp;$C$5,DaybyDay[RowYear],"&gt;="&amp;$C$4,DaybyDay[Date],"&lt;="&amp;DaybyDay[[#This Row],[Date]])</f>
        <v>0</v>
      </c>
      <c r="S263" s="35">
        <f>SUMIFS(DaybyDay[Service-LY],DaybyDay[Date],"&gt;="&amp;$C$5,DaybyDay[RowYear],"&gt;="&amp;$C$4,DaybyDay[Date],"&lt;="&amp;DaybyDay[[#This Row],[Date]])</f>
        <v>0</v>
      </c>
      <c r="T263" s="35">
        <f>SUMIFS(DaybyDay[Retail-LY],DaybyDay[Date],"&gt;="&amp;$C$5,DaybyDay[RowYear],"&gt;="&amp;$C$4,DaybyDay[Date],"&lt;="&amp;DaybyDay[[#This Row],[Date]])</f>
        <v>0</v>
      </c>
      <c r="U263" s="32">
        <f>DaybyDay[[#This Row],[Serv-Bud-RU]]+DaybyDay[[#This Row],[Ret-Bud-RU]]</f>
        <v>0</v>
      </c>
      <c r="V263" s="32">
        <f>DaybyDay[[#This Row],[Serv-Act-RU]]+DaybyDay[[#This Row],[Ret-Act-RU]]</f>
        <v>0</v>
      </c>
      <c r="W263" s="36">
        <f>IF(DaybyDay[[#This Row],[_Space]],IFERROR(
((DaybyDay[[#This Row],[Actual-Rollup]]-DaybyDay[[#This Row],[Budget-Rollup]])/DaybyDay[[#This Row],[Budget-Rollup]]),0),"")</f>
        <v>0</v>
      </c>
      <c r="X263" t="b">
        <f>NOT(AND(ISBLANK(DaybyDay[[#This Row],[Appts]]),ISBLANK(DaybyDay[[#This Row],[Service-Actuals]]),ISBLANK(DaybyDay[[#This Row],[Retail-Actuals]])))</f>
        <v>1</v>
      </c>
      <c r="Y263" s="36">
        <f>IF(DaybyDay[[#This Row],[_Space]],IFERROR(
((DaybyDay[[#This Row],[Actual-Rollup]]-DaybyDay[[#This Row],[LY-Rollup]])/DaybyDay[[#This Row],[LY-Rollup]]),0),"")</f>
        <v>0</v>
      </c>
      <c r="Z263"/>
      <c r="AA263" s="37" t="e">
        <f>IF(DaybyDay[[#This Row],[_Space]],DaybyDay[[#This Row],[Ret-Act-RU]]/DaybyDay[[#This Row],[Serv-Act-RU]],"")</f>
        <v>#DIV/0!</v>
      </c>
      <c r="AB263" s="50" t="e">
        <f>IF(DaybyDay[[#This Row],[_Space]],DaybyDay[[#This Row],[RETPEN-Act]]/DaybyDay[[#This Row],[RETPEN-Bud]],"")</f>
        <v>#DIV/0!</v>
      </c>
      <c r="AC263" s="37" t="e">
        <f>IF(DaybyDay[[#This Row],[_Space]],DaybyDay[[#This Row],[Ret-Bud-RU]]/DaybyDay[[#This Row],[Serv-Bud-RU]],"")</f>
        <v>#DIV/0!</v>
      </c>
      <c r="AD263" s="37" t="e">
        <f>IF(DaybyDay[[#This Row],[_Space]],DaybyDay[[#This Row],[Ret-LY-RU]]/DaybyDay[[#This Row],[Serv-LY-RU]],"")</f>
        <v>#DIV/0!</v>
      </c>
      <c r="AE263" s="30">
        <f>WEEKDAY(DaybyDay[[#This Row],[LY-Date]])</f>
        <v>5</v>
      </c>
      <c r="AF263" s="38">
        <f>$E$2+_xlfn.DAYS(DaybyDay[[#This Row],[Date]],minDate)</f>
        <v>42628</v>
      </c>
      <c r="AG263" s="39" t="str" cm="1">
        <f t="array" ref="AG263">IFERROR(INDEX(DaybyDay[],DaybyDay[[#This Row],[FORM_MATCH_HELPER]],8),"")</f>
        <v/>
      </c>
      <c r="AH263" s="39" t="str" cm="1">
        <f t="array" ref="AH263">IFERROR(INDEX(DaybyDay[],DaybyDay[[#This Row],[FORM_MATCH_HELPER]],10),"")</f>
        <v/>
      </c>
      <c r="AI263" s="39" t="str" cm="1">
        <f t="array" ref="AI263">IFERROR(INDEX(DaybyDay[],DaybyDay[[#This Row],[FORM_MATCH_HELPER]],12),"")</f>
        <v/>
      </c>
      <c r="AJ263" s="32">
        <f>IFERROR(DaybyDay[[#This Row],[Serv-LY-RU]]+DaybyDay[[#This Row],[Ret-LY-RU]],"")</f>
        <v>0</v>
      </c>
      <c r="AK2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3" s="77"/>
      <c r="AM263" s="40" t="str">
        <f>IF(DaybyDay[[#This Row],[Admin Hours]]&gt;0,DaybyDay[[#This Row],[Admin Hours]]*$AM$2+$AM$3,"")</f>
        <v/>
      </c>
      <c r="AN263" s="40">
        <f>SUMIFS(DaybyDay[Est-Admin-Payroll],DaybyDay[Date],"&gt;="&amp;$C$5,DaybyDay[RowYear],"&gt;="&amp;$C$4,DaybyDay[Date],"&lt;="&amp;DaybyDay[[#This Row],[Date]])</f>
        <v>0</v>
      </c>
      <c r="AO263" s="41" t="str">
        <f>IF(AND(DaybyDay[[#This Row],[_Space]],ISNUMBER(DaybyDay[[#This Row],[Admin Hours]])),DaybyDay[[#This Row],[Est-Admin-Payroll]]/(DaybyDay[[#This Row],[Service-Actuals]]+DaybyDay[[#This Row],[Retail-Actuals]]),"")</f>
        <v/>
      </c>
      <c r="AP263" s="41" t="e">
        <f>DaybyDay[[#This Row],[Estimated-Payroll-Rollup]]/DaybyDay[[#This Row],[Simple-Forecast]]</f>
        <v>#DIV/0!</v>
      </c>
      <c r="AQ2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3" s="77"/>
      <c r="AS263" s="40" t="str">
        <f>IF(DaybyDay[[#This Row],[Retail Hours]]&gt;0,DaybyDay[[#This Row],[Retail Hours]]*$AS$2,"")</f>
        <v/>
      </c>
      <c r="AT263" s="40">
        <f>SUMIFS(DaybyDay[Est-Retail-Payroll],DaybyDay[Date],"&gt;="&amp;$C$5,DaybyDay[RowYear],"&gt;="&amp;$C$4,DaybyDay[Date],"&lt;="&amp;DaybyDay[[#This Row],[Date]])</f>
        <v>0</v>
      </c>
      <c r="AU263" s="82" t="str">
        <f>IF(AND(DaybyDay[[#This Row],[_Space]],ISNUMBER(DaybyDay[[#This Row],[Retail Hours]])),DaybyDay[[#This Row],[Est-Retail-Payroll]]/(DaybyDay[[#This Row],[Retail-Actuals]]),"")</f>
        <v/>
      </c>
      <c r="AV263" s="82" t="e">
        <f>DaybyDay[[#This Row],[Est-Retail-PayrollRU]]/DaybyDay[[#This Row],[Simple-Forecast-Retail]]</f>
        <v>#DIV/0!</v>
      </c>
      <c r="AW263" s="8"/>
    </row>
    <row r="264" spans="3:49" hidden="1" x14ac:dyDescent="0.25">
      <c r="C264" s="26" t="str">
        <f>Tools!$C$1</f>
        <v>Example</v>
      </c>
      <c r="D264" s="27" t="s">
        <v>76</v>
      </c>
      <c r="E264" s="28">
        <v>2017</v>
      </c>
      <c r="F264" s="28">
        <f>MATCH(DaybyDay[[#This Row],[RowMonth]],Table3[SummaryMonth],0)</f>
        <v>9</v>
      </c>
      <c r="G264" s="29" t="e">
        <f>MATCH(DaybyDay[[#This Row],[LY-Date]],DaybyDay[Date],0)</f>
        <v>#N/A</v>
      </c>
      <c r="H264" s="30">
        <f>WEEKDAY(DaybyDay[[#This Row],[Date]])</f>
        <v>6</v>
      </c>
      <c r="I264" s="31">
        <v>42993</v>
      </c>
      <c r="J264" s="74">
        <v>30</v>
      </c>
      <c r="K264" s="32">
        <f>SUMIFS(BudgetSeasonality[365 Seasonality],BudgetSeasonality[MonthAdjustment],DaybyDay[[#This Row],[Date]])*SUMIFS(Budgets[Service-Budget],Budgets[BudgetMonth],DaybyDay[[#This Row],[RowMonth]],Budgets[BudgetYear],DaybyDay[[#This Row],[RowYear]])</f>
        <v>0</v>
      </c>
      <c r="L264" s="75">
        <v>5801</v>
      </c>
      <c r="M264" s="32">
        <f>INDEX(BudgetSeasonality[365 Seasonality],MATCH(DaybyDay[[#This Row],[Date]],BudgetSeasonality[MonthAdjustment],0))*SUMIFS(Budgets[Retail-Budget],Budgets[BudgetMonth],DaybyDay[[#This Row],[RowMonth]],Budgets[BudgetYear],DaybyDay[[#This Row],[RowYear]])</f>
        <v>0</v>
      </c>
      <c r="N264" s="75">
        <v>250</v>
      </c>
      <c r="O264" s="33">
        <f>SUMIFS(DaybyDay[Service-Budgets],DaybyDay[Date],"&gt;="&amp;$C$5,DaybyDay[RowYear],"&gt;="&amp;$C$4,DaybyDay[Date],"&lt;="&amp;DaybyDay[[#This Row],[Date]])</f>
        <v>0</v>
      </c>
      <c r="P264" s="33">
        <f>SUMIFS(DaybyDay[Retail-Budgets],DaybyDay[Date],"&gt;="&amp;$C$5,DaybyDay[RowYear],"&gt;="&amp;$C$4,DaybyDay[Date],"&lt;="&amp;DaybyDay[[#This Row],[Date]])</f>
        <v>0</v>
      </c>
      <c r="Q264" s="34">
        <f>SUMIFS(DaybyDay[Service-Actuals],DaybyDay[Date],"&gt;="&amp;$C$5,DaybyDay[RowYear],"&gt;="&amp;$C$4,DaybyDay[Date],"&lt;="&amp;DaybyDay[[#This Row],[Date]])</f>
        <v>0</v>
      </c>
      <c r="R264" s="34">
        <f>SUMIFS(DaybyDay[Retail-Actuals],DaybyDay[Date],"&gt;="&amp;$C$5,DaybyDay[RowYear],"&gt;="&amp;$C$4,DaybyDay[Date],"&lt;="&amp;DaybyDay[[#This Row],[Date]])</f>
        <v>0</v>
      </c>
      <c r="S264" s="35">
        <f>SUMIFS(DaybyDay[Service-LY],DaybyDay[Date],"&gt;="&amp;$C$5,DaybyDay[RowYear],"&gt;="&amp;$C$4,DaybyDay[Date],"&lt;="&amp;DaybyDay[[#This Row],[Date]])</f>
        <v>0</v>
      </c>
      <c r="T264" s="35">
        <f>SUMIFS(DaybyDay[Retail-LY],DaybyDay[Date],"&gt;="&amp;$C$5,DaybyDay[RowYear],"&gt;="&amp;$C$4,DaybyDay[Date],"&lt;="&amp;DaybyDay[[#This Row],[Date]])</f>
        <v>0</v>
      </c>
      <c r="U264" s="32">
        <f>DaybyDay[[#This Row],[Serv-Bud-RU]]+DaybyDay[[#This Row],[Ret-Bud-RU]]</f>
        <v>0</v>
      </c>
      <c r="V264" s="32">
        <f>DaybyDay[[#This Row],[Serv-Act-RU]]+DaybyDay[[#This Row],[Ret-Act-RU]]</f>
        <v>0</v>
      </c>
      <c r="W264" s="36">
        <f>IF(DaybyDay[[#This Row],[_Space]],IFERROR(
((DaybyDay[[#This Row],[Actual-Rollup]]-DaybyDay[[#This Row],[Budget-Rollup]])/DaybyDay[[#This Row],[Budget-Rollup]]),0),"")</f>
        <v>0</v>
      </c>
      <c r="X264" t="b">
        <f>NOT(AND(ISBLANK(DaybyDay[[#This Row],[Appts]]),ISBLANK(DaybyDay[[#This Row],[Service-Actuals]]),ISBLANK(DaybyDay[[#This Row],[Retail-Actuals]])))</f>
        <v>1</v>
      </c>
      <c r="Y264" s="36">
        <f>IF(DaybyDay[[#This Row],[_Space]],IFERROR(
((DaybyDay[[#This Row],[Actual-Rollup]]-DaybyDay[[#This Row],[LY-Rollup]])/DaybyDay[[#This Row],[LY-Rollup]]),0),"")</f>
        <v>0</v>
      </c>
      <c r="Z264"/>
      <c r="AA264" s="37" t="e">
        <f>IF(DaybyDay[[#This Row],[_Space]],DaybyDay[[#This Row],[Ret-Act-RU]]/DaybyDay[[#This Row],[Serv-Act-RU]],"")</f>
        <v>#DIV/0!</v>
      </c>
      <c r="AB264" s="50" t="e">
        <f>IF(DaybyDay[[#This Row],[_Space]],DaybyDay[[#This Row],[RETPEN-Act]]/DaybyDay[[#This Row],[RETPEN-Bud]],"")</f>
        <v>#DIV/0!</v>
      </c>
      <c r="AC264" s="37" t="e">
        <f>IF(DaybyDay[[#This Row],[_Space]],DaybyDay[[#This Row],[Ret-Bud-RU]]/DaybyDay[[#This Row],[Serv-Bud-RU]],"")</f>
        <v>#DIV/0!</v>
      </c>
      <c r="AD264" s="37" t="e">
        <f>IF(DaybyDay[[#This Row],[_Space]],DaybyDay[[#This Row],[Ret-LY-RU]]/DaybyDay[[#This Row],[Serv-LY-RU]],"")</f>
        <v>#DIV/0!</v>
      </c>
      <c r="AE264" s="30">
        <f>WEEKDAY(DaybyDay[[#This Row],[LY-Date]])</f>
        <v>6</v>
      </c>
      <c r="AF264" s="38">
        <f>$E$2+_xlfn.DAYS(DaybyDay[[#This Row],[Date]],minDate)</f>
        <v>42629</v>
      </c>
      <c r="AG264" s="39" t="str" cm="1">
        <f t="array" ref="AG264">IFERROR(INDEX(DaybyDay[],DaybyDay[[#This Row],[FORM_MATCH_HELPER]],8),"")</f>
        <v/>
      </c>
      <c r="AH264" s="39" t="str" cm="1">
        <f t="array" ref="AH264">IFERROR(INDEX(DaybyDay[],DaybyDay[[#This Row],[FORM_MATCH_HELPER]],10),"")</f>
        <v/>
      </c>
      <c r="AI264" s="39" t="str" cm="1">
        <f t="array" ref="AI264">IFERROR(INDEX(DaybyDay[],DaybyDay[[#This Row],[FORM_MATCH_HELPER]],12),"")</f>
        <v/>
      </c>
      <c r="AJ264" s="32">
        <f>IFERROR(DaybyDay[[#This Row],[Serv-LY-RU]]+DaybyDay[[#This Row],[Ret-LY-RU]],"")</f>
        <v>0</v>
      </c>
      <c r="AK2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4" s="77"/>
      <c r="AM264" s="40" t="str">
        <f>IF(DaybyDay[[#This Row],[Admin Hours]]&gt;0,DaybyDay[[#This Row],[Admin Hours]]*$AM$2+$AM$3,"")</f>
        <v/>
      </c>
      <c r="AN264" s="40">
        <f>SUMIFS(DaybyDay[Est-Admin-Payroll],DaybyDay[Date],"&gt;="&amp;$C$5,DaybyDay[RowYear],"&gt;="&amp;$C$4,DaybyDay[Date],"&lt;="&amp;DaybyDay[[#This Row],[Date]])</f>
        <v>0</v>
      </c>
      <c r="AO264" s="41" t="str">
        <f>IF(AND(DaybyDay[[#This Row],[_Space]],ISNUMBER(DaybyDay[[#This Row],[Admin Hours]])),DaybyDay[[#This Row],[Est-Admin-Payroll]]/(DaybyDay[[#This Row],[Service-Actuals]]+DaybyDay[[#This Row],[Retail-Actuals]]),"")</f>
        <v/>
      </c>
      <c r="AP264" s="41" t="e">
        <f>DaybyDay[[#This Row],[Estimated-Payroll-Rollup]]/DaybyDay[[#This Row],[Simple-Forecast]]</f>
        <v>#DIV/0!</v>
      </c>
      <c r="AQ2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4" s="77"/>
      <c r="AS264" s="40" t="str">
        <f>IF(DaybyDay[[#This Row],[Retail Hours]]&gt;0,DaybyDay[[#This Row],[Retail Hours]]*$AS$2,"")</f>
        <v/>
      </c>
      <c r="AT264" s="40">
        <f>SUMIFS(DaybyDay[Est-Retail-Payroll],DaybyDay[Date],"&gt;="&amp;$C$5,DaybyDay[RowYear],"&gt;="&amp;$C$4,DaybyDay[Date],"&lt;="&amp;DaybyDay[[#This Row],[Date]])</f>
        <v>0</v>
      </c>
      <c r="AU264" s="82" t="str">
        <f>IF(AND(DaybyDay[[#This Row],[_Space]],ISNUMBER(DaybyDay[[#This Row],[Retail Hours]])),DaybyDay[[#This Row],[Est-Retail-Payroll]]/(DaybyDay[[#This Row],[Retail-Actuals]]),"")</f>
        <v/>
      </c>
      <c r="AV264" s="82" t="e">
        <f>DaybyDay[[#This Row],[Est-Retail-PayrollRU]]/DaybyDay[[#This Row],[Simple-Forecast-Retail]]</f>
        <v>#DIV/0!</v>
      </c>
      <c r="AW264" s="8"/>
    </row>
    <row r="265" spans="3:49" hidden="1" x14ac:dyDescent="0.25">
      <c r="C265" s="26" t="str">
        <f>Tools!$C$1</f>
        <v>Example</v>
      </c>
      <c r="D265" s="27" t="s">
        <v>76</v>
      </c>
      <c r="E265" s="28">
        <v>2017</v>
      </c>
      <c r="F265" s="28">
        <f>MATCH(DaybyDay[[#This Row],[RowMonth]],Table3[SummaryMonth],0)</f>
        <v>9</v>
      </c>
      <c r="G265" s="29" t="e">
        <f>MATCH(DaybyDay[[#This Row],[LY-Date]],DaybyDay[Date],0)</f>
        <v>#N/A</v>
      </c>
      <c r="H265" s="30">
        <f>WEEKDAY(DaybyDay[[#This Row],[Date]])</f>
        <v>7</v>
      </c>
      <c r="I265" s="31">
        <v>42994</v>
      </c>
      <c r="J265" s="74">
        <v>28</v>
      </c>
      <c r="K265" s="32">
        <f>SUMIFS(BudgetSeasonality[365 Seasonality],BudgetSeasonality[MonthAdjustment],DaybyDay[[#This Row],[Date]])*SUMIFS(Budgets[Service-Budget],Budgets[BudgetMonth],DaybyDay[[#This Row],[RowMonth]],Budgets[BudgetYear],DaybyDay[[#This Row],[RowYear]])</f>
        <v>0</v>
      </c>
      <c r="L265" s="75">
        <v>5314</v>
      </c>
      <c r="M265" s="32">
        <f>INDEX(BudgetSeasonality[365 Seasonality],MATCH(DaybyDay[[#This Row],[Date]],BudgetSeasonality[MonthAdjustment],0))*SUMIFS(Budgets[Retail-Budget],Budgets[BudgetMonth],DaybyDay[[#This Row],[RowMonth]],Budgets[BudgetYear],DaybyDay[[#This Row],[RowYear]])</f>
        <v>0</v>
      </c>
      <c r="N265" s="75">
        <v>129</v>
      </c>
      <c r="O265" s="33">
        <f>SUMIFS(DaybyDay[Service-Budgets],DaybyDay[Date],"&gt;="&amp;$C$5,DaybyDay[RowYear],"&gt;="&amp;$C$4,DaybyDay[Date],"&lt;="&amp;DaybyDay[[#This Row],[Date]])</f>
        <v>0</v>
      </c>
      <c r="P265" s="33">
        <f>SUMIFS(DaybyDay[Retail-Budgets],DaybyDay[Date],"&gt;="&amp;$C$5,DaybyDay[RowYear],"&gt;="&amp;$C$4,DaybyDay[Date],"&lt;="&amp;DaybyDay[[#This Row],[Date]])</f>
        <v>0</v>
      </c>
      <c r="Q265" s="34">
        <f>SUMIFS(DaybyDay[Service-Actuals],DaybyDay[Date],"&gt;="&amp;$C$5,DaybyDay[RowYear],"&gt;="&amp;$C$4,DaybyDay[Date],"&lt;="&amp;DaybyDay[[#This Row],[Date]])</f>
        <v>0</v>
      </c>
      <c r="R265" s="34">
        <f>SUMIFS(DaybyDay[Retail-Actuals],DaybyDay[Date],"&gt;="&amp;$C$5,DaybyDay[RowYear],"&gt;="&amp;$C$4,DaybyDay[Date],"&lt;="&amp;DaybyDay[[#This Row],[Date]])</f>
        <v>0</v>
      </c>
      <c r="S265" s="35">
        <f>SUMIFS(DaybyDay[Service-LY],DaybyDay[Date],"&gt;="&amp;$C$5,DaybyDay[RowYear],"&gt;="&amp;$C$4,DaybyDay[Date],"&lt;="&amp;DaybyDay[[#This Row],[Date]])</f>
        <v>0</v>
      </c>
      <c r="T265" s="35">
        <f>SUMIFS(DaybyDay[Retail-LY],DaybyDay[Date],"&gt;="&amp;$C$5,DaybyDay[RowYear],"&gt;="&amp;$C$4,DaybyDay[Date],"&lt;="&amp;DaybyDay[[#This Row],[Date]])</f>
        <v>0</v>
      </c>
      <c r="U265" s="32">
        <f>DaybyDay[[#This Row],[Serv-Bud-RU]]+DaybyDay[[#This Row],[Ret-Bud-RU]]</f>
        <v>0</v>
      </c>
      <c r="V265" s="32">
        <f>DaybyDay[[#This Row],[Serv-Act-RU]]+DaybyDay[[#This Row],[Ret-Act-RU]]</f>
        <v>0</v>
      </c>
      <c r="W265" s="36">
        <f>IF(DaybyDay[[#This Row],[_Space]],IFERROR(
((DaybyDay[[#This Row],[Actual-Rollup]]-DaybyDay[[#This Row],[Budget-Rollup]])/DaybyDay[[#This Row],[Budget-Rollup]]),0),"")</f>
        <v>0</v>
      </c>
      <c r="X265" t="b">
        <f>NOT(AND(ISBLANK(DaybyDay[[#This Row],[Appts]]),ISBLANK(DaybyDay[[#This Row],[Service-Actuals]]),ISBLANK(DaybyDay[[#This Row],[Retail-Actuals]])))</f>
        <v>1</v>
      </c>
      <c r="Y265" s="36">
        <f>IF(DaybyDay[[#This Row],[_Space]],IFERROR(
((DaybyDay[[#This Row],[Actual-Rollup]]-DaybyDay[[#This Row],[LY-Rollup]])/DaybyDay[[#This Row],[LY-Rollup]]),0),"")</f>
        <v>0</v>
      </c>
      <c r="Z265"/>
      <c r="AA265" s="37" t="e">
        <f>IF(DaybyDay[[#This Row],[_Space]],DaybyDay[[#This Row],[Ret-Act-RU]]/DaybyDay[[#This Row],[Serv-Act-RU]],"")</f>
        <v>#DIV/0!</v>
      </c>
      <c r="AB265" s="50" t="e">
        <f>IF(DaybyDay[[#This Row],[_Space]],DaybyDay[[#This Row],[RETPEN-Act]]/DaybyDay[[#This Row],[RETPEN-Bud]],"")</f>
        <v>#DIV/0!</v>
      </c>
      <c r="AC265" s="37" t="e">
        <f>IF(DaybyDay[[#This Row],[_Space]],DaybyDay[[#This Row],[Ret-Bud-RU]]/DaybyDay[[#This Row],[Serv-Bud-RU]],"")</f>
        <v>#DIV/0!</v>
      </c>
      <c r="AD265" s="37" t="e">
        <f>IF(DaybyDay[[#This Row],[_Space]],DaybyDay[[#This Row],[Ret-LY-RU]]/DaybyDay[[#This Row],[Serv-LY-RU]],"")</f>
        <v>#DIV/0!</v>
      </c>
      <c r="AE265" s="30">
        <f>WEEKDAY(DaybyDay[[#This Row],[LY-Date]])</f>
        <v>7</v>
      </c>
      <c r="AF265" s="38">
        <f>$E$2+_xlfn.DAYS(DaybyDay[[#This Row],[Date]],minDate)</f>
        <v>42630</v>
      </c>
      <c r="AG265" s="39" t="str" cm="1">
        <f t="array" ref="AG265">IFERROR(INDEX(DaybyDay[],DaybyDay[[#This Row],[FORM_MATCH_HELPER]],8),"")</f>
        <v/>
      </c>
      <c r="AH265" s="39" t="str" cm="1">
        <f t="array" ref="AH265">IFERROR(INDEX(DaybyDay[],DaybyDay[[#This Row],[FORM_MATCH_HELPER]],10),"")</f>
        <v/>
      </c>
      <c r="AI265" s="39" t="str" cm="1">
        <f t="array" ref="AI265">IFERROR(INDEX(DaybyDay[],DaybyDay[[#This Row],[FORM_MATCH_HELPER]],12),"")</f>
        <v/>
      </c>
      <c r="AJ265" s="32">
        <f>IFERROR(DaybyDay[[#This Row],[Serv-LY-RU]]+DaybyDay[[#This Row],[Ret-LY-RU]],"")</f>
        <v>0</v>
      </c>
      <c r="AK2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5" s="77"/>
      <c r="AM265" s="40" t="str">
        <f>IF(DaybyDay[[#This Row],[Admin Hours]]&gt;0,DaybyDay[[#This Row],[Admin Hours]]*$AM$2+$AM$3,"")</f>
        <v/>
      </c>
      <c r="AN265" s="40">
        <f>SUMIFS(DaybyDay[Est-Admin-Payroll],DaybyDay[Date],"&gt;="&amp;$C$5,DaybyDay[RowYear],"&gt;="&amp;$C$4,DaybyDay[Date],"&lt;="&amp;DaybyDay[[#This Row],[Date]])</f>
        <v>0</v>
      </c>
      <c r="AO265" s="41" t="str">
        <f>IF(AND(DaybyDay[[#This Row],[_Space]],ISNUMBER(DaybyDay[[#This Row],[Admin Hours]])),DaybyDay[[#This Row],[Est-Admin-Payroll]]/(DaybyDay[[#This Row],[Service-Actuals]]+DaybyDay[[#This Row],[Retail-Actuals]]),"")</f>
        <v/>
      </c>
      <c r="AP265" s="41" t="e">
        <f>DaybyDay[[#This Row],[Estimated-Payroll-Rollup]]/DaybyDay[[#This Row],[Simple-Forecast]]</f>
        <v>#DIV/0!</v>
      </c>
      <c r="AQ2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5" s="77"/>
      <c r="AS265" s="40" t="str">
        <f>IF(DaybyDay[[#This Row],[Retail Hours]]&gt;0,DaybyDay[[#This Row],[Retail Hours]]*$AS$2,"")</f>
        <v/>
      </c>
      <c r="AT265" s="40">
        <f>SUMIFS(DaybyDay[Est-Retail-Payroll],DaybyDay[Date],"&gt;="&amp;$C$5,DaybyDay[RowYear],"&gt;="&amp;$C$4,DaybyDay[Date],"&lt;="&amp;DaybyDay[[#This Row],[Date]])</f>
        <v>0</v>
      </c>
      <c r="AU265" s="82" t="str">
        <f>IF(AND(DaybyDay[[#This Row],[_Space]],ISNUMBER(DaybyDay[[#This Row],[Retail Hours]])),DaybyDay[[#This Row],[Est-Retail-Payroll]]/(DaybyDay[[#This Row],[Retail-Actuals]]),"")</f>
        <v/>
      </c>
      <c r="AV265" s="82" t="e">
        <f>DaybyDay[[#This Row],[Est-Retail-PayrollRU]]/DaybyDay[[#This Row],[Simple-Forecast-Retail]]</f>
        <v>#DIV/0!</v>
      </c>
      <c r="AW265" s="8"/>
    </row>
    <row r="266" spans="3:49" hidden="1" x14ac:dyDescent="0.25">
      <c r="C266" s="26" t="str">
        <f>Tools!$C$1</f>
        <v>Example</v>
      </c>
      <c r="D266" s="27" t="s">
        <v>76</v>
      </c>
      <c r="E266" s="28">
        <v>2017</v>
      </c>
      <c r="F266" s="28">
        <f>MATCH(DaybyDay[[#This Row],[RowMonth]],Table3[SummaryMonth],0)</f>
        <v>9</v>
      </c>
      <c r="G266" s="29" t="e">
        <f>MATCH(DaybyDay[[#This Row],[LY-Date]],DaybyDay[Date],0)</f>
        <v>#N/A</v>
      </c>
      <c r="H266" s="30">
        <f>WEEKDAY(DaybyDay[[#This Row],[Date]])</f>
        <v>1</v>
      </c>
      <c r="I266" s="31">
        <v>42995</v>
      </c>
      <c r="J266" s="74">
        <v>21</v>
      </c>
      <c r="K266" s="32">
        <f>SUMIFS(BudgetSeasonality[365 Seasonality],BudgetSeasonality[MonthAdjustment],DaybyDay[[#This Row],[Date]])*SUMIFS(Budgets[Service-Budget],Budgets[BudgetMonth],DaybyDay[[#This Row],[RowMonth]],Budgets[BudgetYear],DaybyDay[[#This Row],[RowYear]])</f>
        <v>0</v>
      </c>
      <c r="L266" s="75">
        <v>4005.4</v>
      </c>
      <c r="M266" s="32">
        <f>INDEX(BudgetSeasonality[365 Seasonality],MATCH(DaybyDay[[#This Row],[Date]],BudgetSeasonality[MonthAdjustment],0))*SUMIFS(Budgets[Retail-Budget],Budgets[BudgetMonth],DaybyDay[[#This Row],[RowMonth]],Budgets[BudgetYear],DaybyDay[[#This Row],[RowYear]])</f>
        <v>0</v>
      </c>
      <c r="N266" s="75">
        <v>816</v>
      </c>
      <c r="O266" s="33">
        <f>SUMIFS(DaybyDay[Service-Budgets],DaybyDay[Date],"&gt;="&amp;$C$5,DaybyDay[RowYear],"&gt;="&amp;$C$4,DaybyDay[Date],"&lt;="&amp;DaybyDay[[#This Row],[Date]])</f>
        <v>0</v>
      </c>
      <c r="P266" s="33">
        <f>SUMIFS(DaybyDay[Retail-Budgets],DaybyDay[Date],"&gt;="&amp;$C$5,DaybyDay[RowYear],"&gt;="&amp;$C$4,DaybyDay[Date],"&lt;="&amp;DaybyDay[[#This Row],[Date]])</f>
        <v>0</v>
      </c>
      <c r="Q266" s="34">
        <f>SUMIFS(DaybyDay[Service-Actuals],DaybyDay[Date],"&gt;="&amp;$C$5,DaybyDay[RowYear],"&gt;="&amp;$C$4,DaybyDay[Date],"&lt;="&amp;DaybyDay[[#This Row],[Date]])</f>
        <v>0</v>
      </c>
      <c r="R266" s="34">
        <f>SUMIFS(DaybyDay[Retail-Actuals],DaybyDay[Date],"&gt;="&amp;$C$5,DaybyDay[RowYear],"&gt;="&amp;$C$4,DaybyDay[Date],"&lt;="&amp;DaybyDay[[#This Row],[Date]])</f>
        <v>0</v>
      </c>
      <c r="S266" s="35">
        <f>SUMIFS(DaybyDay[Service-LY],DaybyDay[Date],"&gt;="&amp;$C$5,DaybyDay[RowYear],"&gt;="&amp;$C$4,DaybyDay[Date],"&lt;="&amp;DaybyDay[[#This Row],[Date]])</f>
        <v>0</v>
      </c>
      <c r="T266" s="35">
        <f>SUMIFS(DaybyDay[Retail-LY],DaybyDay[Date],"&gt;="&amp;$C$5,DaybyDay[RowYear],"&gt;="&amp;$C$4,DaybyDay[Date],"&lt;="&amp;DaybyDay[[#This Row],[Date]])</f>
        <v>0</v>
      </c>
      <c r="U266" s="32">
        <f>DaybyDay[[#This Row],[Serv-Bud-RU]]+DaybyDay[[#This Row],[Ret-Bud-RU]]</f>
        <v>0</v>
      </c>
      <c r="V266" s="32">
        <f>DaybyDay[[#This Row],[Serv-Act-RU]]+DaybyDay[[#This Row],[Ret-Act-RU]]</f>
        <v>0</v>
      </c>
      <c r="W266" s="36">
        <f>IF(DaybyDay[[#This Row],[_Space]],IFERROR(
((DaybyDay[[#This Row],[Actual-Rollup]]-DaybyDay[[#This Row],[Budget-Rollup]])/DaybyDay[[#This Row],[Budget-Rollup]]),0),"")</f>
        <v>0</v>
      </c>
      <c r="X266" t="b">
        <f>NOT(AND(ISBLANK(DaybyDay[[#This Row],[Appts]]),ISBLANK(DaybyDay[[#This Row],[Service-Actuals]]),ISBLANK(DaybyDay[[#This Row],[Retail-Actuals]])))</f>
        <v>1</v>
      </c>
      <c r="Y266" s="36">
        <f>IF(DaybyDay[[#This Row],[_Space]],IFERROR(
((DaybyDay[[#This Row],[Actual-Rollup]]-DaybyDay[[#This Row],[LY-Rollup]])/DaybyDay[[#This Row],[LY-Rollup]]),0),"")</f>
        <v>0</v>
      </c>
      <c r="Z266"/>
      <c r="AA266" s="37" t="e">
        <f>IF(DaybyDay[[#This Row],[_Space]],DaybyDay[[#This Row],[Ret-Act-RU]]/DaybyDay[[#This Row],[Serv-Act-RU]],"")</f>
        <v>#DIV/0!</v>
      </c>
      <c r="AB266" s="50" t="e">
        <f>IF(DaybyDay[[#This Row],[_Space]],DaybyDay[[#This Row],[RETPEN-Act]]/DaybyDay[[#This Row],[RETPEN-Bud]],"")</f>
        <v>#DIV/0!</v>
      </c>
      <c r="AC266" s="37" t="e">
        <f>IF(DaybyDay[[#This Row],[_Space]],DaybyDay[[#This Row],[Ret-Bud-RU]]/DaybyDay[[#This Row],[Serv-Bud-RU]],"")</f>
        <v>#DIV/0!</v>
      </c>
      <c r="AD266" s="37" t="e">
        <f>IF(DaybyDay[[#This Row],[_Space]],DaybyDay[[#This Row],[Ret-LY-RU]]/DaybyDay[[#This Row],[Serv-LY-RU]],"")</f>
        <v>#DIV/0!</v>
      </c>
      <c r="AE266" s="30">
        <f>WEEKDAY(DaybyDay[[#This Row],[LY-Date]])</f>
        <v>1</v>
      </c>
      <c r="AF266" s="38">
        <f>$E$2+_xlfn.DAYS(DaybyDay[[#This Row],[Date]],minDate)</f>
        <v>42631</v>
      </c>
      <c r="AG266" s="39" t="str" cm="1">
        <f t="array" ref="AG266">IFERROR(INDEX(DaybyDay[],DaybyDay[[#This Row],[FORM_MATCH_HELPER]],8),"")</f>
        <v/>
      </c>
      <c r="AH266" s="39" t="str" cm="1">
        <f t="array" ref="AH266">IFERROR(INDEX(DaybyDay[],DaybyDay[[#This Row],[FORM_MATCH_HELPER]],10),"")</f>
        <v/>
      </c>
      <c r="AI266" s="39" t="str" cm="1">
        <f t="array" ref="AI266">IFERROR(INDEX(DaybyDay[],DaybyDay[[#This Row],[FORM_MATCH_HELPER]],12),"")</f>
        <v/>
      </c>
      <c r="AJ266" s="32">
        <f>IFERROR(DaybyDay[[#This Row],[Serv-LY-RU]]+DaybyDay[[#This Row],[Ret-LY-RU]],"")</f>
        <v>0</v>
      </c>
      <c r="AK2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6" s="77"/>
      <c r="AM266" s="40" t="str">
        <f>IF(DaybyDay[[#This Row],[Admin Hours]]&gt;0,DaybyDay[[#This Row],[Admin Hours]]*$AM$2+$AM$3,"")</f>
        <v/>
      </c>
      <c r="AN266" s="40">
        <f>SUMIFS(DaybyDay[Est-Admin-Payroll],DaybyDay[Date],"&gt;="&amp;$C$5,DaybyDay[RowYear],"&gt;="&amp;$C$4,DaybyDay[Date],"&lt;="&amp;DaybyDay[[#This Row],[Date]])</f>
        <v>0</v>
      </c>
      <c r="AO266" s="41" t="str">
        <f>IF(AND(DaybyDay[[#This Row],[_Space]],ISNUMBER(DaybyDay[[#This Row],[Admin Hours]])),DaybyDay[[#This Row],[Est-Admin-Payroll]]/(DaybyDay[[#This Row],[Service-Actuals]]+DaybyDay[[#This Row],[Retail-Actuals]]),"")</f>
        <v/>
      </c>
      <c r="AP266" s="41" t="e">
        <f>DaybyDay[[#This Row],[Estimated-Payroll-Rollup]]/DaybyDay[[#This Row],[Simple-Forecast]]</f>
        <v>#DIV/0!</v>
      </c>
      <c r="AQ2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6" s="77"/>
      <c r="AS266" s="40" t="str">
        <f>IF(DaybyDay[[#This Row],[Retail Hours]]&gt;0,DaybyDay[[#This Row],[Retail Hours]]*$AS$2,"")</f>
        <v/>
      </c>
      <c r="AT266" s="40">
        <f>SUMIFS(DaybyDay[Est-Retail-Payroll],DaybyDay[Date],"&gt;="&amp;$C$5,DaybyDay[RowYear],"&gt;="&amp;$C$4,DaybyDay[Date],"&lt;="&amp;DaybyDay[[#This Row],[Date]])</f>
        <v>0</v>
      </c>
      <c r="AU266" s="82" t="str">
        <f>IF(AND(DaybyDay[[#This Row],[_Space]],ISNUMBER(DaybyDay[[#This Row],[Retail Hours]])),DaybyDay[[#This Row],[Est-Retail-Payroll]]/(DaybyDay[[#This Row],[Retail-Actuals]]),"")</f>
        <v/>
      </c>
      <c r="AV266" s="82" t="e">
        <f>DaybyDay[[#This Row],[Est-Retail-PayrollRU]]/DaybyDay[[#This Row],[Simple-Forecast-Retail]]</f>
        <v>#DIV/0!</v>
      </c>
      <c r="AW266" s="8"/>
    </row>
    <row r="267" spans="3:49" hidden="1" x14ac:dyDescent="0.25">
      <c r="C267" s="26" t="str">
        <f>Tools!$C$1</f>
        <v>Example</v>
      </c>
      <c r="D267" s="27" t="s">
        <v>76</v>
      </c>
      <c r="E267" s="28">
        <v>2017</v>
      </c>
      <c r="F267" s="28">
        <f>MATCH(DaybyDay[[#This Row],[RowMonth]],Table3[SummaryMonth],0)</f>
        <v>9</v>
      </c>
      <c r="G267" s="29" t="e">
        <f>MATCH(DaybyDay[[#This Row],[LY-Date]],DaybyDay[Date],0)</f>
        <v>#N/A</v>
      </c>
      <c r="H267" s="30">
        <f>WEEKDAY(DaybyDay[[#This Row],[Date]])</f>
        <v>2</v>
      </c>
      <c r="I267" s="31">
        <v>42996</v>
      </c>
      <c r="J267" s="74">
        <v>8</v>
      </c>
      <c r="K267" s="32">
        <f>SUMIFS(BudgetSeasonality[365 Seasonality],BudgetSeasonality[MonthAdjustment],DaybyDay[[#This Row],[Date]])*SUMIFS(Budgets[Service-Budget],Budgets[BudgetMonth],DaybyDay[[#This Row],[RowMonth]],Budgets[BudgetYear],DaybyDay[[#This Row],[RowYear]])</f>
        <v>0</v>
      </c>
      <c r="L267" s="75">
        <v>2100.9899999999998</v>
      </c>
      <c r="M267" s="32">
        <f>INDEX(BudgetSeasonality[365 Seasonality],MATCH(DaybyDay[[#This Row],[Date]],BudgetSeasonality[MonthAdjustment],0))*SUMIFS(Budgets[Retail-Budget],Budgets[BudgetMonth],DaybyDay[[#This Row],[RowMonth]],Budgets[BudgetYear],DaybyDay[[#This Row],[RowYear]])</f>
        <v>0</v>
      </c>
      <c r="N267" s="75">
        <v>372</v>
      </c>
      <c r="O267" s="33">
        <f>SUMIFS(DaybyDay[Service-Budgets],DaybyDay[Date],"&gt;="&amp;$C$5,DaybyDay[RowYear],"&gt;="&amp;$C$4,DaybyDay[Date],"&lt;="&amp;DaybyDay[[#This Row],[Date]])</f>
        <v>0</v>
      </c>
      <c r="P267" s="33">
        <f>SUMIFS(DaybyDay[Retail-Budgets],DaybyDay[Date],"&gt;="&amp;$C$5,DaybyDay[RowYear],"&gt;="&amp;$C$4,DaybyDay[Date],"&lt;="&amp;DaybyDay[[#This Row],[Date]])</f>
        <v>0</v>
      </c>
      <c r="Q267" s="34">
        <f>SUMIFS(DaybyDay[Service-Actuals],DaybyDay[Date],"&gt;="&amp;$C$5,DaybyDay[RowYear],"&gt;="&amp;$C$4,DaybyDay[Date],"&lt;="&amp;DaybyDay[[#This Row],[Date]])</f>
        <v>0</v>
      </c>
      <c r="R267" s="34">
        <f>SUMIFS(DaybyDay[Retail-Actuals],DaybyDay[Date],"&gt;="&amp;$C$5,DaybyDay[RowYear],"&gt;="&amp;$C$4,DaybyDay[Date],"&lt;="&amp;DaybyDay[[#This Row],[Date]])</f>
        <v>0</v>
      </c>
      <c r="S267" s="35">
        <f>SUMIFS(DaybyDay[Service-LY],DaybyDay[Date],"&gt;="&amp;$C$5,DaybyDay[RowYear],"&gt;="&amp;$C$4,DaybyDay[Date],"&lt;="&amp;DaybyDay[[#This Row],[Date]])</f>
        <v>0</v>
      </c>
      <c r="T267" s="35">
        <f>SUMIFS(DaybyDay[Retail-LY],DaybyDay[Date],"&gt;="&amp;$C$5,DaybyDay[RowYear],"&gt;="&amp;$C$4,DaybyDay[Date],"&lt;="&amp;DaybyDay[[#This Row],[Date]])</f>
        <v>0</v>
      </c>
      <c r="U267" s="32">
        <f>DaybyDay[[#This Row],[Serv-Bud-RU]]+DaybyDay[[#This Row],[Ret-Bud-RU]]</f>
        <v>0</v>
      </c>
      <c r="V267" s="32">
        <f>DaybyDay[[#This Row],[Serv-Act-RU]]+DaybyDay[[#This Row],[Ret-Act-RU]]</f>
        <v>0</v>
      </c>
      <c r="W267" s="36">
        <f>IF(DaybyDay[[#This Row],[_Space]],IFERROR(
((DaybyDay[[#This Row],[Actual-Rollup]]-DaybyDay[[#This Row],[Budget-Rollup]])/DaybyDay[[#This Row],[Budget-Rollup]]),0),"")</f>
        <v>0</v>
      </c>
      <c r="X267" t="b">
        <f>NOT(AND(ISBLANK(DaybyDay[[#This Row],[Appts]]),ISBLANK(DaybyDay[[#This Row],[Service-Actuals]]),ISBLANK(DaybyDay[[#This Row],[Retail-Actuals]])))</f>
        <v>1</v>
      </c>
      <c r="Y267" s="36">
        <f>IF(DaybyDay[[#This Row],[_Space]],IFERROR(
((DaybyDay[[#This Row],[Actual-Rollup]]-DaybyDay[[#This Row],[LY-Rollup]])/DaybyDay[[#This Row],[LY-Rollup]]),0),"")</f>
        <v>0</v>
      </c>
      <c r="Z267"/>
      <c r="AA267" s="37" t="e">
        <f>IF(DaybyDay[[#This Row],[_Space]],DaybyDay[[#This Row],[Ret-Act-RU]]/DaybyDay[[#This Row],[Serv-Act-RU]],"")</f>
        <v>#DIV/0!</v>
      </c>
      <c r="AB267" s="50" t="e">
        <f>IF(DaybyDay[[#This Row],[_Space]],DaybyDay[[#This Row],[RETPEN-Act]]/DaybyDay[[#This Row],[RETPEN-Bud]],"")</f>
        <v>#DIV/0!</v>
      </c>
      <c r="AC267" s="37" t="e">
        <f>IF(DaybyDay[[#This Row],[_Space]],DaybyDay[[#This Row],[Ret-Bud-RU]]/DaybyDay[[#This Row],[Serv-Bud-RU]],"")</f>
        <v>#DIV/0!</v>
      </c>
      <c r="AD267" s="37" t="e">
        <f>IF(DaybyDay[[#This Row],[_Space]],DaybyDay[[#This Row],[Ret-LY-RU]]/DaybyDay[[#This Row],[Serv-LY-RU]],"")</f>
        <v>#DIV/0!</v>
      </c>
      <c r="AE267" s="30">
        <f>WEEKDAY(DaybyDay[[#This Row],[LY-Date]])</f>
        <v>2</v>
      </c>
      <c r="AF267" s="38">
        <f>$E$2+_xlfn.DAYS(DaybyDay[[#This Row],[Date]],minDate)</f>
        <v>42632</v>
      </c>
      <c r="AG267" s="39" t="str" cm="1">
        <f t="array" ref="AG267">IFERROR(INDEX(DaybyDay[],DaybyDay[[#This Row],[FORM_MATCH_HELPER]],8),"")</f>
        <v/>
      </c>
      <c r="AH267" s="39" t="str" cm="1">
        <f t="array" ref="AH267">IFERROR(INDEX(DaybyDay[],DaybyDay[[#This Row],[FORM_MATCH_HELPER]],10),"")</f>
        <v/>
      </c>
      <c r="AI267" s="39" t="str" cm="1">
        <f t="array" ref="AI267">IFERROR(INDEX(DaybyDay[],DaybyDay[[#This Row],[FORM_MATCH_HELPER]],12),"")</f>
        <v/>
      </c>
      <c r="AJ267" s="32">
        <f>IFERROR(DaybyDay[[#This Row],[Serv-LY-RU]]+DaybyDay[[#This Row],[Ret-LY-RU]],"")</f>
        <v>0</v>
      </c>
      <c r="AK2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7" s="77"/>
      <c r="AM267" s="40" t="str">
        <f>IF(DaybyDay[[#This Row],[Admin Hours]]&gt;0,DaybyDay[[#This Row],[Admin Hours]]*$AM$2+$AM$3,"")</f>
        <v/>
      </c>
      <c r="AN267" s="40">
        <f>SUMIFS(DaybyDay[Est-Admin-Payroll],DaybyDay[Date],"&gt;="&amp;$C$5,DaybyDay[RowYear],"&gt;="&amp;$C$4,DaybyDay[Date],"&lt;="&amp;DaybyDay[[#This Row],[Date]])</f>
        <v>0</v>
      </c>
      <c r="AO267" s="41" t="str">
        <f>IF(AND(DaybyDay[[#This Row],[_Space]],ISNUMBER(DaybyDay[[#This Row],[Admin Hours]])),DaybyDay[[#This Row],[Est-Admin-Payroll]]/(DaybyDay[[#This Row],[Service-Actuals]]+DaybyDay[[#This Row],[Retail-Actuals]]),"")</f>
        <v/>
      </c>
      <c r="AP267" s="41" t="e">
        <f>DaybyDay[[#This Row],[Estimated-Payroll-Rollup]]/DaybyDay[[#This Row],[Simple-Forecast]]</f>
        <v>#DIV/0!</v>
      </c>
      <c r="AQ2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7" s="77"/>
      <c r="AS267" s="40" t="str">
        <f>IF(DaybyDay[[#This Row],[Retail Hours]]&gt;0,DaybyDay[[#This Row],[Retail Hours]]*$AS$2,"")</f>
        <v/>
      </c>
      <c r="AT267" s="40">
        <f>SUMIFS(DaybyDay[Est-Retail-Payroll],DaybyDay[Date],"&gt;="&amp;$C$5,DaybyDay[RowYear],"&gt;="&amp;$C$4,DaybyDay[Date],"&lt;="&amp;DaybyDay[[#This Row],[Date]])</f>
        <v>0</v>
      </c>
      <c r="AU267" s="82" t="str">
        <f>IF(AND(DaybyDay[[#This Row],[_Space]],ISNUMBER(DaybyDay[[#This Row],[Retail Hours]])),DaybyDay[[#This Row],[Est-Retail-Payroll]]/(DaybyDay[[#This Row],[Retail-Actuals]]),"")</f>
        <v/>
      </c>
      <c r="AV267" s="82" t="e">
        <f>DaybyDay[[#This Row],[Est-Retail-PayrollRU]]/DaybyDay[[#This Row],[Simple-Forecast-Retail]]</f>
        <v>#DIV/0!</v>
      </c>
      <c r="AW267" s="8"/>
    </row>
    <row r="268" spans="3:49" hidden="1" x14ac:dyDescent="0.25">
      <c r="C268" s="26" t="str">
        <f>Tools!$C$1</f>
        <v>Example</v>
      </c>
      <c r="D268" s="27" t="s">
        <v>76</v>
      </c>
      <c r="E268" s="28">
        <v>2017</v>
      </c>
      <c r="F268" s="28">
        <f>MATCH(DaybyDay[[#This Row],[RowMonth]],Table3[SummaryMonth],0)</f>
        <v>9</v>
      </c>
      <c r="G268" s="29" t="e">
        <f>MATCH(DaybyDay[[#This Row],[LY-Date]],DaybyDay[Date],0)</f>
        <v>#N/A</v>
      </c>
      <c r="H268" s="30">
        <f>WEEKDAY(DaybyDay[[#This Row],[Date]])</f>
        <v>3</v>
      </c>
      <c r="I268" s="31">
        <v>42997</v>
      </c>
      <c r="J268" s="74">
        <v>12</v>
      </c>
      <c r="K268" s="32">
        <f>SUMIFS(BudgetSeasonality[365 Seasonality],BudgetSeasonality[MonthAdjustment],DaybyDay[[#This Row],[Date]])*SUMIFS(Budgets[Service-Budget],Budgets[BudgetMonth],DaybyDay[[#This Row],[RowMonth]],Budgets[BudgetYear],DaybyDay[[#This Row],[RowYear]])</f>
        <v>0</v>
      </c>
      <c r="L268" s="75">
        <v>2753.9</v>
      </c>
      <c r="M268" s="32">
        <f>INDEX(BudgetSeasonality[365 Seasonality],MATCH(DaybyDay[[#This Row],[Date]],BudgetSeasonality[MonthAdjustment],0))*SUMIFS(Budgets[Retail-Budget],Budgets[BudgetMonth],DaybyDay[[#This Row],[RowMonth]],Budgets[BudgetYear],DaybyDay[[#This Row],[RowYear]])</f>
        <v>0</v>
      </c>
      <c r="N268" s="75">
        <v>89.5</v>
      </c>
      <c r="O268" s="33">
        <f>SUMIFS(DaybyDay[Service-Budgets],DaybyDay[Date],"&gt;="&amp;$C$5,DaybyDay[RowYear],"&gt;="&amp;$C$4,DaybyDay[Date],"&lt;="&amp;DaybyDay[[#This Row],[Date]])</f>
        <v>0</v>
      </c>
      <c r="P268" s="33">
        <f>SUMIFS(DaybyDay[Retail-Budgets],DaybyDay[Date],"&gt;="&amp;$C$5,DaybyDay[RowYear],"&gt;="&amp;$C$4,DaybyDay[Date],"&lt;="&amp;DaybyDay[[#This Row],[Date]])</f>
        <v>0</v>
      </c>
      <c r="Q268" s="34">
        <f>SUMIFS(DaybyDay[Service-Actuals],DaybyDay[Date],"&gt;="&amp;$C$5,DaybyDay[RowYear],"&gt;="&amp;$C$4,DaybyDay[Date],"&lt;="&amp;DaybyDay[[#This Row],[Date]])</f>
        <v>0</v>
      </c>
      <c r="R268" s="34">
        <f>SUMIFS(DaybyDay[Retail-Actuals],DaybyDay[Date],"&gt;="&amp;$C$5,DaybyDay[RowYear],"&gt;="&amp;$C$4,DaybyDay[Date],"&lt;="&amp;DaybyDay[[#This Row],[Date]])</f>
        <v>0</v>
      </c>
      <c r="S268" s="35">
        <f>SUMIFS(DaybyDay[Service-LY],DaybyDay[Date],"&gt;="&amp;$C$5,DaybyDay[RowYear],"&gt;="&amp;$C$4,DaybyDay[Date],"&lt;="&amp;DaybyDay[[#This Row],[Date]])</f>
        <v>0</v>
      </c>
      <c r="T268" s="35">
        <f>SUMIFS(DaybyDay[Retail-LY],DaybyDay[Date],"&gt;="&amp;$C$5,DaybyDay[RowYear],"&gt;="&amp;$C$4,DaybyDay[Date],"&lt;="&amp;DaybyDay[[#This Row],[Date]])</f>
        <v>0</v>
      </c>
      <c r="U268" s="32">
        <f>DaybyDay[[#This Row],[Serv-Bud-RU]]+DaybyDay[[#This Row],[Ret-Bud-RU]]</f>
        <v>0</v>
      </c>
      <c r="V268" s="32">
        <f>DaybyDay[[#This Row],[Serv-Act-RU]]+DaybyDay[[#This Row],[Ret-Act-RU]]</f>
        <v>0</v>
      </c>
      <c r="W268" s="36">
        <f>IF(DaybyDay[[#This Row],[_Space]],IFERROR(
((DaybyDay[[#This Row],[Actual-Rollup]]-DaybyDay[[#This Row],[Budget-Rollup]])/DaybyDay[[#This Row],[Budget-Rollup]]),0),"")</f>
        <v>0</v>
      </c>
      <c r="X268" t="b">
        <f>NOT(AND(ISBLANK(DaybyDay[[#This Row],[Appts]]),ISBLANK(DaybyDay[[#This Row],[Service-Actuals]]),ISBLANK(DaybyDay[[#This Row],[Retail-Actuals]])))</f>
        <v>1</v>
      </c>
      <c r="Y268" s="36">
        <f>IF(DaybyDay[[#This Row],[_Space]],IFERROR(
((DaybyDay[[#This Row],[Actual-Rollup]]-DaybyDay[[#This Row],[LY-Rollup]])/DaybyDay[[#This Row],[LY-Rollup]]),0),"")</f>
        <v>0</v>
      </c>
      <c r="Z268"/>
      <c r="AA268" s="37" t="e">
        <f>IF(DaybyDay[[#This Row],[_Space]],DaybyDay[[#This Row],[Ret-Act-RU]]/DaybyDay[[#This Row],[Serv-Act-RU]],"")</f>
        <v>#DIV/0!</v>
      </c>
      <c r="AB268" s="50" t="e">
        <f>IF(DaybyDay[[#This Row],[_Space]],DaybyDay[[#This Row],[RETPEN-Act]]/DaybyDay[[#This Row],[RETPEN-Bud]],"")</f>
        <v>#DIV/0!</v>
      </c>
      <c r="AC268" s="37" t="e">
        <f>IF(DaybyDay[[#This Row],[_Space]],DaybyDay[[#This Row],[Ret-Bud-RU]]/DaybyDay[[#This Row],[Serv-Bud-RU]],"")</f>
        <v>#DIV/0!</v>
      </c>
      <c r="AD268" s="37" t="e">
        <f>IF(DaybyDay[[#This Row],[_Space]],DaybyDay[[#This Row],[Ret-LY-RU]]/DaybyDay[[#This Row],[Serv-LY-RU]],"")</f>
        <v>#DIV/0!</v>
      </c>
      <c r="AE268" s="30">
        <f>WEEKDAY(DaybyDay[[#This Row],[LY-Date]])</f>
        <v>3</v>
      </c>
      <c r="AF268" s="38">
        <f>$E$2+_xlfn.DAYS(DaybyDay[[#This Row],[Date]],minDate)</f>
        <v>42633</v>
      </c>
      <c r="AG268" s="39" t="str" cm="1">
        <f t="array" ref="AG268">IFERROR(INDEX(DaybyDay[],DaybyDay[[#This Row],[FORM_MATCH_HELPER]],8),"")</f>
        <v/>
      </c>
      <c r="AH268" s="39" t="str" cm="1">
        <f t="array" ref="AH268">IFERROR(INDEX(DaybyDay[],DaybyDay[[#This Row],[FORM_MATCH_HELPER]],10),"")</f>
        <v/>
      </c>
      <c r="AI268" s="39" t="str" cm="1">
        <f t="array" ref="AI268">IFERROR(INDEX(DaybyDay[],DaybyDay[[#This Row],[FORM_MATCH_HELPER]],12),"")</f>
        <v/>
      </c>
      <c r="AJ268" s="32">
        <f>IFERROR(DaybyDay[[#This Row],[Serv-LY-RU]]+DaybyDay[[#This Row],[Ret-LY-RU]],"")</f>
        <v>0</v>
      </c>
      <c r="AK2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8" s="77"/>
      <c r="AM268" s="40" t="str">
        <f>IF(DaybyDay[[#This Row],[Admin Hours]]&gt;0,DaybyDay[[#This Row],[Admin Hours]]*$AM$2+$AM$3,"")</f>
        <v/>
      </c>
      <c r="AN268" s="40">
        <f>SUMIFS(DaybyDay[Est-Admin-Payroll],DaybyDay[Date],"&gt;="&amp;$C$5,DaybyDay[RowYear],"&gt;="&amp;$C$4,DaybyDay[Date],"&lt;="&amp;DaybyDay[[#This Row],[Date]])</f>
        <v>0</v>
      </c>
      <c r="AO268" s="41" t="str">
        <f>IF(AND(DaybyDay[[#This Row],[_Space]],ISNUMBER(DaybyDay[[#This Row],[Admin Hours]])),DaybyDay[[#This Row],[Est-Admin-Payroll]]/(DaybyDay[[#This Row],[Service-Actuals]]+DaybyDay[[#This Row],[Retail-Actuals]]),"")</f>
        <v/>
      </c>
      <c r="AP268" s="41" t="e">
        <f>DaybyDay[[#This Row],[Estimated-Payroll-Rollup]]/DaybyDay[[#This Row],[Simple-Forecast]]</f>
        <v>#DIV/0!</v>
      </c>
      <c r="AQ2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8" s="77"/>
      <c r="AS268" s="40" t="str">
        <f>IF(DaybyDay[[#This Row],[Retail Hours]]&gt;0,DaybyDay[[#This Row],[Retail Hours]]*$AS$2,"")</f>
        <v/>
      </c>
      <c r="AT268" s="40">
        <f>SUMIFS(DaybyDay[Est-Retail-Payroll],DaybyDay[Date],"&gt;="&amp;$C$5,DaybyDay[RowYear],"&gt;="&amp;$C$4,DaybyDay[Date],"&lt;="&amp;DaybyDay[[#This Row],[Date]])</f>
        <v>0</v>
      </c>
      <c r="AU268" s="82" t="str">
        <f>IF(AND(DaybyDay[[#This Row],[_Space]],ISNUMBER(DaybyDay[[#This Row],[Retail Hours]])),DaybyDay[[#This Row],[Est-Retail-Payroll]]/(DaybyDay[[#This Row],[Retail-Actuals]]),"")</f>
        <v/>
      </c>
      <c r="AV268" s="82" t="e">
        <f>DaybyDay[[#This Row],[Est-Retail-PayrollRU]]/DaybyDay[[#This Row],[Simple-Forecast-Retail]]</f>
        <v>#DIV/0!</v>
      </c>
      <c r="AW268" s="8"/>
    </row>
    <row r="269" spans="3:49" hidden="1" x14ac:dyDescent="0.25">
      <c r="C269" s="26" t="str">
        <f>Tools!$C$1</f>
        <v>Example</v>
      </c>
      <c r="D269" s="27" t="s">
        <v>76</v>
      </c>
      <c r="E269" s="28">
        <v>2017</v>
      </c>
      <c r="F269" s="28">
        <f>MATCH(DaybyDay[[#This Row],[RowMonth]],Table3[SummaryMonth],0)</f>
        <v>9</v>
      </c>
      <c r="G269" s="29" t="e">
        <f>MATCH(DaybyDay[[#This Row],[LY-Date]],DaybyDay[Date],0)</f>
        <v>#N/A</v>
      </c>
      <c r="H269" s="30">
        <f>WEEKDAY(DaybyDay[[#This Row],[Date]])</f>
        <v>4</v>
      </c>
      <c r="I269" s="31">
        <v>42998</v>
      </c>
      <c r="J269" s="74">
        <v>6</v>
      </c>
      <c r="K269" s="32">
        <f>SUMIFS(BudgetSeasonality[365 Seasonality],BudgetSeasonality[MonthAdjustment],DaybyDay[[#This Row],[Date]])*SUMIFS(Budgets[Service-Budget],Budgets[BudgetMonth],DaybyDay[[#This Row],[RowMonth]],Budgets[BudgetYear],DaybyDay[[#This Row],[RowYear]])</f>
        <v>0</v>
      </c>
      <c r="L269" s="75">
        <v>1506</v>
      </c>
      <c r="M269" s="32">
        <f>INDEX(BudgetSeasonality[365 Seasonality],MATCH(DaybyDay[[#This Row],[Date]],BudgetSeasonality[MonthAdjustment],0))*SUMIFS(Budgets[Retail-Budget],Budgets[BudgetMonth],DaybyDay[[#This Row],[RowMonth]],Budgets[BudgetYear],DaybyDay[[#This Row],[RowYear]])</f>
        <v>0</v>
      </c>
      <c r="N269" s="75">
        <v>143.5</v>
      </c>
      <c r="O269" s="33">
        <f>SUMIFS(DaybyDay[Service-Budgets],DaybyDay[Date],"&gt;="&amp;$C$5,DaybyDay[RowYear],"&gt;="&amp;$C$4,DaybyDay[Date],"&lt;="&amp;DaybyDay[[#This Row],[Date]])</f>
        <v>0</v>
      </c>
      <c r="P269" s="33">
        <f>SUMIFS(DaybyDay[Retail-Budgets],DaybyDay[Date],"&gt;="&amp;$C$5,DaybyDay[RowYear],"&gt;="&amp;$C$4,DaybyDay[Date],"&lt;="&amp;DaybyDay[[#This Row],[Date]])</f>
        <v>0</v>
      </c>
      <c r="Q269" s="34">
        <f>SUMIFS(DaybyDay[Service-Actuals],DaybyDay[Date],"&gt;="&amp;$C$5,DaybyDay[RowYear],"&gt;="&amp;$C$4,DaybyDay[Date],"&lt;="&amp;DaybyDay[[#This Row],[Date]])</f>
        <v>0</v>
      </c>
      <c r="R269" s="34">
        <f>SUMIFS(DaybyDay[Retail-Actuals],DaybyDay[Date],"&gt;="&amp;$C$5,DaybyDay[RowYear],"&gt;="&amp;$C$4,DaybyDay[Date],"&lt;="&amp;DaybyDay[[#This Row],[Date]])</f>
        <v>0</v>
      </c>
      <c r="S269" s="35">
        <f>SUMIFS(DaybyDay[Service-LY],DaybyDay[Date],"&gt;="&amp;$C$5,DaybyDay[RowYear],"&gt;="&amp;$C$4,DaybyDay[Date],"&lt;="&amp;DaybyDay[[#This Row],[Date]])</f>
        <v>0</v>
      </c>
      <c r="T269" s="35">
        <f>SUMIFS(DaybyDay[Retail-LY],DaybyDay[Date],"&gt;="&amp;$C$5,DaybyDay[RowYear],"&gt;="&amp;$C$4,DaybyDay[Date],"&lt;="&amp;DaybyDay[[#This Row],[Date]])</f>
        <v>0</v>
      </c>
      <c r="U269" s="32">
        <f>DaybyDay[[#This Row],[Serv-Bud-RU]]+DaybyDay[[#This Row],[Ret-Bud-RU]]</f>
        <v>0</v>
      </c>
      <c r="V269" s="32">
        <f>DaybyDay[[#This Row],[Serv-Act-RU]]+DaybyDay[[#This Row],[Ret-Act-RU]]</f>
        <v>0</v>
      </c>
      <c r="W269" s="36">
        <f>IF(DaybyDay[[#This Row],[_Space]],IFERROR(
((DaybyDay[[#This Row],[Actual-Rollup]]-DaybyDay[[#This Row],[Budget-Rollup]])/DaybyDay[[#This Row],[Budget-Rollup]]),0),"")</f>
        <v>0</v>
      </c>
      <c r="X269" t="b">
        <f>NOT(AND(ISBLANK(DaybyDay[[#This Row],[Appts]]),ISBLANK(DaybyDay[[#This Row],[Service-Actuals]]),ISBLANK(DaybyDay[[#This Row],[Retail-Actuals]])))</f>
        <v>1</v>
      </c>
      <c r="Y269" s="36">
        <f>IF(DaybyDay[[#This Row],[_Space]],IFERROR(
((DaybyDay[[#This Row],[Actual-Rollup]]-DaybyDay[[#This Row],[LY-Rollup]])/DaybyDay[[#This Row],[LY-Rollup]]),0),"")</f>
        <v>0</v>
      </c>
      <c r="Z269"/>
      <c r="AA269" s="37" t="e">
        <f>IF(DaybyDay[[#This Row],[_Space]],DaybyDay[[#This Row],[Ret-Act-RU]]/DaybyDay[[#This Row],[Serv-Act-RU]],"")</f>
        <v>#DIV/0!</v>
      </c>
      <c r="AB269" s="50" t="e">
        <f>IF(DaybyDay[[#This Row],[_Space]],DaybyDay[[#This Row],[RETPEN-Act]]/DaybyDay[[#This Row],[RETPEN-Bud]],"")</f>
        <v>#DIV/0!</v>
      </c>
      <c r="AC269" s="37" t="e">
        <f>IF(DaybyDay[[#This Row],[_Space]],DaybyDay[[#This Row],[Ret-Bud-RU]]/DaybyDay[[#This Row],[Serv-Bud-RU]],"")</f>
        <v>#DIV/0!</v>
      </c>
      <c r="AD269" s="37" t="e">
        <f>IF(DaybyDay[[#This Row],[_Space]],DaybyDay[[#This Row],[Ret-LY-RU]]/DaybyDay[[#This Row],[Serv-LY-RU]],"")</f>
        <v>#DIV/0!</v>
      </c>
      <c r="AE269" s="30">
        <f>WEEKDAY(DaybyDay[[#This Row],[LY-Date]])</f>
        <v>4</v>
      </c>
      <c r="AF269" s="38">
        <f>$E$2+_xlfn.DAYS(DaybyDay[[#This Row],[Date]],minDate)</f>
        <v>42634</v>
      </c>
      <c r="AG269" s="39" t="str" cm="1">
        <f t="array" ref="AG269">IFERROR(INDEX(DaybyDay[],DaybyDay[[#This Row],[FORM_MATCH_HELPER]],8),"")</f>
        <v/>
      </c>
      <c r="AH269" s="39" t="str" cm="1">
        <f t="array" ref="AH269">IFERROR(INDEX(DaybyDay[],DaybyDay[[#This Row],[FORM_MATCH_HELPER]],10),"")</f>
        <v/>
      </c>
      <c r="AI269" s="39" t="str" cm="1">
        <f t="array" ref="AI269">IFERROR(INDEX(DaybyDay[],DaybyDay[[#This Row],[FORM_MATCH_HELPER]],12),"")</f>
        <v/>
      </c>
      <c r="AJ269" s="32">
        <f>IFERROR(DaybyDay[[#This Row],[Serv-LY-RU]]+DaybyDay[[#This Row],[Ret-LY-RU]],"")</f>
        <v>0</v>
      </c>
      <c r="AK2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69" s="77"/>
      <c r="AM269" s="40" t="str">
        <f>IF(DaybyDay[[#This Row],[Admin Hours]]&gt;0,DaybyDay[[#This Row],[Admin Hours]]*$AM$2+$AM$3,"")</f>
        <v/>
      </c>
      <c r="AN269" s="40">
        <f>SUMIFS(DaybyDay[Est-Admin-Payroll],DaybyDay[Date],"&gt;="&amp;$C$5,DaybyDay[RowYear],"&gt;="&amp;$C$4,DaybyDay[Date],"&lt;="&amp;DaybyDay[[#This Row],[Date]])</f>
        <v>0</v>
      </c>
      <c r="AO269" s="41" t="str">
        <f>IF(AND(DaybyDay[[#This Row],[_Space]],ISNUMBER(DaybyDay[[#This Row],[Admin Hours]])),DaybyDay[[#This Row],[Est-Admin-Payroll]]/(DaybyDay[[#This Row],[Service-Actuals]]+DaybyDay[[#This Row],[Retail-Actuals]]),"")</f>
        <v/>
      </c>
      <c r="AP269" s="41" t="e">
        <f>DaybyDay[[#This Row],[Estimated-Payroll-Rollup]]/DaybyDay[[#This Row],[Simple-Forecast]]</f>
        <v>#DIV/0!</v>
      </c>
      <c r="AQ2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69" s="77"/>
      <c r="AS269" s="40" t="str">
        <f>IF(DaybyDay[[#This Row],[Retail Hours]]&gt;0,DaybyDay[[#This Row],[Retail Hours]]*$AS$2,"")</f>
        <v/>
      </c>
      <c r="AT269" s="40">
        <f>SUMIFS(DaybyDay[Est-Retail-Payroll],DaybyDay[Date],"&gt;="&amp;$C$5,DaybyDay[RowYear],"&gt;="&amp;$C$4,DaybyDay[Date],"&lt;="&amp;DaybyDay[[#This Row],[Date]])</f>
        <v>0</v>
      </c>
      <c r="AU269" s="82" t="str">
        <f>IF(AND(DaybyDay[[#This Row],[_Space]],ISNUMBER(DaybyDay[[#This Row],[Retail Hours]])),DaybyDay[[#This Row],[Est-Retail-Payroll]]/(DaybyDay[[#This Row],[Retail-Actuals]]),"")</f>
        <v/>
      </c>
      <c r="AV269" s="82" t="e">
        <f>DaybyDay[[#This Row],[Est-Retail-PayrollRU]]/DaybyDay[[#This Row],[Simple-Forecast-Retail]]</f>
        <v>#DIV/0!</v>
      </c>
      <c r="AW269" s="8"/>
    </row>
    <row r="270" spans="3:49" hidden="1" x14ac:dyDescent="0.25">
      <c r="C270" s="26" t="str">
        <f>Tools!$C$1</f>
        <v>Example</v>
      </c>
      <c r="D270" s="27" t="s">
        <v>76</v>
      </c>
      <c r="E270" s="28">
        <v>2017</v>
      </c>
      <c r="F270" s="28">
        <f>MATCH(DaybyDay[[#This Row],[RowMonth]],Table3[SummaryMonth],0)</f>
        <v>9</v>
      </c>
      <c r="G270" s="29" t="e">
        <f>MATCH(DaybyDay[[#This Row],[LY-Date]],DaybyDay[Date],0)</f>
        <v>#N/A</v>
      </c>
      <c r="H270" s="30">
        <f>WEEKDAY(DaybyDay[[#This Row],[Date]])</f>
        <v>5</v>
      </c>
      <c r="I270" s="31">
        <v>42999</v>
      </c>
      <c r="J270" s="74">
        <v>14</v>
      </c>
      <c r="K270" s="32">
        <f>SUMIFS(BudgetSeasonality[365 Seasonality],BudgetSeasonality[MonthAdjustment],DaybyDay[[#This Row],[Date]])*SUMIFS(Budgets[Service-Budget],Budgets[BudgetMonth],DaybyDay[[#This Row],[RowMonth]],Budgets[BudgetYear],DaybyDay[[#This Row],[RowYear]])</f>
        <v>0</v>
      </c>
      <c r="L270" s="75">
        <v>3033.2</v>
      </c>
      <c r="M270" s="32">
        <f>INDEX(BudgetSeasonality[365 Seasonality],MATCH(DaybyDay[[#This Row],[Date]],BudgetSeasonality[MonthAdjustment],0))*SUMIFS(Budgets[Retail-Budget],Budgets[BudgetMonth],DaybyDay[[#This Row],[RowMonth]],Budgets[BudgetYear],DaybyDay[[#This Row],[RowYear]])</f>
        <v>0</v>
      </c>
      <c r="N270" s="75">
        <v>2047.5</v>
      </c>
      <c r="O270" s="33">
        <f>SUMIFS(DaybyDay[Service-Budgets],DaybyDay[Date],"&gt;="&amp;$C$5,DaybyDay[RowYear],"&gt;="&amp;$C$4,DaybyDay[Date],"&lt;="&amp;DaybyDay[[#This Row],[Date]])</f>
        <v>0</v>
      </c>
      <c r="P270" s="33">
        <f>SUMIFS(DaybyDay[Retail-Budgets],DaybyDay[Date],"&gt;="&amp;$C$5,DaybyDay[RowYear],"&gt;="&amp;$C$4,DaybyDay[Date],"&lt;="&amp;DaybyDay[[#This Row],[Date]])</f>
        <v>0</v>
      </c>
      <c r="Q270" s="34">
        <f>SUMIFS(DaybyDay[Service-Actuals],DaybyDay[Date],"&gt;="&amp;$C$5,DaybyDay[RowYear],"&gt;="&amp;$C$4,DaybyDay[Date],"&lt;="&amp;DaybyDay[[#This Row],[Date]])</f>
        <v>0</v>
      </c>
      <c r="R270" s="34">
        <f>SUMIFS(DaybyDay[Retail-Actuals],DaybyDay[Date],"&gt;="&amp;$C$5,DaybyDay[RowYear],"&gt;="&amp;$C$4,DaybyDay[Date],"&lt;="&amp;DaybyDay[[#This Row],[Date]])</f>
        <v>0</v>
      </c>
      <c r="S270" s="35">
        <f>SUMIFS(DaybyDay[Service-LY],DaybyDay[Date],"&gt;="&amp;$C$5,DaybyDay[RowYear],"&gt;="&amp;$C$4,DaybyDay[Date],"&lt;="&amp;DaybyDay[[#This Row],[Date]])</f>
        <v>0</v>
      </c>
      <c r="T270" s="35">
        <f>SUMIFS(DaybyDay[Retail-LY],DaybyDay[Date],"&gt;="&amp;$C$5,DaybyDay[RowYear],"&gt;="&amp;$C$4,DaybyDay[Date],"&lt;="&amp;DaybyDay[[#This Row],[Date]])</f>
        <v>0</v>
      </c>
      <c r="U270" s="32">
        <f>DaybyDay[[#This Row],[Serv-Bud-RU]]+DaybyDay[[#This Row],[Ret-Bud-RU]]</f>
        <v>0</v>
      </c>
      <c r="V270" s="32">
        <f>DaybyDay[[#This Row],[Serv-Act-RU]]+DaybyDay[[#This Row],[Ret-Act-RU]]</f>
        <v>0</v>
      </c>
      <c r="W270" s="36">
        <f>IF(DaybyDay[[#This Row],[_Space]],IFERROR(
((DaybyDay[[#This Row],[Actual-Rollup]]-DaybyDay[[#This Row],[Budget-Rollup]])/DaybyDay[[#This Row],[Budget-Rollup]]),0),"")</f>
        <v>0</v>
      </c>
      <c r="X270" t="b">
        <f>NOT(AND(ISBLANK(DaybyDay[[#This Row],[Appts]]),ISBLANK(DaybyDay[[#This Row],[Service-Actuals]]),ISBLANK(DaybyDay[[#This Row],[Retail-Actuals]])))</f>
        <v>1</v>
      </c>
      <c r="Y270" s="36">
        <f>IF(DaybyDay[[#This Row],[_Space]],IFERROR(
((DaybyDay[[#This Row],[Actual-Rollup]]-DaybyDay[[#This Row],[LY-Rollup]])/DaybyDay[[#This Row],[LY-Rollup]]),0),"")</f>
        <v>0</v>
      </c>
      <c r="Z270"/>
      <c r="AA270" s="37" t="e">
        <f>IF(DaybyDay[[#This Row],[_Space]],DaybyDay[[#This Row],[Ret-Act-RU]]/DaybyDay[[#This Row],[Serv-Act-RU]],"")</f>
        <v>#DIV/0!</v>
      </c>
      <c r="AB270" s="50" t="e">
        <f>IF(DaybyDay[[#This Row],[_Space]],DaybyDay[[#This Row],[RETPEN-Act]]/DaybyDay[[#This Row],[RETPEN-Bud]],"")</f>
        <v>#DIV/0!</v>
      </c>
      <c r="AC270" s="37" t="e">
        <f>IF(DaybyDay[[#This Row],[_Space]],DaybyDay[[#This Row],[Ret-Bud-RU]]/DaybyDay[[#This Row],[Serv-Bud-RU]],"")</f>
        <v>#DIV/0!</v>
      </c>
      <c r="AD270" s="37" t="e">
        <f>IF(DaybyDay[[#This Row],[_Space]],DaybyDay[[#This Row],[Ret-LY-RU]]/DaybyDay[[#This Row],[Serv-LY-RU]],"")</f>
        <v>#DIV/0!</v>
      </c>
      <c r="AE270" s="30">
        <f>WEEKDAY(DaybyDay[[#This Row],[LY-Date]])</f>
        <v>5</v>
      </c>
      <c r="AF270" s="38">
        <f>$E$2+_xlfn.DAYS(DaybyDay[[#This Row],[Date]],minDate)</f>
        <v>42635</v>
      </c>
      <c r="AG270" s="39" t="str" cm="1">
        <f t="array" ref="AG270">IFERROR(INDEX(DaybyDay[],DaybyDay[[#This Row],[FORM_MATCH_HELPER]],8),"")</f>
        <v/>
      </c>
      <c r="AH270" s="39" t="str" cm="1">
        <f t="array" ref="AH270">IFERROR(INDEX(DaybyDay[],DaybyDay[[#This Row],[FORM_MATCH_HELPER]],10),"")</f>
        <v/>
      </c>
      <c r="AI270" s="39" t="str" cm="1">
        <f t="array" ref="AI270">IFERROR(INDEX(DaybyDay[],DaybyDay[[#This Row],[FORM_MATCH_HELPER]],12),"")</f>
        <v/>
      </c>
      <c r="AJ270" s="32">
        <f>IFERROR(DaybyDay[[#This Row],[Serv-LY-RU]]+DaybyDay[[#This Row],[Ret-LY-RU]],"")</f>
        <v>0</v>
      </c>
      <c r="AK2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0" s="77"/>
      <c r="AM270" s="40" t="str">
        <f>IF(DaybyDay[[#This Row],[Admin Hours]]&gt;0,DaybyDay[[#This Row],[Admin Hours]]*$AM$2+$AM$3,"")</f>
        <v/>
      </c>
      <c r="AN270" s="40">
        <f>SUMIFS(DaybyDay[Est-Admin-Payroll],DaybyDay[Date],"&gt;="&amp;$C$5,DaybyDay[RowYear],"&gt;="&amp;$C$4,DaybyDay[Date],"&lt;="&amp;DaybyDay[[#This Row],[Date]])</f>
        <v>0</v>
      </c>
      <c r="AO270" s="41" t="str">
        <f>IF(AND(DaybyDay[[#This Row],[_Space]],ISNUMBER(DaybyDay[[#This Row],[Admin Hours]])),DaybyDay[[#This Row],[Est-Admin-Payroll]]/(DaybyDay[[#This Row],[Service-Actuals]]+DaybyDay[[#This Row],[Retail-Actuals]]),"")</f>
        <v/>
      </c>
      <c r="AP270" s="41" t="e">
        <f>DaybyDay[[#This Row],[Estimated-Payroll-Rollup]]/DaybyDay[[#This Row],[Simple-Forecast]]</f>
        <v>#DIV/0!</v>
      </c>
      <c r="AQ2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0" s="77"/>
      <c r="AS270" s="40" t="str">
        <f>IF(DaybyDay[[#This Row],[Retail Hours]]&gt;0,DaybyDay[[#This Row],[Retail Hours]]*$AS$2,"")</f>
        <v/>
      </c>
      <c r="AT270" s="40">
        <f>SUMIFS(DaybyDay[Est-Retail-Payroll],DaybyDay[Date],"&gt;="&amp;$C$5,DaybyDay[RowYear],"&gt;="&amp;$C$4,DaybyDay[Date],"&lt;="&amp;DaybyDay[[#This Row],[Date]])</f>
        <v>0</v>
      </c>
      <c r="AU270" s="82" t="str">
        <f>IF(AND(DaybyDay[[#This Row],[_Space]],ISNUMBER(DaybyDay[[#This Row],[Retail Hours]])),DaybyDay[[#This Row],[Est-Retail-Payroll]]/(DaybyDay[[#This Row],[Retail-Actuals]]),"")</f>
        <v/>
      </c>
      <c r="AV270" s="82" t="e">
        <f>DaybyDay[[#This Row],[Est-Retail-PayrollRU]]/DaybyDay[[#This Row],[Simple-Forecast-Retail]]</f>
        <v>#DIV/0!</v>
      </c>
      <c r="AW270" s="8"/>
    </row>
    <row r="271" spans="3:49" hidden="1" x14ac:dyDescent="0.25">
      <c r="C271" s="26" t="str">
        <f>Tools!$C$1</f>
        <v>Example</v>
      </c>
      <c r="D271" s="27" t="s">
        <v>76</v>
      </c>
      <c r="E271" s="28">
        <v>2017</v>
      </c>
      <c r="F271" s="28">
        <f>MATCH(DaybyDay[[#This Row],[RowMonth]],Table3[SummaryMonth],0)</f>
        <v>9</v>
      </c>
      <c r="G271" s="29" t="e">
        <f>MATCH(DaybyDay[[#This Row],[LY-Date]],DaybyDay[Date],0)</f>
        <v>#N/A</v>
      </c>
      <c r="H271" s="30">
        <f>WEEKDAY(DaybyDay[[#This Row],[Date]])</f>
        <v>6</v>
      </c>
      <c r="I271" s="31">
        <v>43000</v>
      </c>
      <c r="J271" s="74">
        <v>24</v>
      </c>
      <c r="K271" s="32">
        <f>SUMIFS(BudgetSeasonality[365 Seasonality],BudgetSeasonality[MonthAdjustment],DaybyDay[[#This Row],[Date]])*SUMIFS(Budgets[Service-Budget],Budgets[BudgetMonth],DaybyDay[[#This Row],[RowMonth]],Budgets[BudgetYear],DaybyDay[[#This Row],[RowYear]])</f>
        <v>0</v>
      </c>
      <c r="L271" s="75">
        <v>3136.4</v>
      </c>
      <c r="M271" s="32">
        <f>INDEX(BudgetSeasonality[365 Seasonality],MATCH(DaybyDay[[#This Row],[Date]],BudgetSeasonality[MonthAdjustment],0))*SUMIFS(Budgets[Retail-Budget],Budgets[BudgetMonth],DaybyDay[[#This Row],[RowMonth]],Budgets[BudgetYear],DaybyDay[[#This Row],[RowYear]])</f>
        <v>0</v>
      </c>
      <c r="N271" s="75">
        <v>800.75</v>
      </c>
      <c r="O271" s="33">
        <f>SUMIFS(DaybyDay[Service-Budgets],DaybyDay[Date],"&gt;="&amp;$C$5,DaybyDay[RowYear],"&gt;="&amp;$C$4,DaybyDay[Date],"&lt;="&amp;DaybyDay[[#This Row],[Date]])</f>
        <v>0</v>
      </c>
      <c r="P271" s="33">
        <f>SUMIFS(DaybyDay[Retail-Budgets],DaybyDay[Date],"&gt;="&amp;$C$5,DaybyDay[RowYear],"&gt;="&amp;$C$4,DaybyDay[Date],"&lt;="&amp;DaybyDay[[#This Row],[Date]])</f>
        <v>0</v>
      </c>
      <c r="Q271" s="34">
        <f>SUMIFS(DaybyDay[Service-Actuals],DaybyDay[Date],"&gt;="&amp;$C$5,DaybyDay[RowYear],"&gt;="&amp;$C$4,DaybyDay[Date],"&lt;="&amp;DaybyDay[[#This Row],[Date]])</f>
        <v>0</v>
      </c>
      <c r="R271" s="34">
        <f>SUMIFS(DaybyDay[Retail-Actuals],DaybyDay[Date],"&gt;="&amp;$C$5,DaybyDay[RowYear],"&gt;="&amp;$C$4,DaybyDay[Date],"&lt;="&amp;DaybyDay[[#This Row],[Date]])</f>
        <v>0</v>
      </c>
      <c r="S271" s="35">
        <f>SUMIFS(DaybyDay[Service-LY],DaybyDay[Date],"&gt;="&amp;$C$5,DaybyDay[RowYear],"&gt;="&amp;$C$4,DaybyDay[Date],"&lt;="&amp;DaybyDay[[#This Row],[Date]])</f>
        <v>0</v>
      </c>
      <c r="T271" s="35">
        <f>SUMIFS(DaybyDay[Retail-LY],DaybyDay[Date],"&gt;="&amp;$C$5,DaybyDay[RowYear],"&gt;="&amp;$C$4,DaybyDay[Date],"&lt;="&amp;DaybyDay[[#This Row],[Date]])</f>
        <v>0</v>
      </c>
      <c r="U271" s="32">
        <f>DaybyDay[[#This Row],[Serv-Bud-RU]]+DaybyDay[[#This Row],[Ret-Bud-RU]]</f>
        <v>0</v>
      </c>
      <c r="V271" s="32">
        <f>DaybyDay[[#This Row],[Serv-Act-RU]]+DaybyDay[[#This Row],[Ret-Act-RU]]</f>
        <v>0</v>
      </c>
      <c r="W271" s="36">
        <f>IF(DaybyDay[[#This Row],[_Space]],IFERROR(
((DaybyDay[[#This Row],[Actual-Rollup]]-DaybyDay[[#This Row],[Budget-Rollup]])/DaybyDay[[#This Row],[Budget-Rollup]]),0),"")</f>
        <v>0</v>
      </c>
      <c r="X271" t="b">
        <f>NOT(AND(ISBLANK(DaybyDay[[#This Row],[Appts]]),ISBLANK(DaybyDay[[#This Row],[Service-Actuals]]),ISBLANK(DaybyDay[[#This Row],[Retail-Actuals]])))</f>
        <v>1</v>
      </c>
      <c r="Y271" s="36">
        <f>IF(DaybyDay[[#This Row],[_Space]],IFERROR(
((DaybyDay[[#This Row],[Actual-Rollup]]-DaybyDay[[#This Row],[LY-Rollup]])/DaybyDay[[#This Row],[LY-Rollup]]),0),"")</f>
        <v>0</v>
      </c>
      <c r="Z271"/>
      <c r="AA271" s="37" t="e">
        <f>IF(DaybyDay[[#This Row],[_Space]],DaybyDay[[#This Row],[Ret-Act-RU]]/DaybyDay[[#This Row],[Serv-Act-RU]],"")</f>
        <v>#DIV/0!</v>
      </c>
      <c r="AB271" s="50" t="e">
        <f>IF(DaybyDay[[#This Row],[_Space]],DaybyDay[[#This Row],[RETPEN-Act]]/DaybyDay[[#This Row],[RETPEN-Bud]],"")</f>
        <v>#DIV/0!</v>
      </c>
      <c r="AC271" s="37" t="e">
        <f>IF(DaybyDay[[#This Row],[_Space]],DaybyDay[[#This Row],[Ret-Bud-RU]]/DaybyDay[[#This Row],[Serv-Bud-RU]],"")</f>
        <v>#DIV/0!</v>
      </c>
      <c r="AD271" s="37" t="e">
        <f>IF(DaybyDay[[#This Row],[_Space]],DaybyDay[[#This Row],[Ret-LY-RU]]/DaybyDay[[#This Row],[Serv-LY-RU]],"")</f>
        <v>#DIV/0!</v>
      </c>
      <c r="AE271" s="30">
        <f>WEEKDAY(DaybyDay[[#This Row],[LY-Date]])</f>
        <v>6</v>
      </c>
      <c r="AF271" s="38">
        <f>$E$2+_xlfn.DAYS(DaybyDay[[#This Row],[Date]],minDate)</f>
        <v>42636</v>
      </c>
      <c r="AG271" s="39" t="str" cm="1">
        <f t="array" ref="AG271">IFERROR(INDEX(DaybyDay[],DaybyDay[[#This Row],[FORM_MATCH_HELPER]],8),"")</f>
        <v/>
      </c>
      <c r="AH271" s="39" t="str" cm="1">
        <f t="array" ref="AH271">IFERROR(INDEX(DaybyDay[],DaybyDay[[#This Row],[FORM_MATCH_HELPER]],10),"")</f>
        <v/>
      </c>
      <c r="AI271" s="39" t="str" cm="1">
        <f t="array" ref="AI271">IFERROR(INDEX(DaybyDay[],DaybyDay[[#This Row],[FORM_MATCH_HELPER]],12),"")</f>
        <v/>
      </c>
      <c r="AJ271" s="32">
        <f>IFERROR(DaybyDay[[#This Row],[Serv-LY-RU]]+DaybyDay[[#This Row],[Ret-LY-RU]],"")</f>
        <v>0</v>
      </c>
      <c r="AK2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1" s="77"/>
      <c r="AM271" s="40" t="str">
        <f>IF(DaybyDay[[#This Row],[Admin Hours]]&gt;0,DaybyDay[[#This Row],[Admin Hours]]*$AM$2+$AM$3,"")</f>
        <v/>
      </c>
      <c r="AN271" s="40">
        <f>SUMIFS(DaybyDay[Est-Admin-Payroll],DaybyDay[Date],"&gt;="&amp;$C$5,DaybyDay[RowYear],"&gt;="&amp;$C$4,DaybyDay[Date],"&lt;="&amp;DaybyDay[[#This Row],[Date]])</f>
        <v>0</v>
      </c>
      <c r="AO271" s="41" t="str">
        <f>IF(AND(DaybyDay[[#This Row],[_Space]],ISNUMBER(DaybyDay[[#This Row],[Admin Hours]])),DaybyDay[[#This Row],[Est-Admin-Payroll]]/(DaybyDay[[#This Row],[Service-Actuals]]+DaybyDay[[#This Row],[Retail-Actuals]]),"")</f>
        <v/>
      </c>
      <c r="AP271" s="41" t="e">
        <f>DaybyDay[[#This Row],[Estimated-Payroll-Rollup]]/DaybyDay[[#This Row],[Simple-Forecast]]</f>
        <v>#DIV/0!</v>
      </c>
      <c r="AQ2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1" s="77"/>
      <c r="AS271" s="40" t="str">
        <f>IF(DaybyDay[[#This Row],[Retail Hours]]&gt;0,DaybyDay[[#This Row],[Retail Hours]]*$AS$2,"")</f>
        <v/>
      </c>
      <c r="AT271" s="40">
        <f>SUMIFS(DaybyDay[Est-Retail-Payroll],DaybyDay[Date],"&gt;="&amp;$C$5,DaybyDay[RowYear],"&gt;="&amp;$C$4,DaybyDay[Date],"&lt;="&amp;DaybyDay[[#This Row],[Date]])</f>
        <v>0</v>
      </c>
      <c r="AU271" s="82" t="str">
        <f>IF(AND(DaybyDay[[#This Row],[_Space]],ISNUMBER(DaybyDay[[#This Row],[Retail Hours]])),DaybyDay[[#This Row],[Est-Retail-Payroll]]/(DaybyDay[[#This Row],[Retail-Actuals]]),"")</f>
        <v/>
      </c>
      <c r="AV271" s="82" t="e">
        <f>DaybyDay[[#This Row],[Est-Retail-PayrollRU]]/DaybyDay[[#This Row],[Simple-Forecast-Retail]]</f>
        <v>#DIV/0!</v>
      </c>
      <c r="AW271" s="8"/>
    </row>
    <row r="272" spans="3:49" hidden="1" x14ac:dyDescent="0.25">
      <c r="C272" s="26" t="str">
        <f>Tools!$C$1</f>
        <v>Example</v>
      </c>
      <c r="D272" s="27" t="s">
        <v>76</v>
      </c>
      <c r="E272" s="28">
        <v>2017</v>
      </c>
      <c r="F272" s="28">
        <f>MATCH(DaybyDay[[#This Row],[RowMonth]],Table3[SummaryMonth],0)</f>
        <v>9</v>
      </c>
      <c r="G272" s="29" t="e">
        <f>MATCH(DaybyDay[[#This Row],[LY-Date]],DaybyDay[Date],0)</f>
        <v>#N/A</v>
      </c>
      <c r="H272" s="30">
        <f>WEEKDAY(DaybyDay[[#This Row],[Date]])</f>
        <v>7</v>
      </c>
      <c r="I272" s="31">
        <v>43001</v>
      </c>
      <c r="J272" s="74">
        <v>23</v>
      </c>
      <c r="K272" s="32">
        <f>SUMIFS(BudgetSeasonality[365 Seasonality],BudgetSeasonality[MonthAdjustment],DaybyDay[[#This Row],[Date]])*SUMIFS(Budgets[Service-Budget],Budgets[BudgetMonth],DaybyDay[[#This Row],[RowMonth]],Budgets[BudgetYear],DaybyDay[[#This Row],[RowYear]])</f>
        <v>0</v>
      </c>
      <c r="L272" s="75">
        <v>5265</v>
      </c>
      <c r="M272" s="32">
        <f>INDEX(BudgetSeasonality[365 Seasonality],MATCH(DaybyDay[[#This Row],[Date]],BudgetSeasonality[MonthAdjustment],0))*SUMIFS(Budgets[Retail-Budget],Budgets[BudgetMonth],DaybyDay[[#This Row],[RowMonth]],Budgets[BudgetYear],DaybyDay[[#This Row],[RowYear]])</f>
        <v>0</v>
      </c>
      <c r="N272" s="75">
        <v>393</v>
      </c>
      <c r="O272" s="33">
        <f>SUMIFS(DaybyDay[Service-Budgets],DaybyDay[Date],"&gt;="&amp;$C$5,DaybyDay[RowYear],"&gt;="&amp;$C$4,DaybyDay[Date],"&lt;="&amp;DaybyDay[[#This Row],[Date]])</f>
        <v>0</v>
      </c>
      <c r="P272" s="33">
        <f>SUMIFS(DaybyDay[Retail-Budgets],DaybyDay[Date],"&gt;="&amp;$C$5,DaybyDay[RowYear],"&gt;="&amp;$C$4,DaybyDay[Date],"&lt;="&amp;DaybyDay[[#This Row],[Date]])</f>
        <v>0</v>
      </c>
      <c r="Q272" s="34">
        <f>SUMIFS(DaybyDay[Service-Actuals],DaybyDay[Date],"&gt;="&amp;$C$5,DaybyDay[RowYear],"&gt;="&amp;$C$4,DaybyDay[Date],"&lt;="&amp;DaybyDay[[#This Row],[Date]])</f>
        <v>0</v>
      </c>
      <c r="R272" s="34">
        <f>SUMIFS(DaybyDay[Retail-Actuals],DaybyDay[Date],"&gt;="&amp;$C$5,DaybyDay[RowYear],"&gt;="&amp;$C$4,DaybyDay[Date],"&lt;="&amp;DaybyDay[[#This Row],[Date]])</f>
        <v>0</v>
      </c>
      <c r="S272" s="35">
        <f>SUMIFS(DaybyDay[Service-LY],DaybyDay[Date],"&gt;="&amp;$C$5,DaybyDay[RowYear],"&gt;="&amp;$C$4,DaybyDay[Date],"&lt;="&amp;DaybyDay[[#This Row],[Date]])</f>
        <v>0</v>
      </c>
      <c r="T272" s="35">
        <f>SUMIFS(DaybyDay[Retail-LY],DaybyDay[Date],"&gt;="&amp;$C$5,DaybyDay[RowYear],"&gt;="&amp;$C$4,DaybyDay[Date],"&lt;="&amp;DaybyDay[[#This Row],[Date]])</f>
        <v>0</v>
      </c>
      <c r="U272" s="32">
        <f>DaybyDay[[#This Row],[Serv-Bud-RU]]+DaybyDay[[#This Row],[Ret-Bud-RU]]</f>
        <v>0</v>
      </c>
      <c r="V272" s="32">
        <f>DaybyDay[[#This Row],[Serv-Act-RU]]+DaybyDay[[#This Row],[Ret-Act-RU]]</f>
        <v>0</v>
      </c>
      <c r="W272" s="36">
        <f>IF(DaybyDay[[#This Row],[_Space]],IFERROR(
((DaybyDay[[#This Row],[Actual-Rollup]]-DaybyDay[[#This Row],[Budget-Rollup]])/DaybyDay[[#This Row],[Budget-Rollup]]),0),"")</f>
        <v>0</v>
      </c>
      <c r="X272" t="b">
        <f>NOT(AND(ISBLANK(DaybyDay[[#This Row],[Appts]]),ISBLANK(DaybyDay[[#This Row],[Service-Actuals]]),ISBLANK(DaybyDay[[#This Row],[Retail-Actuals]])))</f>
        <v>1</v>
      </c>
      <c r="Y272" s="36">
        <f>IF(DaybyDay[[#This Row],[_Space]],IFERROR(
((DaybyDay[[#This Row],[Actual-Rollup]]-DaybyDay[[#This Row],[LY-Rollup]])/DaybyDay[[#This Row],[LY-Rollup]]),0),"")</f>
        <v>0</v>
      </c>
      <c r="Z272"/>
      <c r="AA272" s="37" t="e">
        <f>IF(DaybyDay[[#This Row],[_Space]],DaybyDay[[#This Row],[Ret-Act-RU]]/DaybyDay[[#This Row],[Serv-Act-RU]],"")</f>
        <v>#DIV/0!</v>
      </c>
      <c r="AB272" s="50" t="e">
        <f>IF(DaybyDay[[#This Row],[_Space]],DaybyDay[[#This Row],[RETPEN-Act]]/DaybyDay[[#This Row],[RETPEN-Bud]],"")</f>
        <v>#DIV/0!</v>
      </c>
      <c r="AC272" s="37" t="e">
        <f>IF(DaybyDay[[#This Row],[_Space]],DaybyDay[[#This Row],[Ret-Bud-RU]]/DaybyDay[[#This Row],[Serv-Bud-RU]],"")</f>
        <v>#DIV/0!</v>
      </c>
      <c r="AD272" s="37" t="e">
        <f>IF(DaybyDay[[#This Row],[_Space]],DaybyDay[[#This Row],[Ret-LY-RU]]/DaybyDay[[#This Row],[Serv-LY-RU]],"")</f>
        <v>#DIV/0!</v>
      </c>
      <c r="AE272" s="30">
        <f>WEEKDAY(DaybyDay[[#This Row],[LY-Date]])</f>
        <v>7</v>
      </c>
      <c r="AF272" s="38">
        <f>$E$2+_xlfn.DAYS(DaybyDay[[#This Row],[Date]],minDate)</f>
        <v>42637</v>
      </c>
      <c r="AG272" s="39" t="str" cm="1">
        <f t="array" ref="AG272">IFERROR(INDEX(DaybyDay[],DaybyDay[[#This Row],[FORM_MATCH_HELPER]],8),"")</f>
        <v/>
      </c>
      <c r="AH272" s="39" t="str" cm="1">
        <f t="array" ref="AH272">IFERROR(INDEX(DaybyDay[],DaybyDay[[#This Row],[FORM_MATCH_HELPER]],10),"")</f>
        <v/>
      </c>
      <c r="AI272" s="39" t="str" cm="1">
        <f t="array" ref="AI272">IFERROR(INDEX(DaybyDay[],DaybyDay[[#This Row],[FORM_MATCH_HELPER]],12),"")</f>
        <v/>
      </c>
      <c r="AJ272" s="32">
        <f>IFERROR(DaybyDay[[#This Row],[Serv-LY-RU]]+DaybyDay[[#This Row],[Ret-LY-RU]],"")</f>
        <v>0</v>
      </c>
      <c r="AK2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2" s="77"/>
      <c r="AM272" s="40" t="str">
        <f>IF(DaybyDay[[#This Row],[Admin Hours]]&gt;0,DaybyDay[[#This Row],[Admin Hours]]*$AM$2+$AM$3,"")</f>
        <v/>
      </c>
      <c r="AN272" s="40">
        <f>SUMIFS(DaybyDay[Est-Admin-Payroll],DaybyDay[Date],"&gt;="&amp;$C$5,DaybyDay[RowYear],"&gt;="&amp;$C$4,DaybyDay[Date],"&lt;="&amp;DaybyDay[[#This Row],[Date]])</f>
        <v>0</v>
      </c>
      <c r="AO272" s="41" t="str">
        <f>IF(AND(DaybyDay[[#This Row],[_Space]],ISNUMBER(DaybyDay[[#This Row],[Admin Hours]])),DaybyDay[[#This Row],[Est-Admin-Payroll]]/(DaybyDay[[#This Row],[Service-Actuals]]+DaybyDay[[#This Row],[Retail-Actuals]]),"")</f>
        <v/>
      </c>
      <c r="AP272" s="41" t="e">
        <f>DaybyDay[[#This Row],[Estimated-Payroll-Rollup]]/DaybyDay[[#This Row],[Simple-Forecast]]</f>
        <v>#DIV/0!</v>
      </c>
      <c r="AQ2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2" s="77"/>
      <c r="AS272" s="40" t="str">
        <f>IF(DaybyDay[[#This Row],[Retail Hours]]&gt;0,DaybyDay[[#This Row],[Retail Hours]]*$AS$2,"")</f>
        <v/>
      </c>
      <c r="AT272" s="40">
        <f>SUMIFS(DaybyDay[Est-Retail-Payroll],DaybyDay[Date],"&gt;="&amp;$C$5,DaybyDay[RowYear],"&gt;="&amp;$C$4,DaybyDay[Date],"&lt;="&amp;DaybyDay[[#This Row],[Date]])</f>
        <v>0</v>
      </c>
      <c r="AU272" s="82" t="str">
        <f>IF(AND(DaybyDay[[#This Row],[_Space]],ISNUMBER(DaybyDay[[#This Row],[Retail Hours]])),DaybyDay[[#This Row],[Est-Retail-Payroll]]/(DaybyDay[[#This Row],[Retail-Actuals]]),"")</f>
        <v/>
      </c>
      <c r="AV272" s="82" t="e">
        <f>DaybyDay[[#This Row],[Est-Retail-PayrollRU]]/DaybyDay[[#This Row],[Simple-Forecast-Retail]]</f>
        <v>#DIV/0!</v>
      </c>
      <c r="AW272" s="8"/>
    </row>
    <row r="273" spans="3:49" hidden="1" x14ac:dyDescent="0.25">
      <c r="C273" s="26" t="str">
        <f>Tools!$C$1</f>
        <v>Example</v>
      </c>
      <c r="D273" s="27" t="s">
        <v>76</v>
      </c>
      <c r="E273" s="28">
        <v>2017</v>
      </c>
      <c r="F273" s="28">
        <f>MATCH(DaybyDay[[#This Row],[RowMonth]],Table3[SummaryMonth],0)</f>
        <v>9</v>
      </c>
      <c r="G273" s="29" t="e">
        <f>MATCH(DaybyDay[[#This Row],[LY-Date]],DaybyDay[Date],0)</f>
        <v>#N/A</v>
      </c>
      <c r="H273" s="30">
        <f>WEEKDAY(DaybyDay[[#This Row],[Date]])</f>
        <v>1</v>
      </c>
      <c r="I273" s="31">
        <v>43002</v>
      </c>
      <c r="J273" s="74">
        <v>22</v>
      </c>
      <c r="K273" s="32">
        <f>SUMIFS(BudgetSeasonality[365 Seasonality],BudgetSeasonality[MonthAdjustment],DaybyDay[[#This Row],[Date]])*SUMIFS(Budgets[Service-Budget],Budgets[BudgetMonth],DaybyDay[[#This Row],[RowMonth]],Budgets[BudgetYear],DaybyDay[[#This Row],[RowYear]])</f>
        <v>0</v>
      </c>
      <c r="L273" s="75">
        <v>5678.4</v>
      </c>
      <c r="M273" s="32">
        <f>INDEX(BudgetSeasonality[365 Seasonality],MATCH(DaybyDay[[#This Row],[Date]],BudgetSeasonality[MonthAdjustment],0))*SUMIFS(Budgets[Retail-Budget],Budgets[BudgetMonth],DaybyDay[[#This Row],[RowMonth]],Budgets[BudgetYear],DaybyDay[[#This Row],[RowYear]])</f>
        <v>0</v>
      </c>
      <c r="N273" s="75">
        <v>1796</v>
      </c>
      <c r="O273" s="33">
        <f>SUMIFS(DaybyDay[Service-Budgets],DaybyDay[Date],"&gt;="&amp;$C$5,DaybyDay[RowYear],"&gt;="&amp;$C$4,DaybyDay[Date],"&lt;="&amp;DaybyDay[[#This Row],[Date]])</f>
        <v>0</v>
      </c>
      <c r="P273" s="33">
        <f>SUMIFS(DaybyDay[Retail-Budgets],DaybyDay[Date],"&gt;="&amp;$C$5,DaybyDay[RowYear],"&gt;="&amp;$C$4,DaybyDay[Date],"&lt;="&amp;DaybyDay[[#This Row],[Date]])</f>
        <v>0</v>
      </c>
      <c r="Q273" s="34">
        <f>SUMIFS(DaybyDay[Service-Actuals],DaybyDay[Date],"&gt;="&amp;$C$5,DaybyDay[RowYear],"&gt;="&amp;$C$4,DaybyDay[Date],"&lt;="&amp;DaybyDay[[#This Row],[Date]])</f>
        <v>0</v>
      </c>
      <c r="R273" s="34">
        <f>SUMIFS(DaybyDay[Retail-Actuals],DaybyDay[Date],"&gt;="&amp;$C$5,DaybyDay[RowYear],"&gt;="&amp;$C$4,DaybyDay[Date],"&lt;="&amp;DaybyDay[[#This Row],[Date]])</f>
        <v>0</v>
      </c>
      <c r="S273" s="35">
        <f>SUMIFS(DaybyDay[Service-LY],DaybyDay[Date],"&gt;="&amp;$C$5,DaybyDay[RowYear],"&gt;="&amp;$C$4,DaybyDay[Date],"&lt;="&amp;DaybyDay[[#This Row],[Date]])</f>
        <v>0</v>
      </c>
      <c r="T273" s="35">
        <f>SUMIFS(DaybyDay[Retail-LY],DaybyDay[Date],"&gt;="&amp;$C$5,DaybyDay[RowYear],"&gt;="&amp;$C$4,DaybyDay[Date],"&lt;="&amp;DaybyDay[[#This Row],[Date]])</f>
        <v>0</v>
      </c>
      <c r="U273" s="32">
        <f>DaybyDay[[#This Row],[Serv-Bud-RU]]+DaybyDay[[#This Row],[Ret-Bud-RU]]</f>
        <v>0</v>
      </c>
      <c r="V273" s="32">
        <f>DaybyDay[[#This Row],[Serv-Act-RU]]+DaybyDay[[#This Row],[Ret-Act-RU]]</f>
        <v>0</v>
      </c>
      <c r="W273" s="36">
        <f>IF(DaybyDay[[#This Row],[_Space]],IFERROR(
((DaybyDay[[#This Row],[Actual-Rollup]]-DaybyDay[[#This Row],[Budget-Rollup]])/DaybyDay[[#This Row],[Budget-Rollup]]),0),"")</f>
        <v>0</v>
      </c>
      <c r="X273" t="b">
        <f>NOT(AND(ISBLANK(DaybyDay[[#This Row],[Appts]]),ISBLANK(DaybyDay[[#This Row],[Service-Actuals]]),ISBLANK(DaybyDay[[#This Row],[Retail-Actuals]])))</f>
        <v>1</v>
      </c>
      <c r="Y273" s="36">
        <f>IF(DaybyDay[[#This Row],[_Space]],IFERROR(
((DaybyDay[[#This Row],[Actual-Rollup]]-DaybyDay[[#This Row],[LY-Rollup]])/DaybyDay[[#This Row],[LY-Rollup]]),0),"")</f>
        <v>0</v>
      </c>
      <c r="Z273"/>
      <c r="AA273" s="37" t="e">
        <f>IF(DaybyDay[[#This Row],[_Space]],DaybyDay[[#This Row],[Ret-Act-RU]]/DaybyDay[[#This Row],[Serv-Act-RU]],"")</f>
        <v>#DIV/0!</v>
      </c>
      <c r="AB273" s="50" t="e">
        <f>IF(DaybyDay[[#This Row],[_Space]],DaybyDay[[#This Row],[RETPEN-Act]]/DaybyDay[[#This Row],[RETPEN-Bud]],"")</f>
        <v>#DIV/0!</v>
      </c>
      <c r="AC273" s="37" t="e">
        <f>IF(DaybyDay[[#This Row],[_Space]],DaybyDay[[#This Row],[Ret-Bud-RU]]/DaybyDay[[#This Row],[Serv-Bud-RU]],"")</f>
        <v>#DIV/0!</v>
      </c>
      <c r="AD273" s="37" t="e">
        <f>IF(DaybyDay[[#This Row],[_Space]],DaybyDay[[#This Row],[Ret-LY-RU]]/DaybyDay[[#This Row],[Serv-LY-RU]],"")</f>
        <v>#DIV/0!</v>
      </c>
      <c r="AE273" s="30">
        <f>WEEKDAY(DaybyDay[[#This Row],[LY-Date]])</f>
        <v>1</v>
      </c>
      <c r="AF273" s="38">
        <f>$E$2+_xlfn.DAYS(DaybyDay[[#This Row],[Date]],minDate)</f>
        <v>42638</v>
      </c>
      <c r="AG273" s="39" t="str" cm="1">
        <f t="array" ref="AG273">IFERROR(INDEX(DaybyDay[],DaybyDay[[#This Row],[FORM_MATCH_HELPER]],8),"")</f>
        <v/>
      </c>
      <c r="AH273" s="39" t="str" cm="1">
        <f t="array" ref="AH273">IFERROR(INDEX(DaybyDay[],DaybyDay[[#This Row],[FORM_MATCH_HELPER]],10),"")</f>
        <v/>
      </c>
      <c r="AI273" s="39" t="str" cm="1">
        <f t="array" ref="AI273">IFERROR(INDEX(DaybyDay[],DaybyDay[[#This Row],[FORM_MATCH_HELPER]],12),"")</f>
        <v/>
      </c>
      <c r="AJ273" s="32">
        <f>IFERROR(DaybyDay[[#This Row],[Serv-LY-RU]]+DaybyDay[[#This Row],[Ret-LY-RU]],"")</f>
        <v>0</v>
      </c>
      <c r="AK2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3" s="77"/>
      <c r="AM273" s="40" t="str">
        <f>IF(DaybyDay[[#This Row],[Admin Hours]]&gt;0,DaybyDay[[#This Row],[Admin Hours]]*$AM$2+$AM$3,"")</f>
        <v/>
      </c>
      <c r="AN273" s="40">
        <f>SUMIFS(DaybyDay[Est-Admin-Payroll],DaybyDay[Date],"&gt;="&amp;$C$5,DaybyDay[RowYear],"&gt;="&amp;$C$4,DaybyDay[Date],"&lt;="&amp;DaybyDay[[#This Row],[Date]])</f>
        <v>0</v>
      </c>
      <c r="AO273" s="41" t="str">
        <f>IF(AND(DaybyDay[[#This Row],[_Space]],ISNUMBER(DaybyDay[[#This Row],[Admin Hours]])),DaybyDay[[#This Row],[Est-Admin-Payroll]]/(DaybyDay[[#This Row],[Service-Actuals]]+DaybyDay[[#This Row],[Retail-Actuals]]),"")</f>
        <v/>
      </c>
      <c r="AP273" s="41" t="e">
        <f>DaybyDay[[#This Row],[Estimated-Payroll-Rollup]]/DaybyDay[[#This Row],[Simple-Forecast]]</f>
        <v>#DIV/0!</v>
      </c>
      <c r="AQ2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3" s="77"/>
      <c r="AS273" s="40" t="str">
        <f>IF(DaybyDay[[#This Row],[Retail Hours]]&gt;0,DaybyDay[[#This Row],[Retail Hours]]*$AS$2,"")</f>
        <v/>
      </c>
      <c r="AT273" s="40">
        <f>SUMIFS(DaybyDay[Est-Retail-Payroll],DaybyDay[Date],"&gt;="&amp;$C$5,DaybyDay[RowYear],"&gt;="&amp;$C$4,DaybyDay[Date],"&lt;="&amp;DaybyDay[[#This Row],[Date]])</f>
        <v>0</v>
      </c>
      <c r="AU273" s="82" t="str">
        <f>IF(AND(DaybyDay[[#This Row],[_Space]],ISNUMBER(DaybyDay[[#This Row],[Retail Hours]])),DaybyDay[[#This Row],[Est-Retail-Payroll]]/(DaybyDay[[#This Row],[Retail-Actuals]]),"")</f>
        <v/>
      </c>
      <c r="AV273" s="82" t="e">
        <f>DaybyDay[[#This Row],[Est-Retail-PayrollRU]]/DaybyDay[[#This Row],[Simple-Forecast-Retail]]</f>
        <v>#DIV/0!</v>
      </c>
      <c r="AW273" s="8"/>
    </row>
    <row r="274" spans="3:49" hidden="1" x14ac:dyDescent="0.25">
      <c r="C274" s="26" t="str">
        <f>Tools!$C$1</f>
        <v>Example</v>
      </c>
      <c r="D274" s="27" t="s">
        <v>76</v>
      </c>
      <c r="E274" s="28">
        <v>2017</v>
      </c>
      <c r="F274" s="28">
        <f>MATCH(DaybyDay[[#This Row],[RowMonth]],Table3[SummaryMonth],0)</f>
        <v>9</v>
      </c>
      <c r="G274" s="29" t="e">
        <f>MATCH(DaybyDay[[#This Row],[LY-Date]],DaybyDay[Date],0)</f>
        <v>#N/A</v>
      </c>
      <c r="H274" s="30">
        <f>WEEKDAY(DaybyDay[[#This Row],[Date]])</f>
        <v>2</v>
      </c>
      <c r="I274" s="31">
        <v>43003</v>
      </c>
      <c r="J274" s="74">
        <v>9</v>
      </c>
      <c r="K274" s="32">
        <f>SUMIFS(BudgetSeasonality[365 Seasonality],BudgetSeasonality[MonthAdjustment],DaybyDay[[#This Row],[Date]])*SUMIFS(Budgets[Service-Budget],Budgets[BudgetMonth],DaybyDay[[#This Row],[RowMonth]],Budgets[BudgetYear],DaybyDay[[#This Row],[RowYear]])</f>
        <v>0</v>
      </c>
      <c r="L274" s="75">
        <v>1902</v>
      </c>
      <c r="M274" s="32">
        <f>INDEX(BudgetSeasonality[365 Seasonality],MATCH(DaybyDay[[#This Row],[Date]],BudgetSeasonality[MonthAdjustment],0))*SUMIFS(Budgets[Retail-Budget],Budgets[BudgetMonth],DaybyDay[[#This Row],[RowMonth]],Budgets[BudgetYear],DaybyDay[[#This Row],[RowYear]])</f>
        <v>0</v>
      </c>
      <c r="N274" s="75">
        <v>1494</v>
      </c>
      <c r="O274" s="33">
        <f>SUMIFS(DaybyDay[Service-Budgets],DaybyDay[Date],"&gt;="&amp;$C$5,DaybyDay[RowYear],"&gt;="&amp;$C$4,DaybyDay[Date],"&lt;="&amp;DaybyDay[[#This Row],[Date]])</f>
        <v>0</v>
      </c>
      <c r="P274" s="33">
        <f>SUMIFS(DaybyDay[Retail-Budgets],DaybyDay[Date],"&gt;="&amp;$C$5,DaybyDay[RowYear],"&gt;="&amp;$C$4,DaybyDay[Date],"&lt;="&amp;DaybyDay[[#This Row],[Date]])</f>
        <v>0</v>
      </c>
      <c r="Q274" s="34">
        <f>SUMIFS(DaybyDay[Service-Actuals],DaybyDay[Date],"&gt;="&amp;$C$5,DaybyDay[RowYear],"&gt;="&amp;$C$4,DaybyDay[Date],"&lt;="&amp;DaybyDay[[#This Row],[Date]])</f>
        <v>0</v>
      </c>
      <c r="R274" s="34">
        <f>SUMIFS(DaybyDay[Retail-Actuals],DaybyDay[Date],"&gt;="&amp;$C$5,DaybyDay[RowYear],"&gt;="&amp;$C$4,DaybyDay[Date],"&lt;="&amp;DaybyDay[[#This Row],[Date]])</f>
        <v>0</v>
      </c>
      <c r="S274" s="35">
        <f>SUMIFS(DaybyDay[Service-LY],DaybyDay[Date],"&gt;="&amp;$C$5,DaybyDay[RowYear],"&gt;="&amp;$C$4,DaybyDay[Date],"&lt;="&amp;DaybyDay[[#This Row],[Date]])</f>
        <v>0</v>
      </c>
      <c r="T274" s="35">
        <f>SUMIFS(DaybyDay[Retail-LY],DaybyDay[Date],"&gt;="&amp;$C$5,DaybyDay[RowYear],"&gt;="&amp;$C$4,DaybyDay[Date],"&lt;="&amp;DaybyDay[[#This Row],[Date]])</f>
        <v>0</v>
      </c>
      <c r="U274" s="32">
        <f>DaybyDay[[#This Row],[Serv-Bud-RU]]+DaybyDay[[#This Row],[Ret-Bud-RU]]</f>
        <v>0</v>
      </c>
      <c r="V274" s="32">
        <f>DaybyDay[[#This Row],[Serv-Act-RU]]+DaybyDay[[#This Row],[Ret-Act-RU]]</f>
        <v>0</v>
      </c>
      <c r="W274" s="36">
        <f>IF(DaybyDay[[#This Row],[_Space]],IFERROR(
((DaybyDay[[#This Row],[Actual-Rollup]]-DaybyDay[[#This Row],[Budget-Rollup]])/DaybyDay[[#This Row],[Budget-Rollup]]),0),"")</f>
        <v>0</v>
      </c>
      <c r="X274" t="b">
        <f>NOT(AND(ISBLANK(DaybyDay[[#This Row],[Appts]]),ISBLANK(DaybyDay[[#This Row],[Service-Actuals]]),ISBLANK(DaybyDay[[#This Row],[Retail-Actuals]])))</f>
        <v>1</v>
      </c>
      <c r="Y274" s="36">
        <f>IF(DaybyDay[[#This Row],[_Space]],IFERROR(
((DaybyDay[[#This Row],[Actual-Rollup]]-DaybyDay[[#This Row],[LY-Rollup]])/DaybyDay[[#This Row],[LY-Rollup]]),0),"")</f>
        <v>0</v>
      </c>
      <c r="Z274"/>
      <c r="AA274" s="37" t="e">
        <f>IF(DaybyDay[[#This Row],[_Space]],DaybyDay[[#This Row],[Ret-Act-RU]]/DaybyDay[[#This Row],[Serv-Act-RU]],"")</f>
        <v>#DIV/0!</v>
      </c>
      <c r="AB274" s="50" t="e">
        <f>IF(DaybyDay[[#This Row],[_Space]],DaybyDay[[#This Row],[RETPEN-Act]]/DaybyDay[[#This Row],[RETPEN-Bud]],"")</f>
        <v>#DIV/0!</v>
      </c>
      <c r="AC274" s="37" t="e">
        <f>IF(DaybyDay[[#This Row],[_Space]],DaybyDay[[#This Row],[Ret-Bud-RU]]/DaybyDay[[#This Row],[Serv-Bud-RU]],"")</f>
        <v>#DIV/0!</v>
      </c>
      <c r="AD274" s="37" t="e">
        <f>IF(DaybyDay[[#This Row],[_Space]],DaybyDay[[#This Row],[Ret-LY-RU]]/DaybyDay[[#This Row],[Serv-LY-RU]],"")</f>
        <v>#DIV/0!</v>
      </c>
      <c r="AE274" s="30">
        <f>WEEKDAY(DaybyDay[[#This Row],[LY-Date]])</f>
        <v>2</v>
      </c>
      <c r="AF274" s="38">
        <f>$E$2+_xlfn.DAYS(DaybyDay[[#This Row],[Date]],minDate)</f>
        <v>42639</v>
      </c>
      <c r="AG274" s="39" t="str" cm="1">
        <f t="array" ref="AG274">IFERROR(INDEX(DaybyDay[],DaybyDay[[#This Row],[FORM_MATCH_HELPER]],8),"")</f>
        <v/>
      </c>
      <c r="AH274" s="39" t="str" cm="1">
        <f t="array" ref="AH274">IFERROR(INDEX(DaybyDay[],DaybyDay[[#This Row],[FORM_MATCH_HELPER]],10),"")</f>
        <v/>
      </c>
      <c r="AI274" s="39" t="str" cm="1">
        <f t="array" ref="AI274">IFERROR(INDEX(DaybyDay[],DaybyDay[[#This Row],[FORM_MATCH_HELPER]],12),"")</f>
        <v/>
      </c>
      <c r="AJ274" s="32">
        <f>IFERROR(DaybyDay[[#This Row],[Serv-LY-RU]]+DaybyDay[[#This Row],[Ret-LY-RU]],"")</f>
        <v>0</v>
      </c>
      <c r="AK2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4" s="77"/>
      <c r="AM274" s="40" t="str">
        <f>IF(DaybyDay[[#This Row],[Admin Hours]]&gt;0,DaybyDay[[#This Row],[Admin Hours]]*$AM$2+$AM$3,"")</f>
        <v/>
      </c>
      <c r="AN274" s="40">
        <f>SUMIFS(DaybyDay[Est-Admin-Payroll],DaybyDay[Date],"&gt;="&amp;$C$5,DaybyDay[RowYear],"&gt;="&amp;$C$4,DaybyDay[Date],"&lt;="&amp;DaybyDay[[#This Row],[Date]])</f>
        <v>0</v>
      </c>
      <c r="AO274" s="41" t="str">
        <f>IF(AND(DaybyDay[[#This Row],[_Space]],ISNUMBER(DaybyDay[[#This Row],[Admin Hours]])),DaybyDay[[#This Row],[Est-Admin-Payroll]]/(DaybyDay[[#This Row],[Service-Actuals]]+DaybyDay[[#This Row],[Retail-Actuals]]),"")</f>
        <v/>
      </c>
      <c r="AP274" s="41" t="e">
        <f>DaybyDay[[#This Row],[Estimated-Payroll-Rollup]]/DaybyDay[[#This Row],[Simple-Forecast]]</f>
        <v>#DIV/0!</v>
      </c>
      <c r="AQ2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4" s="77"/>
      <c r="AS274" s="40" t="str">
        <f>IF(DaybyDay[[#This Row],[Retail Hours]]&gt;0,DaybyDay[[#This Row],[Retail Hours]]*$AS$2,"")</f>
        <v/>
      </c>
      <c r="AT274" s="40">
        <f>SUMIFS(DaybyDay[Est-Retail-Payroll],DaybyDay[Date],"&gt;="&amp;$C$5,DaybyDay[RowYear],"&gt;="&amp;$C$4,DaybyDay[Date],"&lt;="&amp;DaybyDay[[#This Row],[Date]])</f>
        <v>0</v>
      </c>
      <c r="AU274" s="82" t="str">
        <f>IF(AND(DaybyDay[[#This Row],[_Space]],ISNUMBER(DaybyDay[[#This Row],[Retail Hours]])),DaybyDay[[#This Row],[Est-Retail-Payroll]]/(DaybyDay[[#This Row],[Retail-Actuals]]),"")</f>
        <v/>
      </c>
      <c r="AV274" s="82" t="e">
        <f>DaybyDay[[#This Row],[Est-Retail-PayrollRU]]/DaybyDay[[#This Row],[Simple-Forecast-Retail]]</f>
        <v>#DIV/0!</v>
      </c>
      <c r="AW274" s="8"/>
    </row>
    <row r="275" spans="3:49" hidden="1" x14ac:dyDescent="0.25">
      <c r="C275" s="26" t="str">
        <f>Tools!$C$1</f>
        <v>Example</v>
      </c>
      <c r="D275" s="27" t="s">
        <v>76</v>
      </c>
      <c r="E275" s="28">
        <v>2017</v>
      </c>
      <c r="F275" s="28">
        <f>MATCH(DaybyDay[[#This Row],[RowMonth]],Table3[SummaryMonth],0)</f>
        <v>9</v>
      </c>
      <c r="G275" s="29" t="e">
        <f>MATCH(DaybyDay[[#This Row],[LY-Date]],DaybyDay[Date],0)</f>
        <v>#N/A</v>
      </c>
      <c r="H275" s="30">
        <f>WEEKDAY(DaybyDay[[#This Row],[Date]])</f>
        <v>3</v>
      </c>
      <c r="I275" s="31">
        <v>43004</v>
      </c>
      <c r="J275" s="74">
        <v>19</v>
      </c>
      <c r="K275" s="32">
        <f>SUMIFS(BudgetSeasonality[365 Seasonality],BudgetSeasonality[MonthAdjustment],DaybyDay[[#This Row],[Date]])*SUMIFS(Budgets[Service-Budget],Budgets[BudgetMonth],DaybyDay[[#This Row],[RowMonth]],Budgets[BudgetYear],DaybyDay[[#This Row],[RowYear]])</f>
        <v>0</v>
      </c>
      <c r="L275" s="75">
        <v>4245.2</v>
      </c>
      <c r="M275" s="32">
        <f>INDEX(BudgetSeasonality[365 Seasonality],MATCH(DaybyDay[[#This Row],[Date]],BudgetSeasonality[MonthAdjustment],0))*SUMIFS(Budgets[Retail-Budget],Budgets[BudgetMonth],DaybyDay[[#This Row],[RowMonth]],Budgets[BudgetYear],DaybyDay[[#This Row],[RowYear]])</f>
        <v>0</v>
      </c>
      <c r="N275" s="75">
        <v>32</v>
      </c>
      <c r="O275" s="33">
        <f>SUMIFS(DaybyDay[Service-Budgets],DaybyDay[Date],"&gt;="&amp;$C$5,DaybyDay[RowYear],"&gt;="&amp;$C$4,DaybyDay[Date],"&lt;="&amp;DaybyDay[[#This Row],[Date]])</f>
        <v>0</v>
      </c>
      <c r="P275" s="33">
        <f>SUMIFS(DaybyDay[Retail-Budgets],DaybyDay[Date],"&gt;="&amp;$C$5,DaybyDay[RowYear],"&gt;="&amp;$C$4,DaybyDay[Date],"&lt;="&amp;DaybyDay[[#This Row],[Date]])</f>
        <v>0</v>
      </c>
      <c r="Q275" s="34">
        <f>SUMIFS(DaybyDay[Service-Actuals],DaybyDay[Date],"&gt;="&amp;$C$5,DaybyDay[RowYear],"&gt;="&amp;$C$4,DaybyDay[Date],"&lt;="&amp;DaybyDay[[#This Row],[Date]])</f>
        <v>0</v>
      </c>
      <c r="R275" s="34">
        <f>SUMIFS(DaybyDay[Retail-Actuals],DaybyDay[Date],"&gt;="&amp;$C$5,DaybyDay[RowYear],"&gt;="&amp;$C$4,DaybyDay[Date],"&lt;="&amp;DaybyDay[[#This Row],[Date]])</f>
        <v>0</v>
      </c>
      <c r="S275" s="35">
        <f>SUMIFS(DaybyDay[Service-LY],DaybyDay[Date],"&gt;="&amp;$C$5,DaybyDay[RowYear],"&gt;="&amp;$C$4,DaybyDay[Date],"&lt;="&amp;DaybyDay[[#This Row],[Date]])</f>
        <v>0</v>
      </c>
      <c r="T275" s="35">
        <f>SUMIFS(DaybyDay[Retail-LY],DaybyDay[Date],"&gt;="&amp;$C$5,DaybyDay[RowYear],"&gt;="&amp;$C$4,DaybyDay[Date],"&lt;="&amp;DaybyDay[[#This Row],[Date]])</f>
        <v>0</v>
      </c>
      <c r="U275" s="32">
        <f>DaybyDay[[#This Row],[Serv-Bud-RU]]+DaybyDay[[#This Row],[Ret-Bud-RU]]</f>
        <v>0</v>
      </c>
      <c r="V275" s="32">
        <f>DaybyDay[[#This Row],[Serv-Act-RU]]+DaybyDay[[#This Row],[Ret-Act-RU]]</f>
        <v>0</v>
      </c>
      <c r="W275" s="36">
        <f>IF(DaybyDay[[#This Row],[_Space]],IFERROR(
((DaybyDay[[#This Row],[Actual-Rollup]]-DaybyDay[[#This Row],[Budget-Rollup]])/DaybyDay[[#This Row],[Budget-Rollup]]),0),"")</f>
        <v>0</v>
      </c>
      <c r="X275" t="b">
        <f>NOT(AND(ISBLANK(DaybyDay[[#This Row],[Appts]]),ISBLANK(DaybyDay[[#This Row],[Service-Actuals]]),ISBLANK(DaybyDay[[#This Row],[Retail-Actuals]])))</f>
        <v>1</v>
      </c>
      <c r="Y275" s="36">
        <f>IF(DaybyDay[[#This Row],[_Space]],IFERROR(
((DaybyDay[[#This Row],[Actual-Rollup]]-DaybyDay[[#This Row],[LY-Rollup]])/DaybyDay[[#This Row],[LY-Rollup]]),0),"")</f>
        <v>0</v>
      </c>
      <c r="Z275"/>
      <c r="AA275" s="37" t="e">
        <f>IF(DaybyDay[[#This Row],[_Space]],DaybyDay[[#This Row],[Ret-Act-RU]]/DaybyDay[[#This Row],[Serv-Act-RU]],"")</f>
        <v>#DIV/0!</v>
      </c>
      <c r="AB275" s="50" t="e">
        <f>IF(DaybyDay[[#This Row],[_Space]],DaybyDay[[#This Row],[RETPEN-Act]]/DaybyDay[[#This Row],[RETPEN-Bud]],"")</f>
        <v>#DIV/0!</v>
      </c>
      <c r="AC275" s="37" t="e">
        <f>IF(DaybyDay[[#This Row],[_Space]],DaybyDay[[#This Row],[Ret-Bud-RU]]/DaybyDay[[#This Row],[Serv-Bud-RU]],"")</f>
        <v>#DIV/0!</v>
      </c>
      <c r="AD275" s="37" t="e">
        <f>IF(DaybyDay[[#This Row],[_Space]],DaybyDay[[#This Row],[Ret-LY-RU]]/DaybyDay[[#This Row],[Serv-LY-RU]],"")</f>
        <v>#DIV/0!</v>
      </c>
      <c r="AE275" s="30">
        <f>WEEKDAY(DaybyDay[[#This Row],[LY-Date]])</f>
        <v>3</v>
      </c>
      <c r="AF275" s="38">
        <f>$E$2+_xlfn.DAYS(DaybyDay[[#This Row],[Date]],minDate)</f>
        <v>42640</v>
      </c>
      <c r="AG275" s="39" t="str" cm="1">
        <f t="array" ref="AG275">IFERROR(INDEX(DaybyDay[],DaybyDay[[#This Row],[FORM_MATCH_HELPER]],8),"")</f>
        <v/>
      </c>
      <c r="AH275" s="39" t="str" cm="1">
        <f t="array" ref="AH275">IFERROR(INDEX(DaybyDay[],DaybyDay[[#This Row],[FORM_MATCH_HELPER]],10),"")</f>
        <v/>
      </c>
      <c r="AI275" s="39" t="str" cm="1">
        <f t="array" ref="AI275">IFERROR(INDEX(DaybyDay[],DaybyDay[[#This Row],[FORM_MATCH_HELPER]],12),"")</f>
        <v/>
      </c>
      <c r="AJ275" s="32">
        <f>IFERROR(DaybyDay[[#This Row],[Serv-LY-RU]]+DaybyDay[[#This Row],[Ret-LY-RU]],"")</f>
        <v>0</v>
      </c>
      <c r="AK2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5" s="77"/>
      <c r="AM275" s="40" t="str">
        <f>IF(DaybyDay[[#This Row],[Admin Hours]]&gt;0,DaybyDay[[#This Row],[Admin Hours]]*$AM$2+$AM$3,"")</f>
        <v/>
      </c>
      <c r="AN275" s="40">
        <f>SUMIFS(DaybyDay[Est-Admin-Payroll],DaybyDay[Date],"&gt;="&amp;$C$5,DaybyDay[RowYear],"&gt;="&amp;$C$4,DaybyDay[Date],"&lt;="&amp;DaybyDay[[#This Row],[Date]])</f>
        <v>0</v>
      </c>
      <c r="AO275" s="41" t="str">
        <f>IF(AND(DaybyDay[[#This Row],[_Space]],ISNUMBER(DaybyDay[[#This Row],[Admin Hours]])),DaybyDay[[#This Row],[Est-Admin-Payroll]]/(DaybyDay[[#This Row],[Service-Actuals]]+DaybyDay[[#This Row],[Retail-Actuals]]),"")</f>
        <v/>
      </c>
      <c r="AP275" s="41" t="e">
        <f>DaybyDay[[#This Row],[Estimated-Payroll-Rollup]]/DaybyDay[[#This Row],[Simple-Forecast]]</f>
        <v>#DIV/0!</v>
      </c>
      <c r="AQ2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5" s="77"/>
      <c r="AS275" s="40" t="str">
        <f>IF(DaybyDay[[#This Row],[Retail Hours]]&gt;0,DaybyDay[[#This Row],[Retail Hours]]*$AS$2,"")</f>
        <v/>
      </c>
      <c r="AT275" s="40">
        <f>SUMIFS(DaybyDay[Est-Retail-Payroll],DaybyDay[Date],"&gt;="&amp;$C$5,DaybyDay[RowYear],"&gt;="&amp;$C$4,DaybyDay[Date],"&lt;="&amp;DaybyDay[[#This Row],[Date]])</f>
        <v>0</v>
      </c>
      <c r="AU275" s="82" t="str">
        <f>IF(AND(DaybyDay[[#This Row],[_Space]],ISNUMBER(DaybyDay[[#This Row],[Retail Hours]])),DaybyDay[[#This Row],[Est-Retail-Payroll]]/(DaybyDay[[#This Row],[Retail-Actuals]]),"")</f>
        <v/>
      </c>
      <c r="AV275" s="82" t="e">
        <f>DaybyDay[[#This Row],[Est-Retail-PayrollRU]]/DaybyDay[[#This Row],[Simple-Forecast-Retail]]</f>
        <v>#DIV/0!</v>
      </c>
      <c r="AW275" s="8"/>
    </row>
    <row r="276" spans="3:49" hidden="1" x14ac:dyDescent="0.25">
      <c r="C276" s="26" t="str">
        <f>Tools!$C$1</f>
        <v>Example</v>
      </c>
      <c r="D276" s="27" t="s">
        <v>76</v>
      </c>
      <c r="E276" s="28">
        <v>2017</v>
      </c>
      <c r="F276" s="28">
        <f>MATCH(DaybyDay[[#This Row],[RowMonth]],Table3[SummaryMonth],0)</f>
        <v>9</v>
      </c>
      <c r="G276" s="29" t="e">
        <f>MATCH(DaybyDay[[#This Row],[LY-Date]],DaybyDay[Date],0)</f>
        <v>#N/A</v>
      </c>
      <c r="H276" s="30">
        <f>WEEKDAY(DaybyDay[[#This Row],[Date]])</f>
        <v>4</v>
      </c>
      <c r="I276" s="31">
        <v>43005</v>
      </c>
      <c r="J276" s="74">
        <v>19</v>
      </c>
      <c r="K276" s="32">
        <f>SUMIFS(BudgetSeasonality[365 Seasonality],BudgetSeasonality[MonthAdjustment],DaybyDay[[#This Row],[Date]])*SUMIFS(Budgets[Service-Budget],Budgets[BudgetMonth],DaybyDay[[#This Row],[RowMonth]],Budgets[BudgetYear],DaybyDay[[#This Row],[RowYear]])</f>
        <v>0</v>
      </c>
      <c r="L276" s="75">
        <v>4103.7</v>
      </c>
      <c r="M276" s="32">
        <f>INDEX(BudgetSeasonality[365 Seasonality],MATCH(DaybyDay[[#This Row],[Date]],BudgetSeasonality[MonthAdjustment],0))*SUMIFS(Budgets[Retail-Budget],Budgets[BudgetMonth],DaybyDay[[#This Row],[RowMonth]],Budgets[BudgetYear],DaybyDay[[#This Row],[RowYear]])</f>
        <v>0</v>
      </c>
      <c r="N276" s="75">
        <v>178</v>
      </c>
      <c r="O276" s="33">
        <f>SUMIFS(DaybyDay[Service-Budgets],DaybyDay[Date],"&gt;="&amp;$C$5,DaybyDay[RowYear],"&gt;="&amp;$C$4,DaybyDay[Date],"&lt;="&amp;DaybyDay[[#This Row],[Date]])</f>
        <v>0</v>
      </c>
      <c r="P276" s="33">
        <f>SUMIFS(DaybyDay[Retail-Budgets],DaybyDay[Date],"&gt;="&amp;$C$5,DaybyDay[RowYear],"&gt;="&amp;$C$4,DaybyDay[Date],"&lt;="&amp;DaybyDay[[#This Row],[Date]])</f>
        <v>0</v>
      </c>
      <c r="Q276" s="34">
        <f>SUMIFS(DaybyDay[Service-Actuals],DaybyDay[Date],"&gt;="&amp;$C$5,DaybyDay[RowYear],"&gt;="&amp;$C$4,DaybyDay[Date],"&lt;="&amp;DaybyDay[[#This Row],[Date]])</f>
        <v>0</v>
      </c>
      <c r="R276" s="34">
        <f>SUMIFS(DaybyDay[Retail-Actuals],DaybyDay[Date],"&gt;="&amp;$C$5,DaybyDay[RowYear],"&gt;="&amp;$C$4,DaybyDay[Date],"&lt;="&amp;DaybyDay[[#This Row],[Date]])</f>
        <v>0</v>
      </c>
      <c r="S276" s="35">
        <f>SUMIFS(DaybyDay[Service-LY],DaybyDay[Date],"&gt;="&amp;$C$5,DaybyDay[RowYear],"&gt;="&amp;$C$4,DaybyDay[Date],"&lt;="&amp;DaybyDay[[#This Row],[Date]])</f>
        <v>0</v>
      </c>
      <c r="T276" s="35">
        <f>SUMIFS(DaybyDay[Retail-LY],DaybyDay[Date],"&gt;="&amp;$C$5,DaybyDay[RowYear],"&gt;="&amp;$C$4,DaybyDay[Date],"&lt;="&amp;DaybyDay[[#This Row],[Date]])</f>
        <v>0</v>
      </c>
      <c r="U276" s="32">
        <f>DaybyDay[[#This Row],[Serv-Bud-RU]]+DaybyDay[[#This Row],[Ret-Bud-RU]]</f>
        <v>0</v>
      </c>
      <c r="V276" s="32">
        <f>DaybyDay[[#This Row],[Serv-Act-RU]]+DaybyDay[[#This Row],[Ret-Act-RU]]</f>
        <v>0</v>
      </c>
      <c r="W276" s="36">
        <f>IF(DaybyDay[[#This Row],[_Space]],IFERROR(
((DaybyDay[[#This Row],[Actual-Rollup]]-DaybyDay[[#This Row],[Budget-Rollup]])/DaybyDay[[#This Row],[Budget-Rollup]]),0),"")</f>
        <v>0</v>
      </c>
      <c r="X276" t="b">
        <f>NOT(AND(ISBLANK(DaybyDay[[#This Row],[Appts]]),ISBLANK(DaybyDay[[#This Row],[Service-Actuals]]),ISBLANK(DaybyDay[[#This Row],[Retail-Actuals]])))</f>
        <v>1</v>
      </c>
      <c r="Y276" s="36">
        <f>IF(DaybyDay[[#This Row],[_Space]],IFERROR(
((DaybyDay[[#This Row],[Actual-Rollup]]-DaybyDay[[#This Row],[LY-Rollup]])/DaybyDay[[#This Row],[LY-Rollup]]),0),"")</f>
        <v>0</v>
      </c>
      <c r="Z276"/>
      <c r="AA276" s="37" t="e">
        <f>IF(DaybyDay[[#This Row],[_Space]],DaybyDay[[#This Row],[Ret-Act-RU]]/DaybyDay[[#This Row],[Serv-Act-RU]],"")</f>
        <v>#DIV/0!</v>
      </c>
      <c r="AB276" s="50" t="e">
        <f>IF(DaybyDay[[#This Row],[_Space]],DaybyDay[[#This Row],[RETPEN-Act]]/DaybyDay[[#This Row],[RETPEN-Bud]],"")</f>
        <v>#DIV/0!</v>
      </c>
      <c r="AC276" s="37" t="e">
        <f>IF(DaybyDay[[#This Row],[_Space]],DaybyDay[[#This Row],[Ret-Bud-RU]]/DaybyDay[[#This Row],[Serv-Bud-RU]],"")</f>
        <v>#DIV/0!</v>
      </c>
      <c r="AD276" s="37" t="e">
        <f>IF(DaybyDay[[#This Row],[_Space]],DaybyDay[[#This Row],[Ret-LY-RU]]/DaybyDay[[#This Row],[Serv-LY-RU]],"")</f>
        <v>#DIV/0!</v>
      </c>
      <c r="AE276" s="30">
        <f>WEEKDAY(DaybyDay[[#This Row],[LY-Date]])</f>
        <v>4</v>
      </c>
      <c r="AF276" s="38">
        <f>$E$2+_xlfn.DAYS(DaybyDay[[#This Row],[Date]],minDate)</f>
        <v>42641</v>
      </c>
      <c r="AG276" s="39" t="str" cm="1">
        <f t="array" ref="AG276">IFERROR(INDEX(DaybyDay[],DaybyDay[[#This Row],[FORM_MATCH_HELPER]],8),"")</f>
        <v/>
      </c>
      <c r="AH276" s="39" t="str" cm="1">
        <f t="array" ref="AH276">IFERROR(INDEX(DaybyDay[],DaybyDay[[#This Row],[FORM_MATCH_HELPER]],10),"")</f>
        <v/>
      </c>
      <c r="AI276" s="39" t="str" cm="1">
        <f t="array" ref="AI276">IFERROR(INDEX(DaybyDay[],DaybyDay[[#This Row],[FORM_MATCH_HELPER]],12),"")</f>
        <v/>
      </c>
      <c r="AJ276" s="32">
        <f>IFERROR(DaybyDay[[#This Row],[Serv-LY-RU]]+DaybyDay[[#This Row],[Ret-LY-RU]],"")</f>
        <v>0</v>
      </c>
      <c r="AK2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6" s="77"/>
      <c r="AM276" s="40" t="str">
        <f>IF(DaybyDay[[#This Row],[Admin Hours]]&gt;0,DaybyDay[[#This Row],[Admin Hours]]*$AM$2+$AM$3,"")</f>
        <v/>
      </c>
      <c r="AN276" s="40">
        <f>SUMIFS(DaybyDay[Est-Admin-Payroll],DaybyDay[Date],"&gt;="&amp;$C$5,DaybyDay[RowYear],"&gt;="&amp;$C$4,DaybyDay[Date],"&lt;="&amp;DaybyDay[[#This Row],[Date]])</f>
        <v>0</v>
      </c>
      <c r="AO276" s="41" t="str">
        <f>IF(AND(DaybyDay[[#This Row],[_Space]],ISNUMBER(DaybyDay[[#This Row],[Admin Hours]])),DaybyDay[[#This Row],[Est-Admin-Payroll]]/(DaybyDay[[#This Row],[Service-Actuals]]+DaybyDay[[#This Row],[Retail-Actuals]]),"")</f>
        <v/>
      </c>
      <c r="AP276" s="41" t="e">
        <f>DaybyDay[[#This Row],[Estimated-Payroll-Rollup]]/DaybyDay[[#This Row],[Simple-Forecast]]</f>
        <v>#DIV/0!</v>
      </c>
      <c r="AQ2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6" s="77"/>
      <c r="AS276" s="40" t="str">
        <f>IF(DaybyDay[[#This Row],[Retail Hours]]&gt;0,DaybyDay[[#This Row],[Retail Hours]]*$AS$2,"")</f>
        <v/>
      </c>
      <c r="AT276" s="40">
        <f>SUMIFS(DaybyDay[Est-Retail-Payroll],DaybyDay[Date],"&gt;="&amp;$C$5,DaybyDay[RowYear],"&gt;="&amp;$C$4,DaybyDay[Date],"&lt;="&amp;DaybyDay[[#This Row],[Date]])</f>
        <v>0</v>
      </c>
      <c r="AU276" s="82" t="str">
        <f>IF(AND(DaybyDay[[#This Row],[_Space]],ISNUMBER(DaybyDay[[#This Row],[Retail Hours]])),DaybyDay[[#This Row],[Est-Retail-Payroll]]/(DaybyDay[[#This Row],[Retail-Actuals]]),"")</f>
        <v/>
      </c>
      <c r="AV276" s="82" t="e">
        <f>DaybyDay[[#This Row],[Est-Retail-PayrollRU]]/DaybyDay[[#This Row],[Simple-Forecast-Retail]]</f>
        <v>#DIV/0!</v>
      </c>
      <c r="AW276" s="8"/>
    </row>
    <row r="277" spans="3:49" hidden="1" x14ac:dyDescent="0.25">
      <c r="C277" s="26" t="str">
        <f>Tools!$C$1</f>
        <v>Example</v>
      </c>
      <c r="D277" s="27" t="s">
        <v>76</v>
      </c>
      <c r="E277" s="28">
        <v>2017</v>
      </c>
      <c r="F277" s="28">
        <f>MATCH(DaybyDay[[#This Row],[RowMonth]],Table3[SummaryMonth],0)</f>
        <v>9</v>
      </c>
      <c r="G277" s="29" t="e">
        <f>MATCH(DaybyDay[[#This Row],[LY-Date]],DaybyDay[Date],0)</f>
        <v>#N/A</v>
      </c>
      <c r="H277" s="30">
        <f>WEEKDAY(DaybyDay[[#This Row],[Date]])</f>
        <v>5</v>
      </c>
      <c r="I277" s="31">
        <v>43006</v>
      </c>
      <c r="J277" s="74">
        <v>19</v>
      </c>
      <c r="K277" s="32">
        <f>SUMIFS(BudgetSeasonality[365 Seasonality],BudgetSeasonality[MonthAdjustment],DaybyDay[[#This Row],[Date]])*SUMIFS(Budgets[Service-Budget],Budgets[BudgetMonth],DaybyDay[[#This Row],[RowMonth]],Budgets[BudgetYear],DaybyDay[[#This Row],[RowYear]])</f>
        <v>0</v>
      </c>
      <c r="L277" s="75">
        <v>4216.2</v>
      </c>
      <c r="M277" s="32">
        <f>INDEX(BudgetSeasonality[365 Seasonality],MATCH(DaybyDay[[#This Row],[Date]],BudgetSeasonality[MonthAdjustment],0))*SUMIFS(Budgets[Retail-Budget],Budgets[BudgetMonth],DaybyDay[[#This Row],[RowMonth]],Budgets[BudgetYear],DaybyDay[[#This Row],[RowYear]])</f>
        <v>0</v>
      </c>
      <c r="N277" s="75">
        <v>3186</v>
      </c>
      <c r="O277" s="33">
        <f>SUMIFS(DaybyDay[Service-Budgets],DaybyDay[Date],"&gt;="&amp;$C$5,DaybyDay[RowYear],"&gt;="&amp;$C$4,DaybyDay[Date],"&lt;="&amp;DaybyDay[[#This Row],[Date]])</f>
        <v>0</v>
      </c>
      <c r="P277" s="33">
        <f>SUMIFS(DaybyDay[Retail-Budgets],DaybyDay[Date],"&gt;="&amp;$C$5,DaybyDay[RowYear],"&gt;="&amp;$C$4,DaybyDay[Date],"&lt;="&amp;DaybyDay[[#This Row],[Date]])</f>
        <v>0</v>
      </c>
      <c r="Q277" s="34">
        <f>SUMIFS(DaybyDay[Service-Actuals],DaybyDay[Date],"&gt;="&amp;$C$5,DaybyDay[RowYear],"&gt;="&amp;$C$4,DaybyDay[Date],"&lt;="&amp;DaybyDay[[#This Row],[Date]])</f>
        <v>0</v>
      </c>
      <c r="R277" s="34">
        <f>SUMIFS(DaybyDay[Retail-Actuals],DaybyDay[Date],"&gt;="&amp;$C$5,DaybyDay[RowYear],"&gt;="&amp;$C$4,DaybyDay[Date],"&lt;="&amp;DaybyDay[[#This Row],[Date]])</f>
        <v>0</v>
      </c>
      <c r="S277" s="35">
        <f>SUMIFS(DaybyDay[Service-LY],DaybyDay[Date],"&gt;="&amp;$C$5,DaybyDay[RowYear],"&gt;="&amp;$C$4,DaybyDay[Date],"&lt;="&amp;DaybyDay[[#This Row],[Date]])</f>
        <v>0</v>
      </c>
      <c r="T277" s="35">
        <f>SUMIFS(DaybyDay[Retail-LY],DaybyDay[Date],"&gt;="&amp;$C$5,DaybyDay[RowYear],"&gt;="&amp;$C$4,DaybyDay[Date],"&lt;="&amp;DaybyDay[[#This Row],[Date]])</f>
        <v>0</v>
      </c>
      <c r="U277" s="32">
        <f>DaybyDay[[#This Row],[Serv-Bud-RU]]+DaybyDay[[#This Row],[Ret-Bud-RU]]</f>
        <v>0</v>
      </c>
      <c r="V277" s="32">
        <f>DaybyDay[[#This Row],[Serv-Act-RU]]+DaybyDay[[#This Row],[Ret-Act-RU]]</f>
        <v>0</v>
      </c>
      <c r="W277" s="36">
        <f>IF(DaybyDay[[#This Row],[_Space]],IFERROR(
((DaybyDay[[#This Row],[Actual-Rollup]]-DaybyDay[[#This Row],[Budget-Rollup]])/DaybyDay[[#This Row],[Budget-Rollup]]),0),"")</f>
        <v>0</v>
      </c>
      <c r="X277" t="b">
        <f>NOT(AND(ISBLANK(DaybyDay[[#This Row],[Appts]]),ISBLANK(DaybyDay[[#This Row],[Service-Actuals]]),ISBLANK(DaybyDay[[#This Row],[Retail-Actuals]])))</f>
        <v>1</v>
      </c>
      <c r="Y277" s="36">
        <f>IF(DaybyDay[[#This Row],[_Space]],IFERROR(
((DaybyDay[[#This Row],[Actual-Rollup]]-DaybyDay[[#This Row],[LY-Rollup]])/DaybyDay[[#This Row],[LY-Rollup]]),0),"")</f>
        <v>0</v>
      </c>
      <c r="Z277"/>
      <c r="AA277" s="37" t="e">
        <f>IF(DaybyDay[[#This Row],[_Space]],DaybyDay[[#This Row],[Ret-Act-RU]]/DaybyDay[[#This Row],[Serv-Act-RU]],"")</f>
        <v>#DIV/0!</v>
      </c>
      <c r="AB277" s="50" t="e">
        <f>IF(DaybyDay[[#This Row],[_Space]],DaybyDay[[#This Row],[RETPEN-Act]]/DaybyDay[[#This Row],[RETPEN-Bud]],"")</f>
        <v>#DIV/0!</v>
      </c>
      <c r="AC277" s="37" t="e">
        <f>IF(DaybyDay[[#This Row],[_Space]],DaybyDay[[#This Row],[Ret-Bud-RU]]/DaybyDay[[#This Row],[Serv-Bud-RU]],"")</f>
        <v>#DIV/0!</v>
      </c>
      <c r="AD277" s="37" t="e">
        <f>IF(DaybyDay[[#This Row],[_Space]],DaybyDay[[#This Row],[Ret-LY-RU]]/DaybyDay[[#This Row],[Serv-LY-RU]],"")</f>
        <v>#DIV/0!</v>
      </c>
      <c r="AE277" s="30">
        <f>WEEKDAY(DaybyDay[[#This Row],[LY-Date]])</f>
        <v>5</v>
      </c>
      <c r="AF277" s="38">
        <f>$E$2+_xlfn.DAYS(DaybyDay[[#This Row],[Date]],minDate)</f>
        <v>42642</v>
      </c>
      <c r="AG277" s="39" t="str" cm="1">
        <f t="array" ref="AG277">IFERROR(INDEX(DaybyDay[],DaybyDay[[#This Row],[FORM_MATCH_HELPER]],8),"")</f>
        <v/>
      </c>
      <c r="AH277" s="39" t="str" cm="1">
        <f t="array" ref="AH277">IFERROR(INDEX(DaybyDay[],DaybyDay[[#This Row],[FORM_MATCH_HELPER]],10),"")</f>
        <v/>
      </c>
      <c r="AI277" s="39" t="str" cm="1">
        <f t="array" ref="AI277">IFERROR(INDEX(DaybyDay[],DaybyDay[[#This Row],[FORM_MATCH_HELPER]],12),"")</f>
        <v/>
      </c>
      <c r="AJ277" s="32">
        <f>IFERROR(DaybyDay[[#This Row],[Serv-LY-RU]]+DaybyDay[[#This Row],[Ret-LY-RU]],"")</f>
        <v>0</v>
      </c>
      <c r="AK2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7" s="77"/>
      <c r="AM277" s="40" t="str">
        <f>IF(DaybyDay[[#This Row],[Admin Hours]]&gt;0,DaybyDay[[#This Row],[Admin Hours]]*$AM$2+$AM$3,"")</f>
        <v/>
      </c>
      <c r="AN277" s="40">
        <f>SUMIFS(DaybyDay[Est-Admin-Payroll],DaybyDay[Date],"&gt;="&amp;$C$5,DaybyDay[RowYear],"&gt;="&amp;$C$4,DaybyDay[Date],"&lt;="&amp;DaybyDay[[#This Row],[Date]])</f>
        <v>0</v>
      </c>
      <c r="AO277" s="41" t="str">
        <f>IF(AND(DaybyDay[[#This Row],[_Space]],ISNUMBER(DaybyDay[[#This Row],[Admin Hours]])),DaybyDay[[#This Row],[Est-Admin-Payroll]]/(DaybyDay[[#This Row],[Service-Actuals]]+DaybyDay[[#This Row],[Retail-Actuals]]),"")</f>
        <v/>
      </c>
      <c r="AP277" s="41" t="e">
        <f>DaybyDay[[#This Row],[Estimated-Payroll-Rollup]]/DaybyDay[[#This Row],[Simple-Forecast]]</f>
        <v>#DIV/0!</v>
      </c>
      <c r="AQ2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7" s="77"/>
      <c r="AS277" s="40" t="str">
        <f>IF(DaybyDay[[#This Row],[Retail Hours]]&gt;0,DaybyDay[[#This Row],[Retail Hours]]*$AS$2,"")</f>
        <v/>
      </c>
      <c r="AT277" s="40">
        <f>SUMIFS(DaybyDay[Est-Retail-Payroll],DaybyDay[Date],"&gt;="&amp;$C$5,DaybyDay[RowYear],"&gt;="&amp;$C$4,DaybyDay[Date],"&lt;="&amp;DaybyDay[[#This Row],[Date]])</f>
        <v>0</v>
      </c>
      <c r="AU277" s="82" t="str">
        <f>IF(AND(DaybyDay[[#This Row],[_Space]],ISNUMBER(DaybyDay[[#This Row],[Retail Hours]])),DaybyDay[[#This Row],[Est-Retail-Payroll]]/(DaybyDay[[#This Row],[Retail-Actuals]]),"")</f>
        <v/>
      </c>
      <c r="AV277" s="82" t="e">
        <f>DaybyDay[[#This Row],[Est-Retail-PayrollRU]]/DaybyDay[[#This Row],[Simple-Forecast-Retail]]</f>
        <v>#DIV/0!</v>
      </c>
      <c r="AW277" s="8"/>
    </row>
    <row r="278" spans="3:49" hidden="1" x14ac:dyDescent="0.25">
      <c r="C278" s="26" t="str">
        <f>Tools!$C$1</f>
        <v>Example</v>
      </c>
      <c r="D278" s="27" t="s">
        <v>76</v>
      </c>
      <c r="E278" s="28">
        <v>2017</v>
      </c>
      <c r="F278" s="28">
        <f>MATCH(DaybyDay[[#This Row],[RowMonth]],Table3[SummaryMonth],0)</f>
        <v>9</v>
      </c>
      <c r="G278" s="29" t="e">
        <f>MATCH(DaybyDay[[#This Row],[LY-Date]],DaybyDay[Date],0)</f>
        <v>#N/A</v>
      </c>
      <c r="H278" s="30">
        <f>WEEKDAY(DaybyDay[[#This Row],[Date]])</f>
        <v>6</v>
      </c>
      <c r="I278" s="31">
        <v>43007</v>
      </c>
      <c r="J278" s="74">
        <v>25</v>
      </c>
      <c r="K278" s="32">
        <f>SUMIFS(BudgetSeasonality[365 Seasonality],BudgetSeasonality[MonthAdjustment],DaybyDay[[#This Row],[Date]])*SUMIFS(Budgets[Service-Budget],Budgets[BudgetMonth],DaybyDay[[#This Row],[RowMonth]],Budgets[BudgetYear],DaybyDay[[#This Row],[RowYear]])</f>
        <v>0</v>
      </c>
      <c r="L278" s="75">
        <v>4644.2</v>
      </c>
      <c r="M278" s="32">
        <f>INDEX(BudgetSeasonality[365 Seasonality],MATCH(DaybyDay[[#This Row],[Date]],BudgetSeasonality[MonthAdjustment],0))*SUMIFS(Budgets[Retail-Budget],Budgets[BudgetMonth],DaybyDay[[#This Row],[RowMonth]],Budgets[BudgetYear],DaybyDay[[#This Row],[RowYear]])</f>
        <v>0</v>
      </c>
      <c r="N278" s="75">
        <v>249</v>
      </c>
      <c r="O278" s="33">
        <f>SUMIFS(DaybyDay[Service-Budgets],DaybyDay[Date],"&gt;="&amp;$C$5,DaybyDay[RowYear],"&gt;="&amp;$C$4,DaybyDay[Date],"&lt;="&amp;DaybyDay[[#This Row],[Date]])</f>
        <v>0</v>
      </c>
      <c r="P278" s="33">
        <f>SUMIFS(DaybyDay[Retail-Budgets],DaybyDay[Date],"&gt;="&amp;$C$5,DaybyDay[RowYear],"&gt;="&amp;$C$4,DaybyDay[Date],"&lt;="&amp;DaybyDay[[#This Row],[Date]])</f>
        <v>0</v>
      </c>
      <c r="Q278" s="34">
        <f>SUMIFS(DaybyDay[Service-Actuals],DaybyDay[Date],"&gt;="&amp;$C$5,DaybyDay[RowYear],"&gt;="&amp;$C$4,DaybyDay[Date],"&lt;="&amp;DaybyDay[[#This Row],[Date]])</f>
        <v>0</v>
      </c>
      <c r="R278" s="34">
        <f>SUMIFS(DaybyDay[Retail-Actuals],DaybyDay[Date],"&gt;="&amp;$C$5,DaybyDay[RowYear],"&gt;="&amp;$C$4,DaybyDay[Date],"&lt;="&amp;DaybyDay[[#This Row],[Date]])</f>
        <v>0</v>
      </c>
      <c r="S278" s="35">
        <f>SUMIFS(DaybyDay[Service-LY],DaybyDay[Date],"&gt;="&amp;$C$5,DaybyDay[RowYear],"&gt;="&amp;$C$4,DaybyDay[Date],"&lt;="&amp;DaybyDay[[#This Row],[Date]])</f>
        <v>0</v>
      </c>
      <c r="T278" s="35">
        <f>SUMIFS(DaybyDay[Retail-LY],DaybyDay[Date],"&gt;="&amp;$C$5,DaybyDay[RowYear],"&gt;="&amp;$C$4,DaybyDay[Date],"&lt;="&amp;DaybyDay[[#This Row],[Date]])</f>
        <v>0</v>
      </c>
      <c r="U278" s="32">
        <f>DaybyDay[[#This Row],[Serv-Bud-RU]]+DaybyDay[[#This Row],[Ret-Bud-RU]]</f>
        <v>0</v>
      </c>
      <c r="V278" s="32">
        <f>DaybyDay[[#This Row],[Serv-Act-RU]]+DaybyDay[[#This Row],[Ret-Act-RU]]</f>
        <v>0</v>
      </c>
      <c r="W278" s="36">
        <f>IF(DaybyDay[[#This Row],[_Space]],IFERROR(
((DaybyDay[[#This Row],[Actual-Rollup]]-DaybyDay[[#This Row],[Budget-Rollup]])/DaybyDay[[#This Row],[Budget-Rollup]]),0),"")</f>
        <v>0</v>
      </c>
      <c r="X278" t="b">
        <f>NOT(AND(ISBLANK(DaybyDay[[#This Row],[Appts]]),ISBLANK(DaybyDay[[#This Row],[Service-Actuals]]),ISBLANK(DaybyDay[[#This Row],[Retail-Actuals]])))</f>
        <v>1</v>
      </c>
      <c r="Y278" s="36">
        <f>IF(DaybyDay[[#This Row],[_Space]],IFERROR(
((DaybyDay[[#This Row],[Actual-Rollup]]-DaybyDay[[#This Row],[LY-Rollup]])/DaybyDay[[#This Row],[LY-Rollup]]),0),"")</f>
        <v>0</v>
      </c>
      <c r="Z278"/>
      <c r="AA278" s="37" t="e">
        <f>IF(DaybyDay[[#This Row],[_Space]],DaybyDay[[#This Row],[Ret-Act-RU]]/DaybyDay[[#This Row],[Serv-Act-RU]],"")</f>
        <v>#DIV/0!</v>
      </c>
      <c r="AB278" s="50" t="e">
        <f>IF(DaybyDay[[#This Row],[_Space]],DaybyDay[[#This Row],[RETPEN-Act]]/DaybyDay[[#This Row],[RETPEN-Bud]],"")</f>
        <v>#DIV/0!</v>
      </c>
      <c r="AC278" s="37" t="e">
        <f>IF(DaybyDay[[#This Row],[_Space]],DaybyDay[[#This Row],[Ret-Bud-RU]]/DaybyDay[[#This Row],[Serv-Bud-RU]],"")</f>
        <v>#DIV/0!</v>
      </c>
      <c r="AD278" s="37" t="e">
        <f>IF(DaybyDay[[#This Row],[_Space]],DaybyDay[[#This Row],[Ret-LY-RU]]/DaybyDay[[#This Row],[Serv-LY-RU]],"")</f>
        <v>#DIV/0!</v>
      </c>
      <c r="AE278" s="30">
        <f>WEEKDAY(DaybyDay[[#This Row],[LY-Date]])</f>
        <v>6</v>
      </c>
      <c r="AF278" s="38">
        <f>$E$2+_xlfn.DAYS(DaybyDay[[#This Row],[Date]],minDate)</f>
        <v>42643</v>
      </c>
      <c r="AG278" s="39" t="str" cm="1">
        <f t="array" ref="AG278">IFERROR(INDEX(DaybyDay[],DaybyDay[[#This Row],[FORM_MATCH_HELPER]],8),"")</f>
        <v/>
      </c>
      <c r="AH278" s="39" t="str" cm="1">
        <f t="array" ref="AH278">IFERROR(INDEX(DaybyDay[],DaybyDay[[#This Row],[FORM_MATCH_HELPER]],10),"")</f>
        <v/>
      </c>
      <c r="AI278" s="39" t="str" cm="1">
        <f t="array" ref="AI278">IFERROR(INDEX(DaybyDay[],DaybyDay[[#This Row],[FORM_MATCH_HELPER]],12),"")</f>
        <v/>
      </c>
      <c r="AJ278" s="32">
        <f>IFERROR(DaybyDay[[#This Row],[Serv-LY-RU]]+DaybyDay[[#This Row],[Ret-LY-RU]],"")</f>
        <v>0</v>
      </c>
      <c r="AK2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8" s="77"/>
      <c r="AM278" s="40" t="str">
        <f>IF(DaybyDay[[#This Row],[Admin Hours]]&gt;0,DaybyDay[[#This Row],[Admin Hours]]*$AM$2+$AM$3,"")</f>
        <v/>
      </c>
      <c r="AN278" s="40">
        <f>SUMIFS(DaybyDay[Est-Admin-Payroll],DaybyDay[Date],"&gt;="&amp;$C$5,DaybyDay[RowYear],"&gt;="&amp;$C$4,DaybyDay[Date],"&lt;="&amp;DaybyDay[[#This Row],[Date]])</f>
        <v>0</v>
      </c>
      <c r="AO278" s="41" t="str">
        <f>IF(AND(DaybyDay[[#This Row],[_Space]],ISNUMBER(DaybyDay[[#This Row],[Admin Hours]])),DaybyDay[[#This Row],[Est-Admin-Payroll]]/(DaybyDay[[#This Row],[Service-Actuals]]+DaybyDay[[#This Row],[Retail-Actuals]]),"")</f>
        <v/>
      </c>
      <c r="AP278" s="41" t="e">
        <f>DaybyDay[[#This Row],[Estimated-Payroll-Rollup]]/DaybyDay[[#This Row],[Simple-Forecast]]</f>
        <v>#DIV/0!</v>
      </c>
      <c r="AQ2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8" s="77"/>
      <c r="AS278" s="40" t="str">
        <f>IF(DaybyDay[[#This Row],[Retail Hours]]&gt;0,DaybyDay[[#This Row],[Retail Hours]]*$AS$2,"")</f>
        <v/>
      </c>
      <c r="AT278" s="40">
        <f>SUMIFS(DaybyDay[Est-Retail-Payroll],DaybyDay[Date],"&gt;="&amp;$C$5,DaybyDay[RowYear],"&gt;="&amp;$C$4,DaybyDay[Date],"&lt;="&amp;DaybyDay[[#This Row],[Date]])</f>
        <v>0</v>
      </c>
      <c r="AU278" s="82" t="str">
        <f>IF(AND(DaybyDay[[#This Row],[_Space]],ISNUMBER(DaybyDay[[#This Row],[Retail Hours]])),DaybyDay[[#This Row],[Est-Retail-Payroll]]/(DaybyDay[[#This Row],[Retail-Actuals]]),"")</f>
        <v/>
      </c>
      <c r="AV278" s="82" t="e">
        <f>DaybyDay[[#This Row],[Est-Retail-PayrollRU]]/DaybyDay[[#This Row],[Simple-Forecast-Retail]]</f>
        <v>#DIV/0!</v>
      </c>
      <c r="AW278" s="8"/>
    </row>
    <row r="279" spans="3:49" hidden="1" x14ac:dyDescent="0.25">
      <c r="C279" s="26" t="str">
        <f>Tools!$C$1</f>
        <v>Example</v>
      </c>
      <c r="D279" s="27" t="s">
        <v>76</v>
      </c>
      <c r="E279" s="28">
        <v>2017</v>
      </c>
      <c r="F279" s="28">
        <f>MATCH(DaybyDay[[#This Row],[RowMonth]],Table3[SummaryMonth],0)</f>
        <v>9</v>
      </c>
      <c r="G279" s="29" t="e">
        <f>MATCH(DaybyDay[[#This Row],[LY-Date]],DaybyDay[Date],0)</f>
        <v>#N/A</v>
      </c>
      <c r="H279" s="30">
        <f>WEEKDAY(DaybyDay[[#This Row],[Date]])</f>
        <v>7</v>
      </c>
      <c r="I279" s="31">
        <v>43008</v>
      </c>
      <c r="J279" s="74">
        <v>29</v>
      </c>
      <c r="K279" s="32">
        <f>SUMIFS(BudgetSeasonality[365 Seasonality],BudgetSeasonality[MonthAdjustment],DaybyDay[[#This Row],[Date]])*SUMIFS(Budgets[Service-Budget],Budgets[BudgetMonth],DaybyDay[[#This Row],[RowMonth]],Budgets[BudgetYear],DaybyDay[[#This Row],[RowYear]])</f>
        <v>0</v>
      </c>
      <c r="L279" s="75">
        <v>7238</v>
      </c>
      <c r="M279" s="32">
        <f>INDEX(BudgetSeasonality[365 Seasonality],MATCH(DaybyDay[[#This Row],[Date]],BudgetSeasonality[MonthAdjustment],0))*SUMIFS(Budgets[Retail-Budget],Budgets[BudgetMonth],DaybyDay[[#This Row],[RowMonth]],Budgets[BudgetYear],DaybyDay[[#This Row],[RowYear]])</f>
        <v>0</v>
      </c>
      <c r="N279" s="75">
        <v>200</v>
      </c>
      <c r="O279" s="33">
        <f>SUMIFS(DaybyDay[Service-Budgets],DaybyDay[Date],"&gt;="&amp;$C$5,DaybyDay[RowYear],"&gt;="&amp;$C$4,DaybyDay[Date],"&lt;="&amp;DaybyDay[[#This Row],[Date]])</f>
        <v>0</v>
      </c>
      <c r="P279" s="33">
        <f>SUMIFS(DaybyDay[Retail-Budgets],DaybyDay[Date],"&gt;="&amp;$C$5,DaybyDay[RowYear],"&gt;="&amp;$C$4,DaybyDay[Date],"&lt;="&amp;DaybyDay[[#This Row],[Date]])</f>
        <v>0</v>
      </c>
      <c r="Q279" s="34">
        <f>SUMIFS(DaybyDay[Service-Actuals],DaybyDay[Date],"&gt;="&amp;$C$5,DaybyDay[RowYear],"&gt;="&amp;$C$4,DaybyDay[Date],"&lt;="&amp;DaybyDay[[#This Row],[Date]])</f>
        <v>0</v>
      </c>
      <c r="R279" s="34">
        <f>SUMIFS(DaybyDay[Retail-Actuals],DaybyDay[Date],"&gt;="&amp;$C$5,DaybyDay[RowYear],"&gt;="&amp;$C$4,DaybyDay[Date],"&lt;="&amp;DaybyDay[[#This Row],[Date]])</f>
        <v>0</v>
      </c>
      <c r="S279" s="35">
        <f>SUMIFS(DaybyDay[Service-LY],DaybyDay[Date],"&gt;="&amp;$C$5,DaybyDay[RowYear],"&gt;="&amp;$C$4,DaybyDay[Date],"&lt;="&amp;DaybyDay[[#This Row],[Date]])</f>
        <v>0</v>
      </c>
      <c r="T279" s="35">
        <f>SUMIFS(DaybyDay[Retail-LY],DaybyDay[Date],"&gt;="&amp;$C$5,DaybyDay[RowYear],"&gt;="&amp;$C$4,DaybyDay[Date],"&lt;="&amp;DaybyDay[[#This Row],[Date]])</f>
        <v>0</v>
      </c>
      <c r="U279" s="32">
        <f>DaybyDay[[#This Row],[Serv-Bud-RU]]+DaybyDay[[#This Row],[Ret-Bud-RU]]</f>
        <v>0</v>
      </c>
      <c r="V279" s="32">
        <f>DaybyDay[[#This Row],[Serv-Act-RU]]+DaybyDay[[#This Row],[Ret-Act-RU]]</f>
        <v>0</v>
      </c>
      <c r="W279" s="36">
        <f>IF(DaybyDay[[#This Row],[_Space]],IFERROR(
((DaybyDay[[#This Row],[Actual-Rollup]]-DaybyDay[[#This Row],[Budget-Rollup]])/DaybyDay[[#This Row],[Budget-Rollup]]),0),"")</f>
        <v>0</v>
      </c>
      <c r="X279" t="b">
        <f>NOT(AND(ISBLANK(DaybyDay[[#This Row],[Appts]]),ISBLANK(DaybyDay[[#This Row],[Service-Actuals]]),ISBLANK(DaybyDay[[#This Row],[Retail-Actuals]])))</f>
        <v>1</v>
      </c>
      <c r="Y279" s="36">
        <f>IF(DaybyDay[[#This Row],[_Space]],IFERROR(
((DaybyDay[[#This Row],[Actual-Rollup]]-DaybyDay[[#This Row],[LY-Rollup]])/DaybyDay[[#This Row],[LY-Rollup]]),0),"")</f>
        <v>0</v>
      </c>
      <c r="Z279"/>
      <c r="AA279" s="37" t="e">
        <f>IF(DaybyDay[[#This Row],[_Space]],DaybyDay[[#This Row],[Ret-Act-RU]]/DaybyDay[[#This Row],[Serv-Act-RU]],"")</f>
        <v>#DIV/0!</v>
      </c>
      <c r="AB279" s="50" t="e">
        <f>IF(DaybyDay[[#This Row],[_Space]],DaybyDay[[#This Row],[RETPEN-Act]]/DaybyDay[[#This Row],[RETPEN-Bud]],"")</f>
        <v>#DIV/0!</v>
      </c>
      <c r="AC279" s="37" t="e">
        <f>IF(DaybyDay[[#This Row],[_Space]],DaybyDay[[#This Row],[Ret-Bud-RU]]/DaybyDay[[#This Row],[Serv-Bud-RU]],"")</f>
        <v>#DIV/0!</v>
      </c>
      <c r="AD279" s="37" t="e">
        <f>IF(DaybyDay[[#This Row],[_Space]],DaybyDay[[#This Row],[Ret-LY-RU]]/DaybyDay[[#This Row],[Serv-LY-RU]],"")</f>
        <v>#DIV/0!</v>
      </c>
      <c r="AE279" s="30">
        <f>WEEKDAY(DaybyDay[[#This Row],[LY-Date]])</f>
        <v>7</v>
      </c>
      <c r="AF279" s="38">
        <f>$E$2+_xlfn.DAYS(DaybyDay[[#This Row],[Date]],minDate)</f>
        <v>42644</v>
      </c>
      <c r="AG279" s="39" t="str" cm="1">
        <f t="array" ref="AG279">IFERROR(INDEX(DaybyDay[],DaybyDay[[#This Row],[FORM_MATCH_HELPER]],8),"")</f>
        <v/>
      </c>
      <c r="AH279" s="39" t="str" cm="1">
        <f t="array" ref="AH279">IFERROR(INDEX(DaybyDay[],DaybyDay[[#This Row],[FORM_MATCH_HELPER]],10),"")</f>
        <v/>
      </c>
      <c r="AI279" s="39" t="str" cm="1">
        <f t="array" ref="AI279">IFERROR(INDEX(DaybyDay[],DaybyDay[[#This Row],[FORM_MATCH_HELPER]],12),"")</f>
        <v/>
      </c>
      <c r="AJ279" s="32">
        <f>IFERROR(DaybyDay[[#This Row],[Serv-LY-RU]]+DaybyDay[[#This Row],[Ret-LY-RU]],"")</f>
        <v>0</v>
      </c>
      <c r="AK2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79" s="77"/>
      <c r="AM279" s="40" t="str">
        <f>IF(DaybyDay[[#This Row],[Admin Hours]]&gt;0,DaybyDay[[#This Row],[Admin Hours]]*$AM$2+$AM$3,"")</f>
        <v/>
      </c>
      <c r="AN279" s="40">
        <f>SUMIFS(DaybyDay[Est-Admin-Payroll],DaybyDay[Date],"&gt;="&amp;$C$5,DaybyDay[RowYear],"&gt;="&amp;$C$4,DaybyDay[Date],"&lt;="&amp;DaybyDay[[#This Row],[Date]])</f>
        <v>0</v>
      </c>
      <c r="AO279" s="41" t="str">
        <f>IF(AND(DaybyDay[[#This Row],[_Space]],ISNUMBER(DaybyDay[[#This Row],[Admin Hours]])),DaybyDay[[#This Row],[Est-Admin-Payroll]]/(DaybyDay[[#This Row],[Service-Actuals]]+DaybyDay[[#This Row],[Retail-Actuals]]),"")</f>
        <v/>
      </c>
      <c r="AP279" s="41" t="e">
        <f>DaybyDay[[#This Row],[Estimated-Payroll-Rollup]]/DaybyDay[[#This Row],[Simple-Forecast]]</f>
        <v>#DIV/0!</v>
      </c>
      <c r="AQ2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79" s="77"/>
      <c r="AS279" s="40" t="str">
        <f>IF(DaybyDay[[#This Row],[Retail Hours]]&gt;0,DaybyDay[[#This Row],[Retail Hours]]*$AS$2,"")</f>
        <v/>
      </c>
      <c r="AT279" s="40">
        <f>SUMIFS(DaybyDay[Est-Retail-Payroll],DaybyDay[Date],"&gt;="&amp;$C$5,DaybyDay[RowYear],"&gt;="&amp;$C$4,DaybyDay[Date],"&lt;="&amp;DaybyDay[[#This Row],[Date]])</f>
        <v>0</v>
      </c>
      <c r="AU279" s="82" t="str">
        <f>IF(AND(DaybyDay[[#This Row],[_Space]],ISNUMBER(DaybyDay[[#This Row],[Retail Hours]])),DaybyDay[[#This Row],[Est-Retail-Payroll]]/(DaybyDay[[#This Row],[Retail-Actuals]]),"")</f>
        <v/>
      </c>
      <c r="AV279" s="82" t="e">
        <f>DaybyDay[[#This Row],[Est-Retail-PayrollRU]]/DaybyDay[[#This Row],[Simple-Forecast-Retail]]</f>
        <v>#DIV/0!</v>
      </c>
      <c r="AW279" s="8"/>
    </row>
    <row r="280" spans="3:49" hidden="1" x14ac:dyDescent="0.25">
      <c r="C280" s="26" t="str">
        <f>Tools!$C$1</f>
        <v>Example</v>
      </c>
      <c r="D280" s="27" t="s">
        <v>77</v>
      </c>
      <c r="E280" s="28">
        <v>2017</v>
      </c>
      <c r="F280" s="28">
        <f>MATCH(DaybyDay[[#This Row],[RowMonth]],Table3[SummaryMonth],0)</f>
        <v>10</v>
      </c>
      <c r="G280" s="29" t="e">
        <f>MATCH(DaybyDay[[#This Row],[LY-Date]],DaybyDay[Date],0)</f>
        <v>#N/A</v>
      </c>
      <c r="H280" s="30">
        <f>WEEKDAY(DaybyDay[[#This Row],[Date]])</f>
        <v>1</v>
      </c>
      <c r="I280" s="31">
        <v>43009</v>
      </c>
      <c r="J280" s="74">
        <v>29</v>
      </c>
      <c r="K280" s="32">
        <f>SUMIFS(BudgetSeasonality[365 Seasonality],BudgetSeasonality[MonthAdjustment],DaybyDay[[#This Row],[Date]])*SUMIFS(Budgets[Service-Budget],Budgets[BudgetMonth],DaybyDay[[#This Row],[RowMonth]],Budgets[BudgetYear],DaybyDay[[#This Row],[RowYear]])</f>
        <v>0</v>
      </c>
      <c r="L280" s="75">
        <v>6183.96</v>
      </c>
      <c r="M280" s="32">
        <f>INDEX(BudgetSeasonality[365 Seasonality],MATCH(DaybyDay[[#This Row],[Date]],BudgetSeasonality[MonthAdjustment],0))*SUMIFS(Budgets[Retail-Budget],Budgets[BudgetMonth],DaybyDay[[#This Row],[RowMonth]],Budgets[BudgetYear],DaybyDay[[#This Row],[RowYear]])</f>
        <v>0</v>
      </c>
      <c r="N280" s="75">
        <v>400</v>
      </c>
      <c r="O280" s="33">
        <f>SUMIFS(DaybyDay[Service-Budgets],DaybyDay[Date],"&gt;="&amp;$C$5,DaybyDay[RowYear],"&gt;="&amp;$C$4,DaybyDay[Date],"&lt;="&amp;DaybyDay[[#This Row],[Date]])</f>
        <v>0</v>
      </c>
      <c r="P280" s="33">
        <f>SUMIFS(DaybyDay[Retail-Budgets],DaybyDay[Date],"&gt;="&amp;$C$5,DaybyDay[RowYear],"&gt;="&amp;$C$4,DaybyDay[Date],"&lt;="&amp;DaybyDay[[#This Row],[Date]])</f>
        <v>0</v>
      </c>
      <c r="Q280" s="34">
        <f>SUMIFS(DaybyDay[Service-Actuals],DaybyDay[Date],"&gt;="&amp;$C$5,DaybyDay[RowYear],"&gt;="&amp;$C$4,DaybyDay[Date],"&lt;="&amp;DaybyDay[[#This Row],[Date]])</f>
        <v>0</v>
      </c>
      <c r="R280" s="34">
        <f>SUMIFS(DaybyDay[Retail-Actuals],DaybyDay[Date],"&gt;="&amp;$C$5,DaybyDay[RowYear],"&gt;="&amp;$C$4,DaybyDay[Date],"&lt;="&amp;DaybyDay[[#This Row],[Date]])</f>
        <v>0</v>
      </c>
      <c r="S280" s="35">
        <f>SUMIFS(DaybyDay[Service-LY],DaybyDay[Date],"&gt;="&amp;$C$5,DaybyDay[RowYear],"&gt;="&amp;$C$4,DaybyDay[Date],"&lt;="&amp;DaybyDay[[#This Row],[Date]])</f>
        <v>0</v>
      </c>
      <c r="T280" s="35">
        <f>SUMIFS(DaybyDay[Retail-LY],DaybyDay[Date],"&gt;="&amp;$C$5,DaybyDay[RowYear],"&gt;="&amp;$C$4,DaybyDay[Date],"&lt;="&amp;DaybyDay[[#This Row],[Date]])</f>
        <v>0</v>
      </c>
      <c r="U280" s="32">
        <f>DaybyDay[[#This Row],[Serv-Bud-RU]]+DaybyDay[[#This Row],[Ret-Bud-RU]]</f>
        <v>0</v>
      </c>
      <c r="V280" s="32">
        <f>DaybyDay[[#This Row],[Serv-Act-RU]]+DaybyDay[[#This Row],[Ret-Act-RU]]</f>
        <v>0</v>
      </c>
      <c r="W280" s="36">
        <f>IF(DaybyDay[[#This Row],[_Space]],IFERROR(
((DaybyDay[[#This Row],[Actual-Rollup]]-DaybyDay[[#This Row],[Budget-Rollup]])/DaybyDay[[#This Row],[Budget-Rollup]]),0),"")</f>
        <v>0</v>
      </c>
      <c r="X280" t="b">
        <f>NOT(AND(ISBLANK(DaybyDay[[#This Row],[Appts]]),ISBLANK(DaybyDay[[#This Row],[Service-Actuals]]),ISBLANK(DaybyDay[[#This Row],[Retail-Actuals]])))</f>
        <v>1</v>
      </c>
      <c r="Y280" s="36">
        <f>IF(DaybyDay[[#This Row],[_Space]],IFERROR(
((DaybyDay[[#This Row],[Actual-Rollup]]-DaybyDay[[#This Row],[LY-Rollup]])/DaybyDay[[#This Row],[LY-Rollup]]),0),"")</f>
        <v>0</v>
      </c>
      <c r="Z280"/>
      <c r="AA280" s="37" t="e">
        <f>IF(DaybyDay[[#This Row],[_Space]],DaybyDay[[#This Row],[Ret-Act-RU]]/DaybyDay[[#This Row],[Serv-Act-RU]],"")</f>
        <v>#DIV/0!</v>
      </c>
      <c r="AB280" s="50" t="e">
        <f>IF(DaybyDay[[#This Row],[_Space]],DaybyDay[[#This Row],[RETPEN-Act]]/DaybyDay[[#This Row],[RETPEN-Bud]],"")</f>
        <v>#DIV/0!</v>
      </c>
      <c r="AC280" s="37" t="e">
        <f>IF(DaybyDay[[#This Row],[_Space]],DaybyDay[[#This Row],[Ret-Bud-RU]]/DaybyDay[[#This Row],[Serv-Bud-RU]],"")</f>
        <v>#DIV/0!</v>
      </c>
      <c r="AD280" s="37" t="e">
        <f>IF(DaybyDay[[#This Row],[_Space]],DaybyDay[[#This Row],[Ret-LY-RU]]/DaybyDay[[#This Row],[Serv-LY-RU]],"")</f>
        <v>#DIV/0!</v>
      </c>
      <c r="AE280" s="30">
        <f>WEEKDAY(DaybyDay[[#This Row],[LY-Date]])</f>
        <v>1</v>
      </c>
      <c r="AF280" s="38">
        <f>$E$2+_xlfn.DAYS(DaybyDay[[#This Row],[Date]],minDate)</f>
        <v>42645</v>
      </c>
      <c r="AG280" s="39" t="str" cm="1">
        <f t="array" ref="AG280">IFERROR(INDEX(DaybyDay[],DaybyDay[[#This Row],[FORM_MATCH_HELPER]],8),"")</f>
        <v/>
      </c>
      <c r="AH280" s="39" t="str" cm="1">
        <f t="array" ref="AH280">IFERROR(INDEX(DaybyDay[],DaybyDay[[#This Row],[FORM_MATCH_HELPER]],10),"")</f>
        <v/>
      </c>
      <c r="AI280" s="39" t="str" cm="1">
        <f t="array" ref="AI280">IFERROR(INDEX(DaybyDay[],DaybyDay[[#This Row],[FORM_MATCH_HELPER]],12),"")</f>
        <v/>
      </c>
      <c r="AJ280" s="32">
        <f>IFERROR(DaybyDay[[#This Row],[Serv-LY-RU]]+DaybyDay[[#This Row],[Ret-LY-RU]],"")</f>
        <v>0</v>
      </c>
      <c r="AK2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0" s="77"/>
      <c r="AM280" s="40" t="str">
        <f>IF(DaybyDay[[#This Row],[Admin Hours]]&gt;0,DaybyDay[[#This Row],[Admin Hours]]*$AM$2+$AM$3,"")</f>
        <v/>
      </c>
      <c r="AN280" s="40">
        <f>SUMIFS(DaybyDay[Est-Admin-Payroll],DaybyDay[Date],"&gt;="&amp;$C$5,DaybyDay[RowYear],"&gt;="&amp;$C$4,DaybyDay[Date],"&lt;="&amp;DaybyDay[[#This Row],[Date]])</f>
        <v>0</v>
      </c>
      <c r="AO280" s="41" t="str">
        <f>IF(AND(DaybyDay[[#This Row],[_Space]],ISNUMBER(DaybyDay[[#This Row],[Admin Hours]])),DaybyDay[[#This Row],[Est-Admin-Payroll]]/(DaybyDay[[#This Row],[Service-Actuals]]+DaybyDay[[#This Row],[Retail-Actuals]]),"")</f>
        <v/>
      </c>
      <c r="AP280" s="41" t="e">
        <f>DaybyDay[[#This Row],[Estimated-Payroll-Rollup]]/DaybyDay[[#This Row],[Simple-Forecast]]</f>
        <v>#DIV/0!</v>
      </c>
      <c r="AQ2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0" s="77"/>
      <c r="AS280" s="40" t="str">
        <f>IF(DaybyDay[[#This Row],[Retail Hours]]&gt;0,DaybyDay[[#This Row],[Retail Hours]]*$AS$2,"")</f>
        <v/>
      </c>
      <c r="AT280" s="40">
        <f>SUMIFS(DaybyDay[Est-Retail-Payroll],DaybyDay[Date],"&gt;="&amp;$C$5,DaybyDay[RowYear],"&gt;="&amp;$C$4,DaybyDay[Date],"&lt;="&amp;DaybyDay[[#This Row],[Date]])</f>
        <v>0</v>
      </c>
      <c r="AU280" s="82" t="str">
        <f>IF(AND(DaybyDay[[#This Row],[_Space]],ISNUMBER(DaybyDay[[#This Row],[Retail Hours]])),DaybyDay[[#This Row],[Est-Retail-Payroll]]/(DaybyDay[[#This Row],[Retail-Actuals]]),"")</f>
        <v/>
      </c>
      <c r="AV280" s="82" t="e">
        <f>DaybyDay[[#This Row],[Est-Retail-PayrollRU]]/DaybyDay[[#This Row],[Simple-Forecast-Retail]]</f>
        <v>#DIV/0!</v>
      </c>
      <c r="AW280" s="8"/>
    </row>
    <row r="281" spans="3:49" hidden="1" x14ac:dyDescent="0.25">
      <c r="C281" s="26" t="str">
        <f>Tools!$C$1</f>
        <v>Example</v>
      </c>
      <c r="D281" s="27" t="s">
        <v>77</v>
      </c>
      <c r="E281" s="28">
        <v>2017</v>
      </c>
      <c r="F281" s="28">
        <f>MATCH(DaybyDay[[#This Row],[RowMonth]],Table3[SummaryMonth],0)</f>
        <v>10</v>
      </c>
      <c r="G281" s="29" t="e">
        <f>MATCH(DaybyDay[[#This Row],[LY-Date]],DaybyDay[Date],0)</f>
        <v>#N/A</v>
      </c>
      <c r="H281" s="30">
        <f>WEEKDAY(DaybyDay[[#This Row],[Date]])</f>
        <v>2</v>
      </c>
      <c r="I281" s="31">
        <v>43010</v>
      </c>
      <c r="J281" s="74">
        <v>13</v>
      </c>
      <c r="K281" s="32">
        <f>SUMIFS(BudgetSeasonality[365 Seasonality],BudgetSeasonality[MonthAdjustment],DaybyDay[[#This Row],[Date]])*SUMIFS(Budgets[Service-Budget],Budgets[BudgetMonth],DaybyDay[[#This Row],[RowMonth]],Budgets[BudgetYear],DaybyDay[[#This Row],[RowYear]])</f>
        <v>0</v>
      </c>
      <c r="L281" s="75">
        <v>2451.38</v>
      </c>
      <c r="M281" s="32">
        <f>INDEX(BudgetSeasonality[365 Seasonality],MATCH(DaybyDay[[#This Row],[Date]],BudgetSeasonality[MonthAdjustment],0))*SUMIFS(Budgets[Retail-Budget],Budgets[BudgetMonth],DaybyDay[[#This Row],[RowMonth]],Budgets[BudgetYear],DaybyDay[[#This Row],[RowYear]])</f>
        <v>0</v>
      </c>
      <c r="N281" s="75">
        <v>0</v>
      </c>
      <c r="O281" s="33">
        <f>SUMIFS(DaybyDay[Service-Budgets],DaybyDay[Date],"&gt;="&amp;$C$5,DaybyDay[RowYear],"&gt;="&amp;$C$4,DaybyDay[Date],"&lt;="&amp;DaybyDay[[#This Row],[Date]])</f>
        <v>0</v>
      </c>
      <c r="P281" s="33">
        <f>SUMIFS(DaybyDay[Retail-Budgets],DaybyDay[Date],"&gt;="&amp;$C$5,DaybyDay[RowYear],"&gt;="&amp;$C$4,DaybyDay[Date],"&lt;="&amp;DaybyDay[[#This Row],[Date]])</f>
        <v>0</v>
      </c>
      <c r="Q281" s="34">
        <f>SUMIFS(DaybyDay[Service-Actuals],DaybyDay[Date],"&gt;="&amp;$C$5,DaybyDay[RowYear],"&gt;="&amp;$C$4,DaybyDay[Date],"&lt;="&amp;DaybyDay[[#This Row],[Date]])</f>
        <v>0</v>
      </c>
      <c r="R281" s="34">
        <f>SUMIFS(DaybyDay[Retail-Actuals],DaybyDay[Date],"&gt;="&amp;$C$5,DaybyDay[RowYear],"&gt;="&amp;$C$4,DaybyDay[Date],"&lt;="&amp;DaybyDay[[#This Row],[Date]])</f>
        <v>0</v>
      </c>
      <c r="S281" s="35">
        <f>SUMIFS(DaybyDay[Service-LY],DaybyDay[Date],"&gt;="&amp;$C$5,DaybyDay[RowYear],"&gt;="&amp;$C$4,DaybyDay[Date],"&lt;="&amp;DaybyDay[[#This Row],[Date]])</f>
        <v>0</v>
      </c>
      <c r="T281" s="35">
        <f>SUMIFS(DaybyDay[Retail-LY],DaybyDay[Date],"&gt;="&amp;$C$5,DaybyDay[RowYear],"&gt;="&amp;$C$4,DaybyDay[Date],"&lt;="&amp;DaybyDay[[#This Row],[Date]])</f>
        <v>0</v>
      </c>
      <c r="U281" s="32">
        <f>DaybyDay[[#This Row],[Serv-Bud-RU]]+DaybyDay[[#This Row],[Ret-Bud-RU]]</f>
        <v>0</v>
      </c>
      <c r="V281" s="32">
        <f>DaybyDay[[#This Row],[Serv-Act-RU]]+DaybyDay[[#This Row],[Ret-Act-RU]]</f>
        <v>0</v>
      </c>
      <c r="W281" s="36">
        <f>IF(DaybyDay[[#This Row],[_Space]],IFERROR(
((DaybyDay[[#This Row],[Actual-Rollup]]-DaybyDay[[#This Row],[Budget-Rollup]])/DaybyDay[[#This Row],[Budget-Rollup]]),0),"")</f>
        <v>0</v>
      </c>
      <c r="X281" t="b">
        <f>NOT(AND(ISBLANK(DaybyDay[[#This Row],[Appts]]),ISBLANK(DaybyDay[[#This Row],[Service-Actuals]]),ISBLANK(DaybyDay[[#This Row],[Retail-Actuals]])))</f>
        <v>1</v>
      </c>
      <c r="Y281" s="36">
        <f>IF(DaybyDay[[#This Row],[_Space]],IFERROR(
((DaybyDay[[#This Row],[Actual-Rollup]]-DaybyDay[[#This Row],[LY-Rollup]])/DaybyDay[[#This Row],[LY-Rollup]]),0),"")</f>
        <v>0</v>
      </c>
      <c r="Z281"/>
      <c r="AA281" s="37" t="e">
        <f>IF(DaybyDay[[#This Row],[_Space]],DaybyDay[[#This Row],[Ret-Act-RU]]/DaybyDay[[#This Row],[Serv-Act-RU]],"")</f>
        <v>#DIV/0!</v>
      </c>
      <c r="AB281" s="50" t="e">
        <f>IF(DaybyDay[[#This Row],[_Space]],DaybyDay[[#This Row],[RETPEN-Act]]/DaybyDay[[#This Row],[RETPEN-Bud]],"")</f>
        <v>#DIV/0!</v>
      </c>
      <c r="AC281" s="37" t="e">
        <f>IF(DaybyDay[[#This Row],[_Space]],DaybyDay[[#This Row],[Ret-Bud-RU]]/DaybyDay[[#This Row],[Serv-Bud-RU]],"")</f>
        <v>#DIV/0!</v>
      </c>
      <c r="AD281" s="37" t="e">
        <f>IF(DaybyDay[[#This Row],[_Space]],DaybyDay[[#This Row],[Ret-LY-RU]]/DaybyDay[[#This Row],[Serv-LY-RU]],"")</f>
        <v>#DIV/0!</v>
      </c>
      <c r="AE281" s="30">
        <f>WEEKDAY(DaybyDay[[#This Row],[LY-Date]])</f>
        <v>2</v>
      </c>
      <c r="AF281" s="38">
        <f>$E$2+_xlfn.DAYS(DaybyDay[[#This Row],[Date]],minDate)</f>
        <v>42646</v>
      </c>
      <c r="AG281" s="39" t="str" cm="1">
        <f t="array" ref="AG281">IFERROR(INDEX(DaybyDay[],DaybyDay[[#This Row],[FORM_MATCH_HELPER]],8),"")</f>
        <v/>
      </c>
      <c r="AH281" s="39" t="str" cm="1">
        <f t="array" ref="AH281">IFERROR(INDEX(DaybyDay[],DaybyDay[[#This Row],[FORM_MATCH_HELPER]],10),"")</f>
        <v/>
      </c>
      <c r="AI281" s="39" t="str" cm="1">
        <f t="array" ref="AI281">IFERROR(INDEX(DaybyDay[],DaybyDay[[#This Row],[FORM_MATCH_HELPER]],12),"")</f>
        <v/>
      </c>
      <c r="AJ281" s="32">
        <f>IFERROR(DaybyDay[[#This Row],[Serv-LY-RU]]+DaybyDay[[#This Row],[Ret-LY-RU]],"")</f>
        <v>0</v>
      </c>
      <c r="AK2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1" s="77"/>
      <c r="AM281" s="40" t="str">
        <f>IF(DaybyDay[[#This Row],[Admin Hours]]&gt;0,DaybyDay[[#This Row],[Admin Hours]]*$AM$2+$AM$3,"")</f>
        <v/>
      </c>
      <c r="AN281" s="40">
        <f>SUMIFS(DaybyDay[Est-Admin-Payroll],DaybyDay[Date],"&gt;="&amp;$C$5,DaybyDay[RowYear],"&gt;="&amp;$C$4,DaybyDay[Date],"&lt;="&amp;DaybyDay[[#This Row],[Date]])</f>
        <v>0</v>
      </c>
      <c r="AO281" s="41" t="str">
        <f>IF(AND(DaybyDay[[#This Row],[_Space]],ISNUMBER(DaybyDay[[#This Row],[Admin Hours]])),DaybyDay[[#This Row],[Est-Admin-Payroll]]/(DaybyDay[[#This Row],[Service-Actuals]]+DaybyDay[[#This Row],[Retail-Actuals]]),"")</f>
        <v/>
      </c>
      <c r="AP281" s="41" t="e">
        <f>DaybyDay[[#This Row],[Estimated-Payroll-Rollup]]/DaybyDay[[#This Row],[Simple-Forecast]]</f>
        <v>#DIV/0!</v>
      </c>
      <c r="AQ2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1" s="77"/>
      <c r="AS281" s="40" t="str">
        <f>IF(DaybyDay[[#This Row],[Retail Hours]]&gt;0,DaybyDay[[#This Row],[Retail Hours]]*$AS$2,"")</f>
        <v/>
      </c>
      <c r="AT281" s="40">
        <f>SUMIFS(DaybyDay[Est-Retail-Payroll],DaybyDay[Date],"&gt;="&amp;$C$5,DaybyDay[RowYear],"&gt;="&amp;$C$4,DaybyDay[Date],"&lt;="&amp;DaybyDay[[#This Row],[Date]])</f>
        <v>0</v>
      </c>
      <c r="AU281" s="82" t="str">
        <f>IF(AND(DaybyDay[[#This Row],[_Space]],ISNUMBER(DaybyDay[[#This Row],[Retail Hours]])),DaybyDay[[#This Row],[Est-Retail-Payroll]]/(DaybyDay[[#This Row],[Retail-Actuals]]),"")</f>
        <v/>
      </c>
      <c r="AV281" s="82" t="e">
        <f>DaybyDay[[#This Row],[Est-Retail-PayrollRU]]/DaybyDay[[#This Row],[Simple-Forecast-Retail]]</f>
        <v>#DIV/0!</v>
      </c>
      <c r="AW281" s="8"/>
    </row>
    <row r="282" spans="3:49" hidden="1" x14ac:dyDescent="0.25">
      <c r="C282" s="26" t="str">
        <f>Tools!$C$1</f>
        <v>Example</v>
      </c>
      <c r="D282" s="27" t="s">
        <v>77</v>
      </c>
      <c r="E282" s="28">
        <v>2017</v>
      </c>
      <c r="F282" s="28">
        <f>MATCH(DaybyDay[[#This Row],[RowMonth]],Table3[SummaryMonth],0)</f>
        <v>10</v>
      </c>
      <c r="G282" s="29" t="e">
        <f>MATCH(DaybyDay[[#This Row],[LY-Date]],DaybyDay[Date],0)</f>
        <v>#N/A</v>
      </c>
      <c r="H282" s="30">
        <f>WEEKDAY(DaybyDay[[#This Row],[Date]])</f>
        <v>3</v>
      </c>
      <c r="I282" s="31">
        <v>43011</v>
      </c>
      <c r="J282" s="74">
        <v>14</v>
      </c>
      <c r="K282" s="32">
        <f>SUMIFS(BudgetSeasonality[365 Seasonality],BudgetSeasonality[MonthAdjustment],DaybyDay[[#This Row],[Date]])*SUMIFS(Budgets[Service-Budget],Budgets[BudgetMonth],DaybyDay[[#This Row],[RowMonth]],Budgets[BudgetYear],DaybyDay[[#This Row],[RowYear]])</f>
        <v>0</v>
      </c>
      <c r="L282" s="75">
        <v>2821.1</v>
      </c>
      <c r="M282" s="32">
        <f>INDEX(BudgetSeasonality[365 Seasonality],MATCH(DaybyDay[[#This Row],[Date]],BudgetSeasonality[MonthAdjustment],0))*SUMIFS(Budgets[Retail-Budget],Budgets[BudgetMonth],DaybyDay[[#This Row],[RowMonth]],Budgets[BudgetYear],DaybyDay[[#This Row],[RowYear]])</f>
        <v>0</v>
      </c>
      <c r="N282" s="75">
        <v>1113</v>
      </c>
      <c r="O282" s="33">
        <f>SUMIFS(DaybyDay[Service-Budgets],DaybyDay[Date],"&gt;="&amp;$C$5,DaybyDay[RowYear],"&gt;="&amp;$C$4,DaybyDay[Date],"&lt;="&amp;DaybyDay[[#This Row],[Date]])</f>
        <v>0</v>
      </c>
      <c r="P282" s="33">
        <f>SUMIFS(DaybyDay[Retail-Budgets],DaybyDay[Date],"&gt;="&amp;$C$5,DaybyDay[RowYear],"&gt;="&amp;$C$4,DaybyDay[Date],"&lt;="&amp;DaybyDay[[#This Row],[Date]])</f>
        <v>0</v>
      </c>
      <c r="Q282" s="34">
        <f>SUMIFS(DaybyDay[Service-Actuals],DaybyDay[Date],"&gt;="&amp;$C$5,DaybyDay[RowYear],"&gt;="&amp;$C$4,DaybyDay[Date],"&lt;="&amp;DaybyDay[[#This Row],[Date]])</f>
        <v>0</v>
      </c>
      <c r="R282" s="34">
        <f>SUMIFS(DaybyDay[Retail-Actuals],DaybyDay[Date],"&gt;="&amp;$C$5,DaybyDay[RowYear],"&gt;="&amp;$C$4,DaybyDay[Date],"&lt;="&amp;DaybyDay[[#This Row],[Date]])</f>
        <v>0</v>
      </c>
      <c r="S282" s="35">
        <f>SUMIFS(DaybyDay[Service-LY],DaybyDay[Date],"&gt;="&amp;$C$5,DaybyDay[RowYear],"&gt;="&amp;$C$4,DaybyDay[Date],"&lt;="&amp;DaybyDay[[#This Row],[Date]])</f>
        <v>0</v>
      </c>
      <c r="T282" s="35">
        <f>SUMIFS(DaybyDay[Retail-LY],DaybyDay[Date],"&gt;="&amp;$C$5,DaybyDay[RowYear],"&gt;="&amp;$C$4,DaybyDay[Date],"&lt;="&amp;DaybyDay[[#This Row],[Date]])</f>
        <v>0</v>
      </c>
      <c r="U282" s="32">
        <f>DaybyDay[[#This Row],[Serv-Bud-RU]]+DaybyDay[[#This Row],[Ret-Bud-RU]]</f>
        <v>0</v>
      </c>
      <c r="V282" s="32">
        <f>DaybyDay[[#This Row],[Serv-Act-RU]]+DaybyDay[[#This Row],[Ret-Act-RU]]</f>
        <v>0</v>
      </c>
      <c r="W282" s="36">
        <f>IF(DaybyDay[[#This Row],[_Space]],IFERROR(
((DaybyDay[[#This Row],[Actual-Rollup]]-DaybyDay[[#This Row],[Budget-Rollup]])/DaybyDay[[#This Row],[Budget-Rollup]]),0),"")</f>
        <v>0</v>
      </c>
      <c r="X282" t="b">
        <f>NOT(AND(ISBLANK(DaybyDay[[#This Row],[Appts]]),ISBLANK(DaybyDay[[#This Row],[Service-Actuals]]),ISBLANK(DaybyDay[[#This Row],[Retail-Actuals]])))</f>
        <v>1</v>
      </c>
      <c r="Y282" s="36">
        <f>IF(DaybyDay[[#This Row],[_Space]],IFERROR(
((DaybyDay[[#This Row],[Actual-Rollup]]-DaybyDay[[#This Row],[LY-Rollup]])/DaybyDay[[#This Row],[LY-Rollup]]),0),"")</f>
        <v>0</v>
      </c>
      <c r="Z282"/>
      <c r="AA282" s="37" t="e">
        <f>IF(DaybyDay[[#This Row],[_Space]],DaybyDay[[#This Row],[Ret-Act-RU]]/DaybyDay[[#This Row],[Serv-Act-RU]],"")</f>
        <v>#DIV/0!</v>
      </c>
      <c r="AB282" s="50" t="e">
        <f>IF(DaybyDay[[#This Row],[_Space]],DaybyDay[[#This Row],[RETPEN-Act]]/DaybyDay[[#This Row],[RETPEN-Bud]],"")</f>
        <v>#DIV/0!</v>
      </c>
      <c r="AC282" s="37" t="e">
        <f>IF(DaybyDay[[#This Row],[_Space]],DaybyDay[[#This Row],[Ret-Bud-RU]]/DaybyDay[[#This Row],[Serv-Bud-RU]],"")</f>
        <v>#DIV/0!</v>
      </c>
      <c r="AD282" s="37" t="e">
        <f>IF(DaybyDay[[#This Row],[_Space]],DaybyDay[[#This Row],[Ret-LY-RU]]/DaybyDay[[#This Row],[Serv-LY-RU]],"")</f>
        <v>#DIV/0!</v>
      </c>
      <c r="AE282" s="30">
        <f>WEEKDAY(DaybyDay[[#This Row],[LY-Date]])</f>
        <v>3</v>
      </c>
      <c r="AF282" s="38">
        <f>$E$2+_xlfn.DAYS(DaybyDay[[#This Row],[Date]],minDate)</f>
        <v>42647</v>
      </c>
      <c r="AG282" s="39" t="str" cm="1">
        <f t="array" ref="AG282">IFERROR(INDEX(DaybyDay[],DaybyDay[[#This Row],[FORM_MATCH_HELPER]],8),"")</f>
        <v/>
      </c>
      <c r="AH282" s="39" t="str" cm="1">
        <f t="array" ref="AH282">IFERROR(INDEX(DaybyDay[],DaybyDay[[#This Row],[FORM_MATCH_HELPER]],10),"")</f>
        <v/>
      </c>
      <c r="AI282" s="39" t="str" cm="1">
        <f t="array" ref="AI282">IFERROR(INDEX(DaybyDay[],DaybyDay[[#This Row],[FORM_MATCH_HELPER]],12),"")</f>
        <v/>
      </c>
      <c r="AJ282" s="32">
        <f>IFERROR(DaybyDay[[#This Row],[Serv-LY-RU]]+DaybyDay[[#This Row],[Ret-LY-RU]],"")</f>
        <v>0</v>
      </c>
      <c r="AK2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2" s="77"/>
      <c r="AM282" s="40" t="str">
        <f>IF(DaybyDay[[#This Row],[Admin Hours]]&gt;0,DaybyDay[[#This Row],[Admin Hours]]*$AM$2+$AM$3,"")</f>
        <v/>
      </c>
      <c r="AN282" s="40">
        <f>SUMIFS(DaybyDay[Est-Admin-Payroll],DaybyDay[Date],"&gt;="&amp;$C$5,DaybyDay[RowYear],"&gt;="&amp;$C$4,DaybyDay[Date],"&lt;="&amp;DaybyDay[[#This Row],[Date]])</f>
        <v>0</v>
      </c>
      <c r="AO282" s="41" t="str">
        <f>IF(AND(DaybyDay[[#This Row],[_Space]],ISNUMBER(DaybyDay[[#This Row],[Admin Hours]])),DaybyDay[[#This Row],[Est-Admin-Payroll]]/(DaybyDay[[#This Row],[Service-Actuals]]+DaybyDay[[#This Row],[Retail-Actuals]]),"")</f>
        <v/>
      </c>
      <c r="AP282" s="41" t="e">
        <f>DaybyDay[[#This Row],[Estimated-Payroll-Rollup]]/DaybyDay[[#This Row],[Simple-Forecast]]</f>
        <v>#DIV/0!</v>
      </c>
      <c r="AQ2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2" s="77"/>
      <c r="AS282" s="40" t="str">
        <f>IF(DaybyDay[[#This Row],[Retail Hours]]&gt;0,DaybyDay[[#This Row],[Retail Hours]]*$AS$2,"")</f>
        <v/>
      </c>
      <c r="AT282" s="40">
        <f>SUMIFS(DaybyDay[Est-Retail-Payroll],DaybyDay[Date],"&gt;="&amp;$C$5,DaybyDay[RowYear],"&gt;="&amp;$C$4,DaybyDay[Date],"&lt;="&amp;DaybyDay[[#This Row],[Date]])</f>
        <v>0</v>
      </c>
      <c r="AU282" s="82" t="str">
        <f>IF(AND(DaybyDay[[#This Row],[_Space]],ISNUMBER(DaybyDay[[#This Row],[Retail Hours]])),DaybyDay[[#This Row],[Est-Retail-Payroll]]/(DaybyDay[[#This Row],[Retail-Actuals]]),"")</f>
        <v/>
      </c>
      <c r="AV282" s="82" t="e">
        <f>DaybyDay[[#This Row],[Est-Retail-PayrollRU]]/DaybyDay[[#This Row],[Simple-Forecast-Retail]]</f>
        <v>#DIV/0!</v>
      </c>
      <c r="AW282" s="8"/>
    </row>
    <row r="283" spans="3:49" hidden="1" x14ac:dyDescent="0.25">
      <c r="C283" s="26" t="str">
        <f>Tools!$C$1</f>
        <v>Example</v>
      </c>
      <c r="D283" s="27" t="s">
        <v>77</v>
      </c>
      <c r="E283" s="28">
        <v>2017</v>
      </c>
      <c r="F283" s="28">
        <f>MATCH(DaybyDay[[#This Row],[RowMonth]],Table3[SummaryMonth],0)</f>
        <v>10</v>
      </c>
      <c r="G283" s="29" t="e">
        <f>MATCH(DaybyDay[[#This Row],[LY-Date]],DaybyDay[Date],0)</f>
        <v>#N/A</v>
      </c>
      <c r="H283" s="30">
        <f>WEEKDAY(DaybyDay[[#This Row],[Date]])</f>
        <v>4</v>
      </c>
      <c r="I283" s="31">
        <v>43012</v>
      </c>
      <c r="J283" s="74">
        <v>14</v>
      </c>
      <c r="K283" s="32">
        <f>SUMIFS(BudgetSeasonality[365 Seasonality],BudgetSeasonality[MonthAdjustment],DaybyDay[[#This Row],[Date]])*SUMIFS(Budgets[Service-Budget],Budgets[BudgetMonth],DaybyDay[[#This Row],[RowMonth]],Budgets[BudgetYear],DaybyDay[[#This Row],[RowYear]])</f>
        <v>0</v>
      </c>
      <c r="L283" s="75">
        <v>3430</v>
      </c>
      <c r="M283" s="32">
        <f>INDEX(BudgetSeasonality[365 Seasonality],MATCH(DaybyDay[[#This Row],[Date]],BudgetSeasonality[MonthAdjustment],0))*SUMIFS(Budgets[Retail-Budget],Budgets[BudgetMonth],DaybyDay[[#This Row],[RowMonth]],Budgets[BudgetYear],DaybyDay[[#This Row],[RowYear]])</f>
        <v>0</v>
      </c>
      <c r="N283" s="75">
        <v>780</v>
      </c>
      <c r="O283" s="33">
        <f>SUMIFS(DaybyDay[Service-Budgets],DaybyDay[Date],"&gt;="&amp;$C$5,DaybyDay[RowYear],"&gt;="&amp;$C$4,DaybyDay[Date],"&lt;="&amp;DaybyDay[[#This Row],[Date]])</f>
        <v>0</v>
      </c>
      <c r="P283" s="33">
        <f>SUMIFS(DaybyDay[Retail-Budgets],DaybyDay[Date],"&gt;="&amp;$C$5,DaybyDay[RowYear],"&gt;="&amp;$C$4,DaybyDay[Date],"&lt;="&amp;DaybyDay[[#This Row],[Date]])</f>
        <v>0</v>
      </c>
      <c r="Q283" s="34">
        <f>SUMIFS(DaybyDay[Service-Actuals],DaybyDay[Date],"&gt;="&amp;$C$5,DaybyDay[RowYear],"&gt;="&amp;$C$4,DaybyDay[Date],"&lt;="&amp;DaybyDay[[#This Row],[Date]])</f>
        <v>0</v>
      </c>
      <c r="R283" s="34">
        <f>SUMIFS(DaybyDay[Retail-Actuals],DaybyDay[Date],"&gt;="&amp;$C$5,DaybyDay[RowYear],"&gt;="&amp;$C$4,DaybyDay[Date],"&lt;="&amp;DaybyDay[[#This Row],[Date]])</f>
        <v>0</v>
      </c>
      <c r="S283" s="35">
        <f>SUMIFS(DaybyDay[Service-LY],DaybyDay[Date],"&gt;="&amp;$C$5,DaybyDay[RowYear],"&gt;="&amp;$C$4,DaybyDay[Date],"&lt;="&amp;DaybyDay[[#This Row],[Date]])</f>
        <v>0</v>
      </c>
      <c r="T283" s="35">
        <f>SUMIFS(DaybyDay[Retail-LY],DaybyDay[Date],"&gt;="&amp;$C$5,DaybyDay[RowYear],"&gt;="&amp;$C$4,DaybyDay[Date],"&lt;="&amp;DaybyDay[[#This Row],[Date]])</f>
        <v>0</v>
      </c>
      <c r="U283" s="32">
        <f>DaybyDay[[#This Row],[Serv-Bud-RU]]+DaybyDay[[#This Row],[Ret-Bud-RU]]</f>
        <v>0</v>
      </c>
      <c r="V283" s="32">
        <f>DaybyDay[[#This Row],[Serv-Act-RU]]+DaybyDay[[#This Row],[Ret-Act-RU]]</f>
        <v>0</v>
      </c>
      <c r="W283" s="36">
        <f>IF(DaybyDay[[#This Row],[_Space]],IFERROR(
((DaybyDay[[#This Row],[Actual-Rollup]]-DaybyDay[[#This Row],[Budget-Rollup]])/DaybyDay[[#This Row],[Budget-Rollup]]),0),"")</f>
        <v>0</v>
      </c>
      <c r="X283" t="b">
        <f>NOT(AND(ISBLANK(DaybyDay[[#This Row],[Appts]]),ISBLANK(DaybyDay[[#This Row],[Service-Actuals]]),ISBLANK(DaybyDay[[#This Row],[Retail-Actuals]])))</f>
        <v>1</v>
      </c>
      <c r="Y283" s="36">
        <f>IF(DaybyDay[[#This Row],[_Space]],IFERROR(
((DaybyDay[[#This Row],[Actual-Rollup]]-DaybyDay[[#This Row],[LY-Rollup]])/DaybyDay[[#This Row],[LY-Rollup]]),0),"")</f>
        <v>0</v>
      </c>
      <c r="Z283"/>
      <c r="AA283" s="37" t="e">
        <f>IF(DaybyDay[[#This Row],[_Space]],DaybyDay[[#This Row],[Ret-Act-RU]]/DaybyDay[[#This Row],[Serv-Act-RU]],"")</f>
        <v>#DIV/0!</v>
      </c>
      <c r="AB283" s="50" t="e">
        <f>IF(DaybyDay[[#This Row],[_Space]],DaybyDay[[#This Row],[RETPEN-Act]]/DaybyDay[[#This Row],[RETPEN-Bud]],"")</f>
        <v>#DIV/0!</v>
      </c>
      <c r="AC283" s="37" t="e">
        <f>IF(DaybyDay[[#This Row],[_Space]],DaybyDay[[#This Row],[Ret-Bud-RU]]/DaybyDay[[#This Row],[Serv-Bud-RU]],"")</f>
        <v>#DIV/0!</v>
      </c>
      <c r="AD283" s="37" t="e">
        <f>IF(DaybyDay[[#This Row],[_Space]],DaybyDay[[#This Row],[Ret-LY-RU]]/DaybyDay[[#This Row],[Serv-LY-RU]],"")</f>
        <v>#DIV/0!</v>
      </c>
      <c r="AE283" s="30">
        <f>WEEKDAY(DaybyDay[[#This Row],[LY-Date]])</f>
        <v>4</v>
      </c>
      <c r="AF283" s="38">
        <f>$E$2+_xlfn.DAYS(DaybyDay[[#This Row],[Date]],minDate)</f>
        <v>42648</v>
      </c>
      <c r="AG283" s="39" t="str" cm="1">
        <f t="array" ref="AG283">IFERROR(INDEX(DaybyDay[],DaybyDay[[#This Row],[FORM_MATCH_HELPER]],8),"")</f>
        <v/>
      </c>
      <c r="AH283" s="39" t="str" cm="1">
        <f t="array" ref="AH283">IFERROR(INDEX(DaybyDay[],DaybyDay[[#This Row],[FORM_MATCH_HELPER]],10),"")</f>
        <v/>
      </c>
      <c r="AI283" s="39" t="str" cm="1">
        <f t="array" ref="AI283">IFERROR(INDEX(DaybyDay[],DaybyDay[[#This Row],[FORM_MATCH_HELPER]],12),"")</f>
        <v/>
      </c>
      <c r="AJ283" s="32">
        <f>IFERROR(DaybyDay[[#This Row],[Serv-LY-RU]]+DaybyDay[[#This Row],[Ret-LY-RU]],"")</f>
        <v>0</v>
      </c>
      <c r="AK2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3" s="77"/>
      <c r="AM283" s="40" t="str">
        <f>IF(DaybyDay[[#This Row],[Admin Hours]]&gt;0,DaybyDay[[#This Row],[Admin Hours]]*$AM$2+$AM$3,"")</f>
        <v/>
      </c>
      <c r="AN283" s="40">
        <f>SUMIFS(DaybyDay[Est-Admin-Payroll],DaybyDay[Date],"&gt;="&amp;$C$5,DaybyDay[RowYear],"&gt;="&amp;$C$4,DaybyDay[Date],"&lt;="&amp;DaybyDay[[#This Row],[Date]])</f>
        <v>0</v>
      </c>
      <c r="AO283" s="41" t="str">
        <f>IF(AND(DaybyDay[[#This Row],[_Space]],ISNUMBER(DaybyDay[[#This Row],[Admin Hours]])),DaybyDay[[#This Row],[Est-Admin-Payroll]]/(DaybyDay[[#This Row],[Service-Actuals]]+DaybyDay[[#This Row],[Retail-Actuals]]),"")</f>
        <v/>
      </c>
      <c r="AP283" s="41" t="e">
        <f>DaybyDay[[#This Row],[Estimated-Payroll-Rollup]]/DaybyDay[[#This Row],[Simple-Forecast]]</f>
        <v>#DIV/0!</v>
      </c>
      <c r="AQ2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3" s="77"/>
      <c r="AS283" s="40" t="str">
        <f>IF(DaybyDay[[#This Row],[Retail Hours]]&gt;0,DaybyDay[[#This Row],[Retail Hours]]*$AS$2,"")</f>
        <v/>
      </c>
      <c r="AT283" s="40">
        <f>SUMIFS(DaybyDay[Est-Retail-Payroll],DaybyDay[Date],"&gt;="&amp;$C$5,DaybyDay[RowYear],"&gt;="&amp;$C$4,DaybyDay[Date],"&lt;="&amp;DaybyDay[[#This Row],[Date]])</f>
        <v>0</v>
      </c>
      <c r="AU283" s="82" t="str">
        <f>IF(AND(DaybyDay[[#This Row],[_Space]],ISNUMBER(DaybyDay[[#This Row],[Retail Hours]])),DaybyDay[[#This Row],[Est-Retail-Payroll]]/(DaybyDay[[#This Row],[Retail-Actuals]]),"")</f>
        <v/>
      </c>
      <c r="AV283" s="82" t="e">
        <f>DaybyDay[[#This Row],[Est-Retail-PayrollRU]]/DaybyDay[[#This Row],[Simple-Forecast-Retail]]</f>
        <v>#DIV/0!</v>
      </c>
      <c r="AW283" s="8"/>
    </row>
    <row r="284" spans="3:49" hidden="1" x14ac:dyDescent="0.25">
      <c r="C284" s="26" t="str">
        <f>Tools!$C$1</f>
        <v>Example</v>
      </c>
      <c r="D284" s="27" t="s">
        <v>77</v>
      </c>
      <c r="E284" s="28">
        <v>2017</v>
      </c>
      <c r="F284" s="28">
        <f>MATCH(DaybyDay[[#This Row],[RowMonth]],Table3[SummaryMonth],0)</f>
        <v>10</v>
      </c>
      <c r="G284" s="29" t="e">
        <f>MATCH(DaybyDay[[#This Row],[LY-Date]],DaybyDay[Date],0)</f>
        <v>#N/A</v>
      </c>
      <c r="H284" s="30">
        <f>WEEKDAY(DaybyDay[[#This Row],[Date]])</f>
        <v>5</v>
      </c>
      <c r="I284" s="31">
        <v>43013</v>
      </c>
      <c r="J284" s="74">
        <v>18</v>
      </c>
      <c r="K284" s="32">
        <f>SUMIFS(BudgetSeasonality[365 Seasonality],BudgetSeasonality[MonthAdjustment],DaybyDay[[#This Row],[Date]])*SUMIFS(Budgets[Service-Budget],Budgets[BudgetMonth],DaybyDay[[#This Row],[RowMonth]],Budgets[BudgetYear],DaybyDay[[#This Row],[RowYear]])</f>
        <v>0</v>
      </c>
      <c r="L284" s="75">
        <v>4721.2</v>
      </c>
      <c r="M284" s="32">
        <f>INDEX(BudgetSeasonality[365 Seasonality],MATCH(DaybyDay[[#This Row],[Date]],BudgetSeasonality[MonthAdjustment],0))*SUMIFS(Budgets[Retail-Budget],Budgets[BudgetMonth],DaybyDay[[#This Row],[RowMonth]],Budgets[BudgetYear],DaybyDay[[#This Row],[RowYear]])</f>
        <v>0</v>
      </c>
      <c r="N284" s="75">
        <v>751</v>
      </c>
      <c r="O284" s="33">
        <f>SUMIFS(DaybyDay[Service-Budgets],DaybyDay[Date],"&gt;="&amp;$C$5,DaybyDay[RowYear],"&gt;="&amp;$C$4,DaybyDay[Date],"&lt;="&amp;DaybyDay[[#This Row],[Date]])</f>
        <v>0</v>
      </c>
      <c r="P284" s="33">
        <f>SUMIFS(DaybyDay[Retail-Budgets],DaybyDay[Date],"&gt;="&amp;$C$5,DaybyDay[RowYear],"&gt;="&amp;$C$4,DaybyDay[Date],"&lt;="&amp;DaybyDay[[#This Row],[Date]])</f>
        <v>0</v>
      </c>
      <c r="Q284" s="34">
        <f>SUMIFS(DaybyDay[Service-Actuals],DaybyDay[Date],"&gt;="&amp;$C$5,DaybyDay[RowYear],"&gt;="&amp;$C$4,DaybyDay[Date],"&lt;="&amp;DaybyDay[[#This Row],[Date]])</f>
        <v>0</v>
      </c>
      <c r="R284" s="34">
        <f>SUMIFS(DaybyDay[Retail-Actuals],DaybyDay[Date],"&gt;="&amp;$C$5,DaybyDay[RowYear],"&gt;="&amp;$C$4,DaybyDay[Date],"&lt;="&amp;DaybyDay[[#This Row],[Date]])</f>
        <v>0</v>
      </c>
      <c r="S284" s="35">
        <f>SUMIFS(DaybyDay[Service-LY],DaybyDay[Date],"&gt;="&amp;$C$5,DaybyDay[RowYear],"&gt;="&amp;$C$4,DaybyDay[Date],"&lt;="&amp;DaybyDay[[#This Row],[Date]])</f>
        <v>0</v>
      </c>
      <c r="T284" s="35">
        <f>SUMIFS(DaybyDay[Retail-LY],DaybyDay[Date],"&gt;="&amp;$C$5,DaybyDay[RowYear],"&gt;="&amp;$C$4,DaybyDay[Date],"&lt;="&amp;DaybyDay[[#This Row],[Date]])</f>
        <v>0</v>
      </c>
      <c r="U284" s="32">
        <f>DaybyDay[[#This Row],[Serv-Bud-RU]]+DaybyDay[[#This Row],[Ret-Bud-RU]]</f>
        <v>0</v>
      </c>
      <c r="V284" s="32">
        <f>DaybyDay[[#This Row],[Serv-Act-RU]]+DaybyDay[[#This Row],[Ret-Act-RU]]</f>
        <v>0</v>
      </c>
      <c r="W284" s="36">
        <f>IF(DaybyDay[[#This Row],[_Space]],IFERROR(
((DaybyDay[[#This Row],[Actual-Rollup]]-DaybyDay[[#This Row],[Budget-Rollup]])/DaybyDay[[#This Row],[Budget-Rollup]]),0),"")</f>
        <v>0</v>
      </c>
      <c r="X284" t="b">
        <f>NOT(AND(ISBLANK(DaybyDay[[#This Row],[Appts]]),ISBLANK(DaybyDay[[#This Row],[Service-Actuals]]),ISBLANK(DaybyDay[[#This Row],[Retail-Actuals]])))</f>
        <v>1</v>
      </c>
      <c r="Y284" s="36">
        <f>IF(DaybyDay[[#This Row],[_Space]],IFERROR(
((DaybyDay[[#This Row],[Actual-Rollup]]-DaybyDay[[#This Row],[LY-Rollup]])/DaybyDay[[#This Row],[LY-Rollup]]),0),"")</f>
        <v>0</v>
      </c>
      <c r="Z284"/>
      <c r="AA284" s="37" t="e">
        <f>IF(DaybyDay[[#This Row],[_Space]],DaybyDay[[#This Row],[Ret-Act-RU]]/DaybyDay[[#This Row],[Serv-Act-RU]],"")</f>
        <v>#DIV/0!</v>
      </c>
      <c r="AB284" s="50" t="e">
        <f>IF(DaybyDay[[#This Row],[_Space]],DaybyDay[[#This Row],[RETPEN-Act]]/DaybyDay[[#This Row],[RETPEN-Bud]],"")</f>
        <v>#DIV/0!</v>
      </c>
      <c r="AC284" s="37" t="e">
        <f>IF(DaybyDay[[#This Row],[_Space]],DaybyDay[[#This Row],[Ret-Bud-RU]]/DaybyDay[[#This Row],[Serv-Bud-RU]],"")</f>
        <v>#DIV/0!</v>
      </c>
      <c r="AD284" s="37" t="e">
        <f>IF(DaybyDay[[#This Row],[_Space]],DaybyDay[[#This Row],[Ret-LY-RU]]/DaybyDay[[#This Row],[Serv-LY-RU]],"")</f>
        <v>#DIV/0!</v>
      </c>
      <c r="AE284" s="30">
        <f>WEEKDAY(DaybyDay[[#This Row],[LY-Date]])</f>
        <v>5</v>
      </c>
      <c r="AF284" s="38">
        <f>$E$2+_xlfn.DAYS(DaybyDay[[#This Row],[Date]],minDate)</f>
        <v>42649</v>
      </c>
      <c r="AG284" s="39" t="str" cm="1">
        <f t="array" ref="AG284">IFERROR(INDEX(DaybyDay[],DaybyDay[[#This Row],[FORM_MATCH_HELPER]],8),"")</f>
        <v/>
      </c>
      <c r="AH284" s="39" t="str" cm="1">
        <f t="array" ref="AH284">IFERROR(INDEX(DaybyDay[],DaybyDay[[#This Row],[FORM_MATCH_HELPER]],10),"")</f>
        <v/>
      </c>
      <c r="AI284" s="39" t="str" cm="1">
        <f t="array" ref="AI284">IFERROR(INDEX(DaybyDay[],DaybyDay[[#This Row],[FORM_MATCH_HELPER]],12),"")</f>
        <v/>
      </c>
      <c r="AJ284" s="32">
        <f>IFERROR(DaybyDay[[#This Row],[Serv-LY-RU]]+DaybyDay[[#This Row],[Ret-LY-RU]],"")</f>
        <v>0</v>
      </c>
      <c r="AK2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4" s="77"/>
      <c r="AM284" s="40" t="str">
        <f>IF(DaybyDay[[#This Row],[Admin Hours]]&gt;0,DaybyDay[[#This Row],[Admin Hours]]*$AM$2+$AM$3,"")</f>
        <v/>
      </c>
      <c r="AN284" s="40">
        <f>SUMIFS(DaybyDay[Est-Admin-Payroll],DaybyDay[Date],"&gt;="&amp;$C$5,DaybyDay[RowYear],"&gt;="&amp;$C$4,DaybyDay[Date],"&lt;="&amp;DaybyDay[[#This Row],[Date]])</f>
        <v>0</v>
      </c>
      <c r="AO284" s="41" t="str">
        <f>IF(AND(DaybyDay[[#This Row],[_Space]],ISNUMBER(DaybyDay[[#This Row],[Admin Hours]])),DaybyDay[[#This Row],[Est-Admin-Payroll]]/(DaybyDay[[#This Row],[Service-Actuals]]+DaybyDay[[#This Row],[Retail-Actuals]]),"")</f>
        <v/>
      </c>
      <c r="AP284" s="41" t="e">
        <f>DaybyDay[[#This Row],[Estimated-Payroll-Rollup]]/DaybyDay[[#This Row],[Simple-Forecast]]</f>
        <v>#DIV/0!</v>
      </c>
      <c r="AQ2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4" s="77"/>
      <c r="AS284" s="40" t="str">
        <f>IF(DaybyDay[[#This Row],[Retail Hours]]&gt;0,DaybyDay[[#This Row],[Retail Hours]]*$AS$2,"")</f>
        <v/>
      </c>
      <c r="AT284" s="40">
        <f>SUMIFS(DaybyDay[Est-Retail-Payroll],DaybyDay[Date],"&gt;="&amp;$C$5,DaybyDay[RowYear],"&gt;="&amp;$C$4,DaybyDay[Date],"&lt;="&amp;DaybyDay[[#This Row],[Date]])</f>
        <v>0</v>
      </c>
      <c r="AU284" s="82" t="str">
        <f>IF(AND(DaybyDay[[#This Row],[_Space]],ISNUMBER(DaybyDay[[#This Row],[Retail Hours]])),DaybyDay[[#This Row],[Est-Retail-Payroll]]/(DaybyDay[[#This Row],[Retail-Actuals]]),"")</f>
        <v/>
      </c>
      <c r="AV284" s="82" t="e">
        <f>DaybyDay[[#This Row],[Est-Retail-PayrollRU]]/DaybyDay[[#This Row],[Simple-Forecast-Retail]]</f>
        <v>#DIV/0!</v>
      </c>
      <c r="AW284" s="8"/>
    </row>
    <row r="285" spans="3:49" hidden="1" x14ac:dyDescent="0.25">
      <c r="C285" s="26" t="str">
        <f>Tools!$C$1</f>
        <v>Example</v>
      </c>
      <c r="D285" s="27" t="s">
        <v>77</v>
      </c>
      <c r="E285" s="28">
        <v>2017</v>
      </c>
      <c r="F285" s="28">
        <f>MATCH(DaybyDay[[#This Row],[RowMonth]],Table3[SummaryMonth],0)</f>
        <v>10</v>
      </c>
      <c r="G285" s="29" t="e">
        <f>MATCH(DaybyDay[[#This Row],[LY-Date]],DaybyDay[Date],0)</f>
        <v>#N/A</v>
      </c>
      <c r="H285" s="30">
        <f>WEEKDAY(DaybyDay[[#This Row],[Date]])</f>
        <v>6</v>
      </c>
      <c r="I285" s="31">
        <v>43014</v>
      </c>
      <c r="J285" s="74">
        <v>16</v>
      </c>
      <c r="K285" s="32">
        <f>SUMIFS(BudgetSeasonality[365 Seasonality],BudgetSeasonality[MonthAdjustment],DaybyDay[[#This Row],[Date]])*SUMIFS(Budgets[Service-Budget],Budgets[BudgetMonth],DaybyDay[[#This Row],[RowMonth]],Budgets[BudgetYear],DaybyDay[[#This Row],[RowYear]])</f>
        <v>0</v>
      </c>
      <c r="L285" s="75">
        <v>2677.25</v>
      </c>
      <c r="M285" s="32">
        <f>INDEX(BudgetSeasonality[365 Seasonality],MATCH(DaybyDay[[#This Row],[Date]],BudgetSeasonality[MonthAdjustment],0))*SUMIFS(Budgets[Retail-Budget],Budgets[BudgetMonth],DaybyDay[[#This Row],[RowMonth]],Budgets[BudgetYear],DaybyDay[[#This Row],[RowYear]])</f>
        <v>0</v>
      </c>
      <c r="N285" s="75">
        <v>1406</v>
      </c>
      <c r="O285" s="33">
        <f>SUMIFS(DaybyDay[Service-Budgets],DaybyDay[Date],"&gt;="&amp;$C$5,DaybyDay[RowYear],"&gt;="&amp;$C$4,DaybyDay[Date],"&lt;="&amp;DaybyDay[[#This Row],[Date]])</f>
        <v>0</v>
      </c>
      <c r="P285" s="33">
        <f>SUMIFS(DaybyDay[Retail-Budgets],DaybyDay[Date],"&gt;="&amp;$C$5,DaybyDay[RowYear],"&gt;="&amp;$C$4,DaybyDay[Date],"&lt;="&amp;DaybyDay[[#This Row],[Date]])</f>
        <v>0</v>
      </c>
      <c r="Q285" s="34">
        <f>SUMIFS(DaybyDay[Service-Actuals],DaybyDay[Date],"&gt;="&amp;$C$5,DaybyDay[RowYear],"&gt;="&amp;$C$4,DaybyDay[Date],"&lt;="&amp;DaybyDay[[#This Row],[Date]])</f>
        <v>0</v>
      </c>
      <c r="R285" s="34">
        <f>SUMIFS(DaybyDay[Retail-Actuals],DaybyDay[Date],"&gt;="&amp;$C$5,DaybyDay[RowYear],"&gt;="&amp;$C$4,DaybyDay[Date],"&lt;="&amp;DaybyDay[[#This Row],[Date]])</f>
        <v>0</v>
      </c>
      <c r="S285" s="35">
        <f>SUMIFS(DaybyDay[Service-LY],DaybyDay[Date],"&gt;="&amp;$C$5,DaybyDay[RowYear],"&gt;="&amp;$C$4,DaybyDay[Date],"&lt;="&amp;DaybyDay[[#This Row],[Date]])</f>
        <v>0</v>
      </c>
      <c r="T285" s="35">
        <f>SUMIFS(DaybyDay[Retail-LY],DaybyDay[Date],"&gt;="&amp;$C$5,DaybyDay[RowYear],"&gt;="&amp;$C$4,DaybyDay[Date],"&lt;="&amp;DaybyDay[[#This Row],[Date]])</f>
        <v>0</v>
      </c>
      <c r="U285" s="32">
        <f>DaybyDay[[#This Row],[Serv-Bud-RU]]+DaybyDay[[#This Row],[Ret-Bud-RU]]</f>
        <v>0</v>
      </c>
      <c r="V285" s="32">
        <f>DaybyDay[[#This Row],[Serv-Act-RU]]+DaybyDay[[#This Row],[Ret-Act-RU]]</f>
        <v>0</v>
      </c>
      <c r="W285" s="36">
        <f>IF(DaybyDay[[#This Row],[_Space]],IFERROR(
((DaybyDay[[#This Row],[Actual-Rollup]]-DaybyDay[[#This Row],[Budget-Rollup]])/DaybyDay[[#This Row],[Budget-Rollup]]),0),"")</f>
        <v>0</v>
      </c>
      <c r="X285" t="b">
        <f>NOT(AND(ISBLANK(DaybyDay[[#This Row],[Appts]]),ISBLANK(DaybyDay[[#This Row],[Service-Actuals]]),ISBLANK(DaybyDay[[#This Row],[Retail-Actuals]])))</f>
        <v>1</v>
      </c>
      <c r="Y285" s="36">
        <f>IF(DaybyDay[[#This Row],[_Space]],IFERROR(
((DaybyDay[[#This Row],[Actual-Rollup]]-DaybyDay[[#This Row],[LY-Rollup]])/DaybyDay[[#This Row],[LY-Rollup]]),0),"")</f>
        <v>0</v>
      </c>
      <c r="Z285"/>
      <c r="AA285" s="37" t="e">
        <f>IF(DaybyDay[[#This Row],[_Space]],DaybyDay[[#This Row],[Ret-Act-RU]]/DaybyDay[[#This Row],[Serv-Act-RU]],"")</f>
        <v>#DIV/0!</v>
      </c>
      <c r="AB285" s="50" t="e">
        <f>IF(DaybyDay[[#This Row],[_Space]],DaybyDay[[#This Row],[RETPEN-Act]]/DaybyDay[[#This Row],[RETPEN-Bud]],"")</f>
        <v>#DIV/0!</v>
      </c>
      <c r="AC285" s="37" t="e">
        <f>IF(DaybyDay[[#This Row],[_Space]],DaybyDay[[#This Row],[Ret-Bud-RU]]/DaybyDay[[#This Row],[Serv-Bud-RU]],"")</f>
        <v>#DIV/0!</v>
      </c>
      <c r="AD285" s="37" t="e">
        <f>IF(DaybyDay[[#This Row],[_Space]],DaybyDay[[#This Row],[Ret-LY-RU]]/DaybyDay[[#This Row],[Serv-LY-RU]],"")</f>
        <v>#DIV/0!</v>
      </c>
      <c r="AE285" s="30">
        <f>WEEKDAY(DaybyDay[[#This Row],[LY-Date]])</f>
        <v>6</v>
      </c>
      <c r="AF285" s="38">
        <f>$E$2+_xlfn.DAYS(DaybyDay[[#This Row],[Date]],minDate)</f>
        <v>42650</v>
      </c>
      <c r="AG285" s="39" t="str" cm="1">
        <f t="array" ref="AG285">IFERROR(INDEX(DaybyDay[],DaybyDay[[#This Row],[FORM_MATCH_HELPER]],8),"")</f>
        <v/>
      </c>
      <c r="AH285" s="39" t="str" cm="1">
        <f t="array" ref="AH285">IFERROR(INDEX(DaybyDay[],DaybyDay[[#This Row],[FORM_MATCH_HELPER]],10),"")</f>
        <v/>
      </c>
      <c r="AI285" s="39" t="str" cm="1">
        <f t="array" ref="AI285">IFERROR(INDEX(DaybyDay[],DaybyDay[[#This Row],[FORM_MATCH_HELPER]],12),"")</f>
        <v/>
      </c>
      <c r="AJ285" s="32">
        <f>IFERROR(DaybyDay[[#This Row],[Serv-LY-RU]]+DaybyDay[[#This Row],[Ret-LY-RU]],"")</f>
        <v>0</v>
      </c>
      <c r="AK2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5" s="77"/>
      <c r="AM285" s="40" t="str">
        <f>IF(DaybyDay[[#This Row],[Admin Hours]]&gt;0,DaybyDay[[#This Row],[Admin Hours]]*$AM$2+$AM$3,"")</f>
        <v/>
      </c>
      <c r="AN285" s="40">
        <f>SUMIFS(DaybyDay[Est-Admin-Payroll],DaybyDay[Date],"&gt;="&amp;$C$5,DaybyDay[RowYear],"&gt;="&amp;$C$4,DaybyDay[Date],"&lt;="&amp;DaybyDay[[#This Row],[Date]])</f>
        <v>0</v>
      </c>
      <c r="AO285" s="41" t="str">
        <f>IF(AND(DaybyDay[[#This Row],[_Space]],ISNUMBER(DaybyDay[[#This Row],[Admin Hours]])),DaybyDay[[#This Row],[Est-Admin-Payroll]]/(DaybyDay[[#This Row],[Service-Actuals]]+DaybyDay[[#This Row],[Retail-Actuals]]),"")</f>
        <v/>
      </c>
      <c r="AP285" s="41" t="e">
        <f>DaybyDay[[#This Row],[Estimated-Payroll-Rollup]]/DaybyDay[[#This Row],[Simple-Forecast]]</f>
        <v>#DIV/0!</v>
      </c>
      <c r="AQ2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5" s="77"/>
      <c r="AS285" s="40" t="str">
        <f>IF(DaybyDay[[#This Row],[Retail Hours]]&gt;0,DaybyDay[[#This Row],[Retail Hours]]*$AS$2,"")</f>
        <v/>
      </c>
      <c r="AT285" s="40">
        <f>SUMIFS(DaybyDay[Est-Retail-Payroll],DaybyDay[Date],"&gt;="&amp;$C$5,DaybyDay[RowYear],"&gt;="&amp;$C$4,DaybyDay[Date],"&lt;="&amp;DaybyDay[[#This Row],[Date]])</f>
        <v>0</v>
      </c>
      <c r="AU285" s="82" t="str">
        <f>IF(AND(DaybyDay[[#This Row],[_Space]],ISNUMBER(DaybyDay[[#This Row],[Retail Hours]])),DaybyDay[[#This Row],[Est-Retail-Payroll]]/(DaybyDay[[#This Row],[Retail-Actuals]]),"")</f>
        <v/>
      </c>
      <c r="AV285" s="82" t="e">
        <f>DaybyDay[[#This Row],[Est-Retail-PayrollRU]]/DaybyDay[[#This Row],[Simple-Forecast-Retail]]</f>
        <v>#DIV/0!</v>
      </c>
      <c r="AW285" s="8"/>
    </row>
    <row r="286" spans="3:49" hidden="1" x14ac:dyDescent="0.25">
      <c r="C286" s="26" t="str">
        <f>Tools!$C$1</f>
        <v>Example</v>
      </c>
      <c r="D286" s="27" t="s">
        <v>77</v>
      </c>
      <c r="E286" s="28">
        <v>2017</v>
      </c>
      <c r="F286" s="28">
        <f>MATCH(DaybyDay[[#This Row],[RowMonth]],Table3[SummaryMonth],0)</f>
        <v>10</v>
      </c>
      <c r="G286" s="29" t="e">
        <f>MATCH(DaybyDay[[#This Row],[LY-Date]],DaybyDay[Date],0)</f>
        <v>#N/A</v>
      </c>
      <c r="H286" s="30">
        <f>WEEKDAY(DaybyDay[[#This Row],[Date]])</f>
        <v>7</v>
      </c>
      <c r="I286" s="31">
        <v>43015</v>
      </c>
      <c r="J286" s="74">
        <v>38</v>
      </c>
      <c r="K286" s="32">
        <f>SUMIFS(BudgetSeasonality[365 Seasonality],BudgetSeasonality[MonthAdjustment],DaybyDay[[#This Row],[Date]])*SUMIFS(Budgets[Service-Budget],Budgets[BudgetMonth],DaybyDay[[#This Row],[RowMonth]],Budgets[BudgetYear],DaybyDay[[#This Row],[RowYear]])</f>
        <v>0</v>
      </c>
      <c r="L286" s="75">
        <v>9889.99</v>
      </c>
      <c r="M286" s="32">
        <f>INDEX(BudgetSeasonality[365 Seasonality],MATCH(DaybyDay[[#This Row],[Date]],BudgetSeasonality[MonthAdjustment],0))*SUMIFS(Budgets[Retail-Budget],Budgets[BudgetMonth],DaybyDay[[#This Row],[RowMonth]],Budgets[BudgetYear],DaybyDay[[#This Row],[RowYear]])</f>
        <v>0</v>
      </c>
      <c r="N286" s="75">
        <v>1836.34</v>
      </c>
      <c r="O286" s="33">
        <f>SUMIFS(DaybyDay[Service-Budgets],DaybyDay[Date],"&gt;="&amp;$C$5,DaybyDay[RowYear],"&gt;="&amp;$C$4,DaybyDay[Date],"&lt;="&amp;DaybyDay[[#This Row],[Date]])</f>
        <v>0</v>
      </c>
      <c r="P286" s="33">
        <f>SUMIFS(DaybyDay[Retail-Budgets],DaybyDay[Date],"&gt;="&amp;$C$5,DaybyDay[RowYear],"&gt;="&amp;$C$4,DaybyDay[Date],"&lt;="&amp;DaybyDay[[#This Row],[Date]])</f>
        <v>0</v>
      </c>
      <c r="Q286" s="34">
        <f>SUMIFS(DaybyDay[Service-Actuals],DaybyDay[Date],"&gt;="&amp;$C$5,DaybyDay[RowYear],"&gt;="&amp;$C$4,DaybyDay[Date],"&lt;="&amp;DaybyDay[[#This Row],[Date]])</f>
        <v>0</v>
      </c>
      <c r="R286" s="34">
        <f>SUMIFS(DaybyDay[Retail-Actuals],DaybyDay[Date],"&gt;="&amp;$C$5,DaybyDay[RowYear],"&gt;="&amp;$C$4,DaybyDay[Date],"&lt;="&amp;DaybyDay[[#This Row],[Date]])</f>
        <v>0</v>
      </c>
      <c r="S286" s="35">
        <f>SUMIFS(DaybyDay[Service-LY],DaybyDay[Date],"&gt;="&amp;$C$5,DaybyDay[RowYear],"&gt;="&amp;$C$4,DaybyDay[Date],"&lt;="&amp;DaybyDay[[#This Row],[Date]])</f>
        <v>0</v>
      </c>
      <c r="T286" s="35">
        <f>SUMIFS(DaybyDay[Retail-LY],DaybyDay[Date],"&gt;="&amp;$C$5,DaybyDay[RowYear],"&gt;="&amp;$C$4,DaybyDay[Date],"&lt;="&amp;DaybyDay[[#This Row],[Date]])</f>
        <v>0</v>
      </c>
      <c r="U286" s="32">
        <f>DaybyDay[[#This Row],[Serv-Bud-RU]]+DaybyDay[[#This Row],[Ret-Bud-RU]]</f>
        <v>0</v>
      </c>
      <c r="V286" s="32">
        <f>DaybyDay[[#This Row],[Serv-Act-RU]]+DaybyDay[[#This Row],[Ret-Act-RU]]</f>
        <v>0</v>
      </c>
      <c r="W286" s="36">
        <f>IF(DaybyDay[[#This Row],[_Space]],IFERROR(
((DaybyDay[[#This Row],[Actual-Rollup]]-DaybyDay[[#This Row],[Budget-Rollup]])/DaybyDay[[#This Row],[Budget-Rollup]]),0),"")</f>
        <v>0</v>
      </c>
      <c r="X286" t="b">
        <f>NOT(AND(ISBLANK(DaybyDay[[#This Row],[Appts]]),ISBLANK(DaybyDay[[#This Row],[Service-Actuals]]),ISBLANK(DaybyDay[[#This Row],[Retail-Actuals]])))</f>
        <v>1</v>
      </c>
      <c r="Y286" s="36">
        <f>IF(DaybyDay[[#This Row],[_Space]],IFERROR(
((DaybyDay[[#This Row],[Actual-Rollup]]-DaybyDay[[#This Row],[LY-Rollup]])/DaybyDay[[#This Row],[LY-Rollup]]),0),"")</f>
        <v>0</v>
      </c>
      <c r="Z286"/>
      <c r="AA286" s="37" t="e">
        <f>IF(DaybyDay[[#This Row],[_Space]],DaybyDay[[#This Row],[Ret-Act-RU]]/DaybyDay[[#This Row],[Serv-Act-RU]],"")</f>
        <v>#DIV/0!</v>
      </c>
      <c r="AB286" s="50" t="e">
        <f>IF(DaybyDay[[#This Row],[_Space]],DaybyDay[[#This Row],[RETPEN-Act]]/DaybyDay[[#This Row],[RETPEN-Bud]],"")</f>
        <v>#DIV/0!</v>
      </c>
      <c r="AC286" s="37" t="e">
        <f>IF(DaybyDay[[#This Row],[_Space]],DaybyDay[[#This Row],[Ret-Bud-RU]]/DaybyDay[[#This Row],[Serv-Bud-RU]],"")</f>
        <v>#DIV/0!</v>
      </c>
      <c r="AD286" s="37" t="e">
        <f>IF(DaybyDay[[#This Row],[_Space]],DaybyDay[[#This Row],[Ret-LY-RU]]/DaybyDay[[#This Row],[Serv-LY-RU]],"")</f>
        <v>#DIV/0!</v>
      </c>
      <c r="AE286" s="30">
        <f>WEEKDAY(DaybyDay[[#This Row],[LY-Date]])</f>
        <v>7</v>
      </c>
      <c r="AF286" s="38">
        <f>$E$2+_xlfn.DAYS(DaybyDay[[#This Row],[Date]],minDate)</f>
        <v>42651</v>
      </c>
      <c r="AG286" s="39" t="str" cm="1">
        <f t="array" ref="AG286">IFERROR(INDEX(DaybyDay[],DaybyDay[[#This Row],[FORM_MATCH_HELPER]],8),"")</f>
        <v/>
      </c>
      <c r="AH286" s="39" t="str" cm="1">
        <f t="array" ref="AH286">IFERROR(INDEX(DaybyDay[],DaybyDay[[#This Row],[FORM_MATCH_HELPER]],10),"")</f>
        <v/>
      </c>
      <c r="AI286" s="39" t="str" cm="1">
        <f t="array" ref="AI286">IFERROR(INDEX(DaybyDay[],DaybyDay[[#This Row],[FORM_MATCH_HELPER]],12),"")</f>
        <v/>
      </c>
      <c r="AJ286" s="32">
        <f>IFERROR(DaybyDay[[#This Row],[Serv-LY-RU]]+DaybyDay[[#This Row],[Ret-LY-RU]],"")</f>
        <v>0</v>
      </c>
      <c r="AK2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6" s="77"/>
      <c r="AM286" s="40" t="str">
        <f>IF(DaybyDay[[#This Row],[Admin Hours]]&gt;0,DaybyDay[[#This Row],[Admin Hours]]*$AM$2+$AM$3,"")</f>
        <v/>
      </c>
      <c r="AN286" s="40">
        <f>SUMIFS(DaybyDay[Est-Admin-Payroll],DaybyDay[Date],"&gt;="&amp;$C$5,DaybyDay[RowYear],"&gt;="&amp;$C$4,DaybyDay[Date],"&lt;="&amp;DaybyDay[[#This Row],[Date]])</f>
        <v>0</v>
      </c>
      <c r="AO286" s="41" t="str">
        <f>IF(AND(DaybyDay[[#This Row],[_Space]],ISNUMBER(DaybyDay[[#This Row],[Admin Hours]])),DaybyDay[[#This Row],[Est-Admin-Payroll]]/(DaybyDay[[#This Row],[Service-Actuals]]+DaybyDay[[#This Row],[Retail-Actuals]]),"")</f>
        <v/>
      </c>
      <c r="AP286" s="41" t="e">
        <f>DaybyDay[[#This Row],[Estimated-Payroll-Rollup]]/DaybyDay[[#This Row],[Simple-Forecast]]</f>
        <v>#DIV/0!</v>
      </c>
      <c r="AQ2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6" s="77"/>
      <c r="AS286" s="40" t="str">
        <f>IF(DaybyDay[[#This Row],[Retail Hours]]&gt;0,DaybyDay[[#This Row],[Retail Hours]]*$AS$2,"")</f>
        <v/>
      </c>
      <c r="AT286" s="40">
        <f>SUMIFS(DaybyDay[Est-Retail-Payroll],DaybyDay[Date],"&gt;="&amp;$C$5,DaybyDay[RowYear],"&gt;="&amp;$C$4,DaybyDay[Date],"&lt;="&amp;DaybyDay[[#This Row],[Date]])</f>
        <v>0</v>
      </c>
      <c r="AU286" s="82" t="str">
        <f>IF(AND(DaybyDay[[#This Row],[_Space]],ISNUMBER(DaybyDay[[#This Row],[Retail Hours]])),DaybyDay[[#This Row],[Est-Retail-Payroll]]/(DaybyDay[[#This Row],[Retail-Actuals]]),"")</f>
        <v/>
      </c>
      <c r="AV286" s="82" t="e">
        <f>DaybyDay[[#This Row],[Est-Retail-PayrollRU]]/DaybyDay[[#This Row],[Simple-Forecast-Retail]]</f>
        <v>#DIV/0!</v>
      </c>
      <c r="AW286" s="8"/>
    </row>
    <row r="287" spans="3:49" hidden="1" x14ac:dyDescent="0.25">
      <c r="C287" s="26" t="str">
        <f>Tools!$C$1</f>
        <v>Example</v>
      </c>
      <c r="D287" s="27" t="s">
        <v>77</v>
      </c>
      <c r="E287" s="28">
        <v>2017</v>
      </c>
      <c r="F287" s="28">
        <f>MATCH(DaybyDay[[#This Row],[RowMonth]],Table3[SummaryMonth],0)</f>
        <v>10</v>
      </c>
      <c r="G287" s="29" t="e">
        <f>MATCH(DaybyDay[[#This Row],[LY-Date]],DaybyDay[Date],0)</f>
        <v>#N/A</v>
      </c>
      <c r="H287" s="30">
        <f>WEEKDAY(DaybyDay[[#This Row],[Date]])</f>
        <v>1</v>
      </c>
      <c r="I287" s="31">
        <v>43016</v>
      </c>
      <c r="J287" s="74">
        <v>37</v>
      </c>
      <c r="K287" s="32">
        <f>SUMIFS(BudgetSeasonality[365 Seasonality],BudgetSeasonality[MonthAdjustment],DaybyDay[[#This Row],[Date]])*SUMIFS(Budgets[Service-Budget],Budgets[BudgetMonth],DaybyDay[[#This Row],[RowMonth]],Budgets[BudgetYear],DaybyDay[[#This Row],[RowYear]])</f>
        <v>0</v>
      </c>
      <c r="L287" s="75">
        <v>6044.3</v>
      </c>
      <c r="M287" s="32">
        <f>INDEX(BudgetSeasonality[365 Seasonality],MATCH(DaybyDay[[#This Row],[Date]],BudgetSeasonality[MonthAdjustment],0))*SUMIFS(Budgets[Retail-Budget],Budgets[BudgetMonth],DaybyDay[[#This Row],[RowMonth]],Budgets[BudgetYear],DaybyDay[[#This Row],[RowYear]])</f>
        <v>0</v>
      </c>
      <c r="N287" s="75">
        <v>700.5</v>
      </c>
      <c r="O287" s="33">
        <f>SUMIFS(DaybyDay[Service-Budgets],DaybyDay[Date],"&gt;="&amp;$C$5,DaybyDay[RowYear],"&gt;="&amp;$C$4,DaybyDay[Date],"&lt;="&amp;DaybyDay[[#This Row],[Date]])</f>
        <v>0</v>
      </c>
      <c r="P287" s="33">
        <f>SUMIFS(DaybyDay[Retail-Budgets],DaybyDay[Date],"&gt;="&amp;$C$5,DaybyDay[RowYear],"&gt;="&amp;$C$4,DaybyDay[Date],"&lt;="&amp;DaybyDay[[#This Row],[Date]])</f>
        <v>0</v>
      </c>
      <c r="Q287" s="34">
        <f>SUMIFS(DaybyDay[Service-Actuals],DaybyDay[Date],"&gt;="&amp;$C$5,DaybyDay[RowYear],"&gt;="&amp;$C$4,DaybyDay[Date],"&lt;="&amp;DaybyDay[[#This Row],[Date]])</f>
        <v>0</v>
      </c>
      <c r="R287" s="34">
        <f>SUMIFS(DaybyDay[Retail-Actuals],DaybyDay[Date],"&gt;="&amp;$C$5,DaybyDay[RowYear],"&gt;="&amp;$C$4,DaybyDay[Date],"&lt;="&amp;DaybyDay[[#This Row],[Date]])</f>
        <v>0</v>
      </c>
      <c r="S287" s="35">
        <f>SUMIFS(DaybyDay[Service-LY],DaybyDay[Date],"&gt;="&amp;$C$5,DaybyDay[RowYear],"&gt;="&amp;$C$4,DaybyDay[Date],"&lt;="&amp;DaybyDay[[#This Row],[Date]])</f>
        <v>0</v>
      </c>
      <c r="T287" s="35">
        <f>SUMIFS(DaybyDay[Retail-LY],DaybyDay[Date],"&gt;="&amp;$C$5,DaybyDay[RowYear],"&gt;="&amp;$C$4,DaybyDay[Date],"&lt;="&amp;DaybyDay[[#This Row],[Date]])</f>
        <v>0</v>
      </c>
      <c r="U287" s="32">
        <f>DaybyDay[[#This Row],[Serv-Bud-RU]]+DaybyDay[[#This Row],[Ret-Bud-RU]]</f>
        <v>0</v>
      </c>
      <c r="V287" s="32">
        <f>DaybyDay[[#This Row],[Serv-Act-RU]]+DaybyDay[[#This Row],[Ret-Act-RU]]</f>
        <v>0</v>
      </c>
      <c r="W287" s="36">
        <f>IF(DaybyDay[[#This Row],[_Space]],IFERROR(
((DaybyDay[[#This Row],[Actual-Rollup]]-DaybyDay[[#This Row],[Budget-Rollup]])/DaybyDay[[#This Row],[Budget-Rollup]]),0),"")</f>
        <v>0</v>
      </c>
      <c r="X287" t="b">
        <f>NOT(AND(ISBLANK(DaybyDay[[#This Row],[Appts]]),ISBLANK(DaybyDay[[#This Row],[Service-Actuals]]),ISBLANK(DaybyDay[[#This Row],[Retail-Actuals]])))</f>
        <v>1</v>
      </c>
      <c r="Y287" s="36">
        <f>IF(DaybyDay[[#This Row],[_Space]],IFERROR(
((DaybyDay[[#This Row],[Actual-Rollup]]-DaybyDay[[#This Row],[LY-Rollup]])/DaybyDay[[#This Row],[LY-Rollup]]),0),"")</f>
        <v>0</v>
      </c>
      <c r="Z287"/>
      <c r="AA287" s="37" t="e">
        <f>IF(DaybyDay[[#This Row],[_Space]],DaybyDay[[#This Row],[Ret-Act-RU]]/DaybyDay[[#This Row],[Serv-Act-RU]],"")</f>
        <v>#DIV/0!</v>
      </c>
      <c r="AB287" s="50" t="e">
        <f>IF(DaybyDay[[#This Row],[_Space]],DaybyDay[[#This Row],[RETPEN-Act]]/DaybyDay[[#This Row],[RETPEN-Bud]],"")</f>
        <v>#DIV/0!</v>
      </c>
      <c r="AC287" s="37" t="e">
        <f>IF(DaybyDay[[#This Row],[_Space]],DaybyDay[[#This Row],[Ret-Bud-RU]]/DaybyDay[[#This Row],[Serv-Bud-RU]],"")</f>
        <v>#DIV/0!</v>
      </c>
      <c r="AD287" s="37" t="e">
        <f>IF(DaybyDay[[#This Row],[_Space]],DaybyDay[[#This Row],[Ret-LY-RU]]/DaybyDay[[#This Row],[Serv-LY-RU]],"")</f>
        <v>#DIV/0!</v>
      </c>
      <c r="AE287" s="30">
        <f>WEEKDAY(DaybyDay[[#This Row],[LY-Date]])</f>
        <v>1</v>
      </c>
      <c r="AF287" s="38">
        <f>$E$2+_xlfn.DAYS(DaybyDay[[#This Row],[Date]],minDate)</f>
        <v>42652</v>
      </c>
      <c r="AG287" s="39" t="str" cm="1">
        <f t="array" ref="AG287">IFERROR(INDEX(DaybyDay[],DaybyDay[[#This Row],[FORM_MATCH_HELPER]],8),"")</f>
        <v/>
      </c>
      <c r="AH287" s="39" t="str" cm="1">
        <f t="array" ref="AH287">IFERROR(INDEX(DaybyDay[],DaybyDay[[#This Row],[FORM_MATCH_HELPER]],10),"")</f>
        <v/>
      </c>
      <c r="AI287" s="39" t="str" cm="1">
        <f t="array" ref="AI287">IFERROR(INDEX(DaybyDay[],DaybyDay[[#This Row],[FORM_MATCH_HELPER]],12),"")</f>
        <v/>
      </c>
      <c r="AJ287" s="32">
        <f>IFERROR(DaybyDay[[#This Row],[Serv-LY-RU]]+DaybyDay[[#This Row],[Ret-LY-RU]],"")</f>
        <v>0</v>
      </c>
      <c r="AK2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7" s="77"/>
      <c r="AM287" s="40" t="str">
        <f>IF(DaybyDay[[#This Row],[Admin Hours]]&gt;0,DaybyDay[[#This Row],[Admin Hours]]*$AM$2+$AM$3,"")</f>
        <v/>
      </c>
      <c r="AN287" s="40">
        <f>SUMIFS(DaybyDay[Est-Admin-Payroll],DaybyDay[Date],"&gt;="&amp;$C$5,DaybyDay[RowYear],"&gt;="&amp;$C$4,DaybyDay[Date],"&lt;="&amp;DaybyDay[[#This Row],[Date]])</f>
        <v>0</v>
      </c>
      <c r="AO287" s="41" t="str">
        <f>IF(AND(DaybyDay[[#This Row],[_Space]],ISNUMBER(DaybyDay[[#This Row],[Admin Hours]])),DaybyDay[[#This Row],[Est-Admin-Payroll]]/(DaybyDay[[#This Row],[Service-Actuals]]+DaybyDay[[#This Row],[Retail-Actuals]]),"")</f>
        <v/>
      </c>
      <c r="AP287" s="41" t="e">
        <f>DaybyDay[[#This Row],[Estimated-Payroll-Rollup]]/DaybyDay[[#This Row],[Simple-Forecast]]</f>
        <v>#DIV/0!</v>
      </c>
      <c r="AQ2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7" s="77"/>
      <c r="AS287" s="40" t="str">
        <f>IF(DaybyDay[[#This Row],[Retail Hours]]&gt;0,DaybyDay[[#This Row],[Retail Hours]]*$AS$2,"")</f>
        <v/>
      </c>
      <c r="AT287" s="40">
        <f>SUMIFS(DaybyDay[Est-Retail-Payroll],DaybyDay[Date],"&gt;="&amp;$C$5,DaybyDay[RowYear],"&gt;="&amp;$C$4,DaybyDay[Date],"&lt;="&amp;DaybyDay[[#This Row],[Date]])</f>
        <v>0</v>
      </c>
      <c r="AU287" s="82" t="str">
        <f>IF(AND(DaybyDay[[#This Row],[_Space]],ISNUMBER(DaybyDay[[#This Row],[Retail Hours]])),DaybyDay[[#This Row],[Est-Retail-Payroll]]/(DaybyDay[[#This Row],[Retail-Actuals]]),"")</f>
        <v/>
      </c>
      <c r="AV287" s="82" t="e">
        <f>DaybyDay[[#This Row],[Est-Retail-PayrollRU]]/DaybyDay[[#This Row],[Simple-Forecast-Retail]]</f>
        <v>#DIV/0!</v>
      </c>
      <c r="AW287" s="8"/>
    </row>
    <row r="288" spans="3:49" hidden="1" x14ac:dyDescent="0.25">
      <c r="C288" s="26" t="str">
        <f>Tools!$C$1</f>
        <v>Example</v>
      </c>
      <c r="D288" s="27" t="s">
        <v>77</v>
      </c>
      <c r="E288" s="28">
        <v>2017</v>
      </c>
      <c r="F288" s="28">
        <f>MATCH(DaybyDay[[#This Row],[RowMonth]],Table3[SummaryMonth],0)</f>
        <v>10</v>
      </c>
      <c r="G288" s="29" t="e">
        <f>MATCH(DaybyDay[[#This Row],[LY-Date]],DaybyDay[Date],0)</f>
        <v>#N/A</v>
      </c>
      <c r="H288" s="30">
        <f>WEEKDAY(DaybyDay[[#This Row],[Date]])</f>
        <v>2</v>
      </c>
      <c r="I288" s="31">
        <v>43017</v>
      </c>
      <c r="J288" s="74">
        <v>19</v>
      </c>
      <c r="K288" s="32">
        <f>SUMIFS(BudgetSeasonality[365 Seasonality],BudgetSeasonality[MonthAdjustment],DaybyDay[[#This Row],[Date]])*SUMIFS(Budgets[Service-Budget],Budgets[BudgetMonth],DaybyDay[[#This Row],[RowMonth]],Budgets[BudgetYear],DaybyDay[[#This Row],[RowYear]])</f>
        <v>0</v>
      </c>
      <c r="L288" s="75">
        <v>2887</v>
      </c>
      <c r="M288" s="32">
        <f>INDEX(BudgetSeasonality[365 Seasonality],MATCH(DaybyDay[[#This Row],[Date]],BudgetSeasonality[MonthAdjustment],0))*SUMIFS(Budgets[Retail-Budget],Budgets[BudgetMonth],DaybyDay[[#This Row],[RowMonth]],Budgets[BudgetYear],DaybyDay[[#This Row],[RowYear]])</f>
        <v>0</v>
      </c>
      <c r="N288" s="75">
        <v>0</v>
      </c>
      <c r="O288" s="33">
        <f>SUMIFS(DaybyDay[Service-Budgets],DaybyDay[Date],"&gt;="&amp;$C$5,DaybyDay[RowYear],"&gt;="&amp;$C$4,DaybyDay[Date],"&lt;="&amp;DaybyDay[[#This Row],[Date]])</f>
        <v>0</v>
      </c>
      <c r="P288" s="33">
        <f>SUMIFS(DaybyDay[Retail-Budgets],DaybyDay[Date],"&gt;="&amp;$C$5,DaybyDay[RowYear],"&gt;="&amp;$C$4,DaybyDay[Date],"&lt;="&amp;DaybyDay[[#This Row],[Date]])</f>
        <v>0</v>
      </c>
      <c r="Q288" s="34">
        <f>SUMIFS(DaybyDay[Service-Actuals],DaybyDay[Date],"&gt;="&amp;$C$5,DaybyDay[RowYear],"&gt;="&amp;$C$4,DaybyDay[Date],"&lt;="&amp;DaybyDay[[#This Row],[Date]])</f>
        <v>0</v>
      </c>
      <c r="R288" s="34">
        <f>SUMIFS(DaybyDay[Retail-Actuals],DaybyDay[Date],"&gt;="&amp;$C$5,DaybyDay[RowYear],"&gt;="&amp;$C$4,DaybyDay[Date],"&lt;="&amp;DaybyDay[[#This Row],[Date]])</f>
        <v>0</v>
      </c>
      <c r="S288" s="35">
        <f>SUMIFS(DaybyDay[Service-LY],DaybyDay[Date],"&gt;="&amp;$C$5,DaybyDay[RowYear],"&gt;="&amp;$C$4,DaybyDay[Date],"&lt;="&amp;DaybyDay[[#This Row],[Date]])</f>
        <v>0</v>
      </c>
      <c r="T288" s="35">
        <f>SUMIFS(DaybyDay[Retail-LY],DaybyDay[Date],"&gt;="&amp;$C$5,DaybyDay[RowYear],"&gt;="&amp;$C$4,DaybyDay[Date],"&lt;="&amp;DaybyDay[[#This Row],[Date]])</f>
        <v>0</v>
      </c>
      <c r="U288" s="32">
        <f>DaybyDay[[#This Row],[Serv-Bud-RU]]+DaybyDay[[#This Row],[Ret-Bud-RU]]</f>
        <v>0</v>
      </c>
      <c r="V288" s="32">
        <f>DaybyDay[[#This Row],[Serv-Act-RU]]+DaybyDay[[#This Row],[Ret-Act-RU]]</f>
        <v>0</v>
      </c>
      <c r="W288" s="36">
        <f>IF(DaybyDay[[#This Row],[_Space]],IFERROR(
((DaybyDay[[#This Row],[Actual-Rollup]]-DaybyDay[[#This Row],[Budget-Rollup]])/DaybyDay[[#This Row],[Budget-Rollup]]),0),"")</f>
        <v>0</v>
      </c>
      <c r="X288" t="b">
        <f>NOT(AND(ISBLANK(DaybyDay[[#This Row],[Appts]]),ISBLANK(DaybyDay[[#This Row],[Service-Actuals]]),ISBLANK(DaybyDay[[#This Row],[Retail-Actuals]])))</f>
        <v>1</v>
      </c>
      <c r="Y288" s="36">
        <f>IF(DaybyDay[[#This Row],[_Space]],IFERROR(
((DaybyDay[[#This Row],[Actual-Rollup]]-DaybyDay[[#This Row],[LY-Rollup]])/DaybyDay[[#This Row],[LY-Rollup]]),0),"")</f>
        <v>0</v>
      </c>
      <c r="Z288"/>
      <c r="AA288" s="37" t="e">
        <f>IF(DaybyDay[[#This Row],[_Space]],DaybyDay[[#This Row],[Ret-Act-RU]]/DaybyDay[[#This Row],[Serv-Act-RU]],"")</f>
        <v>#DIV/0!</v>
      </c>
      <c r="AB288" s="50" t="e">
        <f>IF(DaybyDay[[#This Row],[_Space]],DaybyDay[[#This Row],[RETPEN-Act]]/DaybyDay[[#This Row],[RETPEN-Bud]],"")</f>
        <v>#DIV/0!</v>
      </c>
      <c r="AC288" s="37" t="e">
        <f>IF(DaybyDay[[#This Row],[_Space]],DaybyDay[[#This Row],[Ret-Bud-RU]]/DaybyDay[[#This Row],[Serv-Bud-RU]],"")</f>
        <v>#DIV/0!</v>
      </c>
      <c r="AD288" s="37" t="e">
        <f>IF(DaybyDay[[#This Row],[_Space]],DaybyDay[[#This Row],[Ret-LY-RU]]/DaybyDay[[#This Row],[Serv-LY-RU]],"")</f>
        <v>#DIV/0!</v>
      </c>
      <c r="AE288" s="30">
        <f>WEEKDAY(DaybyDay[[#This Row],[LY-Date]])</f>
        <v>2</v>
      </c>
      <c r="AF288" s="38">
        <f>$E$2+_xlfn.DAYS(DaybyDay[[#This Row],[Date]],minDate)</f>
        <v>42653</v>
      </c>
      <c r="AG288" s="39" t="str" cm="1">
        <f t="array" ref="AG288">IFERROR(INDEX(DaybyDay[],DaybyDay[[#This Row],[FORM_MATCH_HELPER]],8),"")</f>
        <v/>
      </c>
      <c r="AH288" s="39" t="str" cm="1">
        <f t="array" ref="AH288">IFERROR(INDEX(DaybyDay[],DaybyDay[[#This Row],[FORM_MATCH_HELPER]],10),"")</f>
        <v/>
      </c>
      <c r="AI288" s="39" t="str" cm="1">
        <f t="array" ref="AI288">IFERROR(INDEX(DaybyDay[],DaybyDay[[#This Row],[FORM_MATCH_HELPER]],12),"")</f>
        <v/>
      </c>
      <c r="AJ288" s="32">
        <f>IFERROR(DaybyDay[[#This Row],[Serv-LY-RU]]+DaybyDay[[#This Row],[Ret-LY-RU]],"")</f>
        <v>0</v>
      </c>
      <c r="AK2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8" s="77"/>
      <c r="AM288" s="40" t="str">
        <f>IF(DaybyDay[[#This Row],[Admin Hours]]&gt;0,DaybyDay[[#This Row],[Admin Hours]]*$AM$2+$AM$3,"")</f>
        <v/>
      </c>
      <c r="AN288" s="40">
        <f>SUMIFS(DaybyDay[Est-Admin-Payroll],DaybyDay[Date],"&gt;="&amp;$C$5,DaybyDay[RowYear],"&gt;="&amp;$C$4,DaybyDay[Date],"&lt;="&amp;DaybyDay[[#This Row],[Date]])</f>
        <v>0</v>
      </c>
      <c r="AO288" s="41" t="str">
        <f>IF(AND(DaybyDay[[#This Row],[_Space]],ISNUMBER(DaybyDay[[#This Row],[Admin Hours]])),DaybyDay[[#This Row],[Est-Admin-Payroll]]/(DaybyDay[[#This Row],[Service-Actuals]]+DaybyDay[[#This Row],[Retail-Actuals]]),"")</f>
        <v/>
      </c>
      <c r="AP288" s="41" t="e">
        <f>DaybyDay[[#This Row],[Estimated-Payroll-Rollup]]/DaybyDay[[#This Row],[Simple-Forecast]]</f>
        <v>#DIV/0!</v>
      </c>
      <c r="AQ2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8" s="77"/>
      <c r="AS288" s="40" t="str">
        <f>IF(DaybyDay[[#This Row],[Retail Hours]]&gt;0,DaybyDay[[#This Row],[Retail Hours]]*$AS$2,"")</f>
        <v/>
      </c>
      <c r="AT288" s="40">
        <f>SUMIFS(DaybyDay[Est-Retail-Payroll],DaybyDay[Date],"&gt;="&amp;$C$5,DaybyDay[RowYear],"&gt;="&amp;$C$4,DaybyDay[Date],"&lt;="&amp;DaybyDay[[#This Row],[Date]])</f>
        <v>0</v>
      </c>
      <c r="AU288" s="82" t="str">
        <f>IF(AND(DaybyDay[[#This Row],[_Space]],ISNUMBER(DaybyDay[[#This Row],[Retail Hours]])),DaybyDay[[#This Row],[Est-Retail-Payroll]]/(DaybyDay[[#This Row],[Retail-Actuals]]),"")</f>
        <v/>
      </c>
      <c r="AV288" s="82" t="e">
        <f>DaybyDay[[#This Row],[Est-Retail-PayrollRU]]/DaybyDay[[#This Row],[Simple-Forecast-Retail]]</f>
        <v>#DIV/0!</v>
      </c>
      <c r="AW288" s="8"/>
    </row>
    <row r="289" spans="3:49" hidden="1" x14ac:dyDescent="0.25">
      <c r="C289" s="26" t="str">
        <f>Tools!$C$1</f>
        <v>Example</v>
      </c>
      <c r="D289" s="27" t="s">
        <v>77</v>
      </c>
      <c r="E289" s="28">
        <v>2017</v>
      </c>
      <c r="F289" s="28">
        <f>MATCH(DaybyDay[[#This Row],[RowMonth]],Table3[SummaryMonth],0)</f>
        <v>10</v>
      </c>
      <c r="G289" s="29" t="e">
        <f>MATCH(DaybyDay[[#This Row],[LY-Date]],DaybyDay[Date],0)</f>
        <v>#N/A</v>
      </c>
      <c r="H289" s="30">
        <f>WEEKDAY(DaybyDay[[#This Row],[Date]])</f>
        <v>3</v>
      </c>
      <c r="I289" s="31">
        <v>43018</v>
      </c>
      <c r="J289" s="74">
        <v>16</v>
      </c>
      <c r="K289" s="32">
        <f>SUMIFS(BudgetSeasonality[365 Seasonality],BudgetSeasonality[MonthAdjustment],DaybyDay[[#This Row],[Date]])*SUMIFS(Budgets[Service-Budget],Budgets[BudgetMonth],DaybyDay[[#This Row],[RowMonth]],Budgets[BudgetYear],DaybyDay[[#This Row],[RowYear]])</f>
        <v>0</v>
      </c>
      <c r="L289" s="75">
        <v>3547.93</v>
      </c>
      <c r="M289" s="32">
        <f>INDEX(BudgetSeasonality[365 Seasonality],MATCH(DaybyDay[[#This Row],[Date]],BudgetSeasonality[MonthAdjustment],0))*SUMIFS(Budgets[Retail-Budget],Budgets[BudgetMonth],DaybyDay[[#This Row],[RowMonth]],Budgets[BudgetYear],DaybyDay[[#This Row],[RowYear]])</f>
        <v>0</v>
      </c>
      <c r="N289" s="75">
        <v>1158.32</v>
      </c>
      <c r="O289" s="33">
        <f>SUMIFS(DaybyDay[Service-Budgets],DaybyDay[Date],"&gt;="&amp;$C$5,DaybyDay[RowYear],"&gt;="&amp;$C$4,DaybyDay[Date],"&lt;="&amp;DaybyDay[[#This Row],[Date]])</f>
        <v>0</v>
      </c>
      <c r="P289" s="33">
        <f>SUMIFS(DaybyDay[Retail-Budgets],DaybyDay[Date],"&gt;="&amp;$C$5,DaybyDay[RowYear],"&gt;="&amp;$C$4,DaybyDay[Date],"&lt;="&amp;DaybyDay[[#This Row],[Date]])</f>
        <v>0</v>
      </c>
      <c r="Q289" s="34">
        <f>SUMIFS(DaybyDay[Service-Actuals],DaybyDay[Date],"&gt;="&amp;$C$5,DaybyDay[RowYear],"&gt;="&amp;$C$4,DaybyDay[Date],"&lt;="&amp;DaybyDay[[#This Row],[Date]])</f>
        <v>0</v>
      </c>
      <c r="R289" s="34">
        <f>SUMIFS(DaybyDay[Retail-Actuals],DaybyDay[Date],"&gt;="&amp;$C$5,DaybyDay[RowYear],"&gt;="&amp;$C$4,DaybyDay[Date],"&lt;="&amp;DaybyDay[[#This Row],[Date]])</f>
        <v>0</v>
      </c>
      <c r="S289" s="35">
        <f>SUMIFS(DaybyDay[Service-LY],DaybyDay[Date],"&gt;="&amp;$C$5,DaybyDay[RowYear],"&gt;="&amp;$C$4,DaybyDay[Date],"&lt;="&amp;DaybyDay[[#This Row],[Date]])</f>
        <v>0</v>
      </c>
      <c r="T289" s="35">
        <f>SUMIFS(DaybyDay[Retail-LY],DaybyDay[Date],"&gt;="&amp;$C$5,DaybyDay[RowYear],"&gt;="&amp;$C$4,DaybyDay[Date],"&lt;="&amp;DaybyDay[[#This Row],[Date]])</f>
        <v>0</v>
      </c>
      <c r="U289" s="32">
        <f>DaybyDay[[#This Row],[Serv-Bud-RU]]+DaybyDay[[#This Row],[Ret-Bud-RU]]</f>
        <v>0</v>
      </c>
      <c r="V289" s="32">
        <f>DaybyDay[[#This Row],[Serv-Act-RU]]+DaybyDay[[#This Row],[Ret-Act-RU]]</f>
        <v>0</v>
      </c>
      <c r="W289" s="36">
        <f>IF(DaybyDay[[#This Row],[_Space]],IFERROR(
((DaybyDay[[#This Row],[Actual-Rollup]]-DaybyDay[[#This Row],[Budget-Rollup]])/DaybyDay[[#This Row],[Budget-Rollup]]),0),"")</f>
        <v>0</v>
      </c>
      <c r="X289" t="b">
        <f>NOT(AND(ISBLANK(DaybyDay[[#This Row],[Appts]]),ISBLANK(DaybyDay[[#This Row],[Service-Actuals]]),ISBLANK(DaybyDay[[#This Row],[Retail-Actuals]])))</f>
        <v>1</v>
      </c>
      <c r="Y289" s="36">
        <f>IF(DaybyDay[[#This Row],[_Space]],IFERROR(
((DaybyDay[[#This Row],[Actual-Rollup]]-DaybyDay[[#This Row],[LY-Rollup]])/DaybyDay[[#This Row],[LY-Rollup]]),0),"")</f>
        <v>0</v>
      </c>
      <c r="Z289"/>
      <c r="AA289" s="37" t="e">
        <f>IF(DaybyDay[[#This Row],[_Space]],DaybyDay[[#This Row],[Ret-Act-RU]]/DaybyDay[[#This Row],[Serv-Act-RU]],"")</f>
        <v>#DIV/0!</v>
      </c>
      <c r="AB289" s="50" t="e">
        <f>IF(DaybyDay[[#This Row],[_Space]],DaybyDay[[#This Row],[RETPEN-Act]]/DaybyDay[[#This Row],[RETPEN-Bud]],"")</f>
        <v>#DIV/0!</v>
      </c>
      <c r="AC289" s="37" t="e">
        <f>IF(DaybyDay[[#This Row],[_Space]],DaybyDay[[#This Row],[Ret-Bud-RU]]/DaybyDay[[#This Row],[Serv-Bud-RU]],"")</f>
        <v>#DIV/0!</v>
      </c>
      <c r="AD289" s="37" t="e">
        <f>IF(DaybyDay[[#This Row],[_Space]],DaybyDay[[#This Row],[Ret-LY-RU]]/DaybyDay[[#This Row],[Serv-LY-RU]],"")</f>
        <v>#DIV/0!</v>
      </c>
      <c r="AE289" s="30">
        <f>WEEKDAY(DaybyDay[[#This Row],[LY-Date]])</f>
        <v>3</v>
      </c>
      <c r="AF289" s="38">
        <f>$E$2+_xlfn.DAYS(DaybyDay[[#This Row],[Date]],minDate)</f>
        <v>42654</v>
      </c>
      <c r="AG289" s="39" t="str" cm="1">
        <f t="array" ref="AG289">IFERROR(INDEX(DaybyDay[],DaybyDay[[#This Row],[FORM_MATCH_HELPER]],8),"")</f>
        <v/>
      </c>
      <c r="AH289" s="39" t="str" cm="1">
        <f t="array" ref="AH289">IFERROR(INDEX(DaybyDay[],DaybyDay[[#This Row],[FORM_MATCH_HELPER]],10),"")</f>
        <v/>
      </c>
      <c r="AI289" s="39" t="str" cm="1">
        <f t="array" ref="AI289">IFERROR(INDEX(DaybyDay[],DaybyDay[[#This Row],[FORM_MATCH_HELPER]],12),"")</f>
        <v/>
      </c>
      <c r="AJ289" s="32">
        <f>IFERROR(DaybyDay[[#This Row],[Serv-LY-RU]]+DaybyDay[[#This Row],[Ret-LY-RU]],"")</f>
        <v>0</v>
      </c>
      <c r="AK2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89" s="77"/>
      <c r="AM289" s="40" t="str">
        <f>IF(DaybyDay[[#This Row],[Admin Hours]]&gt;0,DaybyDay[[#This Row],[Admin Hours]]*$AM$2+$AM$3,"")</f>
        <v/>
      </c>
      <c r="AN289" s="40">
        <f>SUMIFS(DaybyDay[Est-Admin-Payroll],DaybyDay[Date],"&gt;="&amp;$C$5,DaybyDay[RowYear],"&gt;="&amp;$C$4,DaybyDay[Date],"&lt;="&amp;DaybyDay[[#This Row],[Date]])</f>
        <v>0</v>
      </c>
      <c r="AO289" s="41" t="str">
        <f>IF(AND(DaybyDay[[#This Row],[_Space]],ISNUMBER(DaybyDay[[#This Row],[Admin Hours]])),DaybyDay[[#This Row],[Est-Admin-Payroll]]/(DaybyDay[[#This Row],[Service-Actuals]]+DaybyDay[[#This Row],[Retail-Actuals]]),"")</f>
        <v/>
      </c>
      <c r="AP289" s="41" t="e">
        <f>DaybyDay[[#This Row],[Estimated-Payroll-Rollup]]/DaybyDay[[#This Row],[Simple-Forecast]]</f>
        <v>#DIV/0!</v>
      </c>
      <c r="AQ2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89" s="77"/>
      <c r="AS289" s="40" t="str">
        <f>IF(DaybyDay[[#This Row],[Retail Hours]]&gt;0,DaybyDay[[#This Row],[Retail Hours]]*$AS$2,"")</f>
        <v/>
      </c>
      <c r="AT289" s="40">
        <f>SUMIFS(DaybyDay[Est-Retail-Payroll],DaybyDay[Date],"&gt;="&amp;$C$5,DaybyDay[RowYear],"&gt;="&amp;$C$4,DaybyDay[Date],"&lt;="&amp;DaybyDay[[#This Row],[Date]])</f>
        <v>0</v>
      </c>
      <c r="AU289" s="82" t="str">
        <f>IF(AND(DaybyDay[[#This Row],[_Space]],ISNUMBER(DaybyDay[[#This Row],[Retail Hours]])),DaybyDay[[#This Row],[Est-Retail-Payroll]]/(DaybyDay[[#This Row],[Retail-Actuals]]),"")</f>
        <v/>
      </c>
      <c r="AV289" s="82" t="e">
        <f>DaybyDay[[#This Row],[Est-Retail-PayrollRU]]/DaybyDay[[#This Row],[Simple-Forecast-Retail]]</f>
        <v>#DIV/0!</v>
      </c>
      <c r="AW289" s="8"/>
    </row>
    <row r="290" spans="3:49" hidden="1" x14ac:dyDescent="0.25">
      <c r="C290" s="26" t="str">
        <f>Tools!$C$1</f>
        <v>Example</v>
      </c>
      <c r="D290" s="27" t="s">
        <v>77</v>
      </c>
      <c r="E290" s="28">
        <v>2017</v>
      </c>
      <c r="F290" s="28">
        <f>MATCH(DaybyDay[[#This Row],[RowMonth]],Table3[SummaryMonth],0)</f>
        <v>10</v>
      </c>
      <c r="G290" s="29" t="e">
        <f>MATCH(DaybyDay[[#This Row],[LY-Date]],DaybyDay[Date],0)</f>
        <v>#N/A</v>
      </c>
      <c r="H290" s="30">
        <f>WEEKDAY(DaybyDay[[#This Row],[Date]])</f>
        <v>4</v>
      </c>
      <c r="I290" s="31">
        <v>43019</v>
      </c>
      <c r="J290" s="74">
        <v>22</v>
      </c>
      <c r="K290" s="32">
        <f>SUMIFS(BudgetSeasonality[365 Seasonality],BudgetSeasonality[MonthAdjustment],DaybyDay[[#This Row],[Date]])*SUMIFS(Budgets[Service-Budget],Budgets[BudgetMonth],DaybyDay[[#This Row],[RowMonth]],Budgets[BudgetYear],DaybyDay[[#This Row],[RowYear]])</f>
        <v>0</v>
      </c>
      <c r="L290" s="75">
        <v>4134.8</v>
      </c>
      <c r="M290" s="32">
        <f>INDEX(BudgetSeasonality[365 Seasonality],MATCH(DaybyDay[[#This Row],[Date]],BudgetSeasonality[MonthAdjustment],0))*SUMIFS(Budgets[Retail-Budget],Budgets[BudgetMonth],DaybyDay[[#This Row],[RowMonth]],Budgets[BudgetYear],DaybyDay[[#This Row],[RowYear]])</f>
        <v>0</v>
      </c>
      <c r="N290" s="75">
        <v>1370.2</v>
      </c>
      <c r="O290" s="33">
        <f>SUMIFS(DaybyDay[Service-Budgets],DaybyDay[Date],"&gt;="&amp;$C$5,DaybyDay[RowYear],"&gt;="&amp;$C$4,DaybyDay[Date],"&lt;="&amp;DaybyDay[[#This Row],[Date]])</f>
        <v>0</v>
      </c>
      <c r="P290" s="33">
        <f>SUMIFS(DaybyDay[Retail-Budgets],DaybyDay[Date],"&gt;="&amp;$C$5,DaybyDay[RowYear],"&gt;="&amp;$C$4,DaybyDay[Date],"&lt;="&amp;DaybyDay[[#This Row],[Date]])</f>
        <v>0</v>
      </c>
      <c r="Q290" s="34">
        <f>SUMIFS(DaybyDay[Service-Actuals],DaybyDay[Date],"&gt;="&amp;$C$5,DaybyDay[RowYear],"&gt;="&amp;$C$4,DaybyDay[Date],"&lt;="&amp;DaybyDay[[#This Row],[Date]])</f>
        <v>0</v>
      </c>
      <c r="R290" s="34">
        <f>SUMIFS(DaybyDay[Retail-Actuals],DaybyDay[Date],"&gt;="&amp;$C$5,DaybyDay[RowYear],"&gt;="&amp;$C$4,DaybyDay[Date],"&lt;="&amp;DaybyDay[[#This Row],[Date]])</f>
        <v>0</v>
      </c>
      <c r="S290" s="35">
        <f>SUMIFS(DaybyDay[Service-LY],DaybyDay[Date],"&gt;="&amp;$C$5,DaybyDay[RowYear],"&gt;="&amp;$C$4,DaybyDay[Date],"&lt;="&amp;DaybyDay[[#This Row],[Date]])</f>
        <v>0</v>
      </c>
      <c r="T290" s="35">
        <f>SUMIFS(DaybyDay[Retail-LY],DaybyDay[Date],"&gt;="&amp;$C$5,DaybyDay[RowYear],"&gt;="&amp;$C$4,DaybyDay[Date],"&lt;="&amp;DaybyDay[[#This Row],[Date]])</f>
        <v>0</v>
      </c>
      <c r="U290" s="32">
        <f>DaybyDay[[#This Row],[Serv-Bud-RU]]+DaybyDay[[#This Row],[Ret-Bud-RU]]</f>
        <v>0</v>
      </c>
      <c r="V290" s="32">
        <f>DaybyDay[[#This Row],[Serv-Act-RU]]+DaybyDay[[#This Row],[Ret-Act-RU]]</f>
        <v>0</v>
      </c>
      <c r="W290" s="36">
        <f>IF(DaybyDay[[#This Row],[_Space]],IFERROR(
((DaybyDay[[#This Row],[Actual-Rollup]]-DaybyDay[[#This Row],[Budget-Rollup]])/DaybyDay[[#This Row],[Budget-Rollup]]),0),"")</f>
        <v>0</v>
      </c>
      <c r="X290" t="b">
        <f>NOT(AND(ISBLANK(DaybyDay[[#This Row],[Appts]]),ISBLANK(DaybyDay[[#This Row],[Service-Actuals]]),ISBLANK(DaybyDay[[#This Row],[Retail-Actuals]])))</f>
        <v>1</v>
      </c>
      <c r="Y290" s="36">
        <f>IF(DaybyDay[[#This Row],[_Space]],IFERROR(
((DaybyDay[[#This Row],[Actual-Rollup]]-DaybyDay[[#This Row],[LY-Rollup]])/DaybyDay[[#This Row],[LY-Rollup]]),0),"")</f>
        <v>0</v>
      </c>
      <c r="Z290"/>
      <c r="AA290" s="37" t="e">
        <f>IF(DaybyDay[[#This Row],[_Space]],DaybyDay[[#This Row],[Ret-Act-RU]]/DaybyDay[[#This Row],[Serv-Act-RU]],"")</f>
        <v>#DIV/0!</v>
      </c>
      <c r="AB290" s="50" t="e">
        <f>IF(DaybyDay[[#This Row],[_Space]],DaybyDay[[#This Row],[RETPEN-Act]]/DaybyDay[[#This Row],[RETPEN-Bud]],"")</f>
        <v>#DIV/0!</v>
      </c>
      <c r="AC290" s="37" t="e">
        <f>IF(DaybyDay[[#This Row],[_Space]],DaybyDay[[#This Row],[Ret-Bud-RU]]/DaybyDay[[#This Row],[Serv-Bud-RU]],"")</f>
        <v>#DIV/0!</v>
      </c>
      <c r="AD290" s="37" t="e">
        <f>IF(DaybyDay[[#This Row],[_Space]],DaybyDay[[#This Row],[Ret-LY-RU]]/DaybyDay[[#This Row],[Serv-LY-RU]],"")</f>
        <v>#DIV/0!</v>
      </c>
      <c r="AE290" s="30">
        <f>WEEKDAY(DaybyDay[[#This Row],[LY-Date]])</f>
        <v>4</v>
      </c>
      <c r="AF290" s="38">
        <f>$E$2+_xlfn.DAYS(DaybyDay[[#This Row],[Date]],minDate)</f>
        <v>42655</v>
      </c>
      <c r="AG290" s="39" t="str" cm="1">
        <f t="array" ref="AG290">IFERROR(INDEX(DaybyDay[],DaybyDay[[#This Row],[FORM_MATCH_HELPER]],8),"")</f>
        <v/>
      </c>
      <c r="AH290" s="39" t="str" cm="1">
        <f t="array" ref="AH290">IFERROR(INDEX(DaybyDay[],DaybyDay[[#This Row],[FORM_MATCH_HELPER]],10),"")</f>
        <v/>
      </c>
      <c r="AI290" s="39" t="str" cm="1">
        <f t="array" ref="AI290">IFERROR(INDEX(DaybyDay[],DaybyDay[[#This Row],[FORM_MATCH_HELPER]],12),"")</f>
        <v/>
      </c>
      <c r="AJ290" s="32">
        <f>IFERROR(DaybyDay[[#This Row],[Serv-LY-RU]]+DaybyDay[[#This Row],[Ret-LY-RU]],"")</f>
        <v>0</v>
      </c>
      <c r="AK2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0" s="77"/>
      <c r="AM290" s="40" t="str">
        <f>IF(DaybyDay[[#This Row],[Admin Hours]]&gt;0,DaybyDay[[#This Row],[Admin Hours]]*$AM$2+$AM$3,"")</f>
        <v/>
      </c>
      <c r="AN290" s="40">
        <f>SUMIFS(DaybyDay[Est-Admin-Payroll],DaybyDay[Date],"&gt;="&amp;$C$5,DaybyDay[RowYear],"&gt;="&amp;$C$4,DaybyDay[Date],"&lt;="&amp;DaybyDay[[#This Row],[Date]])</f>
        <v>0</v>
      </c>
      <c r="AO290" s="41" t="str">
        <f>IF(AND(DaybyDay[[#This Row],[_Space]],ISNUMBER(DaybyDay[[#This Row],[Admin Hours]])),DaybyDay[[#This Row],[Est-Admin-Payroll]]/(DaybyDay[[#This Row],[Service-Actuals]]+DaybyDay[[#This Row],[Retail-Actuals]]),"")</f>
        <v/>
      </c>
      <c r="AP290" s="41" t="e">
        <f>DaybyDay[[#This Row],[Estimated-Payroll-Rollup]]/DaybyDay[[#This Row],[Simple-Forecast]]</f>
        <v>#DIV/0!</v>
      </c>
      <c r="AQ2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0" s="77"/>
      <c r="AS290" s="40" t="str">
        <f>IF(DaybyDay[[#This Row],[Retail Hours]]&gt;0,DaybyDay[[#This Row],[Retail Hours]]*$AS$2,"")</f>
        <v/>
      </c>
      <c r="AT290" s="40">
        <f>SUMIFS(DaybyDay[Est-Retail-Payroll],DaybyDay[Date],"&gt;="&amp;$C$5,DaybyDay[RowYear],"&gt;="&amp;$C$4,DaybyDay[Date],"&lt;="&amp;DaybyDay[[#This Row],[Date]])</f>
        <v>0</v>
      </c>
      <c r="AU290" s="82" t="str">
        <f>IF(AND(DaybyDay[[#This Row],[_Space]],ISNUMBER(DaybyDay[[#This Row],[Retail Hours]])),DaybyDay[[#This Row],[Est-Retail-Payroll]]/(DaybyDay[[#This Row],[Retail-Actuals]]),"")</f>
        <v/>
      </c>
      <c r="AV290" s="82" t="e">
        <f>DaybyDay[[#This Row],[Est-Retail-PayrollRU]]/DaybyDay[[#This Row],[Simple-Forecast-Retail]]</f>
        <v>#DIV/0!</v>
      </c>
      <c r="AW290" s="8"/>
    </row>
    <row r="291" spans="3:49" hidden="1" x14ac:dyDescent="0.25">
      <c r="C291" s="26" t="str">
        <f>Tools!$C$1</f>
        <v>Example</v>
      </c>
      <c r="D291" s="27" t="s">
        <v>77</v>
      </c>
      <c r="E291" s="28">
        <v>2017</v>
      </c>
      <c r="F291" s="28">
        <f>MATCH(DaybyDay[[#This Row],[RowMonth]],Table3[SummaryMonth],0)</f>
        <v>10</v>
      </c>
      <c r="G291" s="29" t="e">
        <f>MATCH(DaybyDay[[#This Row],[LY-Date]],DaybyDay[Date],0)</f>
        <v>#N/A</v>
      </c>
      <c r="H291" s="30">
        <f>WEEKDAY(DaybyDay[[#This Row],[Date]])</f>
        <v>5</v>
      </c>
      <c r="I291" s="31">
        <v>43020</v>
      </c>
      <c r="J291" s="74">
        <v>19</v>
      </c>
      <c r="K291" s="32">
        <f>SUMIFS(BudgetSeasonality[365 Seasonality],BudgetSeasonality[MonthAdjustment],DaybyDay[[#This Row],[Date]])*SUMIFS(Budgets[Service-Budget],Budgets[BudgetMonth],DaybyDay[[#This Row],[RowMonth]],Budgets[BudgetYear],DaybyDay[[#This Row],[RowYear]])</f>
        <v>0</v>
      </c>
      <c r="L291" s="75">
        <v>3958.2</v>
      </c>
      <c r="M291" s="32">
        <f>INDEX(BudgetSeasonality[365 Seasonality],MATCH(DaybyDay[[#This Row],[Date]],BudgetSeasonality[MonthAdjustment],0))*SUMIFS(Budgets[Retail-Budget],Budgets[BudgetMonth],DaybyDay[[#This Row],[RowMonth]],Budgets[BudgetYear],DaybyDay[[#This Row],[RowYear]])</f>
        <v>0</v>
      </c>
      <c r="N291" s="75">
        <v>791.39</v>
      </c>
      <c r="O291" s="33">
        <f>SUMIFS(DaybyDay[Service-Budgets],DaybyDay[Date],"&gt;="&amp;$C$5,DaybyDay[RowYear],"&gt;="&amp;$C$4,DaybyDay[Date],"&lt;="&amp;DaybyDay[[#This Row],[Date]])</f>
        <v>0</v>
      </c>
      <c r="P291" s="33">
        <f>SUMIFS(DaybyDay[Retail-Budgets],DaybyDay[Date],"&gt;="&amp;$C$5,DaybyDay[RowYear],"&gt;="&amp;$C$4,DaybyDay[Date],"&lt;="&amp;DaybyDay[[#This Row],[Date]])</f>
        <v>0</v>
      </c>
      <c r="Q291" s="34">
        <f>SUMIFS(DaybyDay[Service-Actuals],DaybyDay[Date],"&gt;="&amp;$C$5,DaybyDay[RowYear],"&gt;="&amp;$C$4,DaybyDay[Date],"&lt;="&amp;DaybyDay[[#This Row],[Date]])</f>
        <v>0</v>
      </c>
      <c r="R291" s="34">
        <f>SUMIFS(DaybyDay[Retail-Actuals],DaybyDay[Date],"&gt;="&amp;$C$5,DaybyDay[RowYear],"&gt;="&amp;$C$4,DaybyDay[Date],"&lt;="&amp;DaybyDay[[#This Row],[Date]])</f>
        <v>0</v>
      </c>
      <c r="S291" s="35">
        <f>SUMIFS(DaybyDay[Service-LY],DaybyDay[Date],"&gt;="&amp;$C$5,DaybyDay[RowYear],"&gt;="&amp;$C$4,DaybyDay[Date],"&lt;="&amp;DaybyDay[[#This Row],[Date]])</f>
        <v>0</v>
      </c>
      <c r="T291" s="35">
        <f>SUMIFS(DaybyDay[Retail-LY],DaybyDay[Date],"&gt;="&amp;$C$5,DaybyDay[RowYear],"&gt;="&amp;$C$4,DaybyDay[Date],"&lt;="&amp;DaybyDay[[#This Row],[Date]])</f>
        <v>0</v>
      </c>
      <c r="U291" s="32">
        <f>DaybyDay[[#This Row],[Serv-Bud-RU]]+DaybyDay[[#This Row],[Ret-Bud-RU]]</f>
        <v>0</v>
      </c>
      <c r="V291" s="32">
        <f>DaybyDay[[#This Row],[Serv-Act-RU]]+DaybyDay[[#This Row],[Ret-Act-RU]]</f>
        <v>0</v>
      </c>
      <c r="W291" s="36">
        <f>IF(DaybyDay[[#This Row],[_Space]],IFERROR(
((DaybyDay[[#This Row],[Actual-Rollup]]-DaybyDay[[#This Row],[Budget-Rollup]])/DaybyDay[[#This Row],[Budget-Rollup]]),0),"")</f>
        <v>0</v>
      </c>
      <c r="X291" t="b">
        <f>NOT(AND(ISBLANK(DaybyDay[[#This Row],[Appts]]),ISBLANK(DaybyDay[[#This Row],[Service-Actuals]]),ISBLANK(DaybyDay[[#This Row],[Retail-Actuals]])))</f>
        <v>1</v>
      </c>
      <c r="Y291" s="36">
        <f>IF(DaybyDay[[#This Row],[_Space]],IFERROR(
((DaybyDay[[#This Row],[Actual-Rollup]]-DaybyDay[[#This Row],[LY-Rollup]])/DaybyDay[[#This Row],[LY-Rollup]]),0),"")</f>
        <v>0</v>
      </c>
      <c r="Z291"/>
      <c r="AA291" s="37" t="e">
        <f>IF(DaybyDay[[#This Row],[_Space]],DaybyDay[[#This Row],[Ret-Act-RU]]/DaybyDay[[#This Row],[Serv-Act-RU]],"")</f>
        <v>#DIV/0!</v>
      </c>
      <c r="AB291" s="50" t="e">
        <f>IF(DaybyDay[[#This Row],[_Space]],DaybyDay[[#This Row],[RETPEN-Act]]/DaybyDay[[#This Row],[RETPEN-Bud]],"")</f>
        <v>#DIV/0!</v>
      </c>
      <c r="AC291" s="37" t="e">
        <f>IF(DaybyDay[[#This Row],[_Space]],DaybyDay[[#This Row],[Ret-Bud-RU]]/DaybyDay[[#This Row],[Serv-Bud-RU]],"")</f>
        <v>#DIV/0!</v>
      </c>
      <c r="AD291" s="37" t="e">
        <f>IF(DaybyDay[[#This Row],[_Space]],DaybyDay[[#This Row],[Ret-LY-RU]]/DaybyDay[[#This Row],[Serv-LY-RU]],"")</f>
        <v>#DIV/0!</v>
      </c>
      <c r="AE291" s="30">
        <f>WEEKDAY(DaybyDay[[#This Row],[LY-Date]])</f>
        <v>5</v>
      </c>
      <c r="AF291" s="38">
        <f>$E$2+_xlfn.DAYS(DaybyDay[[#This Row],[Date]],minDate)</f>
        <v>42656</v>
      </c>
      <c r="AG291" s="39" t="str" cm="1">
        <f t="array" ref="AG291">IFERROR(INDEX(DaybyDay[],DaybyDay[[#This Row],[FORM_MATCH_HELPER]],8),"")</f>
        <v/>
      </c>
      <c r="AH291" s="39" t="str" cm="1">
        <f t="array" ref="AH291">IFERROR(INDEX(DaybyDay[],DaybyDay[[#This Row],[FORM_MATCH_HELPER]],10),"")</f>
        <v/>
      </c>
      <c r="AI291" s="39" t="str" cm="1">
        <f t="array" ref="AI291">IFERROR(INDEX(DaybyDay[],DaybyDay[[#This Row],[FORM_MATCH_HELPER]],12),"")</f>
        <v/>
      </c>
      <c r="AJ291" s="32">
        <f>IFERROR(DaybyDay[[#This Row],[Serv-LY-RU]]+DaybyDay[[#This Row],[Ret-LY-RU]],"")</f>
        <v>0</v>
      </c>
      <c r="AK2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1" s="77"/>
      <c r="AM291" s="40" t="str">
        <f>IF(DaybyDay[[#This Row],[Admin Hours]]&gt;0,DaybyDay[[#This Row],[Admin Hours]]*$AM$2+$AM$3,"")</f>
        <v/>
      </c>
      <c r="AN291" s="40">
        <f>SUMIFS(DaybyDay[Est-Admin-Payroll],DaybyDay[Date],"&gt;="&amp;$C$5,DaybyDay[RowYear],"&gt;="&amp;$C$4,DaybyDay[Date],"&lt;="&amp;DaybyDay[[#This Row],[Date]])</f>
        <v>0</v>
      </c>
      <c r="AO291" s="41" t="str">
        <f>IF(AND(DaybyDay[[#This Row],[_Space]],ISNUMBER(DaybyDay[[#This Row],[Admin Hours]])),DaybyDay[[#This Row],[Est-Admin-Payroll]]/(DaybyDay[[#This Row],[Service-Actuals]]+DaybyDay[[#This Row],[Retail-Actuals]]),"")</f>
        <v/>
      </c>
      <c r="AP291" s="41" t="e">
        <f>DaybyDay[[#This Row],[Estimated-Payroll-Rollup]]/DaybyDay[[#This Row],[Simple-Forecast]]</f>
        <v>#DIV/0!</v>
      </c>
      <c r="AQ2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1" s="77"/>
      <c r="AS291" s="40" t="str">
        <f>IF(DaybyDay[[#This Row],[Retail Hours]]&gt;0,DaybyDay[[#This Row],[Retail Hours]]*$AS$2,"")</f>
        <v/>
      </c>
      <c r="AT291" s="40">
        <f>SUMIFS(DaybyDay[Est-Retail-Payroll],DaybyDay[Date],"&gt;="&amp;$C$5,DaybyDay[RowYear],"&gt;="&amp;$C$4,DaybyDay[Date],"&lt;="&amp;DaybyDay[[#This Row],[Date]])</f>
        <v>0</v>
      </c>
      <c r="AU291" s="82" t="str">
        <f>IF(AND(DaybyDay[[#This Row],[_Space]],ISNUMBER(DaybyDay[[#This Row],[Retail Hours]])),DaybyDay[[#This Row],[Est-Retail-Payroll]]/(DaybyDay[[#This Row],[Retail-Actuals]]),"")</f>
        <v/>
      </c>
      <c r="AV291" s="82" t="e">
        <f>DaybyDay[[#This Row],[Est-Retail-PayrollRU]]/DaybyDay[[#This Row],[Simple-Forecast-Retail]]</f>
        <v>#DIV/0!</v>
      </c>
      <c r="AW291" s="8"/>
    </row>
    <row r="292" spans="3:49" hidden="1" x14ac:dyDescent="0.25">
      <c r="C292" s="26" t="str">
        <f>Tools!$C$1</f>
        <v>Example</v>
      </c>
      <c r="D292" s="27" t="s">
        <v>77</v>
      </c>
      <c r="E292" s="28">
        <v>2017</v>
      </c>
      <c r="F292" s="28">
        <f>MATCH(DaybyDay[[#This Row],[RowMonth]],Table3[SummaryMonth],0)</f>
        <v>10</v>
      </c>
      <c r="G292" s="29" t="e">
        <f>MATCH(DaybyDay[[#This Row],[LY-Date]],DaybyDay[Date],0)</f>
        <v>#N/A</v>
      </c>
      <c r="H292" s="30">
        <f>WEEKDAY(DaybyDay[[#This Row],[Date]])</f>
        <v>6</v>
      </c>
      <c r="I292" s="31">
        <v>43021</v>
      </c>
      <c r="J292" s="74">
        <v>18</v>
      </c>
      <c r="K292" s="32">
        <f>SUMIFS(BudgetSeasonality[365 Seasonality],BudgetSeasonality[MonthAdjustment],DaybyDay[[#This Row],[Date]])*SUMIFS(Budgets[Service-Budget],Budgets[BudgetMonth],DaybyDay[[#This Row],[RowMonth]],Budgets[BudgetYear],DaybyDay[[#This Row],[RowYear]])</f>
        <v>0</v>
      </c>
      <c r="L292" s="75">
        <v>3973</v>
      </c>
      <c r="M292" s="32">
        <f>INDEX(BudgetSeasonality[365 Seasonality],MATCH(DaybyDay[[#This Row],[Date]],BudgetSeasonality[MonthAdjustment],0))*SUMIFS(Budgets[Retail-Budget],Budgets[BudgetMonth],DaybyDay[[#This Row],[RowMonth]],Budgets[BudgetYear],DaybyDay[[#This Row],[RowYear]])</f>
        <v>0</v>
      </c>
      <c r="N292" s="75">
        <v>609.20000000000005</v>
      </c>
      <c r="O292" s="33">
        <f>SUMIFS(DaybyDay[Service-Budgets],DaybyDay[Date],"&gt;="&amp;$C$5,DaybyDay[RowYear],"&gt;="&amp;$C$4,DaybyDay[Date],"&lt;="&amp;DaybyDay[[#This Row],[Date]])</f>
        <v>0</v>
      </c>
      <c r="P292" s="33">
        <f>SUMIFS(DaybyDay[Retail-Budgets],DaybyDay[Date],"&gt;="&amp;$C$5,DaybyDay[RowYear],"&gt;="&amp;$C$4,DaybyDay[Date],"&lt;="&amp;DaybyDay[[#This Row],[Date]])</f>
        <v>0</v>
      </c>
      <c r="Q292" s="34">
        <f>SUMIFS(DaybyDay[Service-Actuals],DaybyDay[Date],"&gt;="&amp;$C$5,DaybyDay[RowYear],"&gt;="&amp;$C$4,DaybyDay[Date],"&lt;="&amp;DaybyDay[[#This Row],[Date]])</f>
        <v>0</v>
      </c>
      <c r="R292" s="34">
        <f>SUMIFS(DaybyDay[Retail-Actuals],DaybyDay[Date],"&gt;="&amp;$C$5,DaybyDay[RowYear],"&gt;="&amp;$C$4,DaybyDay[Date],"&lt;="&amp;DaybyDay[[#This Row],[Date]])</f>
        <v>0</v>
      </c>
      <c r="S292" s="35">
        <f>SUMIFS(DaybyDay[Service-LY],DaybyDay[Date],"&gt;="&amp;$C$5,DaybyDay[RowYear],"&gt;="&amp;$C$4,DaybyDay[Date],"&lt;="&amp;DaybyDay[[#This Row],[Date]])</f>
        <v>0</v>
      </c>
      <c r="T292" s="35">
        <f>SUMIFS(DaybyDay[Retail-LY],DaybyDay[Date],"&gt;="&amp;$C$5,DaybyDay[RowYear],"&gt;="&amp;$C$4,DaybyDay[Date],"&lt;="&amp;DaybyDay[[#This Row],[Date]])</f>
        <v>0</v>
      </c>
      <c r="U292" s="32">
        <f>DaybyDay[[#This Row],[Serv-Bud-RU]]+DaybyDay[[#This Row],[Ret-Bud-RU]]</f>
        <v>0</v>
      </c>
      <c r="V292" s="32">
        <f>DaybyDay[[#This Row],[Serv-Act-RU]]+DaybyDay[[#This Row],[Ret-Act-RU]]</f>
        <v>0</v>
      </c>
      <c r="W292" s="36">
        <f>IF(DaybyDay[[#This Row],[_Space]],IFERROR(
((DaybyDay[[#This Row],[Actual-Rollup]]-DaybyDay[[#This Row],[Budget-Rollup]])/DaybyDay[[#This Row],[Budget-Rollup]]),0),"")</f>
        <v>0</v>
      </c>
      <c r="X292" t="b">
        <f>NOT(AND(ISBLANK(DaybyDay[[#This Row],[Appts]]),ISBLANK(DaybyDay[[#This Row],[Service-Actuals]]),ISBLANK(DaybyDay[[#This Row],[Retail-Actuals]])))</f>
        <v>1</v>
      </c>
      <c r="Y292" s="36">
        <f>IF(DaybyDay[[#This Row],[_Space]],IFERROR(
((DaybyDay[[#This Row],[Actual-Rollup]]-DaybyDay[[#This Row],[LY-Rollup]])/DaybyDay[[#This Row],[LY-Rollup]]),0),"")</f>
        <v>0</v>
      </c>
      <c r="Z292"/>
      <c r="AA292" s="37" t="e">
        <f>IF(DaybyDay[[#This Row],[_Space]],DaybyDay[[#This Row],[Ret-Act-RU]]/DaybyDay[[#This Row],[Serv-Act-RU]],"")</f>
        <v>#DIV/0!</v>
      </c>
      <c r="AB292" s="50" t="e">
        <f>IF(DaybyDay[[#This Row],[_Space]],DaybyDay[[#This Row],[RETPEN-Act]]/DaybyDay[[#This Row],[RETPEN-Bud]],"")</f>
        <v>#DIV/0!</v>
      </c>
      <c r="AC292" s="37" t="e">
        <f>IF(DaybyDay[[#This Row],[_Space]],DaybyDay[[#This Row],[Ret-Bud-RU]]/DaybyDay[[#This Row],[Serv-Bud-RU]],"")</f>
        <v>#DIV/0!</v>
      </c>
      <c r="AD292" s="37" t="e">
        <f>IF(DaybyDay[[#This Row],[_Space]],DaybyDay[[#This Row],[Ret-LY-RU]]/DaybyDay[[#This Row],[Serv-LY-RU]],"")</f>
        <v>#DIV/0!</v>
      </c>
      <c r="AE292" s="30">
        <f>WEEKDAY(DaybyDay[[#This Row],[LY-Date]])</f>
        <v>6</v>
      </c>
      <c r="AF292" s="38">
        <f>$E$2+_xlfn.DAYS(DaybyDay[[#This Row],[Date]],minDate)</f>
        <v>42657</v>
      </c>
      <c r="AG292" s="39" t="str" cm="1">
        <f t="array" ref="AG292">IFERROR(INDEX(DaybyDay[],DaybyDay[[#This Row],[FORM_MATCH_HELPER]],8),"")</f>
        <v/>
      </c>
      <c r="AH292" s="39" t="str" cm="1">
        <f t="array" ref="AH292">IFERROR(INDEX(DaybyDay[],DaybyDay[[#This Row],[FORM_MATCH_HELPER]],10),"")</f>
        <v/>
      </c>
      <c r="AI292" s="39" t="str" cm="1">
        <f t="array" ref="AI292">IFERROR(INDEX(DaybyDay[],DaybyDay[[#This Row],[FORM_MATCH_HELPER]],12),"")</f>
        <v/>
      </c>
      <c r="AJ292" s="32">
        <f>IFERROR(DaybyDay[[#This Row],[Serv-LY-RU]]+DaybyDay[[#This Row],[Ret-LY-RU]],"")</f>
        <v>0</v>
      </c>
      <c r="AK2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2" s="77"/>
      <c r="AM292" s="40" t="str">
        <f>IF(DaybyDay[[#This Row],[Admin Hours]]&gt;0,DaybyDay[[#This Row],[Admin Hours]]*$AM$2+$AM$3,"")</f>
        <v/>
      </c>
      <c r="AN292" s="40">
        <f>SUMIFS(DaybyDay[Est-Admin-Payroll],DaybyDay[Date],"&gt;="&amp;$C$5,DaybyDay[RowYear],"&gt;="&amp;$C$4,DaybyDay[Date],"&lt;="&amp;DaybyDay[[#This Row],[Date]])</f>
        <v>0</v>
      </c>
      <c r="AO292" s="41" t="str">
        <f>IF(AND(DaybyDay[[#This Row],[_Space]],ISNUMBER(DaybyDay[[#This Row],[Admin Hours]])),DaybyDay[[#This Row],[Est-Admin-Payroll]]/(DaybyDay[[#This Row],[Service-Actuals]]+DaybyDay[[#This Row],[Retail-Actuals]]),"")</f>
        <v/>
      </c>
      <c r="AP292" s="41" t="e">
        <f>DaybyDay[[#This Row],[Estimated-Payroll-Rollup]]/DaybyDay[[#This Row],[Simple-Forecast]]</f>
        <v>#DIV/0!</v>
      </c>
      <c r="AQ2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2" s="77"/>
      <c r="AS292" s="40" t="str">
        <f>IF(DaybyDay[[#This Row],[Retail Hours]]&gt;0,DaybyDay[[#This Row],[Retail Hours]]*$AS$2,"")</f>
        <v/>
      </c>
      <c r="AT292" s="40">
        <f>SUMIFS(DaybyDay[Est-Retail-Payroll],DaybyDay[Date],"&gt;="&amp;$C$5,DaybyDay[RowYear],"&gt;="&amp;$C$4,DaybyDay[Date],"&lt;="&amp;DaybyDay[[#This Row],[Date]])</f>
        <v>0</v>
      </c>
      <c r="AU292" s="82" t="str">
        <f>IF(AND(DaybyDay[[#This Row],[_Space]],ISNUMBER(DaybyDay[[#This Row],[Retail Hours]])),DaybyDay[[#This Row],[Est-Retail-Payroll]]/(DaybyDay[[#This Row],[Retail-Actuals]]),"")</f>
        <v/>
      </c>
      <c r="AV292" s="82" t="e">
        <f>DaybyDay[[#This Row],[Est-Retail-PayrollRU]]/DaybyDay[[#This Row],[Simple-Forecast-Retail]]</f>
        <v>#DIV/0!</v>
      </c>
      <c r="AW292" s="8"/>
    </row>
    <row r="293" spans="3:49" hidden="1" x14ac:dyDescent="0.25">
      <c r="C293" s="26" t="str">
        <f>Tools!$C$1</f>
        <v>Example</v>
      </c>
      <c r="D293" s="27" t="s">
        <v>77</v>
      </c>
      <c r="E293" s="28">
        <v>2017</v>
      </c>
      <c r="F293" s="28">
        <f>MATCH(DaybyDay[[#This Row],[RowMonth]],Table3[SummaryMonth],0)</f>
        <v>10</v>
      </c>
      <c r="G293" s="29" t="e">
        <f>MATCH(DaybyDay[[#This Row],[LY-Date]],DaybyDay[Date],0)</f>
        <v>#N/A</v>
      </c>
      <c r="H293" s="30">
        <f>WEEKDAY(DaybyDay[[#This Row],[Date]])</f>
        <v>7</v>
      </c>
      <c r="I293" s="31">
        <v>43022</v>
      </c>
      <c r="J293" s="74">
        <v>22</v>
      </c>
      <c r="K293" s="32">
        <f>SUMIFS(BudgetSeasonality[365 Seasonality],BudgetSeasonality[MonthAdjustment],DaybyDay[[#This Row],[Date]])*SUMIFS(Budgets[Service-Budget],Budgets[BudgetMonth],DaybyDay[[#This Row],[RowMonth]],Budgets[BudgetYear],DaybyDay[[#This Row],[RowYear]])</f>
        <v>0</v>
      </c>
      <c r="L293" s="75">
        <v>5296</v>
      </c>
      <c r="M293" s="32">
        <f>INDEX(BudgetSeasonality[365 Seasonality],MATCH(DaybyDay[[#This Row],[Date]],BudgetSeasonality[MonthAdjustment],0))*SUMIFS(Budgets[Retail-Budget],Budgets[BudgetMonth],DaybyDay[[#This Row],[RowMonth]],Budgets[BudgetYear],DaybyDay[[#This Row],[RowYear]])</f>
        <v>0</v>
      </c>
      <c r="N293" s="75">
        <v>7385</v>
      </c>
      <c r="O293" s="33">
        <f>SUMIFS(DaybyDay[Service-Budgets],DaybyDay[Date],"&gt;="&amp;$C$5,DaybyDay[RowYear],"&gt;="&amp;$C$4,DaybyDay[Date],"&lt;="&amp;DaybyDay[[#This Row],[Date]])</f>
        <v>0</v>
      </c>
      <c r="P293" s="33">
        <f>SUMIFS(DaybyDay[Retail-Budgets],DaybyDay[Date],"&gt;="&amp;$C$5,DaybyDay[RowYear],"&gt;="&amp;$C$4,DaybyDay[Date],"&lt;="&amp;DaybyDay[[#This Row],[Date]])</f>
        <v>0</v>
      </c>
      <c r="Q293" s="34">
        <f>SUMIFS(DaybyDay[Service-Actuals],DaybyDay[Date],"&gt;="&amp;$C$5,DaybyDay[RowYear],"&gt;="&amp;$C$4,DaybyDay[Date],"&lt;="&amp;DaybyDay[[#This Row],[Date]])</f>
        <v>0</v>
      </c>
      <c r="R293" s="34">
        <f>SUMIFS(DaybyDay[Retail-Actuals],DaybyDay[Date],"&gt;="&amp;$C$5,DaybyDay[RowYear],"&gt;="&amp;$C$4,DaybyDay[Date],"&lt;="&amp;DaybyDay[[#This Row],[Date]])</f>
        <v>0</v>
      </c>
      <c r="S293" s="35">
        <f>SUMIFS(DaybyDay[Service-LY],DaybyDay[Date],"&gt;="&amp;$C$5,DaybyDay[RowYear],"&gt;="&amp;$C$4,DaybyDay[Date],"&lt;="&amp;DaybyDay[[#This Row],[Date]])</f>
        <v>0</v>
      </c>
      <c r="T293" s="35">
        <f>SUMIFS(DaybyDay[Retail-LY],DaybyDay[Date],"&gt;="&amp;$C$5,DaybyDay[RowYear],"&gt;="&amp;$C$4,DaybyDay[Date],"&lt;="&amp;DaybyDay[[#This Row],[Date]])</f>
        <v>0</v>
      </c>
      <c r="U293" s="32">
        <f>DaybyDay[[#This Row],[Serv-Bud-RU]]+DaybyDay[[#This Row],[Ret-Bud-RU]]</f>
        <v>0</v>
      </c>
      <c r="V293" s="32">
        <f>DaybyDay[[#This Row],[Serv-Act-RU]]+DaybyDay[[#This Row],[Ret-Act-RU]]</f>
        <v>0</v>
      </c>
      <c r="W293" s="36">
        <f>IF(DaybyDay[[#This Row],[_Space]],IFERROR(
((DaybyDay[[#This Row],[Actual-Rollup]]-DaybyDay[[#This Row],[Budget-Rollup]])/DaybyDay[[#This Row],[Budget-Rollup]]),0),"")</f>
        <v>0</v>
      </c>
      <c r="X293" t="b">
        <f>NOT(AND(ISBLANK(DaybyDay[[#This Row],[Appts]]),ISBLANK(DaybyDay[[#This Row],[Service-Actuals]]),ISBLANK(DaybyDay[[#This Row],[Retail-Actuals]])))</f>
        <v>1</v>
      </c>
      <c r="Y293" s="36">
        <f>IF(DaybyDay[[#This Row],[_Space]],IFERROR(
((DaybyDay[[#This Row],[Actual-Rollup]]-DaybyDay[[#This Row],[LY-Rollup]])/DaybyDay[[#This Row],[LY-Rollup]]),0),"")</f>
        <v>0</v>
      </c>
      <c r="Z293"/>
      <c r="AA293" s="37" t="e">
        <f>IF(DaybyDay[[#This Row],[_Space]],DaybyDay[[#This Row],[Ret-Act-RU]]/DaybyDay[[#This Row],[Serv-Act-RU]],"")</f>
        <v>#DIV/0!</v>
      </c>
      <c r="AB293" s="50" t="e">
        <f>IF(DaybyDay[[#This Row],[_Space]],DaybyDay[[#This Row],[RETPEN-Act]]/DaybyDay[[#This Row],[RETPEN-Bud]],"")</f>
        <v>#DIV/0!</v>
      </c>
      <c r="AC293" s="37" t="e">
        <f>IF(DaybyDay[[#This Row],[_Space]],DaybyDay[[#This Row],[Ret-Bud-RU]]/DaybyDay[[#This Row],[Serv-Bud-RU]],"")</f>
        <v>#DIV/0!</v>
      </c>
      <c r="AD293" s="37" t="e">
        <f>IF(DaybyDay[[#This Row],[_Space]],DaybyDay[[#This Row],[Ret-LY-RU]]/DaybyDay[[#This Row],[Serv-LY-RU]],"")</f>
        <v>#DIV/0!</v>
      </c>
      <c r="AE293" s="30">
        <f>WEEKDAY(DaybyDay[[#This Row],[LY-Date]])</f>
        <v>7</v>
      </c>
      <c r="AF293" s="38">
        <f>$E$2+_xlfn.DAYS(DaybyDay[[#This Row],[Date]],minDate)</f>
        <v>42658</v>
      </c>
      <c r="AG293" s="39" t="str" cm="1">
        <f t="array" ref="AG293">IFERROR(INDEX(DaybyDay[],DaybyDay[[#This Row],[FORM_MATCH_HELPER]],8),"")</f>
        <v/>
      </c>
      <c r="AH293" s="39" t="str" cm="1">
        <f t="array" ref="AH293">IFERROR(INDEX(DaybyDay[],DaybyDay[[#This Row],[FORM_MATCH_HELPER]],10),"")</f>
        <v/>
      </c>
      <c r="AI293" s="39" t="str" cm="1">
        <f t="array" ref="AI293">IFERROR(INDEX(DaybyDay[],DaybyDay[[#This Row],[FORM_MATCH_HELPER]],12),"")</f>
        <v/>
      </c>
      <c r="AJ293" s="32">
        <f>IFERROR(DaybyDay[[#This Row],[Serv-LY-RU]]+DaybyDay[[#This Row],[Ret-LY-RU]],"")</f>
        <v>0</v>
      </c>
      <c r="AK2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3" s="77"/>
      <c r="AM293" s="40" t="str">
        <f>IF(DaybyDay[[#This Row],[Admin Hours]]&gt;0,DaybyDay[[#This Row],[Admin Hours]]*$AM$2+$AM$3,"")</f>
        <v/>
      </c>
      <c r="AN293" s="40">
        <f>SUMIFS(DaybyDay[Est-Admin-Payroll],DaybyDay[Date],"&gt;="&amp;$C$5,DaybyDay[RowYear],"&gt;="&amp;$C$4,DaybyDay[Date],"&lt;="&amp;DaybyDay[[#This Row],[Date]])</f>
        <v>0</v>
      </c>
      <c r="AO293" s="41" t="str">
        <f>IF(AND(DaybyDay[[#This Row],[_Space]],ISNUMBER(DaybyDay[[#This Row],[Admin Hours]])),DaybyDay[[#This Row],[Est-Admin-Payroll]]/(DaybyDay[[#This Row],[Service-Actuals]]+DaybyDay[[#This Row],[Retail-Actuals]]),"")</f>
        <v/>
      </c>
      <c r="AP293" s="41" t="e">
        <f>DaybyDay[[#This Row],[Estimated-Payroll-Rollup]]/DaybyDay[[#This Row],[Simple-Forecast]]</f>
        <v>#DIV/0!</v>
      </c>
      <c r="AQ2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3" s="77"/>
      <c r="AS293" s="40" t="str">
        <f>IF(DaybyDay[[#This Row],[Retail Hours]]&gt;0,DaybyDay[[#This Row],[Retail Hours]]*$AS$2,"")</f>
        <v/>
      </c>
      <c r="AT293" s="40">
        <f>SUMIFS(DaybyDay[Est-Retail-Payroll],DaybyDay[Date],"&gt;="&amp;$C$5,DaybyDay[RowYear],"&gt;="&amp;$C$4,DaybyDay[Date],"&lt;="&amp;DaybyDay[[#This Row],[Date]])</f>
        <v>0</v>
      </c>
      <c r="AU293" s="82" t="str">
        <f>IF(AND(DaybyDay[[#This Row],[_Space]],ISNUMBER(DaybyDay[[#This Row],[Retail Hours]])),DaybyDay[[#This Row],[Est-Retail-Payroll]]/(DaybyDay[[#This Row],[Retail-Actuals]]),"")</f>
        <v/>
      </c>
      <c r="AV293" s="82" t="e">
        <f>DaybyDay[[#This Row],[Est-Retail-PayrollRU]]/DaybyDay[[#This Row],[Simple-Forecast-Retail]]</f>
        <v>#DIV/0!</v>
      </c>
      <c r="AW293" s="8"/>
    </row>
    <row r="294" spans="3:49" hidden="1" x14ac:dyDescent="0.25">
      <c r="C294" s="26" t="str">
        <f>Tools!$C$1</f>
        <v>Example</v>
      </c>
      <c r="D294" s="27" t="s">
        <v>77</v>
      </c>
      <c r="E294" s="28">
        <v>2017</v>
      </c>
      <c r="F294" s="28">
        <f>MATCH(DaybyDay[[#This Row],[RowMonth]],Table3[SummaryMonth],0)</f>
        <v>10</v>
      </c>
      <c r="G294" s="29" t="e">
        <f>MATCH(DaybyDay[[#This Row],[LY-Date]],DaybyDay[Date],0)</f>
        <v>#N/A</v>
      </c>
      <c r="H294" s="30">
        <f>WEEKDAY(DaybyDay[[#This Row],[Date]])</f>
        <v>1</v>
      </c>
      <c r="I294" s="31">
        <v>43023</v>
      </c>
      <c r="J294" s="74">
        <v>30</v>
      </c>
      <c r="K294" s="32">
        <f>SUMIFS(BudgetSeasonality[365 Seasonality],BudgetSeasonality[MonthAdjustment],DaybyDay[[#This Row],[Date]])*SUMIFS(Budgets[Service-Budget],Budgets[BudgetMonth],DaybyDay[[#This Row],[RowMonth]],Budgets[BudgetYear],DaybyDay[[#This Row],[RowYear]])</f>
        <v>0</v>
      </c>
      <c r="L294" s="75">
        <v>5819.3</v>
      </c>
      <c r="M294" s="32">
        <f>INDEX(BudgetSeasonality[365 Seasonality],MATCH(DaybyDay[[#This Row],[Date]],BudgetSeasonality[MonthAdjustment],0))*SUMIFS(Budgets[Retail-Budget],Budgets[BudgetMonth],DaybyDay[[#This Row],[RowMonth]],Budgets[BudgetYear],DaybyDay[[#This Row],[RowYear]])</f>
        <v>0</v>
      </c>
      <c r="N294" s="75">
        <v>464</v>
      </c>
      <c r="O294" s="33">
        <f>SUMIFS(DaybyDay[Service-Budgets],DaybyDay[Date],"&gt;="&amp;$C$5,DaybyDay[RowYear],"&gt;="&amp;$C$4,DaybyDay[Date],"&lt;="&amp;DaybyDay[[#This Row],[Date]])</f>
        <v>0</v>
      </c>
      <c r="P294" s="33">
        <f>SUMIFS(DaybyDay[Retail-Budgets],DaybyDay[Date],"&gt;="&amp;$C$5,DaybyDay[RowYear],"&gt;="&amp;$C$4,DaybyDay[Date],"&lt;="&amp;DaybyDay[[#This Row],[Date]])</f>
        <v>0</v>
      </c>
      <c r="Q294" s="34">
        <f>SUMIFS(DaybyDay[Service-Actuals],DaybyDay[Date],"&gt;="&amp;$C$5,DaybyDay[RowYear],"&gt;="&amp;$C$4,DaybyDay[Date],"&lt;="&amp;DaybyDay[[#This Row],[Date]])</f>
        <v>0</v>
      </c>
      <c r="R294" s="34">
        <f>SUMIFS(DaybyDay[Retail-Actuals],DaybyDay[Date],"&gt;="&amp;$C$5,DaybyDay[RowYear],"&gt;="&amp;$C$4,DaybyDay[Date],"&lt;="&amp;DaybyDay[[#This Row],[Date]])</f>
        <v>0</v>
      </c>
      <c r="S294" s="35">
        <f>SUMIFS(DaybyDay[Service-LY],DaybyDay[Date],"&gt;="&amp;$C$5,DaybyDay[RowYear],"&gt;="&amp;$C$4,DaybyDay[Date],"&lt;="&amp;DaybyDay[[#This Row],[Date]])</f>
        <v>0</v>
      </c>
      <c r="T294" s="35">
        <f>SUMIFS(DaybyDay[Retail-LY],DaybyDay[Date],"&gt;="&amp;$C$5,DaybyDay[RowYear],"&gt;="&amp;$C$4,DaybyDay[Date],"&lt;="&amp;DaybyDay[[#This Row],[Date]])</f>
        <v>0</v>
      </c>
      <c r="U294" s="32">
        <f>DaybyDay[[#This Row],[Serv-Bud-RU]]+DaybyDay[[#This Row],[Ret-Bud-RU]]</f>
        <v>0</v>
      </c>
      <c r="V294" s="32">
        <f>DaybyDay[[#This Row],[Serv-Act-RU]]+DaybyDay[[#This Row],[Ret-Act-RU]]</f>
        <v>0</v>
      </c>
      <c r="W294" s="36">
        <f>IF(DaybyDay[[#This Row],[_Space]],IFERROR(
((DaybyDay[[#This Row],[Actual-Rollup]]-DaybyDay[[#This Row],[Budget-Rollup]])/DaybyDay[[#This Row],[Budget-Rollup]]),0),"")</f>
        <v>0</v>
      </c>
      <c r="X294" t="b">
        <f>NOT(AND(ISBLANK(DaybyDay[[#This Row],[Appts]]),ISBLANK(DaybyDay[[#This Row],[Service-Actuals]]),ISBLANK(DaybyDay[[#This Row],[Retail-Actuals]])))</f>
        <v>1</v>
      </c>
      <c r="Y294" s="36">
        <f>IF(DaybyDay[[#This Row],[_Space]],IFERROR(
((DaybyDay[[#This Row],[Actual-Rollup]]-DaybyDay[[#This Row],[LY-Rollup]])/DaybyDay[[#This Row],[LY-Rollup]]),0),"")</f>
        <v>0</v>
      </c>
      <c r="Z294"/>
      <c r="AA294" s="37" t="e">
        <f>IF(DaybyDay[[#This Row],[_Space]],DaybyDay[[#This Row],[Ret-Act-RU]]/DaybyDay[[#This Row],[Serv-Act-RU]],"")</f>
        <v>#DIV/0!</v>
      </c>
      <c r="AB294" s="50" t="e">
        <f>IF(DaybyDay[[#This Row],[_Space]],DaybyDay[[#This Row],[RETPEN-Act]]/DaybyDay[[#This Row],[RETPEN-Bud]],"")</f>
        <v>#DIV/0!</v>
      </c>
      <c r="AC294" s="37" t="e">
        <f>IF(DaybyDay[[#This Row],[_Space]],DaybyDay[[#This Row],[Ret-Bud-RU]]/DaybyDay[[#This Row],[Serv-Bud-RU]],"")</f>
        <v>#DIV/0!</v>
      </c>
      <c r="AD294" s="37" t="e">
        <f>IF(DaybyDay[[#This Row],[_Space]],DaybyDay[[#This Row],[Ret-LY-RU]]/DaybyDay[[#This Row],[Serv-LY-RU]],"")</f>
        <v>#DIV/0!</v>
      </c>
      <c r="AE294" s="30">
        <f>WEEKDAY(DaybyDay[[#This Row],[LY-Date]])</f>
        <v>1</v>
      </c>
      <c r="AF294" s="38">
        <f>$E$2+_xlfn.DAYS(DaybyDay[[#This Row],[Date]],minDate)</f>
        <v>42659</v>
      </c>
      <c r="AG294" s="39" t="str" cm="1">
        <f t="array" ref="AG294">IFERROR(INDEX(DaybyDay[],DaybyDay[[#This Row],[FORM_MATCH_HELPER]],8),"")</f>
        <v/>
      </c>
      <c r="AH294" s="39" t="str" cm="1">
        <f t="array" ref="AH294">IFERROR(INDEX(DaybyDay[],DaybyDay[[#This Row],[FORM_MATCH_HELPER]],10),"")</f>
        <v/>
      </c>
      <c r="AI294" s="39" t="str" cm="1">
        <f t="array" ref="AI294">IFERROR(INDEX(DaybyDay[],DaybyDay[[#This Row],[FORM_MATCH_HELPER]],12),"")</f>
        <v/>
      </c>
      <c r="AJ294" s="32">
        <f>IFERROR(DaybyDay[[#This Row],[Serv-LY-RU]]+DaybyDay[[#This Row],[Ret-LY-RU]],"")</f>
        <v>0</v>
      </c>
      <c r="AK2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4" s="77"/>
      <c r="AM294" s="40" t="str">
        <f>IF(DaybyDay[[#This Row],[Admin Hours]]&gt;0,DaybyDay[[#This Row],[Admin Hours]]*$AM$2+$AM$3,"")</f>
        <v/>
      </c>
      <c r="AN294" s="40">
        <f>SUMIFS(DaybyDay[Est-Admin-Payroll],DaybyDay[Date],"&gt;="&amp;$C$5,DaybyDay[RowYear],"&gt;="&amp;$C$4,DaybyDay[Date],"&lt;="&amp;DaybyDay[[#This Row],[Date]])</f>
        <v>0</v>
      </c>
      <c r="AO294" s="41" t="str">
        <f>IF(AND(DaybyDay[[#This Row],[_Space]],ISNUMBER(DaybyDay[[#This Row],[Admin Hours]])),DaybyDay[[#This Row],[Est-Admin-Payroll]]/(DaybyDay[[#This Row],[Service-Actuals]]+DaybyDay[[#This Row],[Retail-Actuals]]),"")</f>
        <v/>
      </c>
      <c r="AP294" s="41" t="e">
        <f>DaybyDay[[#This Row],[Estimated-Payroll-Rollup]]/DaybyDay[[#This Row],[Simple-Forecast]]</f>
        <v>#DIV/0!</v>
      </c>
      <c r="AQ2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4" s="77"/>
      <c r="AS294" s="40" t="str">
        <f>IF(DaybyDay[[#This Row],[Retail Hours]]&gt;0,DaybyDay[[#This Row],[Retail Hours]]*$AS$2,"")</f>
        <v/>
      </c>
      <c r="AT294" s="40">
        <f>SUMIFS(DaybyDay[Est-Retail-Payroll],DaybyDay[Date],"&gt;="&amp;$C$5,DaybyDay[RowYear],"&gt;="&amp;$C$4,DaybyDay[Date],"&lt;="&amp;DaybyDay[[#This Row],[Date]])</f>
        <v>0</v>
      </c>
      <c r="AU294" s="82" t="str">
        <f>IF(AND(DaybyDay[[#This Row],[_Space]],ISNUMBER(DaybyDay[[#This Row],[Retail Hours]])),DaybyDay[[#This Row],[Est-Retail-Payroll]]/(DaybyDay[[#This Row],[Retail-Actuals]]),"")</f>
        <v/>
      </c>
      <c r="AV294" s="82" t="e">
        <f>DaybyDay[[#This Row],[Est-Retail-PayrollRU]]/DaybyDay[[#This Row],[Simple-Forecast-Retail]]</f>
        <v>#DIV/0!</v>
      </c>
      <c r="AW294" s="8"/>
    </row>
    <row r="295" spans="3:49" hidden="1" x14ac:dyDescent="0.25">
      <c r="C295" s="26" t="str">
        <f>Tools!$C$1</f>
        <v>Example</v>
      </c>
      <c r="D295" s="27" t="s">
        <v>77</v>
      </c>
      <c r="E295" s="28">
        <v>2017</v>
      </c>
      <c r="F295" s="28">
        <f>MATCH(DaybyDay[[#This Row],[RowMonth]],Table3[SummaryMonth],0)</f>
        <v>10</v>
      </c>
      <c r="G295" s="29" t="e">
        <f>MATCH(DaybyDay[[#This Row],[LY-Date]],DaybyDay[Date],0)</f>
        <v>#N/A</v>
      </c>
      <c r="H295" s="30">
        <f>WEEKDAY(DaybyDay[[#This Row],[Date]])</f>
        <v>2</v>
      </c>
      <c r="I295" s="31">
        <v>43024</v>
      </c>
      <c r="J295" s="74">
        <v>17</v>
      </c>
      <c r="K295" s="32">
        <f>SUMIFS(BudgetSeasonality[365 Seasonality],BudgetSeasonality[MonthAdjustment],DaybyDay[[#This Row],[Date]])*SUMIFS(Budgets[Service-Budget],Budgets[BudgetMonth],DaybyDay[[#This Row],[RowMonth]],Budgets[BudgetYear],DaybyDay[[#This Row],[RowYear]])</f>
        <v>0</v>
      </c>
      <c r="L295" s="75">
        <v>3200.1</v>
      </c>
      <c r="M295" s="32">
        <f>INDEX(BudgetSeasonality[365 Seasonality],MATCH(DaybyDay[[#This Row],[Date]],BudgetSeasonality[MonthAdjustment],0))*SUMIFS(Budgets[Retail-Budget],Budgets[BudgetMonth],DaybyDay[[#This Row],[RowMonth]],Budgets[BudgetYear],DaybyDay[[#This Row],[RowYear]])</f>
        <v>0</v>
      </c>
      <c r="N295" s="75">
        <v>112</v>
      </c>
      <c r="O295" s="33">
        <f>SUMIFS(DaybyDay[Service-Budgets],DaybyDay[Date],"&gt;="&amp;$C$5,DaybyDay[RowYear],"&gt;="&amp;$C$4,DaybyDay[Date],"&lt;="&amp;DaybyDay[[#This Row],[Date]])</f>
        <v>0</v>
      </c>
      <c r="P295" s="33">
        <f>SUMIFS(DaybyDay[Retail-Budgets],DaybyDay[Date],"&gt;="&amp;$C$5,DaybyDay[RowYear],"&gt;="&amp;$C$4,DaybyDay[Date],"&lt;="&amp;DaybyDay[[#This Row],[Date]])</f>
        <v>0</v>
      </c>
      <c r="Q295" s="34">
        <f>SUMIFS(DaybyDay[Service-Actuals],DaybyDay[Date],"&gt;="&amp;$C$5,DaybyDay[RowYear],"&gt;="&amp;$C$4,DaybyDay[Date],"&lt;="&amp;DaybyDay[[#This Row],[Date]])</f>
        <v>0</v>
      </c>
      <c r="R295" s="34">
        <f>SUMIFS(DaybyDay[Retail-Actuals],DaybyDay[Date],"&gt;="&amp;$C$5,DaybyDay[RowYear],"&gt;="&amp;$C$4,DaybyDay[Date],"&lt;="&amp;DaybyDay[[#This Row],[Date]])</f>
        <v>0</v>
      </c>
      <c r="S295" s="35">
        <f>SUMIFS(DaybyDay[Service-LY],DaybyDay[Date],"&gt;="&amp;$C$5,DaybyDay[RowYear],"&gt;="&amp;$C$4,DaybyDay[Date],"&lt;="&amp;DaybyDay[[#This Row],[Date]])</f>
        <v>0</v>
      </c>
      <c r="T295" s="35">
        <f>SUMIFS(DaybyDay[Retail-LY],DaybyDay[Date],"&gt;="&amp;$C$5,DaybyDay[RowYear],"&gt;="&amp;$C$4,DaybyDay[Date],"&lt;="&amp;DaybyDay[[#This Row],[Date]])</f>
        <v>0</v>
      </c>
      <c r="U295" s="32">
        <f>DaybyDay[[#This Row],[Serv-Bud-RU]]+DaybyDay[[#This Row],[Ret-Bud-RU]]</f>
        <v>0</v>
      </c>
      <c r="V295" s="32">
        <f>DaybyDay[[#This Row],[Serv-Act-RU]]+DaybyDay[[#This Row],[Ret-Act-RU]]</f>
        <v>0</v>
      </c>
      <c r="W295" s="36">
        <f>IF(DaybyDay[[#This Row],[_Space]],IFERROR(
((DaybyDay[[#This Row],[Actual-Rollup]]-DaybyDay[[#This Row],[Budget-Rollup]])/DaybyDay[[#This Row],[Budget-Rollup]]),0),"")</f>
        <v>0</v>
      </c>
      <c r="X295" t="b">
        <f>NOT(AND(ISBLANK(DaybyDay[[#This Row],[Appts]]),ISBLANK(DaybyDay[[#This Row],[Service-Actuals]]),ISBLANK(DaybyDay[[#This Row],[Retail-Actuals]])))</f>
        <v>1</v>
      </c>
      <c r="Y295" s="36">
        <f>IF(DaybyDay[[#This Row],[_Space]],IFERROR(
((DaybyDay[[#This Row],[Actual-Rollup]]-DaybyDay[[#This Row],[LY-Rollup]])/DaybyDay[[#This Row],[LY-Rollup]]),0),"")</f>
        <v>0</v>
      </c>
      <c r="Z295"/>
      <c r="AA295" s="37" t="e">
        <f>IF(DaybyDay[[#This Row],[_Space]],DaybyDay[[#This Row],[Ret-Act-RU]]/DaybyDay[[#This Row],[Serv-Act-RU]],"")</f>
        <v>#DIV/0!</v>
      </c>
      <c r="AB295" s="50" t="e">
        <f>IF(DaybyDay[[#This Row],[_Space]],DaybyDay[[#This Row],[RETPEN-Act]]/DaybyDay[[#This Row],[RETPEN-Bud]],"")</f>
        <v>#DIV/0!</v>
      </c>
      <c r="AC295" s="37" t="e">
        <f>IF(DaybyDay[[#This Row],[_Space]],DaybyDay[[#This Row],[Ret-Bud-RU]]/DaybyDay[[#This Row],[Serv-Bud-RU]],"")</f>
        <v>#DIV/0!</v>
      </c>
      <c r="AD295" s="37" t="e">
        <f>IF(DaybyDay[[#This Row],[_Space]],DaybyDay[[#This Row],[Ret-LY-RU]]/DaybyDay[[#This Row],[Serv-LY-RU]],"")</f>
        <v>#DIV/0!</v>
      </c>
      <c r="AE295" s="30">
        <f>WEEKDAY(DaybyDay[[#This Row],[LY-Date]])</f>
        <v>2</v>
      </c>
      <c r="AF295" s="38">
        <f>$E$2+_xlfn.DAYS(DaybyDay[[#This Row],[Date]],minDate)</f>
        <v>42660</v>
      </c>
      <c r="AG295" s="39" t="str" cm="1">
        <f t="array" ref="AG295">IFERROR(INDEX(DaybyDay[],DaybyDay[[#This Row],[FORM_MATCH_HELPER]],8),"")</f>
        <v/>
      </c>
      <c r="AH295" s="39" t="str" cm="1">
        <f t="array" ref="AH295">IFERROR(INDEX(DaybyDay[],DaybyDay[[#This Row],[FORM_MATCH_HELPER]],10),"")</f>
        <v/>
      </c>
      <c r="AI295" s="39" t="str" cm="1">
        <f t="array" ref="AI295">IFERROR(INDEX(DaybyDay[],DaybyDay[[#This Row],[FORM_MATCH_HELPER]],12),"")</f>
        <v/>
      </c>
      <c r="AJ295" s="32">
        <f>IFERROR(DaybyDay[[#This Row],[Serv-LY-RU]]+DaybyDay[[#This Row],[Ret-LY-RU]],"")</f>
        <v>0</v>
      </c>
      <c r="AK2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5" s="77"/>
      <c r="AM295" s="40" t="str">
        <f>IF(DaybyDay[[#This Row],[Admin Hours]]&gt;0,DaybyDay[[#This Row],[Admin Hours]]*$AM$2+$AM$3,"")</f>
        <v/>
      </c>
      <c r="AN295" s="40">
        <f>SUMIFS(DaybyDay[Est-Admin-Payroll],DaybyDay[Date],"&gt;="&amp;$C$5,DaybyDay[RowYear],"&gt;="&amp;$C$4,DaybyDay[Date],"&lt;="&amp;DaybyDay[[#This Row],[Date]])</f>
        <v>0</v>
      </c>
      <c r="AO295" s="41" t="str">
        <f>IF(AND(DaybyDay[[#This Row],[_Space]],ISNUMBER(DaybyDay[[#This Row],[Admin Hours]])),DaybyDay[[#This Row],[Est-Admin-Payroll]]/(DaybyDay[[#This Row],[Service-Actuals]]+DaybyDay[[#This Row],[Retail-Actuals]]),"")</f>
        <v/>
      </c>
      <c r="AP295" s="41" t="e">
        <f>DaybyDay[[#This Row],[Estimated-Payroll-Rollup]]/DaybyDay[[#This Row],[Simple-Forecast]]</f>
        <v>#DIV/0!</v>
      </c>
      <c r="AQ2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5" s="77"/>
      <c r="AS295" s="40" t="str">
        <f>IF(DaybyDay[[#This Row],[Retail Hours]]&gt;0,DaybyDay[[#This Row],[Retail Hours]]*$AS$2,"")</f>
        <v/>
      </c>
      <c r="AT295" s="40">
        <f>SUMIFS(DaybyDay[Est-Retail-Payroll],DaybyDay[Date],"&gt;="&amp;$C$5,DaybyDay[RowYear],"&gt;="&amp;$C$4,DaybyDay[Date],"&lt;="&amp;DaybyDay[[#This Row],[Date]])</f>
        <v>0</v>
      </c>
      <c r="AU295" s="82" t="str">
        <f>IF(AND(DaybyDay[[#This Row],[_Space]],ISNUMBER(DaybyDay[[#This Row],[Retail Hours]])),DaybyDay[[#This Row],[Est-Retail-Payroll]]/(DaybyDay[[#This Row],[Retail-Actuals]]),"")</f>
        <v/>
      </c>
      <c r="AV295" s="82" t="e">
        <f>DaybyDay[[#This Row],[Est-Retail-PayrollRU]]/DaybyDay[[#This Row],[Simple-Forecast-Retail]]</f>
        <v>#DIV/0!</v>
      </c>
      <c r="AW295" s="8"/>
    </row>
    <row r="296" spans="3:49" hidden="1" x14ac:dyDescent="0.25">
      <c r="C296" s="26" t="str">
        <f>Tools!$C$1</f>
        <v>Example</v>
      </c>
      <c r="D296" s="27" t="s">
        <v>77</v>
      </c>
      <c r="E296" s="28">
        <v>2017</v>
      </c>
      <c r="F296" s="28">
        <f>MATCH(DaybyDay[[#This Row],[RowMonth]],Table3[SummaryMonth],0)</f>
        <v>10</v>
      </c>
      <c r="G296" s="29" t="e">
        <f>MATCH(DaybyDay[[#This Row],[LY-Date]],DaybyDay[Date],0)</f>
        <v>#N/A</v>
      </c>
      <c r="H296" s="30">
        <f>WEEKDAY(DaybyDay[[#This Row],[Date]])</f>
        <v>3</v>
      </c>
      <c r="I296" s="31">
        <v>43025</v>
      </c>
      <c r="J296" s="74">
        <v>21</v>
      </c>
      <c r="K296" s="32">
        <f>SUMIFS(BudgetSeasonality[365 Seasonality],BudgetSeasonality[MonthAdjustment],DaybyDay[[#This Row],[Date]])*SUMIFS(Budgets[Service-Budget],Budgets[BudgetMonth],DaybyDay[[#This Row],[RowMonth]],Budgets[BudgetYear],DaybyDay[[#This Row],[RowYear]])</f>
        <v>0</v>
      </c>
      <c r="L296" s="75">
        <v>3021.1</v>
      </c>
      <c r="M296" s="32">
        <f>INDEX(BudgetSeasonality[365 Seasonality],MATCH(DaybyDay[[#This Row],[Date]],BudgetSeasonality[MonthAdjustment],0))*SUMIFS(Budgets[Retail-Budget],Budgets[BudgetMonth],DaybyDay[[#This Row],[RowMonth]],Budgets[BudgetYear],DaybyDay[[#This Row],[RowYear]])</f>
        <v>0</v>
      </c>
      <c r="N296" s="75">
        <v>3764.3</v>
      </c>
      <c r="O296" s="33">
        <f>SUMIFS(DaybyDay[Service-Budgets],DaybyDay[Date],"&gt;="&amp;$C$5,DaybyDay[RowYear],"&gt;="&amp;$C$4,DaybyDay[Date],"&lt;="&amp;DaybyDay[[#This Row],[Date]])</f>
        <v>0</v>
      </c>
      <c r="P296" s="33">
        <f>SUMIFS(DaybyDay[Retail-Budgets],DaybyDay[Date],"&gt;="&amp;$C$5,DaybyDay[RowYear],"&gt;="&amp;$C$4,DaybyDay[Date],"&lt;="&amp;DaybyDay[[#This Row],[Date]])</f>
        <v>0</v>
      </c>
      <c r="Q296" s="34">
        <f>SUMIFS(DaybyDay[Service-Actuals],DaybyDay[Date],"&gt;="&amp;$C$5,DaybyDay[RowYear],"&gt;="&amp;$C$4,DaybyDay[Date],"&lt;="&amp;DaybyDay[[#This Row],[Date]])</f>
        <v>0</v>
      </c>
      <c r="R296" s="34">
        <f>SUMIFS(DaybyDay[Retail-Actuals],DaybyDay[Date],"&gt;="&amp;$C$5,DaybyDay[RowYear],"&gt;="&amp;$C$4,DaybyDay[Date],"&lt;="&amp;DaybyDay[[#This Row],[Date]])</f>
        <v>0</v>
      </c>
      <c r="S296" s="35">
        <f>SUMIFS(DaybyDay[Service-LY],DaybyDay[Date],"&gt;="&amp;$C$5,DaybyDay[RowYear],"&gt;="&amp;$C$4,DaybyDay[Date],"&lt;="&amp;DaybyDay[[#This Row],[Date]])</f>
        <v>0</v>
      </c>
      <c r="T296" s="35">
        <f>SUMIFS(DaybyDay[Retail-LY],DaybyDay[Date],"&gt;="&amp;$C$5,DaybyDay[RowYear],"&gt;="&amp;$C$4,DaybyDay[Date],"&lt;="&amp;DaybyDay[[#This Row],[Date]])</f>
        <v>0</v>
      </c>
      <c r="U296" s="32">
        <f>DaybyDay[[#This Row],[Serv-Bud-RU]]+DaybyDay[[#This Row],[Ret-Bud-RU]]</f>
        <v>0</v>
      </c>
      <c r="V296" s="32">
        <f>DaybyDay[[#This Row],[Serv-Act-RU]]+DaybyDay[[#This Row],[Ret-Act-RU]]</f>
        <v>0</v>
      </c>
      <c r="W296" s="36">
        <f>IF(DaybyDay[[#This Row],[_Space]],IFERROR(
((DaybyDay[[#This Row],[Actual-Rollup]]-DaybyDay[[#This Row],[Budget-Rollup]])/DaybyDay[[#This Row],[Budget-Rollup]]),0),"")</f>
        <v>0</v>
      </c>
      <c r="X296" t="b">
        <f>NOT(AND(ISBLANK(DaybyDay[[#This Row],[Appts]]),ISBLANK(DaybyDay[[#This Row],[Service-Actuals]]),ISBLANK(DaybyDay[[#This Row],[Retail-Actuals]])))</f>
        <v>1</v>
      </c>
      <c r="Y296" s="36">
        <f>IF(DaybyDay[[#This Row],[_Space]],IFERROR(
((DaybyDay[[#This Row],[Actual-Rollup]]-DaybyDay[[#This Row],[LY-Rollup]])/DaybyDay[[#This Row],[LY-Rollup]]),0),"")</f>
        <v>0</v>
      </c>
      <c r="Z296"/>
      <c r="AA296" s="37" t="e">
        <f>IF(DaybyDay[[#This Row],[_Space]],DaybyDay[[#This Row],[Ret-Act-RU]]/DaybyDay[[#This Row],[Serv-Act-RU]],"")</f>
        <v>#DIV/0!</v>
      </c>
      <c r="AB296" s="50" t="e">
        <f>IF(DaybyDay[[#This Row],[_Space]],DaybyDay[[#This Row],[RETPEN-Act]]/DaybyDay[[#This Row],[RETPEN-Bud]],"")</f>
        <v>#DIV/0!</v>
      </c>
      <c r="AC296" s="37" t="e">
        <f>IF(DaybyDay[[#This Row],[_Space]],DaybyDay[[#This Row],[Ret-Bud-RU]]/DaybyDay[[#This Row],[Serv-Bud-RU]],"")</f>
        <v>#DIV/0!</v>
      </c>
      <c r="AD296" s="37" t="e">
        <f>IF(DaybyDay[[#This Row],[_Space]],DaybyDay[[#This Row],[Ret-LY-RU]]/DaybyDay[[#This Row],[Serv-LY-RU]],"")</f>
        <v>#DIV/0!</v>
      </c>
      <c r="AE296" s="30">
        <f>WEEKDAY(DaybyDay[[#This Row],[LY-Date]])</f>
        <v>3</v>
      </c>
      <c r="AF296" s="38">
        <f>$E$2+_xlfn.DAYS(DaybyDay[[#This Row],[Date]],minDate)</f>
        <v>42661</v>
      </c>
      <c r="AG296" s="39" t="str" cm="1">
        <f t="array" ref="AG296">IFERROR(INDEX(DaybyDay[],DaybyDay[[#This Row],[FORM_MATCH_HELPER]],8),"")</f>
        <v/>
      </c>
      <c r="AH296" s="39" t="str" cm="1">
        <f t="array" ref="AH296">IFERROR(INDEX(DaybyDay[],DaybyDay[[#This Row],[FORM_MATCH_HELPER]],10),"")</f>
        <v/>
      </c>
      <c r="AI296" s="39" t="str" cm="1">
        <f t="array" ref="AI296">IFERROR(INDEX(DaybyDay[],DaybyDay[[#This Row],[FORM_MATCH_HELPER]],12),"")</f>
        <v/>
      </c>
      <c r="AJ296" s="32">
        <f>IFERROR(DaybyDay[[#This Row],[Serv-LY-RU]]+DaybyDay[[#This Row],[Ret-LY-RU]],"")</f>
        <v>0</v>
      </c>
      <c r="AK2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6" s="77"/>
      <c r="AM296" s="40" t="str">
        <f>IF(DaybyDay[[#This Row],[Admin Hours]]&gt;0,DaybyDay[[#This Row],[Admin Hours]]*$AM$2+$AM$3,"")</f>
        <v/>
      </c>
      <c r="AN296" s="40">
        <f>SUMIFS(DaybyDay[Est-Admin-Payroll],DaybyDay[Date],"&gt;="&amp;$C$5,DaybyDay[RowYear],"&gt;="&amp;$C$4,DaybyDay[Date],"&lt;="&amp;DaybyDay[[#This Row],[Date]])</f>
        <v>0</v>
      </c>
      <c r="AO296" s="41" t="str">
        <f>IF(AND(DaybyDay[[#This Row],[_Space]],ISNUMBER(DaybyDay[[#This Row],[Admin Hours]])),DaybyDay[[#This Row],[Est-Admin-Payroll]]/(DaybyDay[[#This Row],[Service-Actuals]]+DaybyDay[[#This Row],[Retail-Actuals]]),"")</f>
        <v/>
      </c>
      <c r="AP296" s="41" t="e">
        <f>DaybyDay[[#This Row],[Estimated-Payroll-Rollup]]/DaybyDay[[#This Row],[Simple-Forecast]]</f>
        <v>#DIV/0!</v>
      </c>
      <c r="AQ2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6" s="77"/>
      <c r="AS296" s="40" t="str">
        <f>IF(DaybyDay[[#This Row],[Retail Hours]]&gt;0,DaybyDay[[#This Row],[Retail Hours]]*$AS$2,"")</f>
        <v/>
      </c>
      <c r="AT296" s="40">
        <f>SUMIFS(DaybyDay[Est-Retail-Payroll],DaybyDay[Date],"&gt;="&amp;$C$5,DaybyDay[RowYear],"&gt;="&amp;$C$4,DaybyDay[Date],"&lt;="&amp;DaybyDay[[#This Row],[Date]])</f>
        <v>0</v>
      </c>
      <c r="AU296" s="82" t="str">
        <f>IF(AND(DaybyDay[[#This Row],[_Space]],ISNUMBER(DaybyDay[[#This Row],[Retail Hours]])),DaybyDay[[#This Row],[Est-Retail-Payroll]]/(DaybyDay[[#This Row],[Retail-Actuals]]),"")</f>
        <v/>
      </c>
      <c r="AV296" s="82" t="e">
        <f>DaybyDay[[#This Row],[Est-Retail-PayrollRU]]/DaybyDay[[#This Row],[Simple-Forecast-Retail]]</f>
        <v>#DIV/0!</v>
      </c>
      <c r="AW296" s="8"/>
    </row>
    <row r="297" spans="3:49" hidden="1" x14ac:dyDescent="0.25">
      <c r="C297" s="26" t="str">
        <f>Tools!$C$1</f>
        <v>Example</v>
      </c>
      <c r="D297" s="27" t="s">
        <v>77</v>
      </c>
      <c r="E297" s="28">
        <v>2017</v>
      </c>
      <c r="F297" s="28">
        <f>MATCH(DaybyDay[[#This Row],[RowMonth]],Table3[SummaryMonth],0)</f>
        <v>10</v>
      </c>
      <c r="G297" s="29" t="e">
        <f>MATCH(DaybyDay[[#This Row],[LY-Date]],DaybyDay[Date],0)</f>
        <v>#N/A</v>
      </c>
      <c r="H297" s="30">
        <f>WEEKDAY(DaybyDay[[#This Row],[Date]])</f>
        <v>4</v>
      </c>
      <c r="I297" s="31">
        <v>43026</v>
      </c>
      <c r="J297" s="74">
        <v>27</v>
      </c>
      <c r="K297" s="32">
        <f>SUMIFS(BudgetSeasonality[365 Seasonality],BudgetSeasonality[MonthAdjustment],DaybyDay[[#This Row],[Date]])*SUMIFS(Budgets[Service-Budget],Budgets[BudgetMonth],DaybyDay[[#This Row],[RowMonth]],Budgets[BudgetYear],DaybyDay[[#This Row],[RowYear]])</f>
        <v>0</v>
      </c>
      <c r="L297" s="75">
        <v>6163</v>
      </c>
      <c r="M297" s="32">
        <f>INDEX(BudgetSeasonality[365 Seasonality],MATCH(DaybyDay[[#This Row],[Date]],BudgetSeasonality[MonthAdjustment],0))*SUMIFS(Budgets[Retail-Budget],Budgets[BudgetMonth],DaybyDay[[#This Row],[RowMonth]],Budgets[BudgetYear],DaybyDay[[#This Row],[RowYear]])</f>
        <v>0</v>
      </c>
      <c r="N297" s="75">
        <v>308</v>
      </c>
      <c r="O297" s="33">
        <f>SUMIFS(DaybyDay[Service-Budgets],DaybyDay[Date],"&gt;="&amp;$C$5,DaybyDay[RowYear],"&gt;="&amp;$C$4,DaybyDay[Date],"&lt;="&amp;DaybyDay[[#This Row],[Date]])</f>
        <v>0</v>
      </c>
      <c r="P297" s="33">
        <f>SUMIFS(DaybyDay[Retail-Budgets],DaybyDay[Date],"&gt;="&amp;$C$5,DaybyDay[RowYear],"&gt;="&amp;$C$4,DaybyDay[Date],"&lt;="&amp;DaybyDay[[#This Row],[Date]])</f>
        <v>0</v>
      </c>
      <c r="Q297" s="34">
        <f>SUMIFS(DaybyDay[Service-Actuals],DaybyDay[Date],"&gt;="&amp;$C$5,DaybyDay[RowYear],"&gt;="&amp;$C$4,DaybyDay[Date],"&lt;="&amp;DaybyDay[[#This Row],[Date]])</f>
        <v>0</v>
      </c>
      <c r="R297" s="34">
        <f>SUMIFS(DaybyDay[Retail-Actuals],DaybyDay[Date],"&gt;="&amp;$C$5,DaybyDay[RowYear],"&gt;="&amp;$C$4,DaybyDay[Date],"&lt;="&amp;DaybyDay[[#This Row],[Date]])</f>
        <v>0</v>
      </c>
      <c r="S297" s="35">
        <f>SUMIFS(DaybyDay[Service-LY],DaybyDay[Date],"&gt;="&amp;$C$5,DaybyDay[RowYear],"&gt;="&amp;$C$4,DaybyDay[Date],"&lt;="&amp;DaybyDay[[#This Row],[Date]])</f>
        <v>0</v>
      </c>
      <c r="T297" s="35">
        <f>SUMIFS(DaybyDay[Retail-LY],DaybyDay[Date],"&gt;="&amp;$C$5,DaybyDay[RowYear],"&gt;="&amp;$C$4,DaybyDay[Date],"&lt;="&amp;DaybyDay[[#This Row],[Date]])</f>
        <v>0</v>
      </c>
      <c r="U297" s="32">
        <f>DaybyDay[[#This Row],[Serv-Bud-RU]]+DaybyDay[[#This Row],[Ret-Bud-RU]]</f>
        <v>0</v>
      </c>
      <c r="V297" s="32">
        <f>DaybyDay[[#This Row],[Serv-Act-RU]]+DaybyDay[[#This Row],[Ret-Act-RU]]</f>
        <v>0</v>
      </c>
      <c r="W297" s="36">
        <f>IF(DaybyDay[[#This Row],[_Space]],IFERROR(
((DaybyDay[[#This Row],[Actual-Rollup]]-DaybyDay[[#This Row],[Budget-Rollup]])/DaybyDay[[#This Row],[Budget-Rollup]]),0),"")</f>
        <v>0</v>
      </c>
      <c r="X297" t="b">
        <f>NOT(AND(ISBLANK(DaybyDay[[#This Row],[Appts]]),ISBLANK(DaybyDay[[#This Row],[Service-Actuals]]),ISBLANK(DaybyDay[[#This Row],[Retail-Actuals]])))</f>
        <v>1</v>
      </c>
      <c r="Y297" s="36">
        <f>IF(DaybyDay[[#This Row],[_Space]],IFERROR(
((DaybyDay[[#This Row],[Actual-Rollup]]-DaybyDay[[#This Row],[LY-Rollup]])/DaybyDay[[#This Row],[LY-Rollup]]),0),"")</f>
        <v>0</v>
      </c>
      <c r="Z297"/>
      <c r="AA297" s="37" t="e">
        <f>IF(DaybyDay[[#This Row],[_Space]],DaybyDay[[#This Row],[Ret-Act-RU]]/DaybyDay[[#This Row],[Serv-Act-RU]],"")</f>
        <v>#DIV/0!</v>
      </c>
      <c r="AB297" s="50" t="e">
        <f>IF(DaybyDay[[#This Row],[_Space]],DaybyDay[[#This Row],[RETPEN-Act]]/DaybyDay[[#This Row],[RETPEN-Bud]],"")</f>
        <v>#DIV/0!</v>
      </c>
      <c r="AC297" s="37" t="e">
        <f>IF(DaybyDay[[#This Row],[_Space]],DaybyDay[[#This Row],[Ret-Bud-RU]]/DaybyDay[[#This Row],[Serv-Bud-RU]],"")</f>
        <v>#DIV/0!</v>
      </c>
      <c r="AD297" s="37" t="e">
        <f>IF(DaybyDay[[#This Row],[_Space]],DaybyDay[[#This Row],[Ret-LY-RU]]/DaybyDay[[#This Row],[Serv-LY-RU]],"")</f>
        <v>#DIV/0!</v>
      </c>
      <c r="AE297" s="30">
        <f>WEEKDAY(DaybyDay[[#This Row],[LY-Date]])</f>
        <v>4</v>
      </c>
      <c r="AF297" s="38">
        <f>$E$2+_xlfn.DAYS(DaybyDay[[#This Row],[Date]],minDate)</f>
        <v>42662</v>
      </c>
      <c r="AG297" s="39" t="str" cm="1">
        <f t="array" ref="AG297">IFERROR(INDEX(DaybyDay[],DaybyDay[[#This Row],[FORM_MATCH_HELPER]],8),"")</f>
        <v/>
      </c>
      <c r="AH297" s="39" t="str" cm="1">
        <f t="array" ref="AH297">IFERROR(INDEX(DaybyDay[],DaybyDay[[#This Row],[FORM_MATCH_HELPER]],10),"")</f>
        <v/>
      </c>
      <c r="AI297" s="39" t="str" cm="1">
        <f t="array" ref="AI297">IFERROR(INDEX(DaybyDay[],DaybyDay[[#This Row],[FORM_MATCH_HELPER]],12),"")</f>
        <v/>
      </c>
      <c r="AJ297" s="32">
        <f>IFERROR(DaybyDay[[#This Row],[Serv-LY-RU]]+DaybyDay[[#This Row],[Ret-LY-RU]],"")</f>
        <v>0</v>
      </c>
      <c r="AK2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7" s="77"/>
      <c r="AM297" s="40" t="str">
        <f>IF(DaybyDay[[#This Row],[Admin Hours]]&gt;0,DaybyDay[[#This Row],[Admin Hours]]*$AM$2+$AM$3,"")</f>
        <v/>
      </c>
      <c r="AN297" s="40">
        <f>SUMIFS(DaybyDay[Est-Admin-Payroll],DaybyDay[Date],"&gt;="&amp;$C$5,DaybyDay[RowYear],"&gt;="&amp;$C$4,DaybyDay[Date],"&lt;="&amp;DaybyDay[[#This Row],[Date]])</f>
        <v>0</v>
      </c>
      <c r="AO297" s="41" t="str">
        <f>IF(AND(DaybyDay[[#This Row],[_Space]],ISNUMBER(DaybyDay[[#This Row],[Admin Hours]])),DaybyDay[[#This Row],[Est-Admin-Payroll]]/(DaybyDay[[#This Row],[Service-Actuals]]+DaybyDay[[#This Row],[Retail-Actuals]]),"")</f>
        <v/>
      </c>
      <c r="AP297" s="41" t="e">
        <f>DaybyDay[[#This Row],[Estimated-Payroll-Rollup]]/DaybyDay[[#This Row],[Simple-Forecast]]</f>
        <v>#DIV/0!</v>
      </c>
      <c r="AQ2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7" s="77"/>
      <c r="AS297" s="40" t="str">
        <f>IF(DaybyDay[[#This Row],[Retail Hours]]&gt;0,DaybyDay[[#This Row],[Retail Hours]]*$AS$2,"")</f>
        <v/>
      </c>
      <c r="AT297" s="40">
        <f>SUMIFS(DaybyDay[Est-Retail-Payroll],DaybyDay[Date],"&gt;="&amp;$C$5,DaybyDay[RowYear],"&gt;="&amp;$C$4,DaybyDay[Date],"&lt;="&amp;DaybyDay[[#This Row],[Date]])</f>
        <v>0</v>
      </c>
      <c r="AU297" s="82" t="str">
        <f>IF(AND(DaybyDay[[#This Row],[_Space]],ISNUMBER(DaybyDay[[#This Row],[Retail Hours]])),DaybyDay[[#This Row],[Est-Retail-Payroll]]/(DaybyDay[[#This Row],[Retail-Actuals]]),"")</f>
        <v/>
      </c>
      <c r="AV297" s="82" t="e">
        <f>DaybyDay[[#This Row],[Est-Retail-PayrollRU]]/DaybyDay[[#This Row],[Simple-Forecast-Retail]]</f>
        <v>#DIV/0!</v>
      </c>
      <c r="AW297" s="8"/>
    </row>
    <row r="298" spans="3:49" hidden="1" x14ac:dyDescent="0.25">
      <c r="C298" s="26" t="str">
        <f>Tools!$C$1</f>
        <v>Example</v>
      </c>
      <c r="D298" s="27" t="s">
        <v>77</v>
      </c>
      <c r="E298" s="28">
        <v>2017</v>
      </c>
      <c r="F298" s="28">
        <f>MATCH(DaybyDay[[#This Row],[RowMonth]],Table3[SummaryMonth],0)</f>
        <v>10</v>
      </c>
      <c r="G298" s="29" t="e">
        <f>MATCH(DaybyDay[[#This Row],[LY-Date]],DaybyDay[Date],0)</f>
        <v>#N/A</v>
      </c>
      <c r="H298" s="30">
        <f>WEEKDAY(DaybyDay[[#This Row],[Date]])</f>
        <v>5</v>
      </c>
      <c r="I298" s="31">
        <v>43027</v>
      </c>
      <c r="J298" s="74">
        <v>18</v>
      </c>
      <c r="K298" s="32">
        <f>SUMIFS(BudgetSeasonality[365 Seasonality],BudgetSeasonality[MonthAdjustment],DaybyDay[[#This Row],[Date]])*SUMIFS(Budgets[Service-Budget],Budgets[BudgetMonth],DaybyDay[[#This Row],[RowMonth]],Budgets[BudgetYear],DaybyDay[[#This Row],[RowYear]])</f>
        <v>0</v>
      </c>
      <c r="L298" s="75">
        <v>4424.8900000000003</v>
      </c>
      <c r="M298" s="32">
        <f>INDEX(BudgetSeasonality[365 Seasonality],MATCH(DaybyDay[[#This Row],[Date]],BudgetSeasonality[MonthAdjustment],0))*SUMIFS(Budgets[Retail-Budget],Budgets[BudgetMonth],DaybyDay[[#This Row],[RowMonth]],Budgets[BudgetYear],DaybyDay[[#This Row],[RowYear]])</f>
        <v>0</v>
      </c>
      <c r="N298" s="75">
        <v>-600.74</v>
      </c>
      <c r="O298" s="33">
        <f>SUMIFS(DaybyDay[Service-Budgets],DaybyDay[Date],"&gt;="&amp;$C$5,DaybyDay[RowYear],"&gt;="&amp;$C$4,DaybyDay[Date],"&lt;="&amp;DaybyDay[[#This Row],[Date]])</f>
        <v>0</v>
      </c>
      <c r="P298" s="33">
        <f>SUMIFS(DaybyDay[Retail-Budgets],DaybyDay[Date],"&gt;="&amp;$C$5,DaybyDay[RowYear],"&gt;="&amp;$C$4,DaybyDay[Date],"&lt;="&amp;DaybyDay[[#This Row],[Date]])</f>
        <v>0</v>
      </c>
      <c r="Q298" s="34">
        <f>SUMIFS(DaybyDay[Service-Actuals],DaybyDay[Date],"&gt;="&amp;$C$5,DaybyDay[RowYear],"&gt;="&amp;$C$4,DaybyDay[Date],"&lt;="&amp;DaybyDay[[#This Row],[Date]])</f>
        <v>0</v>
      </c>
      <c r="R298" s="34">
        <f>SUMIFS(DaybyDay[Retail-Actuals],DaybyDay[Date],"&gt;="&amp;$C$5,DaybyDay[RowYear],"&gt;="&amp;$C$4,DaybyDay[Date],"&lt;="&amp;DaybyDay[[#This Row],[Date]])</f>
        <v>0</v>
      </c>
      <c r="S298" s="35">
        <f>SUMIFS(DaybyDay[Service-LY],DaybyDay[Date],"&gt;="&amp;$C$5,DaybyDay[RowYear],"&gt;="&amp;$C$4,DaybyDay[Date],"&lt;="&amp;DaybyDay[[#This Row],[Date]])</f>
        <v>0</v>
      </c>
      <c r="T298" s="35">
        <f>SUMIFS(DaybyDay[Retail-LY],DaybyDay[Date],"&gt;="&amp;$C$5,DaybyDay[RowYear],"&gt;="&amp;$C$4,DaybyDay[Date],"&lt;="&amp;DaybyDay[[#This Row],[Date]])</f>
        <v>0</v>
      </c>
      <c r="U298" s="32">
        <f>DaybyDay[[#This Row],[Serv-Bud-RU]]+DaybyDay[[#This Row],[Ret-Bud-RU]]</f>
        <v>0</v>
      </c>
      <c r="V298" s="32">
        <f>DaybyDay[[#This Row],[Serv-Act-RU]]+DaybyDay[[#This Row],[Ret-Act-RU]]</f>
        <v>0</v>
      </c>
      <c r="W298" s="36">
        <f>IF(DaybyDay[[#This Row],[_Space]],IFERROR(
((DaybyDay[[#This Row],[Actual-Rollup]]-DaybyDay[[#This Row],[Budget-Rollup]])/DaybyDay[[#This Row],[Budget-Rollup]]),0),"")</f>
        <v>0</v>
      </c>
      <c r="X298" t="b">
        <f>NOT(AND(ISBLANK(DaybyDay[[#This Row],[Appts]]),ISBLANK(DaybyDay[[#This Row],[Service-Actuals]]),ISBLANK(DaybyDay[[#This Row],[Retail-Actuals]])))</f>
        <v>1</v>
      </c>
      <c r="Y298" s="36">
        <f>IF(DaybyDay[[#This Row],[_Space]],IFERROR(
((DaybyDay[[#This Row],[Actual-Rollup]]-DaybyDay[[#This Row],[LY-Rollup]])/DaybyDay[[#This Row],[LY-Rollup]]),0),"")</f>
        <v>0</v>
      </c>
      <c r="Z298"/>
      <c r="AA298" s="37" t="e">
        <f>IF(DaybyDay[[#This Row],[_Space]],DaybyDay[[#This Row],[Ret-Act-RU]]/DaybyDay[[#This Row],[Serv-Act-RU]],"")</f>
        <v>#DIV/0!</v>
      </c>
      <c r="AB298" s="50" t="e">
        <f>IF(DaybyDay[[#This Row],[_Space]],DaybyDay[[#This Row],[RETPEN-Act]]/DaybyDay[[#This Row],[RETPEN-Bud]],"")</f>
        <v>#DIV/0!</v>
      </c>
      <c r="AC298" s="37" t="e">
        <f>IF(DaybyDay[[#This Row],[_Space]],DaybyDay[[#This Row],[Ret-Bud-RU]]/DaybyDay[[#This Row],[Serv-Bud-RU]],"")</f>
        <v>#DIV/0!</v>
      </c>
      <c r="AD298" s="37" t="e">
        <f>IF(DaybyDay[[#This Row],[_Space]],DaybyDay[[#This Row],[Ret-LY-RU]]/DaybyDay[[#This Row],[Serv-LY-RU]],"")</f>
        <v>#DIV/0!</v>
      </c>
      <c r="AE298" s="30">
        <f>WEEKDAY(DaybyDay[[#This Row],[LY-Date]])</f>
        <v>5</v>
      </c>
      <c r="AF298" s="38">
        <f>$E$2+_xlfn.DAYS(DaybyDay[[#This Row],[Date]],minDate)</f>
        <v>42663</v>
      </c>
      <c r="AG298" s="39" t="str" cm="1">
        <f t="array" ref="AG298">IFERROR(INDEX(DaybyDay[],DaybyDay[[#This Row],[FORM_MATCH_HELPER]],8),"")</f>
        <v/>
      </c>
      <c r="AH298" s="39" t="str" cm="1">
        <f t="array" ref="AH298">IFERROR(INDEX(DaybyDay[],DaybyDay[[#This Row],[FORM_MATCH_HELPER]],10),"")</f>
        <v/>
      </c>
      <c r="AI298" s="39" t="str" cm="1">
        <f t="array" ref="AI298">IFERROR(INDEX(DaybyDay[],DaybyDay[[#This Row],[FORM_MATCH_HELPER]],12),"")</f>
        <v/>
      </c>
      <c r="AJ298" s="32">
        <f>IFERROR(DaybyDay[[#This Row],[Serv-LY-RU]]+DaybyDay[[#This Row],[Ret-LY-RU]],"")</f>
        <v>0</v>
      </c>
      <c r="AK2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8" s="77"/>
      <c r="AM298" s="40" t="str">
        <f>IF(DaybyDay[[#This Row],[Admin Hours]]&gt;0,DaybyDay[[#This Row],[Admin Hours]]*$AM$2+$AM$3,"")</f>
        <v/>
      </c>
      <c r="AN298" s="40">
        <f>SUMIFS(DaybyDay[Est-Admin-Payroll],DaybyDay[Date],"&gt;="&amp;$C$5,DaybyDay[RowYear],"&gt;="&amp;$C$4,DaybyDay[Date],"&lt;="&amp;DaybyDay[[#This Row],[Date]])</f>
        <v>0</v>
      </c>
      <c r="AO298" s="41" t="str">
        <f>IF(AND(DaybyDay[[#This Row],[_Space]],ISNUMBER(DaybyDay[[#This Row],[Admin Hours]])),DaybyDay[[#This Row],[Est-Admin-Payroll]]/(DaybyDay[[#This Row],[Service-Actuals]]+DaybyDay[[#This Row],[Retail-Actuals]]),"")</f>
        <v/>
      </c>
      <c r="AP298" s="41" t="e">
        <f>DaybyDay[[#This Row],[Estimated-Payroll-Rollup]]/DaybyDay[[#This Row],[Simple-Forecast]]</f>
        <v>#DIV/0!</v>
      </c>
      <c r="AQ2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8" s="77"/>
      <c r="AS298" s="40" t="str">
        <f>IF(DaybyDay[[#This Row],[Retail Hours]]&gt;0,DaybyDay[[#This Row],[Retail Hours]]*$AS$2,"")</f>
        <v/>
      </c>
      <c r="AT298" s="40">
        <f>SUMIFS(DaybyDay[Est-Retail-Payroll],DaybyDay[Date],"&gt;="&amp;$C$5,DaybyDay[RowYear],"&gt;="&amp;$C$4,DaybyDay[Date],"&lt;="&amp;DaybyDay[[#This Row],[Date]])</f>
        <v>0</v>
      </c>
      <c r="AU298" s="82" t="str">
        <f>IF(AND(DaybyDay[[#This Row],[_Space]],ISNUMBER(DaybyDay[[#This Row],[Retail Hours]])),DaybyDay[[#This Row],[Est-Retail-Payroll]]/(DaybyDay[[#This Row],[Retail-Actuals]]),"")</f>
        <v/>
      </c>
      <c r="AV298" s="82" t="e">
        <f>DaybyDay[[#This Row],[Est-Retail-PayrollRU]]/DaybyDay[[#This Row],[Simple-Forecast-Retail]]</f>
        <v>#DIV/0!</v>
      </c>
      <c r="AW298" s="8"/>
    </row>
    <row r="299" spans="3:49" hidden="1" x14ac:dyDescent="0.25">
      <c r="C299" s="26" t="str">
        <f>Tools!$C$1</f>
        <v>Example</v>
      </c>
      <c r="D299" s="27" t="s">
        <v>77</v>
      </c>
      <c r="E299" s="28">
        <v>2017</v>
      </c>
      <c r="F299" s="28">
        <f>MATCH(DaybyDay[[#This Row],[RowMonth]],Table3[SummaryMonth],0)</f>
        <v>10</v>
      </c>
      <c r="G299" s="29" t="e">
        <f>MATCH(DaybyDay[[#This Row],[LY-Date]],DaybyDay[Date],0)</f>
        <v>#N/A</v>
      </c>
      <c r="H299" s="30">
        <f>WEEKDAY(DaybyDay[[#This Row],[Date]])</f>
        <v>6</v>
      </c>
      <c r="I299" s="31">
        <v>43028</v>
      </c>
      <c r="J299" s="74">
        <v>31</v>
      </c>
      <c r="K299" s="32">
        <f>SUMIFS(BudgetSeasonality[365 Seasonality],BudgetSeasonality[MonthAdjustment],DaybyDay[[#This Row],[Date]])*SUMIFS(Budgets[Service-Budget],Budgets[BudgetMonth],DaybyDay[[#This Row],[RowMonth]],Budgets[BudgetYear],DaybyDay[[#This Row],[RowYear]])</f>
        <v>0</v>
      </c>
      <c r="L299" s="75">
        <v>5087.5</v>
      </c>
      <c r="M299" s="32">
        <f>INDEX(BudgetSeasonality[365 Seasonality],MATCH(DaybyDay[[#This Row],[Date]],BudgetSeasonality[MonthAdjustment],0))*SUMIFS(Budgets[Retail-Budget],Budgets[BudgetMonth],DaybyDay[[#This Row],[RowMonth]],Budgets[BudgetYear],DaybyDay[[#This Row],[RowYear]])</f>
        <v>0</v>
      </c>
      <c r="N299" s="75">
        <v>4223</v>
      </c>
      <c r="O299" s="33">
        <f>SUMIFS(DaybyDay[Service-Budgets],DaybyDay[Date],"&gt;="&amp;$C$5,DaybyDay[RowYear],"&gt;="&amp;$C$4,DaybyDay[Date],"&lt;="&amp;DaybyDay[[#This Row],[Date]])</f>
        <v>0</v>
      </c>
      <c r="P299" s="33">
        <f>SUMIFS(DaybyDay[Retail-Budgets],DaybyDay[Date],"&gt;="&amp;$C$5,DaybyDay[RowYear],"&gt;="&amp;$C$4,DaybyDay[Date],"&lt;="&amp;DaybyDay[[#This Row],[Date]])</f>
        <v>0</v>
      </c>
      <c r="Q299" s="34">
        <f>SUMIFS(DaybyDay[Service-Actuals],DaybyDay[Date],"&gt;="&amp;$C$5,DaybyDay[RowYear],"&gt;="&amp;$C$4,DaybyDay[Date],"&lt;="&amp;DaybyDay[[#This Row],[Date]])</f>
        <v>0</v>
      </c>
      <c r="R299" s="34">
        <f>SUMIFS(DaybyDay[Retail-Actuals],DaybyDay[Date],"&gt;="&amp;$C$5,DaybyDay[RowYear],"&gt;="&amp;$C$4,DaybyDay[Date],"&lt;="&amp;DaybyDay[[#This Row],[Date]])</f>
        <v>0</v>
      </c>
      <c r="S299" s="35">
        <f>SUMIFS(DaybyDay[Service-LY],DaybyDay[Date],"&gt;="&amp;$C$5,DaybyDay[RowYear],"&gt;="&amp;$C$4,DaybyDay[Date],"&lt;="&amp;DaybyDay[[#This Row],[Date]])</f>
        <v>0</v>
      </c>
      <c r="T299" s="35">
        <f>SUMIFS(DaybyDay[Retail-LY],DaybyDay[Date],"&gt;="&amp;$C$5,DaybyDay[RowYear],"&gt;="&amp;$C$4,DaybyDay[Date],"&lt;="&amp;DaybyDay[[#This Row],[Date]])</f>
        <v>0</v>
      </c>
      <c r="U299" s="32">
        <f>DaybyDay[[#This Row],[Serv-Bud-RU]]+DaybyDay[[#This Row],[Ret-Bud-RU]]</f>
        <v>0</v>
      </c>
      <c r="V299" s="32">
        <f>DaybyDay[[#This Row],[Serv-Act-RU]]+DaybyDay[[#This Row],[Ret-Act-RU]]</f>
        <v>0</v>
      </c>
      <c r="W299" s="36">
        <f>IF(DaybyDay[[#This Row],[_Space]],IFERROR(
((DaybyDay[[#This Row],[Actual-Rollup]]-DaybyDay[[#This Row],[Budget-Rollup]])/DaybyDay[[#This Row],[Budget-Rollup]]),0),"")</f>
        <v>0</v>
      </c>
      <c r="X299" t="b">
        <f>NOT(AND(ISBLANK(DaybyDay[[#This Row],[Appts]]),ISBLANK(DaybyDay[[#This Row],[Service-Actuals]]),ISBLANK(DaybyDay[[#This Row],[Retail-Actuals]])))</f>
        <v>1</v>
      </c>
      <c r="Y299" s="36">
        <f>IF(DaybyDay[[#This Row],[_Space]],IFERROR(
((DaybyDay[[#This Row],[Actual-Rollup]]-DaybyDay[[#This Row],[LY-Rollup]])/DaybyDay[[#This Row],[LY-Rollup]]),0),"")</f>
        <v>0</v>
      </c>
      <c r="Z299"/>
      <c r="AA299" s="37" t="e">
        <f>IF(DaybyDay[[#This Row],[_Space]],DaybyDay[[#This Row],[Ret-Act-RU]]/DaybyDay[[#This Row],[Serv-Act-RU]],"")</f>
        <v>#DIV/0!</v>
      </c>
      <c r="AB299" s="50" t="e">
        <f>IF(DaybyDay[[#This Row],[_Space]],DaybyDay[[#This Row],[RETPEN-Act]]/DaybyDay[[#This Row],[RETPEN-Bud]],"")</f>
        <v>#DIV/0!</v>
      </c>
      <c r="AC299" s="37" t="e">
        <f>IF(DaybyDay[[#This Row],[_Space]],DaybyDay[[#This Row],[Ret-Bud-RU]]/DaybyDay[[#This Row],[Serv-Bud-RU]],"")</f>
        <v>#DIV/0!</v>
      </c>
      <c r="AD299" s="37" t="e">
        <f>IF(DaybyDay[[#This Row],[_Space]],DaybyDay[[#This Row],[Ret-LY-RU]]/DaybyDay[[#This Row],[Serv-LY-RU]],"")</f>
        <v>#DIV/0!</v>
      </c>
      <c r="AE299" s="30">
        <f>WEEKDAY(DaybyDay[[#This Row],[LY-Date]])</f>
        <v>6</v>
      </c>
      <c r="AF299" s="38">
        <f>$E$2+_xlfn.DAYS(DaybyDay[[#This Row],[Date]],minDate)</f>
        <v>42664</v>
      </c>
      <c r="AG299" s="39" t="str" cm="1">
        <f t="array" ref="AG299">IFERROR(INDEX(DaybyDay[],DaybyDay[[#This Row],[FORM_MATCH_HELPER]],8),"")</f>
        <v/>
      </c>
      <c r="AH299" s="39" t="str" cm="1">
        <f t="array" ref="AH299">IFERROR(INDEX(DaybyDay[],DaybyDay[[#This Row],[FORM_MATCH_HELPER]],10),"")</f>
        <v/>
      </c>
      <c r="AI299" s="39" t="str" cm="1">
        <f t="array" ref="AI299">IFERROR(INDEX(DaybyDay[],DaybyDay[[#This Row],[FORM_MATCH_HELPER]],12),"")</f>
        <v/>
      </c>
      <c r="AJ299" s="32">
        <f>IFERROR(DaybyDay[[#This Row],[Serv-LY-RU]]+DaybyDay[[#This Row],[Ret-LY-RU]],"")</f>
        <v>0</v>
      </c>
      <c r="AK2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299" s="77"/>
      <c r="AM299" s="40" t="str">
        <f>IF(DaybyDay[[#This Row],[Admin Hours]]&gt;0,DaybyDay[[#This Row],[Admin Hours]]*$AM$2+$AM$3,"")</f>
        <v/>
      </c>
      <c r="AN299" s="40">
        <f>SUMIFS(DaybyDay[Est-Admin-Payroll],DaybyDay[Date],"&gt;="&amp;$C$5,DaybyDay[RowYear],"&gt;="&amp;$C$4,DaybyDay[Date],"&lt;="&amp;DaybyDay[[#This Row],[Date]])</f>
        <v>0</v>
      </c>
      <c r="AO299" s="41" t="str">
        <f>IF(AND(DaybyDay[[#This Row],[_Space]],ISNUMBER(DaybyDay[[#This Row],[Admin Hours]])),DaybyDay[[#This Row],[Est-Admin-Payroll]]/(DaybyDay[[#This Row],[Service-Actuals]]+DaybyDay[[#This Row],[Retail-Actuals]]),"")</f>
        <v/>
      </c>
      <c r="AP299" s="41" t="e">
        <f>DaybyDay[[#This Row],[Estimated-Payroll-Rollup]]/DaybyDay[[#This Row],[Simple-Forecast]]</f>
        <v>#DIV/0!</v>
      </c>
      <c r="AQ2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299" s="77"/>
      <c r="AS299" s="40" t="str">
        <f>IF(DaybyDay[[#This Row],[Retail Hours]]&gt;0,DaybyDay[[#This Row],[Retail Hours]]*$AS$2,"")</f>
        <v/>
      </c>
      <c r="AT299" s="40">
        <f>SUMIFS(DaybyDay[Est-Retail-Payroll],DaybyDay[Date],"&gt;="&amp;$C$5,DaybyDay[RowYear],"&gt;="&amp;$C$4,DaybyDay[Date],"&lt;="&amp;DaybyDay[[#This Row],[Date]])</f>
        <v>0</v>
      </c>
      <c r="AU299" s="82" t="str">
        <f>IF(AND(DaybyDay[[#This Row],[_Space]],ISNUMBER(DaybyDay[[#This Row],[Retail Hours]])),DaybyDay[[#This Row],[Est-Retail-Payroll]]/(DaybyDay[[#This Row],[Retail-Actuals]]),"")</f>
        <v/>
      </c>
      <c r="AV299" s="82" t="e">
        <f>DaybyDay[[#This Row],[Est-Retail-PayrollRU]]/DaybyDay[[#This Row],[Simple-Forecast-Retail]]</f>
        <v>#DIV/0!</v>
      </c>
      <c r="AW299" s="8"/>
    </row>
    <row r="300" spans="3:49" hidden="1" x14ac:dyDescent="0.25">
      <c r="C300" s="26" t="str">
        <f>Tools!$C$1</f>
        <v>Example</v>
      </c>
      <c r="D300" s="27" t="s">
        <v>77</v>
      </c>
      <c r="E300" s="28">
        <v>2017</v>
      </c>
      <c r="F300" s="28">
        <f>MATCH(DaybyDay[[#This Row],[RowMonth]],Table3[SummaryMonth],0)</f>
        <v>10</v>
      </c>
      <c r="G300" s="29" t="e">
        <f>MATCH(DaybyDay[[#This Row],[LY-Date]],DaybyDay[Date],0)</f>
        <v>#N/A</v>
      </c>
      <c r="H300" s="30">
        <f>WEEKDAY(DaybyDay[[#This Row],[Date]])</f>
        <v>7</v>
      </c>
      <c r="I300" s="31">
        <v>43029</v>
      </c>
      <c r="J300" s="74">
        <v>37</v>
      </c>
      <c r="K300" s="32">
        <f>SUMIFS(BudgetSeasonality[365 Seasonality],BudgetSeasonality[MonthAdjustment],DaybyDay[[#This Row],[Date]])*SUMIFS(Budgets[Service-Budget],Budgets[BudgetMonth],DaybyDay[[#This Row],[RowMonth]],Budgets[BudgetYear],DaybyDay[[#This Row],[RowYear]])</f>
        <v>0</v>
      </c>
      <c r="L300" s="75">
        <v>7825.49</v>
      </c>
      <c r="M300" s="32">
        <f>INDEX(BudgetSeasonality[365 Seasonality],MATCH(DaybyDay[[#This Row],[Date]],BudgetSeasonality[MonthAdjustment],0))*SUMIFS(Budgets[Retail-Budget],Budgets[BudgetMonth],DaybyDay[[#This Row],[RowMonth]],Budgets[BudgetYear],DaybyDay[[#This Row],[RowYear]])</f>
        <v>0</v>
      </c>
      <c r="N300" s="75">
        <v>627.51</v>
      </c>
      <c r="O300" s="33">
        <f>SUMIFS(DaybyDay[Service-Budgets],DaybyDay[Date],"&gt;="&amp;$C$5,DaybyDay[RowYear],"&gt;="&amp;$C$4,DaybyDay[Date],"&lt;="&amp;DaybyDay[[#This Row],[Date]])</f>
        <v>0</v>
      </c>
      <c r="P300" s="33">
        <f>SUMIFS(DaybyDay[Retail-Budgets],DaybyDay[Date],"&gt;="&amp;$C$5,DaybyDay[RowYear],"&gt;="&amp;$C$4,DaybyDay[Date],"&lt;="&amp;DaybyDay[[#This Row],[Date]])</f>
        <v>0</v>
      </c>
      <c r="Q300" s="34">
        <f>SUMIFS(DaybyDay[Service-Actuals],DaybyDay[Date],"&gt;="&amp;$C$5,DaybyDay[RowYear],"&gt;="&amp;$C$4,DaybyDay[Date],"&lt;="&amp;DaybyDay[[#This Row],[Date]])</f>
        <v>0</v>
      </c>
      <c r="R300" s="34">
        <f>SUMIFS(DaybyDay[Retail-Actuals],DaybyDay[Date],"&gt;="&amp;$C$5,DaybyDay[RowYear],"&gt;="&amp;$C$4,DaybyDay[Date],"&lt;="&amp;DaybyDay[[#This Row],[Date]])</f>
        <v>0</v>
      </c>
      <c r="S300" s="35">
        <f>SUMIFS(DaybyDay[Service-LY],DaybyDay[Date],"&gt;="&amp;$C$5,DaybyDay[RowYear],"&gt;="&amp;$C$4,DaybyDay[Date],"&lt;="&amp;DaybyDay[[#This Row],[Date]])</f>
        <v>0</v>
      </c>
      <c r="T300" s="35">
        <f>SUMIFS(DaybyDay[Retail-LY],DaybyDay[Date],"&gt;="&amp;$C$5,DaybyDay[RowYear],"&gt;="&amp;$C$4,DaybyDay[Date],"&lt;="&amp;DaybyDay[[#This Row],[Date]])</f>
        <v>0</v>
      </c>
      <c r="U300" s="32">
        <f>DaybyDay[[#This Row],[Serv-Bud-RU]]+DaybyDay[[#This Row],[Ret-Bud-RU]]</f>
        <v>0</v>
      </c>
      <c r="V300" s="32">
        <f>DaybyDay[[#This Row],[Serv-Act-RU]]+DaybyDay[[#This Row],[Ret-Act-RU]]</f>
        <v>0</v>
      </c>
      <c r="W300" s="36">
        <f>IF(DaybyDay[[#This Row],[_Space]],IFERROR(
((DaybyDay[[#This Row],[Actual-Rollup]]-DaybyDay[[#This Row],[Budget-Rollup]])/DaybyDay[[#This Row],[Budget-Rollup]]),0),"")</f>
        <v>0</v>
      </c>
      <c r="X300" t="b">
        <f>NOT(AND(ISBLANK(DaybyDay[[#This Row],[Appts]]),ISBLANK(DaybyDay[[#This Row],[Service-Actuals]]),ISBLANK(DaybyDay[[#This Row],[Retail-Actuals]])))</f>
        <v>1</v>
      </c>
      <c r="Y300" s="36">
        <f>IF(DaybyDay[[#This Row],[_Space]],IFERROR(
((DaybyDay[[#This Row],[Actual-Rollup]]-DaybyDay[[#This Row],[LY-Rollup]])/DaybyDay[[#This Row],[LY-Rollup]]),0),"")</f>
        <v>0</v>
      </c>
      <c r="Z300"/>
      <c r="AA300" s="37" t="e">
        <f>IF(DaybyDay[[#This Row],[_Space]],DaybyDay[[#This Row],[Ret-Act-RU]]/DaybyDay[[#This Row],[Serv-Act-RU]],"")</f>
        <v>#DIV/0!</v>
      </c>
      <c r="AB300" s="50" t="e">
        <f>IF(DaybyDay[[#This Row],[_Space]],DaybyDay[[#This Row],[RETPEN-Act]]/DaybyDay[[#This Row],[RETPEN-Bud]],"")</f>
        <v>#DIV/0!</v>
      </c>
      <c r="AC300" s="37" t="e">
        <f>IF(DaybyDay[[#This Row],[_Space]],DaybyDay[[#This Row],[Ret-Bud-RU]]/DaybyDay[[#This Row],[Serv-Bud-RU]],"")</f>
        <v>#DIV/0!</v>
      </c>
      <c r="AD300" s="37" t="e">
        <f>IF(DaybyDay[[#This Row],[_Space]],DaybyDay[[#This Row],[Ret-LY-RU]]/DaybyDay[[#This Row],[Serv-LY-RU]],"")</f>
        <v>#DIV/0!</v>
      </c>
      <c r="AE300" s="30">
        <f>WEEKDAY(DaybyDay[[#This Row],[LY-Date]])</f>
        <v>7</v>
      </c>
      <c r="AF300" s="38">
        <f>$E$2+_xlfn.DAYS(DaybyDay[[#This Row],[Date]],minDate)</f>
        <v>42665</v>
      </c>
      <c r="AG300" s="39" t="str" cm="1">
        <f t="array" ref="AG300">IFERROR(INDEX(DaybyDay[],DaybyDay[[#This Row],[FORM_MATCH_HELPER]],8),"")</f>
        <v/>
      </c>
      <c r="AH300" s="39" t="str" cm="1">
        <f t="array" ref="AH300">IFERROR(INDEX(DaybyDay[],DaybyDay[[#This Row],[FORM_MATCH_HELPER]],10),"")</f>
        <v/>
      </c>
      <c r="AI300" s="39" t="str" cm="1">
        <f t="array" ref="AI300">IFERROR(INDEX(DaybyDay[],DaybyDay[[#This Row],[FORM_MATCH_HELPER]],12),"")</f>
        <v/>
      </c>
      <c r="AJ300" s="32">
        <f>IFERROR(DaybyDay[[#This Row],[Serv-LY-RU]]+DaybyDay[[#This Row],[Ret-LY-RU]],"")</f>
        <v>0</v>
      </c>
      <c r="AK3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0" s="77"/>
      <c r="AM300" s="40" t="str">
        <f>IF(DaybyDay[[#This Row],[Admin Hours]]&gt;0,DaybyDay[[#This Row],[Admin Hours]]*$AM$2+$AM$3,"")</f>
        <v/>
      </c>
      <c r="AN300" s="40">
        <f>SUMIFS(DaybyDay[Est-Admin-Payroll],DaybyDay[Date],"&gt;="&amp;$C$5,DaybyDay[RowYear],"&gt;="&amp;$C$4,DaybyDay[Date],"&lt;="&amp;DaybyDay[[#This Row],[Date]])</f>
        <v>0</v>
      </c>
      <c r="AO300" s="41" t="str">
        <f>IF(AND(DaybyDay[[#This Row],[_Space]],ISNUMBER(DaybyDay[[#This Row],[Admin Hours]])),DaybyDay[[#This Row],[Est-Admin-Payroll]]/(DaybyDay[[#This Row],[Service-Actuals]]+DaybyDay[[#This Row],[Retail-Actuals]]),"")</f>
        <v/>
      </c>
      <c r="AP300" s="41" t="e">
        <f>DaybyDay[[#This Row],[Estimated-Payroll-Rollup]]/DaybyDay[[#This Row],[Simple-Forecast]]</f>
        <v>#DIV/0!</v>
      </c>
      <c r="AQ3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0" s="77"/>
      <c r="AS300" s="40" t="str">
        <f>IF(DaybyDay[[#This Row],[Retail Hours]]&gt;0,DaybyDay[[#This Row],[Retail Hours]]*$AS$2,"")</f>
        <v/>
      </c>
      <c r="AT300" s="40">
        <f>SUMIFS(DaybyDay[Est-Retail-Payroll],DaybyDay[Date],"&gt;="&amp;$C$5,DaybyDay[RowYear],"&gt;="&amp;$C$4,DaybyDay[Date],"&lt;="&amp;DaybyDay[[#This Row],[Date]])</f>
        <v>0</v>
      </c>
      <c r="AU300" s="82" t="str">
        <f>IF(AND(DaybyDay[[#This Row],[_Space]],ISNUMBER(DaybyDay[[#This Row],[Retail Hours]])),DaybyDay[[#This Row],[Est-Retail-Payroll]]/(DaybyDay[[#This Row],[Retail-Actuals]]),"")</f>
        <v/>
      </c>
      <c r="AV300" s="82" t="e">
        <f>DaybyDay[[#This Row],[Est-Retail-PayrollRU]]/DaybyDay[[#This Row],[Simple-Forecast-Retail]]</f>
        <v>#DIV/0!</v>
      </c>
      <c r="AW300" s="8"/>
    </row>
    <row r="301" spans="3:49" hidden="1" x14ac:dyDescent="0.25">
      <c r="C301" s="26" t="str">
        <f>Tools!$C$1</f>
        <v>Example</v>
      </c>
      <c r="D301" s="27" t="s">
        <v>77</v>
      </c>
      <c r="E301" s="28">
        <v>2017</v>
      </c>
      <c r="F301" s="28">
        <f>MATCH(DaybyDay[[#This Row],[RowMonth]],Table3[SummaryMonth],0)</f>
        <v>10</v>
      </c>
      <c r="G301" s="29" t="e">
        <f>MATCH(DaybyDay[[#This Row],[LY-Date]],DaybyDay[Date],0)</f>
        <v>#N/A</v>
      </c>
      <c r="H301" s="30">
        <f>WEEKDAY(DaybyDay[[#This Row],[Date]])</f>
        <v>1</v>
      </c>
      <c r="I301" s="31">
        <v>43030</v>
      </c>
      <c r="J301" s="74">
        <v>39</v>
      </c>
      <c r="K301" s="32">
        <f>SUMIFS(BudgetSeasonality[365 Seasonality],BudgetSeasonality[MonthAdjustment],DaybyDay[[#This Row],[Date]])*SUMIFS(Budgets[Service-Budget],Budgets[BudgetMonth],DaybyDay[[#This Row],[RowMonth]],Budgets[BudgetYear],DaybyDay[[#This Row],[RowYear]])</f>
        <v>0</v>
      </c>
      <c r="L301" s="75">
        <v>6211.1</v>
      </c>
      <c r="M301" s="32">
        <f>INDEX(BudgetSeasonality[365 Seasonality],MATCH(DaybyDay[[#This Row],[Date]],BudgetSeasonality[MonthAdjustment],0))*SUMIFS(Budgets[Retail-Budget],Budgets[BudgetMonth],DaybyDay[[#This Row],[RowMonth]],Budgets[BudgetYear],DaybyDay[[#This Row],[RowYear]])</f>
        <v>0</v>
      </c>
      <c r="N301" s="75">
        <v>930.3</v>
      </c>
      <c r="O301" s="33">
        <f>SUMIFS(DaybyDay[Service-Budgets],DaybyDay[Date],"&gt;="&amp;$C$5,DaybyDay[RowYear],"&gt;="&amp;$C$4,DaybyDay[Date],"&lt;="&amp;DaybyDay[[#This Row],[Date]])</f>
        <v>0</v>
      </c>
      <c r="P301" s="33">
        <f>SUMIFS(DaybyDay[Retail-Budgets],DaybyDay[Date],"&gt;="&amp;$C$5,DaybyDay[RowYear],"&gt;="&amp;$C$4,DaybyDay[Date],"&lt;="&amp;DaybyDay[[#This Row],[Date]])</f>
        <v>0</v>
      </c>
      <c r="Q301" s="34">
        <f>SUMIFS(DaybyDay[Service-Actuals],DaybyDay[Date],"&gt;="&amp;$C$5,DaybyDay[RowYear],"&gt;="&amp;$C$4,DaybyDay[Date],"&lt;="&amp;DaybyDay[[#This Row],[Date]])</f>
        <v>0</v>
      </c>
      <c r="R301" s="34">
        <f>SUMIFS(DaybyDay[Retail-Actuals],DaybyDay[Date],"&gt;="&amp;$C$5,DaybyDay[RowYear],"&gt;="&amp;$C$4,DaybyDay[Date],"&lt;="&amp;DaybyDay[[#This Row],[Date]])</f>
        <v>0</v>
      </c>
      <c r="S301" s="35">
        <f>SUMIFS(DaybyDay[Service-LY],DaybyDay[Date],"&gt;="&amp;$C$5,DaybyDay[RowYear],"&gt;="&amp;$C$4,DaybyDay[Date],"&lt;="&amp;DaybyDay[[#This Row],[Date]])</f>
        <v>0</v>
      </c>
      <c r="T301" s="35">
        <f>SUMIFS(DaybyDay[Retail-LY],DaybyDay[Date],"&gt;="&amp;$C$5,DaybyDay[RowYear],"&gt;="&amp;$C$4,DaybyDay[Date],"&lt;="&amp;DaybyDay[[#This Row],[Date]])</f>
        <v>0</v>
      </c>
      <c r="U301" s="32">
        <f>DaybyDay[[#This Row],[Serv-Bud-RU]]+DaybyDay[[#This Row],[Ret-Bud-RU]]</f>
        <v>0</v>
      </c>
      <c r="V301" s="32">
        <f>DaybyDay[[#This Row],[Serv-Act-RU]]+DaybyDay[[#This Row],[Ret-Act-RU]]</f>
        <v>0</v>
      </c>
      <c r="W301" s="36">
        <f>IF(DaybyDay[[#This Row],[_Space]],IFERROR(
((DaybyDay[[#This Row],[Actual-Rollup]]-DaybyDay[[#This Row],[Budget-Rollup]])/DaybyDay[[#This Row],[Budget-Rollup]]),0),"")</f>
        <v>0</v>
      </c>
      <c r="X301" t="b">
        <f>NOT(AND(ISBLANK(DaybyDay[[#This Row],[Appts]]),ISBLANK(DaybyDay[[#This Row],[Service-Actuals]]),ISBLANK(DaybyDay[[#This Row],[Retail-Actuals]])))</f>
        <v>1</v>
      </c>
      <c r="Y301" s="36">
        <f>IF(DaybyDay[[#This Row],[_Space]],IFERROR(
((DaybyDay[[#This Row],[Actual-Rollup]]-DaybyDay[[#This Row],[LY-Rollup]])/DaybyDay[[#This Row],[LY-Rollup]]),0),"")</f>
        <v>0</v>
      </c>
      <c r="Z301"/>
      <c r="AA301" s="37" t="e">
        <f>IF(DaybyDay[[#This Row],[_Space]],DaybyDay[[#This Row],[Ret-Act-RU]]/DaybyDay[[#This Row],[Serv-Act-RU]],"")</f>
        <v>#DIV/0!</v>
      </c>
      <c r="AB301" s="50" t="e">
        <f>IF(DaybyDay[[#This Row],[_Space]],DaybyDay[[#This Row],[RETPEN-Act]]/DaybyDay[[#This Row],[RETPEN-Bud]],"")</f>
        <v>#DIV/0!</v>
      </c>
      <c r="AC301" s="37" t="e">
        <f>IF(DaybyDay[[#This Row],[_Space]],DaybyDay[[#This Row],[Ret-Bud-RU]]/DaybyDay[[#This Row],[Serv-Bud-RU]],"")</f>
        <v>#DIV/0!</v>
      </c>
      <c r="AD301" s="37" t="e">
        <f>IF(DaybyDay[[#This Row],[_Space]],DaybyDay[[#This Row],[Ret-LY-RU]]/DaybyDay[[#This Row],[Serv-LY-RU]],"")</f>
        <v>#DIV/0!</v>
      </c>
      <c r="AE301" s="30">
        <f>WEEKDAY(DaybyDay[[#This Row],[LY-Date]])</f>
        <v>1</v>
      </c>
      <c r="AF301" s="38">
        <f>$E$2+_xlfn.DAYS(DaybyDay[[#This Row],[Date]],minDate)</f>
        <v>42666</v>
      </c>
      <c r="AG301" s="39" t="str" cm="1">
        <f t="array" ref="AG301">IFERROR(INDEX(DaybyDay[],DaybyDay[[#This Row],[FORM_MATCH_HELPER]],8),"")</f>
        <v/>
      </c>
      <c r="AH301" s="39" t="str" cm="1">
        <f t="array" ref="AH301">IFERROR(INDEX(DaybyDay[],DaybyDay[[#This Row],[FORM_MATCH_HELPER]],10),"")</f>
        <v/>
      </c>
      <c r="AI301" s="39" t="str" cm="1">
        <f t="array" ref="AI301">IFERROR(INDEX(DaybyDay[],DaybyDay[[#This Row],[FORM_MATCH_HELPER]],12),"")</f>
        <v/>
      </c>
      <c r="AJ301" s="32">
        <f>IFERROR(DaybyDay[[#This Row],[Serv-LY-RU]]+DaybyDay[[#This Row],[Ret-LY-RU]],"")</f>
        <v>0</v>
      </c>
      <c r="AK3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1" s="77"/>
      <c r="AM301" s="40" t="str">
        <f>IF(DaybyDay[[#This Row],[Admin Hours]]&gt;0,DaybyDay[[#This Row],[Admin Hours]]*$AM$2+$AM$3,"")</f>
        <v/>
      </c>
      <c r="AN301" s="40">
        <f>SUMIFS(DaybyDay[Est-Admin-Payroll],DaybyDay[Date],"&gt;="&amp;$C$5,DaybyDay[RowYear],"&gt;="&amp;$C$4,DaybyDay[Date],"&lt;="&amp;DaybyDay[[#This Row],[Date]])</f>
        <v>0</v>
      </c>
      <c r="AO301" s="41" t="str">
        <f>IF(AND(DaybyDay[[#This Row],[_Space]],ISNUMBER(DaybyDay[[#This Row],[Admin Hours]])),DaybyDay[[#This Row],[Est-Admin-Payroll]]/(DaybyDay[[#This Row],[Service-Actuals]]+DaybyDay[[#This Row],[Retail-Actuals]]),"")</f>
        <v/>
      </c>
      <c r="AP301" s="41" t="e">
        <f>DaybyDay[[#This Row],[Estimated-Payroll-Rollup]]/DaybyDay[[#This Row],[Simple-Forecast]]</f>
        <v>#DIV/0!</v>
      </c>
      <c r="AQ3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1" s="77"/>
      <c r="AS301" s="40" t="str">
        <f>IF(DaybyDay[[#This Row],[Retail Hours]]&gt;0,DaybyDay[[#This Row],[Retail Hours]]*$AS$2,"")</f>
        <v/>
      </c>
      <c r="AT301" s="40">
        <f>SUMIFS(DaybyDay[Est-Retail-Payroll],DaybyDay[Date],"&gt;="&amp;$C$5,DaybyDay[RowYear],"&gt;="&amp;$C$4,DaybyDay[Date],"&lt;="&amp;DaybyDay[[#This Row],[Date]])</f>
        <v>0</v>
      </c>
      <c r="AU301" s="82" t="str">
        <f>IF(AND(DaybyDay[[#This Row],[_Space]],ISNUMBER(DaybyDay[[#This Row],[Retail Hours]])),DaybyDay[[#This Row],[Est-Retail-Payroll]]/(DaybyDay[[#This Row],[Retail-Actuals]]),"")</f>
        <v/>
      </c>
      <c r="AV301" s="82" t="e">
        <f>DaybyDay[[#This Row],[Est-Retail-PayrollRU]]/DaybyDay[[#This Row],[Simple-Forecast-Retail]]</f>
        <v>#DIV/0!</v>
      </c>
      <c r="AW301" s="8"/>
    </row>
    <row r="302" spans="3:49" hidden="1" x14ac:dyDescent="0.25">
      <c r="C302" s="26" t="str">
        <f>Tools!$C$1</f>
        <v>Example</v>
      </c>
      <c r="D302" s="27" t="s">
        <v>77</v>
      </c>
      <c r="E302" s="28">
        <v>2017</v>
      </c>
      <c r="F302" s="28">
        <f>MATCH(DaybyDay[[#This Row],[RowMonth]],Table3[SummaryMonth],0)</f>
        <v>10</v>
      </c>
      <c r="G302" s="29" t="e">
        <f>MATCH(DaybyDay[[#This Row],[LY-Date]],DaybyDay[Date],0)</f>
        <v>#N/A</v>
      </c>
      <c r="H302" s="30">
        <f>WEEKDAY(DaybyDay[[#This Row],[Date]])</f>
        <v>2</v>
      </c>
      <c r="I302" s="31">
        <v>43031</v>
      </c>
      <c r="J302" s="74">
        <v>17</v>
      </c>
      <c r="K302" s="32">
        <f>SUMIFS(BudgetSeasonality[365 Seasonality],BudgetSeasonality[MonthAdjustment],DaybyDay[[#This Row],[Date]])*SUMIFS(Budgets[Service-Budget],Budgets[BudgetMonth],DaybyDay[[#This Row],[RowMonth]],Budgets[BudgetYear],DaybyDay[[#This Row],[RowYear]])</f>
        <v>0</v>
      </c>
      <c r="L302" s="75">
        <v>2296.9</v>
      </c>
      <c r="M302" s="32">
        <f>INDEX(BudgetSeasonality[365 Seasonality],MATCH(DaybyDay[[#This Row],[Date]],BudgetSeasonality[MonthAdjustment],0))*SUMIFS(Budgets[Retail-Budget],Budgets[BudgetMonth],DaybyDay[[#This Row],[RowMonth]],Budgets[BudgetYear],DaybyDay[[#This Row],[RowYear]])</f>
        <v>0</v>
      </c>
      <c r="N302" s="75">
        <v>0</v>
      </c>
      <c r="O302" s="33">
        <f>SUMIFS(DaybyDay[Service-Budgets],DaybyDay[Date],"&gt;="&amp;$C$5,DaybyDay[RowYear],"&gt;="&amp;$C$4,DaybyDay[Date],"&lt;="&amp;DaybyDay[[#This Row],[Date]])</f>
        <v>0</v>
      </c>
      <c r="P302" s="33">
        <f>SUMIFS(DaybyDay[Retail-Budgets],DaybyDay[Date],"&gt;="&amp;$C$5,DaybyDay[RowYear],"&gt;="&amp;$C$4,DaybyDay[Date],"&lt;="&amp;DaybyDay[[#This Row],[Date]])</f>
        <v>0</v>
      </c>
      <c r="Q302" s="34">
        <f>SUMIFS(DaybyDay[Service-Actuals],DaybyDay[Date],"&gt;="&amp;$C$5,DaybyDay[RowYear],"&gt;="&amp;$C$4,DaybyDay[Date],"&lt;="&amp;DaybyDay[[#This Row],[Date]])</f>
        <v>0</v>
      </c>
      <c r="R302" s="34">
        <f>SUMIFS(DaybyDay[Retail-Actuals],DaybyDay[Date],"&gt;="&amp;$C$5,DaybyDay[RowYear],"&gt;="&amp;$C$4,DaybyDay[Date],"&lt;="&amp;DaybyDay[[#This Row],[Date]])</f>
        <v>0</v>
      </c>
      <c r="S302" s="35">
        <f>SUMIFS(DaybyDay[Service-LY],DaybyDay[Date],"&gt;="&amp;$C$5,DaybyDay[RowYear],"&gt;="&amp;$C$4,DaybyDay[Date],"&lt;="&amp;DaybyDay[[#This Row],[Date]])</f>
        <v>0</v>
      </c>
      <c r="T302" s="35">
        <f>SUMIFS(DaybyDay[Retail-LY],DaybyDay[Date],"&gt;="&amp;$C$5,DaybyDay[RowYear],"&gt;="&amp;$C$4,DaybyDay[Date],"&lt;="&amp;DaybyDay[[#This Row],[Date]])</f>
        <v>0</v>
      </c>
      <c r="U302" s="32">
        <f>DaybyDay[[#This Row],[Serv-Bud-RU]]+DaybyDay[[#This Row],[Ret-Bud-RU]]</f>
        <v>0</v>
      </c>
      <c r="V302" s="32">
        <f>DaybyDay[[#This Row],[Serv-Act-RU]]+DaybyDay[[#This Row],[Ret-Act-RU]]</f>
        <v>0</v>
      </c>
      <c r="W302" s="36">
        <f>IF(DaybyDay[[#This Row],[_Space]],IFERROR(
((DaybyDay[[#This Row],[Actual-Rollup]]-DaybyDay[[#This Row],[Budget-Rollup]])/DaybyDay[[#This Row],[Budget-Rollup]]),0),"")</f>
        <v>0</v>
      </c>
      <c r="X302" t="b">
        <f>NOT(AND(ISBLANK(DaybyDay[[#This Row],[Appts]]),ISBLANK(DaybyDay[[#This Row],[Service-Actuals]]),ISBLANK(DaybyDay[[#This Row],[Retail-Actuals]])))</f>
        <v>1</v>
      </c>
      <c r="Y302" s="36">
        <f>IF(DaybyDay[[#This Row],[_Space]],IFERROR(
((DaybyDay[[#This Row],[Actual-Rollup]]-DaybyDay[[#This Row],[LY-Rollup]])/DaybyDay[[#This Row],[LY-Rollup]]),0),"")</f>
        <v>0</v>
      </c>
      <c r="Z302"/>
      <c r="AA302" s="37" t="e">
        <f>IF(DaybyDay[[#This Row],[_Space]],DaybyDay[[#This Row],[Ret-Act-RU]]/DaybyDay[[#This Row],[Serv-Act-RU]],"")</f>
        <v>#DIV/0!</v>
      </c>
      <c r="AB302" s="50" t="e">
        <f>IF(DaybyDay[[#This Row],[_Space]],DaybyDay[[#This Row],[RETPEN-Act]]/DaybyDay[[#This Row],[RETPEN-Bud]],"")</f>
        <v>#DIV/0!</v>
      </c>
      <c r="AC302" s="37" t="e">
        <f>IF(DaybyDay[[#This Row],[_Space]],DaybyDay[[#This Row],[Ret-Bud-RU]]/DaybyDay[[#This Row],[Serv-Bud-RU]],"")</f>
        <v>#DIV/0!</v>
      </c>
      <c r="AD302" s="37" t="e">
        <f>IF(DaybyDay[[#This Row],[_Space]],DaybyDay[[#This Row],[Ret-LY-RU]]/DaybyDay[[#This Row],[Serv-LY-RU]],"")</f>
        <v>#DIV/0!</v>
      </c>
      <c r="AE302" s="30">
        <f>WEEKDAY(DaybyDay[[#This Row],[LY-Date]])</f>
        <v>2</v>
      </c>
      <c r="AF302" s="38">
        <f>$E$2+_xlfn.DAYS(DaybyDay[[#This Row],[Date]],minDate)</f>
        <v>42667</v>
      </c>
      <c r="AG302" s="39" t="str" cm="1">
        <f t="array" ref="AG302">IFERROR(INDEX(DaybyDay[],DaybyDay[[#This Row],[FORM_MATCH_HELPER]],8),"")</f>
        <v/>
      </c>
      <c r="AH302" s="39" t="str" cm="1">
        <f t="array" ref="AH302">IFERROR(INDEX(DaybyDay[],DaybyDay[[#This Row],[FORM_MATCH_HELPER]],10),"")</f>
        <v/>
      </c>
      <c r="AI302" s="39" t="str" cm="1">
        <f t="array" ref="AI302">IFERROR(INDEX(DaybyDay[],DaybyDay[[#This Row],[FORM_MATCH_HELPER]],12),"")</f>
        <v/>
      </c>
      <c r="AJ302" s="32">
        <f>IFERROR(DaybyDay[[#This Row],[Serv-LY-RU]]+DaybyDay[[#This Row],[Ret-LY-RU]],"")</f>
        <v>0</v>
      </c>
      <c r="AK3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2" s="77"/>
      <c r="AM302" s="40" t="str">
        <f>IF(DaybyDay[[#This Row],[Admin Hours]]&gt;0,DaybyDay[[#This Row],[Admin Hours]]*$AM$2+$AM$3,"")</f>
        <v/>
      </c>
      <c r="AN302" s="40">
        <f>SUMIFS(DaybyDay[Est-Admin-Payroll],DaybyDay[Date],"&gt;="&amp;$C$5,DaybyDay[RowYear],"&gt;="&amp;$C$4,DaybyDay[Date],"&lt;="&amp;DaybyDay[[#This Row],[Date]])</f>
        <v>0</v>
      </c>
      <c r="AO302" s="41" t="str">
        <f>IF(AND(DaybyDay[[#This Row],[_Space]],ISNUMBER(DaybyDay[[#This Row],[Admin Hours]])),DaybyDay[[#This Row],[Est-Admin-Payroll]]/(DaybyDay[[#This Row],[Service-Actuals]]+DaybyDay[[#This Row],[Retail-Actuals]]),"")</f>
        <v/>
      </c>
      <c r="AP302" s="41" t="e">
        <f>DaybyDay[[#This Row],[Estimated-Payroll-Rollup]]/DaybyDay[[#This Row],[Simple-Forecast]]</f>
        <v>#DIV/0!</v>
      </c>
      <c r="AQ3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2" s="77"/>
      <c r="AS302" s="40" t="str">
        <f>IF(DaybyDay[[#This Row],[Retail Hours]]&gt;0,DaybyDay[[#This Row],[Retail Hours]]*$AS$2,"")</f>
        <v/>
      </c>
      <c r="AT302" s="40">
        <f>SUMIFS(DaybyDay[Est-Retail-Payroll],DaybyDay[Date],"&gt;="&amp;$C$5,DaybyDay[RowYear],"&gt;="&amp;$C$4,DaybyDay[Date],"&lt;="&amp;DaybyDay[[#This Row],[Date]])</f>
        <v>0</v>
      </c>
      <c r="AU302" s="82" t="str">
        <f>IF(AND(DaybyDay[[#This Row],[_Space]],ISNUMBER(DaybyDay[[#This Row],[Retail Hours]])),DaybyDay[[#This Row],[Est-Retail-Payroll]]/(DaybyDay[[#This Row],[Retail-Actuals]]),"")</f>
        <v/>
      </c>
      <c r="AV302" s="82" t="e">
        <f>DaybyDay[[#This Row],[Est-Retail-PayrollRU]]/DaybyDay[[#This Row],[Simple-Forecast-Retail]]</f>
        <v>#DIV/0!</v>
      </c>
      <c r="AW302" s="8"/>
    </row>
    <row r="303" spans="3:49" hidden="1" x14ac:dyDescent="0.25">
      <c r="C303" s="26" t="str">
        <f>Tools!$C$1</f>
        <v>Example</v>
      </c>
      <c r="D303" s="27" t="s">
        <v>77</v>
      </c>
      <c r="E303" s="28">
        <v>2017</v>
      </c>
      <c r="F303" s="28">
        <f>MATCH(DaybyDay[[#This Row],[RowMonth]],Table3[SummaryMonth],0)</f>
        <v>10</v>
      </c>
      <c r="G303" s="29" t="e">
        <f>MATCH(DaybyDay[[#This Row],[LY-Date]],DaybyDay[Date],0)</f>
        <v>#N/A</v>
      </c>
      <c r="H303" s="30">
        <f>WEEKDAY(DaybyDay[[#This Row],[Date]])</f>
        <v>3</v>
      </c>
      <c r="I303" s="31">
        <v>43032</v>
      </c>
      <c r="J303" s="74">
        <v>16</v>
      </c>
      <c r="K303" s="32">
        <f>SUMIFS(BudgetSeasonality[365 Seasonality],BudgetSeasonality[MonthAdjustment],DaybyDay[[#This Row],[Date]])*SUMIFS(Budgets[Service-Budget],Budgets[BudgetMonth],DaybyDay[[#This Row],[RowMonth]],Budgets[BudgetYear],DaybyDay[[#This Row],[RowYear]])</f>
        <v>0</v>
      </c>
      <c r="L303" s="75">
        <v>3552.25</v>
      </c>
      <c r="M303" s="32">
        <f>INDEX(BudgetSeasonality[365 Seasonality],MATCH(DaybyDay[[#This Row],[Date]],BudgetSeasonality[MonthAdjustment],0))*SUMIFS(Budgets[Retail-Budget],Budgets[BudgetMonth],DaybyDay[[#This Row],[RowMonth]],Budgets[BudgetYear],DaybyDay[[#This Row],[RowYear]])</f>
        <v>0</v>
      </c>
      <c r="N303" s="75">
        <v>488.9</v>
      </c>
      <c r="O303" s="33">
        <f>SUMIFS(DaybyDay[Service-Budgets],DaybyDay[Date],"&gt;="&amp;$C$5,DaybyDay[RowYear],"&gt;="&amp;$C$4,DaybyDay[Date],"&lt;="&amp;DaybyDay[[#This Row],[Date]])</f>
        <v>0</v>
      </c>
      <c r="P303" s="33">
        <f>SUMIFS(DaybyDay[Retail-Budgets],DaybyDay[Date],"&gt;="&amp;$C$5,DaybyDay[RowYear],"&gt;="&amp;$C$4,DaybyDay[Date],"&lt;="&amp;DaybyDay[[#This Row],[Date]])</f>
        <v>0</v>
      </c>
      <c r="Q303" s="34">
        <f>SUMIFS(DaybyDay[Service-Actuals],DaybyDay[Date],"&gt;="&amp;$C$5,DaybyDay[RowYear],"&gt;="&amp;$C$4,DaybyDay[Date],"&lt;="&amp;DaybyDay[[#This Row],[Date]])</f>
        <v>0</v>
      </c>
      <c r="R303" s="34">
        <f>SUMIFS(DaybyDay[Retail-Actuals],DaybyDay[Date],"&gt;="&amp;$C$5,DaybyDay[RowYear],"&gt;="&amp;$C$4,DaybyDay[Date],"&lt;="&amp;DaybyDay[[#This Row],[Date]])</f>
        <v>0</v>
      </c>
      <c r="S303" s="35">
        <f>SUMIFS(DaybyDay[Service-LY],DaybyDay[Date],"&gt;="&amp;$C$5,DaybyDay[RowYear],"&gt;="&amp;$C$4,DaybyDay[Date],"&lt;="&amp;DaybyDay[[#This Row],[Date]])</f>
        <v>0</v>
      </c>
      <c r="T303" s="35">
        <f>SUMIFS(DaybyDay[Retail-LY],DaybyDay[Date],"&gt;="&amp;$C$5,DaybyDay[RowYear],"&gt;="&amp;$C$4,DaybyDay[Date],"&lt;="&amp;DaybyDay[[#This Row],[Date]])</f>
        <v>0</v>
      </c>
      <c r="U303" s="32">
        <f>DaybyDay[[#This Row],[Serv-Bud-RU]]+DaybyDay[[#This Row],[Ret-Bud-RU]]</f>
        <v>0</v>
      </c>
      <c r="V303" s="32">
        <f>DaybyDay[[#This Row],[Serv-Act-RU]]+DaybyDay[[#This Row],[Ret-Act-RU]]</f>
        <v>0</v>
      </c>
      <c r="W303" s="36">
        <f>IF(DaybyDay[[#This Row],[_Space]],IFERROR(
((DaybyDay[[#This Row],[Actual-Rollup]]-DaybyDay[[#This Row],[Budget-Rollup]])/DaybyDay[[#This Row],[Budget-Rollup]]),0),"")</f>
        <v>0</v>
      </c>
      <c r="X303" t="b">
        <f>NOT(AND(ISBLANK(DaybyDay[[#This Row],[Appts]]),ISBLANK(DaybyDay[[#This Row],[Service-Actuals]]),ISBLANK(DaybyDay[[#This Row],[Retail-Actuals]])))</f>
        <v>1</v>
      </c>
      <c r="Y303" s="36">
        <f>IF(DaybyDay[[#This Row],[_Space]],IFERROR(
((DaybyDay[[#This Row],[Actual-Rollup]]-DaybyDay[[#This Row],[LY-Rollup]])/DaybyDay[[#This Row],[LY-Rollup]]),0),"")</f>
        <v>0</v>
      </c>
      <c r="Z303"/>
      <c r="AA303" s="37" t="e">
        <f>IF(DaybyDay[[#This Row],[_Space]],DaybyDay[[#This Row],[Ret-Act-RU]]/DaybyDay[[#This Row],[Serv-Act-RU]],"")</f>
        <v>#DIV/0!</v>
      </c>
      <c r="AB303" s="50" t="e">
        <f>IF(DaybyDay[[#This Row],[_Space]],DaybyDay[[#This Row],[RETPEN-Act]]/DaybyDay[[#This Row],[RETPEN-Bud]],"")</f>
        <v>#DIV/0!</v>
      </c>
      <c r="AC303" s="37" t="e">
        <f>IF(DaybyDay[[#This Row],[_Space]],DaybyDay[[#This Row],[Ret-Bud-RU]]/DaybyDay[[#This Row],[Serv-Bud-RU]],"")</f>
        <v>#DIV/0!</v>
      </c>
      <c r="AD303" s="37" t="e">
        <f>IF(DaybyDay[[#This Row],[_Space]],DaybyDay[[#This Row],[Ret-LY-RU]]/DaybyDay[[#This Row],[Serv-LY-RU]],"")</f>
        <v>#DIV/0!</v>
      </c>
      <c r="AE303" s="30">
        <f>WEEKDAY(DaybyDay[[#This Row],[LY-Date]])</f>
        <v>3</v>
      </c>
      <c r="AF303" s="38">
        <f>$E$2+_xlfn.DAYS(DaybyDay[[#This Row],[Date]],minDate)</f>
        <v>42668</v>
      </c>
      <c r="AG303" s="39" t="str" cm="1">
        <f t="array" ref="AG303">IFERROR(INDEX(DaybyDay[],DaybyDay[[#This Row],[FORM_MATCH_HELPER]],8),"")</f>
        <v/>
      </c>
      <c r="AH303" s="39" t="str" cm="1">
        <f t="array" ref="AH303">IFERROR(INDEX(DaybyDay[],DaybyDay[[#This Row],[FORM_MATCH_HELPER]],10),"")</f>
        <v/>
      </c>
      <c r="AI303" s="39" t="str" cm="1">
        <f t="array" ref="AI303">IFERROR(INDEX(DaybyDay[],DaybyDay[[#This Row],[FORM_MATCH_HELPER]],12),"")</f>
        <v/>
      </c>
      <c r="AJ303" s="32">
        <f>IFERROR(DaybyDay[[#This Row],[Serv-LY-RU]]+DaybyDay[[#This Row],[Ret-LY-RU]],"")</f>
        <v>0</v>
      </c>
      <c r="AK3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3" s="77"/>
      <c r="AM303" s="40" t="str">
        <f>IF(DaybyDay[[#This Row],[Admin Hours]]&gt;0,DaybyDay[[#This Row],[Admin Hours]]*$AM$2+$AM$3,"")</f>
        <v/>
      </c>
      <c r="AN303" s="40">
        <f>SUMIFS(DaybyDay[Est-Admin-Payroll],DaybyDay[Date],"&gt;="&amp;$C$5,DaybyDay[RowYear],"&gt;="&amp;$C$4,DaybyDay[Date],"&lt;="&amp;DaybyDay[[#This Row],[Date]])</f>
        <v>0</v>
      </c>
      <c r="AO303" s="41" t="str">
        <f>IF(AND(DaybyDay[[#This Row],[_Space]],ISNUMBER(DaybyDay[[#This Row],[Admin Hours]])),DaybyDay[[#This Row],[Est-Admin-Payroll]]/(DaybyDay[[#This Row],[Service-Actuals]]+DaybyDay[[#This Row],[Retail-Actuals]]),"")</f>
        <v/>
      </c>
      <c r="AP303" s="41" t="e">
        <f>DaybyDay[[#This Row],[Estimated-Payroll-Rollup]]/DaybyDay[[#This Row],[Simple-Forecast]]</f>
        <v>#DIV/0!</v>
      </c>
      <c r="AQ3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3" s="77"/>
      <c r="AS303" s="40" t="str">
        <f>IF(DaybyDay[[#This Row],[Retail Hours]]&gt;0,DaybyDay[[#This Row],[Retail Hours]]*$AS$2,"")</f>
        <v/>
      </c>
      <c r="AT303" s="40">
        <f>SUMIFS(DaybyDay[Est-Retail-Payroll],DaybyDay[Date],"&gt;="&amp;$C$5,DaybyDay[RowYear],"&gt;="&amp;$C$4,DaybyDay[Date],"&lt;="&amp;DaybyDay[[#This Row],[Date]])</f>
        <v>0</v>
      </c>
      <c r="AU303" s="82" t="str">
        <f>IF(AND(DaybyDay[[#This Row],[_Space]],ISNUMBER(DaybyDay[[#This Row],[Retail Hours]])),DaybyDay[[#This Row],[Est-Retail-Payroll]]/(DaybyDay[[#This Row],[Retail-Actuals]]),"")</f>
        <v/>
      </c>
      <c r="AV303" s="82" t="e">
        <f>DaybyDay[[#This Row],[Est-Retail-PayrollRU]]/DaybyDay[[#This Row],[Simple-Forecast-Retail]]</f>
        <v>#DIV/0!</v>
      </c>
      <c r="AW303" s="8"/>
    </row>
    <row r="304" spans="3:49" hidden="1" x14ac:dyDescent="0.25">
      <c r="C304" s="26" t="str">
        <f>Tools!$C$1</f>
        <v>Example</v>
      </c>
      <c r="D304" s="27" t="s">
        <v>77</v>
      </c>
      <c r="E304" s="28">
        <v>2017</v>
      </c>
      <c r="F304" s="28">
        <f>MATCH(DaybyDay[[#This Row],[RowMonth]],Table3[SummaryMonth],0)</f>
        <v>10</v>
      </c>
      <c r="G304" s="29" t="e">
        <f>MATCH(DaybyDay[[#This Row],[LY-Date]],DaybyDay[Date],0)</f>
        <v>#N/A</v>
      </c>
      <c r="H304" s="30">
        <f>WEEKDAY(DaybyDay[[#This Row],[Date]])</f>
        <v>4</v>
      </c>
      <c r="I304" s="31">
        <v>43033</v>
      </c>
      <c r="J304" s="74">
        <v>7</v>
      </c>
      <c r="K304" s="32">
        <f>SUMIFS(BudgetSeasonality[365 Seasonality],BudgetSeasonality[MonthAdjustment],DaybyDay[[#This Row],[Date]])*SUMIFS(Budgets[Service-Budget],Budgets[BudgetMonth],DaybyDay[[#This Row],[RowMonth]],Budgets[BudgetYear],DaybyDay[[#This Row],[RowYear]])</f>
        <v>0</v>
      </c>
      <c r="L304" s="75">
        <v>1256</v>
      </c>
      <c r="M304" s="32">
        <f>INDEX(BudgetSeasonality[365 Seasonality],MATCH(DaybyDay[[#This Row],[Date]],BudgetSeasonality[MonthAdjustment],0))*SUMIFS(Budgets[Retail-Budget],Budgets[BudgetMonth],DaybyDay[[#This Row],[RowMonth]],Budgets[BudgetYear],DaybyDay[[#This Row],[RowYear]])</f>
        <v>0</v>
      </c>
      <c r="N304" s="75">
        <v>426</v>
      </c>
      <c r="O304" s="33">
        <f>SUMIFS(DaybyDay[Service-Budgets],DaybyDay[Date],"&gt;="&amp;$C$5,DaybyDay[RowYear],"&gt;="&amp;$C$4,DaybyDay[Date],"&lt;="&amp;DaybyDay[[#This Row],[Date]])</f>
        <v>0</v>
      </c>
      <c r="P304" s="33">
        <f>SUMIFS(DaybyDay[Retail-Budgets],DaybyDay[Date],"&gt;="&amp;$C$5,DaybyDay[RowYear],"&gt;="&amp;$C$4,DaybyDay[Date],"&lt;="&amp;DaybyDay[[#This Row],[Date]])</f>
        <v>0</v>
      </c>
      <c r="Q304" s="34">
        <f>SUMIFS(DaybyDay[Service-Actuals],DaybyDay[Date],"&gt;="&amp;$C$5,DaybyDay[RowYear],"&gt;="&amp;$C$4,DaybyDay[Date],"&lt;="&amp;DaybyDay[[#This Row],[Date]])</f>
        <v>0</v>
      </c>
      <c r="R304" s="34">
        <f>SUMIFS(DaybyDay[Retail-Actuals],DaybyDay[Date],"&gt;="&amp;$C$5,DaybyDay[RowYear],"&gt;="&amp;$C$4,DaybyDay[Date],"&lt;="&amp;DaybyDay[[#This Row],[Date]])</f>
        <v>0</v>
      </c>
      <c r="S304" s="35">
        <f>SUMIFS(DaybyDay[Service-LY],DaybyDay[Date],"&gt;="&amp;$C$5,DaybyDay[RowYear],"&gt;="&amp;$C$4,DaybyDay[Date],"&lt;="&amp;DaybyDay[[#This Row],[Date]])</f>
        <v>0</v>
      </c>
      <c r="T304" s="35">
        <f>SUMIFS(DaybyDay[Retail-LY],DaybyDay[Date],"&gt;="&amp;$C$5,DaybyDay[RowYear],"&gt;="&amp;$C$4,DaybyDay[Date],"&lt;="&amp;DaybyDay[[#This Row],[Date]])</f>
        <v>0</v>
      </c>
      <c r="U304" s="32">
        <f>DaybyDay[[#This Row],[Serv-Bud-RU]]+DaybyDay[[#This Row],[Ret-Bud-RU]]</f>
        <v>0</v>
      </c>
      <c r="V304" s="32">
        <f>DaybyDay[[#This Row],[Serv-Act-RU]]+DaybyDay[[#This Row],[Ret-Act-RU]]</f>
        <v>0</v>
      </c>
      <c r="W304" s="36">
        <f>IF(DaybyDay[[#This Row],[_Space]],IFERROR(
((DaybyDay[[#This Row],[Actual-Rollup]]-DaybyDay[[#This Row],[Budget-Rollup]])/DaybyDay[[#This Row],[Budget-Rollup]]),0),"")</f>
        <v>0</v>
      </c>
      <c r="X304" t="b">
        <f>NOT(AND(ISBLANK(DaybyDay[[#This Row],[Appts]]),ISBLANK(DaybyDay[[#This Row],[Service-Actuals]]),ISBLANK(DaybyDay[[#This Row],[Retail-Actuals]])))</f>
        <v>1</v>
      </c>
      <c r="Y304" s="36">
        <f>IF(DaybyDay[[#This Row],[_Space]],IFERROR(
((DaybyDay[[#This Row],[Actual-Rollup]]-DaybyDay[[#This Row],[LY-Rollup]])/DaybyDay[[#This Row],[LY-Rollup]]),0),"")</f>
        <v>0</v>
      </c>
      <c r="Z304"/>
      <c r="AA304" s="37" t="e">
        <f>IF(DaybyDay[[#This Row],[_Space]],DaybyDay[[#This Row],[Ret-Act-RU]]/DaybyDay[[#This Row],[Serv-Act-RU]],"")</f>
        <v>#DIV/0!</v>
      </c>
      <c r="AB304" s="50" t="e">
        <f>IF(DaybyDay[[#This Row],[_Space]],DaybyDay[[#This Row],[RETPEN-Act]]/DaybyDay[[#This Row],[RETPEN-Bud]],"")</f>
        <v>#DIV/0!</v>
      </c>
      <c r="AC304" s="37" t="e">
        <f>IF(DaybyDay[[#This Row],[_Space]],DaybyDay[[#This Row],[Ret-Bud-RU]]/DaybyDay[[#This Row],[Serv-Bud-RU]],"")</f>
        <v>#DIV/0!</v>
      </c>
      <c r="AD304" s="37" t="e">
        <f>IF(DaybyDay[[#This Row],[_Space]],DaybyDay[[#This Row],[Ret-LY-RU]]/DaybyDay[[#This Row],[Serv-LY-RU]],"")</f>
        <v>#DIV/0!</v>
      </c>
      <c r="AE304" s="30">
        <f>WEEKDAY(DaybyDay[[#This Row],[LY-Date]])</f>
        <v>4</v>
      </c>
      <c r="AF304" s="38">
        <f>$E$2+_xlfn.DAYS(DaybyDay[[#This Row],[Date]],minDate)</f>
        <v>42669</v>
      </c>
      <c r="AG304" s="39" t="str" cm="1">
        <f t="array" ref="AG304">IFERROR(INDEX(DaybyDay[],DaybyDay[[#This Row],[FORM_MATCH_HELPER]],8),"")</f>
        <v/>
      </c>
      <c r="AH304" s="39" t="str" cm="1">
        <f t="array" ref="AH304">IFERROR(INDEX(DaybyDay[],DaybyDay[[#This Row],[FORM_MATCH_HELPER]],10),"")</f>
        <v/>
      </c>
      <c r="AI304" s="39" t="str" cm="1">
        <f t="array" ref="AI304">IFERROR(INDEX(DaybyDay[],DaybyDay[[#This Row],[FORM_MATCH_HELPER]],12),"")</f>
        <v/>
      </c>
      <c r="AJ304" s="32">
        <f>IFERROR(DaybyDay[[#This Row],[Serv-LY-RU]]+DaybyDay[[#This Row],[Ret-LY-RU]],"")</f>
        <v>0</v>
      </c>
      <c r="AK3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4" s="77"/>
      <c r="AM304" s="40" t="str">
        <f>IF(DaybyDay[[#This Row],[Admin Hours]]&gt;0,DaybyDay[[#This Row],[Admin Hours]]*$AM$2+$AM$3,"")</f>
        <v/>
      </c>
      <c r="AN304" s="40">
        <f>SUMIFS(DaybyDay[Est-Admin-Payroll],DaybyDay[Date],"&gt;="&amp;$C$5,DaybyDay[RowYear],"&gt;="&amp;$C$4,DaybyDay[Date],"&lt;="&amp;DaybyDay[[#This Row],[Date]])</f>
        <v>0</v>
      </c>
      <c r="AO304" s="41" t="str">
        <f>IF(AND(DaybyDay[[#This Row],[_Space]],ISNUMBER(DaybyDay[[#This Row],[Admin Hours]])),DaybyDay[[#This Row],[Est-Admin-Payroll]]/(DaybyDay[[#This Row],[Service-Actuals]]+DaybyDay[[#This Row],[Retail-Actuals]]),"")</f>
        <v/>
      </c>
      <c r="AP304" s="41" t="e">
        <f>DaybyDay[[#This Row],[Estimated-Payroll-Rollup]]/DaybyDay[[#This Row],[Simple-Forecast]]</f>
        <v>#DIV/0!</v>
      </c>
      <c r="AQ3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4" s="77"/>
      <c r="AS304" s="40" t="str">
        <f>IF(DaybyDay[[#This Row],[Retail Hours]]&gt;0,DaybyDay[[#This Row],[Retail Hours]]*$AS$2,"")</f>
        <v/>
      </c>
      <c r="AT304" s="40">
        <f>SUMIFS(DaybyDay[Est-Retail-Payroll],DaybyDay[Date],"&gt;="&amp;$C$5,DaybyDay[RowYear],"&gt;="&amp;$C$4,DaybyDay[Date],"&lt;="&amp;DaybyDay[[#This Row],[Date]])</f>
        <v>0</v>
      </c>
      <c r="AU304" s="82" t="str">
        <f>IF(AND(DaybyDay[[#This Row],[_Space]],ISNUMBER(DaybyDay[[#This Row],[Retail Hours]])),DaybyDay[[#This Row],[Est-Retail-Payroll]]/(DaybyDay[[#This Row],[Retail-Actuals]]),"")</f>
        <v/>
      </c>
      <c r="AV304" s="82" t="e">
        <f>DaybyDay[[#This Row],[Est-Retail-PayrollRU]]/DaybyDay[[#This Row],[Simple-Forecast-Retail]]</f>
        <v>#DIV/0!</v>
      </c>
      <c r="AW304" s="8"/>
    </row>
    <row r="305" spans="3:49" hidden="1" x14ac:dyDescent="0.25">
      <c r="C305" s="26" t="str">
        <f>Tools!$C$1</f>
        <v>Example</v>
      </c>
      <c r="D305" s="27" t="s">
        <v>77</v>
      </c>
      <c r="E305" s="28">
        <v>2017</v>
      </c>
      <c r="F305" s="28">
        <f>MATCH(DaybyDay[[#This Row],[RowMonth]],Table3[SummaryMonth],0)</f>
        <v>10</v>
      </c>
      <c r="G305" s="29" t="e">
        <f>MATCH(DaybyDay[[#This Row],[LY-Date]],DaybyDay[Date],0)</f>
        <v>#N/A</v>
      </c>
      <c r="H305" s="30">
        <f>WEEKDAY(DaybyDay[[#This Row],[Date]])</f>
        <v>5</v>
      </c>
      <c r="I305" s="31">
        <v>43034</v>
      </c>
      <c r="J305" s="74">
        <v>16</v>
      </c>
      <c r="K305" s="32">
        <f>SUMIFS(BudgetSeasonality[365 Seasonality],BudgetSeasonality[MonthAdjustment],DaybyDay[[#This Row],[Date]])*SUMIFS(Budgets[Service-Budget],Budgets[BudgetMonth],DaybyDay[[#This Row],[RowMonth]],Budgets[BudgetYear],DaybyDay[[#This Row],[RowYear]])</f>
        <v>0</v>
      </c>
      <c r="L305" s="75">
        <v>3812.95</v>
      </c>
      <c r="M305" s="32">
        <f>INDEX(BudgetSeasonality[365 Seasonality],MATCH(DaybyDay[[#This Row],[Date]],BudgetSeasonality[MonthAdjustment],0))*SUMIFS(Budgets[Retail-Budget],Budgets[BudgetMonth],DaybyDay[[#This Row],[RowMonth]],Budgets[BudgetYear],DaybyDay[[#This Row],[RowYear]])</f>
        <v>0</v>
      </c>
      <c r="N305" s="75">
        <v>629.4</v>
      </c>
      <c r="O305" s="33">
        <f>SUMIFS(DaybyDay[Service-Budgets],DaybyDay[Date],"&gt;="&amp;$C$5,DaybyDay[RowYear],"&gt;="&amp;$C$4,DaybyDay[Date],"&lt;="&amp;DaybyDay[[#This Row],[Date]])</f>
        <v>0</v>
      </c>
      <c r="P305" s="33">
        <f>SUMIFS(DaybyDay[Retail-Budgets],DaybyDay[Date],"&gt;="&amp;$C$5,DaybyDay[RowYear],"&gt;="&amp;$C$4,DaybyDay[Date],"&lt;="&amp;DaybyDay[[#This Row],[Date]])</f>
        <v>0</v>
      </c>
      <c r="Q305" s="34">
        <f>SUMIFS(DaybyDay[Service-Actuals],DaybyDay[Date],"&gt;="&amp;$C$5,DaybyDay[RowYear],"&gt;="&amp;$C$4,DaybyDay[Date],"&lt;="&amp;DaybyDay[[#This Row],[Date]])</f>
        <v>0</v>
      </c>
      <c r="R305" s="34">
        <f>SUMIFS(DaybyDay[Retail-Actuals],DaybyDay[Date],"&gt;="&amp;$C$5,DaybyDay[RowYear],"&gt;="&amp;$C$4,DaybyDay[Date],"&lt;="&amp;DaybyDay[[#This Row],[Date]])</f>
        <v>0</v>
      </c>
      <c r="S305" s="35">
        <f>SUMIFS(DaybyDay[Service-LY],DaybyDay[Date],"&gt;="&amp;$C$5,DaybyDay[RowYear],"&gt;="&amp;$C$4,DaybyDay[Date],"&lt;="&amp;DaybyDay[[#This Row],[Date]])</f>
        <v>0</v>
      </c>
      <c r="T305" s="35">
        <f>SUMIFS(DaybyDay[Retail-LY],DaybyDay[Date],"&gt;="&amp;$C$5,DaybyDay[RowYear],"&gt;="&amp;$C$4,DaybyDay[Date],"&lt;="&amp;DaybyDay[[#This Row],[Date]])</f>
        <v>0</v>
      </c>
      <c r="U305" s="32">
        <f>DaybyDay[[#This Row],[Serv-Bud-RU]]+DaybyDay[[#This Row],[Ret-Bud-RU]]</f>
        <v>0</v>
      </c>
      <c r="V305" s="32">
        <f>DaybyDay[[#This Row],[Serv-Act-RU]]+DaybyDay[[#This Row],[Ret-Act-RU]]</f>
        <v>0</v>
      </c>
      <c r="W305" s="36">
        <f>IF(DaybyDay[[#This Row],[_Space]],IFERROR(
((DaybyDay[[#This Row],[Actual-Rollup]]-DaybyDay[[#This Row],[Budget-Rollup]])/DaybyDay[[#This Row],[Budget-Rollup]]),0),"")</f>
        <v>0</v>
      </c>
      <c r="X305" t="b">
        <f>NOT(AND(ISBLANK(DaybyDay[[#This Row],[Appts]]),ISBLANK(DaybyDay[[#This Row],[Service-Actuals]]),ISBLANK(DaybyDay[[#This Row],[Retail-Actuals]])))</f>
        <v>1</v>
      </c>
      <c r="Y305" s="36">
        <f>IF(DaybyDay[[#This Row],[_Space]],IFERROR(
((DaybyDay[[#This Row],[Actual-Rollup]]-DaybyDay[[#This Row],[LY-Rollup]])/DaybyDay[[#This Row],[LY-Rollup]]),0),"")</f>
        <v>0</v>
      </c>
      <c r="Z305"/>
      <c r="AA305" s="37" t="e">
        <f>IF(DaybyDay[[#This Row],[_Space]],DaybyDay[[#This Row],[Ret-Act-RU]]/DaybyDay[[#This Row],[Serv-Act-RU]],"")</f>
        <v>#DIV/0!</v>
      </c>
      <c r="AB305" s="50" t="e">
        <f>IF(DaybyDay[[#This Row],[_Space]],DaybyDay[[#This Row],[RETPEN-Act]]/DaybyDay[[#This Row],[RETPEN-Bud]],"")</f>
        <v>#DIV/0!</v>
      </c>
      <c r="AC305" s="37" t="e">
        <f>IF(DaybyDay[[#This Row],[_Space]],DaybyDay[[#This Row],[Ret-Bud-RU]]/DaybyDay[[#This Row],[Serv-Bud-RU]],"")</f>
        <v>#DIV/0!</v>
      </c>
      <c r="AD305" s="37" t="e">
        <f>IF(DaybyDay[[#This Row],[_Space]],DaybyDay[[#This Row],[Ret-LY-RU]]/DaybyDay[[#This Row],[Serv-LY-RU]],"")</f>
        <v>#DIV/0!</v>
      </c>
      <c r="AE305" s="30">
        <f>WEEKDAY(DaybyDay[[#This Row],[LY-Date]])</f>
        <v>5</v>
      </c>
      <c r="AF305" s="38">
        <f>$E$2+_xlfn.DAYS(DaybyDay[[#This Row],[Date]],minDate)</f>
        <v>42670</v>
      </c>
      <c r="AG305" s="39" t="str" cm="1">
        <f t="array" ref="AG305">IFERROR(INDEX(DaybyDay[],DaybyDay[[#This Row],[FORM_MATCH_HELPER]],8),"")</f>
        <v/>
      </c>
      <c r="AH305" s="39" t="str" cm="1">
        <f t="array" ref="AH305">IFERROR(INDEX(DaybyDay[],DaybyDay[[#This Row],[FORM_MATCH_HELPER]],10),"")</f>
        <v/>
      </c>
      <c r="AI305" s="39" t="str" cm="1">
        <f t="array" ref="AI305">IFERROR(INDEX(DaybyDay[],DaybyDay[[#This Row],[FORM_MATCH_HELPER]],12),"")</f>
        <v/>
      </c>
      <c r="AJ305" s="32">
        <f>IFERROR(DaybyDay[[#This Row],[Serv-LY-RU]]+DaybyDay[[#This Row],[Ret-LY-RU]],"")</f>
        <v>0</v>
      </c>
      <c r="AK3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5" s="77"/>
      <c r="AM305" s="40" t="str">
        <f>IF(DaybyDay[[#This Row],[Admin Hours]]&gt;0,DaybyDay[[#This Row],[Admin Hours]]*$AM$2+$AM$3,"")</f>
        <v/>
      </c>
      <c r="AN305" s="40">
        <f>SUMIFS(DaybyDay[Est-Admin-Payroll],DaybyDay[Date],"&gt;="&amp;$C$5,DaybyDay[RowYear],"&gt;="&amp;$C$4,DaybyDay[Date],"&lt;="&amp;DaybyDay[[#This Row],[Date]])</f>
        <v>0</v>
      </c>
      <c r="AO305" s="41" t="str">
        <f>IF(AND(DaybyDay[[#This Row],[_Space]],ISNUMBER(DaybyDay[[#This Row],[Admin Hours]])),DaybyDay[[#This Row],[Est-Admin-Payroll]]/(DaybyDay[[#This Row],[Service-Actuals]]+DaybyDay[[#This Row],[Retail-Actuals]]),"")</f>
        <v/>
      </c>
      <c r="AP305" s="41" t="e">
        <f>DaybyDay[[#This Row],[Estimated-Payroll-Rollup]]/DaybyDay[[#This Row],[Simple-Forecast]]</f>
        <v>#DIV/0!</v>
      </c>
      <c r="AQ3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5" s="77"/>
      <c r="AS305" s="40" t="str">
        <f>IF(DaybyDay[[#This Row],[Retail Hours]]&gt;0,DaybyDay[[#This Row],[Retail Hours]]*$AS$2,"")</f>
        <v/>
      </c>
      <c r="AT305" s="40">
        <f>SUMIFS(DaybyDay[Est-Retail-Payroll],DaybyDay[Date],"&gt;="&amp;$C$5,DaybyDay[RowYear],"&gt;="&amp;$C$4,DaybyDay[Date],"&lt;="&amp;DaybyDay[[#This Row],[Date]])</f>
        <v>0</v>
      </c>
      <c r="AU305" s="82" t="str">
        <f>IF(AND(DaybyDay[[#This Row],[_Space]],ISNUMBER(DaybyDay[[#This Row],[Retail Hours]])),DaybyDay[[#This Row],[Est-Retail-Payroll]]/(DaybyDay[[#This Row],[Retail-Actuals]]),"")</f>
        <v/>
      </c>
      <c r="AV305" s="82" t="e">
        <f>DaybyDay[[#This Row],[Est-Retail-PayrollRU]]/DaybyDay[[#This Row],[Simple-Forecast-Retail]]</f>
        <v>#DIV/0!</v>
      </c>
      <c r="AW305" s="8"/>
    </row>
    <row r="306" spans="3:49" hidden="1" x14ac:dyDescent="0.25">
      <c r="C306" s="26" t="str">
        <f>Tools!$C$1</f>
        <v>Example</v>
      </c>
      <c r="D306" s="27" t="s">
        <v>77</v>
      </c>
      <c r="E306" s="28">
        <v>2017</v>
      </c>
      <c r="F306" s="28">
        <f>MATCH(DaybyDay[[#This Row],[RowMonth]],Table3[SummaryMonth],0)</f>
        <v>10</v>
      </c>
      <c r="G306" s="29" t="e">
        <f>MATCH(DaybyDay[[#This Row],[LY-Date]],DaybyDay[Date],0)</f>
        <v>#N/A</v>
      </c>
      <c r="H306" s="30">
        <f>WEEKDAY(DaybyDay[[#This Row],[Date]])</f>
        <v>6</v>
      </c>
      <c r="I306" s="31">
        <v>43035</v>
      </c>
      <c r="J306" s="74">
        <v>27</v>
      </c>
      <c r="K306" s="32">
        <f>SUMIFS(BudgetSeasonality[365 Seasonality],BudgetSeasonality[MonthAdjustment],DaybyDay[[#This Row],[Date]])*SUMIFS(Budgets[Service-Budget],Budgets[BudgetMonth],DaybyDay[[#This Row],[RowMonth]],Budgets[BudgetYear],DaybyDay[[#This Row],[RowYear]])</f>
        <v>0</v>
      </c>
      <c r="L306" s="75">
        <v>6433.6</v>
      </c>
      <c r="M306" s="32">
        <f>INDEX(BudgetSeasonality[365 Seasonality],MATCH(DaybyDay[[#This Row],[Date]],BudgetSeasonality[MonthAdjustment],0))*SUMIFS(Budgets[Retail-Budget],Budgets[BudgetMonth],DaybyDay[[#This Row],[RowMonth]],Budgets[BudgetYear],DaybyDay[[#This Row],[RowYear]])</f>
        <v>0</v>
      </c>
      <c r="N306" s="75">
        <v>344.34</v>
      </c>
      <c r="O306" s="33">
        <f>SUMIFS(DaybyDay[Service-Budgets],DaybyDay[Date],"&gt;="&amp;$C$5,DaybyDay[RowYear],"&gt;="&amp;$C$4,DaybyDay[Date],"&lt;="&amp;DaybyDay[[#This Row],[Date]])</f>
        <v>0</v>
      </c>
      <c r="P306" s="33">
        <f>SUMIFS(DaybyDay[Retail-Budgets],DaybyDay[Date],"&gt;="&amp;$C$5,DaybyDay[RowYear],"&gt;="&amp;$C$4,DaybyDay[Date],"&lt;="&amp;DaybyDay[[#This Row],[Date]])</f>
        <v>0</v>
      </c>
      <c r="Q306" s="34">
        <f>SUMIFS(DaybyDay[Service-Actuals],DaybyDay[Date],"&gt;="&amp;$C$5,DaybyDay[RowYear],"&gt;="&amp;$C$4,DaybyDay[Date],"&lt;="&amp;DaybyDay[[#This Row],[Date]])</f>
        <v>0</v>
      </c>
      <c r="R306" s="34">
        <f>SUMIFS(DaybyDay[Retail-Actuals],DaybyDay[Date],"&gt;="&amp;$C$5,DaybyDay[RowYear],"&gt;="&amp;$C$4,DaybyDay[Date],"&lt;="&amp;DaybyDay[[#This Row],[Date]])</f>
        <v>0</v>
      </c>
      <c r="S306" s="35">
        <f>SUMIFS(DaybyDay[Service-LY],DaybyDay[Date],"&gt;="&amp;$C$5,DaybyDay[RowYear],"&gt;="&amp;$C$4,DaybyDay[Date],"&lt;="&amp;DaybyDay[[#This Row],[Date]])</f>
        <v>0</v>
      </c>
      <c r="T306" s="35">
        <f>SUMIFS(DaybyDay[Retail-LY],DaybyDay[Date],"&gt;="&amp;$C$5,DaybyDay[RowYear],"&gt;="&amp;$C$4,DaybyDay[Date],"&lt;="&amp;DaybyDay[[#This Row],[Date]])</f>
        <v>0</v>
      </c>
      <c r="U306" s="32">
        <f>DaybyDay[[#This Row],[Serv-Bud-RU]]+DaybyDay[[#This Row],[Ret-Bud-RU]]</f>
        <v>0</v>
      </c>
      <c r="V306" s="32">
        <f>DaybyDay[[#This Row],[Serv-Act-RU]]+DaybyDay[[#This Row],[Ret-Act-RU]]</f>
        <v>0</v>
      </c>
      <c r="W306" s="36">
        <f>IF(DaybyDay[[#This Row],[_Space]],IFERROR(
((DaybyDay[[#This Row],[Actual-Rollup]]-DaybyDay[[#This Row],[Budget-Rollup]])/DaybyDay[[#This Row],[Budget-Rollup]]),0),"")</f>
        <v>0</v>
      </c>
      <c r="X306" t="b">
        <f>NOT(AND(ISBLANK(DaybyDay[[#This Row],[Appts]]),ISBLANK(DaybyDay[[#This Row],[Service-Actuals]]),ISBLANK(DaybyDay[[#This Row],[Retail-Actuals]])))</f>
        <v>1</v>
      </c>
      <c r="Y306" s="36">
        <f>IF(DaybyDay[[#This Row],[_Space]],IFERROR(
((DaybyDay[[#This Row],[Actual-Rollup]]-DaybyDay[[#This Row],[LY-Rollup]])/DaybyDay[[#This Row],[LY-Rollup]]),0),"")</f>
        <v>0</v>
      </c>
      <c r="Z306"/>
      <c r="AA306" s="37" t="e">
        <f>IF(DaybyDay[[#This Row],[_Space]],DaybyDay[[#This Row],[Ret-Act-RU]]/DaybyDay[[#This Row],[Serv-Act-RU]],"")</f>
        <v>#DIV/0!</v>
      </c>
      <c r="AB306" s="50" t="e">
        <f>IF(DaybyDay[[#This Row],[_Space]],DaybyDay[[#This Row],[RETPEN-Act]]/DaybyDay[[#This Row],[RETPEN-Bud]],"")</f>
        <v>#DIV/0!</v>
      </c>
      <c r="AC306" s="37" t="e">
        <f>IF(DaybyDay[[#This Row],[_Space]],DaybyDay[[#This Row],[Ret-Bud-RU]]/DaybyDay[[#This Row],[Serv-Bud-RU]],"")</f>
        <v>#DIV/0!</v>
      </c>
      <c r="AD306" s="37" t="e">
        <f>IF(DaybyDay[[#This Row],[_Space]],DaybyDay[[#This Row],[Ret-LY-RU]]/DaybyDay[[#This Row],[Serv-LY-RU]],"")</f>
        <v>#DIV/0!</v>
      </c>
      <c r="AE306" s="30">
        <f>WEEKDAY(DaybyDay[[#This Row],[LY-Date]])</f>
        <v>6</v>
      </c>
      <c r="AF306" s="38">
        <f>$E$2+_xlfn.DAYS(DaybyDay[[#This Row],[Date]],minDate)</f>
        <v>42671</v>
      </c>
      <c r="AG306" s="39" t="str" cm="1">
        <f t="array" ref="AG306">IFERROR(INDEX(DaybyDay[],DaybyDay[[#This Row],[FORM_MATCH_HELPER]],8),"")</f>
        <v/>
      </c>
      <c r="AH306" s="39" t="str" cm="1">
        <f t="array" ref="AH306">IFERROR(INDEX(DaybyDay[],DaybyDay[[#This Row],[FORM_MATCH_HELPER]],10),"")</f>
        <v/>
      </c>
      <c r="AI306" s="39" t="str" cm="1">
        <f t="array" ref="AI306">IFERROR(INDEX(DaybyDay[],DaybyDay[[#This Row],[FORM_MATCH_HELPER]],12),"")</f>
        <v/>
      </c>
      <c r="AJ306" s="32">
        <f>IFERROR(DaybyDay[[#This Row],[Serv-LY-RU]]+DaybyDay[[#This Row],[Ret-LY-RU]],"")</f>
        <v>0</v>
      </c>
      <c r="AK3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6" s="77"/>
      <c r="AM306" s="40" t="str">
        <f>IF(DaybyDay[[#This Row],[Admin Hours]]&gt;0,DaybyDay[[#This Row],[Admin Hours]]*$AM$2+$AM$3,"")</f>
        <v/>
      </c>
      <c r="AN306" s="40">
        <f>SUMIFS(DaybyDay[Est-Admin-Payroll],DaybyDay[Date],"&gt;="&amp;$C$5,DaybyDay[RowYear],"&gt;="&amp;$C$4,DaybyDay[Date],"&lt;="&amp;DaybyDay[[#This Row],[Date]])</f>
        <v>0</v>
      </c>
      <c r="AO306" s="41" t="str">
        <f>IF(AND(DaybyDay[[#This Row],[_Space]],ISNUMBER(DaybyDay[[#This Row],[Admin Hours]])),DaybyDay[[#This Row],[Est-Admin-Payroll]]/(DaybyDay[[#This Row],[Service-Actuals]]+DaybyDay[[#This Row],[Retail-Actuals]]),"")</f>
        <v/>
      </c>
      <c r="AP306" s="41" t="e">
        <f>DaybyDay[[#This Row],[Estimated-Payroll-Rollup]]/DaybyDay[[#This Row],[Simple-Forecast]]</f>
        <v>#DIV/0!</v>
      </c>
      <c r="AQ3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6" s="77"/>
      <c r="AS306" s="40" t="str">
        <f>IF(DaybyDay[[#This Row],[Retail Hours]]&gt;0,DaybyDay[[#This Row],[Retail Hours]]*$AS$2,"")</f>
        <v/>
      </c>
      <c r="AT306" s="40">
        <f>SUMIFS(DaybyDay[Est-Retail-Payroll],DaybyDay[Date],"&gt;="&amp;$C$5,DaybyDay[RowYear],"&gt;="&amp;$C$4,DaybyDay[Date],"&lt;="&amp;DaybyDay[[#This Row],[Date]])</f>
        <v>0</v>
      </c>
      <c r="AU306" s="82" t="str">
        <f>IF(AND(DaybyDay[[#This Row],[_Space]],ISNUMBER(DaybyDay[[#This Row],[Retail Hours]])),DaybyDay[[#This Row],[Est-Retail-Payroll]]/(DaybyDay[[#This Row],[Retail-Actuals]]),"")</f>
        <v/>
      </c>
      <c r="AV306" s="82" t="e">
        <f>DaybyDay[[#This Row],[Est-Retail-PayrollRU]]/DaybyDay[[#This Row],[Simple-Forecast-Retail]]</f>
        <v>#DIV/0!</v>
      </c>
      <c r="AW306" s="8"/>
    </row>
    <row r="307" spans="3:49" hidden="1" x14ac:dyDescent="0.25">
      <c r="C307" s="26" t="str">
        <f>Tools!$C$1</f>
        <v>Example</v>
      </c>
      <c r="D307" s="27" t="s">
        <v>77</v>
      </c>
      <c r="E307" s="28">
        <v>2017</v>
      </c>
      <c r="F307" s="28">
        <f>MATCH(DaybyDay[[#This Row],[RowMonth]],Table3[SummaryMonth],0)</f>
        <v>10</v>
      </c>
      <c r="G307" s="29" t="e">
        <f>MATCH(DaybyDay[[#This Row],[LY-Date]],DaybyDay[Date],0)</f>
        <v>#N/A</v>
      </c>
      <c r="H307" s="30">
        <f>WEEKDAY(DaybyDay[[#This Row],[Date]])</f>
        <v>7</v>
      </c>
      <c r="I307" s="31">
        <v>43036</v>
      </c>
      <c r="J307" s="74">
        <v>23</v>
      </c>
      <c r="K307" s="32">
        <f>SUMIFS(BudgetSeasonality[365 Seasonality],BudgetSeasonality[MonthAdjustment],DaybyDay[[#This Row],[Date]])*SUMIFS(Budgets[Service-Budget],Budgets[BudgetMonth],DaybyDay[[#This Row],[RowMonth]],Budgets[BudgetYear],DaybyDay[[#This Row],[RowYear]])</f>
        <v>0</v>
      </c>
      <c r="L307" s="75">
        <v>4344</v>
      </c>
      <c r="M307" s="32">
        <f>INDEX(BudgetSeasonality[365 Seasonality],MATCH(DaybyDay[[#This Row],[Date]],BudgetSeasonality[MonthAdjustment],0))*SUMIFS(Budgets[Retail-Budget],Budgets[BudgetMonth],DaybyDay[[#This Row],[RowMonth]],Budgets[BudgetYear],DaybyDay[[#This Row],[RowYear]])</f>
        <v>0</v>
      </c>
      <c r="N307" s="75">
        <v>498.5</v>
      </c>
      <c r="O307" s="33">
        <f>SUMIFS(DaybyDay[Service-Budgets],DaybyDay[Date],"&gt;="&amp;$C$5,DaybyDay[RowYear],"&gt;="&amp;$C$4,DaybyDay[Date],"&lt;="&amp;DaybyDay[[#This Row],[Date]])</f>
        <v>0</v>
      </c>
      <c r="P307" s="33">
        <f>SUMIFS(DaybyDay[Retail-Budgets],DaybyDay[Date],"&gt;="&amp;$C$5,DaybyDay[RowYear],"&gt;="&amp;$C$4,DaybyDay[Date],"&lt;="&amp;DaybyDay[[#This Row],[Date]])</f>
        <v>0</v>
      </c>
      <c r="Q307" s="34">
        <f>SUMIFS(DaybyDay[Service-Actuals],DaybyDay[Date],"&gt;="&amp;$C$5,DaybyDay[RowYear],"&gt;="&amp;$C$4,DaybyDay[Date],"&lt;="&amp;DaybyDay[[#This Row],[Date]])</f>
        <v>0</v>
      </c>
      <c r="R307" s="34">
        <f>SUMIFS(DaybyDay[Retail-Actuals],DaybyDay[Date],"&gt;="&amp;$C$5,DaybyDay[RowYear],"&gt;="&amp;$C$4,DaybyDay[Date],"&lt;="&amp;DaybyDay[[#This Row],[Date]])</f>
        <v>0</v>
      </c>
      <c r="S307" s="35">
        <f>SUMIFS(DaybyDay[Service-LY],DaybyDay[Date],"&gt;="&amp;$C$5,DaybyDay[RowYear],"&gt;="&amp;$C$4,DaybyDay[Date],"&lt;="&amp;DaybyDay[[#This Row],[Date]])</f>
        <v>0</v>
      </c>
      <c r="T307" s="35">
        <f>SUMIFS(DaybyDay[Retail-LY],DaybyDay[Date],"&gt;="&amp;$C$5,DaybyDay[RowYear],"&gt;="&amp;$C$4,DaybyDay[Date],"&lt;="&amp;DaybyDay[[#This Row],[Date]])</f>
        <v>0</v>
      </c>
      <c r="U307" s="32">
        <f>DaybyDay[[#This Row],[Serv-Bud-RU]]+DaybyDay[[#This Row],[Ret-Bud-RU]]</f>
        <v>0</v>
      </c>
      <c r="V307" s="32">
        <f>DaybyDay[[#This Row],[Serv-Act-RU]]+DaybyDay[[#This Row],[Ret-Act-RU]]</f>
        <v>0</v>
      </c>
      <c r="W307" s="36">
        <f>IF(DaybyDay[[#This Row],[_Space]],IFERROR(
((DaybyDay[[#This Row],[Actual-Rollup]]-DaybyDay[[#This Row],[Budget-Rollup]])/DaybyDay[[#This Row],[Budget-Rollup]]),0),"")</f>
        <v>0</v>
      </c>
      <c r="X307" t="b">
        <f>NOT(AND(ISBLANK(DaybyDay[[#This Row],[Appts]]),ISBLANK(DaybyDay[[#This Row],[Service-Actuals]]),ISBLANK(DaybyDay[[#This Row],[Retail-Actuals]])))</f>
        <v>1</v>
      </c>
      <c r="Y307" s="36">
        <f>IF(DaybyDay[[#This Row],[_Space]],IFERROR(
((DaybyDay[[#This Row],[Actual-Rollup]]-DaybyDay[[#This Row],[LY-Rollup]])/DaybyDay[[#This Row],[LY-Rollup]]),0),"")</f>
        <v>0</v>
      </c>
      <c r="Z307"/>
      <c r="AA307" s="37" t="e">
        <f>IF(DaybyDay[[#This Row],[_Space]],DaybyDay[[#This Row],[Ret-Act-RU]]/DaybyDay[[#This Row],[Serv-Act-RU]],"")</f>
        <v>#DIV/0!</v>
      </c>
      <c r="AB307" s="50" t="e">
        <f>IF(DaybyDay[[#This Row],[_Space]],DaybyDay[[#This Row],[RETPEN-Act]]/DaybyDay[[#This Row],[RETPEN-Bud]],"")</f>
        <v>#DIV/0!</v>
      </c>
      <c r="AC307" s="37" t="e">
        <f>IF(DaybyDay[[#This Row],[_Space]],DaybyDay[[#This Row],[Ret-Bud-RU]]/DaybyDay[[#This Row],[Serv-Bud-RU]],"")</f>
        <v>#DIV/0!</v>
      </c>
      <c r="AD307" s="37" t="e">
        <f>IF(DaybyDay[[#This Row],[_Space]],DaybyDay[[#This Row],[Ret-LY-RU]]/DaybyDay[[#This Row],[Serv-LY-RU]],"")</f>
        <v>#DIV/0!</v>
      </c>
      <c r="AE307" s="30">
        <f>WEEKDAY(DaybyDay[[#This Row],[LY-Date]])</f>
        <v>7</v>
      </c>
      <c r="AF307" s="38">
        <f>$E$2+_xlfn.DAYS(DaybyDay[[#This Row],[Date]],minDate)</f>
        <v>42672</v>
      </c>
      <c r="AG307" s="39" t="str" cm="1">
        <f t="array" ref="AG307">IFERROR(INDEX(DaybyDay[],DaybyDay[[#This Row],[FORM_MATCH_HELPER]],8),"")</f>
        <v/>
      </c>
      <c r="AH307" s="39" t="str" cm="1">
        <f t="array" ref="AH307">IFERROR(INDEX(DaybyDay[],DaybyDay[[#This Row],[FORM_MATCH_HELPER]],10),"")</f>
        <v/>
      </c>
      <c r="AI307" s="39" t="str" cm="1">
        <f t="array" ref="AI307">IFERROR(INDEX(DaybyDay[],DaybyDay[[#This Row],[FORM_MATCH_HELPER]],12),"")</f>
        <v/>
      </c>
      <c r="AJ307" s="32">
        <f>IFERROR(DaybyDay[[#This Row],[Serv-LY-RU]]+DaybyDay[[#This Row],[Ret-LY-RU]],"")</f>
        <v>0</v>
      </c>
      <c r="AK3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7" s="77"/>
      <c r="AM307" s="40" t="str">
        <f>IF(DaybyDay[[#This Row],[Admin Hours]]&gt;0,DaybyDay[[#This Row],[Admin Hours]]*$AM$2+$AM$3,"")</f>
        <v/>
      </c>
      <c r="AN307" s="40">
        <f>SUMIFS(DaybyDay[Est-Admin-Payroll],DaybyDay[Date],"&gt;="&amp;$C$5,DaybyDay[RowYear],"&gt;="&amp;$C$4,DaybyDay[Date],"&lt;="&amp;DaybyDay[[#This Row],[Date]])</f>
        <v>0</v>
      </c>
      <c r="AO307" s="41" t="str">
        <f>IF(AND(DaybyDay[[#This Row],[_Space]],ISNUMBER(DaybyDay[[#This Row],[Admin Hours]])),DaybyDay[[#This Row],[Est-Admin-Payroll]]/(DaybyDay[[#This Row],[Service-Actuals]]+DaybyDay[[#This Row],[Retail-Actuals]]),"")</f>
        <v/>
      </c>
      <c r="AP307" s="41" t="e">
        <f>DaybyDay[[#This Row],[Estimated-Payroll-Rollup]]/DaybyDay[[#This Row],[Simple-Forecast]]</f>
        <v>#DIV/0!</v>
      </c>
      <c r="AQ3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7" s="77"/>
      <c r="AS307" s="40" t="str">
        <f>IF(DaybyDay[[#This Row],[Retail Hours]]&gt;0,DaybyDay[[#This Row],[Retail Hours]]*$AS$2,"")</f>
        <v/>
      </c>
      <c r="AT307" s="40">
        <f>SUMIFS(DaybyDay[Est-Retail-Payroll],DaybyDay[Date],"&gt;="&amp;$C$5,DaybyDay[RowYear],"&gt;="&amp;$C$4,DaybyDay[Date],"&lt;="&amp;DaybyDay[[#This Row],[Date]])</f>
        <v>0</v>
      </c>
      <c r="AU307" s="82" t="str">
        <f>IF(AND(DaybyDay[[#This Row],[_Space]],ISNUMBER(DaybyDay[[#This Row],[Retail Hours]])),DaybyDay[[#This Row],[Est-Retail-Payroll]]/(DaybyDay[[#This Row],[Retail-Actuals]]),"")</f>
        <v/>
      </c>
      <c r="AV307" s="82" t="e">
        <f>DaybyDay[[#This Row],[Est-Retail-PayrollRU]]/DaybyDay[[#This Row],[Simple-Forecast-Retail]]</f>
        <v>#DIV/0!</v>
      </c>
      <c r="AW307" s="8"/>
    </row>
    <row r="308" spans="3:49" hidden="1" x14ac:dyDescent="0.25">
      <c r="C308" s="26" t="str">
        <f>Tools!$C$1</f>
        <v>Example</v>
      </c>
      <c r="D308" s="27" t="s">
        <v>78</v>
      </c>
      <c r="E308" s="28">
        <v>2017</v>
      </c>
      <c r="F308" s="28">
        <f>MATCH(DaybyDay[[#This Row],[RowMonth]],Table3[SummaryMonth],0)</f>
        <v>11</v>
      </c>
      <c r="G308" s="29" t="e">
        <f>MATCH(DaybyDay[[#This Row],[LY-Date]],DaybyDay[Date],0)</f>
        <v>#N/A</v>
      </c>
      <c r="H308" s="30">
        <f>WEEKDAY(DaybyDay[[#This Row],[Date]])</f>
        <v>1</v>
      </c>
      <c r="I308" s="31">
        <v>43037</v>
      </c>
      <c r="J308" s="74">
        <v>29</v>
      </c>
      <c r="K308" s="32">
        <f>SUMIFS(BudgetSeasonality[365 Seasonality],BudgetSeasonality[MonthAdjustment],DaybyDay[[#This Row],[Date]])*SUMIFS(Budgets[Service-Budget],Budgets[BudgetMonth],DaybyDay[[#This Row],[RowMonth]],Budgets[BudgetYear],DaybyDay[[#This Row],[RowYear]])</f>
        <v>0</v>
      </c>
      <c r="L308" s="75">
        <v>6247.88</v>
      </c>
      <c r="M308" s="32">
        <f>INDEX(BudgetSeasonality[365 Seasonality],MATCH(DaybyDay[[#This Row],[Date]],BudgetSeasonality[MonthAdjustment],0))*SUMIFS(Budgets[Retail-Budget],Budgets[BudgetMonth],DaybyDay[[#This Row],[RowMonth]],Budgets[BudgetYear],DaybyDay[[#This Row],[RowYear]])</f>
        <v>0</v>
      </c>
      <c r="N308" s="75">
        <v>483.11</v>
      </c>
      <c r="O308" s="33">
        <f>SUMIFS(DaybyDay[Service-Budgets],DaybyDay[Date],"&gt;="&amp;$C$5,DaybyDay[RowYear],"&gt;="&amp;$C$4,DaybyDay[Date],"&lt;="&amp;DaybyDay[[#This Row],[Date]])</f>
        <v>0</v>
      </c>
      <c r="P308" s="33">
        <f>SUMIFS(DaybyDay[Retail-Budgets],DaybyDay[Date],"&gt;="&amp;$C$5,DaybyDay[RowYear],"&gt;="&amp;$C$4,DaybyDay[Date],"&lt;="&amp;DaybyDay[[#This Row],[Date]])</f>
        <v>0</v>
      </c>
      <c r="Q308" s="34">
        <f>SUMIFS(DaybyDay[Service-Actuals],DaybyDay[Date],"&gt;="&amp;$C$5,DaybyDay[RowYear],"&gt;="&amp;$C$4,DaybyDay[Date],"&lt;="&amp;DaybyDay[[#This Row],[Date]])</f>
        <v>0</v>
      </c>
      <c r="R308" s="34">
        <f>SUMIFS(DaybyDay[Retail-Actuals],DaybyDay[Date],"&gt;="&amp;$C$5,DaybyDay[RowYear],"&gt;="&amp;$C$4,DaybyDay[Date],"&lt;="&amp;DaybyDay[[#This Row],[Date]])</f>
        <v>0</v>
      </c>
      <c r="S308" s="35">
        <f>SUMIFS(DaybyDay[Service-LY],DaybyDay[Date],"&gt;="&amp;$C$5,DaybyDay[RowYear],"&gt;="&amp;$C$4,DaybyDay[Date],"&lt;="&amp;DaybyDay[[#This Row],[Date]])</f>
        <v>0</v>
      </c>
      <c r="T308" s="35">
        <f>SUMIFS(DaybyDay[Retail-LY],DaybyDay[Date],"&gt;="&amp;$C$5,DaybyDay[RowYear],"&gt;="&amp;$C$4,DaybyDay[Date],"&lt;="&amp;DaybyDay[[#This Row],[Date]])</f>
        <v>0</v>
      </c>
      <c r="U308" s="32">
        <f>DaybyDay[[#This Row],[Serv-Bud-RU]]+DaybyDay[[#This Row],[Ret-Bud-RU]]</f>
        <v>0</v>
      </c>
      <c r="V308" s="32">
        <f>DaybyDay[[#This Row],[Serv-Act-RU]]+DaybyDay[[#This Row],[Ret-Act-RU]]</f>
        <v>0</v>
      </c>
      <c r="W308" s="36">
        <f>IF(DaybyDay[[#This Row],[_Space]],IFERROR(
((DaybyDay[[#This Row],[Actual-Rollup]]-DaybyDay[[#This Row],[Budget-Rollup]])/DaybyDay[[#This Row],[Budget-Rollup]]),0),"")</f>
        <v>0</v>
      </c>
      <c r="X308" t="b">
        <f>NOT(AND(ISBLANK(DaybyDay[[#This Row],[Appts]]),ISBLANK(DaybyDay[[#This Row],[Service-Actuals]]),ISBLANK(DaybyDay[[#This Row],[Retail-Actuals]])))</f>
        <v>1</v>
      </c>
      <c r="Y308" s="36">
        <f>IF(DaybyDay[[#This Row],[_Space]],IFERROR(
((DaybyDay[[#This Row],[Actual-Rollup]]-DaybyDay[[#This Row],[LY-Rollup]])/DaybyDay[[#This Row],[LY-Rollup]]),0),"")</f>
        <v>0</v>
      </c>
      <c r="Z308"/>
      <c r="AA308" s="37" t="e">
        <f>IF(DaybyDay[[#This Row],[_Space]],DaybyDay[[#This Row],[Ret-Act-RU]]/DaybyDay[[#This Row],[Serv-Act-RU]],"")</f>
        <v>#DIV/0!</v>
      </c>
      <c r="AB308" s="50" t="e">
        <f>IF(DaybyDay[[#This Row],[_Space]],DaybyDay[[#This Row],[RETPEN-Act]]/DaybyDay[[#This Row],[RETPEN-Bud]],"")</f>
        <v>#DIV/0!</v>
      </c>
      <c r="AC308" s="37" t="e">
        <f>IF(DaybyDay[[#This Row],[_Space]],DaybyDay[[#This Row],[Ret-Bud-RU]]/DaybyDay[[#This Row],[Serv-Bud-RU]],"")</f>
        <v>#DIV/0!</v>
      </c>
      <c r="AD308" s="37" t="e">
        <f>IF(DaybyDay[[#This Row],[_Space]],DaybyDay[[#This Row],[Ret-LY-RU]]/DaybyDay[[#This Row],[Serv-LY-RU]],"")</f>
        <v>#DIV/0!</v>
      </c>
      <c r="AE308" s="30">
        <f>WEEKDAY(DaybyDay[[#This Row],[LY-Date]])</f>
        <v>1</v>
      </c>
      <c r="AF308" s="38">
        <f>$E$2+_xlfn.DAYS(DaybyDay[[#This Row],[Date]],minDate)</f>
        <v>42673</v>
      </c>
      <c r="AG308" s="39" t="str" cm="1">
        <f t="array" ref="AG308">IFERROR(INDEX(DaybyDay[],DaybyDay[[#This Row],[FORM_MATCH_HELPER]],8),"")</f>
        <v/>
      </c>
      <c r="AH308" s="39" t="str" cm="1">
        <f t="array" ref="AH308">IFERROR(INDEX(DaybyDay[],DaybyDay[[#This Row],[FORM_MATCH_HELPER]],10),"")</f>
        <v/>
      </c>
      <c r="AI308" s="39" t="str" cm="1">
        <f t="array" ref="AI308">IFERROR(INDEX(DaybyDay[],DaybyDay[[#This Row],[FORM_MATCH_HELPER]],12),"")</f>
        <v/>
      </c>
      <c r="AJ308" s="32">
        <f>IFERROR(DaybyDay[[#This Row],[Serv-LY-RU]]+DaybyDay[[#This Row],[Ret-LY-RU]],"")</f>
        <v>0</v>
      </c>
      <c r="AK3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8" s="77"/>
      <c r="AM308" s="40" t="str">
        <f>IF(DaybyDay[[#This Row],[Admin Hours]]&gt;0,DaybyDay[[#This Row],[Admin Hours]]*$AM$2+$AM$3,"")</f>
        <v/>
      </c>
      <c r="AN308" s="40">
        <f>SUMIFS(DaybyDay[Est-Admin-Payroll],DaybyDay[Date],"&gt;="&amp;$C$5,DaybyDay[RowYear],"&gt;="&amp;$C$4,DaybyDay[Date],"&lt;="&amp;DaybyDay[[#This Row],[Date]])</f>
        <v>0</v>
      </c>
      <c r="AO308" s="41" t="str">
        <f>IF(AND(DaybyDay[[#This Row],[_Space]],ISNUMBER(DaybyDay[[#This Row],[Admin Hours]])),DaybyDay[[#This Row],[Est-Admin-Payroll]]/(DaybyDay[[#This Row],[Service-Actuals]]+DaybyDay[[#This Row],[Retail-Actuals]]),"")</f>
        <v/>
      </c>
      <c r="AP308" s="41" t="e">
        <f>DaybyDay[[#This Row],[Estimated-Payroll-Rollup]]/DaybyDay[[#This Row],[Simple-Forecast]]</f>
        <v>#DIV/0!</v>
      </c>
      <c r="AQ3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8" s="77"/>
      <c r="AS308" s="40" t="str">
        <f>IF(DaybyDay[[#This Row],[Retail Hours]]&gt;0,DaybyDay[[#This Row],[Retail Hours]]*$AS$2,"")</f>
        <v/>
      </c>
      <c r="AT308" s="40">
        <f>SUMIFS(DaybyDay[Est-Retail-Payroll],DaybyDay[Date],"&gt;="&amp;$C$5,DaybyDay[RowYear],"&gt;="&amp;$C$4,DaybyDay[Date],"&lt;="&amp;DaybyDay[[#This Row],[Date]])</f>
        <v>0</v>
      </c>
      <c r="AU308" s="82" t="str">
        <f>IF(AND(DaybyDay[[#This Row],[_Space]],ISNUMBER(DaybyDay[[#This Row],[Retail Hours]])),DaybyDay[[#This Row],[Est-Retail-Payroll]]/(DaybyDay[[#This Row],[Retail-Actuals]]),"")</f>
        <v/>
      </c>
      <c r="AV308" s="82" t="e">
        <f>DaybyDay[[#This Row],[Est-Retail-PayrollRU]]/DaybyDay[[#This Row],[Simple-Forecast-Retail]]</f>
        <v>#DIV/0!</v>
      </c>
      <c r="AW308" s="8"/>
    </row>
    <row r="309" spans="3:49" hidden="1" x14ac:dyDescent="0.25">
      <c r="C309" s="26" t="str">
        <f>Tools!$C$1</f>
        <v>Example</v>
      </c>
      <c r="D309" s="27" t="s">
        <v>78</v>
      </c>
      <c r="E309" s="28">
        <v>2017</v>
      </c>
      <c r="F309" s="28">
        <f>MATCH(DaybyDay[[#This Row],[RowMonth]],Table3[SummaryMonth],0)</f>
        <v>11</v>
      </c>
      <c r="G309" s="29" t="e">
        <f>MATCH(DaybyDay[[#This Row],[LY-Date]],DaybyDay[Date],0)</f>
        <v>#N/A</v>
      </c>
      <c r="H309" s="30">
        <f>WEEKDAY(DaybyDay[[#This Row],[Date]])</f>
        <v>2</v>
      </c>
      <c r="I309" s="31">
        <v>43038</v>
      </c>
      <c r="J309" s="74">
        <v>11</v>
      </c>
      <c r="K309" s="32">
        <f>SUMIFS(BudgetSeasonality[365 Seasonality],BudgetSeasonality[MonthAdjustment],DaybyDay[[#This Row],[Date]])*SUMIFS(Budgets[Service-Budget],Budgets[BudgetMonth],DaybyDay[[#This Row],[RowMonth]],Budgets[BudgetYear],DaybyDay[[#This Row],[RowYear]])</f>
        <v>0</v>
      </c>
      <c r="L309" s="75">
        <v>2506.1999999999998</v>
      </c>
      <c r="M309" s="32">
        <f>INDEX(BudgetSeasonality[365 Seasonality],MATCH(DaybyDay[[#This Row],[Date]],BudgetSeasonality[MonthAdjustment],0))*SUMIFS(Budgets[Retail-Budget],Budgets[BudgetMonth],DaybyDay[[#This Row],[RowMonth]],Budgets[BudgetYear],DaybyDay[[#This Row],[RowYear]])</f>
        <v>0</v>
      </c>
      <c r="N309" s="75">
        <v>720</v>
      </c>
      <c r="O309" s="33">
        <f>SUMIFS(DaybyDay[Service-Budgets],DaybyDay[Date],"&gt;="&amp;$C$5,DaybyDay[RowYear],"&gt;="&amp;$C$4,DaybyDay[Date],"&lt;="&amp;DaybyDay[[#This Row],[Date]])</f>
        <v>0</v>
      </c>
      <c r="P309" s="33">
        <f>SUMIFS(DaybyDay[Retail-Budgets],DaybyDay[Date],"&gt;="&amp;$C$5,DaybyDay[RowYear],"&gt;="&amp;$C$4,DaybyDay[Date],"&lt;="&amp;DaybyDay[[#This Row],[Date]])</f>
        <v>0</v>
      </c>
      <c r="Q309" s="34">
        <f>SUMIFS(DaybyDay[Service-Actuals],DaybyDay[Date],"&gt;="&amp;$C$5,DaybyDay[RowYear],"&gt;="&amp;$C$4,DaybyDay[Date],"&lt;="&amp;DaybyDay[[#This Row],[Date]])</f>
        <v>0</v>
      </c>
      <c r="R309" s="34">
        <f>SUMIFS(DaybyDay[Retail-Actuals],DaybyDay[Date],"&gt;="&amp;$C$5,DaybyDay[RowYear],"&gt;="&amp;$C$4,DaybyDay[Date],"&lt;="&amp;DaybyDay[[#This Row],[Date]])</f>
        <v>0</v>
      </c>
      <c r="S309" s="35">
        <f>SUMIFS(DaybyDay[Service-LY],DaybyDay[Date],"&gt;="&amp;$C$5,DaybyDay[RowYear],"&gt;="&amp;$C$4,DaybyDay[Date],"&lt;="&amp;DaybyDay[[#This Row],[Date]])</f>
        <v>0</v>
      </c>
      <c r="T309" s="35">
        <f>SUMIFS(DaybyDay[Retail-LY],DaybyDay[Date],"&gt;="&amp;$C$5,DaybyDay[RowYear],"&gt;="&amp;$C$4,DaybyDay[Date],"&lt;="&amp;DaybyDay[[#This Row],[Date]])</f>
        <v>0</v>
      </c>
      <c r="U309" s="32">
        <f>DaybyDay[[#This Row],[Serv-Bud-RU]]+DaybyDay[[#This Row],[Ret-Bud-RU]]</f>
        <v>0</v>
      </c>
      <c r="V309" s="32">
        <f>DaybyDay[[#This Row],[Serv-Act-RU]]+DaybyDay[[#This Row],[Ret-Act-RU]]</f>
        <v>0</v>
      </c>
      <c r="W309" s="36">
        <f>IF(DaybyDay[[#This Row],[_Space]],IFERROR(
((DaybyDay[[#This Row],[Actual-Rollup]]-DaybyDay[[#This Row],[Budget-Rollup]])/DaybyDay[[#This Row],[Budget-Rollup]]),0),"")</f>
        <v>0</v>
      </c>
      <c r="X309" t="b">
        <f>NOT(AND(ISBLANK(DaybyDay[[#This Row],[Appts]]),ISBLANK(DaybyDay[[#This Row],[Service-Actuals]]),ISBLANK(DaybyDay[[#This Row],[Retail-Actuals]])))</f>
        <v>1</v>
      </c>
      <c r="Y309" s="36">
        <f>IF(DaybyDay[[#This Row],[_Space]],IFERROR(
((DaybyDay[[#This Row],[Actual-Rollup]]-DaybyDay[[#This Row],[LY-Rollup]])/DaybyDay[[#This Row],[LY-Rollup]]),0),"")</f>
        <v>0</v>
      </c>
      <c r="Z309"/>
      <c r="AA309" s="37" t="e">
        <f>IF(DaybyDay[[#This Row],[_Space]],DaybyDay[[#This Row],[Ret-Act-RU]]/DaybyDay[[#This Row],[Serv-Act-RU]],"")</f>
        <v>#DIV/0!</v>
      </c>
      <c r="AB309" s="50" t="e">
        <f>IF(DaybyDay[[#This Row],[_Space]],DaybyDay[[#This Row],[RETPEN-Act]]/DaybyDay[[#This Row],[RETPEN-Bud]],"")</f>
        <v>#DIV/0!</v>
      </c>
      <c r="AC309" s="37" t="e">
        <f>IF(DaybyDay[[#This Row],[_Space]],DaybyDay[[#This Row],[Ret-Bud-RU]]/DaybyDay[[#This Row],[Serv-Bud-RU]],"")</f>
        <v>#DIV/0!</v>
      </c>
      <c r="AD309" s="37" t="e">
        <f>IF(DaybyDay[[#This Row],[_Space]],DaybyDay[[#This Row],[Ret-LY-RU]]/DaybyDay[[#This Row],[Serv-LY-RU]],"")</f>
        <v>#DIV/0!</v>
      </c>
      <c r="AE309" s="30">
        <f>WEEKDAY(DaybyDay[[#This Row],[LY-Date]])</f>
        <v>2</v>
      </c>
      <c r="AF309" s="38">
        <f>$E$2+_xlfn.DAYS(DaybyDay[[#This Row],[Date]],minDate)</f>
        <v>42674</v>
      </c>
      <c r="AG309" s="39" t="str" cm="1">
        <f t="array" ref="AG309">IFERROR(INDEX(DaybyDay[],DaybyDay[[#This Row],[FORM_MATCH_HELPER]],8),"")</f>
        <v/>
      </c>
      <c r="AH309" s="39" t="str" cm="1">
        <f t="array" ref="AH309">IFERROR(INDEX(DaybyDay[],DaybyDay[[#This Row],[FORM_MATCH_HELPER]],10),"")</f>
        <v/>
      </c>
      <c r="AI309" s="39" t="str" cm="1">
        <f t="array" ref="AI309">IFERROR(INDEX(DaybyDay[],DaybyDay[[#This Row],[FORM_MATCH_HELPER]],12),"")</f>
        <v/>
      </c>
      <c r="AJ309" s="32">
        <f>IFERROR(DaybyDay[[#This Row],[Serv-LY-RU]]+DaybyDay[[#This Row],[Ret-LY-RU]],"")</f>
        <v>0</v>
      </c>
      <c r="AK3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09" s="77"/>
      <c r="AM309" s="40" t="str">
        <f>IF(DaybyDay[[#This Row],[Admin Hours]]&gt;0,DaybyDay[[#This Row],[Admin Hours]]*$AM$2+$AM$3,"")</f>
        <v/>
      </c>
      <c r="AN309" s="40">
        <f>SUMIFS(DaybyDay[Est-Admin-Payroll],DaybyDay[Date],"&gt;="&amp;$C$5,DaybyDay[RowYear],"&gt;="&amp;$C$4,DaybyDay[Date],"&lt;="&amp;DaybyDay[[#This Row],[Date]])</f>
        <v>0</v>
      </c>
      <c r="AO309" s="41" t="str">
        <f>IF(AND(DaybyDay[[#This Row],[_Space]],ISNUMBER(DaybyDay[[#This Row],[Admin Hours]])),DaybyDay[[#This Row],[Est-Admin-Payroll]]/(DaybyDay[[#This Row],[Service-Actuals]]+DaybyDay[[#This Row],[Retail-Actuals]]),"")</f>
        <v/>
      </c>
      <c r="AP309" s="41" t="e">
        <f>DaybyDay[[#This Row],[Estimated-Payroll-Rollup]]/DaybyDay[[#This Row],[Simple-Forecast]]</f>
        <v>#DIV/0!</v>
      </c>
      <c r="AQ3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09" s="77"/>
      <c r="AS309" s="40" t="str">
        <f>IF(DaybyDay[[#This Row],[Retail Hours]]&gt;0,DaybyDay[[#This Row],[Retail Hours]]*$AS$2,"")</f>
        <v/>
      </c>
      <c r="AT309" s="40">
        <f>SUMIFS(DaybyDay[Est-Retail-Payroll],DaybyDay[Date],"&gt;="&amp;$C$5,DaybyDay[RowYear],"&gt;="&amp;$C$4,DaybyDay[Date],"&lt;="&amp;DaybyDay[[#This Row],[Date]])</f>
        <v>0</v>
      </c>
      <c r="AU309" s="82" t="str">
        <f>IF(AND(DaybyDay[[#This Row],[_Space]],ISNUMBER(DaybyDay[[#This Row],[Retail Hours]])),DaybyDay[[#This Row],[Est-Retail-Payroll]]/(DaybyDay[[#This Row],[Retail-Actuals]]),"")</f>
        <v/>
      </c>
      <c r="AV309" s="82" t="e">
        <f>DaybyDay[[#This Row],[Est-Retail-PayrollRU]]/DaybyDay[[#This Row],[Simple-Forecast-Retail]]</f>
        <v>#DIV/0!</v>
      </c>
      <c r="AW309" s="8"/>
    </row>
    <row r="310" spans="3:49" hidden="1" x14ac:dyDescent="0.25">
      <c r="C310" s="26" t="str">
        <f>Tools!$C$1</f>
        <v>Example</v>
      </c>
      <c r="D310" s="27" t="s">
        <v>78</v>
      </c>
      <c r="E310" s="28">
        <v>2017</v>
      </c>
      <c r="F310" s="28">
        <f>MATCH(DaybyDay[[#This Row],[RowMonth]],Table3[SummaryMonth],0)</f>
        <v>11</v>
      </c>
      <c r="G310" s="29" t="e">
        <f>MATCH(DaybyDay[[#This Row],[LY-Date]],DaybyDay[Date],0)</f>
        <v>#N/A</v>
      </c>
      <c r="H310" s="30">
        <f>WEEKDAY(DaybyDay[[#This Row],[Date]])</f>
        <v>3</v>
      </c>
      <c r="I310" s="31">
        <v>43039</v>
      </c>
      <c r="J310" s="74">
        <v>11</v>
      </c>
      <c r="K310" s="32">
        <f>SUMIFS(BudgetSeasonality[365 Seasonality],BudgetSeasonality[MonthAdjustment],DaybyDay[[#This Row],[Date]])*SUMIFS(Budgets[Service-Budget],Budgets[BudgetMonth],DaybyDay[[#This Row],[RowMonth]],Budgets[BudgetYear],DaybyDay[[#This Row],[RowYear]])</f>
        <v>0</v>
      </c>
      <c r="L310" s="75">
        <v>2109.9</v>
      </c>
      <c r="M310" s="32">
        <f>INDEX(BudgetSeasonality[365 Seasonality],MATCH(DaybyDay[[#This Row],[Date]],BudgetSeasonality[MonthAdjustment],0))*SUMIFS(Budgets[Retail-Budget],Budgets[BudgetMonth],DaybyDay[[#This Row],[RowMonth]],Budgets[BudgetYear],DaybyDay[[#This Row],[RowYear]])</f>
        <v>0</v>
      </c>
      <c r="N310" s="75">
        <v>260</v>
      </c>
      <c r="O310" s="33">
        <f>SUMIFS(DaybyDay[Service-Budgets],DaybyDay[Date],"&gt;="&amp;$C$5,DaybyDay[RowYear],"&gt;="&amp;$C$4,DaybyDay[Date],"&lt;="&amp;DaybyDay[[#This Row],[Date]])</f>
        <v>0</v>
      </c>
      <c r="P310" s="33">
        <f>SUMIFS(DaybyDay[Retail-Budgets],DaybyDay[Date],"&gt;="&amp;$C$5,DaybyDay[RowYear],"&gt;="&amp;$C$4,DaybyDay[Date],"&lt;="&amp;DaybyDay[[#This Row],[Date]])</f>
        <v>0</v>
      </c>
      <c r="Q310" s="34">
        <f>SUMIFS(DaybyDay[Service-Actuals],DaybyDay[Date],"&gt;="&amp;$C$5,DaybyDay[RowYear],"&gt;="&amp;$C$4,DaybyDay[Date],"&lt;="&amp;DaybyDay[[#This Row],[Date]])</f>
        <v>0</v>
      </c>
      <c r="R310" s="34">
        <f>SUMIFS(DaybyDay[Retail-Actuals],DaybyDay[Date],"&gt;="&amp;$C$5,DaybyDay[RowYear],"&gt;="&amp;$C$4,DaybyDay[Date],"&lt;="&amp;DaybyDay[[#This Row],[Date]])</f>
        <v>0</v>
      </c>
      <c r="S310" s="35">
        <f>SUMIFS(DaybyDay[Service-LY],DaybyDay[Date],"&gt;="&amp;$C$5,DaybyDay[RowYear],"&gt;="&amp;$C$4,DaybyDay[Date],"&lt;="&amp;DaybyDay[[#This Row],[Date]])</f>
        <v>0</v>
      </c>
      <c r="T310" s="35">
        <f>SUMIFS(DaybyDay[Retail-LY],DaybyDay[Date],"&gt;="&amp;$C$5,DaybyDay[RowYear],"&gt;="&amp;$C$4,DaybyDay[Date],"&lt;="&amp;DaybyDay[[#This Row],[Date]])</f>
        <v>0</v>
      </c>
      <c r="U310" s="32">
        <f>DaybyDay[[#This Row],[Serv-Bud-RU]]+DaybyDay[[#This Row],[Ret-Bud-RU]]</f>
        <v>0</v>
      </c>
      <c r="V310" s="32">
        <f>DaybyDay[[#This Row],[Serv-Act-RU]]+DaybyDay[[#This Row],[Ret-Act-RU]]</f>
        <v>0</v>
      </c>
      <c r="W310" s="36">
        <f>IF(DaybyDay[[#This Row],[_Space]],IFERROR(
((DaybyDay[[#This Row],[Actual-Rollup]]-DaybyDay[[#This Row],[Budget-Rollup]])/DaybyDay[[#This Row],[Budget-Rollup]]),0),"")</f>
        <v>0</v>
      </c>
      <c r="X310" t="b">
        <f>NOT(AND(ISBLANK(DaybyDay[[#This Row],[Appts]]),ISBLANK(DaybyDay[[#This Row],[Service-Actuals]]),ISBLANK(DaybyDay[[#This Row],[Retail-Actuals]])))</f>
        <v>1</v>
      </c>
      <c r="Y310" s="36">
        <f>IF(DaybyDay[[#This Row],[_Space]],IFERROR(
((DaybyDay[[#This Row],[Actual-Rollup]]-DaybyDay[[#This Row],[LY-Rollup]])/DaybyDay[[#This Row],[LY-Rollup]]),0),"")</f>
        <v>0</v>
      </c>
      <c r="Z310"/>
      <c r="AA310" s="37" t="e">
        <f>IF(DaybyDay[[#This Row],[_Space]],DaybyDay[[#This Row],[Ret-Act-RU]]/DaybyDay[[#This Row],[Serv-Act-RU]],"")</f>
        <v>#DIV/0!</v>
      </c>
      <c r="AB310" s="50" t="e">
        <f>IF(DaybyDay[[#This Row],[_Space]],DaybyDay[[#This Row],[RETPEN-Act]]/DaybyDay[[#This Row],[RETPEN-Bud]],"")</f>
        <v>#DIV/0!</v>
      </c>
      <c r="AC310" s="37" t="e">
        <f>IF(DaybyDay[[#This Row],[_Space]],DaybyDay[[#This Row],[Ret-Bud-RU]]/DaybyDay[[#This Row],[Serv-Bud-RU]],"")</f>
        <v>#DIV/0!</v>
      </c>
      <c r="AD310" s="37" t="e">
        <f>IF(DaybyDay[[#This Row],[_Space]],DaybyDay[[#This Row],[Ret-LY-RU]]/DaybyDay[[#This Row],[Serv-LY-RU]],"")</f>
        <v>#DIV/0!</v>
      </c>
      <c r="AE310" s="30">
        <f>WEEKDAY(DaybyDay[[#This Row],[LY-Date]])</f>
        <v>3</v>
      </c>
      <c r="AF310" s="38">
        <f>$E$2+_xlfn.DAYS(DaybyDay[[#This Row],[Date]],minDate)</f>
        <v>42675</v>
      </c>
      <c r="AG310" s="39" t="str" cm="1">
        <f t="array" ref="AG310">IFERROR(INDEX(DaybyDay[],DaybyDay[[#This Row],[FORM_MATCH_HELPER]],8),"")</f>
        <v/>
      </c>
      <c r="AH310" s="39" t="str" cm="1">
        <f t="array" ref="AH310">IFERROR(INDEX(DaybyDay[],DaybyDay[[#This Row],[FORM_MATCH_HELPER]],10),"")</f>
        <v/>
      </c>
      <c r="AI310" s="39" t="str" cm="1">
        <f t="array" ref="AI310">IFERROR(INDEX(DaybyDay[],DaybyDay[[#This Row],[FORM_MATCH_HELPER]],12),"")</f>
        <v/>
      </c>
      <c r="AJ310" s="32">
        <f>IFERROR(DaybyDay[[#This Row],[Serv-LY-RU]]+DaybyDay[[#This Row],[Ret-LY-RU]],"")</f>
        <v>0</v>
      </c>
      <c r="AK3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0" s="77"/>
      <c r="AM310" s="40" t="str">
        <f>IF(DaybyDay[[#This Row],[Admin Hours]]&gt;0,DaybyDay[[#This Row],[Admin Hours]]*$AM$2+$AM$3,"")</f>
        <v/>
      </c>
      <c r="AN310" s="40">
        <f>SUMIFS(DaybyDay[Est-Admin-Payroll],DaybyDay[Date],"&gt;="&amp;$C$5,DaybyDay[RowYear],"&gt;="&amp;$C$4,DaybyDay[Date],"&lt;="&amp;DaybyDay[[#This Row],[Date]])</f>
        <v>0</v>
      </c>
      <c r="AO310" s="41" t="str">
        <f>IF(AND(DaybyDay[[#This Row],[_Space]],ISNUMBER(DaybyDay[[#This Row],[Admin Hours]])),DaybyDay[[#This Row],[Est-Admin-Payroll]]/(DaybyDay[[#This Row],[Service-Actuals]]+DaybyDay[[#This Row],[Retail-Actuals]]),"")</f>
        <v/>
      </c>
      <c r="AP310" s="41" t="e">
        <f>DaybyDay[[#This Row],[Estimated-Payroll-Rollup]]/DaybyDay[[#This Row],[Simple-Forecast]]</f>
        <v>#DIV/0!</v>
      </c>
      <c r="AQ3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0" s="77"/>
      <c r="AS310" s="40" t="str">
        <f>IF(DaybyDay[[#This Row],[Retail Hours]]&gt;0,DaybyDay[[#This Row],[Retail Hours]]*$AS$2,"")</f>
        <v/>
      </c>
      <c r="AT310" s="40">
        <f>SUMIFS(DaybyDay[Est-Retail-Payroll],DaybyDay[Date],"&gt;="&amp;$C$5,DaybyDay[RowYear],"&gt;="&amp;$C$4,DaybyDay[Date],"&lt;="&amp;DaybyDay[[#This Row],[Date]])</f>
        <v>0</v>
      </c>
      <c r="AU310" s="82" t="str">
        <f>IF(AND(DaybyDay[[#This Row],[_Space]],ISNUMBER(DaybyDay[[#This Row],[Retail Hours]])),DaybyDay[[#This Row],[Est-Retail-Payroll]]/(DaybyDay[[#This Row],[Retail-Actuals]]),"")</f>
        <v/>
      </c>
      <c r="AV310" s="82" t="e">
        <f>DaybyDay[[#This Row],[Est-Retail-PayrollRU]]/DaybyDay[[#This Row],[Simple-Forecast-Retail]]</f>
        <v>#DIV/0!</v>
      </c>
      <c r="AW310" s="8"/>
    </row>
    <row r="311" spans="3:49" hidden="1" x14ac:dyDescent="0.25">
      <c r="C311" s="26" t="str">
        <f>Tools!$C$1</f>
        <v>Example</v>
      </c>
      <c r="D311" s="27" t="s">
        <v>78</v>
      </c>
      <c r="E311" s="28">
        <v>2017</v>
      </c>
      <c r="F311" s="28">
        <f>MATCH(DaybyDay[[#This Row],[RowMonth]],Table3[SummaryMonth],0)</f>
        <v>11</v>
      </c>
      <c r="G311" s="29" t="e">
        <f>MATCH(DaybyDay[[#This Row],[LY-Date]],DaybyDay[Date],0)</f>
        <v>#N/A</v>
      </c>
      <c r="H311" s="30">
        <f>WEEKDAY(DaybyDay[[#This Row],[Date]])</f>
        <v>4</v>
      </c>
      <c r="I311" s="31">
        <v>43040</v>
      </c>
      <c r="J311" s="74">
        <v>26</v>
      </c>
      <c r="K311" s="32">
        <f>SUMIFS(BudgetSeasonality[365 Seasonality],BudgetSeasonality[MonthAdjustment],DaybyDay[[#This Row],[Date]])*SUMIFS(Budgets[Service-Budget],Budgets[BudgetMonth],DaybyDay[[#This Row],[RowMonth]],Budgets[BudgetYear],DaybyDay[[#This Row],[RowYear]])</f>
        <v>0</v>
      </c>
      <c r="L311" s="75">
        <v>5614.8</v>
      </c>
      <c r="M311" s="32">
        <f>INDEX(BudgetSeasonality[365 Seasonality],MATCH(DaybyDay[[#This Row],[Date]],BudgetSeasonality[MonthAdjustment],0))*SUMIFS(Budgets[Retail-Budget],Budgets[BudgetMonth],DaybyDay[[#This Row],[RowMonth]],Budgets[BudgetYear],DaybyDay[[#This Row],[RowYear]])</f>
        <v>0</v>
      </c>
      <c r="N311" s="75">
        <v>2090.27</v>
      </c>
      <c r="O311" s="33">
        <f>SUMIFS(DaybyDay[Service-Budgets],DaybyDay[Date],"&gt;="&amp;$C$5,DaybyDay[RowYear],"&gt;="&amp;$C$4,DaybyDay[Date],"&lt;="&amp;DaybyDay[[#This Row],[Date]])</f>
        <v>0</v>
      </c>
      <c r="P311" s="33">
        <f>SUMIFS(DaybyDay[Retail-Budgets],DaybyDay[Date],"&gt;="&amp;$C$5,DaybyDay[RowYear],"&gt;="&amp;$C$4,DaybyDay[Date],"&lt;="&amp;DaybyDay[[#This Row],[Date]])</f>
        <v>0</v>
      </c>
      <c r="Q311" s="34">
        <f>SUMIFS(DaybyDay[Service-Actuals],DaybyDay[Date],"&gt;="&amp;$C$5,DaybyDay[RowYear],"&gt;="&amp;$C$4,DaybyDay[Date],"&lt;="&amp;DaybyDay[[#This Row],[Date]])</f>
        <v>0</v>
      </c>
      <c r="R311" s="34">
        <f>SUMIFS(DaybyDay[Retail-Actuals],DaybyDay[Date],"&gt;="&amp;$C$5,DaybyDay[RowYear],"&gt;="&amp;$C$4,DaybyDay[Date],"&lt;="&amp;DaybyDay[[#This Row],[Date]])</f>
        <v>0</v>
      </c>
      <c r="S311" s="35">
        <f>SUMIFS(DaybyDay[Service-LY],DaybyDay[Date],"&gt;="&amp;$C$5,DaybyDay[RowYear],"&gt;="&amp;$C$4,DaybyDay[Date],"&lt;="&amp;DaybyDay[[#This Row],[Date]])</f>
        <v>0</v>
      </c>
      <c r="T311" s="35">
        <f>SUMIFS(DaybyDay[Retail-LY],DaybyDay[Date],"&gt;="&amp;$C$5,DaybyDay[RowYear],"&gt;="&amp;$C$4,DaybyDay[Date],"&lt;="&amp;DaybyDay[[#This Row],[Date]])</f>
        <v>0</v>
      </c>
      <c r="U311" s="32">
        <f>DaybyDay[[#This Row],[Serv-Bud-RU]]+DaybyDay[[#This Row],[Ret-Bud-RU]]</f>
        <v>0</v>
      </c>
      <c r="V311" s="32">
        <f>DaybyDay[[#This Row],[Serv-Act-RU]]+DaybyDay[[#This Row],[Ret-Act-RU]]</f>
        <v>0</v>
      </c>
      <c r="W311" s="36">
        <f>IF(DaybyDay[[#This Row],[_Space]],IFERROR(
((DaybyDay[[#This Row],[Actual-Rollup]]-DaybyDay[[#This Row],[Budget-Rollup]])/DaybyDay[[#This Row],[Budget-Rollup]]),0),"")</f>
        <v>0</v>
      </c>
      <c r="X311" t="b">
        <f>NOT(AND(ISBLANK(DaybyDay[[#This Row],[Appts]]),ISBLANK(DaybyDay[[#This Row],[Service-Actuals]]),ISBLANK(DaybyDay[[#This Row],[Retail-Actuals]])))</f>
        <v>1</v>
      </c>
      <c r="Y311" s="36">
        <f>IF(DaybyDay[[#This Row],[_Space]],IFERROR(
((DaybyDay[[#This Row],[Actual-Rollup]]-DaybyDay[[#This Row],[LY-Rollup]])/DaybyDay[[#This Row],[LY-Rollup]]),0),"")</f>
        <v>0</v>
      </c>
      <c r="Z311"/>
      <c r="AA311" s="37" t="e">
        <f>IF(DaybyDay[[#This Row],[_Space]],DaybyDay[[#This Row],[Ret-Act-RU]]/DaybyDay[[#This Row],[Serv-Act-RU]],"")</f>
        <v>#DIV/0!</v>
      </c>
      <c r="AB311" s="50" t="e">
        <f>IF(DaybyDay[[#This Row],[_Space]],DaybyDay[[#This Row],[RETPEN-Act]]/DaybyDay[[#This Row],[RETPEN-Bud]],"")</f>
        <v>#DIV/0!</v>
      </c>
      <c r="AC311" s="37" t="e">
        <f>IF(DaybyDay[[#This Row],[_Space]],DaybyDay[[#This Row],[Ret-Bud-RU]]/DaybyDay[[#This Row],[Serv-Bud-RU]],"")</f>
        <v>#DIV/0!</v>
      </c>
      <c r="AD311" s="37" t="e">
        <f>IF(DaybyDay[[#This Row],[_Space]],DaybyDay[[#This Row],[Ret-LY-RU]]/DaybyDay[[#This Row],[Serv-LY-RU]],"")</f>
        <v>#DIV/0!</v>
      </c>
      <c r="AE311" s="30">
        <f>WEEKDAY(DaybyDay[[#This Row],[LY-Date]])</f>
        <v>4</v>
      </c>
      <c r="AF311" s="38">
        <f>$E$2+_xlfn.DAYS(DaybyDay[[#This Row],[Date]],minDate)</f>
        <v>42676</v>
      </c>
      <c r="AG311" s="39" t="str" cm="1">
        <f t="array" ref="AG311">IFERROR(INDEX(DaybyDay[],DaybyDay[[#This Row],[FORM_MATCH_HELPER]],8),"")</f>
        <v/>
      </c>
      <c r="AH311" s="39" t="str" cm="1">
        <f t="array" ref="AH311">IFERROR(INDEX(DaybyDay[],DaybyDay[[#This Row],[FORM_MATCH_HELPER]],10),"")</f>
        <v/>
      </c>
      <c r="AI311" s="39" t="str" cm="1">
        <f t="array" ref="AI311">IFERROR(INDEX(DaybyDay[],DaybyDay[[#This Row],[FORM_MATCH_HELPER]],12),"")</f>
        <v/>
      </c>
      <c r="AJ311" s="32">
        <f>IFERROR(DaybyDay[[#This Row],[Serv-LY-RU]]+DaybyDay[[#This Row],[Ret-LY-RU]],"")</f>
        <v>0</v>
      </c>
      <c r="AK3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1" s="77"/>
      <c r="AM311" s="40" t="str">
        <f>IF(DaybyDay[[#This Row],[Admin Hours]]&gt;0,DaybyDay[[#This Row],[Admin Hours]]*$AM$2+$AM$3,"")</f>
        <v/>
      </c>
      <c r="AN311" s="40">
        <f>SUMIFS(DaybyDay[Est-Admin-Payroll],DaybyDay[Date],"&gt;="&amp;$C$5,DaybyDay[RowYear],"&gt;="&amp;$C$4,DaybyDay[Date],"&lt;="&amp;DaybyDay[[#This Row],[Date]])</f>
        <v>0</v>
      </c>
      <c r="AO311" s="41" t="str">
        <f>IF(AND(DaybyDay[[#This Row],[_Space]],ISNUMBER(DaybyDay[[#This Row],[Admin Hours]])),DaybyDay[[#This Row],[Est-Admin-Payroll]]/(DaybyDay[[#This Row],[Service-Actuals]]+DaybyDay[[#This Row],[Retail-Actuals]]),"")</f>
        <v/>
      </c>
      <c r="AP311" s="41" t="e">
        <f>DaybyDay[[#This Row],[Estimated-Payroll-Rollup]]/DaybyDay[[#This Row],[Simple-Forecast]]</f>
        <v>#DIV/0!</v>
      </c>
      <c r="AQ3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1" s="77"/>
      <c r="AS311" s="40" t="str">
        <f>IF(DaybyDay[[#This Row],[Retail Hours]]&gt;0,DaybyDay[[#This Row],[Retail Hours]]*$AS$2,"")</f>
        <v/>
      </c>
      <c r="AT311" s="40">
        <f>SUMIFS(DaybyDay[Est-Retail-Payroll],DaybyDay[Date],"&gt;="&amp;$C$5,DaybyDay[RowYear],"&gt;="&amp;$C$4,DaybyDay[Date],"&lt;="&amp;DaybyDay[[#This Row],[Date]])</f>
        <v>0</v>
      </c>
      <c r="AU311" s="82" t="str">
        <f>IF(AND(DaybyDay[[#This Row],[_Space]],ISNUMBER(DaybyDay[[#This Row],[Retail Hours]])),DaybyDay[[#This Row],[Est-Retail-Payroll]]/(DaybyDay[[#This Row],[Retail-Actuals]]),"")</f>
        <v/>
      </c>
      <c r="AV311" s="82" t="e">
        <f>DaybyDay[[#This Row],[Est-Retail-PayrollRU]]/DaybyDay[[#This Row],[Simple-Forecast-Retail]]</f>
        <v>#DIV/0!</v>
      </c>
      <c r="AW311" s="8"/>
    </row>
    <row r="312" spans="3:49" hidden="1" x14ac:dyDescent="0.25">
      <c r="C312" s="26" t="str">
        <f>Tools!$C$1</f>
        <v>Example</v>
      </c>
      <c r="D312" s="27" t="s">
        <v>78</v>
      </c>
      <c r="E312" s="28">
        <v>2017</v>
      </c>
      <c r="F312" s="28">
        <f>MATCH(DaybyDay[[#This Row],[RowMonth]],Table3[SummaryMonth],0)</f>
        <v>11</v>
      </c>
      <c r="G312" s="29" t="e">
        <f>MATCH(DaybyDay[[#This Row],[LY-Date]],DaybyDay[Date],0)</f>
        <v>#N/A</v>
      </c>
      <c r="H312" s="30">
        <f>WEEKDAY(DaybyDay[[#This Row],[Date]])</f>
        <v>5</v>
      </c>
      <c r="I312" s="31">
        <v>43041</v>
      </c>
      <c r="J312" s="74">
        <v>20</v>
      </c>
      <c r="K312" s="32">
        <f>SUMIFS(BudgetSeasonality[365 Seasonality],BudgetSeasonality[MonthAdjustment],DaybyDay[[#This Row],[Date]])*SUMIFS(Budgets[Service-Budget],Budgets[BudgetMonth],DaybyDay[[#This Row],[RowMonth]],Budgets[BudgetYear],DaybyDay[[#This Row],[RowYear]])</f>
        <v>0</v>
      </c>
      <c r="L312" s="75">
        <v>4897.59</v>
      </c>
      <c r="M312" s="32">
        <f>INDEX(BudgetSeasonality[365 Seasonality],MATCH(DaybyDay[[#This Row],[Date]],BudgetSeasonality[MonthAdjustment],0))*SUMIFS(Budgets[Retail-Budget],Budgets[BudgetMonth],DaybyDay[[#This Row],[RowMonth]],Budgets[BudgetYear],DaybyDay[[#This Row],[RowYear]])</f>
        <v>0</v>
      </c>
      <c r="N312" s="75">
        <v>224.05</v>
      </c>
      <c r="O312" s="33">
        <f>SUMIFS(DaybyDay[Service-Budgets],DaybyDay[Date],"&gt;="&amp;$C$5,DaybyDay[RowYear],"&gt;="&amp;$C$4,DaybyDay[Date],"&lt;="&amp;DaybyDay[[#This Row],[Date]])</f>
        <v>0</v>
      </c>
      <c r="P312" s="33">
        <f>SUMIFS(DaybyDay[Retail-Budgets],DaybyDay[Date],"&gt;="&amp;$C$5,DaybyDay[RowYear],"&gt;="&amp;$C$4,DaybyDay[Date],"&lt;="&amp;DaybyDay[[#This Row],[Date]])</f>
        <v>0</v>
      </c>
      <c r="Q312" s="34">
        <f>SUMIFS(DaybyDay[Service-Actuals],DaybyDay[Date],"&gt;="&amp;$C$5,DaybyDay[RowYear],"&gt;="&amp;$C$4,DaybyDay[Date],"&lt;="&amp;DaybyDay[[#This Row],[Date]])</f>
        <v>0</v>
      </c>
      <c r="R312" s="34">
        <f>SUMIFS(DaybyDay[Retail-Actuals],DaybyDay[Date],"&gt;="&amp;$C$5,DaybyDay[RowYear],"&gt;="&amp;$C$4,DaybyDay[Date],"&lt;="&amp;DaybyDay[[#This Row],[Date]])</f>
        <v>0</v>
      </c>
      <c r="S312" s="35">
        <f>SUMIFS(DaybyDay[Service-LY],DaybyDay[Date],"&gt;="&amp;$C$5,DaybyDay[RowYear],"&gt;="&amp;$C$4,DaybyDay[Date],"&lt;="&amp;DaybyDay[[#This Row],[Date]])</f>
        <v>0</v>
      </c>
      <c r="T312" s="35">
        <f>SUMIFS(DaybyDay[Retail-LY],DaybyDay[Date],"&gt;="&amp;$C$5,DaybyDay[RowYear],"&gt;="&amp;$C$4,DaybyDay[Date],"&lt;="&amp;DaybyDay[[#This Row],[Date]])</f>
        <v>0</v>
      </c>
      <c r="U312" s="32">
        <f>DaybyDay[[#This Row],[Serv-Bud-RU]]+DaybyDay[[#This Row],[Ret-Bud-RU]]</f>
        <v>0</v>
      </c>
      <c r="V312" s="32">
        <f>DaybyDay[[#This Row],[Serv-Act-RU]]+DaybyDay[[#This Row],[Ret-Act-RU]]</f>
        <v>0</v>
      </c>
      <c r="W312" s="36">
        <f>IF(DaybyDay[[#This Row],[_Space]],IFERROR(
((DaybyDay[[#This Row],[Actual-Rollup]]-DaybyDay[[#This Row],[Budget-Rollup]])/DaybyDay[[#This Row],[Budget-Rollup]]),0),"")</f>
        <v>0</v>
      </c>
      <c r="X312" t="b">
        <f>NOT(AND(ISBLANK(DaybyDay[[#This Row],[Appts]]),ISBLANK(DaybyDay[[#This Row],[Service-Actuals]]),ISBLANK(DaybyDay[[#This Row],[Retail-Actuals]])))</f>
        <v>1</v>
      </c>
      <c r="Y312" s="36">
        <f>IF(DaybyDay[[#This Row],[_Space]],IFERROR(
((DaybyDay[[#This Row],[Actual-Rollup]]-DaybyDay[[#This Row],[LY-Rollup]])/DaybyDay[[#This Row],[LY-Rollup]]),0),"")</f>
        <v>0</v>
      </c>
      <c r="Z312"/>
      <c r="AA312" s="37" t="e">
        <f>IF(DaybyDay[[#This Row],[_Space]],DaybyDay[[#This Row],[Ret-Act-RU]]/DaybyDay[[#This Row],[Serv-Act-RU]],"")</f>
        <v>#DIV/0!</v>
      </c>
      <c r="AB312" s="50" t="e">
        <f>IF(DaybyDay[[#This Row],[_Space]],DaybyDay[[#This Row],[RETPEN-Act]]/DaybyDay[[#This Row],[RETPEN-Bud]],"")</f>
        <v>#DIV/0!</v>
      </c>
      <c r="AC312" s="37" t="e">
        <f>IF(DaybyDay[[#This Row],[_Space]],DaybyDay[[#This Row],[Ret-Bud-RU]]/DaybyDay[[#This Row],[Serv-Bud-RU]],"")</f>
        <v>#DIV/0!</v>
      </c>
      <c r="AD312" s="37" t="e">
        <f>IF(DaybyDay[[#This Row],[_Space]],DaybyDay[[#This Row],[Ret-LY-RU]]/DaybyDay[[#This Row],[Serv-LY-RU]],"")</f>
        <v>#DIV/0!</v>
      </c>
      <c r="AE312" s="30">
        <f>WEEKDAY(DaybyDay[[#This Row],[LY-Date]])</f>
        <v>5</v>
      </c>
      <c r="AF312" s="38">
        <f>$E$2+_xlfn.DAYS(DaybyDay[[#This Row],[Date]],minDate)</f>
        <v>42677</v>
      </c>
      <c r="AG312" s="39" t="str" cm="1">
        <f t="array" ref="AG312">IFERROR(INDEX(DaybyDay[],DaybyDay[[#This Row],[FORM_MATCH_HELPER]],8),"")</f>
        <v/>
      </c>
      <c r="AH312" s="39" t="str" cm="1">
        <f t="array" ref="AH312">IFERROR(INDEX(DaybyDay[],DaybyDay[[#This Row],[FORM_MATCH_HELPER]],10),"")</f>
        <v/>
      </c>
      <c r="AI312" s="39" t="str" cm="1">
        <f t="array" ref="AI312">IFERROR(INDEX(DaybyDay[],DaybyDay[[#This Row],[FORM_MATCH_HELPER]],12),"")</f>
        <v/>
      </c>
      <c r="AJ312" s="32">
        <f>IFERROR(DaybyDay[[#This Row],[Serv-LY-RU]]+DaybyDay[[#This Row],[Ret-LY-RU]],"")</f>
        <v>0</v>
      </c>
      <c r="AK3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2" s="77"/>
      <c r="AM312" s="40" t="str">
        <f>IF(DaybyDay[[#This Row],[Admin Hours]]&gt;0,DaybyDay[[#This Row],[Admin Hours]]*$AM$2+$AM$3,"")</f>
        <v/>
      </c>
      <c r="AN312" s="40">
        <f>SUMIFS(DaybyDay[Est-Admin-Payroll],DaybyDay[Date],"&gt;="&amp;$C$5,DaybyDay[RowYear],"&gt;="&amp;$C$4,DaybyDay[Date],"&lt;="&amp;DaybyDay[[#This Row],[Date]])</f>
        <v>0</v>
      </c>
      <c r="AO312" s="41" t="str">
        <f>IF(AND(DaybyDay[[#This Row],[_Space]],ISNUMBER(DaybyDay[[#This Row],[Admin Hours]])),DaybyDay[[#This Row],[Est-Admin-Payroll]]/(DaybyDay[[#This Row],[Service-Actuals]]+DaybyDay[[#This Row],[Retail-Actuals]]),"")</f>
        <v/>
      </c>
      <c r="AP312" s="41" t="e">
        <f>DaybyDay[[#This Row],[Estimated-Payroll-Rollup]]/DaybyDay[[#This Row],[Simple-Forecast]]</f>
        <v>#DIV/0!</v>
      </c>
      <c r="AQ3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2" s="77"/>
      <c r="AS312" s="40" t="str">
        <f>IF(DaybyDay[[#This Row],[Retail Hours]]&gt;0,DaybyDay[[#This Row],[Retail Hours]]*$AS$2,"")</f>
        <v/>
      </c>
      <c r="AT312" s="40">
        <f>SUMIFS(DaybyDay[Est-Retail-Payroll],DaybyDay[Date],"&gt;="&amp;$C$5,DaybyDay[RowYear],"&gt;="&amp;$C$4,DaybyDay[Date],"&lt;="&amp;DaybyDay[[#This Row],[Date]])</f>
        <v>0</v>
      </c>
      <c r="AU312" s="82" t="str">
        <f>IF(AND(DaybyDay[[#This Row],[_Space]],ISNUMBER(DaybyDay[[#This Row],[Retail Hours]])),DaybyDay[[#This Row],[Est-Retail-Payroll]]/(DaybyDay[[#This Row],[Retail-Actuals]]),"")</f>
        <v/>
      </c>
      <c r="AV312" s="82" t="e">
        <f>DaybyDay[[#This Row],[Est-Retail-PayrollRU]]/DaybyDay[[#This Row],[Simple-Forecast-Retail]]</f>
        <v>#DIV/0!</v>
      </c>
      <c r="AW312" s="8"/>
    </row>
    <row r="313" spans="3:49" hidden="1" x14ac:dyDescent="0.25">
      <c r="C313" s="26" t="str">
        <f>Tools!$C$1</f>
        <v>Example</v>
      </c>
      <c r="D313" s="27" t="s">
        <v>78</v>
      </c>
      <c r="E313" s="28">
        <v>2017</v>
      </c>
      <c r="F313" s="28">
        <f>MATCH(DaybyDay[[#This Row],[RowMonth]],Table3[SummaryMonth],0)</f>
        <v>11</v>
      </c>
      <c r="G313" s="29" t="e">
        <f>MATCH(DaybyDay[[#This Row],[LY-Date]],DaybyDay[Date],0)</f>
        <v>#N/A</v>
      </c>
      <c r="H313" s="30">
        <f>WEEKDAY(DaybyDay[[#This Row],[Date]])</f>
        <v>6</v>
      </c>
      <c r="I313" s="31">
        <v>43042</v>
      </c>
      <c r="J313" s="74">
        <v>26</v>
      </c>
      <c r="K313" s="32">
        <f>SUMIFS(BudgetSeasonality[365 Seasonality],BudgetSeasonality[MonthAdjustment],DaybyDay[[#This Row],[Date]])*SUMIFS(Budgets[Service-Budget],Budgets[BudgetMonth],DaybyDay[[#This Row],[RowMonth]],Budgets[BudgetYear],DaybyDay[[#This Row],[RowYear]])</f>
        <v>0</v>
      </c>
      <c r="L313" s="75">
        <v>7073.12</v>
      </c>
      <c r="M313" s="32">
        <f>INDEX(BudgetSeasonality[365 Seasonality],MATCH(DaybyDay[[#This Row],[Date]],BudgetSeasonality[MonthAdjustment],0))*SUMIFS(Budgets[Retail-Budget],Budgets[BudgetMonth],DaybyDay[[#This Row],[RowMonth]],Budgets[BudgetYear],DaybyDay[[#This Row],[RowYear]])</f>
        <v>0</v>
      </c>
      <c r="N313" s="75">
        <v>917</v>
      </c>
      <c r="O313" s="33">
        <f>SUMIFS(DaybyDay[Service-Budgets],DaybyDay[Date],"&gt;="&amp;$C$5,DaybyDay[RowYear],"&gt;="&amp;$C$4,DaybyDay[Date],"&lt;="&amp;DaybyDay[[#This Row],[Date]])</f>
        <v>0</v>
      </c>
      <c r="P313" s="33">
        <f>SUMIFS(DaybyDay[Retail-Budgets],DaybyDay[Date],"&gt;="&amp;$C$5,DaybyDay[RowYear],"&gt;="&amp;$C$4,DaybyDay[Date],"&lt;="&amp;DaybyDay[[#This Row],[Date]])</f>
        <v>0</v>
      </c>
      <c r="Q313" s="34">
        <f>SUMIFS(DaybyDay[Service-Actuals],DaybyDay[Date],"&gt;="&amp;$C$5,DaybyDay[RowYear],"&gt;="&amp;$C$4,DaybyDay[Date],"&lt;="&amp;DaybyDay[[#This Row],[Date]])</f>
        <v>0</v>
      </c>
      <c r="R313" s="34">
        <f>SUMIFS(DaybyDay[Retail-Actuals],DaybyDay[Date],"&gt;="&amp;$C$5,DaybyDay[RowYear],"&gt;="&amp;$C$4,DaybyDay[Date],"&lt;="&amp;DaybyDay[[#This Row],[Date]])</f>
        <v>0</v>
      </c>
      <c r="S313" s="35">
        <f>SUMIFS(DaybyDay[Service-LY],DaybyDay[Date],"&gt;="&amp;$C$5,DaybyDay[RowYear],"&gt;="&amp;$C$4,DaybyDay[Date],"&lt;="&amp;DaybyDay[[#This Row],[Date]])</f>
        <v>0</v>
      </c>
      <c r="T313" s="35">
        <f>SUMIFS(DaybyDay[Retail-LY],DaybyDay[Date],"&gt;="&amp;$C$5,DaybyDay[RowYear],"&gt;="&amp;$C$4,DaybyDay[Date],"&lt;="&amp;DaybyDay[[#This Row],[Date]])</f>
        <v>0</v>
      </c>
      <c r="U313" s="32">
        <f>DaybyDay[[#This Row],[Serv-Bud-RU]]+DaybyDay[[#This Row],[Ret-Bud-RU]]</f>
        <v>0</v>
      </c>
      <c r="V313" s="32">
        <f>DaybyDay[[#This Row],[Serv-Act-RU]]+DaybyDay[[#This Row],[Ret-Act-RU]]</f>
        <v>0</v>
      </c>
      <c r="W313" s="36">
        <f>IF(DaybyDay[[#This Row],[_Space]],IFERROR(
((DaybyDay[[#This Row],[Actual-Rollup]]-DaybyDay[[#This Row],[Budget-Rollup]])/DaybyDay[[#This Row],[Budget-Rollup]]),0),"")</f>
        <v>0</v>
      </c>
      <c r="X313" t="b">
        <f>NOT(AND(ISBLANK(DaybyDay[[#This Row],[Appts]]),ISBLANK(DaybyDay[[#This Row],[Service-Actuals]]),ISBLANK(DaybyDay[[#This Row],[Retail-Actuals]])))</f>
        <v>1</v>
      </c>
      <c r="Y313" s="36">
        <f>IF(DaybyDay[[#This Row],[_Space]],IFERROR(
((DaybyDay[[#This Row],[Actual-Rollup]]-DaybyDay[[#This Row],[LY-Rollup]])/DaybyDay[[#This Row],[LY-Rollup]]),0),"")</f>
        <v>0</v>
      </c>
      <c r="Z313"/>
      <c r="AA313" s="37" t="e">
        <f>IF(DaybyDay[[#This Row],[_Space]],DaybyDay[[#This Row],[Ret-Act-RU]]/DaybyDay[[#This Row],[Serv-Act-RU]],"")</f>
        <v>#DIV/0!</v>
      </c>
      <c r="AB313" s="50" t="e">
        <f>IF(DaybyDay[[#This Row],[_Space]],DaybyDay[[#This Row],[RETPEN-Act]]/DaybyDay[[#This Row],[RETPEN-Bud]],"")</f>
        <v>#DIV/0!</v>
      </c>
      <c r="AC313" s="37" t="e">
        <f>IF(DaybyDay[[#This Row],[_Space]],DaybyDay[[#This Row],[Ret-Bud-RU]]/DaybyDay[[#This Row],[Serv-Bud-RU]],"")</f>
        <v>#DIV/0!</v>
      </c>
      <c r="AD313" s="37" t="e">
        <f>IF(DaybyDay[[#This Row],[_Space]],DaybyDay[[#This Row],[Ret-LY-RU]]/DaybyDay[[#This Row],[Serv-LY-RU]],"")</f>
        <v>#DIV/0!</v>
      </c>
      <c r="AE313" s="30">
        <f>WEEKDAY(DaybyDay[[#This Row],[LY-Date]])</f>
        <v>6</v>
      </c>
      <c r="AF313" s="38">
        <f>$E$2+_xlfn.DAYS(DaybyDay[[#This Row],[Date]],minDate)</f>
        <v>42678</v>
      </c>
      <c r="AG313" s="39" t="str" cm="1">
        <f t="array" ref="AG313">IFERROR(INDEX(DaybyDay[],DaybyDay[[#This Row],[FORM_MATCH_HELPER]],8),"")</f>
        <v/>
      </c>
      <c r="AH313" s="39" t="str" cm="1">
        <f t="array" ref="AH313">IFERROR(INDEX(DaybyDay[],DaybyDay[[#This Row],[FORM_MATCH_HELPER]],10),"")</f>
        <v/>
      </c>
      <c r="AI313" s="39" t="str" cm="1">
        <f t="array" ref="AI313">IFERROR(INDEX(DaybyDay[],DaybyDay[[#This Row],[FORM_MATCH_HELPER]],12),"")</f>
        <v/>
      </c>
      <c r="AJ313" s="32">
        <f>IFERROR(DaybyDay[[#This Row],[Serv-LY-RU]]+DaybyDay[[#This Row],[Ret-LY-RU]],"")</f>
        <v>0</v>
      </c>
      <c r="AK3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3" s="77"/>
      <c r="AM313" s="40" t="str">
        <f>IF(DaybyDay[[#This Row],[Admin Hours]]&gt;0,DaybyDay[[#This Row],[Admin Hours]]*$AM$2+$AM$3,"")</f>
        <v/>
      </c>
      <c r="AN313" s="40">
        <f>SUMIFS(DaybyDay[Est-Admin-Payroll],DaybyDay[Date],"&gt;="&amp;$C$5,DaybyDay[RowYear],"&gt;="&amp;$C$4,DaybyDay[Date],"&lt;="&amp;DaybyDay[[#This Row],[Date]])</f>
        <v>0</v>
      </c>
      <c r="AO313" s="41" t="str">
        <f>IF(AND(DaybyDay[[#This Row],[_Space]],ISNUMBER(DaybyDay[[#This Row],[Admin Hours]])),DaybyDay[[#This Row],[Est-Admin-Payroll]]/(DaybyDay[[#This Row],[Service-Actuals]]+DaybyDay[[#This Row],[Retail-Actuals]]),"")</f>
        <v/>
      </c>
      <c r="AP313" s="41" t="e">
        <f>DaybyDay[[#This Row],[Estimated-Payroll-Rollup]]/DaybyDay[[#This Row],[Simple-Forecast]]</f>
        <v>#DIV/0!</v>
      </c>
      <c r="AQ3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3" s="77"/>
      <c r="AS313" s="40" t="str">
        <f>IF(DaybyDay[[#This Row],[Retail Hours]]&gt;0,DaybyDay[[#This Row],[Retail Hours]]*$AS$2,"")</f>
        <v/>
      </c>
      <c r="AT313" s="40">
        <f>SUMIFS(DaybyDay[Est-Retail-Payroll],DaybyDay[Date],"&gt;="&amp;$C$5,DaybyDay[RowYear],"&gt;="&amp;$C$4,DaybyDay[Date],"&lt;="&amp;DaybyDay[[#This Row],[Date]])</f>
        <v>0</v>
      </c>
      <c r="AU313" s="82" t="str">
        <f>IF(AND(DaybyDay[[#This Row],[_Space]],ISNUMBER(DaybyDay[[#This Row],[Retail Hours]])),DaybyDay[[#This Row],[Est-Retail-Payroll]]/(DaybyDay[[#This Row],[Retail-Actuals]]),"")</f>
        <v/>
      </c>
      <c r="AV313" s="82" t="e">
        <f>DaybyDay[[#This Row],[Est-Retail-PayrollRU]]/DaybyDay[[#This Row],[Simple-Forecast-Retail]]</f>
        <v>#DIV/0!</v>
      </c>
      <c r="AW313" s="8"/>
    </row>
    <row r="314" spans="3:49" hidden="1" x14ac:dyDescent="0.25">
      <c r="C314" s="26" t="str">
        <f>Tools!$C$1</f>
        <v>Example</v>
      </c>
      <c r="D314" s="27" t="s">
        <v>78</v>
      </c>
      <c r="E314" s="28">
        <v>2017</v>
      </c>
      <c r="F314" s="28">
        <f>MATCH(DaybyDay[[#This Row],[RowMonth]],Table3[SummaryMonth],0)</f>
        <v>11</v>
      </c>
      <c r="G314" s="29" t="e">
        <f>MATCH(DaybyDay[[#This Row],[LY-Date]],DaybyDay[Date],0)</f>
        <v>#N/A</v>
      </c>
      <c r="H314" s="30">
        <f>WEEKDAY(DaybyDay[[#This Row],[Date]])</f>
        <v>7</v>
      </c>
      <c r="I314" s="31">
        <v>43043</v>
      </c>
      <c r="J314" s="74">
        <v>26</v>
      </c>
      <c r="K314" s="32">
        <f>SUMIFS(BudgetSeasonality[365 Seasonality],BudgetSeasonality[MonthAdjustment],DaybyDay[[#This Row],[Date]])*SUMIFS(Budgets[Service-Budget],Budgets[BudgetMonth],DaybyDay[[#This Row],[RowMonth]],Budgets[BudgetYear],DaybyDay[[#This Row],[RowYear]])</f>
        <v>0</v>
      </c>
      <c r="L314" s="75">
        <v>6668</v>
      </c>
      <c r="M314" s="32">
        <f>INDEX(BudgetSeasonality[365 Seasonality],MATCH(DaybyDay[[#This Row],[Date]],BudgetSeasonality[MonthAdjustment],0))*SUMIFS(Budgets[Retail-Budget],Budgets[BudgetMonth],DaybyDay[[#This Row],[RowMonth]],Budgets[BudgetYear],DaybyDay[[#This Row],[RowYear]])</f>
        <v>0</v>
      </c>
      <c r="N314" s="75">
        <v>163.80000000000001</v>
      </c>
      <c r="O314" s="33">
        <f>SUMIFS(DaybyDay[Service-Budgets],DaybyDay[Date],"&gt;="&amp;$C$5,DaybyDay[RowYear],"&gt;="&amp;$C$4,DaybyDay[Date],"&lt;="&amp;DaybyDay[[#This Row],[Date]])</f>
        <v>0</v>
      </c>
      <c r="P314" s="33">
        <f>SUMIFS(DaybyDay[Retail-Budgets],DaybyDay[Date],"&gt;="&amp;$C$5,DaybyDay[RowYear],"&gt;="&amp;$C$4,DaybyDay[Date],"&lt;="&amp;DaybyDay[[#This Row],[Date]])</f>
        <v>0</v>
      </c>
      <c r="Q314" s="34">
        <f>SUMIFS(DaybyDay[Service-Actuals],DaybyDay[Date],"&gt;="&amp;$C$5,DaybyDay[RowYear],"&gt;="&amp;$C$4,DaybyDay[Date],"&lt;="&amp;DaybyDay[[#This Row],[Date]])</f>
        <v>0</v>
      </c>
      <c r="R314" s="34">
        <f>SUMIFS(DaybyDay[Retail-Actuals],DaybyDay[Date],"&gt;="&amp;$C$5,DaybyDay[RowYear],"&gt;="&amp;$C$4,DaybyDay[Date],"&lt;="&amp;DaybyDay[[#This Row],[Date]])</f>
        <v>0</v>
      </c>
      <c r="S314" s="35">
        <f>SUMIFS(DaybyDay[Service-LY],DaybyDay[Date],"&gt;="&amp;$C$5,DaybyDay[RowYear],"&gt;="&amp;$C$4,DaybyDay[Date],"&lt;="&amp;DaybyDay[[#This Row],[Date]])</f>
        <v>0</v>
      </c>
      <c r="T314" s="35">
        <f>SUMIFS(DaybyDay[Retail-LY],DaybyDay[Date],"&gt;="&amp;$C$5,DaybyDay[RowYear],"&gt;="&amp;$C$4,DaybyDay[Date],"&lt;="&amp;DaybyDay[[#This Row],[Date]])</f>
        <v>0</v>
      </c>
      <c r="U314" s="32">
        <f>DaybyDay[[#This Row],[Serv-Bud-RU]]+DaybyDay[[#This Row],[Ret-Bud-RU]]</f>
        <v>0</v>
      </c>
      <c r="V314" s="32">
        <f>DaybyDay[[#This Row],[Serv-Act-RU]]+DaybyDay[[#This Row],[Ret-Act-RU]]</f>
        <v>0</v>
      </c>
      <c r="W314" s="36">
        <f>IF(DaybyDay[[#This Row],[_Space]],IFERROR(
((DaybyDay[[#This Row],[Actual-Rollup]]-DaybyDay[[#This Row],[Budget-Rollup]])/DaybyDay[[#This Row],[Budget-Rollup]]),0),"")</f>
        <v>0</v>
      </c>
      <c r="X314" t="b">
        <f>NOT(AND(ISBLANK(DaybyDay[[#This Row],[Appts]]),ISBLANK(DaybyDay[[#This Row],[Service-Actuals]]),ISBLANK(DaybyDay[[#This Row],[Retail-Actuals]])))</f>
        <v>1</v>
      </c>
      <c r="Y314" s="36">
        <f>IF(DaybyDay[[#This Row],[_Space]],IFERROR(
((DaybyDay[[#This Row],[Actual-Rollup]]-DaybyDay[[#This Row],[LY-Rollup]])/DaybyDay[[#This Row],[LY-Rollup]]),0),"")</f>
        <v>0</v>
      </c>
      <c r="Z314"/>
      <c r="AA314" s="37" t="e">
        <f>IF(DaybyDay[[#This Row],[_Space]],DaybyDay[[#This Row],[Ret-Act-RU]]/DaybyDay[[#This Row],[Serv-Act-RU]],"")</f>
        <v>#DIV/0!</v>
      </c>
      <c r="AB314" s="50" t="e">
        <f>IF(DaybyDay[[#This Row],[_Space]],DaybyDay[[#This Row],[RETPEN-Act]]/DaybyDay[[#This Row],[RETPEN-Bud]],"")</f>
        <v>#DIV/0!</v>
      </c>
      <c r="AC314" s="37" t="e">
        <f>IF(DaybyDay[[#This Row],[_Space]],DaybyDay[[#This Row],[Ret-Bud-RU]]/DaybyDay[[#This Row],[Serv-Bud-RU]],"")</f>
        <v>#DIV/0!</v>
      </c>
      <c r="AD314" s="37" t="e">
        <f>IF(DaybyDay[[#This Row],[_Space]],DaybyDay[[#This Row],[Ret-LY-RU]]/DaybyDay[[#This Row],[Serv-LY-RU]],"")</f>
        <v>#DIV/0!</v>
      </c>
      <c r="AE314" s="30">
        <f>WEEKDAY(DaybyDay[[#This Row],[LY-Date]])</f>
        <v>7</v>
      </c>
      <c r="AF314" s="38">
        <f>$E$2+_xlfn.DAYS(DaybyDay[[#This Row],[Date]],minDate)</f>
        <v>42679</v>
      </c>
      <c r="AG314" s="39" t="str" cm="1">
        <f t="array" ref="AG314">IFERROR(INDEX(DaybyDay[],DaybyDay[[#This Row],[FORM_MATCH_HELPER]],8),"")</f>
        <v/>
      </c>
      <c r="AH314" s="39" t="str" cm="1">
        <f t="array" ref="AH314">IFERROR(INDEX(DaybyDay[],DaybyDay[[#This Row],[FORM_MATCH_HELPER]],10),"")</f>
        <v/>
      </c>
      <c r="AI314" s="39" t="str" cm="1">
        <f t="array" ref="AI314">IFERROR(INDEX(DaybyDay[],DaybyDay[[#This Row],[FORM_MATCH_HELPER]],12),"")</f>
        <v/>
      </c>
      <c r="AJ314" s="32">
        <f>IFERROR(DaybyDay[[#This Row],[Serv-LY-RU]]+DaybyDay[[#This Row],[Ret-LY-RU]],"")</f>
        <v>0</v>
      </c>
      <c r="AK3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4" s="77"/>
      <c r="AM314" s="40" t="str">
        <f>IF(DaybyDay[[#This Row],[Admin Hours]]&gt;0,DaybyDay[[#This Row],[Admin Hours]]*$AM$2+$AM$3,"")</f>
        <v/>
      </c>
      <c r="AN314" s="40">
        <f>SUMIFS(DaybyDay[Est-Admin-Payroll],DaybyDay[Date],"&gt;="&amp;$C$5,DaybyDay[RowYear],"&gt;="&amp;$C$4,DaybyDay[Date],"&lt;="&amp;DaybyDay[[#This Row],[Date]])</f>
        <v>0</v>
      </c>
      <c r="AO314" s="41" t="str">
        <f>IF(AND(DaybyDay[[#This Row],[_Space]],ISNUMBER(DaybyDay[[#This Row],[Admin Hours]])),DaybyDay[[#This Row],[Est-Admin-Payroll]]/(DaybyDay[[#This Row],[Service-Actuals]]+DaybyDay[[#This Row],[Retail-Actuals]]),"")</f>
        <v/>
      </c>
      <c r="AP314" s="41" t="e">
        <f>DaybyDay[[#This Row],[Estimated-Payroll-Rollup]]/DaybyDay[[#This Row],[Simple-Forecast]]</f>
        <v>#DIV/0!</v>
      </c>
      <c r="AQ3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4" s="77"/>
      <c r="AS314" s="40" t="str">
        <f>IF(DaybyDay[[#This Row],[Retail Hours]]&gt;0,DaybyDay[[#This Row],[Retail Hours]]*$AS$2,"")</f>
        <v/>
      </c>
      <c r="AT314" s="40">
        <f>SUMIFS(DaybyDay[Est-Retail-Payroll],DaybyDay[Date],"&gt;="&amp;$C$5,DaybyDay[RowYear],"&gt;="&amp;$C$4,DaybyDay[Date],"&lt;="&amp;DaybyDay[[#This Row],[Date]])</f>
        <v>0</v>
      </c>
      <c r="AU314" s="82" t="str">
        <f>IF(AND(DaybyDay[[#This Row],[_Space]],ISNUMBER(DaybyDay[[#This Row],[Retail Hours]])),DaybyDay[[#This Row],[Est-Retail-Payroll]]/(DaybyDay[[#This Row],[Retail-Actuals]]),"")</f>
        <v/>
      </c>
      <c r="AV314" s="82" t="e">
        <f>DaybyDay[[#This Row],[Est-Retail-PayrollRU]]/DaybyDay[[#This Row],[Simple-Forecast-Retail]]</f>
        <v>#DIV/0!</v>
      </c>
      <c r="AW314" s="8"/>
    </row>
    <row r="315" spans="3:49" hidden="1" x14ac:dyDescent="0.25">
      <c r="C315" s="26" t="str">
        <f>Tools!$C$1</f>
        <v>Example</v>
      </c>
      <c r="D315" s="27" t="s">
        <v>78</v>
      </c>
      <c r="E315" s="28">
        <v>2017</v>
      </c>
      <c r="F315" s="28">
        <f>MATCH(DaybyDay[[#This Row],[RowMonth]],Table3[SummaryMonth],0)</f>
        <v>11</v>
      </c>
      <c r="G315" s="29" t="e">
        <f>MATCH(DaybyDay[[#This Row],[LY-Date]],DaybyDay[Date],0)</f>
        <v>#N/A</v>
      </c>
      <c r="H315" s="30">
        <f>WEEKDAY(DaybyDay[[#This Row],[Date]])</f>
        <v>1</v>
      </c>
      <c r="I315" s="31">
        <v>43044</v>
      </c>
      <c r="J315" s="74">
        <v>20</v>
      </c>
      <c r="K315" s="32">
        <f>SUMIFS(BudgetSeasonality[365 Seasonality],BudgetSeasonality[MonthAdjustment],DaybyDay[[#This Row],[Date]])*SUMIFS(Budgets[Service-Budget],Budgets[BudgetMonth],DaybyDay[[#This Row],[RowMonth]],Budgets[BudgetYear],DaybyDay[[#This Row],[RowYear]])</f>
        <v>0</v>
      </c>
      <c r="L315" s="75">
        <v>4833.5</v>
      </c>
      <c r="M315" s="32">
        <f>INDEX(BudgetSeasonality[365 Seasonality],MATCH(DaybyDay[[#This Row],[Date]],BudgetSeasonality[MonthAdjustment],0))*SUMIFS(Budgets[Retail-Budget],Budgets[BudgetMonth],DaybyDay[[#This Row],[RowMonth]],Budgets[BudgetYear],DaybyDay[[#This Row],[RowYear]])</f>
        <v>0</v>
      </c>
      <c r="N315" s="75">
        <v>941.5</v>
      </c>
      <c r="O315" s="33">
        <f>SUMIFS(DaybyDay[Service-Budgets],DaybyDay[Date],"&gt;="&amp;$C$5,DaybyDay[RowYear],"&gt;="&amp;$C$4,DaybyDay[Date],"&lt;="&amp;DaybyDay[[#This Row],[Date]])</f>
        <v>0</v>
      </c>
      <c r="P315" s="33">
        <f>SUMIFS(DaybyDay[Retail-Budgets],DaybyDay[Date],"&gt;="&amp;$C$5,DaybyDay[RowYear],"&gt;="&amp;$C$4,DaybyDay[Date],"&lt;="&amp;DaybyDay[[#This Row],[Date]])</f>
        <v>0</v>
      </c>
      <c r="Q315" s="34">
        <f>SUMIFS(DaybyDay[Service-Actuals],DaybyDay[Date],"&gt;="&amp;$C$5,DaybyDay[RowYear],"&gt;="&amp;$C$4,DaybyDay[Date],"&lt;="&amp;DaybyDay[[#This Row],[Date]])</f>
        <v>0</v>
      </c>
      <c r="R315" s="34">
        <f>SUMIFS(DaybyDay[Retail-Actuals],DaybyDay[Date],"&gt;="&amp;$C$5,DaybyDay[RowYear],"&gt;="&amp;$C$4,DaybyDay[Date],"&lt;="&amp;DaybyDay[[#This Row],[Date]])</f>
        <v>0</v>
      </c>
      <c r="S315" s="35">
        <f>SUMIFS(DaybyDay[Service-LY],DaybyDay[Date],"&gt;="&amp;$C$5,DaybyDay[RowYear],"&gt;="&amp;$C$4,DaybyDay[Date],"&lt;="&amp;DaybyDay[[#This Row],[Date]])</f>
        <v>0</v>
      </c>
      <c r="T315" s="35">
        <f>SUMIFS(DaybyDay[Retail-LY],DaybyDay[Date],"&gt;="&amp;$C$5,DaybyDay[RowYear],"&gt;="&amp;$C$4,DaybyDay[Date],"&lt;="&amp;DaybyDay[[#This Row],[Date]])</f>
        <v>0</v>
      </c>
      <c r="U315" s="32">
        <f>DaybyDay[[#This Row],[Serv-Bud-RU]]+DaybyDay[[#This Row],[Ret-Bud-RU]]</f>
        <v>0</v>
      </c>
      <c r="V315" s="32">
        <f>DaybyDay[[#This Row],[Serv-Act-RU]]+DaybyDay[[#This Row],[Ret-Act-RU]]</f>
        <v>0</v>
      </c>
      <c r="W315" s="36">
        <f>IF(DaybyDay[[#This Row],[_Space]],IFERROR(
((DaybyDay[[#This Row],[Actual-Rollup]]-DaybyDay[[#This Row],[Budget-Rollup]])/DaybyDay[[#This Row],[Budget-Rollup]]),0),"")</f>
        <v>0</v>
      </c>
      <c r="X315" t="b">
        <f>NOT(AND(ISBLANK(DaybyDay[[#This Row],[Appts]]),ISBLANK(DaybyDay[[#This Row],[Service-Actuals]]),ISBLANK(DaybyDay[[#This Row],[Retail-Actuals]])))</f>
        <v>1</v>
      </c>
      <c r="Y315" s="36">
        <f>IF(DaybyDay[[#This Row],[_Space]],IFERROR(
((DaybyDay[[#This Row],[Actual-Rollup]]-DaybyDay[[#This Row],[LY-Rollup]])/DaybyDay[[#This Row],[LY-Rollup]]),0),"")</f>
        <v>0</v>
      </c>
      <c r="Z315"/>
      <c r="AA315" s="37" t="e">
        <f>IF(DaybyDay[[#This Row],[_Space]],DaybyDay[[#This Row],[Ret-Act-RU]]/DaybyDay[[#This Row],[Serv-Act-RU]],"")</f>
        <v>#DIV/0!</v>
      </c>
      <c r="AB315" s="50" t="e">
        <f>IF(DaybyDay[[#This Row],[_Space]],DaybyDay[[#This Row],[RETPEN-Act]]/DaybyDay[[#This Row],[RETPEN-Bud]],"")</f>
        <v>#DIV/0!</v>
      </c>
      <c r="AC315" s="37" t="e">
        <f>IF(DaybyDay[[#This Row],[_Space]],DaybyDay[[#This Row],[Ret-Bud-RU]]/DaybyDay[[#This Row],[Serv-Bud-RU]],"")</f>
        <v>#DIV/0!</v>
      </c>
      <c r="AD315" s="37" t="e">
        <f>IF(DaybyDay[[#This Row],[_Space]],DaybyDay[[#This Row],[Ret-LY-RU]]/DaybyDay[[#This Row],[Serv-LY-RU]],"")</f>
        <v>#DIV/0!</v>
      </c>
      <c r="AE315" s="30">
        <f>WEEKDAY(DaybyDay[[#This Row],[LY-Date]])</f>
        <v>1</v>
      </c>
      <c r="AF315" s="38">
        <f>$E$2+_xlfn.DAYS(DaybyDay[[#This Row],[Date]],minDate)</f>
        <v>42680</v>
      </c>
      <c r="AG315" s="39" t="str" cm="1">
        <f t="array" ref="AG315">IFERROR(INDEX(DaybyDay[],DaybyDay[[#This Row],[FORM_MATCH_HELPER]],8),"")</f>
        <v/>
      </c>
      <c r="AH315" s="39" t="str" cm="1">
        <f t="array" ref="AH315">IFERROR(INDEX(DaybyDay[],DaybyDay[[#This Row],[FORM_MATCH_HELPER]],10),"")</f>
        <v/>
      </c>
      <c r="AI315" s="39" t="str" cm="1">
        <f t="array" ref="AI315">IFERROR(INDEX(DaybyDay[],DaybyDay[[#This Row],[FORM_MATCH_HELPER]],12),"")</f>
        <v/>
      </c>
      <c r="AJ315" s="32">
        <f>IFERROR(DaybyDay[[#This Row],[Serv-LY-RU]]+DaybyDay[[#This Row],[Ret-LY-RU]],"")</f>
        <v>0</v>
      </c>
      <c r="AK3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5" s="77"/>
      <c r="AM315" s="40" t="str">
        <f>IF(DaybyDay[[#This Row],[Admin Hours]]&gt;0,DaybyDay[[#This Row],[Admin Hours]]*$AM$2+$AM$3,"")</f>
        <v/>
      </c>
      <c r="AN315" s="40">
        <f>SUMIFS(DaybyDay[Est-Admin-Payroll],DaybyDay[Date],"&gt;="&amp;$C$5,DaybyDay[RowYear],"&gt;="&amp;$C$4,DaybyDay[Date],"&lt;="&amp;DaybyDay[[#This Row],[Date]])</f>
        <v>0</v>
      </c>
      <c r="AO315" s="41" t="str">
        <f>IF(AND(DaybyDay[[#This Row],[_Space]],ISNUMBER(DaybyDay[[#This Row],[Admin Hours]])),DaybyDay[[#This Row],[Est-Admin-Payroll]]/(DaybyDay[[#This Row],[Service-Actuals]]+DaybyDay[[#This Row],[Retail-Actuals]]),"")</f>
        <v/>
      </c>
      <c r="AP315" s="41" t="e">
        <f>DaybyDay[[#This Row],[Estimated-Payroll-Rollup]]/DaybyDay[[#This Row],[Simple-Forecast]]</f>
        <v>#DIV/0!</v>
      </c>
      <c r="AQ3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5" s="77"/>
      <c r="AS315" s="40" t="str">
        <f>IF(DaybyDay[[#This Row],[Retail Hours]]&gt;0,DaybyDay[[#This Row],[Retail Hours]]*$AS$2,"")</f>
        <v/>
      </c>
      <c r="AT315" s="40">
        <f>SUMIFS(DaybyDay[Est-Retail-Payroll],DaybyDay[Date],"&gt;="&amp;$C$5,DaybyDay[RowYear],"&gt;="&amp;$C$4,DaybyDay[Date],"&lt;="&amp;DaybyDay[[#This Row],[Date]])</f>
        <v>0</v>
      </c>
      <c r="AU315" s="82" t="str">
        <f>IF(AND(DaybyDay[[#This Row],[_Space]],ISNUMBER(DaybyDay[[#This Row],[Retail Hours]])),DaybyDay[[#This Row],[Est-Retail-Payroll]]/(DaybyDay[[#This Row],[Retail-Actuals]]),"")</f>
        <v/>
      </c>
      <c r="AV315" s="82" t="e">
        <f>DaybyDay[[#This Row],[Est-Retail-PayrollRU]]/DaybyDay[[#This Row],[Simple-Forecast-Retail]]</f>
        <v>#DIV/0!</v>
      </c>
      <c r="AW315" s="8"/>
    </row>
    <row r="316" spans="3:49" hidden="1" x14ac:dyDescent="0.25">
      <c r="C316" s="26" t="str">
        <f>Tools!$C$1</f>
        <v>Example</v>
      </c>
      <c r="D316" s="27" t="s">
        <v>78</v>
      </c>
      <c r="E316" s="28">
        <v>2017</v>
      </c>
      <c r="F316" s="28">
        <f>MATCH(DaybyDay[[#This Row],[RowMonth]],Table3[SummaryMonth],0)</f>
        <v>11</v>
      </c>
      <c r="G316" s="29" t="e">
        <f>MATCH(DaybyDay[[#This Row],[LY-Date]],DaybyDay[Date],0)</f>
        <v>#N/A</v>
      </c>
      <c r="H316" s="30">
        <f>WEEKDAY(DaybyDay[[#This Row],[Date]])</f>
        <v>2</v>
      </c>
      <c r="I316" s="31">
        <v>43045</v>
      </c>
      <c r="J316" s="74">
        <v>27</v>
      </c>
      <c r="K316" s="32">
        <f>SUMIFS(BudgetSeasonality[365 Seasonality],BudgetSeasonality[MonthAdjustment],DaybyDay[[#This Row],[Date]])*SUMIFS(Budgets[Service-Budget],Budgets[BudgetMonth],DaybyDay[[#This Row],[RowMonth]],Budgets[BudgetYear],DaybyDay[[#This Row],[RowYear]])</f>
        <v>0</v>
      </c>
      <c r="L316" s="75">
        <v>4263.8</v>
      </c>
      <c r="M316" s="32">
        <f>INDEX(BudgetSeasonality[365 Seasonality],MATCH(DaybyDay[[#This Row],[Date]],BudgetSeasonality[MonthAdjustment],0))*SUMIFS(Budgets[Retail-Budget],Budgets[BudgetMonth],DaybyDay[[#This Row],[RowMonth]],Budgets[BudgetYear],DaybyDay[[#This Row],[RowYear]])</f>
        <v>0</v>
      </c>
      <c r="N316" s="75">
        <v>321</v>
      </c>
      <c r="O316" s="33">
        <f>SUMIFS(DaybyDay[Service-Budgets],DaybyDay[Date],"&gt;="&amp;$C$5,DaybyDay[RowYear],"&gt;="&amp;$C$4,DaybyDay[Date],"&lt;="&amp;DaybyDay[[#This Row],[Date]])</f>
        <v>0</v>
      </c>
      <c r="P316" s="33">
        <f>SUMIFS(DaybyDay[Retail-Budgets],DaybyDay[Date],"&gt;="&amp;$C$5,DaybyDay[RowYear],"&gt;="&amp;$C$4,DaybyDay[Date],"&lt;="&amp;DaybyDay[[#This Row],[Date]])</f>
        <v>0</v>
      </c>
      <c r="Q316" s="34">
        <f>SUMIFS(DaybyDay[Service-Actuals],DaybyDay[Date],"&gt;="&amp;$C$5,DaybyDay[RowYear],"&gt;="&amp;$C$4,DaybyDay[Date],"&lt;="&amp;DaybyDay[[#This Row],[Date]])</f>
        <v>0</v>
      </c>
      <c r="R316" s="34">
        <f>SUMIFS(DaybyDay[Retail-Actuals],DaybyDay[Date],"&gt;="&amp;$C$5,DaybyDay[RowYear],"&gt;="&amp;$C$4,DaybyDay[Date],"&lt;="&amp;DaybyDay[[#This Row],[Date]])</f>
        <v>0</v>
      </c>
      <c r="S316" s="35">
        <f>SUMIFS(DaybyDay[Service-LY],DaybyDay[Date],"&gt;="&amp;$C$5,DaybyDay[RowYear],"&gt;="&amp;$C$4,DaybyDay[Date],"&lt;="&amp;DaybyDay[[#This Row],[Date]])</f>
        <v>0</v>
      </c>
      <c r="T316" s="35">
        <f>SUMIFS(DaybyDay[Retail-LY],DaybyDay[Date],"&gt;="&amp;$C$5,DaybyDay[RowYear],"&gt;="&amp;$C$4,DaybyDay[Date],"&lt;="&amp;DaybyDay[[#This Row],[Date]])</f>
        <v>0</v>
      </c>
      <c r="U316" s="32">
        <f>DaybyDay[[#This Row],[Serv-Bud-RU]]+DaybyDay[[#This Row],[Ret-Bud-RU]]</f>
        <v>0</v>
      </c>
      <c r="V316" s="32">
        <f>DaybyDay[[#This Row],[Serv-Act-RU]]+DaybyDay[[#This Row],[Ret-Act-RU]]</f>
        <v>0</v>
      </c>
      <c r="W316" s="36">
        <f>IF(DaybyDay[[#This Row],[_Space]],IFERROR(
((DaybyDay[[#This Row],[Actual-Rollup]]-DaybyDay[[#This Row],[Budget-Rollup]])/DaybyDay[[#This Row],[Budget-Rollup]]),0),"")</f>
        <v>0</v>
      </c>
      <c r="X316" t="b">
        <f>NOT(AND(ISBLANK(DaybyDay[[#This Row],[Appts]]),ISBLANK(DaybyDay[[#This Row],[Service-Actuals]]),ISBLANK(DaybyDay[[#This Row],[Retail-Actuals]])))</f>
        <v>1</v>
      </c>
      <c r="Y316" s="36">
        <f>IF(DaybyDay[[#This Row],[_Space]],IFERROR(
((DaybyDay[[#This Row],[Actual-Rollup]]-DaybyDay[[#This Row],[LY-Rollup]])/DaybyDay[[#This Row],[LY-Rollup]]),0),"")</f>
        <v>0</v>
      </c>
      <c r="Z316"/>
      <c r="AA316" s="37" t="e">
        <f>IF(DaybyDay[[#This Row],[_Space]],DaybyDay[[#This Row],[Ret-Act-RU]]/DaybyDay[[#This Row],[Serv-Act-RU]],"")</f>
        <v>#DIV/0!</v>
      </c>
      <c r="AB316" s="50" t="e">
        <f>IF(DaybyDay[[#This Row],[_Space]],DaybyDay[[#This Row],[RETPEN-Act]]/DaybyDay[[#This Row],[RETPEN-Bud]],"")</f>
        <v>#DIV/0!</v>
      </c>
      <c r="AC316" s="37" t="e">
        <f>IF(DaybyDay[[#This Row],[_Space]],DaybyDay[[#This Row],[Ret-Bud-RU]]/DaybyDay[[#This Row],[Serv-Bud-RU]],"")</f>
        <v>#DIV/0!</v>
      </c>
      <c r="AD316" s="37" t="e">
        <f>IF(DaybyDay[[#This Row],[_Space]],DaybyDay[[#This Row],[Ret-LY-RU]]/DaybyDay[[#This Row],[Serv-LY-RU]],"")</f>
        <v>#DIV/0!</v>
      </c>
      <c r="AE316" s="30">
        <f>WEEKDAY(DaybyDay[[#This Row],[LY-Date]])</f>
        <v>2</v>
      </c>
      <c r="AF316" s="38">
        <f>$E$2+_xlfn.DAYS(DaybyDay[[#This Row],[Date]],minDate)</f>
        <v>42681</v>
      </c>
      <c r="AG316" s="39" t="str" cm="1">
        <f t="array" ref="AG316">IFERROR(INDEX(DaybyDay[],DaybyDay[[#This Row],[FORM_MATCH_HELPER]],8),"")</f>
        <v/>
      </c>
      <c r="AH316" s="39" t="str" cm="1">
        <f t="array" ref="AH316">IFERROR(INDEX(DaybyDay[],DaybyDay[[#This Row],[FORM_MATCH_HELPER]],10),"")</f>
        <v/>
      </c>
      <c r="AI316" s="39" t="str" cm="1">
        <f t="array" ref="AI316">IFERROR(INDEX(DaybyDay[],DaybyDay[[#This Row],[FORM_MATCH_HELPER]],12),"")</f>
        <v/>
      </c>
      <c r="AJ316" s="32">
        <f>IFERROR(DaybyDay[[#This Row],[Serv-LY-RU]]+DaybyDay[[#This Row],[Ret-LY-RU]],"")</f>
        <v>0</v>
      </c>
      <c r="AK3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6" s="77"/>
      <c r="AM316" s="40" t="str">
        <f>IF(DaybyDay[[#This Row],[Admin Hours]]&gt;0,DaybyDay[[#This Row],[Admin Hours]]*$AM$2+$AM$3,"")</f>
        <v/>
      </c>
      <c r="AN316" s="40">
        <f>SUMIFS(DaybyDay[Est-Admin-Payroll],DaybyDay[Date],"&gt;="&amp;$C$5,DaybyDay[RowYear],"&gt;="&amp;$C$4,DaybyDay[Date],"&lt;="&amp;DaybyDay[[#This Row],[Date]])</f>
        <v>0</v>
      </c>
      <c r="AO316" s="41" t="str">
        <f>IF(AND(DaybyDay[[#This Row],[_Space]],ISNUMBER(DaybyDay[[#This Row],[Admin Hours]])),DaybyDay[[#This Row],[Est-Admin-Payroll]]/(DaybyDay[[#This Row],[Service-Actuals]]+DaybyDay[[#This Row],[Retail-Actuals]]),"")</f>
        <v/>
      </c>
      <c r="AP316" s="41" t="e">
        <f>DaybyDay[[#This Row],[Estimated-Payroll-Rollup]]/DaybyDay[[#This Row],[Simple-Forecast]]</f>
        <v>#DIV/0!</v>
      </c>
      <c r="AQ3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6" s="77"/>
      <c r="AS316" s="40" t="str">
        <f>IF(DaybyDay[[#This Row],[Retail Hours]]&gt;0,DaybyDay[[#This Row],[Retail Hours]]*$AS$2,"")</f>
        <v/>
      </c>
      <c r="AT316" s="40">
        <f>SUMIFS(DaybyDay[Est-Retail-Payroll],DaybyDay[Date],"&gt;="&amp;$C$5,DaybyDay[RowYear],"&gt;="&amp;$C$4,DaybyDay[Date],"&lt;="&amp;DaybyDay[[#This Row],[Date]])</f>
        <v>0</v>
      </c>
      <c r="AU316" s="82" t="str">
        <f>IF(AND(DaybyDay[[#This Row],[_Space]],ISNUMBER(DaybyDay[[#This Row],[Retail Hours]])),DaybyDay[[#This Row],[Est-Retail-Payroll]]/(DaybyDay[[#This Row],[Retail-Actuals]]),"")</f>
        <v/>
      </c>
      <c r="AV316" s="82" t="e">
        <f>DaybyDay[[#This Row],[Est-Retail-PayrollRU]]/DaybyDay[[#This Row],[Simple-Forecast-Retail]]</f>
        <v>#DIV/0!</v>
      </c>
      <c r="AW316" s="8"/>
    </row>
    <row r="317" spans="3:49" hidden="1" x14ac:dyDescent="0.25">
      <c r="C317" s="26" t="str">
        <f>Tools!$C$1</f>
        <v>Example</v>
      </c>
      <c r="D317" s="27" t="s">
        <v>78</v>
      </c>
      <c r="E317" s="28">
        <v>2017</v>
      </c>
      <c r="F317" s="28">
        <f>MATCH(DaybyDay[[#This Row],[RowMonth]],Table3[SummaryMonth],0)</f>
        <v>11</v>
      </c>
      <c r="G317" s="29" t="e">
        <f>MATCH(DaybyDay[[#This Row],[LY-Date]],DaybyDay[Date],0)</f>
        <v>#N/A</v>
      </c>
      <c r="H317" s="30">
        <f>WEEKDAY(DaybyDay[[#This Row],[Date]])</f>
        <v>3</v>
      </c>
      <c r="I317" s="31">
        <v>43046</v>
      </c>
      <c r="J317" s="74">
        <v>14</v>
      </c>
      <c r="K317" s="32">
        <f>SUMIFS(BudgetSeasonality[365 Seasonality],BudgetSeasonality[MonthAdjustment],DaybyDay[[#This Row],[Date]])*SUMIFS(Budgets[Service-Budget],Budgets[BudgetMonth],DaybyDay[[#This Row],[RowMonth]],Budgets[BudgetYear],DaybyDay[[#This Row],[RowYear]])</f>
        <v>0</v>
      </c>
      <c r="L317" s="75">
        <v>3454</v>
      </c>
      <c r="M317" s="32">
        <f>INDEX(BudgetSeasonality[365 Seasonality],MATCH(DaybyDay[[#This Row],[Date]],BudgetSeasonality[MonthAdjustment],0))*SUMIFS(Budgets[Retail-Budget],Budgets[BudgetMonth],DaybyDay[[#This Row],[RowMonth]],Budgets[BudgetYear],DaybyDay[[#This Row],[RowYear]])</f>
        <v>0</v>
      </c>
      <c r="N317" s="75">
        <v>744.2</v>
      </c>
      <c r="O317" s="33">
        <f>SUMIFS(DaybyDay[Service-Budgets],DaybyDay[Date],"&gt;="&amp;$C$5,DaybyDay[RowYear],"&gt;="&amp;$C$4,DaybyDay[Date],"&lt;="&amp;DaybyDay[[#This Row],[Date]])</f>
        <v>0</v>
      </c>
      <c r="P317" s="33">
        <f>SUMIFS(DaybyDay[Retail-Budgets],DaybyDay[Date],"&gt;="&amp;$C$5,DaybyDay[RowYear],"&gt;="&amp;$C$4,DaybyDay[Date],"&lt;="&amp;DaybyDay[[#This Row],[Date]])</f>
        <v>0</v>
      </c>
      <c r="Q317" s="34">
        <f>SUMIFS(DaybyDay[Service-Actuals],DaybyDay[Date],"&gt;="&amp;$C$5,DaybyDay[RowYear],"&gt;="&amp;$C$4,DaybyDay[Date],"&lt;="&amp;DaybyDay[[#This Row],[Date]])</f>
        <v>0</v>
      </c>
      <c r="R317" s="34">
        <f>SUMIFS(DaybyDay[Retail-Actuals],DaybyDay[Date],"&gt;="&amp;$C$5,DaybyDay[RowYear],"&gt;="&amp;$C$4,DaybyDay[Date],"&lt;="&amp;DaybyDay[[#This Row],[Date]])</f>
        <v>0</v>
      </c>
      <c r="S317" s="35">
        <f>SUMIFS(DaybyDay[Service-LY],DaybyDay[Date],"&gt;="&amp;$C$5,DaybyDay[RowYear],"&gt;="&amp;$C$4,DaybyDay[Date],"&lt;="&amp;DaybyDay[[#This Row],[Date]])</f>
        <v>0</v>
      </c>
      <c r="T317" s="35">
        <f>SUMIFS(DaybyDay[Retail-LY],DaybyDay[Date],"&gt;="&amp;$C$5,DaybyDay[RowYear],"&gt;="&amp;$C$4,DaybyDay[Date],"&lt;="&amp;DaybyDay[[#This Row],[Date]])</f>
        <v>0</v>
      </c>
      <c r="U317" s="32">
        <f>DaybyDay[[#This Row],[Serv-Bud-RU]]+DaybyDay[[#This Row],[Ret-Bud-RU]]</f>
        <v>0</v>
      </c>
      <c r="V317" s="32">
        <f>DaybyDay[[#This Row],[Serv-Act-RU]]+DaybyDay[[#This Row],[Ret-Act-RU]]</f>
        <v>0</v>
      </c>
      <c r="W317" s="36">
        <f>IF(DaybyDay[[#This Row],[_Space]],IFERROR(
((DaybyDay[[#This Row],[Actual-Rollup]]-DaybyDay[[#This Row],[Budget-Rollup]])/DaybyDay[[#This Row],[Budget-Rollup]]),0),"")</f>
        <v>0</v>
      </c>
      <c r="X317" t="b">
        <f>NOT(AND(ISBLANK(DaybyDay[[#This Row],[Appts]]),ISBLANK(DaybyDay[[#This Row],[Service-Actuals]]),ISBLANK(DaybyDay[[#This Row],[Retail-Actuals]])))</f>
        <v>1</v>
      </c>
      <c r="Y317" s="36">
        <f>IF(DaybyDay[[#This Row],[_Space]],IFERROR(
((DaybyDay[[#This Row],[Actual-Rollup]]-DaybyDay[[#This Row],[LY-Rollup]])/DaybyDay[[#This Row],[LY-Rollup]]),0),"")</f>
        <v>0</v>
      </c>
      <c r="Z317"/>
      <c r="AA317" s="37" t="e">
        <f>IF(DaybyDay[[#This Row],[_Space]],DaybyDay[[#This Row],[Ret-Act-RU]]/DaybyDay[[#This Row],[Serv-Act-RU]],"")</f>
        <v>#DIV/0!</v>
      </c>
      <c r="AB317" s="50" t="e">
        <f>IF(DaybyDay[[#This Row],[_Space]],DaybyDay[[#This Row],[RETPEN-Act]]/DaybyDay[[#This Row],[RETPEN-Bud]],"")</f>
        <v>#DIV/0!</v>
      </c>
      <c r="AC317" s="37" t="e">
        <f>IF(DaybyDay[[#This Row],[_Space]],DaybyDay[[#This Row],[Ret-Bud-RU]]/DaybyDay[[#This Row],[Serv-Bud-RU]],"")</f>
        <v>#DIV/0!</v>
      </c>
      <c r="AD317" s="37" t="e">
        <f>IF(DaybyDay[[#This Row],[_Space]],DaybyDay[[#This Row],[Ret-LY-RU]]/DaybyDay[[#This Row],[Serv-LY-RU]],"")</f>
        <v>#DIV/0!</v>
      </c>
      <c r="AE317" s="30">
        <f>WEEKDAY(DaybyDay[[#This Row],[LY-Date]])</f>
        <v>3</v>
      </c>
      <c r="AF317" s="38">
        <f>$E$2+_xlfn.DAYS(DaybyDay[[#This Row],[Date]],minDate)</f>
        <v>42682</v>
      </c>
      <c r="AG317" s="39" t="str" cm="1">
        <f t="array" ref="AG317">IFERROR(INDEX(DaybyDay[],DaybyDay[[#This Row],[FORM_MATCH_HELPER]],8),"")</f>
        <v/>
      </c>
      <c r="AH317" s="39" t="str" cm="1">
        <f t="array" ref="AH317">IFERROR(INDEX(DaybyDay[],DaybyDay[[#This Row],[FORM_MATCH_HELPER]],10),"")</f>
        <v/>
      </c>
      <c r="AI317" s="39" t="str" cm="1">
        <f t="array" ref="AI317">IFERROR(INDEX(DaybyDay[],DaybyDay[[#This Row],[FORM_MATCH_HELPER]],12),"")</f>
        <v/>
      </c>
      <c r="AJ317" s="32">
        <f>IFERROR(DaybyDay[[#This Row],[Serv-LY-RU]]+DaybyDay[[#This Row],[Ret-LY-RU]],"")</f>
        <v>0</v>
      </c>
      <c r="AK3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7" s="77"/>
      <c r="AM317" s="40" t="str">
        <f>IF(DaybyDay[[#This Row],[Admin Hours]]&gt;0,DaybyDay[[#This Row],[Admin Hours]]*$AM$2+$AM$3,"")</f>
        <v/>
      </c>
      <c r="AN317" s="40">
        <f>SUMIFS(DaybyDay[Est-Admin-Payroll],DaybyDay[Date],"&gt;="&amp;$C$5,DaybyDay[RowYear],"&gt;="&amp;$C$4,DaybyDay[Date],"&lt;="&amp;DaybyDay[[#This Row],[Date]])</f>
        <v>0</v>
      </c>
      <c r="AO317" s="41" t="str">
        <f>IF(AND(DaybyDay[[#This Row],[_Space]],ISNUMBER(DaybyDay[[#This Row],[Admin Hours]])),DaybyDay[[#This Row],[Est-Admin-Payroll]]/(DaybyDay[[#This Row],[Service-Actuals]]+DaybyDay[[#This Row],[Retail-Actuals]]),"")</f>
        <v/>
      </c>
      <c r="AP317" s="41" t="e">
        <f>DaybyDay[[#This Row],[Estimated-Payroll-Rollup]]/DaybyDay[[#This Row],[Simple-Forecast]]</f>
        <v>#DIV/0!</v>
      </c>
      <c r="AQ3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7" s="77"/>
      <c r="AS317" s="40" t="str">
        <f>IF(DaybyDay[[#This Row],[Retail Hours]]&gt;0,DaybyDay[[#This Row],[Retail Hours]]*$AS$2,"")</f>
        <v/>
      </c>
      <c r="AT317" s="40">
        <f>SUMIFS(DaybyDay[Est-Retail-Payroll],DaybyDay[Date],"&gt;="&amp;$C$5,DaybyDay[RowYear],"&gt;="&amp;$C$4,DaybyDay[Date],"&lt;="&amp;DaybyDay[[#This Row],[Date]])</f>
        <v>0</v>
      </c>
      <c r="AU317" s="82" t="str">
        <f>IF(AND(DaybyDay[[#This Row],[_Space]],ISNUMBER(DaybyDay[[#This Row],[Retail Hours]])),DaybyDay[[#This Row],[Est-Retail-Payroll]]/(DaybyDay[[#This Row],[Retail-Actuals]]),"")</f>
        <v/>
      </c>
      <c r="AV317" s="82" t="e">
        <f>DaybyDay[[#This Row],[Est-Retail-PayrollRU]]/DaybyDay[[#This Row],[Simple-Forecast-Retail]]</f>
        <v>#DIV/0!</v>
      </c>
      <c r="AW317" s="8"/>
    </row>
    <row r="318" spans="3:49" hidden="1" x14ac:dyDescent="0.25">
      <c r="C318" s="26" t="str">
        <f>Tools!$C$1</f>
        <v>Example</v>
      </c>
      <c r="D318" s="27" t="s">
        <v>78</v>
      </c>
      <c r="E318" s="28">
        <v>2017</v>
      </c>
      <c r="F318" s="28">
        <f>MATCH(DaybyDay[[#This Row],[RowMonth]],Table3[SummaryMonth],0)</f>
        <v>11</v>
      </c>
      <c r="G318" s="29" t="e">
        <f>MATCH(DaybyDay[[#This Row],[LY-Date]],DaybyDay[Date],0)</f>
        <v>#N/A</v>
      </c>
      <c r="H318" s="30">
        <f>WEEKDAY(DaybyDay[[#This Row],[Date]])</f>
        <v>4</v>
      </c>
      <c r="I318" s="31">
        <v>43047</v>
      </c>
      <c r="J318" s="74">
        <v>25</v>
      </c>
      <c r="K318" s="32">
        <f>SUMIFS(BudgetSeasonality[365 Seasonality],BudgetSeasonality[MonthAdjustment],DaybyDay[[#This Row],[Date]])*SUMIFS(Budgets[Service-Budget],Budgets[BudgetMonth],DaybyDay[[#This Row],[RowMonth]],Budgets[BudgetYear],DaybyDay[[#This Row],[RowYear]])</f>
        <v>0</v>
      </c>
      <c r="L318" s="75">
        <v>5072.8999999999996</v>
      </c>
      <c r="M318" s="32">
        <f>INDEX(BudgetSeasonality[365 Seasonality],MATCH(DaybyDay[[#This Row],[Date]],BudgetSeasonality[MonthAdjustment],0))*SUMIFS(Budgets[Retail-Budget],Budgets[BudgetMonth],DaybyDay[[#This Row],[RowMonth]],Budgets[BudgetYear],DaybyDay[[#This Row],[RowYear]])</f>
        <v>0</v>
      </c>
      <c r="N318" s="75">
        <v>4794.8999999999996</v>
      </c>
      <c r="O318" s="33">
        <f>SUMIFS(DaybyDay[Service-Budgets],DaybyDay[Date],"&gt;="&amp;$C$5,DaybyDay[RowYear],"&gt;="&amp;$C$4,DaybyDay[Date],"&lt;="&amp;DaybyDay[[#This Row],[Date]])</f>
        <v>0</v>
      </c>
      <c r="P318" s="33">
        <f>SUMIFS(DaybyDay[Retail-Budgets],DaybyDay[Date],"&gt;="&amp;$C$5,DaybyDay[RowYear],"&gt;="&amp;$C$4,DaybyDay[Date],"&lt;="&amp;DaybyDay[[#This Row],[Date]])</f>
        <v>0</v>
      </c>
      <c r="Q318" s="34">
        <f>SUMIFS(DaybyDay[Service-Actuals],DaybyDay[Date],"&gt;="&amp;$C$5,DaybyDay[RowYear],"&gt;="&amp;$C$4,DaybyDay[Date],"&lt;="&amp;DaybyDay[[#This Row],[Date]])</f>
        <v>0</v>
      </c>
      <c r="R318" s="34">
        <f>SUMIFS(DaybyDay[Retail-Actuals],DaybyDay[Date],"&gt;="&amp;$C$5,DaybyDay[RowYear],"&gt;="&amp;$C$4,DaybyDay[Date],"&lt;="&amp;DaybyDay[[#This Row],[Date]])</f>
        <v>0</v>
      </c>
      <c r="S318" s="35">
        <f>SUMIFS(DaybyDay[Service-LY],DaybyDay[Date],"&gt;="&amp;$C$5,DaybyDay[RowYear],"&gt;="&amp;$C$4,DaybyDay[Date],"&lt;="&amp;DaybyDay[[#This Row],[Date]])</f>
        <v>0</v>
      </c>
      <c r="T318" s="35">
        <f>SUMIFS(DaybyDay[Retail-LY],DaybyDay[Date],"&gt;="&amp;$C$5,DaybyDay[RowYear],"&gt;="&amp;$C$4,DaybyDay[Date],"&lt;="&amp;DaybyDay[[#This Row],[Date]])</f>
        <v>0</v>
      </c>
      <c r="U318" s="32">
        <f>DaybyDay[[#This Row],[Serv-Bud-RU]]+DaybyDay[[#This Row],[Ret-Bud-RU]]</f>
        <v>0</v>
      </c>
      <c r="V318" s="32">
        <f>DaybyDay[[#This Row],[Serv-Act-RU]]+DaybyDay[[#This Row],[Ret-Act-RU]]</f>
        <v>0</v>
      </c>
      <c r="W318" s="36">
        <f>IF(DaybyDay[[#This Row],[_Space]],IFERROR(
((DaybyDay[[#This Row],[Actual-Rollup]]-DaybyDay[[#This Row],[Budget-Rollup]])/DaybyDay[[#This Row],[Budget-Rollup]]),0),"")</f>
        <v>0</v>
      </c>
      <c r="X318" t="b">
        <f>NOT(AND(ISBLANK(DaybyDay[[#This Row],[Appts]]),ISBLANK(DaybyDay[[#This Row],[Service-Actuals]]),ISBLANK(DaybyDay[[#This Row],[Retail-Actuals]])))</f>
        <v>1</v>
      </c>
      <c r="Y318" s="36">
        <f>IF(DaybyDay[[#This Row],[_Space]],IFERROR(
((DaybyDay[[#This Row],[Actual-Rollup]]-DaybyDay[[#This Row],[LY-Rollup]])/DaybyDay[[#This Row],[LY-Rollup]]),0),"")</f>
        <v>0</v>
      </c>
      <c r="Z318"/>
      <c r="AA318" s="37" t="e">
        <f>IF(DaybyDay[[#This Row],[_Space]],DaybyDay[[#This Row],[Ret-Act-RU]]/DaybyDay[[#This Row],[Serv-Act-RU]],"")</f>
        <v>#DIV/0!</v>
      </c>
      <c r="AB318" s="50" t="e">
        <f>IF(DaybyDay[[#This Row],[_Space]],DaybyDay[[#This Row],[RETPEN-Act]]/DaybyDay[[#This Row],[RETPEN-Bud]],"")</f>
        <v>#DIV/0!</v>
      </c>
      <c r="AC318" s="37" t="e">
        <f>IF(DaybyDay[[#This Row],[_Space]],DaybyDay[[#This Row],[Ret-Bud-RU]]/DaybyDay[[#This Row],[Serv-Bud-RU]],"")</f>
        <v>#DIV/0!</v>
      </c>
      <c r="AD318" s="37" t="e">
        <f>IF(DaybyDay[[#This Row],[_Space]],DaybyDay[[#This Row],[Ret-LY-RU]]/DaybyDay[[#This Row],[Serv-LY-RU]],"")</f>
        <v>#DIV/0!</v>
      </c>
      <c r="AE318" s="30">
        <f>WEEKDAY(DaybyDay[[#This Row],[LY-Date]])</f>
        <v>4</v>
      </c>
      <c r="AF318" s="38">
        <f>$E$2+_xlfn.DAYS(DaybyDay[[#This Row],[Date]],minDate)</f>
        <v>42683</v>
      </c>
      <c r="AG318" s="39" t="str" cm="1">
        <f t="array" ref="AG318">IFERROR(INDEX(DaybyDay[],DaybyDay[[#This Row],[FORM_MATCH_HELPER]],8),"")</f>
        <v/>
      </c>
      <c r="AH318" s="39" t="str" cm="1">
        <f t="array" ref="AH318">IFERROR(INDEX(DaybyDay[],DaybyDay[[#This Row],[FORM_MATCH_HELPER]],10),"")</f>
        <v/>
      </c>
      <c r="AI318" s="39" t="str" cm="1">
        <f t="array" ref="AI318">IFERROR(INDEX(DaybyDay[],DaybyDay[[#This Row],[FORM_MATCH_HELPER]],12),"")</f>
        <v/>
      </c>
      <c r="AJ318" s="32">
        <f>IFERROR(DaybyDay[[#This Row],[Serv-LY-RU]]+DaybyDay[[#This Row],[Ret-LY-RU]],"")</f>
        <v>0</v>
      </c>
      <c r="AK3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8" s="77"/>
      <c r="AM318" s="40" t="str">
        <f>IF(DaybyDay[[#This Row],[Admin Hours]]&gt;0,DaybyDay[[#This Row],[Admin Hours]]*$AM$2+$AM$3,"")</f>
        <v/>
      </c>
      <c r="AN318" s="40">
        <f>SUMIFS(DaybyDay[Est-Admin-Payroll],DaybyDay[Date],"&gt;="&amp;$C$5,DaybyDay[RowYear],"&gt;="&amp;$C$4,DaybyDay[Date],"&lt;="&amp;DaybyDay[[#This Row],[Date]])</f>
        <v>0</v>
      </c>
      <c r="AO318" s="41" t="str">
        <f>IF(AND(DaybyDay[[#This Row],[_Space]],ISNUMBER(DaybyDay[[#This Row],[Admin Hours]])),DaybyDay[[#This Row],[Est-Admin-Payroll]]/(DaybyDay[[#This Row],[Service-Actuals]]+DaybyDay[[#This Row],[Retail-Actuals]]),"")</f>
        <v/>
      </c>
      <c r="AP318" s="41" t="e">
        <f>DaybyDay[[#This Row],[Estimated-Payroll-Rollup]]/DaybyDay[[#This Row],[Simple-Forecast]]</f>
        <v>#DIV/0!</v>
      </c>
      <c r="AQ3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8" s="77"/>
      <c r="AS318" s="40" t="str">
        <f>IF(DaybyDay[[#This Row],[Retail Hours]]&gt;0,DaybyDay[[#This Row],[Retail Hours]]*$AS$2,"")</f>
        <v/>
      </c>
      <c r="AT318" s="40">
        <f>SUMIFS(DaybyDay[Est-Retail-Payroll],DaybyDay[Date],"&gt;="&amp;$C$5,DaybyDay[RowYear],"&gt;="&amp;$C$4,DaybyDay[Date],"&lt;="&amp;DaybyDay[[#This Row],[Date]])</f>
        <v>0</v>
      </c>
      <c r="AU318" s="82" t="str">
        <f>IF(AND(DaybyDay[[#This Row],[_Space]],ISNUMBER(DaybyDay[[#This Row],[Retail Hours]])),DaybyDay[[#This Row],[Est-Retail-Payroll]]/(DaybyDay[[#This Row],[Retail-Actuals]]),"")</f>
        <v/>
      </c>
      <c r="AV318" s="82" t="e">
        <f>DaybyDay[[#This Row],[Est-Retail-PayrollRU]]/DaybyDay[[#This Row],[Simple-Forecast-Retail]]</f>
        <v>#DIV/0!</v>
      </c>
      <c r="AW318" s="8"/>
    </row>
    <row r="319" spans="3:49" hidden="1" x14ac:dyDescent="0.25">
      <c r="C319" s="26" t="str">
        <f>Tools!$C$1</f>
        <v>Example</v>
      </c>
      <c r="D319" s="27" t="s">
        <v>78</v>
      </c>
      <c r="E319" s="28">
        <v>2017</v>
      </c>
      <c r="F319" s="28">
        <f>MATCH(DaybyDay[[#This Row],[RowMonth]],Table3[SummaryMonth],0)</f>
        <v>11</v>
      </c>
      <c r="G319" s="29" t="e">
        <f>MATCH(DaybyDay[[#This Row],[LY-Date]],DaybyDay[Date],0)</f>
        <v>#N/A</v>
      </c>
      <c r="H319" s="30">
        <f>WEEKDAY(DaybyDay[[#This Row],[Date]])</f>
        <v>5</v>
      </c>
      <c r="I319" s="31">
        <v>43048</v>
      </c>
      <c r="J319" s="74">
        <v>22</v>
      </c>
      <c r="K319" s="32">
        <f>SUMIFS(BudgetSeasonality[365 Seasonality],BudgetSeasonality[MonthAdjustment],DaybyDay[[#This Row],[Date]])*SUMIFS(Budgets[Service-Budget],Budgets[BudgetMonth],DaybyDay[[#This Row],[RowMonth]],Budgets[BudgetYear],DaybyDay[[#This Row],[RowYear]])</f>
        <v>0</v>
      </c>
      <c r="L319" s="75">
        <v>3560.4</v>
      </c>
      <c r="M319" s="32">
        <f>INDEX(BudgetSeasonality[365 Seasonality],MATCH(DaybyDay[[#This Row],[Date]],BudgetSeasonality[MonthAdjustment],0))*SUMIFS(Budgets[Retail-Budget],Budgets[BudgetMonth],DaybyDay[[#This Row],[RowMonth]],Budgets[BudgetYear],DaybyDay[[#This Row],[RowYear]])</f>
        <v>0</v>
      </c>
      <c r="N319" s="75">
        <v>1978</v>
      </c>
      <c r="O319" s="33">
        <f>SUMIFS(DaybyDay[Service-Budgets],DaybyDay[Date],"&gt;="&amp;$C$5,DaybyDay[RowYear],"&gt;="&amp;$C$4,DaybyDay[Date],"&lt;="&amp;DaybyDay[[#This Row],[Date]])</f>
        <v>0</v>
      </c>
      <c r="P319" s="33">
        <f>SUMIFS(DaybyDay[Retail-Budgets],DaybyDay[Date],"&gt;="&amp;$C$5,DaybyDay[RowYear],"&gt;="&amp;$C$4,DaybyDay[Date],"&lt;="&amp;DaybyDay[[#This Row],[Date]])</f>
        <v>0</v>
      </c>
      <c r="Q319" s="34">
        <f>SUMIFS(DaybyDay[Service-Actuals],DaybyDay[Date],"&gt;="&amp;$C$5,DaybyDay[RowYear],"&gt;="&amp;$C$4,DaybyDay[Date],"&lt;="&amp;DaybyDay[[#This Row],[Date]])</f>
        <v>0</v>
      </c>
      <c r="R319" s="34">
        <f>SUMIFS(DaybyDay[Retail-Actuals],DaybyDay[Date],"&gt;="&amp;$C$5,DaybyDay[RowYear],"&gt;="&amp;$C$4,DaybyDay[Date],"&lt;="&amp;DaybyDay[[#This Row],[Date]])</f>
        <v>0</v>
      </c>
      <c r="S319" s="35">
        <f>SUMIFS(DaybyDay[Service-LY],DaybyDay[Date],"&gt;="&amp;$C$5,DaybyDay[RowYear],"&gt;="&amp;$C$4,DaybyDay[Date],"&lt;="&amp;DaybyDay[[#This Row],[Date]])</f>
        <v>0</v>
      </c>
      <c r="T319" s="35">
        <f>SUMIFS(DaybyDay[Retail-LY],DaybyDay[Date],"&gt;="&amp;$C$5,DaybyDay[RowYear],"&gt;="&amp;$C$4,DaybyDay[Date],"&lt;="&amp;DaybyDay[[#This Row],[Date]])</f>
        <v>0</v>
      </c>
      <c r="U319" s="32">
        <f>DaybyDay[[#This Row],[Serv-Bud-RU]]+DaybyDay[[#This Row],[Ret-Bud-RU]]</f>
        <v>0</v>
      </c>
      <c r="V319" s="32">
        <f>DaybyDay[[#This Row],[Serv-Act-RU]]+DaybyDay[[#This Row],[Ret-Act-RU]]</f>
        <v>0</v>
      </c>
      <c r="W319" s="36">
        <f>IF(DaybyDay[[#This Row],[_Space]],IFERROR(
((DaybyDay[[#This Row],[Actual-Rollup]]-DaybyDay[[#This Row],[Budget-Rollup]])/DaybyDay[[#This Row],[Budget-Rollup]]),0),"")</f>
        <v>0</v>
      </c>
      <c r="X319" t="b">
        <f>NOT(AND(ISBLANK(DaybyDay[[#This Row],[Appts]]),ISBLANK(DaybyDay[[#This Row],[Service-Actuals]]),ISBLANK(DaybyDay[[#This Row],[Retail-Actuals]])))</f>
        <v>1</v>
      </c>
      <c r="Y319" s="36">
        <f>IF(DaybyDay[[#This Row],[_Space]],IFERROR(
((DaybyDay[[#This Row],[Actual-Rollup]]-DaybyDay[[#This Row],[LY-Rollup]])/DaybyDay[[#This Row],[LY-Rollup]]),0),"")</f>
        <v>0</v>
      </c>
      <c r="Z319"/>
      <c r="AA319" s="37" t="e">
        <f>IF(DaybyDay[[#This Row],[_Space]],DaybyDay[[#This Row],[Ret-Act-RU]]/DaybyDay[[#This Row],[Serv-Act-RU]],"")</f>
        <v>#DIV/0!</v>
      </c>
      <c r="AB319" s="50" t="e">
        <f>IF(DaybyDay[[#This Row],[_Space]],DaybyDay[[#This Row],[RETPEN-Act]]/DaybyDay[[#This Row],[RETPEN-Bud]],"")</f>
        <v>#DIV/0!</v>
      </c>
      <c r="AC319" s="37" t="e">
        <f>IF(DaybyDay[[#This Row],[_Space]],DaybyDay[[#This Row],[Ret-Bud-RU]]/DaybyDay[[#This Row],[Serv-Bud-RU]],"")</f>
        <v>#DIV/0!</v>
      </c>
      <c r="AD319" s="37" t="e">
        <f>IF(DaybyDay[[#This Row],[_Space]],DaybyDay[[#This Row],[Ret-LY-RU]]/DaybyDay[[#This Row],[Serv-LY-RU]],"")</f>
        <v>#DIV/0!</v>
      </c>
      <c r="AE319" s="30">
        <f>WEEKDAY(DaybyDay[[#This Row],[LY-Date]])</f>
        <v>5</v>
      </c>
      <c r="AF319" s="38">
        <f>$E$2+_xlfn.DAYS(DaybyDay[[#This Row],[Date]],minDate)</f>
        <v>42684</v>
      </c>
      <c r="AG319" s="39" t="str" cm="1">
        <f t="array" ref="AG319">IFERROR(INDEX(DaybyDay[],DaybyDay[[#This Row],[FORM_MATCH_HELPER]],8),"")</f>
        <v/>
      </c>
      <c r="AH319" s="39" t="str" cm="1">
        <f t="array" ref="AH319">IFERROR(INDEX(DaybyDay[],DaybyDay[[#This Row],[FORM_MATCH_HELPER]],10),"")</f>
        <v/>
      </c>
      <c r="AI319" s="39" t="str" cm="1">
        <f t="array" ref="AI319">IFERROR(INDEX(DaybyDay[],DaybyDay[[#This Row],[FORM_MATCH_HELPER]],12),"")</f>
        <v/>
      </c>
      <c r="AJ319" s="32">
        <f>IFERROR(DaybyDay[[#This Row],[Serv-LY-RU]]+DaybyDay[[#This Row],[Ret-LY-RU]],"")</f>
        <v>0</v>
      </c>
      <c r="AK3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19" s="77"/>
      <c r="AM319" s="40" t="str">
        <f>IF(DaybyDay[[#This Row],[Admin Hours]]&gt;0,DaybyDay[[#This Row],[Admin Hours]]*$AM$2+$AM$3,"")</f>
        <v/>
      </c>
      <c r="AN319" s="40">
        <f>SUMIFS(DaybyDay[Est-Admin-Payroll],DaybyDay[Date],"&gt;="&amp;$C$5,DaybyDay[RowYear],"&gt;="&amp;$C$4,DaybyDay[Date],"&lt;="&amp;DaybyDay[[#This Row],[Date]])</f>
        <v>0</v>
      </c>
      <c r="AO319" s="41" t="str">
        <f>IF(AND(DaybyDay[[#This Row],[_Space]],ISNUMBER(DaybyDay[[#This Row],[Admin Hours]])),DaybyDay[[#This Row],[Est-Admin-Payroll]]/(DaybyDay[[#This Row],[Service-Actuals]]+DaybyDay[[#This Row],[Retail-Actuals]]),"")</f>
        <v/>
      </c>
      <c r="AP319" s="41" t="e">
        <f>DaybyDay[[#This Row],[Estimated-Payroll-Rollup]]/DaybyDay[[#This Row],[Simple-Forecast]]</f>
        <v>#DIV/0!</v>
      </c>
      <c r="AQ3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19" s="77"/>
      <c r="AS319" s="40" t="str">
        <f>IF(DaybyDay[[#This Row],[Retail Hours]]&gt;0,DaybyDay[[#This Row],[Retail Hours]]*$AS$2,"")</f>
        <v/>
      </c>
      <c r="AT319" s="40">
        <f>SUMIFS(DaybyDay[Est-Retail-Payroll],DaybyDay[Date],"&gt;="&amp;$C$5,DaybyDay[RowYear],"&gt;="&amp;$C$4,DaybyDay[Date],"&lt;="&amp;DaybyDay[[#This Row],[Date]])</f>
        <v>0</v>
      </c>
      <c r="AU319" s="82" t="str">
        <f>IF(AND(DaybyDay[[#This Row],[_Space]],ISNUMBER(DaybyDay[[#This Row],[Retail Hours]])),DaybyDay[[#This Row],[Est-Retail-Payroll]]/(DaybyDay[[#This Row],[Retail-Actuals]]),"")</f>
        <v/>
      </c>
      <c r="AV319" s="82" t="e">
        <f>DaybyDay[[#This Row],[Est-Retail-PayrollRU]]/DaybyDay[[#This Row],[Simple-Forecast-Retail]]</f>
        <v>#DIV/0!</v>
      </c>
      <c r="AW319" s="8"/>
    </row>
    <row r="320" spans="3:49" hidden="1" x14ac:dyDescent="0.25">
      <c r="C320" s="26" t="str">
        <f>Tools!$C$1</f>
        <v>Example</v>
      </c>
      <c r="D320" s="27" t="s">
        <v>78</v>
      </c>
      <c r="E320" s="28">
        <v>2017</v>
      </c>
      <c r="F320" s="28">
        <f>MATCH(DaybyDay[[#This Row],[RowMonth]],Table3[SummaryMonth],0)</f>
        <v>11</v>
      </c>
      <c r="G320" s="29" t="e">
        <f>MATCH(DaybyDay[[#This Row],[LY-Date]],DaybyDay[Date],0)</f>
        <v>#N/A</v>
      </c>
      <c r="H320" s="30">
        <f>WEEKDAY(DaybyDay[[#This Row],[Date]])</f>
        <v>6</v>
      </c>
      <c r="I320" s="31">
        <v>43049</v>
      </c>
      <c r="J320" s="74">
        <v>30</v>
      </c>
      <c r="K320" s="32">
        <f>SUMIFS(BudgetSeasonality[365 Seasonality],BudgetSeasonality[MonthAdjustment],DaybyDay[[#This Row],[Date]])*SUMIFS(Budgets[Service-Budget],Budgets[BudgetMonth],DaybyDay[[#This Row],[RowMonth]],Budgets[BudgetYear],DaybyDay[[#This Row],[RowYear]])</f>
        <v>0</v>
      </c>
      <c r="L320" s="75">
        <v>6355.6</v>
      </c>
      <c r="M320" s="32">
        <f>INDEX(BudgetSeasonality[365 Seasonality],MATCH(DaybyDay[[#This Row],[Date]],BudgetSeasonality[MonthAdjustment],0))*SUMIFS(Budgets[Retail-Budget],Budgets[BudgetMonth],DaybyDay[[#This Row],[RowMonth]],Budgets[BudgetYear],DaybyDay[[#This Row],[RowYear]])</f>
        <v>0</v>
      </c>
      <c r="N320" s="75">
        <v>2504.0500000000002</v>
      </c>
      <c r="O320" s="33">
        <f>SUMIFS(DaybyDay[Service-Budgets],DaybyDay[Date],"&gt;="&amp;$C$5,DaybyDay[RowYear],"&gt;="&amp;$C$4,DaybyDay[Date],"&lt;="&amp;DaybyDay[[#This Row],[Date]])</f>
        <v>0</v>
      </c>
      <c r="P320" s="33">
        <f>SUMIFS(DaybyDay[Retail-Budgets],DaybyDay[Date],"&gt;="&amp;$C$5,DaybyDay[RowYear],"&gt;="&amp;$C$4,DaybyDay[Date],"&lt;="&amp;DaybyDay[[#This Row],[Date]])</f>
        <v>0</v>
      </c>
      <c r="Q320" s="34">
        <f>SUMIFS(DaybyDay[Service-Actuals],DaybyDay[Date],"&gt;="&amp;$C$5,DaybyDay[RowYear],"&gt;="&amp;$C$4,DaybyDay[Date],"&lt;="&amp;DaybyDay[[#This Row],[Date]])</f>
        <v>0</v>
      </c>
      <c r="R320" s="34">
        <f>SUMIFS(DaybyDay[Retail-Actuals],DaybyDay[Date],"&gt;="&amp;$C$5,DaybyDay[RowYear],"&gt;="&amp;$C$4,DaybyDay[Date],"&lt;="&amp;DaybyDay[[#This Row],[Date]])</f>
        <v>0</v>
      </c>
      <c r="S320" s="35">
        <f>SUMIFS(DaybyDay[Service-LY],DaybyDay[Date],"&gt;="&amp;$C$5,DaybyDay[RowYear],"&gt;="&amp;$C$4,DaybyDay[Date],"&lt;="&amp;DaybyDay[[#This Row],[Date]])</f>
        <v>0</v>
      </c>
      <c r="T320" s="35">
        <f>SUMIFS(DaybyDay[Retail-LY],DaybyDay[Date],"&gt;="&amp;$C$5,DaybyDay[RowYear],"&gt;="&amp;$C$4,DaybyDay[Date],"&lt;="&amp;DaybyDay[[#This Row],[Date]])</f>
        <v>0</v>
      </c>
      <c r="U320" s="32">
        <f>DaybyDay[[#This Row],[Serv-Bud-RU]]+DaybyDay[[#This Row],[Ret-Bud-RU]]</f>
        <v>0</v>
      </c>
      <c r="V320" s="32">
        <f>DaybyDay[[#This Row],[Serv-Act-RU]]+DaybyDay[[#This Row],[Ret-Act-RU]]</f>
        <v>0</v>
      </c>
      <c r="W320" s="36">
        <f>IF(DaybyDay[[#This Row],[_Space]],IFERROR(
((DaybyDay[[#This Row],[Actual-Rollup]]-DaybyDay[[#This Row],[Budget-Rollup]])/DaybyDay[[#This Row],[Budget-Rollup]]),0),"")</f>
        <v>0</v>
      </c>
      <c r="X320" t="b">
        <f>NOT(AND(ISBLANK(DaybyDay[[#This Row],[Appts]]),ISBLANK(DaybyDay[[#This Row],[Service-Actuals]]),ISBLANK(DaybyDay[[#This Row],[Retail-Actuals]])))</f>
        <v>1</v>
      </c>
      <c r="Y320" s="36">
        <f>IF(DaybyDay[[#This Row],[_Space]],IFERROR(
((DaybyDay[[#This Row],[Actual-Rollup]]-DaybyDay[[#This Row],[LY-Rollup]])/DaybyDay[[#This Row],[LY-Rollup]]),0),"")</f>
        <v>0</v>
      </c>
      <c r="Z320"/>
      <c r="AA320" s="37" t="e">
        <f>IF(DaybyDay[[#This Row],[_Space]],DaybyDay[[#This Row],[Ret-Act-RU]]/DaybyDay[[#This Row],[Serv-Act-RU]],"")</f>
        <v>#DIV/0!</v>
      </c>
      <c r="AB320" s="50" t="e">
        <f>IF(DaybyDay[[#This Row],[_Space]],DaybyDay[[#This Row],[RETPEN-Act]]/DaybyDay[[#This Row],[RETPEN-Bud]],"")</f>
        <v>#DIV/0!</v>
      </c>
      <c r="AC320" s="37" t="e">
        <f>IF(DaybyDay[[#This Row],[_Space]],DaybyDay[[#This Row],[Ret-Bud-RU]]/DaybyDay[[#This Row],[Serv-Bud-RU]],"")</f>
        <v>#DIV/0!</v>
      </c>
      <c r="AD320" s="37" t="e">
        <f>IF(DaybyDay[[#This Row],[_Space]],DaybyDay[[#This Row],[Ret-LY-RU]]/DaybyDay[[#This Row],[Serv-LY-RU]],"")</f>
        <v>#DIV/0!</v>
      </c>
      <c r="AE320" s="30">
        <f>WEEKDAY(DaybyDay[[#This Row],[LY-Date]])</f>
        <v>6</v>
      </c>
      <c r="AF320" s="38">
        <f>$E$2+_xlfn.DAYS(DaybyDay[[#This Row],[Date]],minDate)</f>
        <v>42685</v>
      </c>
      <c r="AG320" s="39" t="str" cm="1">
        <f t="array" ref="AG320">IFERROR(INDEX(DaybyDay[],DaybyDay[[#This Row],[FORM_MATCH_HELPER]],8),"")</f>
        <v/>
      </c>
      <c r="AH320" s="39" t="str" cm="1">
        <f t="array" ref="AH320">IFERROR(INDEX(DaybyDay[],DaybyDay[[#This Row],[FORM_MATCH_HELPER]],10),"")</f>
        <v/>
      </c>
      <c r="AI320" s="39" t="str" cm="1">
        <f t="array" ref="AI320">IFERROR(INDEX(DaybyDay[],DaybyDay[[#This Row],[FORM_MATCH_HELPER]],12),"")</f>
        <v/>
      </c>
      <c r="AJ320" s="32">
        <f>IFERROR(DaybyDay[[#This Row],[Serv-LY-RU]]+DaybyDay[[#This Row],[Ret-LY-RU]],"")</f>
        <v>0</v>
      </c>
      <c r="AK3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0" s="77"/>
      <c r="AM320" s="40" t="str">
        <f>IF(DaybyDay[[#This Row],[Admin Hours]]&gt;0,DaybyDay[[#This Row],[Admin Hours]]*$AM$2+$AM$3,"")</f>
        <v/>
      </c>
      <c r="AN320" s="40">
        <f>SUMIFS(DaybyDay[Est-Admin-Payroll],DaybyDay[Date],"&gt;="&amp;$C$5,DaybyDay[RowYear],"&gt;="&amp;$C$4,DaybyDay[Date],"&lt;="&amp;DaybyDay[[#This Row],[Date]])</f>
        <v>0</v>
      </c>
      <c r="AO320" s="41" t="str">
        <f>IF(AND(DaybyDay[[#This Row],[_Space]],ISNUMBER(DaybyDay[[#This Row],[Admin Hours]])),DaybyDay[[#This Row],[Est-Admin-Payroll]]/(DaybyDay[[#This Row],[Service-Actuals]]+DaybyDay[[#This Row],[Retail-Actuals]]),"")</f>
        <v/>
      </c>
      <c r="AP320" s="41" t="e">
        <f>DaybyDay[[#This Row],[Estimated-Payroll-Rollup]]/DaybyDay[[#This Row],[Simple-Forecast]]</f>
        <v>#DIV/0!</v>
      </c>
      <c r="AQ3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0" s="77"/>
      <c r="AS320" s="40" t="str">
        <f>IF(DaybyDay[[#This Row],[Retail Hours]]&gt;0,DaybyDay[[#This Row],[Retail Hours]]*$AS$2,"")</f>
        <v/>
      </c>
      <c r="AT320" s="40">
        <f>SUMIFS(DaybyDay[Est-Retail-Payroll],DaybyDay[Date],"&gt;="&amp;$C$5,DaybyDay[RowYear],"&gt;="&amp;$C$4,DaybyDay[Date],"&lt;="&amp;DaybyDay[[#This Row],[Date]])</f>
        <v>0</v>
      </c>
      <c r="AU320" s="82" t="str">
        <f>IF(AND(DaybyDay[[#This Row],[_Space]],ISNUMBER(DaybyDay[[#This Row],[Retail Hours]])),DaybyDay[[#This Row],[Est-Retail-Payroll]]/(DaybyDay[[#This Row],[Retail-Actuals]]),"")</f>
        <v/>
      </c>
      <c r="AV320" s="82" t="e">
        <f>DaybyDay[[#This Row],[Est-Retail-PayrollRU]]/DaybyDay[[#This Row],[Simple-Forecast-Retail]]</f>
        <v>#DIV/0!</v>
      </c>
      <c r="AW320" s="8"/>
    </row>
    <row r="321" spans="3:49" hidden="1" x14ac:dyDescent="0.25">
      <c r="C321" s="26" t="str">
        <f>Tools!$C$1</f>
        <v>Example</v>
      </c>
      <c r="D321" s="27" t="s">
        <v>78</v>
      </c>
      <c r="E321" s="28">
        <v>2017</v>
      </c>
      <c r="F321" s="28">
        <f>MATCH(DaybyDay[[#This Row],[RowMonth]],Table3[SummaryMonth],0)</f>
        <v>11</v>
      </c>
      <c r="G321" s="29" t="e">
        <f>MATCH(DaybyDay[[#This Row],[LY-Date]],DaybyDay[Date],0)</f>
        <v>#N/A</v>
      </c>
      <c r="H321" s="30">
        <f>WEEKDAY(DaybyDay[[#This Row],[Date]])</f>
        <v>7</v>
      </c>
      <c r="I321" s="31">
        <v>43050</v>
      </c>
      <c r="J321" s="74">
        <v>32</v>
      </c>
      <c r="K321" s="32">
        <f>SUMIFS(BudgetSeasonality[365 Seasonality],BudgetSeasonality[MonthAdjustment],DaybyDay[[#This Row],[Date]])*SUMIFS(Budgets[Service-Budget],Budgets[BudgetMonth],DaybyDay[[#This Row],[RowMonth]],Budgets[BudgetYear],DaybyDay[[#This Row],[RowYear]])</f>
        <v>0</v>
      </c>
      <c r="L321" s="75">
        <v>7837.85</v>
      </c>
      <c r="M321" s="32">
        <f>INDEX(BudgetSeasonality[365 Seasonality],MATCH(DaybyDay[[#This Row],[Date]],BudgetSeasonality[MonthAdjustment],0))*SUMIFS(Budgets[Retail-Budget],Budgets[BudgetMonth],DaybyDay[[#This Row],[RowMonth]],Budgets[BudgetYear],DaybyDay[[#This Row],[RowYear]])</f>
        <v>0</v>
      </c>
      <c r="N321" s="75">
        <v>576.5</v>
      </c>
      <c r="O321" s="33">
        <f>SUMIFS(DaybyDay[Service-Budgets],DaybyDay[Date],"&gt;="&amp;$C$5,DaybyDay[RowYear],"&gt;="&amp;$C$4,DaybyDay[Date],"&lt;="&amp;DaybyDay[[#This Row],[Date]])</f>
        <v>0</v>
      </c>
      <c r="P321" s="33">
        <f>SUMIFS(DaybyDay[Retail-Budgets],DaybyDay[Date],"&gt;="&amp;$C$5,DaybyDay[RowYear],"&gt;="&amp;$C$4,DaybyDay[Date],"&lt;="&amp;DaybyDay[[#This Row],[Date]])</f>
        <v>0</v>
      </c>
      <c r="Q321" s="34">
        <f>SUMIFS(DaybyDay[Service-Actuals],DaybyDay[Date],"&gt;="&amp;$C$5,DaybyDay[RowYear],"&gt;="&amp;$C$4,DaybyDay[Date],"&lt;="&amp;DaybyDay[[#This Row],[Date]])</f>
        <v>0</v>
      </c>
      <c r="R321" s="34">
        <f>SUMIFS(DaybyDay[Retail-Actuals],DaybyDay[Date],"&gt;="&amp;$C$5,DaybyDay[RowYear],"&gt;="&amp;$C$4,DaybyDay[Date],"&lt;="&amp;DaybyDay[[#This Row],[Date]])</f>
        <v>0</v>
      </c>
      <c r="S321" s="35">
        <f>SUMIFS(DaybyDay[Service-LY],DaybyDay[Date],"&gt;="&amp;$C$5,DaybyDay[RowYear],"&gt;="&amp;$C$4,DaybyDay[Date],"&lt;="&amp;DaybyDay[[#This Row],[Date]])</f>
        <v>0</v>
      </c>
      <c r="T321" s="35">
        <f>SUMIFS(DaybyDay[Retail-LY],DaybyDay[Date],"&gt;="&amp;$C$5,DaybyDay[RowYear],"&gt;="&amp;$C$4,DaybyDay[Date],"&lt;="&amp;DaybyDay[[#This Row],[Date]])</f>
        <v>0</v>
      </c>
      <c r="U321" s="32">
        <f>DaybyDay[[#This Row],[Serv-Bud-RU]]+DaybyDay[[#This Row],[Ret-Bud-RU]]</f>
        <v>0</v>
      </c>
      <c r="V321" s="32">
        <f>DaybyDay[[#This Row],[Serv-Act-RU]]+DaybyDay[[#This Row],[Ret-Act-RU]]</f>
        <v>0</v>
      </c>
      <c r="W321" s="36">
        <f>IF(DaybyDay[[#This Row],[_Space]],IFERROR(
((DaybyDay[[#This Row],[Actual-Rollup]]-DaybyDay[[#This Row],[Budget-Rollup]])/DaybyDay[[#This Row],[Budget-Rollup]]),0),"")</f>
        <v>0</v>
      </c>
      <c r="X321" t="b">
        <f>NOT(AND(ISBLANK(DaybyDay[[#This Row],[Appts]]),ISBLANK(DaybyDay[[#This Row],[Service-Actuals]]),ISBLANK(DaybyDay[[#This Row],[Retail-Actuals]])))</f>
        <v>1</v>
      </c>
      <c r="Y321" s="36">
        <f>IF(DaybyDay[[#This Row],[_Space]],IFERROR(
((DaybyDay[[#This Row],[Actual-Rollup]]-DaybyDay[[#This Row],[LY-Rollup]])/DaybyDay[[#This Row],[LY-Rollup]]),0),"")</f>
        <v>0</v>
      </c>
      <c r="Z321"/>
      <c r="AA321" s="37" t="e">
        <f>IF(DaybyDay[[#This Row],[_Space]],DaybyDay[[#This Row],[Ret-Act-RU]]/DaybyDay[[#This Row],[Serv-Act-RU]],"")</f>
        <v>#DIV/0!</v>
      </c>
      <c r="AB321" s="50" t="e">
        <f>IF(DaybyDay[[#This Row],[_Space]],DaybyDay[[#This Row],[RETPEN-Act]]/DaybyDay[[#This Row],[RETPEN-Bud]],"")</f>
        <v>#DIV/0!</v>
      </c>
      <c r="AC321" s="37" t="e">
        <f>IF(DaybyDay[[#This Row],[_Space]],DaybyDay[[#This Row],[Ret-Bud-RU]]/DaybyDay[[#This Row],[Serv-Bud-RU]],"")</f>
        <v>#DIV/0!</v>
      </c>
      <c r="AD321" s="37" t="e">
        <f>IF(DaybyDay[[#This Row],[_Space]],DaybyDay[[#This Row],[Ret-LY-RU]]/DaybyDay[[#This Row],[Serv-LY-RU]],"")</f>
        <v>#DIV/0!</v>
      </c>
      <c r="AE321" s="30">
        <f>WEEKDAY(DaybyDay[[#This Row],[LY-Date]])</f>
        <v>7</v>
      </c>
      <c r="AF321" s="38">
        <f>$E$2+_xlfn.DAYS(DaybyDay[[#This Row],[Date]],minDate)</f>
        <v>42686</v>
      </c>
      <c r="AG321" s="39" t="str" cm="1">
        <f t="array" ref="AG321">IFERROR(INDEX(DaybyDay[],DaybyDay[[#This Row],[FORM_MATCH_HELPER]],8),"")</f>
        <v/>
      </c>
      <c r="AH321" s="39" t="str" cm="1">
        <f t="array" ref="AH321">IFERROR(INDEX(DaybyDay[],DaybyDay[[#This Row],[FORM_MATCH_HELPER]],10),"")</f>
        <v/>
      </c>
      <c r="AI321" s="39" t="str" cm="1">
        <f t="array" ref="AI321">IFERROR(INDEX(DaybyDay[],DaybyDay[[#This Row],[FORM_MATCH_HELPER]],12),"")</f>
        <v/>
      </c>
      <c r="AJ321" s="32">
        <f>IFERROR(DaybyDay[[#This Row],[Serv-LY-RU]]+DaybyDay[[#This Row],[Ret-LY-RU]],"")</f>
        <v>0</v>
      </c>
      <c r="AK3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1" s="77"/>
      <c r="AM321" s="40" t="str">
        <f>IF(DaybyDay[[#This Row],[Admin Hours]]&gt;0,DaybyDay[[#This Row],[Admin Hours]]*$AM$2+$AM$3,"")</f>
        <v/>
      </c>
      <c r="AN321" s="40">
        <f>SUMIFS(DaybyDay[Est-Admin-Payroll],DaybyDay[Date],"&gt;="&amp;$C$5,DaybyDay[RowYear],"&gt;="&amp;$C$4,DaybyDay[Date],"&lt;="&amp;DaybyDay[[#This Row],[Date]])</f>
        <v>0</v>
      </c>
      <c r="AO321" s="41" t="str">
        <f>IF(AND(DaybyDay[[#This Row],[_Space]],ISNUMBER(DaybyDay[[#This Row],[Admin Hours]])),DaybyDay[[#This Row],[Est-Admin-Payroll]]/(DaybyDay[[#This Row],[Service-Actuals]]+DaybyDay[[#This Row],[Retail-Actuals]]),"")</f>
        <v/>
      </c>
      <c r="AP321" s="41" t="e">
        <f>DaybyDay[[#This Row],[Estimated-Payroll-Rollup]]/DaybyDay[[#This Row],[Simple-Forecast]]</f>
        <v>#DIV/0!</v>
      </c>
      <c r="AQ3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1" s="77"/>
      <c r="AS321" s="40" t="str">
        <f>IF(DaybyDay[[#This Row],[Retail Hours]]&gt;0,DaybyDay[[#This Row],[Retail Hours]]*$AS$2,"")</f>
        <v/>
      </c>
      <c r="AT321" s="40">
        <f>SUMIFS(DaybyDay[Est-Retail-Payroll],DaybyDay[Date],"&gt;="&amp;$C$5,DaybyDay[RowYear],"&gt;="&amp;$C$4,DaybyDay[Date],"&lt;="&amp;DaybyDay[[#This Row],[Date]])</f>
        <v>0</v>
      </c>
      <c r="AU321" s="82" t="str">
        <f>IF(AND(DaybyDay[[#This Row],[_Space]],ISNUMBER(DaybyDay[[#This Row],[Retail Hours]])),DaybyDay[[#This Row],[Est-Retail-Payroll]]/(DaybyDay[[#This Row],[Retail-Actuals]]),"")</f>
        <v/>
      </c>
      <c r="AV321" s="82" t="e">
        <f>DaybyDay[[#This Row],[Est-Retail-PayrollRU]]/DaybyDay[[#This Row],[Simple-Forecast-Retail]]</f>
        <v>#DIV/0!</v>
      </c>
      <c r="AW321" s="8"/>
    </row>
    <row r="322" spans="3:49" hidden="1" x14ac:dyDescent="0.25">
      <c r="C322" s="26" t="str">
        <f>Tools!$C$1</f>
        <v>Example</v>
      </c>
      <c r="D322" s="27" t="s">
        <v>78</v>
      </c>
      <c r="E322" s="28">
        <v>2017</v>
      </c>
      <c r="F322" s="28">
        <f>MATCH(DaybyDay[[#This Row],[RowMonth]],Table3[SummaryMonth],0)</f>
        <v>11</v>
      </c>
      <c r="G322" s="29" t="e">
        <f>MATCH(DaybyDay[[#This Row],[LY-Date]],DaybyDay[Date],0)</f>
        <v>#N/A</v>
      </c>
      <c r="H322" s="30">
        <f>WEEKDAY(DaybyDay[[#This Row],[Date]])</f>
        <v>1</v>
      </c>
      <c r="I322" s="31">
        <v>43051</v>
      </c>
      <c r="J322" s="74">
        <v>35</v>
      </c>
      <c r="K322" s="32">
        <f>SUMIFS(BudgetSeasonality[365 Seasonality],BudgetSeasonality[MonthAdjustment],DaybyDay[[#This Row],[Date]])*SUMIFS(Budgets[Service-Budget],Budgets[BudgetMonth],DaybyDay[[#This Row],[RowMonth]],Budgets[BudgetYear],DaybyDay[[#This Row],[RowYear]])</f>
        <v>0</v>
      </c>
      <c r="L322" s="75">
        <v>7811</v>
      </c>
      <c r="M322" s="32">
        <f>INDEX(BudgetSeasonality[365 Seasonality],MATCH(DaybyDay[[#This Row],[Date]],BudgetSeasonality[MonthAdjustment],0))*SUMIFS(Budgets[Retail-Budget],Budgets[BudgetMonth],DaybyDay[[#This Row],[RowMonth]],Budgets[BudgetYear],DaybyDay[[#This Row],[RowYear]])</f>
        <v>0</v>
      </c>
      <c r="N322" s="75">
        <v>730.79</v>
      </c>
      <c r="O322" s="33">
        <f>SUMIFS(DaybyDay[Service-Budgets],DaybyDay[Date],"&gt;="&amp;$C$5,DaybyDay[RowYear],"&gt;="&amp;$C$4,DaybyDay[Date],"&lt;="&amp;DaybyDay[[#This Row],[Date]])</f>
        <v>0</v>
      </c>
      <c r="P322" s="33">
        <f>SUMIFS(DaybyDay[Retail-Budgets],DaybyDay[Date],"&gt;="&amp;$C$5,DaybyDay[RowYear],"&gt;="&amp;$C$4,DaybyDay[Date],"&lt;="&amp;DaybyDay[[#This Row],[Date]])</f>
        <v>0</v>
      </c>
      <c r="Q322" s="34">
        <f>SUMIFS(DaybyDay[Service-Actuals],DaybyDay[Date],"&gt;="&amp;$C$5,DaybyDay[RowYear],"&gt;="&amp;$C$4,DaybyDay[Date],"&lt;="&amp;DaybyDay[[#This Row],[Date]])</f>
        <v>0</v>
      </c>
      <c r="R322" s="34">
        <f>SUMIFS(DaybyDay[Retail-Actuals],DaybyDay[Date],"&gt;="&amp;$C$5,DaybyDay[RowYear],"&gt;="&amp;$C$4,DaybyDay[Date],"&lt;="&amp;DaybyDay[[#This Row],[Date]])</f>
        <v>0</v>
      </c>
      <c r="S322" s="35">
        <f>SUMIFS(DaybyDay[Service-LY],DaybyDay[Date],"&gt;="&amp;$C$5,DaybyDay[RowYear],"&gt;="&amp;$C$4,DaybyDay[Date],"&lt;="&amp;DaybyDay[[#This Row],[Date]])</f>
        <v>0</v>
      </c>
      <c r="T322" s="35">
        <f>SUMIFS(DaybyDay[Retail-LY],DaybyDay[Date],"&gt;="&amp;$C$5,DaybyDay[RowYear],"&gt;="&amp;$C$4,DaybyDay[Date],"&lt;="&amp;DaybyDay[[#This Row],[Date]])</f>
        <v>0</v>
      </c>
      <c r="U322" s="32">
        <f>DaybyDay[[#This Row],[Serv-Bud-RU]]+DaybyDay[[#This Row],[Ret-Bud-RU]]</f>
        <v>0</v>
      </c>
      <c r="V322" s="32">
        <f>DaybyDay[[#This Row],[Serv-Act-RU]]+DaybyDay[[#This Row],[Ret-Act-RU]]</f>
        <v>0</v>
      </c>
      <c r="W322" s="36">
        <f>IF(DaybyDay[[#This Row],[_Space]],IFERROR(
((DaybyDay[[#This Row],[Actual-Rollup]]-DaybyDay[[#This Row],[Budget-Rollup]])/DaybyDay[[#This Row],[Budget-Rollup]]),0),"")</f>
        <v>0</v>
      </c>
      <c r="X322" t="b">
        <f>NOT(AND(ISBLANK(DaybyDay[[#This Row],[Appts]]),ISBLANK(DaybyDay[[#This Row],[Service-Actuals]]),ISBLANK(DaybyDay[[#This Row],[Retail-Actuals]])))</f>
        <v>1</v>
      </c>
      <c r="Y322" s="36">
        <f>IF(DaybyDay[[#This Row],[_Space]],IFERROR(
((DaybyDay[[#This Row],[Actual-Rollup]]-DaybyDay[[#This Row],[LY-Rollup]])/DaybyDay[[#This Row],[LY-Rollup]]),0),"")</f>
        <v>0</v>
      </c>
      <c r="Z322"/>
      <c r="AA322" s="37" t="e">
        <f>IF(DaybyDay[[#This Row],[_Space]],DaybyDay[[#This Row],[Ret-Act-RU]]/DaybyDay[[#This Row],[Serv-Act-RU]],"")</f>
        <v>#DIV/0!</v>
      </c>
      <c r="AB322" s="50" t="e">
        <f>IF(DaybyDay[[#This Row],[_Space]],DaybyDay[[#This Row],[RETPEN-Act]]/DaybyDay[[#This Row],[RETPEN-Bud]],"")</f>
        <v>#DIV/0!</v>
      </c>
      <c r="AC322" s="37" t="e">
        <f>IF(DaybyDay[[#This Row],[_Space]],DaybyDay[[#This Row],[Ret-Bud-RU]]/DaybyDay[[#This Row],[Serv-Bud-RU]],"")</f>
        <v>#DIV/0!</v>
      </c>
      <c r="AD322" s="37" t="e">
        <f>IF(DaybyDay[[#This Row],[_Space]],DaybyDay[[#This Row],[Ret-LY-RU]]/DaybyDay[[#This Row],[Serv-LY-RU]],"")</f>
        <v>#DIV/0!</v>
      </c>
      <c r="AE322" s="30">
        <f>WEEKDAY(DaybyDay[[#This Row],[LY-Date]])</f>
        <v>1</v>
      </c>
      <c r="AF322" s="38">
        <f>$E$2+_xlfn.DAYS(DaybyDay[[#This Row],[Date]],minDate)</f>
        <v>42687</v>
      </c>
      <c r="AG322" s="39" t="str" cm="1">
        <f t="array" ref="AG322">IFERROR(INDEX(DaybyDay[],DaybyDay[[#This Row],[FORM_MATCH_HELPER]],8),"")</f>
        <v/>
      </c>
      <c r="AH322" s="39" t="str" cm="1">
        <f t="array" ref="AH322">IFERROR(INDEX(DaybyDay[],DaybyDay[[#This Row],[FORM_MATCH_HELPER]],10),"")</f>
        <v/>
      </c>
      <c r="AI322" s="39" t="str" cm="1">
        <f t="array" ref="AI322">IFERROR(INDEX(DaybyDay[],DaybyDay[[#This Row],[FORM_MATCH_HELPER]],12),"")</f>
        <v/>
      </c>
      <c r="AJ322" s="32">
        <f>IFERROR(DaybyDay[[#This Row],[Serv-LY-RU]]+DaybyDay[[#This Row],[Ret-LY-RU]],"")</f>
        <v>0</v>
      </c>
      <c r="AK3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2" s="77"/>
      <c r="AM322" s="40" t="str">
        <f>IF(DaybyDay[[#This Row],[Admin Hours]]&gt;0,DaybyDay[[#This Row],[Admin Hours]]*$AM$2+$AM$3,"")</f>
        <v/>
      </c>
      <c r="AN322" s="40">
        <f>SUMIFS(DaybyDay[Est-Admin-Payroll],DaybyDay[Date],"&gt;="&amp;$C$5,DaybyDay[RowYear],"&gt;="&amp;$C$4,DaybyDay[Date],"&lt;="&amp;DaybyDay[[#This Row],[Date]])</f>
        <v>0</v>
      </c>
      <c r="AO322" s="41" t="str">
        <f>IF(AND(DaybyDay[[#This Row],[_Space]],ISNUMBER(DaybyDay[[#This Row],[Admin Hours]])),DaybyDay[[#This Row],[Est-Admin-Payroll]]/(DaybyDay[[#This Row],[Service-Actuals]]+DaybyDay[[#This Row],[Retail-Actuals]]),"")</f>
        <v/>
      </c>
      <c r="AP322" s="41" t="e">
        <f>DaybyDay[[#This Row],[Estimated-Payroll-Rollup]]/DaybyDay[[#This Row],[Simple-Forecast]]</f>
        <v>#DIV/0!</v>
      </c>
      <c r="AQ3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2" s="77"/>
      <c r="AS322" s="40" t="str">
        <f>IF(DaybyDay[[#This Row],[Retail Hours]]&gt;0,DaybyDay[[#This Row],[Retail Hours]]*$AS$2,"")</f>
        <v/>
      </c>
      <c r="AT322" s="40">
        <f>SUMIFS(DaybyDay[Est-Retail-Payroll],DaybyDay[Date],"&gt;="&amp;$C$5,DaybyDay[RowYear],"&gt;="&amp;$C$4,DaybyDay[Date],"&lt;="&amp;DaybyDay[[#This Row],[Date]])</f>
        <v>0</v>
      </c>
      <c r="AU322" s="82" t="str">
        <f>IF(AND(DaybyDay[[#This Row],[_Space]],ISNUMBER(DaybyDay[[#This Row],[Retail Hours]])),DaybyDay[[#This Row],[Est-Retail-Payroll]]/(DaybyDay[[#This Row],[Retail-Actuals]]),"")</f>
        <v/>
      </c>
      <c r="AV322" s="82" t="e">
        <f>DaybyDay[[#This Row],[Est-Retail-PayrollRU]]/DaybyDay[[#This Row],[Simple-Forecast-Retail]]</f>
        <v>#DIV/0!</v>
      </c>
      <c r="AW322" s="8"/>
    </row>
    <row r="323" spans="3:49" hidden="1" x14ac:dyDescent="0.25">
      <c r="C323" s="26" t="str">
        <f>Tools!$C$1</f>
        <v>Example</v>
      </c>
      <c r="D323" s="27" t="s">
        <v>78</v>
      </c>
      <c r="E323" s="28">
        <v>2017</v>
      </c>
      <c r="F323" s="28">
        <f>MATCH(DaybyDay[[#This Row],[RowMonth]],Table3[SummaryMonth],0)</f>
        <v>11</v>
      </c>
      <c r="G323" s="29" t="e">
        <f>MATCH(DaybyDay[[#This Row],[LY-Date]],DaybyDay[Date],0)</f>
        <v>#N/A</v>
      </c>
      <c r="H323" s="30">
        <f>WEEKDAY(DaybyDay[[#This Row],[Date]])</f>
        <v>2</v>
      </c>
      <c r="I323" s="31">
        <v>43052</v>
      </c>
      <c r="J323" s="74">
        <v>13</v>
      </c>
      <c r="K323" s="32">
        <f>SUMIFS(BudgetSeasonality[365 Seasonality],BudgetSeasonality[MonthAdjustment],DaybyDay[[#This Row],[Date]])*SUMIFS(Budgets[Service-Budget],Budgets[BudgetMonth],DaybyDay[[#This Row],[RowMonth]],Budgets[BudgetYear],DaybyDay[[#This Row],[RowYear]])</f>
        <v>0</v>
      </c>
      <c r="L323" s="75">
        <v>2694.6</v>
      </c>
      <c r="M323" s="32">
        <f>INDEX(BudgetSeasonality[365 Seasonality],MATCH(DaybyDay[[#This Row],[Date]],BudgetSeasonality[MonthAdjustment],0))*SUMIFS(Budgets[Retail-Budget],Budgets[BudgetMonth],DaybyDay[[#This Row],[RowMonth]],Budgets[BudgetYear],DaybyDay[[#This Row],[RowYear]])</f>
        <v>0</v>
      </c>
      <c r="N323" s="75">
        <v>497</v>
      </c>
      <c r="O323" s="33">
        <f>SUMIFS(DaybyDay[Service-Budgets],DaybyDay[Date],"&gt;="&amp;$C$5,DaybyDay[RowYear],"&gt;="&amp;$C$4,DaybyDay[Date],"&lt;="&amp;DaybyDay[[#This Row],[Date]])</f>
        <v>0</v>
      </c>
      <c r="P323" s="33">
        <f>SUMIFS(DaybyDay[Retail-Budgets],DaybyDay[Date],"&gt;="&amp;$C$5,DaybyDay[RowYear],"&gt;="&amp;$C$4,DaybyDay[Date],"&lt;="&amp;DaybyDay[[#This Row],[Date]])</f>
        <v>0</v>
      </c>
      <c r="Q323" s="34">
        <f>SUMIFS(DaybyDay[Service-Actuals],DaybyDay[Date],"&gt;="&amp;$C$5,DaybyDay[RowYear],"&gt;="&amp;$C$4,DaybyDay[Date],"&lt;="&amp;DaybyDay[[#This Row],[Date]])</f>
        <v>0</v>
      </c>
      <c r="R323" s="34">
        <f>SUMIFS(DaybyDay[Retail-Actuals],DaybyDay[Date],"&gt;="&amp;$C$5,DaybyDay[RowYear],"&gt;="&amp;$C$4,DaybyDay[Date],"&lt;="&amp;DaybyDay[[#This Row],[Date]])</f>
        <v>0</v>
      </c>
      <c r="S323" s="35">
        <f>SUMIFS(DaybyDay[Service-LY],DaybyDay[Date],"&gt;="&amp;$C$5,DaybyDay[RowYear],"&gt;="&amp;$C$4,DaybyDay[Date],"&lt;="&amp;DaybyDay[[#This Row],[Date]])</f>
        <v>0</v>
      </c>
      <c r="T323" s="35">
        <f>SUMIFS(DaybyDay[Retail-LY],DaybyDay[Date],"&gt;="&amp;$C$5,DaybyDay[RowYear],"&gt;="&amp;$C$4,DaybyDay[Date],"&lt;="&amp;DaybyDay[[#This Row],[Date]])</f>
        <v>0</v>
      </c>
      <c r="U323" s="32">
        <f>DaybyDay[[#This Row],[Serv-Bud-RU]]+DaybyDay[[#This Row],[Ret-Bud-RU]]</f>
        <v>0</v>
      </c>
      <c r="V323" s="32">
        <f>DaybyDay[[#This Row],[Serv-Act-RU]]+DaybyDay[[#This Row],[Ret-Act-RU]]</f>
        <v>0</v>
      </c>
      <c r="W323" s="36">
        <f>IF(DaybyDay[[#This Row],[_Space]],IFERROR(
((DaybyDay[[#This Row],[Actual-Rollup]]-DaybyDay[[#This Row],[Budget-Rollup]])/DaybyDay[[#This Row],[Budget-Rollup]]),0),"")</f>
        <v>0</v>
      </c>
      <c r="X323" t="b">
        <f>NOT(AND(ISBLANK(DaybyDay[[#This Row],[Appts]]),ISBLANK(DaybyDay[[#This Row],[Service-Actuals]]),ISBLANK(DaybyDay[[#This Row],[Retail-Actuals]])))</f>
        <v>1</v>
      </c>
      <c r="Y323" s="36">
        <f>IF(DaybyDay[[#This Row],[_Space]],IFERROR(
((DaybyDay[[#This Row],[Actual-Rollup]]-DaybyDay[[#This Row],[LY-Rollup]])/DaybyDay[[#This Row],[LY-Rollup]]),0),"")</f>
        <v>0</v>
      </c>
      <c r="Z323"/>
      <c r="AA323" s="37" t="e">
        <f>IF(DaybyDay[[#This Row],[_Space]],DaybyDay[[#This Row],[Ret-Act-RU]]/DaybyDay[[#This Row],[Serv-Act-RU]],"")</f>
        <v>#DIV/0!</v>
      </c>
      <c r="AB323" s="50" t="e">
        <f>IF(DaybyDay[[#This Row],[_Space]],DaybyDay[[#This Row],[RETPEN-Act]]/DaybyDay[[#This Row],[RETPEN-Bud]],"")</f>
        <v>#DIV/0!</v>
      </c>
      <c r="AC323" s="37" t="e">
        <f>IF(DaybyDay[[#This Row],[_Space]],DaybyDay[[#This Row],[Ret-Bud-RU]]/DaybyDay[[#This Row],[Serv-Bud-RU]],"")</f>
        <v>#DIV/0!</v>
      </c>
      <c r="AD323" s="37" t="e">
        <f>IF(DaybyDay[[#This Row],[_Space]],DaybyDay[[#This Row],[Ret-LY-RU]]/DaybyDay[[#This Row],[Serv-LY-RU]],"")</f>
        <v>#DIV/0!</v>
      </c>
      <c r="AE323" s="30">
        <f>WEEKDAY(DaybyDay[[#This Row],[LY-Date]])</f>
        <v>2</v>
      </c>
      <c r="AF323" s="38">
        <f>$E$2+_xlfn.DAYS(DaybyDay[[#This Row],[Date]],minDate)</f>
        <v>42688</v>
      </c>
      <c r="AG323" s="39" t="str" cm="1">
        <f t="array" ref="AG323">IFERROR(INDEX(DaybyDay[],DaybyDay[[#This Row],[FORM_MATCH_HELPER]],8),"")</f>
        <v/>
      </c>
      <c r="AH323" s="39" t="str" cm="1">
        <f t="array" ref="AH323">IFERROR(INDEX(DaybyDay[],DaybyDay[[#This Row],[FORM_MATCH_HELPER]],10),"")</f>
        <v/>
      </c>
      <c r="AI323" s="39" t="str" cm="1">
        <f t="array" ref="AI323">IFERROR(INDEX(DaybyDay[],DaybyDay[[#This Row],[FORM_MATCH_HELPER]],12),"")</f>
        <v/>
      </c>
      <c r="AJ323" s="32">
        <f>IFERROR(DaybyDay[[#This Row],[Serv-LY-RU]]+DaybyDay[[#This Row],[Ret-LY-RU]],"")</f>
        <v>0</v>
      </c>
      <c r="AK3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3" s="77"/>
      <c r="AM323" s="40" t="str">
        <f>IF(DaybyDay[[#This Row],[Admin Hours]]&gt;0,DaybyDay[[#This Row],[Admin Hours]]*$AM$2+$AM$3,"")</f>
        <v/>
      </c>
      <c r="AN323" s="40">
        <f>SUMIFS(DaybyDay[Est-Admin-Payroll],DaybyDay[Date],"&gt;="&amp;$C$5,DaybyDay[RowYear],"&gt;="&amp;$C$4,DaybyDay[Date],"&lt;="&amp;DaybyDay[[#This Row],[Date]])</f>
        <v>0</v>
      </c>
      <c r="AO323" s="41" t="str">
        <f>IF(AND(DaybyDay[[#This Row],[_Space]],ISNUMBER(DaybyDay[[#This Row],[Admin Hours]])),DaybyDay[[#This Row],[Est-Admin-Payroll]]/(DaybyDay[[#This Row],[Service-Actuals]]+DaybyDay[[#This Row],[Retail-Actuals]]),"")</f>
        <v/>
      </c>
      <c r="AP323" s="41" t="e">
        <f>DaybyDay[[#This Row],[Estimated-Payroll-Rollup]]/DaybyDay[[#This Row],[Simple-Forecast]]</f>
        <v>#DIV/0!</v>
      </c>
      <c r="AQ3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3" s="77"/>
      <c r="AS323" s="40" t="str">
        <f>IF(DaybyDay[[#This Row],[Retail Hours]]&gt;0,DaybyDay[[#This Row],[Retail Hours]]*$AS$2,"")</f>
        <v/>
      </c>
      <c r="AT323" s="40">
        <f>SUMIFS(DaybyDay[Est-Retail-Payroll],DaybyDay[Date],"&gt;="&amp;$C$5,DaybyDay[RowYear],"&gt;="&amp;$C$4,DaybyDay[Date],"&lt;="&amp;DaybyDay[[#This Row],[Date]])</f>
        <v>0</v>
      </c>
      <c r="AU323" s="82" t="str">
        <f>IF(AND(DaybyDay[[#This Row],[_Space]],ISNUMBER(DaybyDay[[#This Row],[Retail Hours]])),DaybyDay[[#This Row],[Est-Retail-Payroll]]/(DaybyDay[[#This Row],[Retail-Actuals]]),"")</f>
        <v/>
      </c>
      <c r="AV323" s="82" t="e">
        <f>DaybyDay[[#This Row],[Est-Retail-PayrollRU]]/DaybyDay[[#This Row],[Simple-Forecast-Retail]]</f>
        <v>#DIV/0!</v>
      </c>
      <c r="AW323" s="8"/>
    </row>
    <row r="324" spans="3:49" hidden="1" x14ac:dyDescent="0.25">
      <c r="C324" s="26" t="str">
        <f>Tools!$C$1</f>
        <v>Example</v>
      </c>
      <c r="D324" s="27" t="s">
        <v>78</v>
      </c>
      <c r="E324" s="28">
        <v>2017</v>
      </c>
      <c r="F324" s="28">
        <f>MATCH(DaybyDay[[#This Row],[RowMonth]],Table3[SummaryMonth],0)</f>
        <v>11</v>
      </c>
      <c r="G324" s="29" t="e">
        <f>MATCH(DaybyDay[[#This Row],[LY-Date]],DaybyDay[Date],0)</f>
        <v>#N/A</v>
      </c>
      <c r="H324" s="30">
        <f>WEEKDAY(DaybyDay[[#This Row],[Date]])</f>
        <v>3</v>
      </c>
      <c r="I324" s="31">
        <v>43053</v>
      </c>
      <c r="J324" s="74">
        <v>17</v>
      </c>
      <c r="K324" s="32">
        <f>SUMIFS(BudgetSeasonality[365 Seasonality],BudgetSeasonality[MonthAdjustment],DaybyDay[[#This Row],[Date]])*SUMIFS(Budgets[Service-Budget],Budgets[BudgetMonth],DaybyDay[[#This Row],[RowMonth]],Budgets[BudgetYear],DaybyDay[[#This Row],[RowYear]])</f>
        <v>0</v>
      </c>
      <c r="L324" s="75">
        <v>2999.6</v>
      </c>
      <c r="M324" s="32">
        <f>INDEX(BudgetSeasonality[365 Seasonality],MATCH(DaybyDay[[#This Row],[Date]],BudgetSeasonality[MonthAdjustment],0))*SUMIFS(Budgets[Retail-Budget],Budgets[BudgetMonth],DaybyDay[[#This Row],[RowMonth]],Budgets[BudgetYear],DaybyDay[[#This Row],[RowYear]])</f>
        <v>0</v>
      </c>
      <c r="N324" s="75">
        <v>4780.5</v>
      </c>
      <c r="O324" s="33">
        <f>SUMIFS(DaybyDay[Service-Budgets],DaybyDay[Date],"&gt;="&amp;$C$5,DaybyDay[RowYear],"&gt;="&amp;$C$4,DaybyDay[Date],"&lt;="&amp;DaybyDay[[#This Row],[Date]])</f>
        <v>0</v>
      </c>
      <c r="P324" s="33">
        <f>SUMIFS(DaybyDay[Retail-Budgets],DaybyDay[Date],"&gt;="&amp;$C$5,DaybyDay[RowYear],"&gt;="&amp;$C$4,DaybyDay[Date],"&lt;="&amp;DaybyDay[[#This Row],[Date]])</f>
        <v>0</v>
      </c>
      <c r="Q324" s="34">
        <f>SUMIFS(DaybyDay[Service-Actuals],DaybyDay[Date],"&gt;="&amp;$C$5,DaybyDay[RowYear],"&gt;="&amp;$C$4,DaybyDay[Date],"&lt;="&amp;DaybyDay[[#This Row],[Date]])</f>
        <v>0</v>
      </c>
      <c r="R324" s="34">
        <f>SUMIFS(DaybyDay[Retail-Actuals],DaybyDay[Date],"&gt;="&amp;$C$5,DaybyDay[RowYear],"&gt;="&amp;$C$4,DaybyDay[Date],"&lt;="&amp;DaybyDay[[#This Row],[Date]])</f>
        <v>0</v>
      </c>
      <c r="S324" s="35">
        <f>SUMIFS(DaybyDay[Service-LY],DaybyDay[Date],"&gt;="&amp;$C$5,DaybyDay[RowYear],"&gt;="&amp;$C$4,DaybyDay[Date],"&lt;="&amp;DaybyDay[[#This Row],[Date]])</f>
        <v>0</v>
      </c>
      <c r="T324" s="35">
        <f>SUMIFS(DaybyDay[Retail-LY],DaybyDay[Date],"&gt;="&amp;$C$5,DaybyDay[RowYear],"&gt;="&amp;$C$4,DaybyDay[Date],"&lt;="&amp;DaybyDay[[#This Row],[Date]])</f>
        <v>0</v>
      </c>
      <c r="U324" s="32">
        <f>DaybyDay[[#This Row],[Serv-Bud-RU]]+DaybyDay[[#This Row],[Ret-Bud-RU]]</f>
        <v>0</v>
      </c>
      <c r="V324" s="32">
        <f>DaybyDay[[#This Row],[Serv-Act-RU]]+DaybyDay[[#This Row],[Ret-Act-RU]]</f>
        <v>0</v>
      </c>
      <c r="W324" s="36">
        <f>IF(DaybyDay[[#This Row],[_Space]],IFERROR(
((DaybyDay[[#This Row],[Actual-Rollup]]-DaybyDay[[#This Row],[Budget-Rollup]])/DaybyDay[[#This Row],[Budget-Rollup]]),0),"")</f>
        <v>0</v>
      </c>
      <c r="X324" t="b">
        <f>NOT(AND(ISBLANK(DaybyDay[[#This Row],[Appts]]),ISBLANK(DaybyDay[[#This Row],[Service-Actuals]]),ISBLANK(DaybyDay[[#This Row],[Retail-Actuals]])))</f>
        <v>1</v>
      </c>
      <c r="Y324" s="36">
        <f>IF(DaybyDay[[#This Row],[_Space]],IFERROR(
((DaybyDay[[#This Row],[Actual-Rollup]]-DaybyDay[[#This Row],[LY-Rollup]])/DaybyDay[[#This Row],[LY-Rollup]]),0),"")</f>
        <v>0</v>
      </c>
      <c r="Z324"/>
      <c r="AA324" s="37" t="e">
        <f>IF(DaybyDay[[#This Row],[_Space]],DaybyDay[[#This Row],[Ret-Act-RU]]/DaybyDay[[#This Row],[Serv-Act-RU]],"")</f>
        <v>#DIV/0!</v>
      </c>
      <c r="AB324" s="50" t="e">
        <f>IF(DaybyDay[[#This Row],[_Space]],DaybyDay[[#This Row],[RETPEN-Act]]/DaybyDay[[#This Row],[RETPEN-Bud]],"")</f>
        <v>#DIV/0!</v>
      </c>
      <c r="AC324" s="37" t="e">
        <f>IF(DaybyDay[[#This Row],[_Space]],DaybyDay[[#This Row],[Ret-Bud-RU]]/DaybyDay[[#This Row],[Serv-Bud-RU]],"")</f>
        <v>#DIV/0!</v>
      </c>
      <c r="AD324" s="37" t="e">
        <f>IF(DaybyDay[[#This Row],[_Space]],DaybyDay[[#This Row],[Ret-LY-RU]]/DaybyDay[[#This Row],[Serv-LY-RU]],"")</f>
        <v>#DIV/0!</v>
      </c>
      <c r="AE324" s="30">
        <f>WEEKDAY(DaybyDay[[#This Row],[LY-Date]])</f>
        <v>3</v>
      </c>
      <c r="AF324" s="38">
        <f>$E$2+_xlfn.DAYS(DaybyDay[[#This Row],[Date]],minDate)</f>
        <v>42689</v>
      </c>
      <c r="AG324" s="39" t="str" cm="1">
        <f t="array" ref="AG324">IFERROR(INDEX(DaybyDay[],DaybyDay[[#This Row],[FORM_MATCH_HELPER]],8),"")</f>
        <v/>
      </c>
      <c r="AH324" s="39" t="str" cm="1">
        <f t="array" ref="AH324">IFERROR(INDEX(DaybyDay[],DaybyDay[[#This Row],[FORM_MATCH_HELPER]],10),"")</f>
        <v/>
      </c>
      <c r="AI324" s="39" t="str" cm="1">
        <f t="array" ref="AI324">IFERROR(INDEX(DaybyDay[],DaybyDay[[#This Row],[FORM_MATCH_HELPER]],12),"")</f>
        <v/>
      </c>
      <c r="AJ324" s="32">
        <f>IFERROR(DaybyDay[[#This Row],[Serv-LY-RU]]+DaybyDay[[#This Row],[Ret-LY-RU]],"")</f>
        <v>0</v>
      </c>
      <c r="AK3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4" s="77"/>
      <c r="AM324" s="40" t="str">
        <f>IF(DaybyDay[[#This Row],[Admin Hours]]&gt;0,DaybyDay[[#This Row],[Admin Hours]]*$AM$2+$AM$3,"")</f>
        <v/>
      </c>
      <c r="AN324" s="40">
        <f>SUMIFS(DaybyDay[Est-Admin-Payroll],DaybyDay[Date],"&gt;="&amp;$C$5,DaybyDay[RowYear],"&gt;="&amp;$C$4,DaybyDay[Date],"&lt;="&amp;DaybyDay[[#This Row],[Date]])</f>
        <v>0</v>
      </c>
      <c r="AO324" s="41" t="str">
        <f>IF(AND(DaybyDay[[#This Row],[_Space]],ISNUMBER(DaybyDay[[#This Row],[Admin Hours]])),DaybyDay[[#This Row],[Est-Admin-Payroll]]/(DaybyDay[[#This Row],[Service-Actuals]]+DaybyDay[[#This Row],[Retail-Actuals]]),"")</f>
        <v/>
      </c>
      <c r="AP324" s="41" t="e">
        <f>DaybyDay[[#This Row],[Estimated-Payroll-Rollup]]/DaybyDay[[#This Row],[Simple-Forecast]]</f>
        <v>#DIV/0!</v>
      </c>
      <c r="AQ3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4" s="77"/>
      <c r="AS324" s="40" t="str">
        <f>IF(DaybyDay[[#This Row],[Retail Hours]]&gt;0,DaybyDay[[#This Row],[Retail Hours]]*$AS$2,"")</f>
        <v/>
      </c>
      <c r="AT324" s="40">
        <f>SUMIFS(DaybyDay[Est-Retail-Payroll],DaybyDay[Date],"&gt;="&amp;$C$5,DaybyDay[RowYear],"&gt;="&amp;$C$4,DaybyDay[Date],"&lt;="&amp;DaybyDay[[#This Row],[Date]])</f>
        <v>0</v>
      </c>
      <c r="AU324" s="82" t="str">
        <f>IF(AND(DaybyDay[[#This Row],[_Space]],ISNUMBER(DaybyDay[[#This Row],[Retail Hours]])),DaybyDay[[#This Row],[Est-Retail-Payroll]]/(DaybyDay[[#This Row],[Retail-Actuals]]),"")</f>
        <v/>
      </c>
      <c r="AV324" s="82" t="e">
        <f>DaybyDay[[#This Row],[Est-Retail-PayrollRU]]/DaybyDay[[#This Row],[Simple-Forecast-Retail]]</f>
        <v>#DIV/0!</v>
      </c>
      <c r="AW324" s="8"/>
    </row>
    <row r="325" spans="3:49" hidden="1" x14ac:dyDescent="0.25">
      <c r="C325" s="26" t="str">
        <f>Tools!$C$1</f>
        <v>Example</v>
      </c>
      <c r="D325" s="27" t="s">
        <v>78</v>
      </c>
      <c r="E325" s="28">
        <v>2017</v>
      </c>
      <c r="F325" s="28">
        <f>MATCH(DaybyDay[[#This Row],[RowMonth]],Table3[SummaryMonth],0)</f>
        <v>11</v>
      </c>
      <c r="G325" s="29" t="e">
        <f>MATCH(DaybyDay[[#This Row],[LY-Date]],DaybyDay[Date],0)</f>
        <v>#N/A</v>
      </c>
      <c r="H325" s="30">
        <f>WEEKDAY(DaybyDay[[#This Row],[Date]])</f>
        <v>4</v>
      </c>
      <c r="I325" s="31">
        <v>43054</v>
      </c>
      <c r="J325" s="74">
        <v>24</v>
      </c>
      <c r="K325" s="32">
        <f>SUMIFS(BudgetSeasonality[365 Seasonality],BudgetSeasonality[MonthAdjustment],DaybyDay[[#This Row],[Date]])*SUMIFS(Budgets[Service-Budget],Budgets[BudgetMonth],DaybyDay[[#This Row],[RowMonth]],Budgets[BudgetYear],DaybyDay[[#This Row],[RowYear]])</f>
        <v>0</v>
      </c>
      <c r="L325" s="75">
        <v>4606.8</v>
      </c>
      <c r="M325" s="32">
        <f>INDEX(BudgetSeasonality[365 Seasonality],MATCH(DaybyDay[[#This Row],[Date]],BudgetSeasonality[MonthAdjustment],0))*SUMIFS(Budgets[Retail-Budget],Budgets[BudgetMonth],DaybyDay[[#This Row],[RowMonth]],Budgets[BudgetYear],DaybyDay[[#This Row],[RowYear]])</f>
        <v>0</v>
      </c>
      <c r="N325" s="75">
        <v>2040.25</v>
      </c>
      <c r="O325" s="33">
        <f>SUMIFS(DaybyDay[Service-Budgets],DaybyDay[Date],"&gt;="&amp;$C$5,DaybyDay[RowYear],"&gt;="&amp;$C$4,DaybyDay[Date],"&lt;="&amp;DaybyDay[[#This Row],[Date]])</f>
        <v>0</v>
      </c>
      <c r="P325" s="33">
        <f>SUMIFS(DaybyDay[Retail-Budgets],DaybyDay[Date],"&gt;="&amp;$C$5,DaybyDay[RowYear],"&gt;="&amp;$C$4,DaybyDay[Date],"&lt;="&amp;DaybyDay[[#This Row],[Date]])</f>
        <v>0</v>
      </c>
      <c r="Q325" s="34">
        <f>SUMIFS(DaybyDay[Service-Actuals],DaybyDay[Date],"&gt;="&amp;$C$5,DaybyDay[RowYear],"&gt;="&amp;$C$4,DaybyDay[Date],"&lt;="&amp;DaybyDay[[#This Row],[Date]])</f>
        <v>0</v>
      </c>
      <c r="R325" s="34">
        <f>SUMIFS(DaybyDay[Retail-Actuals],DaybyDay[Date],"&gt;="&amp;$C$5,DaybyDay[RowYear],"&gt;="&amp;$C$4,DaybyDay[Date],"&lt;="&amp;DaybyDay[[#This Row],[Date]])</f>
        <v>0</v>
      </c>
      <c r="S325" s="35">
        <f>SUMIFS(DaybyDay[Service-LY],DaybyDay[Date],"&gt;="&amp;$C$5,DaybyDay[RowYear],"&gt;="&amp;$C$4,DaybyDay[Date],"&lt;="&amp;DaybyDay[[#This Row],[Date]])</f>
        <v>0</v>
      </c>
      <c r="T325" s="35">
        <f>SUMIFS(DaybyDay[Retail-LY],DaybyDay[Date],"&gt;="&amp;$C$5,DaybyDay[RowYear],"&gt;="&amp;$C$4,DaybyDay[Date],"&lt;="&amp;DaybyDay[[#This Row],[Date]])</f>
        <v>0</v>
      </c>
      <c r="U325" s="32">
        <f>DaybyDay[[#This Row],[Serv-Bud-RU]]+DaybyDay[[#This Row],[Ret-Bud-RU]]</f>
        <v>0</v>
      </c>
      <c r="V325" s="32">
        <f>DaybyDay[[#This Row],[Serv-Act-RU]]+DaybyDay[[#This Row],[Ret-Act-RU]]</f>
        <v>0</v>
      </c>
      <c r="W325" s="36">
        <f>IF(DaybyDay[[#This Row],[_Space]],IFERROR(
((DaybyDay[[#This Row],[Actual-Rollup]]-DaybyDay[[#This Row],[Budget-Rollup]])/DaybyDay[[#This Row],[Budget-Rollup]]),0),"")</f>
        <v>0</v>
      </c>
      <c r="X325" t="b">
        <f>NOT(AND(ISBLANK(DaybyDay[[#This Row],[Appts]]),ISBLANK(DaybyDay[[#This Row],[Service-Actuals]]),ISBLANK(DaybyDay[[#This Row],[Retail-Actuals]])))</f>
        <v>1</v>
      </c>
      <c r="Y325" s="36">
        <f>IF(DaybyDay[[#This Row],[_Space]],IFERROR(
((DaybyDay[[#This Row],[Actual-Rollup]]-DaybyDay[[#This Row],[LY-Rollup]])/DaybyDay[[#This Row],[LY-Rollup]]),0),"")</f>
        <v>0</v>
      </c>
      <c r="Z325"/>
      <c r="AA325" s="37" t="e">
        <f>IF(DaybyDay[[#This Row],[_Space]],DaybyDay[[#This Row],[Ret-Act-RU]]/DaybyDay[[#This Row],[Serv-Act-RU]],"")</f>
        <v>#DIV/0!</v>
      </c>
      <c r="AB325" s="50" t="e">
        <f>IF(DaybyDay[[#This Row],[_Space]],DaybyDay[[#This Row],[RETPEN-Act]]/DaybyDay[[#This Row],[RETPEN-Bud]],"")</f>
        <v>#DIV/0!</v>
      </c>
      <c r="AC325" s="37" t="e">
        <f>IF(DaybyDay[[#This Row],[_Space]],DaybyDay[[#This Row],[Ret-Bud-RU]]/DaybyDay[[#This Row],[Serv-Bud-RU]],"")</f>
        <v>#DIV/0!</v>
      </c>
      <c r="AD325" s="37" t="e">
        <f>IF(DaybyDay[[#This Row],[_Space]],DaybyDay[[#This Row],[Ret-LY-RU]]/DaybyDay[[#This Row],[Serv-LY-RU]],"")</f>
        <v>#DIV/0!</v>
      </c>
      <c r="AE325" s="30">
        <f>WEEKDAY(DaybyDay[[#This Row],[LY-Date]])</f>
        <v>4</v>
      </c>
      <c r="AF325" s="38">
        <f>$E$2+_xlfn.DAYS(DaybyDay[[#This Row],[Date]],minDate)</f>
        <v>42690</v>
      </c>
      <c r="AG325" s="39" t="str" cm="1">
        <f t="array" ref="AG325">IFERROR(INDEX(DaybyDay[],DaybyDay[[#This Row],[FORM_MATCH_HELPER]],8),"")</f>
        <v/>
      </c>
      <c r="AH325" s="39" t="str" cm="1">
        <f t="array" ref="AH325">IFERROR(INDEX(DaybyDay[],DaybyDay[[#This Row],[FORM_MATCH_HELPER]],10),"")</f>
        <v/>
      </c>
      <c r="AI325" s="39" t="str" cm="1">
        <f t="array" ref="AI325">IFERROR(INDEX(DaybyDay[],DaybyDay[[#This Row],[FORM_MATCH_HELPER]],12),"")</f>
        <v/>
      </c>
      <c r="AJ325" s="32">
        <f>IFERROR(DaybyDay[[#This Row],[Serv-LY-RU]]+DaybyDay[[#This Row],[Ret-LY-RU]],"")</f>
        <v>0</v>
      </c>
      <c r="AK3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5" s="77"/>
      <c r="AM325" s="40" t="str">
        <f>IF(DaybyDay[[#This Row],[Admin Hours]]&gt;0,DaybyDay[[#This Row],[Admin Hours]]*$AM$2+$AM$3,"")</f>
        <v/>
      </c>
      <c r="AN325" s="40">
        <f>SUMIFS(DaybyDay[Est-Admin-Payroll],DaybyDay[Date],"&gt;="&amp;$C$5,DaybyDay[RowYear],"&gt;="&amp;$C$4,DaybyDay[Date],"&lt;="&amp;DaybyDay[[#This Row],[Date]])</f>
        <v>0</v>
      </c>
      <c r="AO325" s="41" t="str">
        <f>IF(AND(DaybyDay[[#This Row],[_Space]],ISNUMBER(DaybyDay[[#This Row],[Admin Hours]])),DaybyDay[[#This Row],[Est-Admin-Payroll]]/(DaybyDay[[#This Row],[Service-Actuals]]+DaybyDay[[#This Row],[Retail-Actuals]]),"")</f>
        <v/>
      </c>
      <c r="AP325" s="41" t="e">
        <f>DaybyDay[[#This Row],[Estimated-Payroll-Rollup]]/DaybyDay[[#This Row],[Simple-Forecast]]</f>
        <v>#DIV/0!</v>
      </c>
      <c r="AQ3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5" s="77"/>
      <c r="AS325" s="40" t="str">
        <f>IF(DaybyDay[[#This Row],[Retail Hours]]&gt;0,DaybyDay[[#This Row],[Retail Hours]]*$AS$2,"")</f>
        <v/>
      </c>
      <c r="AT325" s="40">
        <f>SUMIFS(DaybyDay[Est-Retail-Payroll],DaybyDay[Date],"&gt;="&amp;$C$5,DaybyDay[RowYear],"&gt;="&amp;$C$4,DaybyDay[Date],"&lt;="&amp;DaybyDay[[#This Row],[Date]])</f>
        <v>0</v>
      </c>
      <c r="AU325" s="82" t="str">
        <f>IF(AND(DaybyDay[[#This Row],[_Space]],ISNUMBER(DaybyDay[[#This Row],[Retail Hours]])),DaybyDay[[#This Row],[Est-Retail-Payroll]]/(DaybyDay[[#This Row],[Retail-Actuals]]),"")</f>
        <v/>
      </c>
      <c r="AV325" s="82" t="e">
        <f>DaybyDay[[#This Row],[Est-Retail-PayrollRU]]/DaybyDay[[#This Row],[Simple-Forecast-Retail]]</f>
        <v>#DIV/0!</v>
      </c>
      <c r="AW325" s="8"/>
    </row>
    <row r="326" spans="3:49" hidden="1" x14ac:dyDescent="0.25">
      <c r="C326" s="26" t="str">
        <f>Tools!$C$1</f>
        <v>Example</v>
      </c>
      <c r="D326" s="27" t="s">
        <v>78</v>
      </c>
      <c r="E326" s="28">
        <v>2017</v>
      </c>
      <c r="F326" s="28">
        <f>MATCH(DaybyDay[[#This Row],[RowMonth]],Table3[SummaryMonth],0)</f>
        <v>11</v>
      </c>
      <c r="G326" s="29" t="e">
        <f>MATCH(DaybyDay[[#This Row],[LY-Date]],DaybyDay[Date],0)</f>
        <v>#N/A</v>
      </c>
      <c r="H326" s="30">
        <f>WEEKDAY(DaybyDay[[#This Row],[Date]])</f>
        <v>5</v>
      </c>
      <c r="I326" s="31">
        <v>43055</v>
      </c>
      <c r="J326" s="74">
        <v>15</v>
      </c>
      <c r="K326" s="32">
        <f>SUMIFS(BudgetSeasonality[365 Seasonality],BudgetSeasonality[MonthAdjustment],DaybyDay[[#This Row],[Date]])*SUMIFS(Budgets[Service-Budget],Budgets[BudgetMonth],DaybyDay[[#This Row],[RowMonth]],Budgets[BudgetYear],DaybyDay[[#This Row],[RowYear]])</f>
        <v>0</v>
      </c>
      <c r="L326" s="75">
        <v>2989.6</v>
      </c>
      <c r="M326" s="32">
        <f>INDEX(BudgetSeasonality[365 Seasonality],MATCH(DaybyDay[[#This Row],[Date]],BudgetSeasonality[MonthAdjustment],0))*SUMIFS(Budgets[Retail-Budget],Budgets[BudgetMonth],DaybyDay[[#This Row],[RowMonth]],Budgets[BudgetYear],DaybyDay[[#This Row],[RowYear]])</f>
        <v>0</v>
      </c>
      <c r="N326" s="75">
        <v>893</v>
      </c>
      <c r="O326" s="33">
        <f>SUMIFS(DaybyDay[Service-Budgets],DaybyDay[Date],"&gt;="&amp;$C$5,DaybyDay[RowYear],"&gt;="&amp;$C$4,DaybyDay[Date],"&lt;="&amp;DaybyDay[[#This Row],[Date]])</f>
        <v>0</v>
      </c>
      <c r="P326" s="33">
        <f>SUMIFS(DaybyDay[Retail-Budgets],DaybyDay[Date],"&gt;="&amp;$C$5,DaybyDay[RowYear],"&gt;="&amp;$C$4,DaybyDay[Date],"&lt;="&amp;DaybyDay[[#This Row],[Date]])</f>
        <v>0</v>
      </c>
      <c r="Q326" s="34">
        <f>SUMIFS(DaybyDay[Service-Actuals],DaybyDay[Date],"&gt;="&amp;$C$5,DaybyDay[RowYear],"&gt;="&amp;$C$4,DaybyDay[Date],"&lt;="&amp;DaybyDay[[#This Row],[Date]])</f>
        <v>0</v>
      </c>
      <c r="R326" s="34">
        <f>SUMIFS(DaybyDay[Retail-Actuals],DaybyDay[Date],"&gt;="&amp;$C$5,DaybyDay[RowYear],"&gt;="&amp;$C$4,DaybyDay[Date],"&lt;="&amp;DaybyDay[[#This Row],[Date]])</f>
        <v>0</v>
      </c>
      <c r="S326" s="35">
        <f>SUMIFS(DaybyDay[Service-LY],DaybyDay[Date],"&gt;="&amp;$C$5,DaybyDay[RowYear],"&gt;="&amp;$C$4,DaybyDay[Date],"&lt;="&amp;DaybyDay[[#This Row],[Date]])</f>
        <v>0</v>
      </c>
      <c r="T326" s="35">
        <f>SUMIFS(DaybyDay[Retail-LY],DaybyDay[Date],"&gt;="&amp;$C$5,DaybyDay[RowYear],"&gt;="&amp;$C$4,DaybyDay[Date],"&lt;="&amp;DaybyDay[[#This Row],[Date]])</f>
        <v>0</v>
      </c>
      <c r="U326" s="32">
        <f>DaybyDay[[#This Row],[Serv-Bud-RU]]+DaybyDay[[#This Row],[Ret-Bud-RU]]</f>
        <v>0</v>
      </c>
      <c r="V326" s="32">
        <f>DaybyDay[[#This Row],[Serv-Act-RU]]+DaybyDay[[#This Row],[Ret-Act-RU]]</f>
        <v>0</v>
      </c>
      <c r="W326" s="36">
        <f>IF(DaybyDay[[#This Row],[_Space]],IFERROR(
((DaybyDay[[#This Row],[Actual-Rollup]]-DaybyDay[[#This Row],[Budget-Rollup]])/DaybyDay[[#This Row],[Budget-Rollup]]),0),"")</f>
        <v>0</v>
      </c>
      <c r="X326" t="b">
        <f>NOT(AND(ISBLANK(DaybyDay[[#This Row],[Appts]]),ISBLANK(DaybyDay[[#This Row],[Service-Actuals]]),ISBLANK(DaybyDay[[#This Row],[Retail-Actuals]])))</f>
        <v>1</v>
      </c>
      <c r="Y326" s="36">
        <f>IF(DaybyDay[[#This Row],[_Space]],IFERROR(
((DaybyDay[[#This Row],[Actual-Rollup]]-DaybyDay[[#This Row],[LY-Rollup]])/DaybyDay[[#This Row],[LY-Rollup]]),0),"")</f>
        <v>0</v>
      </c>
      <c r="Z326"/>
      <c r="AA326" s="37" t="e">
        <f>IF(DaybyDay[[#This Row],[_Space]],DaybyDay[[#This Row],[Ret-Act-RU]]/DaybyDay[[#This Row],[Serv-Act-RU]],"")</f>
        <v>#DIV/0!</v>
      </c>
      <c r="AB326" s="50" t="e">
        <f>IF(DaybyDay[[#This Row],[_Space]],DaybyDay[[#This Row],[RETPEN-Act]]/DaybyDay[[#This Row],[RETPEN-Bud]],"")</f>
        <v>#DIV/0!</v>
      </c>
      <c r="AC326" s="37" t="e">
        <f>IF(DaybyDay[[#This Row],[_Space]],DaybyDay[[#This Row],[Ret-Bud-RU]]/DaybyDay[[#This Row],[Serv-Bud-RU]],"")</f>
        <v>#DIV/0!</v>
      </c>
      <c r="AD326" s="37" t="e">
        <f>IF(DaybyDay[[#This Row],[_Space]],DaybyDay[[#This Row],[Ret-LY-RU]]/DaybyDay[[#This Row],[Serv-LY-RU]],"")</f>
        <v>#DIV/0!</v>
      </c>
      <c r="AE326" s="30">
        <f>WEEKDAY(DaybyDay[[#This Row],[LY-Date]])</f>
        <v>5</v>
      </c>
      <c r="AF326" s="38">
        <f>$E$2+_xlfn.DAYS(DaybyDay[[#This Row],[Date]],minDate)</f>
        <v>42691</v>
      </c>
      <c r="AG326" s="39" t="str" cm="1">
        <f t="array" ref="AG326">IFERROR(INDEX(DaybyDay[],DaybyDay[[#This Row],[FORM_MATCH_HELPER]],8),"")</f>
        <v/>
      </c>
      <c r="AH326" s="39" t="str" cm="1">
        <f t="array" ref="AH326">IFERROR(INDEX(DaybyDay[],DaybyDay[[#This Row],[FORM_MATCH_HELPER]],10),"")</f>
        <v/>
      </c>
      <c r="AI326" s="39" t="str" cm="1">
        <f t="array" ref="AI326">IFERROR(INDEX(DaybyDay[],DaybyDay[[#This Row],[FORM_MATCH_HELPER]],12),"")</f>
        <v/>
      </c>
      <c r="AJ326" s="32">
        <f>IFERROR(DaybyDay[[#This Row],[Serv-LY-RU]]+DaybyDay[[#This Row],[Ret-LY-RU]],"")</f>
        <v>0</v>
      </c>
      <c r="AK3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6" s="77"/>
      <c r="AM326" s="40" t="str">
        <f>IF(DaybyDay[[#This Row],[Admin Hours]]&gt;0,DaybyDay[[#This Row],[Admin Hours]]*$AM$2+$AM$3,"")</f>
        <v/>
      </c>
      <c r="AN326" s="40">
        <f>SUMIFS(DaybyDay[Est-Admin-Payroll],DaybyDay[Date],"&gt;="&amp;$C$5,DaybyDay[RowYear],"&gt;="&amp;$C$4,DaybyDay[Date],"&lt;="&amp;DaybyDay[[#This Row],[Date]])</f>
        <v>0</v>
      </c>
      <c r="AO326" s="41" t="str">
        <f>IF(AND(DaybyDay[[#This Row],[_Space]],ISNUMBER(DaybyDay[[#This Row],[Admin Hours]])),DaybyDay[[#This Row],[Est-Admin-Payroll]]/(DaybyDay[[#This Row],[Service-Actuals]]+DaybyDay[[#This Row],[Retail-Actuals]]),"")</f>
        <v/>
      </c>
      <c r="AP326" s="41" t="e">
        <f>DaybyDay[[#This Row],[Estimated-Payroll-Rollup]]/DaybyDay[[#This Row],[Simple-Forecast]]</f>
        <v>#DIV/0!</v>
      </c>
      <c r="AQ3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6" s="77"/>
      <c r="AS326" s="40" t="str">
        <f>IF(DaybyDay[[#This Row],[Retail Hours]]&gt;0,DaybyDay[[#This Row],[Retail Hours]]*$AS$2,"")</f>
        <v/>
      </c>
      <c r="AT326" s="40">
        <f>SUMIFS(DaybyDay[Est-Retail-Payroll],DaybyDay[Date],"&gt;="&amp;$C$5,DaybyDay[RowYear],"&gt;="&amp;$C$4,DaybyDay[Date],"&lt;="&amp;DaybyDay[[#This Row],[Date]])</f>
        <v>0</v>
      </c>
      <c r="AU326" s="82" t="str">
        <f>IF(AND(DaybyDay[[#This Row],[_Space]],ISNUMBER(DaybyDay[[#This Row],[Retail Hours]])),DaybyDay[[#This Row],[Est-Retail-Payroll]]/(DaybyDay[[#This Row],[Retail-Actuals]]),"")</f>
        <v/>
      </c>
      <c r="AV326" s="82" t="e">
        <f>DaybyDay[[#This Row],[Est-Retail-PayrollRU]]/DaybyDay[[#This Row],[Simple-Forecast-Retail]]</f>
        <v>#DIV/0!</v>
      </c>
      <c r="AW326" s="8"/>
    </row>
    <row r="327" spans="3:49" hidden="1" x14ac:dyDescent="0.25">
      <c r="C327" s="26" t="str">
        <f>Tools!$C$1</f>
        <v>Example</v>
      </c>
      <c r="D327" s="27" t="s">
        <v>78</v>
      </c>
      <c r="E327" s="28">
        <v>2017</v>
      </c>
      <c r="F327" s="28">
        <f>MATCH(DaybyDay[[#This Row],[RowMonth]],Table3[SummaryMonth],0)</f>
        <v>11</v>
      </c>
      <c r="G327" s="29" t="e">
        <f>MATCH(DaybyDay[[#This Row],[LY-Date]],DaybyDay[Date],0)</f>
        <v>#N/A</v>
      </c>
      <c r="H327" s="30">
        <f>WEEKDAY(DaybyDay[[#This Row],[Date]])</f>
        <v>6</v>
      </c>
      <c r="I327" s="31">
        <v>43056</v>
      </c>
      <c r="J327" s="74">
        <v>25</v>
      </c>
      <c r="K327" s="32">
        <f>SUMIFS(BudgetSeasonality[365 Seasonality],BudgetSeasonality[MonthAdjustment],DaybyDay[[#This Row],[Date]])*SUMIFS(Budgets[Service-Budget],Budgets[BudgetMonth],DaybyDay[[#This Row],[RowMonth]],Budgets[BudgetYear],DaybyDay[[#This Row],[RowYear]])</f>
        <v>0</v>
      </c>
      <c r="L327" s="75">
        <v>3666.55</v>
      </c>
      <c r="M327" s="32">
        <f>INDEX(BudgetSeasonality[365 Seasonality],MATCH(DaybyDay[[#This Row],[Date]],BudgetSeasonality[MonthAdjustment],0))*SUMIFS(Budgets[Retail-Budget],Budgets[BudgetMonth],DaybyDay[[#This Row],[RowMonth]],Budgets[BudgetYear],DaybyDay[[#This Row],[RowYear]])</f>
        <v>0</v>
      </c>
      <c r="N327" s="75">
        <v>1345.5</v>
      </c>
      <c r="O327" s="33">
        <f>SUMIFS(DaybyDay[Service-Budgets],DaybyDay[Date],"&gt;="&amp;$C$5,DaybyDay[RowYear],"&gt;="&amp;$C$4,DaybyDay[Date],"&lt;="&amp;DaybyDay[[#This Row],[Date]])</f>
        <v>0</v>
      </c>
      <c r="P327" s="33">
        <f>SUMIFS(DaybyDay[Retail-Budgets],DaybyDay[Date],"&gt;="&amp;$C$5,DaybyDay[RowYear],"&gt;="&amp;$C$4,DaybyDay[Date],"&lt;="&amp;DaybyDay[[#This Row],[Date]])</f>
        <v>0</v>
      </c>
      <c r="Q327" s="34">
        <f>SUMIFS(DaybyDay[Service-Actuals],DaybyDay[Date],"&gt;="&amp;$C$5,DaybyDay[RowYear],"&gt;="&amp;$C$4,DaybyDay[Date],"&lt;="&amp;DaybyDay[[#This Row],[Date]])</f>
        <v>0</v>
      </c>
      <c r="R327" s="34">
        <f>SUMIFS(DaybyDay[Retail-Actuals],DaybyDay[Date],"&gt;="&amp;$C$5,DaybyDay[RowYear],"&gt;="&amp;$C$4,DaybyDay[Date],"&lt;="&amp;DaybyDay[[#This Row],[Date]])</f>
        <v>0</v>
      </c>
      <c r="S327" s="35">
        <f>SUMIFS(DaybyDay[Service-LY],DaybyDay[Date],"&gt;="&amp;$C$5,DaybyDay[RowYear],"&gt;="&amp;$C$4,DaybyDay[Date],"&lt;="&amp;DaybyDay[[#This Row],[Date]])</f>
        <v>0</v>
      </c>
      <c r="T327" s="35">
        <f>SUMIFS(DaybyDay[Retail-LY],DaybyDay[Date],"&gt;="&amp;$C$5,DaybyDay[RowYear],"&gt;="&amp;$C$4,DaybyDay[Date],"&lt;="&amp;DaybyDay[[#This Row],[Date]])</f>
        <v>0</v>
      </c>
      <c r="U327" s="32">
        <f>DaybyDay[[#This Row],[Serv-Bud-RU]]+DaybyDay[[#This Row],[Ret-Bud-RU]]</f>
        <v>0</v>
      </c>
      <c r="V327" s="32">
        <f>DaybyDay[[#This Row],[Serv-Act-RU]]+DaybyDay[[#This Row],[Ret-Act-RU]]</f>
        <v>0</v>
      </c>
      <c r="W327" s="36">
        <f>IF(DaybyDay[[#This Row],[_Space]],IFERROR(
((DaybyDay[[#This Row],[Actual-Rollup]]-DaybyDay[[#This Row],[Budget-Rollup]])/DaybyDay[[#This Row],[Budget-Rollup]]),0),"")</f>
        <v>0</v>
      </c>
      <c r="X327" t="b">
        <f>NOT(AND(ISBLANK(DaybyDay[[#This Row],[Appts]]),ISBLANK(DaybyDay[[#This Row],[Service-Actuals]]),ISBLANK(DaybyDay[[#This Row],[Retail-Actuals]])))</f>
        <v>1</v>
      </c>
      <c r="Y327" s="36">
        <f>IF(DaybyDay[[#This Row],[_Space]],IFERROR(
((DaybyDay[[#This Row],[Actual-Rollup]]-DaybyDay[[#This Row],[LY-Rollup]])/DaybyDay[[#This Row],[LY-Rollup]]),0),"")</f>
        <v>0</v>
      </c>
      <c r="Z327"/>
      <c r="AA327" s="37" t="e">
        <f>IF(DaybyDay[[#This Row],[_Space]],DaybyDay[[#This Row],[Ret-Act-RU]]/DaybyDay[[#This Row],[Serv-Act-RU]],"")</f>
        <v>#DIV/0!</v>
      </c>
      <c r="AB327" s="50" t="e">
        <f>IF(DaybyDay[[#This Row],[_Space]],DaybyDay[[#This Row],[RETPEN-Act]]/DaybyDay[[#This Row],[RETPEN-Bud]],"")</f>
        <v>#DIV/0!</v>
      </c>
      <c r="AC327" s="37" t="e">
        <f>IF(DaybyDay[[#This Row],[_Space]],DaybyDay[[#This Row],[Ret-Bud-RU]]/DaybyDay[[#This Row],[Serv-Bud-RU]],"")</f>
        <v>#DIV/0!</v>
      </c>
      <c r="AD327" s="37" t="e">
        <f>IF(DaybyDay[[#This Row],[_Space]],DaybyDay[[#This Row],[Ret-LY-RU]]/DaybyDay[[#This Row],[Serv-LY-RU]],"")</f>
        <v>#DIV/0!</v>
      </c>
      <c r="AE327" s="30">
        <f>WEEKDAY(DaybyDay[[#This Row],[LY-Date]])</f>
        <v>6</v>
      </c>
      <c r="AF327" s="38">
        <f>$E$2+_xlfn.DAYS(DaybyDay[[#This Row],[Date]],minDate)</f>
        <v>42692</v>
      </c>
      <c r="AG327" s="39" t="str" cm="1">
        <f t="array" ref="AG327">IFERROR(INDEX(DaybyDay[],DaybyDay[[#This Row],[FORM_MATCH_HELPER]],8),"")</f>
        <v/>
      </c>
      <c r="AH327" s="39" t="str" cm="1">
        <f t="array" ref="AH327">IFERROR(INDEX(DaybyDay[],DaybyDay[[#This Row],[FORM_MATCH_HELPER]],10),"")</f>
        <v/>
      </c>
      <c r="AI327" s="39" t="str" cm="1">
        <f t="array" ref="AI327">IFERROR(INDEX(DaybyDay[],DaybyDay[[#This Row],[FORM_MATCH_HELPER]],12),"")</f>
        <v/>
      </c>
      <c r="AJ327" s="32">
        <f>IFERROR(DaybyDay[[#This Row],[Serv-LY-RU]]+DaybyDay[[#This Row],[Ret-LY-RU]],"")</f>
        <v>0</v>
      </c>
      <c r="AK3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7" s="77"/>
      <c r="AM327" s="40" t="str">
        <f>IF(DaybyDay[[#This Row],[Admin Hours]]&gt;0,DaybyDay[[#This Row],[Admin Hours]]*$AM$2+$AM$3,"")</f>
        <v/>
      </c>
      <c r="AN327" s="40">
        <f>SUMIFS(DaybyDay[Est-Admin-Payroll],DaybyDay[Date],"&gt;="&amp;$C$5,DaybyDay[RowYear],"&gt;="&amp;$C$4,DaybyDay[Date],"&lt;="&amp;DaybyDay[[#This Row],[Date]])</f>
        <v>0</v>
      </c>
      <c r="AO327" s="41" t="str">
        <f>IF(AND(DaybyDay[[#This Row],[_Space]],ISNUMBER(DaybyDay[[#This Row],[Admin Hours]])),DaybyDay[[#This Row],[Est-Admin-Payroll]]/(DaybyDay[[#This Row],[Service-Actuals]]+DaybyDay[[#This Row],[Retail-Actuals]]),"")</f>
        <v/>
      </c>
      <c r="AP327" s="41" t="e">
        <f>DaybyDay[[#This Row],[Estimated-Payroll-Rollup]]/DaybyDay[[#This Row],[Simple-Forecast]]</f>
        <v>#DIV/0!</v>
      </c>
      <c r="AQ3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7" s="77"/>
      <c r="AS327" s="40" t="str">
        <f>IF(DaybyDay[[#This Row],[Retail Hours]]&gt;0,DaybyDay[[#This Row],[Retail Hours]]*$AS$2,"")</f>
        <v/>
      </c>
      <c r="AT327" s="40">
        <f>SUMIFS(DaybyDay[Est-Retail-Payroll],DaybyDay[Date],"&gt;="&amp;$C$5,DaybyDay[RowYear],"&gt;="&amp;$C$4,DaybyDay[Date],"&lt;="&amp;DaybyDay[[#This Row],[Date]])</f>
        <v>0</v>
      </c>
      <c r="AU327" s="82" t="str">
        <f>IF(AND(DaybyDay[[#This Row],[_Space]],ISNUMBER(DaybyDay[[#This Row],[Retail Hours]])),DaybyDay[[#This Row],[Est-Retail-Payroll]]/(DaybyDay[[#This Row],[Retail-Actuals]]),"")</f>
        <v/>
      </c>
      <c r="AV327" s="82" t="e">
        <f>DaybyDay[[#This Row],[Est-Retail-PayrollRU]]/DaybyDay[[#This Row],[Simple-Forecast-Retail]]</f>
        <v>#DIV/0!</v>
      </c>
      <c r="AW327" s="8"/>
    </row>
    <row r="328" spans="3:49" hidden="1" x14ac:dyDescent="0.25">
      <c r="C328" s="26" t="str">
        <f>Tools!$C$1</f>
        <v>Example</v>
      </c>
      <c r="D328" s="27" t="s">
        <v>78</v>
      </c>
      <c r="E328" s="28">
        <v>2017</v>
      </c>
      <c r="F328" s="28">
        <f>MATCH(DaybyDay[[#This Row],[RowMonth]],Table3[SummaryMonth],0)</f>
        <v>11</v>
      </c>
      <c r="G328" s="29" t="e">
        <f>MATCH(DaybyDay[[#This Row],[LY-Date]],DaybyDay[Date],0)</f>
        <v>#N/A</v>
      </c>
      <c r="H328" s="30">
        <f>WEEKDAY(DaybyDay[[#This Row],[Date]])</f>
        <v>7</v>
      </c>
      <c r="I328" s="31">
        <v>43057</v>
      </c>
      <c r="J328" s="74">
        <v>39</v>
      </c>
      <c r="K328" s="32">
        <f>SUMIFS(BudgetSeasonality[365 Seasonality],BudgetSeasonality[MonthAdjustment],DaybyDay[[#This Row],[Date]])*SUMIFS(Budgets[Service-Budget],Budgets[BudgetMonth],DaybyDay[[#This Row],[RowMonth]],Budgets[BudgetYear],DaybyDay[[#This Row],[RowYear]])</f>
        <v>0</v>
      </c>
      <c r="L328" s="75">
        <v>8693.2000000000007</v>
      </c>
      <c r="M328" s="32">
        <f>INDEX(BudgetSeasonality[365 Seasonality],MATCH(DaybyDay[[#This Row],[Date]],BudgetSeasonality[MonthAdjustment],0))*SUMIFS(Budgets[Retail-Budget],Budgets[BudgetMonth],DaybyDay[[#This Row],[RowMonth]],Budgets[BudgetYear],DaybyDay[[#This Row],[RowYear]])</f>
        <v>0</v>
      </c>
      <c r="N328" s="75">
        <v>3071.62</v>
      </c>
      <c r="O328" s="33">
        <f>SUMIFS(DaybyDay[Service-Budgets],DaybyDay[Date],"&gt;="&amp;$C$5,DaybyDay[RowYear],"&gt;="&amp;$C$4,DaybyDay[Date],"&lt;="&amp;DaybyDay[[#This Row],[Date]])</f>
        <v>0</v>
      </c>
      <c r="P328" s="33">
        <f>SUMIFS(DaybyDay[Retail-Budgets],DaybyDay[Date],"&gt;="&amp;$C$5,DaybyDay[RowYear],"&gt;="&amp;$C$4,DaybyDay[Date],"&lt;="&amp;DaybyDay[[#This Row],[Date]])</f>
        <v>0</v>
      </c>
      <c r="Q328" s="34">
        <f>SUMIFS(DaybyDay[Service-Actuals],DaybyDay[Date],"&gt;="&amp;$C$5,DaybyDay[RowYear],"&gt;="&amp;$C$4,DaybyDay[Date],"&lt;="&amp;DaybyDay[[#This Row],[Date]])</f>
        <v>0</v>
      </c>
      <c r="R328" s="34">
        <f>SUMIFS(DaybyDay[Retail-Actuals],DaybyDay[Date],"&gt;="&amp;$C$5,DaybyDay[RowYear],"&gt;="&amp;$C$4,DaybyDay[Date],"&lt;="&amp;DaybyDay[[#This Row],[Date]])</f>
        <v>0</v>
      </c>
      <c r="S328" s="35">
        <f>SUMIFS(DaybyDay[Service-LY],DaybyDay[Date],"&gt;="&amp;$C$5,DaybyDay[RowYear],"&gt;="&amp;$C$4,DaybyDay[Date],"&lt;="&amp;DaybyDay[[#This Row],[Date]])</f>
        <v>0</v>
      </c>
      <c r="T328" s="35">
        <f>SUMIFS(DaybyDay[Retail-LY],DaybyDay[Date],"&gt;="&amp;$C$5,DaybyDay[RowYear],"&gt;="&amp;$C$4,DaybyDay[Date],"&lt;="&amp;DaybyDay[[#This Row],[Date]])</f>
        <v>0</v>
      </c>
      <c r="U328" s="32">
        <f>DaybyDay[[#This Row],[Serv-Bud-RU]]+DaybyDay[[#This Row],[Ret-Bud-RU]]</f>
        <v>0</v>
      </c>
      <c r="V328" s="32">
        <f>DaybyDay[[#This Row],[Serv-Act-RU]]+DaybyDay[[#This Row],[Ret-Act-RU]]</f>
        <v>0</v>
      </c>
      <c r="W328" s="36">
        <f>IF(DaybyDay[[#This Row],[_Space]],IFERROR(
((DaybyDay[[#This Row],[Actual-Rollup]]-DaybyDay[[#This Row],[Budget-Rollup]])/DaybyDay[[#This Row],[Budget-Rollup]]),0),"")</f>
        <v>0</v>
      </c>
      <c r="X328" t="b">
        <f>NOT(AND(ISBLANK(DaybyDay[[#This Row],[Appts]]),ISBLANK(DaybyDay[[#This Row],[Service-Actuals]]),ISBLANK(DaybyDay[[#This Row],[Retail-Actuals]])))</f>
        <v>1</v>
      </c>
      <c r="Y328" s="36">
        <f>IF(DaybyDay[[#This Row],[_Space]],IFERROR(
((DaybyDay[[#This Row],[Actual-Rollup]]-DaybyDay[[#This Row],[LY-Rollup]])/DaybyDay[[#This Row],[LY-Rollup]]),0),"")</f>
        <v>0</v>
      </c>
      <c r="Z328"/>
      <c r="AA328" s="37" t="e">
        <f>IF(DaybyDay[[#This Row],[_Space]],DaybyDay[[#This Row],[Ret-Act-RU]]/DaybyDay[[#This Row],[Serv-Act-RU]],"")</f>
        <v>#DIV/0!</v>
      </c>
      <c r="AB328" s="50" t="e">
        <f>IF(DaybyDay[[#This Row],[_Space]],DaybyDay[[#This Row],[RETPEN-Act]]/DaybyDay[[#This Row],[RETPEN-Bud]],"")</f>
        <v>#DIV/0!</v>
      </c>
      <c r="AC328" s="37" t="e">
        <f>IF(DaybyDay[[#This Row],[_Space]],DaybyDay[[#This Row],[Ret-Bud-RU]]/DaybyDay[[#This Row],[Serv-Bud-RU]],"")</f>
        <v>#DIV/0!</v>
      </c>
      <c r="AD328" s="37" t="e">
        <f>IF(DaybyDay[[#This Row],[_Space]],DaybyDay[[#This Row],[Ret-LY-RU]]/DaybyDay[[#This Row],[Serv-LY-RU]],"")</f>
        <v>#DIV/0!</v>
      </c>
      <c r="AE328" s="30">
        <f>WEEKDAY(DaybyDay[[#This Row],[LY-Date]])</f>
        <v>7</v>
      </c>
      <c r="AF328" s="38">
        <f>$E$2+_xlfn.DAYS(DaybyDay[[#This Row],[Date]],minDate)</f>
        <v>42693</v>
      </c>
      <c r="AG328" s="39" t="str" cm="1">
        <f t="array" ref="AG328">IFERROR(INDEX(DaybyDay[],DaybyDay[[#This Row],[FORM_MATCH_HELPER]],8),"")</f>
        <v/>
      </c>
      <c r="AH328" s="39" t="str" cm="1">
        <f t="array" ref="AH328">IFERROR(INDEX(DaybyDay[],DaybyDay[[#This Row],[FORM_MATCH_HELPER]],10),"")</f>
        <v/>
      </c>
      <c r="AI328" s="39" t="str" cm="1">
        <f t="array" ref="AI328">IFERROR(INDEX(DaybyDay[],DaybyDay[[#This Row],[FORM_MATCH_HELPER]],12),"")</f>
        <v/>
      </c>
      <c r="AJ328" s="32">
        <f>IFERROR(DaybyDay[[#This Row],[Serv-LY-RU]]+DaybyDay[[#This Row],[Ret-LY-RU]],"")</f>
        <v>0</v>
      </c>
      <c r="AK3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8" s="77"/>
      <c r="AM328" s="40" t="str">
        <f>IF(DaybyDay[[#This Row],[Admin Hours]]&gt;0,DaybyDay[[#This Row],[Admin Hours]]*$AM$2+$AM$3,"")</f>
        <v/>
      </c>
      <c r="AN328" s="40">
        <f>SUMIFS(DaybyDay[Est-Admin-Payroll],DaybyDay[Date],"&gt;="&amp;$C$5,DaybyDay[RowYear],"&gt;="&amp;$C$4,DaybyDay[Date],"&lt;="&amp;DaybyDay[[#This Row],[Date]])</f>
        <v>0</v>
      </c>
      <c r="AO328" s="41" t="str">
        <f>IF(AND(DaybyDay[[#This Row],[_Space]],ISNUMBER(DaybyDay[[#This Row],[Admin Hours]])),DaybyDay[[#This Row],[Est-Admin-Payroll]]/(DaybyDay[[#This Row],[Service-Actuals]]+DaybyDay[[#This Row],[Retail-Actuals]]),"")</f>
        <v/>
      </c>
      <c r="AP328" s="41" t="e">
        <f>DaybyDay[[#This Row],[Estimated-Payroll-Rollup]]/DaybyDay[[#This Row],[Simple-Forecast]]</f>
        <v>#DIV/0!</v>
      </c>
      <c r="AQ3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8" s="77"/>
      <c r="AS328" s="40" t="str">
        <f>IF(DaybyDay[[#This Row],[Retail Hours]]&gt;0,DaybyDay[[#This Row],[Retail Hours]]*$AS$2,"")</f>
        <v/>
      </c>
      <c r="AT328" s="40">
        <f>SUMIFS(DaybyDay[Est-Retail-Payroll],DaybyDay[Date],"&gt;="&amp;$C$5,DaybyDay[RowYear],"&gt;="&amp;$C$4,DaybyDay[Date],"&lt;="&amp;DaybyDay[[#This Row],[Date]])</f>
        <v>0</v>
      </c>
      <c r="AU328" s="82" t="str">
        <f>IF(AND(DaybyDay[[#This Row],[_Space]],ISNUMBER(DaybyDay[[#This Row],[Retail Hours]])),DaybyDay[[#This Row],[Est-Retail-Payroll]]/(DaybyDay[[#This Row],[Retail-Actuals]]),"")</f>
        <v/>
      </c>
      <c r="AV328" s="82" t="e">
        <f>DaybyDay[[#This Row],[Est-Retail-PayrollRU]]/DaybyDay[[#This Row],[Simple-Forecast-Retail]]</f>
        <v>#DIV/0!</v>
      </c>
      <c r="AW328" s="8"/>
    </row>
    <row r="329" spans="3:49" hidden="1" x14ac:dyDescent="0.25">
      <c r="C329" s="26" t="str">
        <f>Tools!$C$1</f>
        <v>Example</v>
      </c>
      <c r="D329" s="27" t="s">
        <v>78</v>
      </c>
      <c r="E329" s="28">
        <v>2017</v>
      </c>
      <c r="F329" s="28">
        <f>MATCH(DaybyDay[[#This Row],[RowMonth]],Table3[SummaryMonth],0)</f>
        <v>11</v>
      </c>
      <c r="G329" s="29" t="e">
        <f>MATCH(DaybyDay[[#This Row],[LY-Date]],DaybyDay[Date],0)</f>
        <v>#N/A</v>
      </c>
      <c r="H329" s="30">
        <f>WEEKDAY(DaybyDay[[#This Row],[Date]])</f>
        <v>1</v>
      </c>
      <c r="I329" s="31">
        <v>43058</v>
      </c>
      <c r="J329" s="74">
        <v>32</v>
      </c>
      <c r="K329" s="32">
        <f>SUMIFS(BudgetSeasonality[365 Seasonality],BudgetSeasonality[MonthAdjustment],DaybyDay[[#This Row],[Date]])*SUMIFS(Budgets[Service-Budget],Budgets[BudgetMonth],DaybyDay[[#This Row],[RowMonth]],Budgets[BudgetYear],DaybyDay[[#This Row],[RowYear]])</f>
        <v>0</v>
      </c>
      <c r="L329" s="75">
        <v>6701.8</v>
      </c>
      <c r="M329" s="32">
        <f>INDEX(BudgetSeasonality[365 Seasonality],MATCH(DaybyDay[[#This Row],[Date]],BudgetSeasonality[MonthAdjustment],0))*SUMIFS(Budgets[Retail-Budget],Budgets[BudgetMonth],DaybyDay[[#This Row],[RowMonth]],Budgets[BudgetYear],DaybyDay[[#This Row],[RowYear]])</f>
        <v>0</v>
      </c>
      <c r="N329" s="75">
        <v>448</v>
      </c>
      <c r="O329" s="33">
        <f>SUMIFS(DaybyDay[Service-Budgets],DaybyDay[Date],"&gt;="&amp;$C$5,DaybyDay[RowYear],"&gt;="&amp;$C$4,DaybyDay[Date],"&lt;="&amp;DaybyDay[[#This Row],[Date]])</f>
        <v>0</v>
      </c>
      <c r="P329" s="33">
        <f>SUMIFS(DaybyDay[Retail-Budgets],DaybyDay[Date],"&gt;="&amp;$C$5,DaybyDay[RowYear],"&gt;="&amp;$C$4,DaybyDay[Date],"&lt;="&amp;DaybyDay[[#This Row],[Date]])</f>
        <v>0</v>
      </c>
      <c r="Q329" s="34">
        <f>SUMIFS(DaybyDay[Service-Actuals],DaybyDay[Date],"&gt;="&amp;$C$5,DaybyDay[RowYear],"&gt;="&amp;$C$4,DaybyDay[Date],"&lt;="&amp;DaybyDay[[#This Row],[Date]])</f>
        <v>0</v>
      </c>
      <c r="R329" s="34">
        <f>SUMIFS(DaybyDay[Retail-Actuals],DaybyDay[Date],"&gt;="&amp;$C$5,DaybyDay[RowYear],"&gt;="&amp;$C$4,DaybyDay[Date],"&lt;="&amp;DaybyDay[[#This Row],[Date]])</f>
        <v>0</v>
      </c>
      <c r="S329" s="35">
        <f>SUMIFS(DaybyDay[Service-LY],DaybyDay[Date],"&gt;="&amp;$C$5,DaybyDay[RowYear],"&gt;="&amp;$C$4,DaybyDay[Date],"&lt;="&amp;DaybyDay[[#This Row],[Date]])</f>
        <v>0</v>
      </c>
      <c r="T329" s="35">
        <f>SUMIFS(DaybyDay[Retail-LY],DaybyDay[Date],"&gt;="&amp;$C$5,DaybyDay[RowYear],"&gt;="&amp;$C$4,DaybyDay[Date],"&lt;="&amp;DaybyDay[[#This Row],[Date]])</f>
        <v>0</v>
      </c>
      <c r="U329" s="32">
        <f>DaybyDay[[#This Row],[Serv-Bud-RU]]+DaybyDay[[#This Row],[Ret-Bud-RU]]</f>
        <v>0</v>
      </c>
      <c r="V329" s="32">
        <f>DaybyDay[[#This Row],[Serv-Act-RU]]+DaybyDay[[#This Row],[Ret-Act-RU]]</f>
        <v>0</v>
      </c>
      <c r="W329" s="36">
        <f>IF(DaybyDay[[#This Row],[_Space]],IFERROR(
((DaybyDay[[#This Row],[Actual-Rollup]]-DaybyDay[[#This Row],[Budget-Rollup]])/DaybyDay[[#This Row],[Budget-Rollup]]),0),"")</f>
        <v>0</v>
      </c>
      <c r="X329" t="b">
        <f>NOT(AND(ISBLANK(DaybyDay[[#This Row],[Appts]]),ISBLANK(DaybyDay[[#This Row],[Service-Actuals]]),ISBLANK(DaybyDay[[#This Row],[Retail-Actuals]])))</f>
        <v>1</v>
      </c>
      <c r="Y329" s="36">
        <f>IF(DaybyDay[[#This Row],[_Space]],IFERROR(
((DaybyDay[[#This Row],[Actual-Rollup]]-DaybyDay[[#This Row],[LY-Rollup]])/DaybyDay[[#This Row],[LY-Rollup]]),0),"")</f>
        <v>0</v>
      </c>
      <c r="Z329"/>
      <c r="AA329" s="37" t="e">
        <f>IF(DaybyDay[[#This Row],[_Space]],DaybyDay[[#This Row],[Ret-Act-RU]]/DaybyDay[[#This Row],[Serv-Act-RU]],"")</f>
        <v>#DIV/0!</v>
      </c>
      <c r="AB329" s="50" t="e">
        <f>IF(DaybyDay[[#This Row],[_Space]],DaybyDay[[#This Row],[RETPEN-Act]]/DaybyDay[[#This Row],[RETPEN-Bud]],"")</f>
        <v>#DIV/0!</v>
      </c>
      <c r="AC329" s="37" t="e">
        <f>IF(DaybyDay[[#This Row],[_Space]],DaybyDay[[#This Row],[Ret-Bud-RU]]/DaybyDay[[#This Row],[Serv-Bud-RU]],"")</f>
        <v>#DIV/0!</v>
      </c>
      <c r="AD329" s="37" t="e">
        <f>IF(DaybyDay[[#This Row],[_Space]],DaybyDay[[#This Row],[Ret-LY-RU]]/DaybyDay[[#This Row],[Serv-LY-RU]],"")</f>
        <v>#DIV/0!</v>
      </c>
      <c r="AE329" s="30">
        <f>WEEKDAY(DaybyDay[[#This Row],[LY-Date]])</f>
        <v>1</v>
      </c>
      <c r="AF329" s="38">
        <f>$E$2+_xlfn.DAYS(DaybyDay[[#This Row],[Date]],minDate)</f>
        <v>42694</v>
      </c>
      <c r="AG329" s="39" t="str" cm="1">
        <f t="array" ref="AG329">IFERROR(INDEX(DaybyDay[],DaybyDay[[#This Row],[FORM_MATCH_HELPER]],8),"")</f>
        <v/>
      </c>
      <c r="AH329" s="39" t="str" cm="1">
        <f t="array" ref="AH329">IFERROR(INDEX(DaybyDay[],DaybyDay[[#This Row],[FORM_MATCH_HELPER]],10),"")</f>
        <v/>
      </c>
      <c r="AI329" s="39" t="str" cm="1">
        <f t="array" ref="AI329">IFERROR(INDEX(DaybyDay[],DaybyDay[[#This Row],[FORM_MATCH_HELPER]],12),"")</f>
        <v/>
      </c>
      <c r="AJ329" s="32">
        <f>IFERROR(DaybyDay[[#This Row],[Serv-LY-RU]]+DaybyDay[[#This Row],[Ret-LY-RU]],"")</f>
        <v>0</v>
      </c>
      <c r="AK3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29" s="77"/>
      <c r="AM329" s="40" t="str">
        <f>IF(DaybyDay[[#This Row],[Admin Hours]]&gt;0,DaybyDay[[#This Row],[Admin Hours]]*$AM$2+$AM$3,"")</f>
        <v/>
      </c>
      <c r="AN329" s="40">
        <f>SUMIFS(DaybyDay[Est-Admin-Payroll],DaybyDay[Date],"&gt;="&amp;$C$5,DaybyDay[RowYear],"&gt;="&amp;$C$4,DaybyDay[Date],"&lt;="&amp;DaybyDay[[#This Row],[Date]])</f>
        <v>0</v>
      </c>
      <c r="AO329" s="41" t="str">
        <f>IF(AND(DaybyDay[[#This Row],[_Space]],ISNUMBER(DaybyDay[[#This Row],[Admin Hours]])),DaybyDay[[#This Row],[Est-Admin-Payroll]]/(DaybyDay[[#This Row],[Service-Actuals]]+DaybyDay[[#This Row],[Retail-Actuals]]),"")</f>
        <v/>
      </c>
      <c r="AP329" s="41" t="e">
        <f>DaybyDay[[#This Row],[Estimated-Payroll-Rollup]]/DaybyDay[[#This Row],[Simple-Forecast]]</f>
        <v>#DIV/0!</v>
      </c>
      <c r="AQ3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29" s="77"/>
      <c r="AS329" s="40" t="str">
        <f>IF(DaybyDay[[#This Row],[Retail Hours]]&gt;0,DaybyDay[[#This Row],[Retail Hours]]*$AS$2,"")</f>
        <v/>
      </c>
      <c r="AT329" s="40">
        <f>SUMIFS(DaybyDay[Est-Retail-Payroll],DaybyDay[Date],"&gt;="&amp;$C$5,DaybyDay[RowYear],"&gt;="&amp;$C$4,DaybyDay[Date],"&lt;="&amp;DaybyDay[[#This Row],[Date]])</f>
        <v>0</v>
      </c>
      <c r="AU329" s="82" t="str">
        <f>IF(AND(DaybyDay[[#This Row],[_Space]],ISNUMBER(DaybyDay[[#This Row],[Retail Hours]])),DaybyDay[[#This Row],[Est-Retail-Payroll]]/(DaybyDay[[#This Row],[Retail-Actuals]]),"")</f>
        <v/>
      </c>
      <c r="AV329" s="82" t="e">
        <f>DaybyDay[[#This Row],[Est-Retail-PayrollRU]]/DaybyDay[[#This Row],[Simple-Forecast-Retail]]</f>
        <v>#DIV/0!</v>
      </c>
      <c r="AW329" s="8"/>
    </row>
    <row r="330" spans="3:49" hidden="1" x14ac:dyDescent="0.25">
      <c r="C330" s="26" t="str">
        <f>Tools!$C$1</f>
        <v>Example</v>
      </c>
      <c r="D330" s="27" t="s">
        <v>78</v>
      </c>
      <c r="E330" s="28">
        <v>2017</v>
      </c>
      <c r="F330" s="28">
        <f>MATCH(DaybyDay[[#This Row],[RowMonth]],Table3[SummaryMonth],0)</f>
        <v>11</v>
      </c>
      <c r="G330" s="29" t="e">
        <f>MATCH(DaybyDay[[#This Row],[LY-Date]],DaybyDay[Date],0)</f>
        <v>#N/A</v>
      </c>
      <c r="H330" s="30">
        <f>WEEKDAY(DaybyDay[[#This Row],[Date]])</f>
        <v>2</v>
      </c>
      <c r="I330" s="31">
        <v>43059</v>
      </c>
      <c r="J330" s="74">
        <v>12</v>
      </c>
      <c r="K330" s="32">
        <f>SUMIFS(BudgetSeasonality[365 Seasonality],BudgetSeasonality[MonthAdjustment],DaybyDay[[#This Row],[Date]])*SUMIFS(Budgets[Service-Budget],Budgets[BudgetMonth],DaybyDay[[#This Row],[RowMonth]],Budgets[BudgetYear],DaybyDay[[#This Row],[RowYear]])</f>
        <v>0</v>
      </c>
      <c r="L330" s="75">
        <v>3081.4</v>
      </c>
      <c r="M330" s="32">
        <f>INDEX(BudgetSeasonality[365 Seasonality],MATCH(DaybyDay[[#This Row],[Date]],BudgetSeasonality[MonthAdjustment],0))*SUMIFS(Budgets[Retail-Budget],Budgets[BudgetMonth],DaybyDay[[#This Row],[RowMonth]],Budgets[BudgetYear],DaybyDay[[#This Row],[RowYear]])</f>
        <v>0</v>
      </c>
      <c r="N330" s="75">
        <v>536.1</v>
      </c>
      <c r="O330" s="33">
        <f>SUMIFS(DaybyDay[Service-Budgets],DaybyDay[Date],"&gt;="&amp;$C$5,DaybyDay[RowYear],"&gt;="&amp;$C$4,DaybyDay[Date],"&lt;="&amp;DaybyDay[[#This Row],[Date]])</f>
        <v>0</v>
      </c>
      <c r="P330" s="33">
        <f>SUMIFS(DaybyDay[Retail-Budgets],DaybyDay[Date],"&gt;="&amp;$C$5,DaybyDay[RowYear],"&gt;="&amp;$C$4,DaybyDay[Date],"&lt;="&amp;DaybyDay[[#This Row],[Date]])</f>
        <v>0</v>
      </c>
      <c r="Q330" s="34">
        <f>SUMIFS(DaybyDay[Service-Actuals],DaybyDay[Date],"&gt;="&amp;$C$5,DaybyDay[RowYear],"&gt;="&amp;$C$4,DaybyDay[Date],"&lt;="&amp;DaybyDay[[#This Row],[Date]])</f>
        <v>0</v>
      </c>
      <c r="R330" s="34">
        <f>SUMIFS(DaybyDay[Retail-Actuals],DaybyDay[Date],"&gt;="&amp;$C$5,DaybyDay[RowYear],"&gt;="&amp;$C$4,DaybyDay[Date],"&lt;="&amp;DaybyDay[[#This Row],[Date]])</f>
        <v>0</v>
      </c>
      <c r="S330" s="35">
        <f>SUMIFS(DaybyDay[Service-LY],DaybyDay[Date],"&gt;="&amp;$C$5,DaybyDay[RowYear],"&gt;="&amp;$C$4,DaybyDay[Date],"&lt;="&amp;DaybyDay[[#This Row],[Date]])</f>
        <v>0</v>
      </c>
      <c r="T330" s="35">
        <f>SUMIFS(DaybyDay[Retail-LY],DaybyDay[Date],"&gt;="&amp;$C$5,DaybyDay[RowYear],"&gt;="&amp;$C$4,DaybyDay[Date],"&lt;="&amp;DaybyDay[[#This Row],[Date]])</f>
        <v>0</v>
      </c>
      <c r="U330" s="32">
        <f>DaybyDay[[#This Row],[Serv-Bud-RU]]+DaybyDay[[#This Row],[Ret-Bud-RU]]</f>
        <v>0</v>
      </c>
      <c r="V330" s="32">
        <f>DaybyDay[[#This Row],[Serv-Act-RU]]+DaybyDay[[#This Row],[Ret-Act-RU]]</f>
        <v>0</v>
      </c>
      <c r="W330" s="36">
        <f>IF(DaybyDay[[#This Row],[_Space]],IFERROR(
((DaybyDay[[#This Row],[Actual-Rollup]]-DaybyDay[[#This Row],[Budget-Rollup]])/DaybyDay[[#This Row],[Budget-Rollup]]),0),"")</f>
        <v>0</v>
      </c>
      <c r="X330" t="b">
        <f>NOT(AND(ISBLANK(DaybyDay[[#This Row],[Appts]]),ISBLANK(DaybyDay[[#This Row],[Service-Actuals]]),ISBLANK(DaybyDay[[#This Row],[Retail-Actuals]])))</f>
        <v>1</v>
      </c>
      <c r="Y330" s="36">
        <f>IF(DaybyDay[[#This Row],[_Space]],IFERROR(
((DaybyDay[[#This Row],[Actual-Rollup]]-DaybyDay[[#This Row],[LY-Rollup]])/DaybyDay[[#This Row],[LY-Rollup]]),0),"")</f>
        <v>0</v>
      </c>
      <c r="Z330"/>
      <c r="AA330" s="37" t="e">
        <f>IF(DaybyDay[[#This Row],[_Space]],DaybyDay[[#This Row],[Ret-Act-RU]]/DaybyDay[[#This Row],[Serv-Act-RU]],"")</f>
        <v>#DIV/0!</v>
      </c>
      <c r="AB330" s="50" t="e">
        <f>IF(DaybyDay[[#This Row],[_Space]],DaybyDay[[#This Row],[RETPEN-Act]]/DaybyDay[[#This Row],[RETPEN-Bud]],"")</f>
        <v>#DIV/0!</v>
      </c>
      <c r="AC330" s="37" t="e">
        <f>IF(DaybyDay[[#This Row],[_Space]],DaybyDay[[#This Row],[Ret-Bud-RU]]/DaybyDay[[#This Row],[Serv-Bud-RU]],"")</f>
        <v>#DIV/0!</v>
      </c>
      <c r="AD330" s="37" t="e">
        <f>IF(DaybyDay[[#This Row],[_Space]],DaybyDay[[#This Row],[Ret-LY-RU]]/DaybyDay[[#This Row],[Serv-LY-RU]],"")</f>
        <v>#DIV/0!</v>
      </c>
      <c r="AE330" s="30">
        <f>WEEKDAY(DaybyDay[[#This Row],[LY-Date]])</f>
        <v>2</v>
      </c>
      <c r="AF330" s="38">
        <f>$E$2+_xlfn.DAYS(DaybyDay[[#This Row],[Date]],minDate)</f>
        <v>42695</v>
      </c>
      <c r="AG330" s="39" t="str" cm="1">
        <f t="array" ref="AG330">IFERROR(INDEX(DaybyDay[],DaybyDay[[#This Row],[FORM_MATCH_HELPER]],8),"")</f>
        <v/>
      </c>
      <c r="AH330" s="39" t="str" cm="1">
        <f t="array" ref="AH330">IFERROR(INDEX(DaybyDay[],DaybyDay[[#This Row],[FORM_MATCH_HELPER]],10),"")</f>
        <v/>
      </c>
      <c r="AI330" s="39" t="str" cm="1">
        <f t="array" ref="AI330">IFERROR(INDEX(DaybyDay[],DaybyDay[[#This Row],[FORM_MATCH_HELPER]],12),"")</f>
        <v/>
      </c>
      <c r="AJ330" s="32">
        <f>IFERROR(DaybyDay[[#This Row],[Serv-LY-RU]]+DaybyDay[[#This Row],[Ret-LY-RU]],"")</f>
        <v>0</v>
      </c>
      <c r="AK3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0" s="77"/>
      <c r="AM330" s="40" t="str">
        <f>IF(DaybyDay[[#This Row],[Admin Hours]]&gt;0,DaybyDay[[#This Row],[Admin Hours]]*$AM$2+$AM$3,"")</f>
        <v/>
      </c>
      <c r="AN330" s="40">
        <f>SUMIFS(DaybyDay[Est-Admin-Payroll],DaybyDay[Date],"&gt;="&amp;$C$5,DaybyDay[RowYear],"&gt;="&amp;$C$4,DaybyDay[Date],"&lt;="&amp;DaybyDay[[#This Row],[Date]])</f>
        <v>0</v>
      </c>
      <c r="AO330" s="41" t="str">
        <f>IF(AND(DaybyDay[[#This Row],[_Space]],ISNUMBER(DaybyDay[[#This Row],[Admin Hours]])),DaybyDay[[#This Row],[Est-Admin-Payroll]]/(DaybyDay[[#This Row],[Service-Actuals]]+DaybyDay[[#This Row],[Retail-Actuals]]),"")</f>
        <v/>
      </c>
      <c r="AP330" s="41" t="e">
        <f>DaybyDay[[#This Row],[Estimated-Payroll-Rollup]]/DaybyDay[[#This Row],[Simple-Forecast]]</f>
        <v>#DIV/0!</v>
      </c>
      <c r="AQ3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0" s="77"/>
      <c r="AS330" s="40" t="str">
        <f>IF(DaybyDay[[#This Row],[Retail Hours]]&gt;0,DaybyDay[[#This Row],[Retail Hours]]*$AS$2,"")</f>
        <v/>
      </c>
      <c r="AT330" s="40">
        <f>SUMIFS(DaybyDay[Est-Retail-Payroll],DaybyDay[Date],"&gt;="&amp;$C$5,DaybyDay[RowYear],"&gt;="&amp;$C$4,DaybyDay[Date],"&lt;="&amp;DaybyDay[[#This Row],[Date]])</f>
        <v>0</v>
      </c>
      <c r="AU330" s="82" t="str">
        <f>IF(AND(DaybyDay[[#This Row],[_Space]],ISNUMBER(DaybyDay[[#This Row],[Retail Hours]])),DaybyDay[[#This Row],[Est-Retail-Payroll]]/(DaybyDay[[#This Row],[Retail-Actuals]]),"")</f>
        <v/>
      </c>
      <c r="AV330" s="82" t="e">
        <f>DaybyDay[[#This Row],[Est-Retail-PayrollRU]]/DaybyDay[[#This Row],[Simple-Forecast-Retail]]</f>
        <v>#DIV/0!</v>
      </c>
      <c r="AW330" s="8"/>
    </row>
    <row r="331" spans="3:49" hidden="1" x14ac:dyDescent="0.25">
      <c r="C331" s="26" t="str">
        <f>Tools!$C$1</f>
        <v>Example</v>
      </c>
      <c r="D331" s="27" t="s">
        <v>78</v>
      </c>
      <c r="E331" s="28">
        <v>2017</v>
      </c>
      <c r="F331" s="28">
        <f>MATCH(DaybyDay[[#This Row],[RowMonth]],Table3[SummaryMonth],0)</f>
        <v>11</v>
      </c>
      <c r="G331" s="29" t="e">
        <f>MATCH(DaybyDay[[#This Row],[LY-Date]],DaybyDay[Date],0)</f>
        <v>#N/A</v>
      </c>
      <c r="H331" s="30">
        <f>WEEKDAY(DaybyDay[[#This Row],[Date]])</f>
        <v>3</v>
      </c>
      <c r="I331" s="31">
        <v>43060</v>
      </c>
      <c r="J331" s="74">
        <v>19</v>
      </c>
      <c r="K331" s="32">
        <f>SUMIFS(BudgetSeasonality[365 Seasonality],BudgetSeasonality[MonthAdjustment],DaybyDay[[#This Row],[Date]])*SUMIFS(Budgets[Service-Budget],Budgets[BudgetMonth],DaybyDay[[#This Row],[RowMonth]],Budgets[BudgetYear],DaybyDay[[#This Row],[RowYear]])</f>
        <v>0</v>
      </c>
      <c r="L331" s="75">
        <v>2914.89</v>
      </c>
      <c r="M331" s="32">
        <f>INDEX(BudgetSeasonality[365 Seasonality],MATCH(DaybyDay[[#This Row],[Date]],BudgetSeasonality[MonthAdjustment],0))*SUMIFS(Budgets[Retail-Budget],Budgets[BudgetMonth],DaybyDay[[#This Row],[RowMonth]],Budgets[BudgetYear],DaybyDay[[#This Row],[RowYear]])</f>
        <v>0</v>
      </c>
      <c r="N331" s="75">
        <v>-31.62</v>
      </c>
      <c r="O331" s="33">
        <f>SUMIFS(DaybyDay[Service-Budgets],DaybyDay[Date],"&gt;="&amp;$C$5,DaybyDay[RowYear],"&gt;="&amp;$C$4,DaybyDay[Date],"&lt;="&amp;DaybyDay[[#This Row],[Date]])</f>
        <v>0</v>
      </c>
      <c r="P331" s="33">
        <f>SUMIFS(DaybyDay[Retail-Budgets],DaybyDay[Date],"&gt;="&amp;$C$5,DaybyDay[RowYear],"&gt;="&amp;$C$4,DaybyDay[Date],"&lt;="&amp;DaybyDay[[#This Row],[Date]])</f>
        <v>0</v>
      </c>
      <c r="Q331" s="34">
        <f>SUMIFS(DaybyDay[Service-Actuals],DaybyDay[Date],"&gt;="&amp;$C$5,DaybyDay[RowYear],"&gt;="&amp;$C$4,DaybyDay[Date],"&lt;="&amp;DaybyDay[[#This Row],[Date]])</f>
        <v>0</v>
      </c>
      <c r="R331" s="34">
        <f>SUMIFS(DaybyDay[Retail-Actuals],DaybyDay[Date],"&gt;="&amp;$C$5,DaybyDay[RowYear],"&gt;="&amp;$C$4,DaybyDay[Date],"&lt;="&amp;DaybyDay[[#This Row],[Date]])</f>
        <v>0</v>
      </c>
      <c r="S331" s="35">
        <f>SUMIFS(DaybyDay[Service-LY],DaybyDay[Date],"&gt;="&amp;$C$5,DaybyDay[RowYear],"&gt;="&amp;$C$4,DaybyDay[Date],"&lt;="&amp;DaybyDay[[#This Row],[Date]])</f>
        <v>0</v>
      </c>
      <c r="T331" s="35">
        <f>SUMIFS(DaybyDay[Retail-LY],DaybyDay[Date],"&gt;="&amp;$C$5,DaybyDay[RowYear],"&gt;="&amp;$C$4,DaybyDay[Date],"&lt;="&amp;DaybyDay[[#This Row],[Date]])</f>
        <v>0</v>
      </c>
      <c r="U331" s="32">
        <f>DaybyDay[[#This Row],[Serv-Bud-RU]]+DaybyDay[[#This Row],[Ret-Bud-RU]]</f>
        <v>0</v>
      </c>
      <c r="V331" s="32">
        <f>DaybyDay[[#This Row],[Serv-Act-RU]]+DaybyDay[[#This Row],[Ret-Act-RU]]</f>
        <v>0</v>
      </c>
      <c r="W331" s="36">
        <f>IF(DaybyDay[[#This Row],[_Space]],IFERROR(
((DaybyDay[[#This Row],[Actual-Rollup]]-DaybyDay[[#This Row],[Budget-Rollup]])/DaybyDay[[#This Row],[Budget-Rollup]]),0),"")</f>
        <v>0</v>
      </c>
      <c r="X331" t="b">
        <f>NOT(AND(ISBLANK(DaybyDay[[#This Row],[Appts]]),ISBLANK(DaybyDay[[#This Row],[Service-Actuals]]),ISBLANK(DaybyDay[[#This Row],[Retail-Actuals]])))</f>
        <v>1</v>
      </c>
      <c r="Y331" s="36">
        <f>IF(DaybyDay[[#This Row],[_Space]],IFERROR(
((DaybyDay[[#This Row],[Actual-Rollup]]-DaybyDay[[#This Row],[LY-Rollup]])/DaybyDay[[#This Row],[LY-Rollup]]),0),"")</f>
        <v>0</v>
      </c>
      <c r="Z331"/>
      <c r="AA331" s="37" t="e">
        <f>IF(DaybyDay[[#This Row],[_Space]],DaybyDay[[#This Row],[Ret-Act-RU]]/DaybyDay[[#This Row],[Serv-Act-RU]],"")</f>
        <v>#DIV/0!</v>
      </c>
      <c r="AB331" s="50" t="e">
        <f>IF(DaybyDay[[#This Row],[_Space]],DaybyDay[[#This Row],[RETPEN-Act]]/DaybyDay[[#This Row],[RETPEN-Bud]],"")</f>
        <v>#DIV/0!</v>
      </c>
      <c r="AC331" s="37" t="e">
        <f>IF(DaybyDay[[#This Row],[_Space]],DaybyDay[[#This Row],[Ret-Bud-RU]]/DaybyDay[[#This Row],[Serv-Bud-RU]],"")</f>
        <v>#DIV/0!</v>
      </c>
      <c r="AD331" s="37" t="e">
        <f>IF(DaybyDay[[#This Row],[_Space]],DaybyDay[[#This Row],[Ret-LY-RU]]/DaybyDay[[#This Row],[Serv-LY-RU]],"")</f>
        <v>#DIV/0!</v>
      </c>
      <c r="AE331" s="30">
        <f>WEEKDAY(DaybyDay[[#This Row],[LY-Date]])</f>
        <v>3</v>
      </c>
      <c r="AF331" s="38">
        <f>$E$2+_xlfn.DAYS(DaybyDay[[#This Row],[Date]],minDate)</f>
        <v>42696</v>
      </c>
      <c r="AG331" s="39" t="str" cm="1">
        <f t="array" ref="AG331">IFERROR(INDEX(DaybyDay[],DaybyDay[[#This Row],[FORM_MATCH_HELPER]],8),"")</f>
        <v/>
      </c>
      <c r="AH331" s="39" t="str" cm="1">
        <f t="array" ref="AH331">IFERROR(INDEX(DaybyDay[],DaybyDay[[#This Row],[FORM_MATCH_HELPER]],10),"")</f>
        <v/>
      </c>
      <c r="AI331" s="39" t="str" cm="1">
        <f t="array" ref="AI331">IFERROR(INDEX(DaybyDay[],DaybyDay[[#This Row],[FORM_MATCH_HELPER]],12),"")</f>
        <v/>
      </c>
      <c r="AJ331" s="32">
        <f>IFERROR(DaybyDay[[#This Row],[Serv-LY-RU]]+DaybyDay[[#This Row],[Ret-LY-RU]],"")</f>
        <v>0</v>
      </c>
      <c r="AK3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1" s="77"/>
      <c r="AM331" s="40" t="str">
        <f>IF(DaybyDay[[#This Row],[Admin Hours]]&gt;0,DaybyDay[[#This Row],[Admin Hours]]*$AM$2+$AM$3,"")</f>
        <v/>
      </c>
      <c r="AN331" s="40">
        <f>SUMIFS(DaybyDay[Est-Admin-Payroll],DaybyDay[Date],"&gt;="&amp;$C$5,DaybyDay[RowYear],"&gt;="&amp;$C$4,DaybyDay[Date],"&lt;="&amp;DaybyDay[[#This Row],[Date]])</f>
        <v>0</v>
      </c>
      <c r="AO331" s="41" t="str">
        <f>IF(AND(DaybyDay[[#This Row],[_Space]],ISNUMBER(DaybyDay[[#This Row],[Admin Hours]])),DaybyDay[[#This Row],[Est-Admin-Payroll]]/(DaybyDay[[#This Row],[Service-Actuals]]+DaybyDay[[#This Row],[Retail-Actuals]]),"")</f>
        <v/>
      </c>
      <c r="AP331" s="41" t="e">
        <f>DaybyDay[[#This Row],[Estimated-Payroll-Rollup]]/DaybyDay[[#This Row],[Simple-Forecast]]</f>
        <v>#DIV/0!</v>
      </c>
      <c r="AQ3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1" s="77"/>
      <c r="AS331" s="40" t="str">
        <f>IF(DaybyDay[[#This Row],[Retail Hours]]&gt;0,DaybyDay[[#This Row],[Retail Hours]]*$AS$2,"")</f>
        <v/>
      </c>
      <c r="AT331" s="40">
        <f>SUMIFS(DaybyDay[Est-Retail-Payroll],DaybyDay[Date],"&gt;="&amp;$C$5,DaybyDay[RowYear],"&gt;="&amp;$C$4,DaybyDay[Date],"&lt;="&amp;DaybyDay[[#This Row],[Date]])</f>
        <v>0</v>
      </c>
      <c r="AU331" s="82" t="str">
        <f>IF(AND(DaybyDay[[#This Row],[_Space]],ISNUMBER(DaybyDay[[#This Row],[Retail Hours]])),DaybyDay[[#This Row],[Est-Retail-Payroll]]/(DaybyDay[[#This Row],[Retail-Actuals]]),"")</f>
        <v/>
      </c>
      <c r="AV331" s="82" t="e">
        <f>DaybyDay[[#This Row],[Est-Retail-PayrollRU]]/DaybyDay[[#This Row],[Simple-Forecast-Retail]]</f>
        <v>#DIV/0!</v>
      </c>
      <c r="AW331" s="8"/>
    </row>
    <row r="332" spans="3:49" hidden="1" x14ac:dyDescent="0.25">
      <c r="C332" s="26" t="str">
        <f>Tools!$C$1</f>
        <v>Example</v>
      </c>
      <c r="D332" s="27" t="s">
        <v>78</v>
      </c>
      <c r="E332" s="28">
        <v>2017</v>
      </c>
      <c r="F332" s="28">
        <f>MATCH(DaybyDay[[#This Row],[RowMonth]],Table3[SummaryMonth],0)</f>
        <v>11</v>
      </c>
      <c r="G332" s="29" t="e">
        <f>MATCH(DaybyDay[[#This Row],[LY-Date]],DaybyDay[Date],0)</f>
        <v>#N/A</v>
      </c>
      <c r="H332" s="30">
        <f>WEEKDAY(DaybyDay[[#This Row],[Date]])</f>
        <v>4</v>
      </c>
      <c r="I332" s="31">
        <v>43061</v>
      </c>
      <c r="J332" s="74">
        <v>20</v>
      </c>
      <c r="K332" s="32">
        <f>SUMIFS(BudgetSeasonality[365 Seasonality],BudgetSeasonality[MonthAdjustment],DaybyDay[[#This Row],[Date]])*SUMIFS(Budgets[Service-Budget],Budgets[BudgetMonth],DaybyDay[[#This Row],[RowMonth]],Budgets[BudgetYear],DaybyDay[[#This Row],[RowYear]])</f>
        <v>0</v>
      </c>
      <c r="L332" s="75">
        <v>4503.6000000000004</v>
      </c>
      <c r="M332" s="32">
        <f>INDEX(BudgetSeasonality[365 Seasonality],MATCH(DaybyDay[[#This Row],[Date]],BudgetSeasonality[MonthAdjustment],0))*SUMIFS(Budgets[Retail-Budget],Budgets[BudgetMonth],DaybyDay[[#This Row],[RowMonth]],Budgets[BudgetYear],DaybyDay[[#This Row],[RowYear]])</f>
        <v>0</v>
      </c>
      <c r="N332" s="75">
        <v>5745</v>
      </c>
      <c r="O332" s="33">
        <f>SUMIFS(DaybyDay[Service-Budgets],DaybyDay[Date],"&gt;="&amp;$C$5,DaybyDay[RowYear],"&gt;="&amp;$C$4,DaybyDay[Date],"&lt;="&amp;DaybyDay[[#This Row],[Date]])</f>
        <v>0</v>
      </c>
      <c r="P332" s="33">
        <f>SUMIFS(DaybyDay[Retail-Budgets],DaybyDay[Date],"&gt;="&amp;$C$5,DaybyDay[RowYear],"&gt;="&amp;$C$4,DaybyDay[Date],"&lt;="&amp;DaybyDay[[#This Row],[Date]])</f>
        <v>0</v>
      </c>
      <c r="Q332" s="34">
        <f>SUMIFS(DaybyDay[Service-Actuals],DaybyDay[Date],"&gt;="&amp;$C$5,DaybyDay[RowYear],"&gt;="&amp;$C$4,DaybyDay[Date],"&lt;="&amp;DaybyDay[[#This Row],[Date]])</f>
        <v>0</v>
      </c>
      <c r="R332" s="34">
        <f>SUMIFS(DaybyDay[Retail-Actuals],DaybyDay[Date],"&gt;="&amp;$C$5,DaybyDay[RowYear],"&gt;="&amp;$C$4,DaybyDay[Date],"&lt;="&amp;DaybyDay[[#This Row],[Date]])</f>
        <v>0</v>
      </c>
      <c r="S332" s="35">
        <f>SUMIFS(DaybyDay[Service-LY],DaybyDay[Date],"&gt;="&amp;$C$5,DaybyDay[RowYear],"&gt;="&amp;$C$4,DaybyDay[Date],"&lt;="&amp;DaybyDay[[#This Row],[Date]])</f>
        <v>0</v>
      </c>
      <c r="T332" s="35">
        <f>SUMIFS(DaybyDay[Retail-LY],DaybyDay[Date],"&gt;="&amp;$C$5,DaybyDay[RowYear],"&gt;="&amp;$C$4,DaybyDay[Date],"&lt;="&amp;DaybyDay[[#This Row],[Date]])</f>
        <v>0</v>
      </c>
      <c r="U332" s="32">
        <f>DaybyDay[[#This Row],[Serv-Bud-RU]]+DaybyDay[[#This Row],[Ret-Bud-RU]]</f>
        <v>0</v>
      </c>
      <c r="V332" s="32">
        <f>DaybyDay[[#This Row],[Serv-Act-RU]]+DaybyDay[[#This Row],[Ret-Act-RU]]</f>
        <v>0</v>
      </c>
      <c r="W332" s="36">
        <f>IF(DaybyDay[[#This Row],[_Space]],IFERROR(
((DaybyDay[[#This Row],[Actual-Rollup]]-DaybyDay[[#This Row],[Budget-Rollup]])/DaybyDay[[#This Row],[Budget-Rollup]]),0),"")</f>
        <v>0</v>
      </c>
      <c r="X332" t="b">
        <f>NOT(AND(ISBLANK(DaybyDay[[#This Row],[Appts]]),ISBLANK(DaybyDay[[#This Row],[Service-Actuals]]),ISBLANK(DaybyDay[[#This Row],[Retail-Actuals]])))</f>
        <v>1</v>
      </c>
      <c r="Y332" s="36">
        <f>IF(DaybyDay[[#This Row],[_Space]],IFERROR(
((DaybyDay[[#This Row],[Actual-Rollup]]-DaybyDay[[#This Row],[LY-Rollup]])/DaybyDay[[#This Row],[LY-Rollup]]),0),"")</f>
        <v>0</v>
      </c>
      <c r="Z332"/>
      <c r="AA332" s="37" t="e">
        <f>IF(DaybyDay[[#This Row],[_Space]],DaybyDay[[#This Row],[Ret-Act-RU]]/DaybyDay[[#This Row],[Serv-Act-RU]],"")</f>
        <v>#DIV/0!</v>
      </c>
      <c r="AB332" s="50" t="e">
        <f>IF(DaybyDay[[#This Row],[_Space]],DaybyDay[[#This Row],[RETPEN-Act]]/DaybyDay[[#This Row],[RETPEN-Bud]],"")</f>
        <v>#DIV/0!</v>
      </c>
      <c r="AC332" s="37" t="e">
        <f>IF(DaybyDay[[#This Row],[_Space]],DaybyDay[[#This Row],[Ret-Bud-RU]]/DaybyDay[[#This Row],[Serv-Bud-RU]],"")</f>
        <v>#DIV/0!</v>
      </c>
      <c r="AD332" s="37" t="e">
        <f>IF(DaybyDay[[#This Row],[_Space]],DaybyDay[[#This Row],[Ret-LY-RU]]/DaybyDay[[#This Row],[Serv-LY-RU]],"")</f>
        <v>#DIV/0!</v>
      </c>
      <c r="AE332" s="30">
        <f>WEEKDAY(DaybyDay[[#This Row],[LY-Date]])</f>
        <v>4</v>
      </c>
      <c r="AF332" s="38">
        <f>$E$2+_xlfn.DAYS(DaybyDay[[#This Row],[Date]],minDate)</f>
        <v>42697</v>
      </c>
      <c r="AG332" s="39" t="str" cm="1">
        <f t="array" ref="AG332">IFERROR(INDEX(DaybyDay[],DaybyDay[[#This Row],[FORM_MATCH_HELPER]],8),"")</f>
        <v/>
      </c>
      <c r="AH332" s="39" t="str" cm="1">
        <f t="array" ref="AH332">IFERROR(INDEX(DaybyDay[],DaybyDay[[#This Row],[FORM_MATCH_HELPER]],10),"")</f>
        <v/>
      </c>
      <c r="AI332" s="39" t="str" cm="1">
        <f t="array" ref="AI332">IFERROR(INDEX(DaybyDay[],DaybyDay[[#This Row],[FORM_MATCH_HELPER]],12),"")</f>
        <v/>
      </c>
      <c r="AJ332" s="32">
        <f>IFERROR(DaybyDay[[#This Row],[Serv-LY-RU]]+DaybyDay[[#This Row],[Ret-LY-RU]],"")</f>
        <v>0</v>
      </c>
      <c r="AK3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2" s="77"/>
      <c r="AM332" s="40" t="str">
        <f>IF(DaybyDay[[#This Row],[Admin Hours]]&gt;0,DaybyDay[[#This Row],[Admin Hours]]*$AM$2+$AM$3,"")</f>
        <v/>
      </c>
      <c r="AN332" s="40">
        <f>SUMIFS(DaybyDay[Est-Admin-Payroll],DaybyDay[Date],"&gt;="&amp;$C$5,DaybyDay[RowYear],"&gt;="&amp;$C$4,DaybyDay[Date],"&lt;="&amp;DaybyDay[[#This Row],[Date]])</f>
        <v>0</v>
      </c>
      <c r="AO332" s="41" t="str">
        <f>IF(AND(DaybyDay[[#This Row],[_Space]],ISNUMBER(DaybyDay[[#This Row],[Admin Hours]])),DaybyDay[[#This Row],[Est-Admin-Payroll]]/(DaybyDay[[#This Row],[Service-Actuals]]+DaybyDay[[#This Row],[Retail-Actuals]]),"")</f>
        <v/>
      </c>
      <c r="AP332" s="41" t="e">
        <f>DaybyDay[[#This Row],[Estimated-Payroll-Rollup]]/DaybyDay[[#This Row],[Simple-Forecast]]</f>
        <v>#DIV/0!</v>
      </c>
      <c r="AQ3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2" s="77"/>
      <c r="AS332" s="40" t="str">
        <f>IF(DaybyDay[[#This Row],[Retail Hours]]&gt;0,DaybyDay[[#This Row],[Retail Hours]]*$AS$2,"")</f>
        <v/>
      </c>
      <c r="AT332" s="40">
        <f>SUMIFS(DaybyDay[Est-Retail-Payroll],DaybyDay[Date],"&gt;="&amp;$C$5,DaybyDay[RowYear],"&gt;="&amp;$C$4,DaybyDay[Date],"&lt;="&amp;DaybyDay[[#This Row],[Date]])</f>
        <v>0</v>
      </c>
      <c r="AU332" s="82" t="str">
        <f>IF(AND(DaybyDay[[#This Row],[_Space]],ISNUMBER(DaybyDay[[#This Row],[Retail Hours]])),DaybyDay[[#This Row],[Est-Retail-Payroll]]/(DaybyDay[[#This Row],[Retail-Actuals]]),"")</f>
        <v/>
      </c>
      <c r="AV332" s="82" t="e">
        <f>DaybyDay[[#This Row],[Est-Retail-PayrollRU]]/DaybyDay[[#This Row],[Simple-Forecast-Retail]]</f>
        <v>#DIV/0!</v>
      </c>
      <c r="AW332" s="8"/>
    </row>
    <row r="333" spans="3:49" hidden="1" x14ac:dyDescent="0.25">
      <c r="C333" s="26" t="str">
        <f>Tools!$C$1</f>
        <v>Example</v>
      </c>
      <c r="D333" s="27" t="s">
        <v>78</v>
      </c>
      <c r="E333" s="28">
        <v>2017</v>
      </c>
      <c r="F333" s="28">
        <f>MATCH(DaybyDay[[#This Row],[RowMonth]],Table3[SummaryMonth],0)</f>
        <v>11</v>
      </c>
      <c r="G333" s="29" t="e">
        <f>MATCH(DaybyDay[[#This Row],[LY-Date]],DaybyDay[Date],0)</f>
        <v>#N/A</v>
      </c>
      <c r="H333" s="30">
        <f>WEEKDAY(DaybyDay[[#This Row],[Date]])</f>
        <v>5</v>
      </c>
      <c r="I333" s="31">
        <v>43062</v>
      </c>
      <c r="J333" s="74">
        <v>15</v>
      </c>
      <c r="K333" s="32">
        <f>SUMIFS(BudgetSeasonality[365 Seasonality],BudgetSeasonality[MonthAdjustment],DaybyDay[[#This Row],[Date]])*SUMIFS(Budgets[Service-Budget],Budgets[BudgetMonth],DaybyDay[[#This Row],[RowMonth]],Budgets[BudgetYear],DaybyDay[[#This Row],[RowYear]])</f>
        <v>0</v>
      </c>
      <c r="L333" s="75">
        <v>3996</v>
      </c>
      <c r="M333" s="32">
        <f>INDEX(BudgetSeasonality[365 Seasonality],MATCH(DaybyDay[[#This Row],[Date]],BudgetSeasonality[MonthAdjustment],0))*SUMIFS(Budgets[Retail-Budget],Budgets[BudgetMonth],DaybyDay[[#This Row],[RowMonth]],Budgets[BudgetYear],DaybyDay[[#This Row],[RowYear]])</f>
        <v>0</v>
      </c>
      <c r="N333" s="75">
        <v>1273</v>
      </c>
      <c r="O333" s="33">
        <f>SUMIFS(DaybyDay[Service-Budgets],DaybyDay[Date],"&gt;="&amp;$C$5,DaybyDay[RowYear],"&gt;="&amp;$C$4,DaybyDay[Date],"&lt;="&amp;DaybyDay[[#This Row],[Date]])</f>
        <v>0</v>
      </c>
      <c r="P333" s="33">
        <f>SUMIFS(DaybyDay[Retail-Budgets],DaybyDay[Date],"&gt;="&amp;$C$5,DaybyDay[RowYear],"&gt;="&amp;$C$4,DaybyDay[Date],"&lt;="&amp;DaybyDay[[#This Row],[Date]])</f>
        <v>0</v>
      </c>
      <c r="Q333" s="34">
        <f>SUMIFS(DaybyDay[Service-Actuals],DaybyDay[Date],"&gt;="&amp;$C$5,DaybyDay[RowYear],"&gt;="&amp;$C$4,DaybyDay[Date],"&lt;="&amp;DaybyDay[[#This Row],[Date]])</f>
        <v>0</v>
      </c>
      <c r="R333" s="34">
        <f>SUMIFS(DaybyDay[Retail-Actuals],DaybyDay[Date],"&gt;="&amp;$C$5,DaybyDay[RowYear],"&gt;="&amp;$C$4,DaybyDay[Date],"&lt;="&amp;DaybyDay[[#This Row],[Date]])</f>
        <v>0</v>
      </c>
      <c r="S333" s="35">
        <f>SUMIFS(DaybyDay[Service-LY],DaybyDay[Date],"&gt;="&amp;$C$5,DaybyDay[RowYear],"&gt;="&amp;$C$4,DaybyDay[Date],"&lt;="&amp;DaybyDay[[#This Row],[Date]])</f>
        <v>0</v>
      </c>
      <c r="T333" s="35">
        <f>SUMIFS(DaybyDay[Retail-LY],DaybyDay[Date],"&gt;="&amp;$C$5,DaybyDay[RowYear],"&gt;="&amp;$C$4,DaybyDay[Date],"&lt;="&amp;DaybyDay[[#This Row],[Date]])</f>
        <v>0</v>
      </c>
      <c r="U333" s="32">
        <f>DaybyDay[[#This Row],[Serv-Bud-RU]]+DaybyDay[[#This Row],[Ret-Bud-RU]]</f>
        <v>0</v>
      </c>
      <c r="V333" s="32">
        <f>DaybyDay[[#This Row],[Serv-Act-RU]]+DaybyDay[[#This Row],[Ret-Act-RU]]</f>
        <v>0</v>
      </c>
      <c r="W333" s="36">
        <f>IF(DaybyDay[[#This Row],[_Space]],IFERROR(
((DaybyDay[[#This Row],[Actual-Rollup]]-DaybyDay[[#This Row],[Budget-Rollup]])/DaybyDay[[#This Row],[Budget-Rollup]]),0),"")</f>
        <v>0</v>
      </c>
      <c r="X333" t="b">
        <f>NOT(AND(ISBLANK(DaybyDay[[#This Row],[Appts]]),ISBLANK(DaybyDay[[#This Row],[Service-Actuals]]),ISBLANK(DaybyDay[[#This Row],[Retail-Actuals]])))</f>
        <v>1</v>
      </c>
      <c r="Y333" s="36">
        <f>IF(DaybyDay[[#This Row],[_Space]],IFERROR(
((DaybyDay[[#This Row],[Actual-Rollup]]-DaybyDay[[#This Row],[LY-Rollup]])/DaybyDay[[#This Row],[LY-Rollup]]),0),"")</f>
        <v>0</v>
      </c>
      <c r="Z333"/>
      <c r="AA333" s="37" t="e">
        <f>IF(DaybyDay[[#This Row],[_Space]],DaybyDay[[#This Row],[Ret-Act-RU]]/DaybyDay[[#This Row],[Serv-Act-RU]],"")</f>
        <v>#DIV/0!</v>
      </c>
      <c r="AB333" s="50" t="e">
        <f>IF(DaybyDay[[#This Row],[_Space]],DaybyDay[[#This Row],[RETPEN-Act]]/DaybyDay[[#This Row],[RETPEN-Bud]],"")</f>
        <v>#DIV/0!</v>
      </c>
      <c r="AC333" s="37" t="e">
        <f>IF(DaybyDay[[#This Row],[_Space]],DaybyDay[[#This Row],[Ret-Bud-RU]]/DaybyDay[[#This Row],[Serv-Bud-RU]],"")</f>
        <v>#DIV/0!</v>
      </c>
      <c r="AD333" s="37" t="e">
        <f>IF(DaybyDay[[#This Row],[_Space]],DaybyDay[[#This Row],[Ret-LY-RU]]/DaybyDay[[#This Row],[Serv-LY-RU]],"")</f>
        <v>#DIV/0!</v>
      </c>
      <c r="AE333" s="30">
        <f>WEEKDAY(DaybyDay[[#This Row],[LY-Date]])</f>
        <v>5</v>
      </c>
      <c r="AF333" s="38">
        <f>$E$2+_xlfn.DAYS(DaybyDay[[#This Row],[Date]],minDate)</f>
        <v>42698</v>
      </c>
      <c r="AG333" s="39" t="str" cm="1">
        <f t="array" ref="AG333">IFERROR(INDEX(DaybyDay[],DaybyDay[[#This Row],[FORM_MATCH_HELPER]],8),"")</f>
        <v/>
      </c>
      <c r="AH333" s="39" t="str" cm="1">
        <f t="array" ref="AH333">IFERROR(INDEX(DaybyDay[],DaybyDay[[#This Row],[FORM_MATCH_HELPER]],10),"")</f>
        <v/>
      </c>
      <c r="AI333" s="39" t="str" cm="1">
        <f t="array" ref="AI333">IFERROR(INDEX(DaybyDay[],DaybyDay[[#This Row],[FORM_MATCH_HELPER]],12),"")</f>
        <v/>
      </c>
      <c r="AJ333" s="32">
        <f>IFERROR(DaybyDay[[#This Row],[Serv-LY-RU]]+DaybyDay[[#This Row],[Ret-LY-RU]],"")</f>
        <v>0</v>
      </c>
      <c r="AK3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3" s="77"/>
      <c r="AM333" s="40" t="str">
        <f>IF(DaybyDay[[#This Row],[Admin Hours]]&gt;0,DaybyDay[[#This Row],[Admin Hours]]*$AM$2+$AM$3,"")</f>
        <v/>
      </c>
      <c r="AN333" s="40">
        <f>SUMIFS(DaybyDay[Est-Admin-Payroll],DaybyDay[Date],"&gt;="&amp;$C$5,DaybyDay[RowYear],"&gt;="&amp;$C$4,DaybyDay[Date],"&lt;="&amp;DaybyDay[[#This Row],[Date]])</f>
        <v>0</v>
      </c>
      <c r="AO333" s="41" t="str">
        <f>IF(AND(DaybyDay[[#This Row],[_Space]],ISNUMBER(DaybyDay[[#This Row],[Admin Hours]])),DaybyDay[[#This Row],[Est-Admin-Payroll]]/(DaybyDay[[#This Row],[Service-Actuals]]+DaybyDay[[#This Row],[Retail-Actuals]]),"")</f>
        <v/>
      </c>
      <c r="AP333" s="41" t="e">
        <f>DaybyDay[[#This Row],[Estimated-Payroll-Rollup]]/DaybyDay[[#This Row],[Simple-Forecast]]</f>
        <v>#DIV/0!</v>
      </c>
      <c r="AQ3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3" s="77"/>
      <c r="AS333" s="40" t="str">
        <f>IF(DaybyDay[[#This Row],[Retail Hours]]&gt;0,DaybyDay[[#This Row],[Retail Hours]]*$AS$2,"")</f>
        <v/>
      </c>
      <c r="AT333" s="40">
        <f>SUMIFS(DaybyDay[Est-Retail-Payroll],DaybyDay[Date],"&gt;="&amp;$C$5,DaybyDay[RowYear],"&gt;="&amp;$C$4,DaybyDay[Date],"&lt;="&amp;DaybyDay[[#This Row],[Date]])</f>
        <v>0</v>
      </c>
      <c r="AU333" s="82" t="str">
        <f>IF(AND(DaybyDay[[#This Row],[_Space]],ISNUMBER(DaybyDay[[#This Row],[Retail Hours]])),DaybyDay[[#This Row],[Est-Retail-Payroll]]/(DaybyDay[[#This Row],[Retail-Actuals]]),"")</f>
        <v/>
      </c>
      <c r="AV333" s="82" t="e">
        <f>DaybyDay[[#This Row],[Est-Retail-PayrollRU]]/DaybyDay[[#This Row],[Simple-Forecast-Retail]]</f>
        <v>#DIV/0!</v>
      </c>
      <c r="AW333" s="8"/>
    </row>
    <row r="334" spans="3:49" hidden="1" x14ac:dyDescent="0.25">
      <c r="C334" s="26" t="str">
        <f>Tools!$C$1</f>
        <v>Example</v>
      </c>
      <c r="D334" s="27" t="s">
        <v>78</v>
      </c>
      <c r="E334" s="28">
        <v>2017</v>
      </c>
      <c r="F334" s="28">
        <f>MATCH(DaybyDay[[#This Row],[RowMonth]],Table3[SummaryMonth],0)</f>
        <v>11</v>
      </c>
      <c r="G334" s="29" t="e">
        <f>MATCH(DaybyDay[[#This Row],[LY-Date]],DaybyDay[Date],0)</f>
        <v>#N/A</v>
      </c>
      <c r="H334" s="30">
        <f>WEEKDAY(DaybyDay[[#This Row],[Date]])</f>
        <v>6</v>
      </c>
      <c r="I334" s="31">
        <v>43063</v>
      </c>
      <c r="J334" s="74">
        <v>33</v>
      </c>
      <c r="K334" s="32">
        <f>SUMIFS(BudgetSeasonality[365 Seasonality],BudgetSeasonality[MonthAdjustment],DaybyDay[[#This Row],[Date]])*SUMIFS(Budgets[Service-Budget],Budgets[BudgetMonth],DaybyDay[[#This Row],[RowMonth]],Budgets[BudgetYear],DaybyDay[[#This Row],[RowYear]])</f>
        <v>0</v>
      </c>
      <c r="L334" s="75">
        <v>6488.7</v>
      </c>
      <c r="M334" s="32">
        <f>INDEX(BudgetSeasonality[365 Seasonality],MATCH(DaybyDay[[#This Row],[Date]],BudgetSeasonality[MonthAdjustment],0))*SUMIFS(Budgets[Retail-Budget],Budgets[BudgetMonth],DaybyDay[[#This Row],[RowMonth]],Budgets[BudgetYear],DaybyDay[[#This Row],[RowYear]])</f>
        <v>0</v>
      </c>
      <c r="N334" s="75">
        <v>-22</v>
      </c>
      <c r="O334" s="33">
        <f>SUMIFS(DaybyDay[Service-Budgets],DaybyDay[Date],"&gt;="&amp;$C$5,DaybyDay[RowYear],"&gt;="&amp;$C$4,DaybyDay[Date],"&lt;="&amp;DaybyDay[[#This Row],[Date]])</f>
        <v>0</v>
      </c>
      <c r="P334" s="33">
        <f>SUMIFS(DaybyDay[Retail-Budgets],DaybyDay[Date],"&gt;="&amp;$C$5,DaybyDay[RowYear],"&gt;="&amp;$C$4,DaybyDay[Date],"&lt;="&amp;DaybyDay[[#This Row],[Date]])</f>
        <v>0</v>
      </c>
      <c r="Q334" s="34">
        <f>SUMIFS(DaybyDay[Service-Actuals],DaybyDay[Date],"&gt;="&amp;$C$5,DaybyDay[RowYear],"&gt;="&amp;$C$4,DaybyDay[Date],"&lt;="&amp;DaybyDay[[#This Row],[Date]])</f>
        <v>0</v>
      </c>
      <c r="R334" s="34">
        <f>SUMIFS(DaybyDay[Retail-Actuals],DaybyDay[Date],"&gt;="&amp;$C$5,DaybyDay[RowYear],"&gt;="&amp;$C$4,DaybyDay[Date],"&lt;="&amp;DaybyDay[[#This Row],[Date]])</f>
        <v>0</v>
      </c>
      <c r="S334" s="35">
        <f>SUMIFS(DaybyDay[Service-LY],DaybyDay[Date],"&gt;="&amp;$C$5,DaybyDay[RowYear],"&gt;="&amp;$C$4,DaybyDay[Date],"&lt;="&amp;DaybyDay[[#This Row],[Date]])</f>
        <v>0</v>
      </c>
      <c r="T334" s="35">
        <f>SUMIFS(DaybyDay[Retail-LY],DaybyDay[Date],"&gt;="&amp;$C$5,DaybyDay[RowYear],"&gt;="&amp;$C$4,DaybyDay[Date],"&lt;="&amp;DaybyDay[[#This Row],[Date]])</f>
        <v>0</v>
      </c>
      <c r="U334" s="32">
        <f>DaybyDay[[#This Row],[Serv-Bud-RU]]+DaybyDay[[#This Row],[Ret-Bud-RU]]</f>
        <v>0</v>
      </c>
      <c r="V334" s="32">
        <f>DaybyDay[[#This Row],[Serv-Act-RU]]+DaybyDay[[#This Row],[Ret-Act-RU]]</f>
        <v>0</v>
      </c>
      <c r="W334" s="36">
        <f>IF(DaybyDay[[#This Row],[_Space]],IFERROR(
((DaybyDay[[#This Row],[Actual-Rollup]]-DaybyDay[[#This Row],[Budget-Rollup]])/DaybyDay[[#This Row],[Budget-Rollup]]),0),"")</f>
        <v>0</v>
      </c>
      <c r="X334" t="b">
        <f>NOT(AND(ISBLANK(DaybyDay[[#This Row],[Appts]]),ISBLANK(DaybyDay[[#This Row],[Service-Actuals]]),ISBLANK(DaybyDay[[#This Row],[Retail-Actuals]])))</f>
        <v>1</v>
      </c>
      <c r="Y334" s="36">
        <f>IF(DaybyDay[[#This Row],[_Space]],IFERROR(
((DaybyDay[[#This Row],[Actual-Rollup]]-DaybyDay[[#This Row],[LY-Rollup]])/DaybyDay[[#This Row],[LY-Rollup]]),0),"")</f>
        <v>0</v>
      </c>
      <c r="Z334"/>
      <c r="AA334" s="37" t="e">
        <f>IF(DaybyDay[[#This Row],[_Space]],DaybyDay[[#This Row],[Ret-Act-RU]]/DaybyDay[[#This Row],[Serv-Act-RU]],"")</f>
        <v>#DIV/0!</v>
      </c>
      <c r="AB334" s="50" t="e">
        <f>IF(DaybyDay[[#This Row],[_Space]],DaybyDay[[#This Row],[RETPEN-Act]]/DaybyDay[[#This Row],[RETPEN-Bud]],"")</f>
        <v>#DIV/0!</v>
      </c>
      <c r="AC334" s="37" t="e">
        <f>IF(DaybyDay[[#This Row],[_Space]],DaybyDay[[#This Row],[Ret-Bud-RU]]/DaybyDay[[#This Row],[Serv-Bud-RU]],"")</f>
        <v>#DIV/0!</v>
      </c>
      <c r="AD334" s="37" t="e">
        <f>IF(DaybyDay[[#This Row],[_Space]],DaybyDay[[#This Row],[Ret-LY-RU]]/DaybyDay[[#This Row],[Serv-LY-RU]],"")</f>
        <v>#DIV/0!</v>
      </c>
      <c r="AE334" s="30">
        <f>WEEKDAY(DaybyDay[[#This Row],[LY-Date]])</f>
        <v>6</v>
      </c>
      <c r="AF334" s="38">
        <f>$E$2+_xlfn.DAYS(DaybyDay[[#This Row],[Date]],minDate)</f>
        <v>42699</v>
      </c>
      <c r="AG334" s="39" t="str" cm="1">
        <f t="array" ref="AG334">IFERROR(INDEX(DaybyDay[],DaybyDay[[#This Row],[FORM_MATCH_HELPER]],8),"")</f>
        <v/>
      </c>
      <c r="AH334" s="39" t="str" cm="1">
        <f t="array" ref="AH334">IFERROR(INDEX(DaybyDay[],DaybyDay[[#This Row],[FORM_MATCH_HELPER]],10),"")</f>
        <v/>
      </c>
      <c r="AI334" s="39" t="str" cm="1">
        <f t="array" ref="AI334">IFERROR(INDEX(DaybyDay[],DaybyDay[[#This Row],[FORM_MATCH_HELPER]],12),"")</f>
        <v/>
      </c>
      <c r="AJ334" s="32">
        <f>IFERROR(DaybyDay[[#This Row],[Serv-LY-RU]]+DaybyDay[[#This Row],[Ret-LY-RU]],"")</f>
        <v>0</v>
      </c>
      <c r="AK3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4" s="77"/>
      <c r="AM334" s="40" t="str">
        <f>IF(DaybyDay[[#This Row],[Admin Hours]]&gt;0,DaybyDay[[#This Row],[Admin Hours]]*$AM$2+$AM$3,"")</f>
        <v/>
      </c>
      <c r="AN334" s="40">
        <f>SUMIFS(DaybyDay[Est-Admin-Payroll],DaybyDay[Date],"&gt;="&amp;$C$5,DaybyDay[RowYear],"&gt;="&amp;$C$4,DaybyDay[Date],"&lt;="&amp;DaybyDay[[#This Row],[Date]])</f>
        <v>0</v>
      </c>
      <c r="AO334" s="41" t="str">
        <f>IF(AND(DaybyDay[[#This Row],[_Space]],ISNUMBER(DaybyDay[[#This Row],[Admin Hours]])),DaybyDay[[#This Row],[Est-Admin-Payroll]]/(DaybyDay[[#This Row],[Service-Actuals]]+DaybyDay[[#This Row],[Retail-Actuals]]),"")</f>
        <v/>
      </c>
      <c r="AP334" s="41" t="e">
        <f>DaybyDay[[#This Row],[Estimated-Payroll-Rollup]]/DaybyDay[[#This Row],[Simple-Forecast]]</f>
        <v>#DIV/0!</v>
      </c>
      <c r="AQ3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4" s="77"/>
      <c r="AS334" s="40" t="str">
        <f>IF(DaybyDay[[#This Row],[Retail Hours]]&gt;0,DaybyDay[[#This Row],[Retail Hours]]*$AS$2,"")</f>
        <v/>
      </c>
      <c r="AT334" s="40">
        <f>SUMIFS(DaybyDay[Est-Retail-Payroll],DaybyDay[Date],"&gt;="&amp;$C$5,DaybyDay[RowYear],"&gt;="&amp;$C$4,DaybyDay[Date],"&lt;="&amp;DaybyDay[[#This Row],[Date]])</f>
        <v>0</v>
      </c>
      <c r="AU334" s="82" t="str">
        <f>IF(AND(DaybyDay[[#This Row],[_Space]],ISNUMBER(DaybyDay[[#This Row],[Retail Hours]])),DaybyDay[[#This Row],[Est-Retail-Payroll]]/(DaybyDay[[#This Row],[Retail-Actuals]]),"")</f>
        <v/>
      </c>
      <c r="AV334" s="82" t="e">
        <f>DaybyDay[[#This Row],[Est-Retail-PayrollRU]]/DaybyDay[[#This Row],[Simple-Forecast-Retail]]</f>
        <v>#DIV/0!</v>
      </c>
      <c r="AW334" s="8"/>
    </row>
    <row r="335" spans="3:49" hidden="1" x14ac:dyDescent="0.25">
      <c r="C335" s="26" t="str">
        <f>Tools!$C$1</f>
        <v>Example</v>
      </c>
      <c r="D335" s="27" t="s">
        <v>78</v>
      </c>
      <c r="E335" s="28">
        <v>2017</v>
      </c>
      <c r="F335" s="28">
        <f>MATCH(DaybyDay[[#This Row],[RowMonth]],Table3[SummaryMonth],0)</f>
        <v>11</v>
      </c>
      <c r="G335" s="29" t="e">
        <f>MATCH(DaybyDay[[#This Row],[LY-Date]],DaybyDay[Date],0)</f>
        <v>#N/A</v>
      </c>
      <c r="H335" s="30">
        <f>WEEKDAY(DaybyDay[[#This Row],[Date]])</f>
        <v>7</v>
      </c>
      <c r="I335" s="31">
        <v>43064</v>
      </c>
      <c r="J335" s="74">
        <v>21</v>
      </c>
      <c r="K335" s="32">
        <f>SUMIFS(BudgetSeasonality[365 Seasonality],BudgetSeasonality[MonthAdjustment],DaybyDay[[#This Row],[Date]])*SUMIFS(Budgets[Service-Budget],Budgets[BudgetMonth],DaybyDay[[#This Row],[RowMonth]],Budgets[BudgetYear],DaybyDay[[#This Row],[RowYear]])</f>
        <v>0</v>
      </c>
      <c r="L335" s="75">
        <v>4639.25</v>
      </c>
      <c r="M335" s="32">
        <f>INDEX(BudgetSeasonality[365 Seasonality],MATCH(DaybyDay[[#This Row],[Date]],BudgetSeasonality[MonthAdjustment],0))*SUMIFS(Budgets[Retail-Budget],Budgets[BudgetMonth],DaybyDay[[#This Row],[RowMonth]],Budgets[BudgetYear],DaybyDay[[#This Row],[RowYear]])</f>
        <v>0</v>
      </c>
      <c r="N335" s="75">
        <v>2572.58</v>
      </c>
      <c r="O335" s="33">
        <f>SUMIFS(DaybyDay[Service-Budgets],DaybyDay[Date],"&gt;="&amp;$C$5,DaybyDay[RowYear],"&gt;="&amp;$C$4,DaybyDay[Date],"&lt;="&amp;DaybyDay[[#This Row],[Date]])</f>
        <v>0</v>
      </c>
      <c r="P335" s="33">
        <f>SUMIFS(DaybyDay[Retail-Budgets],DaybyDay[Date],"&gt;="&amp;$C$5,DaybyDay[RowYear],"&gt;="&amp;$C$4,DaybyDay[Date],"&lt;="&amp;DaybyDay[[#This Row],[Date]])</f>
        <v>0</v>
      </c>
      <c r="Q335" s="34">
        <f>SUMIFS(DaybyDay[Service-Actuals],DaybyDay[Date],"&gt;="&amp;$C$5,DaybyDay[RowYear],"&gt;="&amp;$C$4,DaybyDay[Date],"&lt;="&amp;DaybyDay[[#This Row],[Date]])</f>
        <v>0</v>
      </c>
      <c r="R335" s="34">
        <f>SUMIFS(DaybyDay[Retail-Actuals],DaybyDay[Date],"&gt;="&amp;$C$5,DaybyDay[RowYear],"&gt;="&amp;$C$4,DaybyDay[Date],"&lt;="&amp;DaybyDay[[#This Row],[Date]])</f>
        <v>0</v>
      </c>
      <c r="S335" s="35">
        <f>SUMIFS(DaybyDay[Service-LY],DaybyDay[Date],"&gt;="&amp;$C$5,DaybyDay[RowYear],"&gt;="&amp;$C$4,DaybyDay[Date],"&lt;="&amp;DaybyDay[[#This Row],[Date]])</f>
        <v>0</v>
      </c>
      <c r="T335" s="35">
        <f>SUMIFS(DaybyDay[Retail-LY],DaybyDay[Date],"&gt;="&amp;$C$5,DaybyDay[RowYear],"&gt;="&amp;$C$4,DaybyDay[Date],"&lt;="&amp;DaybyDay[[#This Row],[Date]])</f>
        <v>0</v>
      </c>
      <c r="U335" s="32">
        <f>DaybyDay[[#This Row],[Serv-Bud-RU]]+DaybyDay[[#This Row],[Ret-Bud-RU]]</f>
        <v>0</v>
      </c>
      <c r="V335" s="32">
        <f>DaybyDay[[#This Row],[Serv-Act-RU]]+DaybyDay[[#This Row],[Ret-Act-RU]]</f>
        <v>0</v>
      </c>
      <c r="W335" s="36">
        <f>IF(DaybyDay[[#This Row],[_Space]],IFERROR(
((DaybyDay[[#This Row],[Actual-Rollup]]-DaybyDay[[#This Row],[Budget-Rollup]])/DaybyDay[[#This Row],[Budget-Rollup]]),0),"")</f>
        <v>0</v>
      </c>
      <c r="X335" t="b">
        <f>NOT(AND(ISBLANK(DaybyDay[[#This Row],[Appts]]),ISBLANK(DaybyDay[[#This Row],[Service-Actuals]]),ISBLANK(DaybyDay[[#This Row],[Retail-Actuals]])))</f>
        <v>1</v>
      </c>
      <c r="Y335" s="36">
        <f>IF(DaybyDay[[#This Row],[_Space]],IFERROR(
((DaybyDay[[#This Row],[Actual-Rollup]]-DaybyDay[[#This Row],[LY-Rollup]])/DaybyDay[[#This Row],[LY-Rollup]]),0),"")</f>
        <v>0</v>
      </c>
      <c r="Z335"/>
      <c r="AA335" s="37" t="e">
        <f>IF(DaybyDay[[#This Row],[_Space]],DaybyDay[[#This Row],[Ret-Act-RU]]/DaybyDay[[#This Row],[Serv-Act-RU]],"")</f>
        <v>#DIV/0!</v>
      </c>
      <c r="AB335" s="50" t="e">
        <f>IF(DaybyDay[[#This Row],[_Space]],DaybyDay[[#This Row],[RETPEN-Act]]/DaybyDay[[#This Row],[RETPEN-Bud]],"")</f>
        <v>#DIV/0!</v>
      </c>
      <c r="AC335" s="37" t="e">
        <f>IF(DaybyDay[[#This Row],[_Space]],DaybyDay[[#This Row],[Ret-Bud-RU]]/DaybyDay[[#This Row],[Serv-Bud-RU]],"")</f>
        <v>#DIV/0!</v>
      </c>
      <c r="AD335" s="37" t="e">
        <f>IF(DaybyDay[[#This Row],[_Space]],DaybyDay[[#This Row],[Ret-LY-RU]]/DaybyDay[[#This Row],[Serv-LY-RU]],"")</f>
        <v>#DIV/0!</v>
      </c>
      <c r="AE335" s="30">
        <f>WEEKDAY(DaybyDay[[#This Row],[LY-Date]])</f>
        <v>7</v>
      </c>
      <c r="AF335" s="38">
        <f>$E$2+_xlfn.DAYS(DaybyDay[[#This Row],[Date]],minDate)</f>
        <v>42700</v>
      </c>
      <c r="AG335" s="39" t="str" cm="1">
        <f t="array" ref="AG335">IFERROR(INDEX(DaybyDay[],DaybyDay[[#This Row],[FORM_MATCH_HELPER]],8),"")</f>
        <v/>
      </c>
      <c r="AH335" s="39" t="str" cm="1">
        <f t="array" ref="AH335">IFERROR(INDEX(DaybyDay[],DaybyDay[[#This Row],[FORM_MATCH_HELPER]],10),"")</f>
        <v/>
      </c>
      <c r="AI335" s="39" t="str" cm="1">
        <f t="array" ref="AI335">IFERROR(INDEX(DaybyDay[],DaybyDay[[#This Row],[FORM_MATCH_HELPER]],12),"")</f>
        <v/>
      </c>
      <c r="AJ335" s="32">
        <f>IFERROR(DaybyDay[[#This Row],[Serv-LY-RU]]+DaybyDay[[#This Row],[Ret-LY-RU]],"")</f>
        <v>0</v>
      </c>
      <c r="AK3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5" s="77"/>
      <c r="AM335" s="40" t="str">
        <f>IF(DaybyDay[[#This Row],[Admin Hours]]&gt;0,DaybyDay[[#This Row],[Admin Hours]]*$AM$2+$AM$3,"")</f>
        <v/>
      </c>
      <c r="AN335" s="40">
        <f>SUMIFS(DaybyDay[Est-Admin-Payroll],DaybyDay[Date],"&gt;="&amp;$C$5,DaybyDay[RowYear],"&gt;="&amp;$C$4,DaybyDay[Date],"&lt;="&amp;DaybyDay[[#This Row],[Date]])</f>
        <v>0</v>
      </c>
      <c r="AO335" s="41" t="str">
        <f>IF(AND(DaybyDay[[#This Row],[_Space]],ISNUMBER(DaybyDay[[#This Row],[Admin Hours]])),DaybyDay[[#This Row],[Est-Admin-Payroll]]/(DaybyDay[[#This Row],[Service-Actuals]]+DaybyDay[[#This Row],[Retail-Actuals]]),"")</f>
        <v/>
      </c>
      <c r="AP335" s="41" t="e">
        <f>DaybyDay[[#This Row],[Estimated-Payroll-Rollup]]/DaybyDay[[#This Row],[Simple-Forecast]]</f>
        <v>#DIV/0!</v>
      </c>
      <c r="AQ3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5" s="77"/>
      <c r="AS335" s="40" t="str">
        <f>IF(DaybyDay[[#This Row],[Retail Hours]]&gt;0,DaybyDay[[#This Row],[Retail Hours]]*$AS$2,"")</f>
        <v/>
      </c>
      <c r="AT335" s="40">
        <f>SUMIFS(DaybyDay[Est-Retail-Payroll],DaybyDay[Date],"&gt;="&amp;$C$5,DaybyDay[RowYear],"&gt;="&amp;$C$4,DaybyDay[Date],"&lt;="&amp;DaybyDay[[#This Row],[Date]])</f>
        <v>0</v>
      </c>
      <c r="AU335" s="82" t="str">
        <f>IF(AND(DaybyDay[[#This Row],[_Space]],ISNUMBER(DaybyDay[[#This Row],[Retail Hours]])),DaybyDay[[#This Row],[Est-Retail-Payroll]]/(DaybyDay[[#This Row],[Retail-Actuals]]),"")</f>
        <v/>
      </c>
      <c r="AV335" s="82" t="e">
        <f>DaybyDay[[#This Row],[Est-Retail-PayrollRU]]/DaybyDay[[#This Row],[Simple-Forecast-Retail]]</f>
        <v>#DIV/0!</v>
      </c>
      <c r="AW335" s="8"/>
    </row>
    <row r="336" spans="3:49" hidden="1" x14ac:dyDescent="0.25">
      <c r="C336" s="26" t="str">
        <f>Tools!$C$1</f>
        <v>Example</v>
      </c>
      <c r="D336" s="27" t="s">
        <v>78</v>
      </c>
      <c r="E336" s="28">
        <v>2017</v>
      </c>
      <c r="F336" s="28">
        <f>MATCH(DaybyDay[[#This Row],[RowMonth]],Table3[SummaryMonth],0)</f>
        <v>11</v>
      </c>
      <c r="G336" s="29" t="e">
        <f>MATCH(DaybyDay[[#This Row],[LY-Date]],DaybyDay[Date],0)</f>
        <v>#N/A</v>
      </c>
      <c r="H336" s="30">
        <f>WEEKDAY(DaybyDay[[#This Row],[Date]])</f>
        <v>1</v>
      </c>
      <c r="I336" s="31">
        <v>43065</v>
      </c>
      <c r="J336" s="74">
        <v>26</v>
      </c>
      <c r="K336" s="32">
        <f>SUMIFS(BudgetSeasonality[365 Seasonality],BudgetSeasonality[MonthAdjustment],DaybyDay[[#This Row],[Date]])*SUMIFS(Budgets[Service-Budget],Budgets[BudgetMonth],DaybyDay[[#This Row],[RowMonth]],Budgets[BudgetYear],DaybyDay[[#This Row],[RowYear]])</f>
        <v>0</v>
      </c>
      <c r="L336" s="75">
        <v>4624.8999999999996</v>
      </c>
      <c r="M336" s="32">
        <f>INDEX(BudgetSeasonality[365 Seasonality],MATCH(DaybyDay[[#This Row],[Date]],BudgetSeasonality[MonthAdjustment],0))*SUMIFS(Budgets[Retail-Budget],Budgets[BudgetMonth],DaybyDay[[#This Row],[RowMonth]],Budgets[BudgetYear],DaybyDay[[#This Row],[RowYear]])</f>
        <v>0</v>
      </c>
      <c r="N336" s="75">
        <v>1685</v>
      </c>
      <c r="O336" s="33">
        <f>SUMIFS(DaybyDay[Service-Budgets],DaybyDay[Date],"&gt;="&amp;$C$5,DaybyDay[RowYear],"&gt;="&amp;$C$4,DaybyDay[Date],"&lt;="&amp;DaybyDay[[#This Row],[Date]])</f>
        <v>0</v>
      </c>
      <c r="P336" s="33">
        <f>SUMIFS(DaybyDay[Retail-Budgets],DaybyDay[Date],"&gt;="&amp;$C$5,DaybyDay[RowYear],"&gt;="&amp;$C$4,DaybyDay[Date],"&lt;="&amp;DaybyDay[[#This Row],[Date]])</f>
        <v>0</v>
      </c>
      <c r="Q336" s="34">
        <f>SUMIFS(DaybyDay[Service-Actuals],DaybyDay[Date],"&gt;="&amp;$C$5,DaybyDay[RowYear],"&gt;="&amp;$C$4,DaybyDay[Date],"&lt;="&amp;DaybyDay[[#This Row],[Date]])</f>
        <v>0</v>
      </c>
      <c r="R336" s="34">
        <f>SUMIFS(DaybyDay[Retail-Actuals],DaybyDay[Date],"&gt;="&amp;$C$5,DaybyDay[RowYear],"&gt;="&amp;$C$4,DaybyDay[Date],"&lt;="&amp;DaybyDay[[#This Row],[Date]])</f>
        <v>0</v>
      </c>
      <c r="S336" s="35">
        <f>SUMIFS(DaybyDay[Service-LY],DaybyDay[Date],"&gt;="&amp;$C$5,DaybyDay[RowYear],"&gt;="&amp;$C$4,DaybyDay[Date],"&lt;="&amp;DaybyDay[[#This Row],[Date]])</f>
        <v>0</v>
      </c>
      <c r="T336" s="35">
        <f>SUMIFS(DaybyDay[Retail-LY],DaybyDay[Date],"&gt;="&amp;$C$5,DaybyDay[RowYear],"&gt;="&amp;$C$4,DaybyDay[Date],"&lt;="&amp;DaybyDay[[#This Row],[Date]])</f>
        <v>0</v>
      </c>
      <c r="U336" s="32">
        <f>DaybyDay[[#This Row],[Serv-Bud-RU]]+DaybyDay[[#This Row],[Ret-Bud-RU]]</f>
        <v>0</v>
      </c>
      <c r="V336" s="32">
        <f>DaybyDay[[#This Row],[Serv-Act-RU]]+DaybyDay[[#This Row],[Ret-Act-RU]]</f>
        <v>0</v>
      </c>
      <c r="W336" s="36">
        <f>IF(DaybyDay[[#This Row],[_Space]],IFERROR(
((DaybyDay[[#This Row],[Actual-Rollup]]-DaybyDay[[#This Row],[Budget-Rollup]])/DaybyDay[[#This Row],[Budget-Rollup]]),0),"")</f>
        <v>0</v>
      </c>
      <c r="X336" t="b">
        <f>NOT(AND(ISBLANK(DaybyDay[[#This Row],[Appts]]),ISBLANK(DaybyDay[[#This Row],[Service-Actuals]]),ISBLANK(DaybyDay[[#This Row],[Retail-Actuals]])))</f>
        <v>1</v>
      </c>
      <c r="Y336" s="36">
        <f>IF(DaybyDay[[#This Row],[_Space]],IFERROR(
((DaybyDay[[#This Row],[Actual-Rollup]]-DaybyDay[[#This Row],[LY-Rollup]])/DaybyDay[[#This Row],[LY-Rollup]]),0),"")</f>
        <v>0</v>
      </c>
      <c r="Z336"/>
      <c r="AA336" s="37" t="e">
        <f>IF(DaybyDay[[#This Row],[_Space]],DaybyDay[[#This Row],[Ret-Act-RU]]/DaybyDay[[#This Row],[Serv-Act-RU]],"")</f>
        <v>#DIV/0!</v>
      </c>
      <c r="AB336" s="50" t="e">
        <f>IF(DaybyDay[[#This Row],[_Space]],DaybyDay[[#This Row],[RETPEN-Act]]/DaybyDay[[#This Row],[RETPEN-Bud]],"")</f>
        <v>#DIV/0!</v>
      </c>
      <c r="AC336" s="37" t="e">
        <f>IF(DaybyDay[[#This Row],[_Space]],DaybyDay[[#This Row],[Ret-Bud-RU]]/DaybyDay[[#This Row],[Serv-Bud-RU]],"")</f>
        <v>#DIV/0!</v>
      </c>
      <c r="AD336" s="37" t="e">
        <f>IF(DaybyDay[[#This Row],[_Space]],DaybyDay[[#This Row],[Ret-LY-RU]]/DaybyDay[[#This Row],[Serv-LY-RU]],"")</f>
        <v>#DIV/0!</v>
      </c>
      <c r="AE336" s="30">
        <f>WEEKDAY(DaybyDay[[#This Row],[LY-Date]])</f>
        <v>1</v>
      </c>
      <c r="AF336" s="38">
        <f>$E$2+_xlfn.DAYS(DaybyDay[[#This Row],[Date]],minDate)</f>
        <v>42701</v>
      </c>
      <c r="AG336" s="39" t="str" cm="1">
        <f t="array" ref="AG336">IFERROR(INDEX(DaybyDay[],DaybyDay[[#This Row],[FORM_MATCH_HELPER]],8),"")</f>
        <v/>
      </c>
      <c r="AH336" s="39" t="str" cm="1">
        <f t="array" ref="AH336">IFERROR(INDEX(DaybyDay[],DaybyDay[[#This Row],[FORM_MATCH_HELPER]],10),"")</f>
        <v/>
      </c>
      <c r="AI336" s="39" t="str" cm="1">
        <f t="array" ref="AI336">IFERROR(INDEX(DaybyDay[],DaybyDay[[#This Row],[FORM_MATCH_HELPER]],12),"")</f>
        <v/>
      </c>
      <c r="AJ336" s="32">
        <f>IFERROR(DaybyDay[[#This Row],[Serv-LY-RU]]+DaybyDay[[#This Row],[Ret-LY-RU]],"")</f>
        <v>0</v>
      </c>
      <c r="AK3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6" s="77"/>
      <c r="AM336" s="40" t="str">
        <f>IF(DaybyDay[[#This Row],[Admin Hours]]&gt;0,DaybyDay[[#This Row],[Admin Hours]]*$AM$2+$AM$3,"")</f>
        <v/>
      </c>
      <c r="AN336" s="40">
        <f>SUMIFS(DaybyDay[Est-Admin-Payroll],DaybyDay[Date],"&gt;="&amp;$C$5,DaybyDay[RowYear],"&gt;="&amp;$C$4,DaybyDay[Date],"&lt;="&amp;DaybyDay[[#This Row],[Date]])</f>
        <v>0</v>
      </c>
      <c r="AO336" s="41" t="str">
        <f>IF(AND(DaybyDay[[#This Row],[_Space]],ISNUMBER(DaybyDay[[#This Row],[Admin Hours]])),DaybyDay[[#This Row],[Est-Admin-Payroll]]/(DaybyDay[[#This Row],[Service-Actuals]]+DaybyDay[[#This Row],[Retail-Actuals]]),"")</f>
        <v/>
      </c>
      <c r="AP336" s="41" t="e">
        <f>DaybyDay[[#This Row],[Estimated-Payroll-Rollup]]/DaybyDay[[#This Row],[Simple-Forecast]]</f>
        <v>#DIV/0!</v>
      </c>
      <c r="AQ3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6" s="77"/>
      <c r="AS336" s="40" t="str">
        <f>IF(DaybyDay[[#This Row],[Retail Hours]]&gt;0,DaybyDay[[#This Row],[Retail Hours]]*$AS$2,"")</f>
        <v/>
      </c>
      <c r="AT336" s="40">
        <f>SUMIFS(DaybyDay[Est-Retail-Payroll],DaybyDay[Date],"&gt;="&amp;$C$5,DaybyDay[RowYear],"&gt;="&amp;$C$4,DaybyDay[Date],"&lt;="&amp;DaybyDay[[#This Row],[Date]])</f>
        <v>0</v>
      </c>
      <c r="AU336" s="82" t="str">
        <f>IF(AND(DaybyDay[[#This Row],[_Space]],ISNUMBER(DaybyDay[[#This Row],[Retail Hours]])),DaybyDay[[#This Row],[Est-Retail-Payroll]]/(DaybyDay[[#This Row],[Retail-Actuals]]),"")</f>
        <v/>
      </c>
      <c r="AV336" s="82" t="e">
        <f>DaybyDay[[#This Row],[Est-Retail-PayrollRU]]/DaybyDay[[#This Row],[Simple-Forecast-Retail]]</f>
        <v>#DIV/0!</v>
      </c>
      <c r="AW336" s="8"/>
    </row>
    <row r="337" spans="3:49" hidden="1" x14ac:dyDescent="0.25">
      <c r="C337" s="26" t="str">
        <f>Tools!$C$1</f>
        <v>Example</v>
      </c>
      <c r="D337" s="27" t="s">
        <v>78</v>
      </c>
      <c r="E337" s="28">
        <v>2017</v>
      </c>
      <c r="F337" s="28">
        <f>MATCH(DaybyDay[[#This Row],[RowMonth]],Table3[SummaryMonth],0)</f>
        <v>11</v>
      </c>
      <c r="G337" s="29" t="e">
        <f>MATCH(DaybyDay[[#This Row],[LY-Date]],DaybyDay[Date],0)</f>
        <v>#N/A</v>
      </c>
      <c r="H337" s="30">
        <f>WEEKDAY(DaybyDay[[#This Row],[Date]])</f>
        <v>2</v>
      </c>
      <c r="I337" s="31">
        <v>43066</v>
      </c>
      <c r="J337" s="74">
        <v>4</v>
      </c>
      <c r="K337" s="32">
        <f>SUMIFS(BudgetSeasonality[365 Seasonality],BudgetSeasonality[MonthAdjustment],DaybyDay[[#This Row],[Date]])*SUMIFS(Budgets[Service-Budget],Budgets[BudgetMonth],DaybyDay[[#This Row],[RowMonth]],Budgets[BudgetYear],DaybyDay[[#This Row],[RowYear]])</f>
        <v>0</v>
      </c>
      <c r="L337" s="75">
        <v>249.25</v>
      </c>
      <c r="M337" s="32">
        <f>INDEX(BudgetSeasonality[365 Seasonality],MATCH(DaybyDay[[#This Row],[Date]],BudgetSeasonality[MonthAdjustment],0))*SUMIFS(Budgets[Retail-Budget],Budgets[BudgetMonth],DaybyDay[[#This Row],[RowMonth]],Budgets[BudgetYear],DaybyDay[[#This Row],[RowYear]])</f>
        <v>0</v>
      </c>
      <c r="N337" s="75">
        <v>339</v>
      </c>
      <c r="O337" s="33">
        <f>SUMIFS(DaybyDay[Service-Budgets],DaybyDay[Date],"&gt;="&amp;$C$5,DaybyDay[RowYear],"&gt;="&amp;$C$4,DaybyDay[Date],"&lt;="&amp;DaybyDay[[#This Row],[Date]])</f>
        <v>0</v>
      </c>
      <c r="P337" s="33">
        <f>SUMIFS(DaybyDay[Retail-Budgets],DaybyDay[Date],"&gt;="&amp;$C$5,DaybyDay[RowYear],"&gt;="&amp;$C$4,DaybyDay[Date],"&lt;="&amp;DaybyDay[[#This Row],[Date]])</f>
        <v>0</v>
      </c>
      <c r="Q337" s="34">
        <f>SUMIFS(DaybyDay[Service-Actuals],DaybyDay[Date],"&gt;="&amp;$C$5,DaybyDay[RowYear],"&gt;="&amp;$C$4,DaybyDay[Date],"&lt;="&amp;DaybyDay[[#This Row],[Date]])</f>
        <v>0</v>
      </c>
      <c r="R337" s="34">
        <f>SUMIFS(DaybyDay[Retail-Actuals],DaybyDay[Date],"&gt;="&amp;$C$5,DaybyDay[RowYear],"&gt;="&amp;$C$4,DaybyDay[Date],"&lt;="&amp;DaybyDay[[#This Row],[Date]])</f>
        <v>0</v>
      </c>
      <c r="S337" s="35">
        <f>SUMIFS(DaybyDay[Service-LY],DaybyDay[Date],"&gt;="&amp;$C$5,DaybyDay[RowYear],"&gt;="&amp;$C$4,DaybyDay[Date],"&lt;="&amp;DaybyDay[[#This Row],[Date]])</f>
        <v>0</v>
      </c>
      <c r="T337" s="35">
        <f>SUMIFS(DaybyDay[Retail-LY],DaybyDay[Date],"&gt;="&amp;$C$5,DaybyDay[RowYear],"&gt;="&amp;$C$4,DaybyDay[Date],"&lt;="&amp;DaybyDay[[#This Row],[Date]])</f>
        <v>0</v>
      </c>
      <c r="U337" s="32">
        <f>DaybyDay[[#This Row],[Serv-Bud-RU]]+DaybyDay[[#This Row],[Ret-Bud-RU]]</f>
        <v>0</v>
      </c>
      <c r="V337" s="32">
        <f>DaybyDay[[#This Row],[Serv-Act-RU]]+DaybyDay[[#This Row],[Ret-Act-RU]]</f>
        <v>0</v>
      </c>
      <c r="W337" s="36">
        <f>IF(DaybyDay[[#This Row],[_Space]],IFERROR(
((DaybyDay[[#This Row],[Actual-Rollup]]-DaybyDay[[#This Row],[Budget-Rollup]])/DaybyDay[[#This Row],[Budget-Rollup]]),0),"")</f>
        <v>0</v>
      </c>
      <c r="X337" t="b">
        <f>NOT(AND(ISBLANK(DaybyDay[[#This Row],[Appts]]),ISBLANK(DaybyDay[[#This Row],[Service-Actuals]]),ISBLANK(DaybyDay[[#This Row],[Retail-Actuals]])))</f>
        <v>1</v>
      </c>
      <c r="Y337" s="36">
        <f>IF(DaybyDay[[#This Row],[_Space]],IFERROR(
((DaybyDay[[#This Row],[Actual-Rollup]]-DaybyDay[[#This Row],[LY-Rollup]])/DaybyDay[[#This Row],[LY-Rollup]]),0),"")</f>
        <v>0</v>
      </c>
      <c r="Z337"/>
      <c r="AA337" s="37" t="e">
        <f>IF(DaybyDay[[#This Row],[_Space]],DaybyDay[[#This Row],[Ret-Act-RU]]/DaybyDay[[#This Row],[Serv-Act-RU]],"")</f>
        <v>#DIV/0!</v>
      </c>
      <c r="AB337" s="50" t="e">
        <f>IF(DaybyDay[[#This Row],[_Space]],DaybyDay[[#This Row],[RETPEN-Act]]/DaybyDay[[#This Row],[RETPEN-Bud]],"")</f>
        <v>#DIV/0!</v>
      </c>
      <c r="AC337" s="37" t="e">
        <f>IF(DaybyDay[[#This Row],[_Space]],DaybyDay[[#This Row],[Ret-Bud-RU]]/DaybyDay[[#This Row],[Serv-Bud-RU]],"")</f>
        <v>#DIV/0!</v>
      </c>
      <c r="AD337" s="37" t="e">
        <f>IF(DaybyDay[[#This Row],[_Space]],DaybyDay[[#This Row],[Ret-LY-RU]]/DaybyDay[[#This Row],[Serv-LY-RU]],"")</f>
        <v>#DIV/0!</v>
      </c>
      <c r="AE337" s="30">
        <f>WEEKDAY(DaybyDay[[#This Row],[LY-Date]])</f>
        <v>2</v>
      </c>
      <c r="AF337" s="38">
        <f>$E$2+_xlfn.DAYS(DaybyDay[[#This Row],[Date]],minDate)</f>
        <v>42702</v>
      </c>
      <c r="AG337" s="39" t="str" cm="1">
        <f t="array" ref="AG337">IFERROR(INDEX(DaybyDay[],DaybyDay[[#This Row],[FORM_MATCH_HELPER]],8),"")</f>
        <v/>
      </c>
      <c r="AH337" s="39" t="str" cm="1">
        <f t="array" ref="AH337">IFERROR(INDEX(DaybyDay[],DaybyDay[[#This Row],[FORM_MATCH_HELPER]],10),"")</f>
        <v/>
      </c>
      <c r="AI337" s="39" t="str" cm="1">
        <f t="array" ref="AI337">IFERROR(INDEX(DaybyDay[],DaybyDay[[#This Row],[FORM_MATCH_HELPER]],12),"")</f>
        <v/>
      </c>
      <c r="AJ337" s="32">
        <f>IFERROR(DaybyDay[[#This Row],[Serv-LY-RU]]+DaybyDay[[#This Row],[Ret-LY-RU]],"")</f>
        <v>0</v>
      </c>
      <c r="AK3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7" s="77"/>
      <c r="AM337" s="40" t="str">
        <f>IF(DaybyDay[[#This Row],[Admin Hours]]&gt;0,DaybyDay[[#This Row],[Admin Hours]]*$AM$2+$AM$3,"")</f>
        <v/>
      </c>
      <c r="AN337" s="40">
        <f>SUMIFS(DaybyDay[Est-Admin-Payroll],DaybyDay[Date],"&gt;="&amp;$C$5,DaybyDay[RowYear],"&gt;="&amp;$C$4,DaybyDay[Date],"&lt;="&amp;DaybyDay[[#This Row],[Date]])</f>
        <v>0</v>
      </c>
      <c r="AO337" s="41" t="str">
        <f>IF(AND(DaybyDay[[#This Row],[_Space]],ISNUMBER(DaybyDay[[#This Row],[Admin Hours]])),DaybyDay[[#This Row],[Est-Admin-Payroll]]/(DaybyDay[[#This Row],[Service-Actuals]]+DaybyDay[[#This Row],[Retail-Actuals]]),"")</f>
        <v/>
      </c>
      <c r="AP337" s="41" t="e">
        <f>DaybyDay[[#This Row],[Estimated-Payroll-Rollup]]/DaybyDay[[#This Row],[Simple-Forecast]]</f>
        <v>#DIV/0!</v>
      </c>
      <c r="AQ3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7" s="77"/>
      <c r="AS337" s="40" t="str">
        <f>IF(DaybyDay[[#This Row],[Retail Hours]]&gt;0,DaybyDay[[#This Row],[Retail Hours]]*$AS$2,"")</f>
        <v/>
      </c>
      <c r="AT337" s="40">
        <f>SUMIFS(DaybyDay[Est-Retail-Payroll],DaybyDay[Date],"&gt;="&amp;$C$5,DaybyDay[RowYear],"&gt;="&amp;$C$4,DaybyDay[Date],"&lt;="&amp;DaybyDay[[#This Row],[Date]])</f>
        <v>0</v>
      </c>
      <c r="AU337" s="82" t="str">
        <f>IF(AND(DaybyDay[[#This Row],[_Space]],ISNUMBER(DaybyDay[[#This Row],[Retail Hours]])),DaybyDay[[#This Row],[Est-Retail-Payroll]]/(DaybyDay[[#This Row],[Retail-Actuals]]),"")</f>
        <v/>
      </c>
      <c r="AV337" s="82" t="e">
        <f>DaybyDay[[#This Row],[Est-Retail-PayrollRU]]/DaybyDay[[#This Row],[Simple-Forecast-Retail]]</f>
        <v>#DIV/0!</v>
      </c>
      <c r="AW337" s="8"/>
    </row>
    <row r="338" spans="3:49" hidden="1" x14ac:dyDescent="0.25">
      <c r="C338" s="26" t="str">
        <f>Tools!$C$1</f>
        <v>Example</v>
      </c>
      <c r="D338" s="27" t="s">
        <v>78</v>
      </c>
      <c r="E338" s="28">
        <v>2017</v>
      </c>
      <c r="F338" s="28">
        <f>MATCH(DaybyDay[[#This Row],[RowMonth]],Table3[SummaryMonth],0)</f>
        <v>11</v>
      </c>
      <c r="G338" s="29" t="e">
        <f>MATCH(DaybyDay[[#This Row],[LY-Date]],DaybyDay[Date],0)</f>
        <v>#N/A</v>
      </c>
      <c r="H338" s="30">
        <f>WEEKDAY(DaybyDay[[#This Row],[Date]])</f>
        <v>3</v>
      </c>
      <c r="I338" s="31">
        <v>43067</v>
      </c>
      <c r="J338" s="74">
        <v>18</v>
      </c>
      <c r="K338" s="32">
        <f>SUMIFS(BudgetSeasonality[365 Seasonality],BudgetSeasonality[MonthAdjustment],DaybyDay[[#This Row],[Date]])*SUMIFS(Budgets[Service-Budget],Budgets[BudgetMonth],DaybyDay[[#This Row],[RowMonth]],Budgets[BudgetYear],DaybyDay[[#This Row],[RowYear]])</f>
        <v>0</v>
      </c>
      <c r="L338" s="75">
        <v>3495.3</v>
      </c>
      <c r="M338" s="32">
        <f>INDEX(BudgetSeasonality[365 Seasonality],MATCH(DaybyDay[[#This Row],[Date]],BudgetSeasonality[MonthAdjustment],0))*SUMIFS(Budgets[Retail-Budget],Budgets[BudgetMonth],DaybyDay[[#This Row],[RowMonth]],Budgets[BudgetYear],DaybyDay[[#This Row],[RowYear]])</f>
        <v>0</v>
      </c>
      <c r="N338" s="75">
        <v>536.79999999999995</v>
      </c>
      <c r="O338" s="33">
        <f>SUMIFS(DaybyDay[Service-Budgets],DaybyDay[Date],"&gt;="&amp;$C$5,DaybyDay[RowYear],"&gt;="&amp;$C$4,DaybyDay[Date],"&lt;="&amp;DaybyDay[[#This Row],[Date]])</f>
        <v>0</v>
      </c>
      <c r="P338" s="33">
        <f>SUMIFS(DaybyDay[Retail-Budgets],DaybyDay[Date],"&gt;="&amp;$C$5,DaybyDay[RowYear],"&gt;="&amp;$C$4,DaybyDay[Date],"&lt;="&amp;DaybyDay[[#This Row],[Date]])</f>
        <v>0</v>
      </c>
      <c r="Q338" s="34">
        <f>SUMIFS(DaybyDay[Service-Actuals],DaybyDay[Date],"&gt;="&amp;$C$5,DaybyDay[RowYear],"&gt;="&amp;$C$4,DaybyDay[Date],"&lt;="&amp;DaybyDay[[#This Row],[Date]])</f>
        <v>0</v>
      </c>
      <c r="R338" s="34">
        <f>SUMIFS(DaybyDay[Retail-Actuals],DaybyDay[Date],"&gt;="&amp;$C$5,DaybyDay[RowYear],"&gt;="&amp;$C$4,DaybyDay[Date],"&lt;="&amp;DaybyDay[[#This Row],[Date]])</f>
        <v>0</v>
      </c>
      <c r="S338" s="35">
        <f>SUMIFS(DaybyDay[Service-LY],DaybyDay[Date],"&gt;="&amp;$C$5,DaybyDay[RowYear],"&gt;="&amp;$C$4,DaybyDay[Date],"&lt;="&amp;DaybyDay[[#This Row],[Date]])</f>
        <v>0</v>
      </c>
      <c r="T338" s="35">
        <f>SUMIFS(DaybyDay[Retail-LY],DaybyDay[Date],"&gt;="&amp;$C$5,DaybyDay[RowYear],"&gt;="&amp;$C$4,DaybyDay[Date],"&lt;="&amp;DaybyDay[[#This Row],[Date]])</f>
        <v>0</v>
      </c>
      <c r="U338" s="32">
        <f>DaybyDay[[#This Row],[Serv-Bud-RU]]+DaybyDay[[#This Row],[Ret-Bud-RU]]</f>
        <v>0</v>
      </c>
      <c r="V338" s="32">
        <f>DaybyDay[[#This Row],[Serv-Act-RU]]+DaybyDay[[#This Row],[Ret-Act-RU]]</f>
        <v>0</v>
      </c>
      <c r="W338" s="36">
        <f>IF(DaybyDay[[#This Row],[_Space]],IFERROR(
((DaybyDay[[#This Row],[Actual-Rollup]]-DaybyDay[[#This Row],[Budget-Rollup]])/DaybyDay[[#This Row],[Budget-Rollup]]),0),"")</f>
        <v>0</v>
      </c>
      <c r="X338" t="b">
        <f>NOT(AND(ISBLANK(DaybyDay[[#This Row],[Appts]]),ISBLANK(DaybyDay[[#This Row],[Service-Actuals]]),ISBLANK(DaybyDay[[#This Row],[Retail-Actuals]])))</f>
        <v>1</v>
      </c>
      <c r="Y338" s="36">
        <f>IF(DaybyDay[[#This Row],[_Space]],IFERROR(
((DaybyDay[[#This Row],[Actual-Rollup]]-DaybyDay[[#This Row],[LY-Rollup]])/DaybyDay[[#This Row],[LY-Rollup]]),0),"")</f>
        <v>0</v>
      </c>
      <c r="Z338"/>
      <c r="AA338" s="37" t="e">
        <f>IF(DaybyDay[[#This Row],[_Space]],DaybyDay[[#This Row],[Ret-Act-RU]]/DaybyDay[[#This Row],[Serv-Act-RU]],"")</f>
        <v>#DIV/0!</v>
      </c>
      <c r="AB338" s="50" t="e">
        <f>IF(DaybyDay[[#This Row],[_Space]],DaybyDay[[#This Row],[RETPEN-Act]]/DaybyDay[[#This Row],[RETPEN-Bud]],"")</f>
        <v>#DIV/0!</v>
      </c>
      <c r="AC338" s="37" t="e">
        <f>IF(DaybyDay[[#This Row],[_Space]],DaybyDay[[#This Row],[Ret-Bud-RU]]/DaybyDay[[#This Row],[Serv-Bud-RU]],"")</f>
        <v>#DIV/0!</v>
      </c>
      <c r="AD338" s="37" t="e">
        <f>IF(DaybyDay[[#This Row],[_Space]],DaybyDay[[#This Row],[Ret-LY-RU]]/DaybyDay[[#This Row],[Serv-LY-RU]],"")</f>
        <v>#DIV/0!</v>
      </c>
      <c r="AE338" s="30">
        <f>WEEKDAY(DaybyDay[[#This Row],[LY-Date]])</f>
        <v>3</v>
      </c>
      <c r="AF338" s="38">
        <f>$E$2+_xlfn.DAYS(DaybyDay[[#This Row],[Date]],minDate)</f>
        <v>42703</v>
      </c>
      <c r="AG338" s="39" t="str" cm="1">
        <f t="array" ref="AG338">IFERROR(INDEX(DaybyDay[],DaybyDay[[#This Row],[FORM_MATCH_HELPER]],8),"")</f>
        <v/>
      </c>
      <c r="AH338" s="39" t="str" cm="1">
        <f t="array" ref="AH338">IFERROR(INDEX(DaybyDay[],DaybyDay[[#This Row],[FORM_MATCH_HELPER]],10),"")</f>
        <v/>
      </c>
      <c r="AI338" s="39" t="str" cm="1">
        <f t="array" ref="AI338">IFERROR(INDEX(DaybyDay[],DaybyDay[[#This Row],[FORM_MATCH_HELPER]],12),"")</f>
        <v/>
      </c>
      <c r="AJ338" s="32">
        <f>IFERROR(DaybyDay[[#This Row],[Serv-LY-RU]]+DaybyDay[[#This Row],[Ret-LY-RU]],"")</f>
        <v>0</v>
      </c>
      <c r="AK3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8" s="77"/>
      <c r="AM338" s="40" t="str">
        <f>IF(DaybyDay[[#This Row],[Admin Hours]]&gt;0,DaybyDay[[#This Row],[Admin Hours]]*$AM$2+$AM$3,"")</f>
        <v/>
      </c>
      <c r="AN338" s="40">
        <f>SUMIFS(DaybyDay[Est-Admin-Payroll],DaybyDay[Date],"&gt;="&amp;$C$5,DaybyDay[RowYear],"&gt;="&amp;$C$4,DaybyDay[Date],"&lt;="&amp;DaybyDay[[#This Row],[Date]])</f>
        <v>0</v>
      </c>
      <c r="AO338" s="41" t="str">
        <f>IF(AND(DaybyDay[[#This Row],[_Space]],ISNUMBER(DaybyDay[[#This Row],[Admin Hours]])),DaybyDay[[#This Row],[Est-Admin-Payroll]]/(DaybyDay[[#This Row],[Service-Actuals]]+DaybyDay[[#This Row],[Retail-Actuals]]),"")</f>
        <v/>
      </c>
      <c r="AP338" s="41" t="e">
        <f>DaybyDay[[#This Row],[Estimated-Payroll-Rollup]]/DaybyDay[[#This Row],[Simple-Forecast]]</f>
        <v>#DIV/0!</v>
      </c>
      <c r="AQ3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8" s="77"/>
      <c r="AS338" s="40" t="str">
        <f>IF(DaybyDay[[#This Row],[Retail Hours]]&gt;0,DaybyDay[[#This Row],[Retail Hours]]*$AS$2,"")</f>
        <v/>
      </c>
      <c r="AT338" s="40">
        <f>SUMIFS(DaybyDay[Est-Retail-Payroll],DaybyDay[Date],"&gt;="&amp;$C$5,DaybyDay[RowYear],"&gt;="&amp;$C$4,DaybyDay[Date],"&lt;="&amp;DaybyDay[[#This Row],[Date]])</f>
        <v>0</v>
      </c>
      <c r="AU338" s="82" t="str">
        <f>IF(AND(DaybyDay[[#This Row],[_Space]],ISNUMBER(DaybyDay[[#This Row],[Retail Hours]])),DaybyDay[[#This Row],[Est-Retail-Payroll]]/(DaybyDay[[#This Row],[Retail-Actuals]]),"")</f>
        <v/>
      </c>
      <c r="AV338" s="82" t="e">
        <f>DaybyDay[[#This Row],[Est-Retail-PayrollRU]]/DaybyDay[[#This Row],[Simple-Forecast-Retail]]</f>
        <v>#DIV/0!</v>
      </c>
      <c r="AW338" s="8"/>
    </row>
    <row r="339" spans="3:49" hidden="1" x14ac:dyDescent="0.25">
      <c r="C339" s="26" t="str">
        <f>Tools!$C$1</f>
        <v>Example</v>
      </c>
      <c r="D339" s="27" t="s">
        <v>78</v>
      </c>
      <c r="E339" s="28">
        <v>2017</v>
      </c>
      <c r="F339" s="28">
        <f>MATCH(DaybyDay[[#This Row],[RowMonth]],Table3[SummaryMonth],0)</f>
        <v>11</v>
      </c>
      <c r="G339" s="29" t="e">
        <f>MATCH(DaybyDay[[#This Row],[LY-Date]],DaybyDay[Date],0)</f>
        <v>#N/A</v>
      </c>
      <c r="H339" s="30">
        <f>WEEKDAY(DaybyDay[[#This Row],[Date]])</f>
        <v>4</v>
      </c>
      <c r="I339" s="31">
        <v>43068</v>
      </c>
      <c r="J339" s="74">
        <v>18</v>
      </c>
      <c r="K339" s="32">
        <f>SUMIFS(BudgetSeasonality[365 Seasonality],BudgetSeasonality[MonthAdjustment],DaybyDay[[#This Row],[Date]])*SUMIFS(Budgets[Service-Budget],Budgets[BudgetMonth],DaybyDay[[#This Row],[RowMonth]],Budgets[BudgetYear],DaybyDay[[#This Row],[RowYear]])</f>
        <v>0</v>
      </c>
      <c r="L339" s="75">
        <v>4320.6000000000004</v>
      </c>
      <c r="M339" s="32">
        <f>INDEX(BudgetSeasonality[365 Seasonality],MATCH(DaybyDay[[#This Row],[Date]],BudgetSeasonality[MonthAdjustment],0))*SUMIFS(Budgets[Retail-Budget],Budgets[BudgetMonth],DaybyDay[[#This Row],[RowMonth]],Budgets[BudgetYear],DaybyDay[[#This Row],[RowYear]])</f>
        <v>0</v>
      </c>
      <c r="N339" s="75">
        <v>630</v>
      </c>
      <c r="O339" s="33">
        <f>SUMIFS(DaybyDay[Service-Budgets],DaybyDay[Date],"&gt;="&amp;$C$5,DaybyDay[RowYear],"&gt;="&amp;$C$4,DaybyDay[Date],"&lt;="&amp;DaybyDay[[#This Row],[Date]])</f>
        <v>0</v>
      </c>
      <c r="P339" s="33">
        <f>SUMIFS(DaybyDay[Retail-Budgets],DaybyDay[Date],"&gt;="&amp;$C$5,DaybyDay[RowYear],"&gt;="&amp;$C$4,DaybyDay[Date],"&lt;="&amp;DaybyDay[[#This Row],[Date]])</f>
        <v>0</v>
      </c>
      <c r="Q339" s="34">
        <f>SUMIFS(DaybyDay[Service-Actuals],DaybyDay[Date],"&gt;="&amp;$C$5,DaybyDay[RowYear],"&gt;="&amp;$C$4,DaybyDay[Date],"&lt;="&amp;DaybyDay[[#This Row],[Date]])</f>
        <v>0</v>
      </c>
      <c r="R339" s="34">
        <f>SUMIFS(DaybyDay[Retail-Actuals],DaybyDay[Date],"&gt;="&amp;$C$5,DaybyDay[RowYear],"&gt;="&amp;$C$4,DaybyDay[Date],"&lt;="&amp;DaybyDay[[#This Row],[Date]])</f>
        <v>0</v>
      </c>
      <c r="S339" s="35">
        <f>SUMIFS(DaybyDay[Service-LY],DaybyDay[Date],"&gt;="&amp;$C$5,DaybyDay[RowYear],"&gt;="&amp;$C$4,DaybyDay[Date],"&lt;="&amp;DaybyDay[[#This Row],[Date]])</f>
        <v>0</v>
      </c>
      <c r="T339" s="35">
        <f>SUMIFS(DaybyDay[Retail-LY],DaybyDay[Date],"&gt;="&amp;$C$5,DaybyDay[RowYear],"&gt;="&amp;$C$4,DaybyDay[Date],"&lt;="&amp;DaybyDay[[#This Row],[Date]])</f>
        <v>0</v>
      </c>
      <c r="U339" s="32">
        <f>DaybyDay[[#This Row],[Serv-Bud-RU]]+DaybyDay[[#This Row],[Ret-Bud-RU]]</f>
        <v>0</v>
      </c>
      <c r="V339" s="32">
        <f>DaybyDay[[#This Row],[Serv-Act-RU]]+DaybyDay[[#This Row],[Ret-Act-RU]]</f>
        <v>0</v>
      </c>
      <c r="W339" s="36">
        <f>IF(DaybyDay[[#This Row],[_Space]],IFERROR(
((DaybyDay[[#This Row],[Actual-Rollup]]-DaybyDay[[#This Row],[Budget-Rollup]])/DaybyDay[[#This Row],[Budget-Rollup]]),0),"")</f>
        <v>0</v>
      </c>
      <c r="X339" t="b">
        <f>NOT(AND(ISBLANK(DaybyDay[[#This Row],[Appts]]),ISBLANK(DaybyDay[[#This Row],[Service-Actuals]]),ISBLANK(DaybyDay[[#This Row],[Retail-Actuals]])))</f>
        <v>1</v>
      </c>
      <c r="Y339" s="36">
        <f>IF(DaybyDay[[#This Row],[_Space]],IFERROR(
((DaybyDay[[#This Row],[Actual-Rollup]]-DaybyDay[[#This Row],[LY-Rollup]])/DaybyDay[[#This Row],[LY-Rollup]]),0),"")</f>
        <v>0</v>
      </c>
      <c r="Z339"/>
      <c r="AA339" s="37" t="e">
        <f>IF(DaybyDay[[#This Row],[_Space]],DaybyDay[[#This Row],[Ret-Act-RU]]/DaybyDay[[#This Row],[Serv-Act-RU]],"")</f>
        <v>#DIV/0!</v>
      </c>
      <c r="AB339" s="50" t="e">
        <f>IF(DaybyDay[[#This Row],[_Space]],DaybyDay[[#This Row],[RETPEN-Act]]/DaybyDay[[#This Row],[RETPEN-Bud]],"")</f>
        <v>#DIV/0!</v>
      </c>
      <c r="AC339" s="37" t="e">
        <f>IF(DaybyDay[[#This Row],[_Space]],DaybyDay[[#This Row],[Ret-Bud-RU]]/DaybyDay[[#This Row],[Serv-Bud-RU]],"")</f>
        <v>#DIV/0!</v>
      </c>
      <c r="AD339" s="37" t="e">
        <f>IF(DaybyDay[[#This Row],[_Space]],DaybyDay[[#This Row],[Ret-LY-RU]]/DaybyDay[[#This Row],[Serv-LY-RU]],"")</f>
        <v>#DIV/0!</v>
      </c>
      <c r="AE339" s="30">
        <f>WEEKDAY(DaybyDay[[#This Row],[LY-Date]])</f>
        <v>4</v>
      </c>
      <c r="AF339" s="38">
        <f>$E$2+_xlfn.DAYS(DaybyDay[[#This Row],[Date]],minDate)</f>
        <v>42704</v>
      </c>
      <c r="AG339" s="39" t="str" cm="1">
        <f t="array" ref="AG339">IFERROR(INDEX(DaybyDay[],DaybyDay[[#This Row],[FORM_MATCH_HELPER]],8),"")</f>
        <v/>
      </c>
      <c r="AH339" s="39" t="str" cm="1">
        <f t="array" ref="AH339">IFERROR(INDEX(DaybyDay[],DaybyDay[[#This Row],[FORM_MATCH_HELPER]],10),"")</f>
        <v/>
      </c>
      <c r="AI339" s="39" t="str" cm="1">
        <f t="array" ref="AI339">IFERROR(INDEX(DaybyDay[],DaybyDay[[#This Row],[FORM_MATCH_HELPER]],12),"")</f>
        <v/>
      </c>
      <c r="AJ339" s="32">
        <f>IFERROR(DaybyDay[[#This Row],[Serv-LY-RU]]+DaybyDay[[#This Row],[Ret-LY-RU]],"")</f>
        <v>0</v>
      </c>
      <c r="AK3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39" s="77"/>
      <c r="AM339" s="40" t="str">
        <f>IF(DaybyDay[[#This Row],[Admin Hours]]&gt;0,DaybyDay[[#This Row],[Admin Hours]]*$AM$2+$AM$3,"")</f>
        <v/>
      </c>
      <c r="AN339" s="40">
        <f>SUMIFS(DaybyDay[Est-Admin-Payroll],DaybyDay[Date],"&gt;="&amp;$C$5,DaybyDay[RowYear],"&gt;="&amp;$C$4,DaybyDay[Date],"&lt;="&amp;DaybyDay[[#This Row],[Date]])</f>
        <v>0</v>
      </c>
      <c r="AO339" s="41" t="str">
        <f>IF(AND(DaybyDay[[#This Row],[_Space]],ISNUMBER(DaybyDay[[#This Row],[Admin Hours]])),DaybyDay[[#This Row],[Est-Admin-Payroll]]/(DaybyDay[[#This Row],[Service-Actuals]]+DaybyDay[[#This Row],[Retail-Actuals]]),"")</f>
        <v/>
      </c>
      <c r="AP339" s="41" t="e">
        <f>DaybyDay[[#This Row],[Estimated-Payroll-Rollup]]/DaybyDay[[#This Row],[Simple-Forecast]]</f>
        <v>#DIV/0!</v>
      </c>
      <c r="AQ3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39" s="77"/>
      <c r="AS339" s="40" t="str">
        <f>IF(DaybyDay[[#This Row],[Retail Hours]]&gt;0,DaybyDay[[#This Row],[Retail Hours]]*$AS$2,"")</f>
        <v/>
      </c>
      <c r="AT339" s="40">
        <f>SUMIFS(DaybyDay[Est-Retail-Payroll],DaybyDay[Date],"&gt;="&amp;$C$5,DaybyDay[RowYear],"&gt;="&amp;$C$4,DaybyDay[Date],"&lt;="&amp;DaybyDay[[#This Row],[Date]])</f>
        <v>0</v>
      </c>
      <c r="AU339" s="82" t="str">
        <f>IF(AND(DaybyDay[[#This Row],[_Space]],ISNUMBER(DaybyDay[[#This Row],[Retail Hours]])),DaybyDay[[#This Row],[Est-Retail-Payroll]]/(DaybyDay[[#This Row],[Retail-Actuals]]),"")</f>
        <v/>
      </c>
      <c r="AV339" s="82" t="e">
        <f>DaybyDay[[#This Row],[Est-Retail-PayrollRU]]/DaybyDay[[#This Row],[Simple-Forecast-Retail]]</f>
        <v>#DIV/0!</v>
      </c>
      <c r="AW339" s="8"/>
    </row>
    <row r="340" spans="3:49" hidden="1" x14ac:dyDescent="0.25">
      <c r="C340" s="26" t="str">
        <f>Tools!$C$1</f>
        <v>Example</v>
      </c>
      <c r="D340" s="27" t="s">
        <v>78</v>
      </c>
      <c r="E340" s="28">
        <v>2017</v>
      </c>
      <c r="F340" s="28">
        <f>MATCH(DaybyDay[[#This Row],[RowMonth]],Table3[SummaryMonth],0)</f>
        <v>11</v>
      </c>
      <c r="G340" s="29" t="e">
        <f>MATCH(DaybyDay[[#This Row],[LY-Date]],DaybyDay[Date],0)</f>
        <v>#N/A</v>
      </c>
      <c r="H340" s="30">
        <f>WEEKDAY(DaybyDay[[#This Row],[Date]])</f>
        <v>5</v>
      </c>
      <c r="I340" s="31">
        <v>43069</v>
      </c>
      <c r="J340" s="74">
        <v>27</v>
      </c>
      <c r="K340" s="32">
        <f>SUMIFS(BudgetSeasonality[365 Seasonality],BudgetSeasonality[MonthAdjustment],DaybyDay[[#This Row],[Date]])*SUMIFS(Budgets[Service-Budget],Budgets[BudgetMonth],DaybyDay[[#This Row],[RowMonth]],Budgets[BudgetYear],DaybyDay[[#This Row],[RowYear]])</f>
        <v>0</v>
      </c>
      <c r="L340" s="75">
        <v>5166.1000000000004</v>
      </c>
      <c r="M340" s="32">
        <f>INDEX(BudgetSeasonality[365 Seasonality],MATCH(DaybyDay[[#This Row],[Date]],BudgetSeasonality[MonthAdjustment],0))*SUMIFS(Budgets[Retail-Budget],Budgets[BudgetMonth],DaybyDay[[#This Row],[RowMonth]],Budgets[BudgetYear],DaybyDay[[#This Row],[RowYear]])</f>
        <v>0</v>
      </c>
      <c r="N340" s="75">
        <v>743.3</v>
      </c>
      <c r="O340" s="33">
        <f>SUMIFS(DaybyDay[Service-Budgets],DaybyDay[Date],"&gt;="&amp;$C$5,DaybyDay[RowYear],"&gt;="&amp;$C$4,DaybyDay[Date],"&lt;="&amp;DaybyDay[[#This Row],[Date]])</f>
        <v>0</v>
      </c>
      <c r="P340" s="33">
        <f>SUMIFS(DaybyDay[Retail-Budgets],DaybyDay[Date],"&gt;="&amp;$C$5,DaybyDay[RowYear],"&gt;="&amp;$C$4,DaybyDay[Date],"&lt;="&amp;DaybyDay[[#This Row],[Date]])</f>
        <v>0</v>
      </c>
      <c r="Q340" s="34">
        <f>SUMIFS(DaybyDay[Service-Actuals],DaybyDay[Date],"&gt;="&amp;$C$5,DaybyDay[RowYear],"&gt;="&amp;$C$4,DaybyDay[Date],"&lt;="&amp;DaybyDay[[#This Row],[Date]])</f>
        <v>0</v>
      </c>
      <c r="R340" s="34">
        <f>SUMIFS(DaybyDay[Retail-Actuals],DaybyDay[Date],"&gt;="&amp;$C$5,DaybyDay[RowYear],"&gt;="&amp;$C$4,DaybyDay[Date],"&lt;="&amp;DaybyDay[[#This Row],[Date]])</f>
        <v>0</v>
      </c>
      <c r="S340" s="35">
        <f>SUMIFS(DaybyDay[Service-LY],DaybyDay[Date],"&gt;="&amp;$C$5,DaybyDay[RowYear],"&gt;="&amp;$C$4,DaybyDay[Date],"&lt;="&amp;DaybyDay[[#This Row],[Date]])</f>
        <v>0</v>
      </c>
      <c r="T340" s="35">
        <f>SUMIFS(DaybyDay[Retail-LY],DaybyDay[Date],"&gt;="&amp;$C$5,DaybyDay[RowYear],"&gt;="&amp;$C$4,DaybyDay[Date],"&lt;="&amp;DaybyDay[[#This Row],[Date]])</f>
        <v>0</v>
      </c>
      <c r="U340" s="32">
        <f>DaybyDay[[#This Row],[Serv-Bud-RU]]+DaybyDay[[#This Row],[Ret-Bud-RU]]</f>
        <v>0</v>
      </c>
      <c r="V340" s="32">
        <f>DaybyDay[[#This Row],[Serv-Act-RU]]+DaybyDay[[#This Row],[Ret-Act-RU]]</f>
        <v>0</v>
      </c>
      <c r="W340" s="36">
        <f>IF(DaybyDay[[#This Row],[_Space]],IFERROR(
((DaybyDay[[#This Row],[Actual-Rollup]]-DaybyDay[[#This Row],[Budget-Rollup]])/DaybyDay[[#This Row],[Budget-Rollup]]),0),"")</f>
        <v>0</v>
      </c>
      <c r="X340" t="b">
        <f>NOT(AND(ISBLANK(DaybyDay[[#This Row],[Appts]]),ISBLANK(DaybyDay[[#This Row],[Service-Actuals]]),ISBLANK(DaybyDay[[#This Row],[Retail-Actuals]])))</f>
        <v>1</v>
      </c>
      <c r="Y340" s="36">
        <f>IF(DaybyDay[[#This Row],[_Space]],IFERROR(
((DaybyDay[[#This Row],[Actual-Rollup]]-DaybyDay[[#This Row],[LY-Rollup]])/DaybyDay[[#This Row],[LY-Rollup]]),0),"")</f>
        <v>0</v>
      </c>
      <c r="Z340"/>
      <c r="AA340" s="37" t="e">
        <f>IF(DaybyDay[[#This Row],[_Space]],DaybyDay[[#This Row],[Ret-Act-RU]]/DaybyDay[[#This Row],[Serv-Act-RU]],"")</f>
        <v>#DIV/0!</v>
      </c>
      <c r="AB340" s="50" t="e">
        <f>IF(DaybyDay[[#This Row],[_Space]],DaybyDay[[#This Row],[RETPEN-Act]]/DaybyDay[[#This Row],[RETPEN-Bud]],"")</f>
        <v>#DIV/0!</v>
      </c>
      <c r="AC340" s="37" t="e">
        <f>IF(DaybyDay[[#This Row],[_Space]],DaybyDay[[#This Row],[Ret-Bud-RU]]/DaybyDay[[#This Row],[Serv-Bud-RU]],"")</f>
        <v>#DIV/0!</v>
      </c>
      <c r="AD340" s="37" t="e">
        <f>IF(DaybyDay[[#This Row],[_Space]],DaybyDay[[#This Row],[Ret-LY-RU]]/DaybyDay[[#This Row],[Serv-LY-RU]],"")</f>
        <v>#DIV/0!</v>
      </c>
      <c r="AE340" s="30">
        <f>WEEKDAY(DaybyDay[[#This Row],[LY-Date]])</f>
        <v>5</v>
      </c>
      <c r="AF340" s="38">
        <f>$E$2+_xlfn.DAYS(DaybyDay[[#This Row],[Date]],minDate)</f>
        <v>42705</v>
      </c>
      <c r="AG340" s="39" t="str" cm="1">
        <f t="array" ref="AG340">IFERROR(INDEX(DaybyDay[],DaybyDay[[#This Row],[FORM_MATCH_HELPER]],8),"")</f>
        <v/>
      </c>
      <c r="AH340" s="39" t="str" cm="1">
        <f t="array" ref="AH340">IFERROR(INDEX(DaybyDay[],DaybyDay[[#This Row],[FORM_MATCH_HELPER]],10),"")</f>
        <v/>
      </c>
      <c r="AI340" s="39" t="str" cm="1">
        <f t="array" ref="AI340">IFERROR(INDEX(DaybyDay[],DaybyDay[[#This Row],[FORM_MATCH_HELPER]],12),"")</f>
        <v/>
      </c>
      <c r="AJ340" s="32">
        <f>IFERROR(DaybyDay[[#This Row],[Serv-LY-RU]]+DaybyDay[[#This Row],[Ret-LY-RU]],"")</f>
        <v>0</v>
      </c>
      <c r="AK3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0" s="77"/>
      <c r="AM340" s="40" t="str">
        <f>IF(DaybyDay[[#This Row],[Admin Hours]]&gt;0,DaybyDay[[#This Row],[Admin Hours]]*$AM$2+$AM$3,"")</f>
        <v/>
      </c>
      <c r="AN340" s="40">
        <f>SUMIFS(DaybyDay[Est-Admin-Payroll],DaybyDay[Date],"&gt;="&amp;$C$5,DaybyDay[RowYear],"&gt;="&amp;$C$4,DaybyDay[Date],"&lt;="&amp;DaybyDay[[#This Row],[Date]])</f>
        <v>0</v>
      </c>
      <c r="AO340" s="41" t="str">
        <f>IF(AND(DaybyDay[[#This Row],[_Space]],ISNUMBER(DaybyDay[[#This Row],[Admin Hours]])),DaybyDay[[#This Row],[Est-Admin-Payroll]]/(DaybyDay[[#This Row],[Service-Actuals]]+DaybyDay[[#This Row],[Retail-Actuals]]),"")</f>
        <v/>
      </c>
      <c r="AP340" s="41" t="e">
        <f>DaybyDay[[#This Row],[Estimated-Payroll-Rollup]]/DaybyDay[[#This Row],[Simple-Forecast]]</f>
        <v>#DIV/0!</v>
      </c>
      <c r="AQ3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0" s="77"/>
      <c r="AS340" s="40" t="str">
        <f>IF(DaybyDay[[#This Row],[Retail Hours]]&gt;0,DaybyDay[[#This Row],[Retail Hours]]*$AS$2,"")</f>
        <v/>
      </c>
      <c r="AT340" s="40">
        <f>SUMIFS(DaybyDay[Est-Retail-Payroll],DaybyDay[Date],"&gt;="&amp;$C$5,DaybyDay[RowYear],"&gt;="&amp;$C$4,DaybyDay[Date],"&lt;="&amp;DaybyDay[[#This Row],[Date]])</f>
        <v>0</v>
      </c>
      <c r="AU340" s="82" t="str">
        <f>IF(AND(DaybyDay[[#This Row],[_Space]],ISNUMBER(DaybyDay[[#This Row],[Retail Hours]])),DaybyDay[[#This Row],[Est-Retail-Payroll]]/(DaybyDay[[#This Row],[Retail-Actuals]]),"")</f>
        <v/>
      </c>
      <c r="AV340" s="82" t="e">
        <f>DaybyDay[[#This Row],[Est-Retail-PayrollRU]]/DaybyDay[[#This Row],[Simple-Forecast-Retail]]</f>
        <v>#DIV/0!</v>
      </c>
      <c r="AW340" s="8"/>
    </row>
    <row r="341" spans="3:49" hidden="1" x14ac:dyDescent="0.25">
      <c r="C341" s="26" t="str">
        <f>Tools!$C$1</f>
        <v>Example</v>
      </c>
      <c r="D341" s="27" t="s">
        <v>78</v>
      </c>
      <c r="E341" s="28">
        <v>2017</v>
      </c>
      <c r="F341" s="28">
        <f>MATCH(DaybyDay[[#This Row],[RowMonth]],Table3[SummaryMonth],0)</f>
        <v>11</v>
      </c>
      <c r="G341" s="29" t="e">
        <f>MATCH(DaybyDay[[#This Row],[LY-Date]],DaybyDay[Date],0)</f>
        <v>#N/A</v>
      </c>
      <c r="H341" s="30">
        <f>WEEKDAY(DaybyDay[[#This Row],[Date]])</f>
        <v>6</v>
      </c>
      <c r="I341" s="31">
        <v>43070</v>
      </c>
      <c r="J341" s="74">
        <v>20</v>
      </c>
      <c r="K341" s="32">
        <f>SUMIFS(BudgetSeasonality[365 Seasonality],BudgetSeasonality[MonthAdjustment],DaybyDay[[#This Row],[Date]])*SUMIFS(Budgets[Service-Budget],Budgets[BudgetMonth],DaybyDay[[#This Row],[RowMonth]],Budgets[BudgetYear],DaybyDay[[#This Row],[RowYear]])</f>
        <v>0</v>
      </c>
      <c r="L341" s="75">
        <v>3282.05</v>
      </c>
      <c r="M341" s="32">
        <f>INDEX(BudgetSeasonality[365 Seasonality],MATCH(DaybyDay[[#This Row],[Date]],BudgetSeasonality[MonthAdjustment],0))*SUMIFS(Budgets[Retail-Budget],Budgets[BudgetMonth],DaybyDay[[#This Row],[RowMonth]],Budgets[BudgetYear],DaybyDay[[#This Row],[RowYear]])</f>
        <v>0</v>
      </c>
      <c r="N341" s="75">
        <v>318.5</v>
      </c>
      <c r="O341" s="33">
        <f>SUMIFS(DaybyDay[Service-Budgets],DaybyDay[Date],"&gt;="&amp;$C$5,DaybyDay[RowYear],"&gt;="&amp;$C$4,DaybyDay[Date],"&lt;="&amp;DaybyDay[[#This Row],[Date]])</f>
        <v>0</v>
      </c>
      <c r="P341" s="33">
        <f>SUMIFS(DaybyDay[Retail-Budgets],DaybyDay[Date],"&gt;="&amp;$C$5,DaybyDay[RowYear],"&gt;="&amp;$C$4,DaybyDay[Date],"&lt;="&amp;DaybyDay[[#This Row],[Date]])</f>
        <v>0</v>
      </c>
      <c r="Q341" s="34">
        <f>SUMIFS(DaybyDay[Service-Actuals],DaybyDay[Date],"&gt;="&amp;$C$5,DaybyDay[RowYear],"&gt;="&amp;$C$4,DaybyDay[Date],"&lt;="&amp;DaybyDay[[#This Row],[Date]])</f>
        <v>0</v>
      </c>
      <c r="R341" s="34">
        <f>SUMIFS(DaybyDay[Retail-Actuals],DaybyDay[Date],"&gt;="&amp;$C$5,DaybyDay[RowYear],"&gt;="&amp;$C$4,DaybyDay[Date],"&lt;="&amp;DaybyDay[[#This Row],[Date]])</f>
        <v>0</v>
      </c>
      <c r="S341" s="35">
        <f>SUMIFS(DaybyDay[Service-LY],DaybyDay[Date],"&gt;="&amp;$C$5,DaybyDay[RowYear],"&gt;="&amp;$C$4,DaybyDay[Date],"&lt;="&amp;DaybyDay[[#This Row],[Date]])</f>
        <v>0</v>
      </c>
      <c r="T341" s="35">
        <f>SUMIFS(DaybyDay[Retail-LY],DaybyDay[Date],"&gt;="&amp;$C$5,DaybyDay[RowYear],"&gt;="&amp;$C$4,DaybyDay[Date],"&lt;="&amp;DaybyDay[[#This Row],[Date]])</f>
        <v>0</v>
      </c>
      <c r="U341" s="32">
        <f>DaybyDay[[#This Row],[Serv-Bud-RU]]+DaybyDay[[#This Row],[Ret-Bud-RU]]</f>
        <v>0</v>
      </c>
      <c r="V341" s="32">
        <f>DaybyDay[[#This Row],[Serv-Act-RU]]+DaybyDay[[#This Row],[Ret-Act-RU]]</f>
        <v>0</v>
      </c>
      <c r="W341" s="36">
        <f>IF(DaybyDay[[#This Row],[_Space]],IFERROR(
((DaybyDay[[#This Row],[Actual-Rollup]]-DaybyDay[[#This Row],[Budget-Rollup]])/DaybyDay[[#This Row],[Budget-Rollup]]),0),"")</f>
        <v>0</v>
      </c>
      <c r="X341" t="b">
        <f>NOT(AND(ISBLANK(DaybyDay[[#This Row],[Appts]]),ISBLANK(DaybyDay[[#This Row],[Service-Actuals]]),ISBLANK(DaybyDay[[#This Row],[Retail-Actuals]])))</f>
        <v>1</v>
      </c>
      <c r="Y341" s="36">
        <f>IF(DaybyDay[[#This Row],[_Space]],IFERROR(
((DaybyDay[[#This Row],[Actual-Rollup]]-DaybyDay[[#This Row],[LY-Rollup]])/DaybyDay[[#This Row],[LY-Rollup]]),0),"")</f>
        <v>0</v>
      </c>
      <c r="Z341"/>
      <c r="AA341" s="37" t="e">
        <f>IF(DaybyDay[[#This Row],[_Space]],DaybyDay[[#This Row],[Ret-Act-RU]]/DaybyDay[[#This Row],[Serv-Act-RU]],"")</f>
        <v>#DIV/0!</v>
      </c>
      <c r="AB341" s="50" t="e">
        <f>IF(DaybyDay[[#This Row],[_Space]],DaybyDay[[#This Row],[RETPEN-Act]]/DaybyDay[[#This Row],[RETPEN-Bud]],"")</f>
        <v>#DIV/0!</v>
      </c>
      <c r="AC341" s="37" t="e">
        <f>IF(DaybyDay[[#This Row],[_Space]],DaybyDay[[#This Row],[Ret-Bud-RU]]/DaybyDay[[#This Row],[Serv-Bud-RU]],"")</f>
        <v>#DIV/0!</v>
      </c>
      <c r="AD341" s="37" t="e">
        <f>IF(DaybyDay[[#This Row],[_Space]],DaybyDay[[#This Row],[Ret-LY-RU]]/DaybyDay[[#This Row],[Serv-LY-RU]],"")</f>
        <v>#DIV/0!</v>
      </c>
      <c r="AE341" s="30">
        <f>WEEKDAY(DaybyDay[[#This Row],[LY-Date]])</f>
        <v>6</v>
      </c>
      <c r="AF341" s="38">
        <f>$E$2+_xlfn.DAYS(DaybyDay[[#This Row],[Date]],minDate)</f>
        <v>42706</v>
      </c>
      <c r="AG341" s="39" t="str" cm="1">
        <f t="array" ref="AG341">IFERROR(INDEX(DaybyDay[],DaybyDay[[#This Row],[FORM_MATCH_HELPER]],8),"")</f>
        <v/>
      </c>
      <c r="AH341" s="39" t="str" cm="1">
        <f t="array" ref="AH341">IFERROR(INDEX(DaybyDay[],DaybyDay[[#This Row],[FORM_MATCH_HELPER]],10),"")</f>
        <v/>
      </c>
      <c r="AI341" s="39" t="str" cm="1">
        <f t="array" ref="AI341">IFERROR(INDEX(DaybyDay[],DaybyDay[[#This Row],[FORM_MATCH_HELPER]],12),"")</f>
        <v/>
      </c>
      <c r="AJ341" s="32">
        <f>IFERROR(DaybyDay[[#This Row],[Serv-LY-RU]]+DaybyDay[[#This Row],[Ret-LY-RU]],"")</f>
        <v>0</v>
      </c>
      <c r="AK3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1" s="77"/>
      <c r="AM341" s="40" t="str">
        <f>IF(DaybyDay[[#This Row],[Admin Hours]]&gt;0,DaybyDay[[#This Row],[Admin Hours]]*$AM$2+$AM$3,"")</f>
        <v/>
      </c>
      <c r="AN341" s="40">
        <f>SUMIFS(DaybyDay[Est-Admin-Payroll],DaybyDay[Date],"&gt;="&amp;$C$5,DaybyDay[RowYear],"&gt;="&amp;$C$4,DaybyDay[Date],"&lt;="&amp;DaybyDay[[#This Row],[Date]])</f>
        <v>0</v>
      </c>
      <c r="AO341" s="41" t="str">
        <f>IF(AND(DaybyDay[[#This Row],[_Space]],ISNUMBER(DaybyDay[[#This Row],[Admin Hours]])),DaybyDay[[#This Row],[Est-Admin-Payroll]]/(DaybyDay[[#This Row],[Service-Actuals]]+DaybyDay[[#This Row],[Retail-Actuals]]),"")</f>
        <v/>
      </c>
      <c r="AP341" s="41" t="e">
        <f>DaybyDay[[#This Row],[Estimated-Payroll-Rollup]]/DaybyDay[[#This Row],[Simple-Forecast]]</f>
        <v>#DIV/0!</v>
      </c>
      <c r="AQ3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1" s="77"/>
      <c r="AS341" s="40" t="str">
        <f>IF(DaybyDay[[#This Row],[Retail Hours]]&gt;0,DaybyDay[[#This Row],[Retail Hours]]*$AS$2,"")</f>
        <v/>
      </c>
      <c r="AT341" s="40">
        <f>SUMIFS(DaybyDay[Est-Retail-Payroll],DaybyDay[Date],"&gt;="&amp;$C$5,DaybyDay[RowYear],"&gt;="&amp;$C$4,DaybyDay[Date],"&lt;="&amp;DaybyDay[[#This Row],[Date]])</f>
        <v>0</v>
      </c>
      <c r="AU341" s="82" t="str">
        <f>IF(AND(DaybyDay[[#This Row],[_Space]],ISNUMBER(DaybyDay[[#This Row],[Retail Hours]])),DaybyDay[[#This Row],[Est-Retail-Payroll]]/(DaybyDay[[#This Row],[Retail-Actuals]]),"")</f>
        <v/>
      </c>
      <c r="AV341" s="82" t="e">
        <f>DaybyDay[[#This Row],[Est-Retail-PayrollRU]]/DaybyDay[[#This Row],[Simple-Forecast-Retail]]</f>
        <v>#DIV/0!</v>
      </c>
      <c r="AW341" s="8"/>
    </row>
    <row r="342" spans="3:49" hidden="1" x14ac:dyDescent="0.25">
      <c r="C342" s="26" t="str">
        <f>Tools!$C$1</f>
        <v>Example</v>
      </c>
      <c r="D342" s="27" t="s">
        <v>78</v>
      </c>
      <c r="E342" s="28">
        <v>2017</v>
      </c>
      <c r="F342" s="28">
        <f>MATCH(DaybyDay[[#This Row],[RowMonth]],Table3[SummaryMonth],0)</f>
        <v>11</v>
      </c>
      <c r="G342" s="29" t="e">
        <f>MATCH(DaybyDay[[#This Row],[LY-Date]],DaybyDay[Date],0)</f>
        <v>#N/A</v>
      </c>
      <c r="H342" s="30">
        <f>WEEKDAY(DaybyDay[[#This Row],[Date]])</f>
        <v>7</v>
      </c>
      <c r="I342" s="31">
        <v>43071</v>
      </c>
      <c r="J342" s="74">
        <v>35</v>
      </c>
      <c r="K342" s="32">
        <f>SUMIFS(BudgetSeasonality[365 Seasonality],BudgetSeasonality[MonthAdjustment],DaybyDay[[#This Row],[Date]])*SUMIFS(Budgets[Service-Budget],Budgets[BudgetMonth],DaybyDay[[#This Row],[RowMonth]],Budgets[BudgetYear],DaybyDay[[#This Row],[RowYear]])</f>
        <v>0</v>
      </c>
      <c r="L342" s="75">
        <v>9338.7000000000007</v>
      </c>
      <c r="M342" s="32">
        <f>INDEX(BudgetSeasonality[365 Seasonality],MATCH(DaybyDay[[#This Row],[Date]],BudgetSeasonality[MonthAdjustment],0))*SUMIFS(Budgets[Retail-Budget],Budgets[BudgetMonth],DaybyDay[[#This Row],[RowMonth]],Budgets[BudgetYear],DaybyDay[[#This Row],[RowYear]])</f>
        <v>0</v>
      </c>
      <c r="N342" s="75">
        <v>3692</v>
      </c>
      <c r="O342" s="33">
        <f>SUMIFS(DaybyDay[Service-Budgets],DaybyDay[Date],"&gt;="&amp;$C$5,DaybyDay[RowYear],"&gt;="&amp;$C$4,DaybyDay[Date],"&lt;="&amp;DaybyDay[[#This Row],[Date]])</f>
        <v>0</v>
      </c>
      <c r="P342" s="33">
        <f>SUMIFS(DaybyDay[Retail-Budgets],DaybyDay[Date],"&gt;="&amp;$C$5,DaybyDay[RowYear],"&gt;="&amp;$C$4,DaybyDay[Date],"&lt;="&amp;DaybyDay[[#This Row],[Date]])</f>
        <v>0</v>
      </c>
      <c r="Q342" s="34">
        <f>SUMIFS(DaybyDay[Service-Actuals],DaybyDay[Date],"&gt;="&amp;$C$5,DaybyDay[RowYear],"&gt;="&amp;$C$4,DaybyDay[Date],"&lt;="&amp;DaybyDay[[#This Row],[Date]])</f>
        <v>0</v>
      </c>
      <c r="R342" s="34">
        <f>SUMIFS(DaybyDay[Retail-Actuals],DaybyDay[Date],"&gt;="&amp;$C$5,DaybyDay[RowYear],"&gt;="&amp;$C$4,DaybyDay[Date],"&lt;="&amp;DaybyDay[[#This Row],[Date]])</f>
        <v>0</v>
      </c>
      <c r="S342" s="35">
        <f>SUMIFS(DaybyDay[Service-LY],DaybyDay[Date],"&gt;="&amp;$C$5,DaybyDay[RowYear],"&gt;="&amp;$C$4,DaybyDay[Date],"&lt;="&amp;DaybyDay[[#This Row],[Date]])</f>
        <v>0</v>
      </c>
      <c r="T342" s="35">
        <f>SUMIFS(DaybyDay[Retail-LY],DaybyDay[Date],"&gt;="&amp;$C$5,DaybyDay[RowYear],"&gt;="&amp;$C$4,DaybyDay[Date],"&lt;="&amp;DaybyDay[[#This Row],[Date]])</f>
        <v>0</v>
      </c>
      <c r="U342" s="32">
        <f>DaybyDay[[#This Row],[Serv-Bud-RU]]+DaybyDay[[#This Row],[Ret-Bud-RU]]</f>
        <v>0</v>
      </c>
      <c r="V342" s="32">
        <f>DaybyDay[[#This Row],[Serv-Act-RU]]+DaybyDay[[#This Row],[Ret-Act-RU]]</f>
        <v>0</v>
      </c>
      <c r="W342" s="36">
        <f>IF(DaybyDay[[#This Row],[_Space]],IFERROR(
((DaybyDay[[#This Row],[Actual-Rollup]]-DaybyDay[[#This Row],[Budget-Rollup]])/DaybyDay[[#This Row],[Budget-Rollup]]),0),"")</f>
        <v>0</v>
      </c>
      <c r="X342" t="b">
        <f>NOT(AND(ISBLANK(DaybyDay[[#This Row],[Appts]]),ISBLANK(DaybyDay[[#This Row],[Service-Actuals]]),ISBLANK(DaybyDay[[#This Row],[Retail-Actuals]])))</f>
        <v>1</v>
      </c>
      <c r="Y342" s="36">
        <f>IF(DaybyDay[[#This Row],[_Space]],IFERROR(
((DaybyDay[[#This Row],[Actual-Rollup]]-DaybyDay[[#This Row],[LY-Rollup]])/DaybyDay[[#This Row],[LY-Rollup]]),0),"")</f>
        <v>0</v>
      </c>
      <c r="Z342"/>
      <c r="AA342" s="37" t="e">
        <f>IF(DaybyDay[[#This Row],[_Space]],DaybyDay[[#This Row],[Ret-Act-RU]]/DaybyDay[[#This Row],[Serv-Act-RU]],"")</f>
        <v>#DIV/0!</v>
      </c>
      <c r="AB342" s="50" t="e">
        <f>IF(DaybyDay[[#This Row],[_Space]],DaybyDay[[#This Row],[RETPEN-Act]]/DaybyDay[[#This Row],[RETPEN-Bud]],"")</f>
        <v>#DIV/0!</v>
      </c>
      <c r="AC342" s="37" t="e">
        <f>IF(DaybyDay[[#This Row],[_Space]],DaybyDay[[#This Row],[Ret-Bud-RU]]/DaybyDay[[#This Row],[Serv-Bud-RU]],"")</f>
        <v>#DIV/0!</v>
      </c>
      <c r="AD342" s="37" t="e">
        <f>IF(DaybyDay[[#This Row],[_Space]],DaybyDay[[#This Row],[Ret-LY-RU]]/DaybyDay[[#This Row],[Serv-LY-RU]],"")</f>
        <v>#DIV/0!</v>
      </c>
      <c r="AE342" s="30">
        <f>WEEKDAY(DaybyDay[[#This Row],[LY-Date]])</f>
        <v>7</v>
      </c>
      <c r="AF342" s="38">
        <f>$E$2+_xlfn.DAYS(DaybyDay[[#This Row],[Date]],minDate)</f>
        <v>42707</v>
      </c>
      <c r="AG342" s="39" t="str" cm="1">
        <f t="array" ref="AG342">IFERROR(INDEX(DaybyDay[],DaybyDay[[#This Row],[FORM_MATCH_HELPER]],8),"")</f>
        <v/>
      </c>
      <c r="AH342" s="39" t="str" cm="1">
        <f t="array" ref="AH342">IFERROR(INDEX(DaybyDay[],DaybyDay[[#This Row],[FORM_MATCH_HELPER]],10),"")</f>
        <v/>
      </c>
      <c r="AI342" s="39" t="str" cm="1">
        <f t="array" ref="AI342">IFERROR(INDEX(DaybyDay[],DaybyDay[[#This Row],[FORM_MATCH_HELPER]],12),"")</f>
        <v/>
      </c>
      <c r="AJ342" s="32">
        <f>IFERROR(DaybyDay[[#This Row],[Serv-LY-RU]]+DaybyDay[[#This Row],[Ret-LY-RU]],"")</f>
        <v>0</v>
      </c>
      <c r="AK3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2" s="77"/>
      <c r="AM342" s="40" t="str">
        <f>IF(DaybyDay[[#This Row],[Admin Hours]]&gt;0,DaybyDay[[#This Row],[Admin Hours]]*$AM$2+$AM$3,"")</f>
        <v/>
      </c>
      <c r="AN342" s="40">
        <f>SUMIFS(DaybyDay[Est-Admin-Payroll],DaybyDay[Date],"&gt;="&amp;$C$5,DaybyDay[RowYear],"&gt;="&amp;$C$4,DaybyDay[Date],"&lt;="&amp;DaybyDay[[#This Row],[Date]])</f>
        <v>0</v>
      </c>
      <c r="AO342" s="41" t="str">
        <f>IF(AND(DaybyDay[[#This Row],[_Space]],ISNUMBER(DaybyDay[[#This Row],[Admin Hours]])),DaybyDay[[#This Row],[Est-Admin-Payroll]]/(DaybyDay[[#This Row],[Service-Actuals]]+DaybyDay[[#This Row],[Retail-Actuals]]),"")</f>
        <v/>
      </c>
      <c r="AP342" s="41" t="e">
        <f>DaybyDay[[#This Row],[Estimated-Payroll-Rollup]]/DaybyDay[[#This Row],[Simple-Forecast]]</f>
        <v>#DIV/0!</v>
      </c>
      <c r="AQ3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2" s="77"/>
      <c r="AS342" s="40" t="str">
        <f>IF(DaybyDay[[#This Row],[Retail Hours]]&gt;0,DaybyDay[[#This Row],[Retail Hours]]*$AS$2,"")</f>
        <v/>
      </c>
      <c r="AT342" s="40">
        <f>SUMIFS(DaybyDay[Est-Retail-Payroll],DaybyDay[Date],"&gt;="&amp;$C$5,DaybyDay[RowYear],"&gt;="&amp;$C$4,DaybyDay[Date],"&lt;="&amp;DaybyDay[[#This Row],[Date]])</f>
        <v>0</v>
      </c>
      <c r="AU342" s="82" t="str">
        <f>IF(AND(DaybyDay[[#This Row],[_Space]],ISNUMBER(DaybyDay[[#This Row],[Retail Hours]])),DaybyDay[[#This Row],[Est-Retail-Payroll]]/(DaybyDay[[#This Row],[Retail-Actuals]]),"")</f>
        <v/>
      </c>
      <c r="AV342" s="82" t="e">
        <f>DaybyDay[[#This Row],[Est-Retail-PayrollRU]]/DaybyDay[[#This Row],[Simple-Forecast-Retail]]</f>
        <v>#DIV/0!</v>
      </c>
      <c r="AW342" s="8"/>
    </row>
    <row r="343" spans="3:49" hidden="1" x14ac:dyDescent="0.25">
      <c r="C343" s="26" t="str">
        <f>Tools!$C$1</f>
        <v>Example</v>
      </c>
      <c r="D343" s="27" t="s">
        <v>79</v>
      </c>
      <c r="E343" s="28">
        <v>2017</v>
      </c>
      <c r="F343" s="28">
        <f>MATCH(DaybyDay[[#This Row],[RowMonth]],Table3[SummaryMonth],0)</f>
        <v>12</v>
      </c>
      <c r="G343" s="29" t="e">
        <f>MATCH(DaybyDay[[#This Row],[LY-Date]],DaybyDay[Date],0)</f>
        <v>#N/A</v>
      </c>
      <c r="H343" s="30">
        <f>WEEKDAY(DaybyDay[[#This Row],[Date]])</f>
        <v>1</v>
      </c>
      <c r="I343" s="31">
        <v>43072</v>
      </c>
      <c r="J343" s="74">
        <v>25</v>
      </c>
      <c r="K343" s="32">
        <f>SUMIFS(BudgetSeasonality[365 Seasonality],BudgetSeasonality[MonthAdjustment],DaybyDay[[#This Row],[Date]])*SUMIFS(Budgets[Service-Budget],Budgets[BudgetMonth],DaybyDay[[#This Row],[RowMonth]],Budgets[BudgetYear],DaybyDay[[#This Row],[RowYear]])</f>
        <v>0</v>
      </c>
      <c r="L343" s="75">
        <v>6251.2</v>
      </c>
      <c r="M343" s="32">
        <f>INDEX(BudgetSeasonality[365 Seasonality],MATCH(DaybyDay[[#This Row],[Date]],BudgetSeasonality[MonthAdjustment],0))*SUMIFS(Budgets[Retail-Budget],Budgets[BudgetMonth],DaybyDay[[#This Row],[RowMonth]],Budgets[BudgetYear],DaybyDay[[#This Row],[RowYear]])</f>
        <v>0</v>
      </c>
      <c r="N343" s="75">
        <v>766.5</v>
      </c>
      <c r="O343" s="33">
        <f>SUMIFS(DaybyDay[Service-Budgets],DaybyDay[Date],"&gt;="&amp;$C$5,DaybyDay[RowYear],"&gt;="&amp;$C$4,DaybyDay[Date],"&lt;="&amp;DaybyDay[[#This Row],[Date]])</f>
        <v>0</v>
      </c>
      <c r="P343" s="33">
        <f>SUMIFS(DaybyDay[Retail-Budgets],DaybyDay[Date],"&gt;="&amp;$C$5,DaybyDay[RowYear],"&gt;="&amp;$C$4,DaybyDay[Date],"&lt;="&amp;DaybyDay[[#This Row],[Date]])</f>
        <v>0</v>
      </c>
      <c r="Q343" s="34">
        <f>SUMIFS(DaybyDay[Service-Actuals],DaybyDay[Date],"&gt;="&amp;$C$5,DaybyDay[RowYear],"&gt;="&amp;$C$4,DaybyDay[Date],"&lt;="&amp;DaybyDay[[#This Row],[Date]])</f>
        <v>0</v>
      </c>
      <c r="R343" s="34">
        <f>SUMIFS(DaybyDay[Retail-Actuals],DaybyDay[Date],"&gt;="&amp;$C$5,DaybyDay[RowYear],"&gt;="&amp;$C$4,DaybyDay[Date],"&lt;="&amp;DaybyDay[[#This Row],[Date]])</f>
        <v>0</v>
      </c>
      <c r="S343" s="35">
        <f>SUMIFS(DaybyDay[Service-LY],DaybyDay[Date],"&gt;="&amp;$C$5,DaybyDay[RowYear],"&gt;="&amp;$C$4,DaybyDay[Date],"&lt;="&amp;DaybyDay[[#This Row],[Date]])</f>
        <v>0</v>
      </c>
      <c r="T343" s="35">
        <f>SUMIFS(DaybyDay[Retail-LY],DaybyDay[Date],"&gt;="&amp;$C$5,DaybyDay[RowYear],"&gt;="&amp;$C$4,DaybyDay[Date],"&lt;="&amp;DaybyDay[[#This Row],[Date]])</f>
        <v>0</v>
      </c>
      <c r="U343" s="32">
        <f>DaybyDay[[#This Row],[Serv-Bud-RU]]+DaybyDay[[#This Row],[Ret-Bud-RU]]</f>
        <v>0</v>
      </c>
      <c r="V343" s="32">
        <f>DaybyDay[[#This Row],[Serv-Act-RU]]+DaybyDay[[#This Row],[Ret-Act-RU]]</f>
        <v>0</v>
      </c>
      <c r="W343" s="36">
        <f>IF(DaybyDay[[#This Row],[_Space]],IFERROR(
((DaybyDay[[#This Row],[Actual-Rollup]]-DaybyDay[[#This Row],[Budget-Rollup]])/DaybyDay[[#This Row],[Budget-Rollup]]),0),"")</f>
        <v>0</v>
      </c>
      <c r="X343" t="b">
        <f>NOT(AND(ISBLANK(DaybyDay[[#This Row],[Appts]]),ISBLANK(DaybyDay[[#This Row],[Service-Actuals]]),ISBLANK(DaybyDay[[#This Row],[Retail-Actuals]])))</f>
        <v>1</v>
      </c>
      <c r="Y343" s="36">
        <f>IF(DaybyDay[[#This Row],[_Space]],IFERROR(
((DaybyDay[[#This Row],[Actual-Rollup]]-DaybyDay[[#This Row],[LY-Rollup]])/DaybyDay[[#This Row],[LY-Rollup]]),0),"")</f>
        <v>0</v>
      </c>
      <c r="Z343"/>
      <c r="AA343" s="37" t="e">
        <f>IF(DaybyDay[[#This Row],[_Space]],DaybyDay[[#This Row],[Ret-Act-RU]]/DaybyDay[[#This Row],[Serv-Act-RU]],"")</f>
        <v>#DIV/0!</v>
      </c>
      <c r="AB343" s="50" t="e">
        <f>IF(DaybyDay[[#This Row],[_Space]],DaybyDay[[#This Row],[RETPEN-Act]]/DaybyDay[[#This Row],[RETPEN-Bud]],"")</f>
        <v>#DIV/0!</v>
      </c>
      <c r="AC343" s="37" t="e">
        <f>IF(DaybyDay[[#This Row],[_Space]],DaybyDay[[#This Row],[Ret-Bud-RU]]/DaybyDay[[#This Row],[Serv-Bud-RU]],"")</f>
        <v>#DIV/0!</v>
      </c>
      <c r="AD343" s="37" t="e">
        <f>IF(DaybyDay[[#This Row],[_Space]],DaybyDay[[#This Row],[Ret-LY-RU]]/DaybyDay[[#This Row],[Serv-LY-RU]],"")</f>
        <v>#DIV/0!</v>
      </c>
      <c r="AE343" s="30">
        <f>WEEKDAY(DaybyDay[[#This Row],[LY-Date]])</f>
        <v>1</v>
      </c>
      <c r="AF343" s="38">
        <f>$E$2+_xlfn.DAYS(DaybyDay[[#This Row],[Date]],minDate)</f>
        <v>42708</v>
      </c>
      <c r="AG343" s="39" t="str" cm="1">
        <f t="array" ref="AG343">IFERROR(INDEX(DaybyDay[],DaybyDay[[#This Row],[FORM_MATCH_HELPER]],8),"")</f>
        <v/>
      </c>
      <c r="AH343" s="39" t="str" cm="1">
        <f t="array" ref="AH343">IFERROR(INDEX(DaybyDay[],DaybyDay[[#This Row],[FORM_MATCH_HELPER]],10),"")</f>
        <v/>
      </c>
      <c r="AI343" s="39" t="str" cm="1">
        <f t="array" ref="AI343">IFERROR(INDEX(DaybyDay[],DaybyDay[[#This Row],[FORM_MATCH_HELPER]],12),"")</f>
        <v/>
      </c>
      <c r="AJ343" s="32">
        <f>IFERROR(DaybyDay[[#This Row],[Serv-LY-RU]]+DaybyDay[[#This Row],[Ret-LY-RU]],"")</f>
        <v>0</v>
      </c>
      <c r="AK3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3" s="77"/>
      <c r="AM343" s="40" t="str">
        <f>IF(DaybyDay[[#This Row],[Admin Hours]]&gt;0,DaybyDay[[#This Row],[Admin Hours]]*$AM$2+$AM$3,"")</f>
        <v/>
      </c>
      <c r="AN343" s="40">
        <f>SUMIFS(DaybyDay[Est-Admin-Payroll],DaybyDay[Date],"&gt;="&amp;$C$5,DaybyDay[RowYear],"&gt;="&amp;$C$4,DaybyDay[Date],"&lt;="&amp;DaybyDay[[#This Row],[Date]])</f>
        <v>0</v>
      </c>
      <c r="AO343" s="41" t="str">
        <f>IF(AND(DaybyDay[[#This Row],[_Space]],ISNUMBER(DaybyDay[[#This Row],[Admin Hours]])),DaybyDay[[#This Row],[Est-Admin-Payroll]]/(DaybyDay[[#This Row],[Service-Actuals]]+DaybyDay[[#This Row],[Retail-Actuals]]),"")</f>
        <v/>
      </c>
      <c r="AP343" s="41" t="e">
        <f>DaybyDay[[#This Row],[Estimated-Payroll-Rollup]]/DaybyDay[[#This Row],[Simple-Forecast]]</f>
        <v>#DIV/0!</v>
      </c>
      <c r="AQ3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3" s="77"/>
      <c r="AS343" s="40" t="str">
        <f>IF(DaybyDay[[#This Row],[Retail Hours]]&gt;0,DaybyDay[[#This Row],[Retail Hours]]*$AS$2,"")</f>
        <v/>
      </c>
      <c r="AT343" s="40">
        <f>SUMIFS(DaybyDay[Est-Retail-Payroll],DaybyDay[Date],"&gt;="&amp;$C$5,DaybyDay[RowYear],"&gt;="&amp;$C$4,DaybyDay[Date],"&lt;="&amp;DaybyDay[[#This Row],[Date]])</f>
        <v>0</v>
      </c>
      <c r="AU343" s="82" t="str">
        <f>IF(AND(DaybyDay[[#This Row],[_Space]],ISNUMBER(DaybyDay[[#This Row],[Retail Hours]])),DaybyDay[[#This Row],[Est-Retail-Payroll]]/(DaybyDay[[#This Row],[Retail-Actuals]]),"")</f>
        <v/>
      </c>
      <c r="AV343" s="82" t="e">
        <f>DaybyDay[[#This Row],[Est-Retail-PayrollRU]]/DaybyDay[[#This Row],[Simple-Forecast-Retail]]</f>
        <v>#DIV/0!</v>
      </c>
      <c r="AW343" s="8"/>
    </row>
    <row r="344" spans="3:49" hidden="1" x14ac:dyDescent="0.25">
      <c r="C344" s="26" t="str">
        <f>Tools!$C$1</f>
        <v>Example</v>
      </c>
      <c r="D344" s="27" t="s">
        <v>79</v>
      </c>
      <c r="E344" s="28">
        <v>2017</v>
      </c>
      <c r="F344" s="28">
        <f>MATCH(DaybyDay[[#This Row],[RowMonth]],Table3[SummaryMonth],0)</f>
        <v>12</v>
      </c>
      <c r="G344" s="29" t="e">
        <f>MATCH(DaybyDay[[#This Row],[LY-Date]],DaybyDay[Date],0)</f>
        <v>#N/A</v>
      </c>
      <c r="H344" s="30">
        <f>WEEKDAY(DaybyDay[[#This Row],[Date]])</f>
        <v>2</v>
      </c>
      <c r="I344" s="31">
        <v>43073</v>
      </c>
      <c r="J344" s="74">
        <v>10</v>
      </c>
      <c r="K344" s="32">
        <f>SUMIFS(BudgetSeasonality[365 Seasonality],BudgetSeasonality[MonthAdjustment],DaybyDay[[#This Row],[Date]])*SUMIFS(Budgets[Service-Budget],Budgets[BudgetMonth],DaybyDay[[#This Row],[RowMonth]],Budgets[BudgetYear],DaybyDay[[#This Row],[RowYear]])</f>
        <v>0</v>
      </c>
      <c r="L344" s="75">
        <v>1747.18</v>
      </c>
      <c r="M344" s="32">
        <f>INDEX(BudgetSeasonality[365 Seasonality],MATCH(DaybyDay[[#This Row],[Date]],BudgetSeasonality[MonthAdjustment],0))*SUMIFS(Budgets[Retail-Budget],Budgets[BudgetMonth],DaybyDay[[#This Row],[RowMonth]],Budgets[BudgetYear],DaybyDay[[#This Row],[RowYear]])</f>
        <v>0</v>
      </c>
      <c r="N344" s="75">
        <v>876.3</v>
      </c>
      <c r="O344" s="33">
        <f>SUMIFS(DaybyDay[Service-Budgets],DaybyDay[Date],"&gt;="&amp;$C$5,DaybyDay[RowYear],"&gt;="&amp;$C$4,DaybyDay[Date],"&lt;="&amp;DaybyDay[[#This Row],[Date]])</f>
        <v>0</v>
      </c>
      <c r="P344" s="33">
        <f>SUMIFS(DaybyDay[Retail-Budgets],DaybyDay[Date],"&gt;="&amp;$C$5,DaybyDay[RowYear],"&gt;="&amp;$C$4,DaybyDay[Date],"&lt;="&amp;DaybyDay[[#This Row],[Date]])</f>
        <v>0</v>
      </c>
      <c r="Q344" s="34">
        <f>SUMIFS(DaybyDay[Service-Actuals],DaybyDay[Date],"&gt;="&amp;$C$5,DaybyDay[RowYear],"&gt;="&amp;$C$4,DaybyDay[Date],"&lt;="&amp;DaybyDay[[#This Row],[Date]])</f>
        <v>0</v>
      </c>
      <c r="R344" s="34">
        <f>SUMIFS(DaybyDay[Retail-Actuals],DaybyDay[Date],"&gt;="&amp;$C$5,DaybyDay[RowYear],"&gt;="&amp;$C$4,DaybyDay[Date],"&lt;="&amp;DaybyDay[[#This Row],[Date]])</f>
        <v>0</v>
      </c>
      <c r="S344" s="35">
        <f>SUMIFS(DaybyDay[Service-LY],DaybyDay[Date],"&gt;="&amp;$C$5,DaybyDay[RowYear],"&gt;="&amp;$C$4,DaybyDay[Date],"&lt;="&amp;DaybyDay[[#This Row],[Date]])</f>
        <v>0</v>
      </c>
      <c r="T344" s="35">
        <f>SUMIFS(DaybyDay[Retail-LY],DaybyDay[Date],"&gt;="&amp;$C$5,DaybyDay[RowYear],"&gt;="&amp;$C$4,DaybyDay[Date],"&lt;="&amp;DaybyDay[[#This Row],[Date]])</f>
        <v>0</v>
      </c>
      <c r="U344" s="32">
        <f>DaybyDay[[#This Row],[Serv-Bud-RU]]+DaybyDay[[#This Row],[Ret-Bud-RU]]</f>
        <v>0</v>
      </c>
      <c r="V344" s="32">
        <f>DaybyDay[[#This Row],[Serv-Act-RU]]+DaybyDay[[#This Row],[Ret-Act-RU]]</f>
        <v>0</v>
      </c>
      <c r="W344" s="36">
        <f>IF(DaybyDay[[#This Row],[_Space]],IFERROR(
((DaybyDay[[#This Row],[Actual-Rollup]]-DaybyDay[[#This Row],[Budget-Rollup]])/DaybyDay[[#This Row],[Budget-Rollup]]),0),"")</f>
        <v>0</v>
      </c>
      <c r="X344" t="b">
        <f>NOT(AND(ISBLANK(DaybyDay[[#This Row],[Appts]]),ISBLANK(DaybyDay[[#This Row],[Service-Actuals]]),ISBLANK(DaybyDay[[#This Row],[Retail-Actuals]])))</f>
        <v>1</v>
      </c>
      <c r="Y344" s="36">
        <f>IF(DaybyDay[[#This Row],[_Space]],IFERROR(
((DaybyDay[[#This Row],[Actual-Rollup]]-DaybyDay[[#This Row],[LY-Rollup]])/DaybyDay[[#This Row],[LY-Rollup]]),0),"")</f>
        <v>0</v>
      </c>
      <c r="Z344"/>
      <c r="AA344" s="37" t="e">
        <f>IF(DaybyDay[[#This Row],[_Space]],DaybyDay[[#This Row],[Ret-Act-RU]]/DaybyDay[[#This Row],[Serv-Act-RU]],"")</f>
        <v>#DIV/0!</v>
      </c>
      <c r="AB344" s="50" t="e">
        <f>IF(DaybyDay[[#This Row],[_Space]],DaybyDay[[#This Row],[RETPEN-Act]]/DaybyDay[[#This Row],[RETPEN-Bud]],"")</f>
        <v>#DIV/0!</v>
      </c>
      <c r="AC344" s="37" t="e">
        <f>IF(DaybyDay[[#This Row],[_Space]],DaybyDay[[#This Row],[Ret-Bud-RU]]/DaybyDay[[#This Row],[Serv-Bud-RU]],"")</f>
        <v>#DIV/0!</v>
      </c>
      <c r="AD344" s="37" t="e">
        <f>IF(DaybyDay[[#This Row],[_Space]],DaybyDay[[#This Row],[Ret-LY-RU]]/DaybyDay[[#This Row],[Serv-LY-RU]],"")</f>
        <v>#DIV/0!</v>
      </c>
      <c r="AE344" s="30">
        <f>WEEKDAY(DaybyDay[[#This Row],[LY-Date]])</f>
        <v>2</v>
      </c>
      <c r="AF344" s="38">
        <f>$E$2+_xlfn.DAYS(DaybyDay[[#This Row],[Date]],minDate)</f>
        <v>42709</v>
      </c>
      <c r="AG344" s="39" t="str" cm="1">
        <f t="array" ref="AG344">IFERROR(INDEX(DaybyDay[],DaybyDay[[#This Row],[FORM_MATCH_HELPER]],8),"")</f>
        <v/>
      </c>
      <c r="AH344" s="39" t="str" cm="1">
        <f t="array" ref="AH344">IFERROR(INDEX(DaybyDay[],DaybyDay[[#This Row],[FORM_MATCH_HELPER]],10),"")</f>
        <v/>
      </c>
      <c r="AI344" s="39" t="str" cm="1">
        <f t="array" ref="AI344">IFERROR(INDEX(DaybyDay[],DaybyDay[[#This Row],[FORM_MATCH_HELPER]],12),"")</f>
        <v/>
      </c>
      <c r="AJ344" s="32">
        <f>IFERROR(DaybyDay[[#This Row],[Serv-LY-RU]]+DaybyDay[[#This Row],[Ret-LY-RU]],"")</f>
        <v>0</v>
      </c>
      <c r="AK3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4" s="77"/>
      <c r="AM344" s="40" t="str">
        <f>IF(DaybyDay[[#This Row],[Admin Hours]]&gt;0,DaybyDay[[#This Row],[Admin Hours]]*$AM$2+$AM$3,"")</f>
        <v/>
      </c>
      <c r="AN344" s="40">
        <f>SUMIFS(DaybyDay[Est-Admin-Payroll],DaybyDay[Date],"&gt;="&amp;$C$5,DaybyDay[RowYear],"&gt;="&amp;$C$4,DaybyDay[Date],"&lt;="&amp;DaybyDay[[#This Row],[Date]])</f>
        <v>0</v>
      </c>
      <c r="AO344" s="41" t="str">
        <f>IF(AND(DaybyDay[[#This Row],[_Space]],ISNUMBER(DaybyDay[[#This Row],[Admin Hours]])),DaybyDay[[#This Row],[Est-Admin-Payroll]]/(DaybyDay[[#This Row],[Service-Actuals]]+DaybyDay[[#This Row],[Retail-Actuals]]),"")</f>
        <v/>
      </c>
      <c r="AP344" s="41" t="e">
        <f>DaybyDay[[#This Row],[Estimated-Payroll-Rollup]]/DaybyDay[[#This Row],[Simple-Forecast]]</f>
        <v>#DIV/0!</v>
      </c>
      <c r="AQ3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4" s="77"/>
      <c r="AS344" s="40" t="str">
        <f>IF(DaybyDay[[#This Row],[Retail Hours]]&gt;0,DaybyDay[[#This Row],[Retail Hours]]*$AS$2,"")</f>
        <v/>
      </c>
      <c r="AT344" s="40">
        <f>SUMIFS(DaybyDay[Est-Retail-Payroll],DaybyDay[Date],"&gt;="&amp;$C$5,DaybyDay[RowYear],"&gt;="&amp;$C$4,DaybyDay[Date],"&lt;="&amp;DaybyDay[[#This Row],[Date]])</f>
        <v>0</v>
      </c>
      <c r="AU344" s="82" t="str">
        <f>IF(AND(DaybyDay[[#This Row],[_Space]],ISNUMBER(DaybyDay[[#This Row],[Retail Hours]])),DaybyDay[[#This Row],[Est-Retail-Payroll]]/(DaybyDay[[#This Row],[Retail-Actuals]]),"")</f>
        <v/>
      </c>
      <c r="AV344" s="82" t="e">
        <f>DaybyDay[[#This Row],[Est-Retail-PayrollRU]]/DaybyDay[[#This Row],[Simple-Forecast-Retail]]</f>
        <v>#DIV/0!</v>
      </c>
      <c r="AW344" s="8"/>
    </row>
    <row r="345" spans="3:49" hidden="1" x14ac:dyDescent="0.25">
      <c r="C345" s="26" t="str">
        <f>Tools!$C$1</f>
        <v>Example</v>
      </c>
      <c r="D345" s="27" t="s">
        <v>79</v>
      </c>
      <c r="E345" s="28">
        <v>2017</v>
      </c>
      <c r="F345" s="28">
        <f>MATCH(DaybyDay[[#This Row],[RowMonth]],Table3[SummaryMonth],0)</f>
        <v>12</v>
      </c>
      <c r="G345" s="29" t="e">
        <f>MATCH(DaybyDay[[#This Row],[LY-Date]],DaybyDay[Date],0)</f>
        <v>#N/A</v>
      </c>
      <c r="H345" s="30">
        <f>WEEKDAY(DaybyDay[[#This Row],[Date]])</f>
        <v>3</v>
      </c>
      <c r="I345" s="31">
        <v>43074</v>
      </c>
      <c r="J345" s="74">
        <v>20</v>
      </c>
      <c r="K345" s="32">
        <f>SUMIFS(BudgetSeasonality[365 Seasonality],BudgetSeasonality[MonthAdjustment],DaybyDay[[#This Row],[Date]])*SUMIFS(Budgets[Service-Budget],Budgets[BudgetMonth],DaybyDay[[#This Row],[RowMonth]],Budgets[BudgetYear],DaybyDay[[#This Row],[RowYear]])</f>
        <v>0</v>
      </c>
      <c r="L345" s="75">
        <v>3607.9</v>
      </c>
      <c r="M345" s="32">
        <f>INDEX(BudgetSeasonality[365 Seasonality],MATCH(DaybyDay[[#This Row],[Date]],BudgetSeasonality[MonthAdjustment],0))*SUMIFS(Budgets[Retail-Budget],Budgets[BudgetMonth],DaybyDay[[#This Row],[RowMonth]],Budgets[BudgetYear],DaybyDay[[#This Row],[RowYear]])</f>
        <v>0</v>
      </c>
      <c r="N345" s="75">
        <v>2340.1999999999998</v>
      </c>
      <c r="O345" s="33">
        <f>SUMIFS(DaybyDay[Service-Budgets],DaybyDay[Date],"&gt;="&amp;$C$5,DaybyDay[RowYear],"&gt;="&amp;$C$4,DaybyDay[Date],"&lt;="&amp;DaybyDay[[#This Row],[Date]])</f>
        <v>0</v>
      </c>
      <c r="P345" s="33">
        <f>SUMIFS(DaybyDay[Retail-Budgets],DaybyDay[Date],"&gt;="&amp;$C$5,DaybyDay[RowYear],"&gt;="&amp;$C$4,DaybyDay[Date],"&lt;="&amp;DaybyDay[[#This Row],[Date]])</f>
        <v>0</v>
      </c>
      <c r="Q345" s="34">
        <f>SUMIFS(DaybyDay[Service-Actuals],DaybyDay[Date],"&gt;="&amp;$C$5,DaybyDay[RowYear],"&gt;="&amp;$C$4,DaybyDay[Date],"&lt;="&amp;DaybyDay[[#This Row],[Date]])</f>
        <v>0</v>
      </c>
      <c r="R345" s="34">
        <f>SUMIFS(DaybyDay[Retail-Actuals],DaybyDay[Date],"&gt;="&amp;$C$5,DaybyDay[RowYear],"&gt;="&amp;$C$4,DaybyDay[Date],"&lt;="&amp;DaybyDay[[#This Row],[Date]])</f>
        <v>0</v>
      </c>
      <c r="S345" s="35">
        <f>SUMIFS(DaybyDay[Service-LY],DaybyDay[Date],"&gt;="&amp;$C$5,DaybyDay[RowYear],"&gt;="&amp;$C$4,DaybyDay[Date],"&lt;="&amp;DaybyDay[[#This Row],[Date]])</f>
        <v>0</v>
      </c>
      <c r="T345" s="35">
        <f>SUMIFS(DaybyDay[Retail-LY],DaybyDay[Date],"&gt;="&amp;$C$5,DaybyDay[RowYear],"&gt;="&amp;$C$4,DaybyDay[Date],"&lt;="&amp;DaybyDay[[#This Row],[Date]])</f>
        <v>0</v>
      </c>
      <c r="U345" s="32">
        <f>DaybyDay[[#This Row],[Serv-Bud-RU]]+DaybyDay[[#This Row],[Ret-Bud-RU]]</f>
        <v>0</v>
      </c>
      <c r="V345" s="32">
        <f>DaybyDay[[#This Row],[Serv-Act-RU]]+DaybyDay[[#This Row],[Ret-Act-RU]]</f>
        <v>0</v>
      </c>
      <c r="W345" s="36">
        <f>IF(DaybyDay[[#This Row],[_Space]],IFERROR(
((DaybyDay[[#This Row],[Actual-Rollup]]-DaybyDay[[#This Row],[Budget-Rollup]])/DaybyDay[[#This Row],[Budget-Rollup]]),0),"")</f>
        <v>0</v>
      </c>
      <c r="X345" t="b">
        <f>NOT(AND(ISBLANK(DaybyDay[[#This Row],[Appts]]),ISBLANK(DaybyDay[[#This Row],[Service-Actuals]]),ISBLANK(DaybyDay[[#This Row],[Retail-Actuals]])))</f>
        <v>1</v>
      </c>
      <c r="Y345" s="36">
        <f>IF(DaybyDay[[#This Row],[_Space]],IFERROR(
((DaybyDay[[#This Row],[Actual-Rollup]]-DaybyDay[[#This Row],[LY-Rollup]])/DaybyDay[[#This Row],[LY-Rollup]]),0),"")</f>
        <v>0</v>
      </c>
      <c r="Z345"/>
      <c r="AA345" s="37" t="e">
        <f>IF(DaybyDay[[#This Row],[_Space]],DaybyDay[[#This Row],[Ret-Act-RU]]/DaybyDay[[#This Row],[Serv-Act-RU]],"")</f>
        <v>#DIV/0!</v>
      </c>
      <c r="AB345" s="50" t="e">
        <f>IF(DaybyDay[[#This Row],[_Space]],DaybyDay[[#This Row],[RETPEN-Act]]/DaybyDay[[#This Row],[RETPEN-Bud]],"")</f>
        <v>#DIV/0!</v>
      </c>
      <c r="AC345" s="37" t="e">
        <f>IF(DaybyDay[[#This Row],[_Space]],DaybyDay[[#This Row],[Ret-Bud-RU]]/DaybyDay[[#This Row],[Serv-Bud-RU]],"")</f>
        <v>#DIV/0!</v>
      </c>
      <c r="AD345" s="37" t="e">
        <f>IF(DaybyDay[[#This Row],[_Space]],DaybyDay[[#This Row],[Ret-LY-RU]]/DaybyDay[[#This Row],[Serv-LY-RU]],"")</f>
        <v>#DIV/0!</v>
      </c>
      <c r="AE345" s="30">
        <f>WEEKDAY(DaybyDay[[#This Row],[LY-Date]])</f>
        <v>3</v>
      </c>
      <c r="AF345" s="38">
        <f>$E$2+_xlfn.DAYS(DaybyDay[[#This Row],[Date]],minDate)</f>
        <v>42710</v>
      </c>
      <c r="AG345" s="39" t="str" cm="1">
        <f t="array" ref="AG345">IFERROR(INDEX(DaybyDay[],DaybyDay[[#This Row],[FORM_MATCH_HELPER]],8),"")</f>
        <v/>
      </c>
      <c r="AH345" s="39" t="str" cm="1">
        <f t="array" ref="AH345">IFERROR(INDEX(DaybyDay[],DaybyDay[[#This Row],[FORM_MATCH_HELPER]],10),"")</f>
        <v/>
      </c>
      <c r="AI345" s="39" t="str" cm="1">
        <f t="array" ref="AI345">IFERROR(INDEX(DaybyDay[],DaybyDay[[#This Row],[FORM_MATCH_HELPER]],12),"")</f>
        <v/>
      </c>
      <c r="AJ345" s="32">
        <f>IFERROR(DaybyDay[[#This Row],[Serv-LY-RU]]+DaybyDay[[#This Row],[Ret-LY-RU]],"")</f>
        <v>0</v>
      </c>
      <c r="AK3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5" s="77"/>
      <c r="AM345" s="40" t="str">
        <f>IF(DaybyDay[[#This Row],[Admin Hours]]&gt;0,DaybyDay[[#This Row],[Admin Hours]]*$AM$2+$AM$3,"")</f>
        <v/>
      </c>
      <c r="AN345" s="40">
        <f>SUMIFS(DaybyDay[Est-Admin-Payroll],DaybyDay[Date],"&gt;="&amp;$C$5,DaybyDay[RowYear],"&gt;="&amp;$C$4,DaybyDay[Date],"&lt;="&amp;DaybyDay[[#This Row],[Date]])</f>
        <v>0</v>
      </c>
      <c r="AO345" s="41" t="str">
        <f>IF(AND(DaybyDay[[#This Row],[_Space]],ISNUMBER(DaybyDay[[#This Row],[Admin Hours]])),DaybyDay[[#This Row],[Est-Admin-Payroll]]/(DaybyDay[[#This Row],[Service-Actuals]]+DaybyDay[[#This Row],[Retail-Actuals]]),"")</f>
        <v/>
      </c>
      <c r="AP345" s="41" t="e">
        <f>DaybyDay[[#This Row],[Estimated-Payroll-Rollup]]/DaybyDay[[#This Row],[Simple-Forecast]]</f>
        <v>#DIV/0!</v>
      </c>
      <c r="AQ3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5" s="77"/>
      <c r="AS345" s="40" t="str">
        <f>IF(DaybyDay[[#This Row],[Retail Hours]]&gt;0,DaybyDay[[#This Row],[Retail Hours]]*$AS$2,"")</f>
        <v/>
      </c>
      <c r="AT345" s="40">
        <f>SUMIFS(DaybyDay[Est-Retail-Payroll],DaybyDay[Date],"&gt;="&amp;$C$5,DaybyDay[RowYear],"&gt;="&amp;$C$4,DaybyDay[Date],"&lt;="&amp;DaybyDay[[#This Row],[Date]])</f>
        <v>0</v>
      </c>
      <c r="AU345" s="82" t="str">
        <f>IF(AND(DaybyDay[[#This Row],[_Space]],ISNUMBER(DaybyDay[[#This Row],[Retail Hours]])),DaybyDay[[#This Row],[Est-Retail-Payroll]]/(DaybyDay[[#This Row],[Retail-Actuals]]),"")</f>
        <v/>
      </c>
      <c r="AV345" s="82" t="e">
        <f>DaybyDay[[#This Row],[Est-Retail-PayrollRU]]/DaybyDay[[#This Row],[Simple-Forecast-Retail]]</f>
        <v>#DIV/0!</v>
      </c>
      <c r="AW345" s="8"/>
    </row>
    <row r="346" spans="3:49" hidden="1" x14ac:dyDescent="0.25">
      <c r="C346" s="26" t="str">
        <f>Tools!$C$1</f>
        <v>Example</v>
      </c>
      <c r="D346" s="27" t="s">
        <v>79</v>
      </c>
      <c r="E346" s="28">
        <v>2017</v>
      </c>
      <c r="F346" s="28">
        <f>MATCH(DaybyDay[[#This Row],[RowMonth]],Table3[SummaryMonth],0)</f>
        <v>12</v>
      </c>
      <c r="G346" s="29" t="e">
        <f>MATCH(DaybyDay[[#This Row],[LY-Date]],DaybyDay[Date],0)</f>
        <v>#N/A</v>
      </c>
      <c r="H346" s="30">
        <f>WEEKDAY(DaybyDay[[#This Row],[Date]])</f>
        <v>4</v>
      </c>
      <c r="I346" s="31">
        <v>43075</v>
      </c>
      <c r="J346" s="74">
        <v>21</v>
      </c>
      <c r="K346" s="32">
        <f>SUMIFS(BudgetSeasonality[365 Seasonality],BudgetSeasonality[MonthAdjustment],DaybyDay[[#This Row],[Date]])*SUMIFS(Budgets[Service-Budget],Budgets[BudgetMonth],DaybyDay[[#This Row],[RowMonth]],Budgets[BudgetYear],DaybyDay[[#This Row],[RowYear]])</f>
        <v>0</v>
      </c>
      <c r="L346" s="75">
        <v>3797.5</v>
      </c>
      <c r="M346" s="32">
        <f>INDEX(BudgetSeasonality[365 Seasonality],MATCH(DaybyDay[[#This Row],[Date]],BudgetSeasonality[MonthAdjustment],0))*SUMIFS(Budgets[Retail-Budget],Budgets[BudgetMonth],DaybyDay[[#This Row],[RowMonth]],Budgets[BudgetYear],DaybyDay[[#This Row],[RowYear]])</f>
        <v>0</v>
      </c>
      <c r="N346" s="75">
        <v>743.45</v>
      </c>
      <c r="O346" s="33">
        <f>SUMIFS(DaybyDay[Service-Budgets],DaybyDay[Date],"&gt;="&amp;$C$5,DaybyDay[RowYear],"&gt;="&amp;$C$4,DaybyDay[Date],"&lt;="&amp;DaybyDay[[#This Row],[Date]])</f>
        <v>0</v>
      </c>
      <c r="P346" s="33">
        <f>SUMIFS(DaybyDay[Retail-Budgets],DaybyDay[Date],"&gt;="&amp;$C$5,DaybyDay[RowYear],"&gt;="&amp;$C$4,DaybyDay[Date],"&lt;="&amp;DaybyDay[[#This Row],[Date]])</f>
        <v>0</v>
      </c>
      <c r="Q346" s="34">
        <f>SUMIFS(DaybyDay[Service-Actuals],DaybyDay[Date],"&gt;="&amp;$C$5,DaybyDay[RowYear],"&gt;="&amp;$C$4,DaybyDay[Date],"&lt;="&amp;DaybyDay[[#This Row],[Date]])</f>
        <v>0</v>
      </c>
      <c r="R346" s="34">
        <f>SUMIFS(DaybyDay[Retail-Actuals],DaybyDay[Date],"&gt;="&amp;$C$5,DaybyDay[RowYear],"&gt;="&amp;$C$4,DaybyDay[Date],"&lt;="&amp;DaybyDay[[#This Row],[Date]])</f>
        <v>0</v>
      </c>
      <c r="S346" s="35">
        <f>SUMIFS(DaybyDay[Service-LY],DaybyDay[Date],"&gt;="&amp;$C$5,DaybyDay[RowYear],"&gt;="&amp;$C$4,DaybyDay[Date],"&lt;="&amp;DaybyDay[[#This Row],[Date]])</f>
        <v>0</v>
      </c>
      <c r="T346" s="35">
        <f>SUMIFS(DaybyDay[Retail-LY],DaybyDay[Date],"&gt;="&amp;$C$5,DaybyDay[RowYear],"&gt;="&amp;$C$4,DaybyDay[Date],"&lt;="&amp;DaybyDay[[#This Row],[Date]])</f>
        <v>0</v>
      </c>
      <c r="U346" s="32">
        <f>DaybyDay[[#This Row],[Serv-Bud-RU]]+DaybyDay[[#This Row],[Ret-Bud-RU]]</f>
        <v>0</v>
      </c>
      <c r="V346" s="32">
        <f>DaybyDay[[#This Row],[Serv-Act-RU]]+DaybyDay[[#This Row],[Ret-Act-RU]]</f>
        <v>0</v>
      </c>
      <c r="W346" s="36">
        <f>IF(DaybyDay[[#This Row],[_Space]],IFERROR(
((DaybyDay[[#This Row],[Actual-Rollup]]-DaybyDay[[#This Row],[Budget-Rollup]])/DaybyDay[[#This Row],[Budget-Rollup]]),0),"")</f>
        <v>0</v>
      </c>
      <c r="X346" t="b">
        <f>NOT(AND(ISBLANK(DaybyDay[[#This Row],[Appts]]),ISBLANK(DaybyDay[[#This Row],[Service-Actuals]]),ISBLANK(DaybyDay[[#This Row],[Retail-Actuals]])))</f>
        <v>1</v>
      </c>
      <c r="Y346" s="36">
        <f>IF(DaybyDay[[#This Row],[_Space]],IFERROR(
((DaybyDay[[#This Row],[Actual-Rollup]]-DaybyDay[[#This Row],[LY-Rollup]])/DaybyDay[[#This Row],[LY-Rollup]]),0),"")</f>
        <v>0</v>
      </c>
      <c r="Z346"/>
      <c r="AA346" s="37" t="e">
        <f>IF(DaybyDay[[#This Row],[_Space]],DaybyDay[[#This Row],[Ret-Act-RU]]/DaybyDay[[#This Row],[Serv-Act-RU]],"")</f>
        <v>#DIV/0!</v>
      </c>
      <c r="AB346" s="50" t="e">
        <f>IF(DaybyDay[[#This Row],[_Space]],DaybyDay[[#This Row],[RETPEN-Act]]/DaybyDay[[#This Row],[RETPEN-Bud]],"")</f>
        <v>#DIV/0!</v>
      </c>
      <c r="AC346" s="37" t="e">
        <f>IF(DaybyDay[[#This Row],[_Space]],DaybyDay[[#This Row],[Ret-Bud-RU]]/DaybyDay[[#This Row],[Serv-Bud-RU]],"")</f>
        <v>#DIV/0!</v>
      </c>
      <c r="AD346" s="37" t="e">
        <f>IF(DaybyDay[[#This Row],[_Space]],DaybyDay[[#This Row],[Ret-LY-RU]]/DaybyDay[[#This Row],[Serv-LY-RU]],"")</f>
        <v>#DIV/0!</v>
      </c>
      <c r="AE346" s="30">
        <f>WEEKDAY(DaybyDay[[#This Row],[LY-Date]])</f>
        <v>4</v>
      </c>
      <c r="AF346" s="38">
        <f>$E$2+_xlfn.DAYS(DaybyDay[[#This Row],[Date]],minDate)</f>
        <v>42711</v>
      </c>
      <c r="AG346" s="39" t="str" cm="1">
        <f t="array" ref="AG346">IFERROR(INDEX(DaybyDay[],DaybyDay[[#This Row],[FORM_MATCH_HELPER]],8),"")</f>
        <v/>
      </c>
      <c r="AH346" s="39" t="str" cm="1">
        <f t="array" ref="AH346">IFERROR(INDEX(DaybyDay[],DaybyDay[[#This Row],[FORM_MATCH_HELPER]],10),"")</f>
        <v/>
      </c>
      <c r="AI346" s="39" t="str" cm="1">
        <f t="array" ref="AI346">IFERROR(INDEX(DaybyDay[],DaybyDay[[#This Row],[FORM_MATCH_HELPER]],12),"")</f>
        <v/>
      </c>
      <c r="AJ346" s="32">
        <f>IFERROR(DaybyDay[[#This Row],[Serv-LY-RU]]+DaybyDay[[#This Row],[Ret-LY-RU]],"")</f>
        <v>0</v>
      </c>
      <c r="AK3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6" s="77"/>
      <c r="AM346" s="40" t="str">
        <f>IF(DaybyDay[[#This Row],[Admin Hours]]&gt;0,DaybyDay[[#This Row],[Admin Hours]]*$AM$2+$AM$3,"")</f>
        <v/>
      </c>
      <c r="AN346" s="40">
        <f>SUMIFS(DaybyDay[Est-Admin-Payroll],DaybyDay[Date],"&gt;="&amp;$C$5,DaybyDay[RowYear],"&gt;="&amp;$C$4,DaybyDay[Date],"&lt;="&amp;DaybyDay[[#This Row],[Date]])</f>
        <v>0</v>
      </c>
      <c r="AO346" s="41" t="str">
        <f>IF(AND(DaybyDay[[#This Row],[_Space]],ISNUMBER(DaybyDay[[#This Row],[Admin Hours]])),DaybyDay[[#This Row],[Est-Admin-Payroll]]/(DaybyDay[[#This Row],[Service-Actuals]]+DaybyDay[[#This Row],[Retail-Actuals]]),"")</f>
        <v/>
      </c>
      <c r="AP346" s="41" t="e">
        <f>DaybyDay[[#This Row],[Estimated-Payroll-Rollup]]/DaybyDay[[#This Row],[Simple-Forecast]]</f>
        <v>#DIV/0!</v>
      </c>
      <c r="AQ3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6" s="77"/>
      <c r="AS346" s="40" t="str">
        <f>IF(DaybyDay[[#This Row],[Retail Hours]]&gt;0,DaybyDay[[#This Row],[Retail Hours]]*$AS$2,"")</f>
        <v/>
      </c>
      <c r="AT346" s="40">
        <f>SUMIFS(DaybyDay[Est-Retail-Payroll],DaybyDay[Date],"&gt;="&amp;$C$5,DaybyDay[RowYear],"&gt;="&amp;$C$4,DaybyDay[Date],"&lt;="&amp;DaybyDay[[#This Row],[Date]])</f>
        <v>0</v>
      </c>
      <c r="AU346" s="82" t="str">
        <f>IF(AND(DaybyDay[[#This Row],[_Space]],ISNUMBER(DaybyDay[[#This Row],[Retail Hours]])),DaybyDay[[#This Row],[Est-Retail-Payroll]]/(DaybyDay[[#This Row],[Retail-Actuals]]),"")</f>
        <v/>
      </c>
      <c r="AV346" s="82" t="e">
        <f>DaybyDay[[#This Row],[Est-Retail-PayrollRU]]/DaybyDay[[#This Row],[Simple-Forecast-Retail]]</f>
        <v>#DIV/0!</v>
      </c>
      <c r="AW346" s="8"/>
    </row>
    <row r="347" spans="3:49" hidden="1" x14ac:dyDescent="0.25">
      <c r="C347" s="26" t="str">
        <f>Tools!$C$1</f>
        <v>Example</v>
      </c>
      <c r="D347" s="27" t="s">
        <v>79</v>
      </c>
      <c r="E347" s="28">
        <v>2017</v>
      </c>
      <c r="F347" s="28">
        <f>MATCH(DaybyDay[[#This Row],[RowMonth]],Table3[SummaryMonth],0)</f>
        <v>12</v>
      </c>
      <c r="G347" s="29" t="e">
        <f>MATCH(DaybyDay[[#This Row],[LY-Date]],DaybyDay[Date],0)</f>
        <v>#N/A</v>
      </c>
      <c r="H347" s="30">
        <f>WEEKDAY(DaybyDay[[#This Row],[Date]])</f>
        <v>5</v>
      </c>
      <c r="I347" s="31">
        <v>43076</v>
      </c>
      <c r="J347" s="74">
        <v>22</v>
      </c>
      <c r="K347" s="32">
        <f>SUMIFS(BudgetSeasonality[365 Seasonality],BudgetSeasonality[MonthAdjustment],DaybyDay[[#This Row],[Date]])*SUMIFS(Budgets[Service-Budget],Budgets[BudgetMonth],DaybyDay[[#This Row],[RowMonth]],Budgets[BudgetYear],DaybyDay[[#This Row],[RowYear]])</f>
        <v>0</v>
      </c>
      <c r="L347" s="75">
        <v>4627.2</v>
      </c>
      <c r="M347" s="32">
        <f>INDEX(BudgetSeasonality[365 Seasonality],MATCH(DaybyDay[[#This Row],[Date]],BudgetSeasonality[MonthAdjustment],0))*SUMIFS(Budgets[Retail-Budget],Budgets[BudgetMonth],DaybyDay[[#This Row],[RowMonth]],Budgets[BudgetYear],DaybyDay[[#This Row],[RowYear]])</f>
        <v>0</v>
      </c>
      <c r="N347" s="75">
        <v>2122.88</v>
      </c>
      <c r="O347" s="33">
        <f>SUMIFS(DaybyDay[Service-Budgets],DaybyDay[Date],"&gt;="&amp;$C$5,DaybyDay[RowYear],"&gt;="&amp;$C$4,DaybyDay[Date],"&lt;="&amp;DaybyDay[[#This Row],[Date]])</f>
        <v>0</v>
      </c>
      <c r="P347" s="33">
        <f>SUMIFS(DaybyDay[Retail-Budgets],DaybyDay[Date],"&gt;="&amp;$C$5,DaybyDay[RowYear],"&gt;="&amp;$C$4,DaybyDay[Date],"&lt;="&amp;DaybyDay[[#This Row],[Date]])</f>
        <v>0</v>
      </c>
      <c r="Q347" s="34">
        <f>SUMIFS(DaybyDay[Service-Actuals],DaybyDay[Date],"&gt;="&amp;$C$5,DaybyDay[RowYear],"&gt;="&amp;$C$4,DaybyDay[Date],"&lt;="&amp;DaybyDay[[#This Row],[Date]])</f>
        <v>0</v>
      </c>
      <c r="R347" s="34">
        <f>SUMIFS(DaybyDay[Retail-Actuals],DaybyDay[Date],"&gt;="&amp;$C$5,DaybyDay[RowYear],"&gt;="&amp;$C$4,DaybyDay[Date],"&lt;="&amp;DaybyDay[[#This Row],[Date]])</f>
        <v>0</v>
      </c>
      <c r="S347" s="35">
        <f>SUMIFS(DaybyDay[Service-LY],DaybyDay[Date],"&gt;="&amp;$C$5,DaybyDay[RowYear],"&gt;="&amp;$C$4,DaybyDay[Date],"&lt;="&amp;DaybyDay[[#This Row],[Date]])</f>
        <v>0</v>
      </c>
      <c r="T347" s="35">
        <f>SUMIFS(DaybyDay[Retail-LY],DaybyDay[Date],"&gt;="&amp;$C$5,DaybyDay[RowYear],"&gt;="&amp;$C$4,DaybyDay[Date],"&lt;="&amp;DaybyDay[[#This Row],[Date]])</f>
        <v>0</v>
      </c>
      <c r="U347" s="32">
        <f>DaybyDay[[#This Row],[Serv-Bud-RU]]+DaybyDay[[#This Row],[Ret-Bud-RU]]</f>
        <v>0</v>
      </c>
      <c r="V347" s="32">
        <f>DaybyDay[[#This Row],[Serv-Act-RU]]+DaybyDay[[#This Row],[Ret-Act-RU]]</f>
        <v>0</v>
      </c>
      <c r="W347" s="36">
        <f>IF(DaybyDay[[#This Row],[_Space]],IFERROR(
((DaybyDay[[#This Row],[Actual-Rollup]]-DaybyDay[[#This Row],[Budget-Rollup]])/DaybyDay[[#This Row],[Budget-Rollup]]),0),"")</f>
        <v>0</v>
      </c>
      <c r="X347" t="b">
        <f>NOT(AND(ISBLANK(DaybyDay[[#This Row],[Appts]]),ISBLANK(DaybyDay[[#This Row],[Service-Actuals]]),ISBLANK(DaybyDay[[#This Row],[Retail-Actuals]])))</f>
        <v>1</v>
      </c>
      <c r="Y347" s="36">
        <f>IF(DaybyDay[[#This Row],[_Space]],IFERROR(
((DaybyDay[[#This Row],[Actual-Rollup]]-DaybyDay[[#This Row],[LY-Rollup]])/DaybyDay[[#This Row],[LY-Rollup]]),0),"")</f>
        <v>0</v>
      </c>
      <c r="Z347"/>
      <c r="AA347" s="37" t="e">
        <f>IF(DaybyDay[[#This Row],[_Space]],DaybyDay[[#This Row],[Ret-Act-RU]]/DaybyDay[[#This Row],[Serv-Act-RU]],"")</f>
        <v>#DIV/0!</v>
      </c>
      <c r="AB347" s="50" t="e">
        <f>IF(DaybyDay[[#This Row],[_Space]],DaybyDay[[#This Row],[RETPEN-Act]]/DaybyDay[[#This Row],[RETPEN-Bud]],"")</f>
        <v>#DIV/0!</v>
      </c>
      <c r="AC347" s="37" t="e">
        <f>IF(DaybyDay[[#This Row],[_Space]],DaybyDay[[#This Row],[Ret-Bud-RU]]/DaybyDay[[#This Row],[Serv-Bud-RU]],"")</f>
        <v>#DIV/0!</v>
      </c>
      <c r="AD347" s="37" t="e">
        <f>IF(DaybyDay[[#This Row],[_Space]],DaybyDay[[#This Row],[Ret-LY-RU]]/DaybyDay[[#This Row],[Serv-LY-RU]],"")</f>
        <v>#DIV/0!</v>
      </c>
      <c r="AE347" s="30">
        <f>WEEKDAY(DaybyDay[[#This Row],[LY-Date]])</f>
        <v>5</v>
      </c>
      <c r="AF347" s="38">
        <f>$E$2+_xlfn.DAYS(DaybyDay[[#This Row],[Date]],minDate)</f>
        <v>42712</v>
      </c>
      <c r="AG347" s="39" t="str" cm="1">
        <f t="array" ref="AG347">IFERROR(INDEX(DaybyDay[],DaybyDay[[#This Row],[FORM_MATCH_HELPER]],8),"")</f>
        <v/>
      </c>
      <c r="AH347" s="39" t="str" cm="1">
        <f t="array" ref="AH347">IFERROR(INDEX(DaybyDay[],DaybyDay[[#This Row],[FORM_MATCH_HELPER]],10),"")</f>
        <v/>
      </c>
      <c r="AI347" s="39" t="str" cm="1">
        <f t="array" ref="AI347">IFERROR(INDEX(DaybyDay[],DaybyDay[[#This Row],[FORM_MATCH_HELPER]],12),"")</f>
        <v/>
      </c>
      <c r="AJ347" s="32">
        <f>IFERROR(DaybyDay[[#This Row],[Serv-LY-RU]]+DaybyDay[[#This Row],[Ret-LY-RU]],"")</f>
        <v>0</v>
      </c>
      <c r="AK3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7" s="77"/>
      <c r="AM347" s="40" t="str">
        <f>IF(DaybyDay[[#This Row],[Admin Hours]]&gt;0,DaybyDay[[#This Row],[Admin Hours]]*$AM$2+$AM$3,"")</f>
        <v/>
      </c>
      <c r="AN347" s="40">
        <f>SUMIFS(DaybyDay[Est-Admin-Payroll],DaybyDay[Date],"&gt;="&amp;$C$5,DaybyDay[RowYear],"&gt;="&amp;$C$4,DaybyDay[Date],"&lt;="&amp;DaybyDay[[#This Row],[Date]])</f>
        <v>0</v>
      </c>
      <c r="AO347" s="41" t="str">
        <f>IF(AND(DaybyDay[[#This Row],[_Space]],ISNUMBER(DaybyDay[[#This Row],[Admin Hours]])),DaybyDay[[#This Row],[Est-Admin-Payroll]]/(DaybyDay[[#This Row],[Service-Actuals]]+DaybyDay[[#This Row],[Retail-Actuals]]),"")</f>
        <v/>
      </c>
      <c r="AP347" s="41" t="e">
        <f>DaybyDay[[#This Row],[Estimated-Payroll-Rollup]]/DaybyDay[[#This Row],[Simple-Forecast]]</f>
        <v>#DIV/0!</v>
      </c>
      <c r="AQ3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7" s="77"/>
      <c r="AS347" s="40" t="str">
        <f>IF(DaybyDay[[#This Row],[Retail Hours]]&gt;0,DaybyDay[[#This Row],[Retail Hours]]*$AS$2,"")</f>
        <v/>
      </c>
      <c r="AT347" s="40">
        <f>SUMIFS(DaybyDay[Est-Retail-Payroll],DaybyDay[Date],"&gt;="&amp;$C$5,DaybyDay[RowYear],"&gt;="&amp;$C$4,DaybyDay[Date],"&lt;="&amp;DaybyDay[[#This Row],[Date]])</f>
        <v>0</v>
      </c>
      <c r="AU347" s="82" t="str">
        <f>IF(AND(DaybyDay[[#This Row],[_Space]],ISNUMBER(DaybyDay[[#This Row],[Retail Hours]])),DaybyDay[[#This Row],[Est-Retail-Payroll]]/(DaybyDay[[#This Row],[Retail-Actuals]]),"")</f>
        <v/>
      </c>
      <c r="AV347" s="82" t="e">
        <f>DaybyDay[[#This Row],[Est-Retail-PayrollRU]]/DaybyDay[[#This Row],[Simple-Forecast-Retail]]</f>
        <v>#DIV/0!</v>
      </c>
      <c r="AW347" s="8"/>
    </row>
    <row r="348" spans="3:49" hidden="1" x14ac:dyDescent="0.25">
      <c r="C348" s="26" t="str">
        <f>Tools!$C$1</f>
        <v>Example</v>
      </c>
      <c r="D348" s="27" t="s">
        <v>79</v>
      </c>
      <c r="E348" s="28">
        <v>2017</v>
      </c>
      <c r="F348" s="28">
        <f>MATCH(DaybyDay[[#This Row],[RowMonth]],Table3[SummaryMonth],0)</f>
        <v>12</v>
      </c>
      <c r="G348" s="29" t="e">
        <f>MATCH(DaybyDay[[#This Row],[LY-Date]],DaybyDay[Date],0)</f>
        <v>#N/A</v>
      </c>
      <c r="H348" s="30">
        <f>WEEKDAY(DaybyDay[[#This Row],[Date]])</f>
        <v>6</v>
      </c>
      <c r="I348" s="31">
        <v>43077</v>
      </c>
      <c r="J348" s="74">
        <v>16</v>
      </c>
      <c r="K348" s="32">
        <f>SUMIFS(BudgetSeasonality[365 Seasonality],BudgetSeasonality[MonthAdjustment],DaybyDay[[#This Row],[Date]])*SUMIFS(Budgets[Service-Budget],Budgets[BudgetMonth],DaybyDay[[#This Row],[RowMonth]],Budgets[BudgetYear],DaybyDay[[#This Row],[RowYear]])</f>
        <v>0</v>
      </c>
      <c r="L348" s="75">
        <v>3336.2</v>
      </c>
      <c r="M348" s="32">
        <f>INDEX(BudgetSeasonality[365 Seasonality],MATCH(DaybyDay[[#This Row],[Date]],BudgetSeasonality[MonthAdjustment],0))*SUMIFS(Budgets[Retail-Budget],Budgets[BudgetMonth],DaybyDay[[#This Row],[RowMonth]],Budgets[BudgetYear],DaybyDay[[#This Row],[RowYear]])</f>
        <v>0</v>
      </c>
      <c r="N348" s="75">
        <v>504.5</v>
      </c>
      <c r="O348" s="33">
        <f>SUMIFS(DaybyDay[Service-Budgets],DaybyDay[Date],"&gt;="&amp;$C$5,DaybyDay[RowYear],"&gt;="&amp;$C$4,DaybyDay[Date],"&lt;="&amp;DaybyDay[[#This Row],[Date]])</f>
        <v>0</v>
      </c>
      <c r="P348" s="33">
        <f>SUMIFS(DaybyDay[Retail-Budgets],DaybyDay[Date],"&gt;="&amp;$C$5,DaybyDay[RowYear],"&gt;="&amp;$C$4,DaybyDay[Date],"&lt;="&amp;DaybyDay[[#This Row],[Date]])</f>
        <v>0</v>
      </c>
      <c r="Q348" s="34">
        <f>SUMIFS(DaybyDay[Service-Actuals],DaybyDay[Date],"&gt;="&amp;$C$5,DaybyDay[RowYear],"&gt;="&amp;$C$4,DaybyDay[Date],"&lt;="&amp;DaybyDay[[#This Row],[Date]])</f>
        <v>0</v>
      </c>
      <c r="R348" s="34">
        <f>SUMIFS(DaybyDay[Retail-Actuals],DaybyDay[Date],"&gt;="&amp;$C$5,DaybyDay[RowYear],"&gt;="&amp;$C$4,DaybyDay[Date],"&lt;="&amp;DaybyDay[[#This Row],[Date]])</f>
        <v>0</v>
      </c>
      <c r="S348" s="35">
        <f>SUMIFS(DaybyDay[Service-LY],DaybyDay[Date],"&gt;="&amp;$C$5,DaybyDay[RowYear],"&gt;="&amp;$C$4,DaybyDay[Date],"&lt;="&amp;DaybyDay[[#This Row],[Date]])</f>
        <v>0</v>
      </c>
      <c r="T348" s="35">
        <f>SUMIFS(DaybyDay[Retail-LY],DaybyDay[Date],"&gt;="&amp;$C$5,DaybyDay[RowYear],"&gt;="&amp;$C$4,DaybyDay[Date],"&lt;="&amp;DaybyDay[[#This Row],[Date]])</f>
        <v>0</v>
      </c>
      <c r="U348" s="32">
        <f>DaybyDay[[#This Row],[Serv-Bud-RU]]+DaybyDay[[#This Row],[Ret-Bud-RU]]</f>
        <v>0</v>
      </c>
      <c r="V348" s="32">
        <f>DaybyDay[[#This Row],[Serv-Act-RU]]+DaybyDay[[#This Row],[Ret-Act-RU]]</f>
        <v>0</v>
      </c>
      <c r="W348" s="36">
        <f>IF(DaybyDay[[#This Row],[_Space]],IFERROR(
((DaybyDay[[#This Row],[Actual-Rollup]]-DaybyDay[[#This Row],[Budget-Rollup]])/DaybyDay[[#This Row],[Budget-Rollup]]),0),"")</f>
        <v>0</v>
      </c>
      <c r="X348" t="b">
        <f>NOT(AND(ISBLANK(DaybyDay[[#This Row],[Appts]]),ISBLANK(DaybyDay[[#This Row],[Service-Actuals]]),ISBLANK(DaybyDay[[#This Row],[Retail-Actuals]])))</f>
        <v>1</v>
      </c>
      <c r="Y348" s="36">
        <f>IF(DaybyDay[[#This Row],[_Space]],IFERROR(
((DaybyDay[[#This Row],[Actual-Rollup]]-DaybyDay[[#This Row],[LY-Rollup]])/DaybyDay[[#This Row],[LY-Rollup]]),0),"")</f>
        <v>0</v>
      </c>
      <c r="Z348"/>
      <c r="AA348" s="37" t="e">
        <f>IF(DaybyDay[[#This Row],[_Space]],DaybyDay[[#This Row],[Ret-Act-RU]]/DaybyDay[[#This Row],[Serv-Act-RU]],"")</f>
        <v>#DIV/0!</v>
      </c>
      <c r="AB348" s="50" t="e">
        <f>IF(DaybyDay[[#This Row],[_Space]],DaybyDay[[#This Row],[RETPEN-Act]]/DaybyDay[[#This Row],[RETPEN-Bud]],"")</f>
        <v>#DIV/0!</v>
      </c>
      <c r="AC348" s="37" t="e">
        <f>IF(DaybyDay[[#This Row],[_Space]],DaybyDay[[#This Row],[Ret-Bud-RU]]/DaybyDay[[#This Row],[Serv-Bud-RU]],"")</f>
        <v>#DIV/0!</v>
      </c>
      <c r="AD348" s="37" t="e">
        <f>IF(DaybyDay[[#This Row],[_Space]],DaybyDay[[#This Row],[Ret-LY-RU]]/DaybyDay[[#This Row],[Serv-LY-RU]],"")</f>
        <v>#DIV/0!</v>
      </c>
      <c r="AE348" s="30">
        <f>WEEKDAY(DaybyDay[[#This Row],[LY-Date]])</f>
        <v>6</v>
      </c>
      <c r="AF348" s="38">
        <f>$E$2+_xlfn.DAYS(DaybyDay[[#This Row],[Date]],minDate)</f>
        <v>42713</v>
      </c>
      <c r="AG348" s="39" t="str" cm="1">
        <f t="array" ref="AG348">IFERROR(INDEX(DaybyDay[],DaybyDay[[#This Row],[FORM_MATCH_HELPER]],8),"")</f>
        <v/>
      </c>
      <c r="AH348" s="39" t="str" cm="1">
        <f t="array" ref="AH348">IFERROR(INDEX(DaybyDay[],DaybyDay[[#This Row],[FORM_MATCH_HELPER]],10),"")</f>
        <v/>
      </c>
      <c r="AI348" s="39" t="str" cm="1">
        <f t="array" ref="AI348">IFERROR(INDEX(DaybyDay[],DaybyDay[[#This Row],[FORM_MATCH_HELPER]],12),"")</f>
        <v/>
      </c>
      <c r="AJ348" s="32">
        <f>IFERROR(DaybyDay[[#This Row],[Serv-LY-RU]]+DaybyDay[[#This Row],[Ret-LY-RU]],"")</f>
        <v>0</v>
      </c>
      <c r="AK3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8" s="77"/>
      <c r="AM348" s="40" t="str">
        <f>IF(DaybyDay[[#This Row],[Admin Hours]]&gt;0,DaybyDay[[#This Row],[Admin Hours]]*$AM$2+$AM$3,"")</f>
        <v/>
      </c>
      <c r="AN348" s="40">
        <f>SUMIFS(DaybyDay[Est-Admin-Payroll],DaybyDay[Date],"&gt;="&amp;$C$5,DaybyDay[RowYear],"&gt;="&amp;$C$4,DaybyDay[Date],"&lt;="&amp;DaybyDay[[#This Row],[Date]])</f>
        <v>0</v>
      </c>
      <c r="AO348" s="41" t="str">
        <f>IF(AND(DaybyDay[[#This Row],[_Space]],ISNUMBER(DaybyDay[[#This Row],[Admin Hours]])),DaybyDay[[#This Row],[Est-Admin-Payroll]]/(DaybyDay[[#This Row],[Service-Actuals]]+DaybyDay[[#This Row],[Retail-Actuals]]),"")</f>
        <v/>
      </c>
      <c r="AP348" s="41" t="e">
        <f>DaybyDay[[#This Row],[Estimated-Payroll-Rollup]]/DaybyDay[[#This Row],[Simple-Forecast]]</f>
        <v>#DIV/0!</v>
      </c>
      <c r="AQ3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8" s="77"/>
      <c r="AS348" s="40" t="str">
        <f>IF(DaybyDay[[#This Row],[Retail Hours]]&gt;0,DaybyDay[[#This Row],[Retail Hours]]*$AS$2,"")</f>
        <v/>
      </c>
      <c r="AT348" s="40">
        <f>SUMIFS(DaybyDay[Est-Retail-Payroll],DaybyDay[Date],"&gt;="&amp;$C$5,DaybyDay[RowYear],"&gt;="&amp;$C$4,DaybyDay[Date],"&lt;="&amp;DaybyDay[[#This Row],[Date]])</f>
        <v>0</v>
      </c>
      <c r="AU348" s="82" t="str">
        <f>IF(AND(DaybyDay[[#This Row],[_Space]],ISNUMBER(DaybyDay[[#This Row],[Retail Hours]])),DaybyDay[[#This Row],[Est-Retail-Payroll]]/(DaybyDay[[#This Row],[Retail-Actuals]]),"")</f>
        <v/>
      </c>
      <c r="AV348" s="82" t="e">
        <f>DaybyDay[[#This Row],[Est-Retail-PayrollRU]]/DaybyDay[[#This Row],[Simple-Forecast-Retail]]</f>
        <v>#DIV/0!</v>
      </c>
      <c r="AW348" s="8"/>
    </row>
    <row r="349" spans="3:49" hidden="1" x14ac:dyDescent="0.25">
      <c r="C349" s="26" t="str">
        <f>Tools!$C$1</f>
        <v>Example</v>
      </c>
      <c r="D349" s="27" t="s">
        <v>79</v>
      </c>
      <c r="E349" s="28">
        <v>2017</v>
      </c>
      <c r="F349" s="28">
        <f>MATCH(DaybyDay[[#This Row],[RowMonth]],Table3[SummaryMonth],0)</f>
        <v>12</v>
      </c>
      <c r="G349" s="29" t="e">
        <f>MATCH(DaybyDay[[#This Row],[LY-Date]],DaybyDay[Date],0)</f>
        <v>#N/A</v>
      </c>
      <c r="H349" s="30">
        <f>WEEKDAY(DaybyDay[[#This Row],[Date]])</f>
        <v>7</v>
      </c>
      <c r="I349" s="31">
        <v>43078</v>
      </c>
      <c r="J349" s="74">
        <v>26</v>
      </c>
      <c r="K349" s="32">
        <f>SUMIFS(BudgetSeasonality[365 Seasonality],BudgetSeasonality[MonthAdjustment],DaybyDay[[#This Row],[Date]])*SUMIFS(Budgets[Service-Budget],Budgets[BudgetMonth],DaybyDay[[#This Row],[RowMonth]],Budgets[BudgetYear],DaybyDay[[#This Row],[RowYear]])</f>
        <v>0</v>
      </c>
      <c r="L349" s="75">
        <v>6063.5</v>
      </c>
      <c r="M349" s="32">
        <f>INDEX(BudgetSeasonality[365 Seasonality],MATCH(DaybyDay[[#This Row],[Date]],BudgetSeasonality[MonthAdjustment],0))*SUMIFS(Budgets[Retail-Budget],Budgets[BudgetMonth],DaybyDay[[#This Row],[RowMonth]],Budgets[BudgetYear],DaybyDay[[#This Row],[RowYear]])</f>
        <v>0</v>
      </c>
      <c r="N349" s="75">
        <v>690</v>
      </c>
      <c r="O349" s="33">
        <f>SUMIFS(DaybyDay[Service-Budgets],DaybyDay[Date],"&gt;="&amp;$C$5,DaybyDay[RowYear],"&gt;="&amp;$C$4,DaybyDay[Date],"&lt;="&amp;DaybyDay[[#This Row],[Date]])</f>
        <v>0</v>
      </c>
      <c r="P349" s="33">
        <f>SUMIFS(DaybyDay[Retail-Budgets],DaybyDay[Date],"&gt;="&amp;$C$5,DaybyDay[RowYear],"&gt;="&amp;$C$4,DaybyDay[Date],"&lt;="&amp;DaybyDay[[#This Row],[Date]])</f>
        <v>0</v>
      </c>
      <c r="Q349" s="34">
        <f>SUMIFS(DaybyDay[Service-Actuals],DaybyDay[Date],"&gt;="&amp;$C$5,DaybyDay[RowYear],"&gt;="&amp;$C$4,DaybyDay[Date],"&lt;="&amp;DaybyDay[[#This Row],[Date]])</f>
        <v>0</v>
      </c>
      <c r="R349" s="34">
        <f>SUMIFS(DaybyDay[Retail-Actuals],DaybyDay[Date],"&gt;="&amp;$C$5,DaybyDay[RowYear],"&gt;="&amp;$C$4,DaybyDay[Date],"&lt;="&amp;DaybyDay[[#This Row],[Date]])</f>
        <v>0</v>
      </c>
      <c r="S349" s="35">
        <f>SUMIFS(DaybyDay[Service-LY],DaybyDay[Date],"&gt;="&amp;$C$5,DaybyDay[RowYear],"&gt;="&amp;$C$4,DaybyDay[Date],"&lt;="&amp;DaybyDay[[#This Row],[Date]])</f>
        <v>0</v>
      </c>
      <c r="T349" s="35">
        <f>SUMIFS(DaybyDay[Retail-LY],DaybyDay[Date],"&gt;="&amp;$C$5,DaybyDay[RowYear],"&gt;="&amp;$C$4,DaybyDay[Date],"&lt;="&amp;DaybyDay[[#This Row],[Date]])</f>
        <v>0</v>
      </c>
      <c r="U349" s="32">
        <f>DaybyDay[[#This Row],[Serv-Bud-RU]]+DaybyDay[[#This Row],[Ret-Bud-RU]]</f>
        <v>0</v>
      </c>
      <c r="V349" s="32">
        <f>DaybyDay[[#This Row],[Serv-Act-RU]]+DaybyDay[[#This Row],[Ret-Act-RU]]</f>
        <v>0</v>
      </c>
      <c r="W349" s="36">
        <f>IF(DaybyDay[[#This Row],[_Space]],IFERROR(
((DaybyDay[[#This Row],[Actual-Rollup]]-DaybyDay[[#This Row],[Budget-Rollup]])/DaybyDay[[#This Row],[Budget-Rollup]]),0),"")</f>
        <v>0</v>
      </c>
      <c r="X349" t="b">
        <f>NOT(AND(ISBLANK(DaybyDay[[#This Row],[Appts]]),ISBLANK(DaybyDay[[#This Row],[Service-Actuals]]),ISBLANK(DaybyDay[[#This Row],[Retail-Actuals]])))</f>
        <v>1</v>
      </c>
      <c r="Y349" s="36">
        <f>IF(DaybyDay[[#This Row],[_Space]],IFERROR(
((DaybyDay[[#This Row],[Actual-Rollup]]-DaybyDay[[#This Row],[LY-Rollup]])/DaybyDay[[#This Row],[LY-Rollup]]),0),"")</f>
        <v>0</v>
      </c>
      <c r="Z349"/>
      <c r="AA349" s="37" t="e">
        <f>IF(DaybyDay[[#This Row],[_Space]],DaybyDay[[#This Row],[Ret-Act-RU]]/DaybyDay[[#This Row],[Serv-Act-RU]],"")</f>
        <v>#DIV/0!</v>
      </c>
      <c r="AB349" s="50" t="e">
        <f>IF(DaybyDay[[#This Row],[_Space]],DaybyDay[[#This Row],[RETPEN-Act]]/DaybyDay[[#This Row],[RETPEN-Bud]],"")</f>
        <v>#DIV/0!</v>
      </c>
      <c r="AC349" s="37" t="e">
        <f>IF(DaybyDay[[#This Row],[_Space]],DaybyDay[[#This Row],[Ret-Bud-RU]]/DaybyDay[[#This Row],[Serv-Bud-RU]],"")</f>
        <v>#DIV/0!</v>
      </c>
      <c r="AD349" s="37" t="e">
        <f>IF(DaybyDay[[#This Row],[_Space]],DaybyDay[[#This Row],[Ret-LY-RU]]/DaybyDay[[#This Row],[Serv-LY-RU]],"")</f>
        <v>#DIV/0!</v>
      </c>
      <c r="AE349" s="30">
        <f>WEEKDAY(DaybyDay[[#This Row],[LY-Date]])</f>
        <v>7</v>
      </c>
      <c r="AF349" s="38">
        <f>$E$2+_xlfn.DAYS(DaybyDay[[#This Row],[Date]],minDate)</f>
        <v>42714</v>
      </c>
      <c r="AG349" s="39" t="str" cm="1">
        <f t="array" ref="AG349">IFERROR(INDEX(DaybyDay[],DaybyDay[[#This Row],[FORM_MATCH_HELPER]],8),"")</f>
        <v/>
      </c>
      <c r="AH349" s="39" t="str" cm="1">
        <f t="array" ref="AH349">IFERROR(INDEX(DaybyDay[],DaybyDay[[#This Row],[FORM_MATCH_HELPER]],10),"")</f>
        <v/>
      </c>
      <c r="AI349" s="39" t="str" cm="1">
        <f t="array" ref="AI349">IFERROR(INDEX(DaybyDay[],DaybyDay[[#This Row],[FORM_MATCH_HELPER]],12),"")</f>
        <v/>
      </c>
      <c r="AJ349" s="32">
        <f>IFERROR(DaybyDay[[#This Row],[Serv-LY-RU]]+DaybyDay[[#This Row],[Ret-LY-RU]],"")</f>
        <v>0</v>
      </c>
      <c r="AK3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49" s="77"/>
      <c r="AM349" s="40" t="str">
        <f>IF(DaybyDay[[#This Row],[Admin Hours]]&gt;0,DaybyDay[[#This Row],[Admin Hours]]*$AM$2+$AM$3,"")</f>
        <v/>
      </c>
      <c r="AN349" s="40">
        <f>SUMIFS(DaybyDay[Est-Admin-Payroll],DaybyDay[Date],"&gt;="&amp;$C$5,DaybyDay[RowYear],"&gt;="&amp;$C$4,DaybyDay[Date],"&lt;="&amp;DaybyDay[[#This Row],[Date]])</f>
        <v>0</v>
      </c>
      <c r="AO349" s="41" t="str">
        <f>IF(AND(DaybyDay[[#This Row],[_Space]],ISNUMBER(DaybyDay[[#This Row],[Admin Hours]])),DaybyDay[[#This Row],[Est-Admin-Payroll]]/(DaybyDay[[#This Row],[Service-Actuals]]+DaybyDay[[#This Row],[Retail-Actuals]]),"")</f>
        <v/>
      </c>
      <c r="AP349" s="41" t="e">
        <f>DaybyDay[[#This Row],[Estimated-Payroll-Rollup]]/DaybyDay[[#This Row],[Simple-Forecast]]</f>
        <v>#DIV/0!</v>
      </c>
      <c r="AQ3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49" s="77"/>
      <c r="AS349" s="40" t="str">
        <f>IF(DaybyDay[[#This Row],[Retail Hours]]&gt;0,DaybyDay[[#This Row],[Retail Hours]]*$AS$2,"")</f>
        <v/>
      </c>
      <c r="AT349" s="40">
        <f>SUMIFS(DaybyDay[Est-Retail-Payroll],DaybyDay[Date],"&gt;="&amp;$C$5,DaybyDay[RowYear],"&gt;="&amp;$C$4,DaybyDay[Date],"&lt;="&amp;DaybyDay[[#This Row],[Date]])</f>
        <v>0</v>
      </c>
      <c r="AU349" s="82" t="str">
        <f>IF(AND(DaybyDay[[#This Row],[_Space]],ISNUMBER(DaybyDay[[#This Row],[Retail Hours]])),DaybyDay[[#This Row],[Est-Retail-Payroll]]/(DaybyDay[[#This Row],[Retail-Actuals]]),"")</f>
        <v/>
      </c>
      <c r="AV349" s="82" t="e">
        <f>DaybyDay[[#This Row],[Est-Retail-PayrollRU]]/DaybyDay[[#This Row],[Simple-Forecast-Retail]]</f>
        <v>#DIV/0!</v>
      </c>
      <c r="AW349" s="8"/>
    </row>
    <row r="350" spans="3:49" hidden="1" x14ac:dyDescent="0.25">
      <c r="C350" s="26" t="str">
        <f>Tools!$C$1</f>
        <v>Example</v>
      </c>
      <c r="D350" s="27" t="s">
        <v>79</v>
      </c>
      <c r="E350" s="28">
        <v>2017</v>
      </c>
      <c r="F350" s="28">
        <f>MATCH(DaybyDay[[#This Row],[RowMonth]],Table3[SummaryMonth],0)</f>
        <v>12</v>
      </c>
      <c r="G350" s="29" t="e">
        <f>MATCH(DaybyDay[[#This Row],[LY-Date]],DaybyDay[Date],0)</f>
        <v>#N/A</v>
      </c>
      <c r="H350" s="30">
        <f>WEEKDAY(DaybyDay[[#This Row],[Date]])</f>
        <v>1</v>
      </c>
      <c r="I350" s="31">
        <v>43079</v>
      </c>
      <c r="J350" s="74">
        <v>32</v>
      </c>
      <c r="K350" s="32">
        <f>SUMIFS(BudgetSeasonality[365 Seasonality],BudgetSeasonality[MonthAdjustment],DaybyDay[[#This Row],[Date]])*SUMIFS(Budgets[Service-Budget],Budgets[BudgetMonth],DaybyDay[[#This Row],[RowMonth]],Budgets[BudgetYear],DaybyDay[[#This Row],[RowYear]])</f>
        <v>0</v>
      </c>
      <c r="L350" s="75">
        <v>7187.15</v>
      </c>
      <c r="M350" s="32">
        <f>INDEX(BudgetSeasonality[365 Seasonality],MATCH(DaybyDay[[#This Row],[Date]],BudgetSeasonality[MonthAdjustment],0))*SUMIFS(Budgets[Retail-Budget],Budgets[BudgetMonth],DaybyDay[[#This Row],[RowMonth]],Budgets[BudgetYear],DaybyDay[[#This Row],[RowYear]])</f>
        <v>0</v>
      </c>
      <c r="N350" s="75">
        <v>815</v>
      </c>
      <c r="O350" s="33">
        <f>SUMIFS(DaybyDay[Service-Budgets],DaybyDay[Date],"&gt;="&amp;$C$5,DaybyDay[RowYear],"&gt;="&amp;$C$4,DaybyDay[Date],"&lt;="&amp;DaybyDay[[#This Row],[Date]])</f>
        <v>0</v>
      </c>
      <c r="P350" s="33">
        <f>SUMIFS(DaybyDay[Retail-Budgets],DaybyDay[Date],"&gt;="&amp;$C$5,DaybyDay[RowYear],"&gt;="&amp;$C$4,DaybyDay[Date],"&lt;="&amp;DaybyDay[[#This Row],[Date]])</f>
        <v>0</v>
      </c>
      <c r="Q350" s="34">
        <f>SUMIFS(DaybyDay[Service-Actuals],DaybyDay[Date],"&gt;="&amp;$C$5,DaybyDay[RowYear],"&gt;="&amp;$C$4,DaybyDay[Date],"&lt;="&amp;DaybyDay[[#This Row],[Date]])</f>
        <v>0</v>
      </c>
      <c r="R350" s="34">
        <f>SUMIFS(DaybyDay[Retail-Actuals],DaybyDay[Date],"&gt;="&amp;$C$5,DaybyDay[RowYear],"&gt;="&amp;$C$4,DaybyDay[Date],"&lt;="&amp;DaybyDay[[#This Row],[Date]])</f>
        <v>0</v>
      </c>
      <c r="S350" s="35">
        <f>SUMIFS(DaybyDay[Service-LY],DaybyDay[Date],"&gt;="&amp;$C$5,DaybyDay[RowYear],"&gt;="&amp;$C$4,DaybyDay[Date],"&lt;="&amp;DaybyDay[[#This Row],[Date]])</f>
        <v>0</v>
      </c>
      <c r="T350" s="35">
        <f>SUMIFS(DaybyDay[Retail-LY],DaybyDay[Date],"&gt;="&amp;$C$5,DaybyDay[RowYear],"&gt;="&amp;$C$4,DaybyDay[Date],"&lt;="&amp;DaybyDay[[#This Row],[Date]])</f>
        <v>0</v>
      </c>
      <c r="U350" s="32">
        <f>DaybyDay[[#This Row],[Serv-Bud-RU]]+DaybyDay[[#This Row],[Ret-Bud-RU]]</f>
        <v>0</v>
      </c>
      <c r="V350" s="32">
        <f>DaybyDay[[#This Row],[Serv-Act-RU]]+DaybyDay[[#This Row],[Ret-Act-RU]]</f>
        <v>0</v>
      </c>
      <c r="W350" s="36">
        <f>IF(DaybyDay[[#This Row],[_Space]],IFERROR(
((DaybyDay[[#This Row],[Actual-Rollup]]-DaybyDay[[#This Row],[Budget-Rollup]])/DaybyDay[[#This Row],[Budget-Rollup]]),0),"")</f>
        <v>0</v>
      </c>
      <c r="X350" t="b">
        <f>NOT(AND(ISBLANK(DaybyDay[[#This Row],[Appts]]),ISBLANK(DaybyDay[[#This Row],[Service-Actuals]]),ISBLANK(DaybyDay[[#This Row],[Retail-Actuals]])))</f>
        <v>1</v>
      </c>
      <c r="Y350" s="36">
        <f>IF(DaybyDay[[#This Row],[_Space]],IFERROR(
((DaybyDay[[#This Row],[Actual-Rollup]]-DaybyDay[[#This Row],[LY-Rollup]])/DaybyDay[[#This Row],[LY-Rollup]]),0),"")</f>
        <v>0</v>
      </c>
      <c r="Z350"/>
      <c r="AA350" s="37" t="e">
        <f>IF(DaybyDay[[#This Row],[_Space]],DaybyDay[[#This Row],[Ret-Act-RU]]/DaybyDay[[#This Row],[Serv-Act-RU]],"")</f>
        <v>#DIV/0!</v>
      </c>
      <c r="AB350" s="50" t="e">
        <f>IF(DaybyDay[[#This Row],[_Space]],DaybyDay[[#This Row],[RETPEN-Act]]/DaybyDay[[#This Row],[RETPEN-Bud]],"")</f>
        <v>#DIV/0!</v>
      </c>
      <c r="AC350" s="37" t="e">
        <f>IF(DaybyDay[[#This Row],[_Space]],DaybyDay[[#This Row],[Ret-Bud-RU]]/DaybyDay[[#This Row],[Serv-Bud-RU]],"")</f>
        <v>#DIV/0!</v>
      </c>
      <c r="AD350" s="37" t="e">
        <f>IF(DaybyDay[[#This Row],[_Space]],DaybyDay[[#This Row],[Ret-LY-RU]]/DaybyDay[[#This Row],[Serv-LY-RU]],"")</f>
        <v>#DIV/0!</v>
      </c>
      <c r="AE350" s="30">
        <f>WEEKDAY(DaybyDay[[#This Row],[LY-Date]])</f>
        <v>1</v>
      </c>
      <c r="AF350" s="38">
        <f>$E$2+_xlfn.DAYS(DaybyDay[[#This Row],[Date]],minDate)</f>
        <v>42715</v>
      </c>
      <c r="AG350" s="39" t="str" cm="1">
        <f t="array" ref="AG350">IFERROR(INDEX(DaybyDay[],DaybyDay[[#This Row],[FORM_MATCH_HELPER]],8),"")</f>
        <v/>
      </c>
      <c r="AH350" s="39" t="str" cm="1">
        <f t="array" ref="AH350">IFERROR(INDEX(DaybyDay[],DaybyDay[[#This Row],[FORM_MATCH_HELPER]],10),"")</f>
        <v/>
      </c>
      <c r="AI350" s="39" t="str" cm="1">
        <f t="array" ref="AI350">IFERROR(INDEX(DaybyDay[],DaybyDay[[#This Row],[FORM_MATCH_HELPER]],12),"")</f>
        <v/>
      </c>
      <c r="AJ350" s="32">
        <f>IFERROR(DaybyDay[[#This Row],[Serv-LY-RU]]+DaybyDay[[#This Row],[Ret-LY-RU]],"")</f>
        <v>0</v>
      </c>
      <c r="AK3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0" s="77"/>
      <c r="AM350" s="40" t="str">
        <f>IF(DaybyDay[[#This Row],[Admin Hours]]&gt;0,DaybyDay[[#This Row],[Admin Hours]]*$AM$2+$AM$3,"")</f>
        <v/>
      </c>
      <c r="AN350" s="40">
        <f>SUMIFS(DaybyDay[Est-Admin-Payroll],DaybyDay[Date],"&gt;="&amp;$C$5,DaybyDay[RowYear],"&gt;="&amp;$C$4,DaybyDay[Date],"&lt;="&amp;DaybyDay[[#This Row],[Date]])</f>
        <v>0</v>
      </c>
      <c r="AO350" s="41" t="str">
        <f>IF(AND(DaybyDay[[#This Row],[_Space]],ISNUMBER(DaybyDay[[#This Row],[Admin Hours]])),DaybyDay[[#This Row],[Est-Admin-Payroll]]/(DaybyDay[[#This Row],[Service-Actuals]]+DaybyDay[[#This Row],[Retail-Actuals]]),"")</f>
        <v/>
      </c>
      <c r="AP350" s="41" t="e">
        <f>DaybyDay[[#This Row],[Estimated-Payroll-Rollup]]/DaybyDay[[#This Row],[Simple-Forecast]]</f>
        <v>#DIV/0!</v>
      </c>
      <c r="AQ3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0" s="77"/>
      <c r="AS350" s="40" t="str">
        <f>IF(DaybyDay[[#This Row],[Retail Hours]]&gt;0,DaybyDay[[#This Row],[Retail Hours]]*$AS$2,"")</f>
        <v/>
      </c>
      <c r="AT350" s="40">
        <f>SUMIFS(DaybyDay[Est-Retail-Payroll],DaybyDay[Date],"&gt;="&amp;$C$5,DaybyDay[RowYear],"&gt;="&amp;$C$4,DaybyDay[Date],"&lt;="&amp;DaybyDay[[#This Row],[Date]])</f>
        <v>0</v>
      </c>
      <c r="AU350" s="82" t="str">
        <f>IF(AND(DaybyDay[[#This Row],[_Space]],ISNUMBER(DaybyDay[[#This Row],[Retail Hours]])),DaybyDay[[#This Row],[Est-Retail-Payroll]]/(DaybyDay[[#This Row],[Retail-Actuals]]),"")</f>
        <v/>
      </c>
      <c r="AV350" s="82" t="e">
        <f>DaybyDay[[#This Row],[Est-Retail-PayrollRU]]/DaybyDay[[#This Row],[Simple-Forecast-Retail]]</f>
        <v>#DIV/0!</v>
      </c>
      <c r="AW350" s="8"/>
    </row>
    <row r="351" spans="3:49" hidden="1" x14ac:dyDescent="0.25">
      <c r="C351" s="26" t="str">
        <f>Tools!$C$1</f>
        <v>Example</v>
      </c>
      <c r="D351" s="27" t="s">
        <v>79</v>
      </c>
      <c r="E351" s="28">
        <v>2017</v>
      </c>
      <c r="F351" s="28">
        <f>MATCH(DaybyDay[[#This Row],[RowMonth]],Table3[SummaryMonth],0)</f>
        <v>12</v>
      </c>
      <c r="G351" s="29" t="e">
        <f>MATCH(DaybyDay[[#This Row],[LY-Date]],DaybyDay[Date],0)</f>
        <v>#N/A</v>
      </c>
      <c r="H351" s="30">
        <f>WEEKDAY(DaybyDay[[#This Row],[Date]])</f>
        <v>2</v>
      </c>
      <c r="I351" s="31">
        <v>43080</v>
      </c>
      <c r="J351" s="74">
        <v>11</v>
      </c>
      <c r="K351" s="32">
        <f>SUMIFS(BudgetSeasonality[365 Seasonality],BudgetSeasonality[MonthAdjustment],DaybyDay[[#This Row],[Date]])*SUMIFS(Budgets[Service-Budget],Budgets[BudgetMonth],DaybyDay[[#This Row],[RowMonth]],Budgets[BudgetYear],DaybyDay[[#This Row],[RowYear]])</f>
        <v>0</v>
      </c>
      <c r="L351" s="75">
        <v>2423.9</v>
      </c>
      <c r="M351" s="32">
        <f>INDEX(BudgetSeasonality[365 Seasonality],MATCH(DaybyDay[[#This Row],[Date]],BudgetSeasonality[MonthAdjustment],0))*SUMIFS(Budgets[Retail-Budget],Budgets[BudgetMonth],DaybyDay[[#This Row],[RowMonth]],Budgets[BudgetYear],DaybyDay[[#This Row],[RowYear]])</f>
        <v>0</v>
      </c>
      <c r="N351" s="75">
        <v>0</v>
      </c>
      <c r="O351" s="33">
        <f>SUMIFS(DaybyDay[Service-Budgets],DaybyDay[Date],"&gt;="&amp;$C$5,DaybyDay[RowYear],"&gt;="&amp;$C$4,DaybyDay[Date],"&lt;="&amp;DaybyDay[[#This Row],[Date]])</f>
        <v>0</v>
      </c>
      <c r="P351" s="33">
        <f>SUMIFS(DaybyDay[Retail-Budgets],DaybyDay[Date],"&gt;="&amp;$C$5,DaybyDay[RowYear],"&gt;="&amp;$C$4,DaybyDay[Date],"&lt;="&amp;DaybyDay[[#This Row],[Date]])</f>
        <v>0</v>
      </c>
      <c r="Q351" s="34">
        <f>SUMIFS(DaybyDay[Service-Actuals],DaybyDay[Date],"&gt;="&amp;$C$5,DaybyDay[RowYear],"&gt;="&amp;$C$4,DaybyDay[Date],"&lt;="&amp;DaybyDay[[#This Row],[Date]])</f>
        <v>0</v>
      </c>
      <c r="R351" s="34">
        <f>SUMIFS(DaybyDay[Retail-Actuals],DaybyDay[Date],"&gt;="&amp;$C$5,DaybyDay[RowYear],"&gt;="&amp;$C$4,DaybyDay[Date],"&lt;="&amp;DaybyDay[[#This Row],[Date]])</f>
        <v>0</v>
      </c>
      <c r="S351" s="35">
        <f>SUMIFS(DaybyDay[Service-LY],DaybyDay[Date],"&gt;="&amp;$C$5,DaybyDay[RowYear],"&gt;="&amp;$C$4,DaybyDay[Date],"&lt;="&amp;DaybyDay[[#This Row],[Date]])</f>
        <v>0</v>
      </c>
      <c r="T351" s="35">
        <f>SUMIFS(DaybyDay[Retail-LY],DaybyDay[Date],"&gt;="&amp;$C$5,DaybyDay[RowYear],"&gt;="&amp;$C$4,DaybyDay[Date],"&lt;="&amp;DaybyDay[[#This Row],[Date]])</f>
        <v>0</v>
      </c>
      <c r="U351" s="32">
        <f>DaybyDay[[#This Row],[Serv-Bud-RU]]+DaybyDay[[#This Row],[Ret-Bud-RU]]</f>
        <v>0</v>
      </c>
      <c r="V351" s="32">
        <f>DaybyDay[[#This Row],[Serv-Act-RU]]+DaybyDay[[#This Row],[Ret-Act-RU]]</f>
        <v>0</v>
      </c>
      <c r="W351" s="36">
        <f>IF(DaybyDay[[#This Row],[_Space]],IFERROR(
((DaybyDay[[#This Row],[Actual-Rollup]]-DaybyDay[[#This Row],[Budget-Rollup]])/DaybyDay[[#This Row],[Budget-Rollup]]),0),"")</f>
        <v>0</v>
      </c>
      <c r="X351" t="b">
        <f>NOT(AND(ISBLANK(DaybyDay[[#This Row],[Appts]]),ISBLANK(DaybyDay[[#This Row],[Service-Actuals]]),ISBLANK(DaybyDay[[#This Row],[Retail-Actuals]])))</f>
        <v>1</v>
      </c>
      <c r="Y351" s="36">
        <f>IF(DaybyDay[[#This Row],[_Space]],IFERROR(
((DaybyDay[[#This Row],[Actual-Rollup]]-DaybyDay[[#This Row],[LY-Rollup]])/DaybyDay[[#This Row],[LY-Rollup]]),0),"")</f>
        <v>0</v>
      </c>
      <c r="Z351"/>
      <c r="AA351" s="37" t="e">
        <f>IF(DaybyDay[[#This Row],[_Space]],DaybyDay[[#This Row],[Ret-Act-RU]]/DaybyDay[[#This Row],[Serv-Act-RU]],"")</f>
        <v>#DIV/0!</v>
      </c>
      <c r="AB351" s="50" t="e">
        <f>IF(DaybyDay[[#This Row],[_Space]],DaybyDay[[#This Row],[RETPEN-Act]]/DaybyDay[[#This Row],[RETPEN-Bud]],"")</f>
        <v>#DIV/0!</v>
      </c>
      <c r="AC351" s="37" t="e">
        <f>IF(DaybyDay[[#This Row],[_Space]],DaybyDay[[#This Row],[Ret-Bud-RU]]/DaybyDay[[#This Row],[Serv-Bud-RU]],"")</f>
        <v>#DIV/0!</v>
      </c>
      <c r="AD351" s="37" t="e">
        <f>IF(DaybyDay[[#This Row],[_Space]],DaybyDay[[#This Row],[Ret-LY-RU]]/DaybyDay[[#This Row],[Serv-LY-RU]],"")</f>
        <v>#DIV/0!</v>
      </c>
      <c r="AE351" s="30">
        <f>WEEKDAY(DaybyDay[[#This Row],[LY-Date]])</f>
        <v>2</v>
      </c>
      <c r="AF351" s="38">
        <f>$E$2+_xlfn.DAYS(DaybyDay[[#This Row],[Date]],minDate)</f>
        <v>42716</v>
      </c>
      <c r="AG351" s="39" t="str" cm="1">
        <f t="array" ref="AG351">IFERROR(INDEX(DaybyDay[],DaybyDay[[#This Row],[FORM_MATCH_HELPER]],8),"")</f>
        <v/>
      </c>
      <c r="AH351" s="39" t="str" cm="1">
        <f t="array" ref="AH351">IFERROR(INDEX(DaybyDay[],DaybyDay[[#This Row],[FORM_MATCH_HELPER]],10),"")</f>
        <v/>
      </c>
      <c r="AI351" s="39" t="str" cm="1">
        <f t="array" ref="AI351">IFERROR(INDEX(DaybyDay[],DaybyDay[[#This Row],[FORM_MATCH_HELPER]],12),"")</f>
        <v/>
      </c>
      <c r="AJ351" s="32">
        <f>IFERROR(DaybyDay[[#This Row],[Serv-LY-RU]]+DaybyDay[[#This Row],[Ret-LY-RU]],"")</f>
        <v>0</v>
      </c>
      <c r="AK3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1" s="77"/>
      <c r="AM351" s="40" t="str">
        <f>IF(DaybyDay[[#This Row],[Admin Hours]]&gt;0,DaybyDay[[#This Row],[Admin Hours]]*$AM$2+$AM$3,"")</f>
        <v/>
      </c>
      <c r="AN351" s="40">
        <f>SUMIFS(DaybyDay[Est-Admin-Payroll],DaybyDay[Date],"&gt;="&amp;$C$5,DaybyDay[RowYear],"&gt;="&amp;$C$4,DaybyDay[Date],"&lt;="&amp;DaybyDay[[#This Row],[Date]])</f>
        <v>0</v>
      </c>
      <c r="AO351" s="41" t="str">
        <f>IF(AND(DaybyDay[[#This Row],[_Space]],ISNUMBER(DaybyDay[[#This Row],[Admin Hours]])),DaybyDay[[#This Row],[Est-Admin-Payroll]]/(DaybyDay[[#This Row],[Service-Actuals]]+DaybyDay[[#This Row],[Retail-Actuals]]),"")</f>
        <v/>
      </c>
      <c r="AP351" s="41" t="e">
        <f>DaybyDay[[#This Row],[Estimated-Payroll-Rollup]]/DaybyDay[[#This Row],[Simple-Forecast]]</f>
        <v>#DIV/0!</v>
      </c>
      <c r="AQ3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1" s="77"/>
      <c r="AS351" s="40" t="str">
        <f>IF(DaybyDay[[#This Row],[Retail Hours]]&gt;0,DaybyDay[[#This Row],[Retail Hours]]*$AS$2,"")</f>
        <v/>
      </c>
      <c r="AT351" s="40">
        <f>SUMIFS(DaybyDay[Est-Retail-Payroll],DaybyDay[Date],"&gt;="&amp;$C$5,DaybyDay[RowYear],"&gt;="&amp;$C$4,DaybyDay[Date],"&lt;="&amp;DaybyDay[[#This Row],[Date]])</f>
        <v>0</v>
      </c>
      <c r="AU351" s="82" t="str">
        <f>IF(AND(DaybyDay[[#This Row],[_Space]],ISNUMBER(DaybyDay[[#This Row],[Retail Hours]])),DaybyDay[[#This Row],[Est-Retail-Payroll]]/(DaybyDay[[#This Row],[Retail-Actuals]]),"")</f>
        <v/>
      </c>
      <c r="AV351" s="82" t="e">
        <f>DaybyDay[[#This Row],[Est-Retail-PayrollRU]]/DaybyDay[[#This Row],[Simple-Forecast-Retail]]</f>
        <v>#DIV/0!</v>
      </c>
      <c r="AW351" s="8"/>
    </row>
    <row r="352" spans="3:49" hidden="1" x14ac:dyDescent="0.25">
      <c r="C352" s="26" t="str">
        <f>Tools!$C$1</f>
        <v>Example</v>
      </c>
      <c r="D352" s="27" t="s">
        <v>79</v>
      </c>
      <c r="E352" s="28">
        <v>2017</v>
      </c>
      <c r="F352" s="28">
        <f>MATCH(DaybyDay[[#This Row],[RowMonth]],Table3[SummaryMonth],0)</f>
        <v>12</v>
      </c>
      <c r="G352" s="29" t="e">
        <f>MATCH(DaybyDay[[#This Row],[LY-Date]],DaybyDay[Date],0)</f>
        <v>#N/A</v>
      </c>
      <c r="H352" s="30">
        <f>WEEKDAY(DaybyDay[[#This Row],[Date]])</f>
        <v>3</v>
      </c>
      <c r="I352" s="31">
        <v>43081</v>
      </c>
      <c r="J352" s="74">
        <v>22</v>
      </c>
      <c r="K352" s="32">
        <f>SUMIFS(BudgetSeasonality[365 Seasonality],BudgetSeasonality[MonthAdjustment],DaybyDay[[#This Row],[Date]])*SUMIFS(Budgets[Service-Budget],Budgets[BudgetMonth],DaybyDay[[#This Row],[RowMonth]],Budgets[BudgetYear],DaybyDay[[#This Row],[RowYear]])</f>
        <v>0</v>
      </c>
      <c r="L352" s="75">
        <v>5045</v>
      </c>
      <c r="M352" s="32">
        <f>INDEX(BudgetSeasonality[365 Seasonality],MATCH(DaybyDay[[#This Row],[Date]],BudgetSeasonality[MonthAdjustment],0))*SUMIFS(Budgets[Retail-Budget],Budgets[BudgetMonth],DaybyDay[[#This Row],[RowMonth]],Budgets[BudgetYear],DaybyDay[[#This Row],[RowYear]])</f>
        <v>0</v>
      </c>
      <c r="N352" s="75">
        <v>1410.68</v>
      </c>
      <c r="O352" s="33">
        <f>SUMIFS(DaybyDay[Service-Budgets],DaybyDay[Date],"&gt;="&amp;$C$5,DaybyDay[RowYear],"&gt;="&amp;$C$4,DaybyDay[Date],"&lt;="&amp;DaybyDay[[#This Row],[Date]])</f>
        <v>0</v>
      </c>
      <c r="P352" s="33">
        <f>SUMIFS(DaybyDay[Retail-Budgets],DaybyDay[Date],"&gt;="&amp;$C$5,DaybyDay[RowYear],"&gt;="&amp;$C$4,DaybyDay[Date],"&lt;="&amp;DaybyDay[[#This Row],[Date]])</f>
        <v>0</v>
      </c>
      <c r="Q352" s="34">
        <f>SUMIFS(DaybyDay[Service-Actuals],DaybyDay[Date],"&gt;="&amp;$C$5,DaybyDay[RowYear],"&gt;="&amp;$C$4,DaybyDay[Date],"&lt;="&amp;DaybyDay[[#This Row],[Date]])</f>
        <v>0</v>
      </c>
      <c r="R352" s="34">
        <f>SUMIFS(DaybyDay[Retail-Actuals],DaybyDay[Date],"&gt;="&amp;$C$5,DaybyDay[RowYear],"&gt;="&amp;$C$4,DaybyDay[Date],"&lt;="&amp;DaybyDay[[#This Row],[Date]])</f>
        <v>0</v>
      </c>
      <c r="S352" s="35">
        <f>SUMIFS(DaybyDay[Service-LY],DaybyDay[Date],"&gt;="&amp;$C$5,DaybyDay[RowYear],"&gt;="&amp;$C$4,DaybyDay[Date],"&lt;="&amp;DaybyDay[[#This Row],[Date]])</f>
        <v>0</v>
      </c>
      <c r="T352" s="35">
        <f>SUMIFS(DaybyDay[Retail-LY],DaybyDay[Date],"&gt;="&amp;$C$5,DaybyDay[RowYear],"&gt;="&amp;$C$4,DaybyDay[Date],"&lt;="&amp;DaybyDay[[#This Row],[Date]])</f>
        <v>0</v>
      </c>
      <c r="U352" s="32">
        <f>DaybyDay[[#This Row],[Serv-Bud-RU]]+DaybyDay[[#This Row],[Ret-Bud-RU]]</f>
        <v>0</v>
      </c>
      <c r="V352" s="32">
        <f>DaybyDay[[#This Row],[Serv-Act-RU]]+DaybyDay[[#This Row],[Ret-Act-RU]]</f>
        <v>0</v>
      </c>
      <c r="W352" s="36">
        <f>IF(DaybyDay[[#This Row],[_Space]],IFERROR(
((DaybyDay[[#This Row],[Actual-Rollup]]-DaybyDay[[#This Row],[Budget-Rollup]])/DaybyDay[[#This Row],[Budget-Rollup]]),0),"")</f>
        <v>0</v>
      </c>
      <c r="X352" t="b">
        <f>NOT(AND(ISBLANK(DaybyDay[[#This Row],[Appts]]),ISBLANK(DaybyDay[[#This Row],[Service-Actuals]]),ISBLANK(DaybyDay[[#This Row],[Retail-Actuals]])))</f>
        <v>1</v>
      </c>
      <c r="Y352" s="36">
        <f>IF(DaybyDay[[#This Row],[_Space]],IFERROR(
((DaybyDay[[#This Row],[Actual-Rollup]]-DaybyDay[[#This Row],[LY-Rollup]])/DaybyDay[[#This Row],[LY-Rollup]]),0),"")</f>
        <v>0</v>
      </c>
      <c r="Z352"/>
      <c r="AA352" s="37" t="e">
        <f>IF(DaybyDay[[#This Row],[_Space]],DaybyDay[[#This Row],[Ret-Act-RU]]/DaybyDay[[#This Row],[Serv-Act-RU]],"")</f>
        <v>#DIV/0!</v>
      </c>
      <c r="AB352" s="50" t="e">
        <f>IF(DaybyDay[[#This Row],[_Space]],DaybyDay[[#This Row],[RETPEN-Act]]/DaybyDay[[#This Row],[RETPEN-Bud]],"")</f>
        <v>#DIV/0!</v>
      </c>
      <c r="AC352" s="37" t="e">
        <f>IF(DaybyDay[[#This Row],[_Space]],DaybyDay[[#This Row],[Ret-Bud-RU]]/DaybyDay[[#This Row],[Serv-Bud-RU]],"")</f>
        <v>#DIV/0!</v>
      </c>
      <c r="AD352" s="37" t="e">
        <f>IF(DaybyDay[[#This Row],[_Space]],DaybyDay[[#This Row],[Ret-LY-RU]]/DaybyDay[[#This Row],[Serv-LY-RU]],"")</f>
        <v>#DIV/0!</v>
      </c>
      <c r="AE352" s="30">
        <f>WEEKDAY(DaybyDay[[#This Row],[LY-Date]])</f>
        <v>3</v>
      </c>
      <c r="AF352" s="38">
        <f>$E$2+_xlfn.DAYS(DaybyDay[[#This Row],[Date]],minDate)</f>
        <v>42717</v>
      </c>
      <c r="AG352" s="39" t="str" cm="1">
        <f t="array" ref="AG352">IFERROR(INDEX(DaybyDay[],DaybyDay[[#This Row],[FORM_MATCH_HELPER]],8),"")</f>
        <v/>
      </c>
      <c r="AH352" s="39" t="str" cm="1">
        <f t="array" ref="AH352">IFERROR(INDEX(DaybyDay[],DaybyDay[[#This Row],[FORM_MATCH_HELPER]],10),"")</f>
        <v/>
      </c>
      <c r="AI352" s="39" t="str" cm="1">
        <f t="array" ref="AI352">IFERROR(INDEX(DaybyDay[],DaybyDay[[#This Row],[FORM_MATCH_HELPER]],12),"")</f>
        <v/>
      </c>
      <c r="AJ352" s="32">
        <f>IFERROR(DaybyDay[[#This Row],[Serv-LY-RU]]+DaybyDay[[#This Row],[Ret-LY-RU]],"")</f>
        <v>0</v>
      </c>
      <c r="AK3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2" s="77"/>
      <c r="AM352" s="40" t="str">
        <f>IF(DaybyDay[[#This Row],[Admin Hours]]&gt;0,DaybyDay[[#This Row],[Admin Hours]]*$AM$2+$AM$3,"")</f>
        <v/>
      </c>
      <c r="AN352" s="40">
        <f>SUMIFS(DaybyDay[Est-Admin-Payroll],DaybyDay[Date],"&gt;="&amp;$C$5,DaybyDay[RowYear],"&gt;="&amp;$C$4,DaybyDay[Date],"&lt;="&amp;DaybyDay[[#This Row],[Date]])</f>
        <v>0</v>
      </c>
      <c r="AO352" s="41" t="str">
        <f>IF(AND(DaybyDay[[#This Row],[_Space]],ISNUMBER(DaybyDay[[#This Row],[Admin Hours]])),DaybyDay[[#This Row],[Est-Admin-Payroll]]/(DaybyDay[[#This Row],[Service-Actuals]]+DaybyDay[[#This Row],[Retail-Actuals]]),"")</f>
        <v/>
      </c>
      <c r="AP352" s="41" t="e">
        <f>DaybyDay[[#This Row],[Estimated-Payroll-Rollup]]/DaybyDay[[#This Row],[Simple-Forecast]]</f>
        <v>#DIV/0!</v>
      </c>
      <c r="AQ3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2" s="77"/>
      <c r="AS352" s="40" t="str">
        <f>IF(DaybyDay[[#This Row],[Retail Hours]]&gt;0,DaybyDay[[#This Row],[Retail Hours]]*$AS$2,"")</f>
        <v/>
      </c>
      <c r="AT352" s="40">
        <f>SUMIFS(DaybyDay[Est-Retail-Payroll],DaybyDay[Date],"&gt;="&amp;$C$5,DaybyDay[RowYear],"&gt;="&amp;$C$4,DaybyDay[Date],"&lt;="&amp;DaybyDay[[#This Row],[Date]])</f>
        <v>0</v>
      </c>
      <c r="AU352" s="82" t="str">
        <f>IF(AND(DaybyDay[[#This Row],[_Space]],ISNUMBER(DaybyDay[[#This Row],[Retail Hours]])),DaybyDay[[#This Row],[Est-Retail-Payroll]]/(DaybyDay[[#This Row],[Retail-Actuals]]),"")</f>
        <v/>
      </c>
      <c r="AV352" s="82" t="e">
        <f>DaybyDay[[#This Row],[Est-Retail-PayrollRU]]/DaybyDay[[#This Row],[Simple-Forecast-Retail]]</f>
        <v>#DIV/0!</v>
      </c>
      <c r="AW352" s="8"/>
    </row>
    <row r="353" spans="3:49" hidden="1" x14ac:dyDescent="0.25">
      <c r="C353" s="26" t="str">
        <f>Tools!$C$1</f>
        <v>Example</v>
      </c>
      <c r="D353" s="27" t="s">
        <v>79</v>
      </c>
      <c r="E353" s="28">
        <v>2017</v>
      </c>
      <c r="F353" s="28">
        <f>MATCH(DaybyDay[[#This Row],[RowMonth]],Table3[SummaryMonth],0)</f>
        <v>12</v>
      </c>
      <c r="G353" s="29" t="e">
        <f>MATCH(DaybyDay[[#This Row],[LY-Date]],DaybyDay[Date],0)</f>
        <v>#N/A</v>
      </c>
      <c r="H353" s="30">
        <f>WEEKDAY(DaybyDay[[#This Row],[Date]])</f>
        <v>4</v>
      </c>
      <c r="I353" s="31">
        <v>43082</v>
      </c>
      <c r="J353" s="74">
        <v>11</v>
      </c>
      <c r="K353" s="32">
        <f>SUMIFS(BudgetSeasonality[365 Seasonality],BudgetSeasonality[MonthAdjustment],DaybyDay[[#This Row],[Date]])*SUMIFS(Budgets[Service-Budget],Budgets[BudgetMonth],DaybyDay[[#This Row],[RowMonth]],Budgets[BudgetYear],DaybyDay[[#This Row],[RowYear]])</f>
        <v>0</v>
      </c>
      <c r="L353" s="75">
        <v>2506</v>
      </c>
      <c r="M353" s="32">
        <f>INDEX(BudgetSeasonality[365 Seasonality],MATCH(DaybyDay[[#This Row],[Date]],BudgetSeasonality[MonthAdjustment],0))*SUMIFS(Budgets[Retail-Budget],Budgets[BudgetMonth],DaybyDay[[#This Row],[RowMonth]],Budgets[BudgetYear],DaybyDay[[#This Row],[RowYear]])</f>
        <v>0</v>
      </c>
      <c r="N353" s="75">
        <v>1660</v>
      </c>
      <c r="O353" s="33">
        <f>SUMIFS(DaybyDay[Service-Budgets],DaybyDay[Date],"&gt;="&amp;$C$5,DaybyDay[RowYear],"&gt;="&amp;$C$4,DaybyDay[Date],"&lt;="&amp;DaybyDay[[#This Row],[Date]])</f>
        <v>0</v>
      </c>
      <c r="P353" s="33">
        <f>SUMIFS(DaybyDay[Retail-Budgets],DaybyDay[Date],"&gt;="&amp;$C$5,DaybyDay[RowYear],"&gt;="&amp;$C$4,DaybyDay[Date],"&lt;="&amp;DaybyDay[[#This Row],[Date]])</f>
        <v>0</v>
      </c>
      <c r="Q353" s="34">
        <f>SUMIFS(DaybyDay[Service-Actuals],DaybyDay[Date],"&gt;="&amp;$C$5,DaybyDay[RowYear],"&gt;="&amp;$C$4,DaybyDay[Date],"&lt;="&amp;DaybyDay[[#This Row],[Date]])</f>
        <v>0</v>
      </c>
      <c r="R353" s="34">
        <f>SUMIFS(DaybyDay[Retail-Actuals],DaybyDay[Date],"&gt;="&amp;$C$5,DaybyDay[RowYear],"&gt;="&amp;$C$4,DaybyDay[Date],"&lt;="&amp;DaybyDay[[#This Row],[Date]])</f>
        <v>0</v>
      </c>
      <c r="S353" s="35">
        <f>SUMIFS(DaybyDay[Service-LY],DaybyDay[Date],"&gt;="&amp;$C$5,DaybyDay[RowYear],"&gt;="&amp;$C$4,DaybyDay[Date],"&lt;="&amp;DaybyDay[[#This Row],[Date]])</f>
        <v>0</v>
      </c>
      <c r="T353" s="35">
        <f>SUMIFS(DaybyDay[Retail-LY],DaybyDay[Date],"&gt;="&amp;$C$5,DaybyDay[RowYear],"&gt;="&amp;$C$4,DaybyDay[Date],"&lt;="&amp;DaybyDay[[#This Row],[Date]])</f>
        <v>0</v>
      </c>
      <c r="U353" s="32">
        <f>DaybyDay[[#This Row],[Serv-Bud-RU]]+DaybyDay[[#This Row],[Ret-Bud-RU]]</f>
        <v>0</v>
      </c>
      <c r="V353" s="32">
        <f>DaybyDay[[#This Row],[Serv-Act-RU]]+DaybyDay[[#This Row],[Ret-Act-RU]]</f>
        <v>0</v>
      </c>
      <c r="W353" s="36">
        <f>IF(DaybyDay[[#This Row],[_Space]],IFERROR(
((DaybyDay[[#This Row],[Actual-Rollup]]-DaybyDay[[#This Row],[Budget-Rollup]])/DaybyDay[[#This Row],[Budget-Rollup]]),0),"")</f>
        <v>0</v>
      </c>
      <c r="X353" t="b">
        <f>NOT(AND(ISBLANK(DaybyDay[[#This Row],[Appts]]),ISBLANK(DaybyDay[[#This Row],[Service-Actuals]]),ISBLANK(DaybyDay[[#This Row],[Retail-Actuals]])))</f>
        <v>1</v>
      </c>
      <c r="Y353" s="36">
        <f>IF(DaybyDay[[#This Row],[_Space]],IFERROR(
((DaybyDay[[#This Row],[Actual-Rollup]]-DaybyDay[[#This Row],[LY-Rollup]])/DaybyDay[[#This Row],[LY-Rollup]]),0),"")</f>
        <v>0</v>
      </c>
      <c r="Z353"/>
      <c r="AA353" s="37" t="e">
        <f>IF(DaybyDay[[#This Row],[_Space]],DaybyDay[[#This Row],[Ret-Act-RU]]/DaybyDay[[#This Row],[Serv-Act-RU]],"")</f>
        <v>#DIV/0!</v>
      </c>
      <c r="AB353" s="50" t="e">
        <f>IF(DaybyDay[[#This Row],[_Space]],DaybyDay[[#This Row],[RETPEN-Act]]/DaybyDay[[#This Row],[RETPEN-Bud]],"")</f>
        <v>#DIV/0!</v>
      </c>
      <c r="AC353" s="37" t="e">
        <f>IF(DaybyDay[[#This Row],[_Space]],DaybyDay[[#This Row],[Ret-Bud-RU]]/DaybyDay[[#This Row],[Serv-Bud-RU]],"")</f>
        <v>#DIV/0!</v>
      </c>
      <c r="AD353" s="37" t="e">
        <f>IF(DaybyDay[[#This Row],[_Space]],DaybyDay[[#This Row],[Ret-LY-RU]]/DaybyDay[[#This Row],[Serv-LY-RU]],"")</f>
        <v>#DIV/0!</v>
      </c>
      <c r="AE353" s="30">
        <f>WEEKDAY(DaybyDay[[#This Row],[LY-Date]])</f>
        <v>4</v>
      </c>
      <c r="AF353" s="38">
        <f>$E$2+_xlfn.DAYS(DaybyDay[[#This Row],[Date]],minDate)</f>
        <v>42718</v>
      </c>
      <c r="AG353" s="39" t="str" cm="1">
        <f t="array" ref="AG353">IFERROR(INDEX(DaybyDay[],DaybyDay[[#This Row],[FORM_MATCH_HELPER]],8),"")</f>
        <v/>
      </c>
      <c r="AH353" s="39" t="str" cm="1">
        <f t="array" ref="AH353">IFERROR(INDEX(DaybyDay[],DaybyDay[[#This Row],[FORM_MATCH_HELPER]],10),"")</f>
        <v/>
      </c>
      <c r="AI353" s="39" t="str" cm="1">
        <f t="array" ref="AI353">IFERROR(INDEX(DaybyDay[],DaybyDay[[#This Row],[FORM_MATCH_HELPER]],12),"")</f>
        <v/>
      </c>
      <c r="AJ353" s="32">
        <f>IFERROR(DaybyDay[[#This Row],[Serv-LY-RU]]+DaybyDay[[#This Row],[Ret-LY-RU]],"")</f>
        <v>0</v>
      </c>
      <c r="AK3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3" s="77"/>
      <c r="AM353" s="40" t="str">
        <f>IF(DaybyDay[[#This Row],[Admin Hours]]&gt;0,DaybyDay[[#This Row],[Admin Hours]]*$AM$2+$AM$3,"")</f>
        <v/>
      </c>
      <c r="AN353" s="40">
        <f>SUMIFS(DaybyDay[Est-Admin-Payroll],DaybyDay[Date],"&gt;="&amp;$C$5,DaybyDay[RowYear],"&gt;="&amp;$C$4,DaybyDay[Date],"&lt;="&amp;DaybyDay[[#This Row],[Date]])</f>
        <v>0</v>
      </c>
      <c r="AO353" s="41" t="str">
        <f>IF(AND(DaybyDay[[#This Row],[_Space]],ISNUMBER(DaybyDay[[#This Row],[Admin Hours]])),DaybyDay[[#This Row],[Est-Admin-Payroll]]/(DaybyDay[[#This Row],[Service-Actuals]]+DaybyDay[[#This Row],[Retail-Actuals]]),"")</f>
        <v/>
      </c>
      <c r="AP353" s="41" t="e">
        <f>DaybyDay[[#This Row],[Estimated-Payroll-Rollup]]/DaybyDay[[#This Row],[Simple-Forecast]]</f>
        <v>#DIV/0!</v>
      </c>
      <c r="AQ3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3" s="77"/>
      <c r="AS353" s="40" t="str">
        <f>IF(DaybyDay[[#This Row],[Retail Hours]]&gt;0,DaybyDay[[#This Row],[Retail Hours]]*$AS$2,"")</f>
        <v/>
      </c>
      <c r="AT353" s="40">
        <f>SUMIFS(DaybyDay[Est-Retail-Payroll],DaybyDay[Date],"&gt;="&amp;$C$5,DaybyDay[RowYear],"&gt;="&amp;$C$4,DaybyDay[Date],"&lt;="&amp;DaybyDay[[#This Row],[Date]])</f>
        <v>0</v>
      </c>
      <c r="AU353" s="82" t="str">
        <f>IF(AND(DaybyDay[[#This Row],[_Space]],ISNUMBER(DaybyDay[[#This Row],[Retail Hours]])),DaybyDay[[#This Row],[Est-Retail-Payroll]]/(DaybyDay[[#This Row],[Retail-Actuals]]),"")</f>
        <v/>
      </c>
      <c r="AV353" s="82" t="e">
        <f>DaybyDay[[#This Row],[Est-Retail-PayrollRU]]/DaybyDay[[#This Row],[Simple-Forecast-Retail]]</f>
        <v>#DIV/0!</v>
      </c>
      <c r="AW353" s="8"/>
    </row>
    <row r="354" spans="3:49" hidden="1" x14ac:dyDescent="0.25">
      <c r="C354" s="26" t="str">
        <f>Tools!$C$1</f>
        <v>Example</v>
      </c>
      <c r="D354" s="27" t="s">
        <v>79</v>
      </c>
      <c r="E354" s="28">
        <v>2017</v>
      </c>
      <c r="F354" s="28">
        <f>MATCH(DaybyDay[[#This Row],[RowMonth]],Table3[SummaryMonth],0)</f>
        <v>12</v>
      </c>
      <c r="G354" s="29" t="e">
        <f>MATCH(DaybyDay[[#This Row],[LY-Date]],DaybyDay[Date],0)</f>
        <v>#N/A</v>
      </c>
      <c r="H354" s="30">
        <f>WEEKDAY(DaybyDay[[#This Row],[Date]])</f>
        <v>5</v>
      </c>
      <c r="I354" s="31">
        <v>43083</v>
      </c>
      <c r="J354" s="74">
        <v>15</v>
      </c>
      <c r="K354" s="32">
        <f>SUMIFS(BudgetSeasonality[365 Seasonality],BudgetSeasonality[MonthAdjustment],DaybyDay[[#This Row],[Date]])*SUMIFS(Budgets[Service-Budget],Budgets[BudgetMonth],DaybyDay[[#This Row],[RowMonth]],Budgets[BudgetYear],DaybyDay[[#This Row],[RowYear]])</f>
        <v>0</v>
      </c>
      <c r="L354" s="75">
        <v>3925.99</v>
      </c>
      <c r="M354" s="32">
        <f>INDEX(BudgetSeasonality[365 Seasonality],MATCH(DaybyDay[[#This Row],[Date]],BudgetSeasonality[MonthAdjustment],0))*SUMIFS(Budgets[Retail-Budget],Budgets[BudgetMonth],DaybyDay[[#This Row],[RowMonth]],Budgets[BudgetYear],DaybyDay[[#This Row],[RowYear]])</f>
        <v>0</v>
      </c>
      <c r="N354" s="75">
        <v>1090.1199999999999</v>
      </c>
      <c r="O354" s="33">
        <f>SUMIFS(DaybyDay[Service-Budgets],DaybyDay[Date],"&gt;="&amp;$C$5,DaybyDay[RowYear],"&gt;="&amp;$C$4,DaybyDay[Date],"&lt;="&amp;DaybyDay[[#This Row],[Date]])</f>
        <v>0</v>
      </c>
      <c r="P354" s="33">
        <f>SUMIFS(DaybyDay[Retail-Budgets],DaybyDay[Date],"&gt;="&amp;$C$5,DaybyDay[RowYear],"&gt;="&amp;$C$4,DaybyDay[Date],"&lt;="&amp;DaybyDay[[#This Row],[Date]])</f>
        <v>0</v>
      </c>
      <c r="Q354" s="34">
        <f>SUMIFS(DaybyDay[Service-Actuals],DaybyDay[Date],"&gt;="&amp;$C$5,DaybyDay[RowYear],"&gt;="&amp;$C$4,DaybyDay[Date],"&lt;="&amp;DaybyDay[[#This Row],[Date]])</f>
        <v>0</v>
      </c>
      <c r="R354" s="34">
        <f>SUMIFS(DaybyDay[Retail-Actuals],DaybyDay[Date],"&gt;="&amp;$C$5,DaybyDay[RowYear],"&gt;="&amp;$C$4,DaybyDay[Date],"&lt;="&amp;DaybyDay[[#This Row],[Date]])</f>
        <v>0</v>
      </c>
      <c r="S354" s="35">
        <f>SUMIFS(DaybyDay[Service-LY],DaybyDay[Date],"&gt;="&amp;$C$5,DaybyDay[RowYear],"&gt;="&amp;$C$4,DaybyDay[Date],"&lt;="&amp;DaybyDay[[#This Row],[Date]])</f>
        <v>0</v>
      </c>
      <c r="T354" s="35">
        <f>SUMIFS(DaybyDay[Retail-LY],DaybyDay[Date],"&gt;="&amp;$C$5,DaybyDay[RowYear],"&gt;="&amp;$C$4,DaybyDay[Date],"&lt;="&amp;DaybyDay[[#This Row],[Date]])</f>
        <v>0</v>
      </c>
      <c r="U354" s="32">
        <f>DaybyDay[[#This Row],[Serv-Bud-RU]]+DaybyDay[[#This Row],[Ret-Bud-RU]]</f>
        <v>0</v>
      </c>
      <c r="V354" s="32">
        <f>DaybyDay[[#This Row],[Serv-Act-RU]]+DaybyDay[[#This Row],[Ret-Act-RU]]</f>
        <v>0</v>
      </c>
      <c r="W354" s="36">
        <f>IF(DaybyDay[[#This Row],[_Space]],IFERROR(
((DaybyDay[[#This Row],[Actual-Rollup]]-DaybyDay[[#This Row],[Budget-Rollup]])/DaybyDay[[#This Row],[Budget-Rollup]]),0),"")</f>
        <v>0</v>
      </c>
      <c r="X354" t="b">
        <f>NOT(AND(ISBLANK(DaybyDay[[#This Row],[Appts]]),ISBLANK(DaybyDay[[#This Row],[Service-Actuals]]),ISBLANK(DaybyDay[[#This Row],[Retail-Actuals]])))</f>
        <v>1</v>
      </c>
      <c r="Y354" s="36">
        <f>IF(DaybyDay[[#This Row],[_Space]],IFERROR(
((DaybyDay[[#This Row],[Actual-Rollup]]-DaybyDay[[#This Row],[LY-Rollup]])/DaybyDay[[#This Row],[LY-Rollup]]),0),"")</f>
        <v>0</v>
      </c>
      <c r="Z354"/>
      <c r="AA354" s="37" t="e">
        <f>IF(DaybyDay[[#This Row],[_Space]],DaybyDay[[#This Row],[Ret-Act-RU]]/DaybyDay[[#This Row],[Serv-Act-RU]],"")</f>
        <v>#DIV/0!</v>
      </c>
      <c r="AB354" s="50" t="e">
        <f>IF(DaybyDay[[#This Row],[_Space]],DaybyDay[[#This Row],[RETPEN-Act]]/DaybyDay[[#This Row],[RETPEN-Bud]],"")</f>
        <v>#DIV/0!</v>
      </c>
      <c r="AC354" s="37" t="e">
        <f>IF(DaybyDay[[#This Row],[_Space]],DaybyDay[[#This Row],[Ret-Bud-RU]]/DaybyDay[[#This Row],[Serv-Bud-RU]],"")</f>
        <v>#DIV/0!</v>
      </c>
      <c r="AD354" s="37" t="e">
        <f>IF(DaybyDay[[#This Row],[_Space]],DaybyDay[[#This Row],[Ret-LY-RU]]/DaybyDay[[#This Row],[Serv-LY-RU]],"")</f>
        <v>#DIV/0!</v>
      </c>
      <c r="AE354" s="30">
        <f>WEEKDAY(DaybyDay[[#This Row],[LY-Date]])</f>
        <v>5</v>
      </c>
      <c r="AF354" s="38">
        <f>$E$2+_xlfn.DAYS(DaybyDay[[#This Row],[Date]],minDate)</f>
        <v>42719</v>
      </c>
      <c r="AG354" s="39" t="str" cm="1">
        <f t="array" ref="AG354">IFERROR(INDEX(DaybyDay[],DaybyDay[[#This Row],[FORM_MATCH_HELPER]],8),"")</f>
        <v/>
      </c>
      <c r="AH354" s="39" t="str" cm="1">
        <f t="array" ref="AH354">IFERROR(INDEX(DaybyDay[],DaybyDay[[#This Row],[FORM_MATCH_HELPER]],10),"")</f>
        <v/>
      </c>
      <c r="AI354" s="39" t="str" cm="1">
        <f t="array" ref="AI354">IFERROR(INDEX(DaybyDay[],DaybyDay[[#This Row],[FORM_MATCH_HELPER]],12),"")</f>
        <v/>
      </c>
      <c r="AJ354" s="32">
        <f>IFERROR(DaybyDay[[#This Row],[Serv-LY-RU]]+DaybyDay[[#This Row],[Ret-LY-RU]],"")</f>
        <v>0</v>
      </c>
      <c r="AK3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4" s="77"/>
      <c r="AM354" s="40" t="str">
        <f>IF(DaybyDay[[#This Row],[Admin Hours]]&gt;0,DaybyDay[[#This Row],[Admin Hours]]*$AM$2+$AM$3,"")</f>
        <v/>
      </c>
      <c r="AN354" s="40">
        <f>SUMIFS(DaybyDay[Est-Admin-Payroll],DaybyDay[Date],"&gt;="&amp;$C$5,DaybyDay[RowYear],"&gt;="&amp;$C$4,DaybyDay[Date],"&lt;="&amp;DaybyDay[[#This Row],[Date]])</f>
        <v>0</v>
      </c>
      <c r="AO354" s="41" t="str">
        <f>IF(AND(DaybyDay[[#This Row],[_Space]],ISNUMBER(DaybyDay[[#This Row],[Admin Hours]])),DaybyDay[[#This Row],[Est-Admin-Payroll]]/(DaybyDay[[#This Row],[Service-Actuals]]+DaybyDay[[#This Row],[Retail-Actuals]]),"")</f>
        <v/>
      </c>
      <c r="AP354" s="41" t="e">
        <f>DaybyDay[[#This Row],[Estimated-Payroll-Rollup]]/DaybyDay[[#This Row],[Simple-Forecast]]</f>
        <v>#DIV/0!</v>
      </c>
      <c r="AQ3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4" s="77"/>
      <c r="AS354" s="40" t="str">
        <f>IF(DaybyDay[[#This Row],[Retail Hours]]&gt;0,DaybyDay[[#This Row],[Retail Hours]]*$AS$2,"")</f>
        <v/>
      </c>
      <c r="AT354" s="40">
        <f>SUMIFS(DaybyDay[Est-Retail-Payroll],DaybyDay[Date],"&gt;="&amp;$C$5,DaybyDay[RowYear],"&gt;="&amp;$C$4,DaybyDay[Date],"&lt;="&amp;DaybyDay[[#This Row],[Date]])</f>
        <v>0</v>
      </c>
      <c r="AU354" s="82" t="str">
        <f>IF(AND(DaybyDay[[#This Row],[_Space]],ISNUMBER(DaybyDay[[#This Row],[Retail Hours]])),DaybyDay[[#This Row],[Est-Retail-Payroll]]/(DaybyDay[[#This Row],[Retail-Actuals]]),"")</f>
        <v/>
      </c>
      <c r="AV354" s="82" t="e">
        <f>DaybyDay[[#This Row],[Est-Retail-PayrollRU]]/DaybyDay[[#This Row],[Simple-Forecast-Retail]]</f>
        <v>#DIV/0!</v>
      </c>
      <c r="AW354" s="8"/>
    </row>
    <row r="355" spans="3:49" hidden="1" x14ac:dyDescent="0.25">
      <c r="C355" s="26" t="str">
        <f>Tools!$C$1</f>
        <v>Example</v>
      </c>
      <c r="D355" s="27" t="s">
        <v>79</v>
      </c>
      <c r="E355" s="28">
        <v>2017</v>
      </c>
      <c r="F355" s="28">
        <f>MATCH(DaybyDay[[#This Row],[RowMonth]],Table3[SummaryMonth],0)</f>
        <v>12</v>
      </c>
      <c r="G355" s="29" t="e">
        <f>MATCH(DaybyDay[[#This Row],[LY-Date]],DaybyDay[Date],0)</f>
        <v>#N/A</v>
      </c>
      <c r="H355" s="30">
        <f>WEEKDAY(DaybyDay[[#This Row],[Date]])</f>
        <v>6</v>
      </c>
      <c r="I355" s="31">
        <v>43084</v>
      </c>
      <c r="J355" s="74">
        <v>13</v>
      </c>
      <c r="K355" s="32">
        <f>SUMIFS(BudgetSeasonality[365 Seasonality],BudgetSeasonality[MonthAdjustment],DaybyDay[[#This Row],[Date]])*SUMIFS(Budgets[Service-Budget],Budgets[BudgetMonth],DaybyDay[[#This Row],[RowMonth]],Budgets[BudgetYear],DaybyDay[[#This Row],[RowYear]])</f>
        <v>0</v>
      </c>
      <c r="L355" s="75">
        <v>2201</v>
      </c>
      <c r="M355" s="32">
        <f>INDEX(BudgetSeasonality[365 Seasonality],MATCH(DaybyDay[[#This Row],[Date]],BudgetSeasonality[MonthAdjustment],0))*SUMIFS(Budgets[Retail-Budget],Budgets[BudgetMonth],DaybyDay[[#This Row],[RowMonth]],Budgets[BudgetYear],DaybyDay[[#This Row],[RowYear]])</f>
        <v>0</v>
      </c>
      <c r="N355" s="75">
        <v>1314.97</v>
      </c>
      <c r="O355" s="33">
        <f>SUMIFS(DaybyDay[Service-Budgets],DaybyDay[Date],"&gt;="&amp;$C$5,DaybyDay[RowYear],"&gt;="&amp;$C$4,DaybyDay[Date],"&lt;="&amp;DaybyDay[[#This Row],[Date]])</f>
        <v>0</v>
      </c>
      <c r="P355" s="33">
        <f>SUMIFS(DaybyDay[Retail-Budgets],DaybyDay[Date],"&gt;="&amp;$C$5,DaybyDay[RowYear],"&gt;="&amp;$C$4,DaybyDay[Date],"&lt;="&amp;DaybyDay[[#This Row],[Date]])</f>
        <v>0</v>
      </c>
      <c r="Q355" s="34">
        <f>SUMIFS(DaybyDay[Service-Actuals],DaybyDay[Date],"&gt;="&amp;$C$5,DaybyDay[RowYear],"&gt;="&amp;$C$4,DaybyDay[Date],"&lt;="&amp;DaybyDay[[#This Row],[Date]])</f>
        <v>0</v>
      </c>
      <c r="R355" s="34">
        <f>SUMIFS(DaybyDay[Retail-Actuals],DaybyDay[Date],"&gt;="&amp;$C$5,DaybyDay[RowYear],"&gt;="&amp;$C$4,DaybyDay[Date],"&lt;="&amp;DaybyDay[[#This Row],[Date]])</f>
        <v>0</v>
      </c>
      <c r="S355" s="35">
        <f>SUMIFS(DaybyDay[Service-LY],DaybyDay[Date],"&gt;="&amp;$C$5,DaybyDay[RowYear],"&gt;="&amp;$C$4,DaybyDay[Date],"&lt;="&amp;DaybyDay[[#This Row],[Date]])</f>
        <v>0</v>
      </c>
      <c r="T355" s="35">
        <f>SUMIFS(DaybyDay[Retail-LY],DaybyDay[Date],"&gt;="&amp;$C$5,DaybyDay[RowYear],"&gt;="&amp;$C$4,DaybyDay[Date],"&lt;="&amp;DaybyDay[[#This Row],[Date]])</f>
        <v>0</v>
      </c>
      <c r="U355" s="32">
        <f>DaybyDay[[#This Row],[Serv-Bud-RU]]+DaybyDay[[#This Row],[Ret-Bud-RU]]</f>
        <v>0</v>
      </c>
      <c r="V355" s="32">
        <f>DaybyDay[[#This Row],[Serv-Act-RU]]+DaybyDay[[#This Row],[Ret-Act-RU]]</f>
        <v>0</v>
      </c>
      <c r="W355" s="36">
        <f>IF(DaybyDay[[#This Row],[_Space]],IFERROR(
((DaybyDay[[#This Row],[Actual-Rollup]]-DaybyDay[[#This Row],[Budget-Rollup]])/DaybyDay[[#This Row],[Budget-Rollup]]),0),"")</f>
        <v>0</v>
      </c>
      <c r="X355" t="b">
        <f>NOT(AND(ISBLANK(DaybyDay[[#This Row],[Appts]]),ISBLANK(DaybyDay[[#This Row],[Service-Actuals]]),ISBLANK(DaybyDay[[#This Row],[Retail-Actuals]])))</f>
        <v>1</v>
      </c>
      <c r="Y355" s="36">
        <f>IF(DaybyDay[[#This Row],[_Space]],IFERROR(
((DaybyDay[[#This Row],[Actual-Rollup]]-DaybyDay[[#This Row],[LY-Rollup]])/DaybyDay[[#This Row],[LY-Rollup]]),0),"")</f>
        <v>0</v>
      </c>
      <c r="Z355"/>
      <c r="AA355" s="37" t="e">
        <f>IF(DaybyDay[[#This Row],[_Space]],DaybyDay[[#This Row],[Ret-Act-RU]]/DaybyDay[[#This Row],[Serv-Act-RU]],"")</f>
        <v>#DIV/0!</v>
      </c>
      <c r="AB355" s="50" t="e">
        <f>IF(DaybyDay[[#This Row],[_Space]],DaybyDay[[#This Row],[RETPEN-Act]]/DaybyDay[[#This Row],[RETPEN-Bud]],"")</f>
        <v>#DIV/0!</v>
      </c>
      <c r="AC355" s="37" t="e">
        <f>IF(DaybyDay[[#This Row],[_Space]],DaybyDay[[#This Row],[Ret-Bud-RU]]/DaybyDay[[#This Row],[Serv-Bud-RU]],"")</f>
        <v>#DIV/0!</v>
      </c>
      <c r="AD355" s="37" t="e">
        <f>IF(DaybyDay[[#This Row],[_Space]],DaybyDay[[#This Row],[Ret-LY-RU]]/DaybyDay[[#This Row],[Serv-LY-RU]],"")</f>
        <v>#DIV/0!</v>
      </c>
      <c r="AE355" s="30">
        <f>WEEKDAY(DaybyDay[[#This Row],[LY-Date]])</f>
        <v>6</v>
      </c>
      <c r="AF355" s="38">
        <f>$E$2+_xlfn.DAYS(DaybyDay[[#This Row],[Date]],minDate)</f>
        <v>42720</v>
      </c>
      <c r="AG355" s="39" t="str" cm="1">
        <f t="array" ref="AG355">IFERROR(INDEX(DaybyDay[],DaybyDay[[#This Row],[FORM_MATCH_HELPER]],8),"")</f>
        <v/>
      </c>
      <c r="AH355" s="39" t="str" cm="1">
        <f t="array" ref="AH355">IFERROR(INDEX(DaybyDay[],DaybyDay[[#This Row],[FORM_MATCH_HELPER]],10),"")</f>
        <v/>
      </c>
      <c r="AI355" s="39" t="str" cm="1">
        <f t="array" ref="AI355">IFERROR(INDEX(DaybyDay[],DaybyDay[[#This Row],[FORM_MATCH_HELPER]],12),"")</f>
        <v/>
      </c>
      <c r="AJ355" s="32">
        <f>IFERROR(DaybyDay[[#This Row],[Serv-LY-RU]]+DaybyDay[[#This Row],[Ret-LY-RU]],"")</f>
        <v>0</v>
      </c>
      <c r="AK3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5" s="77"/>
      <c r="AM355" s="40" t="str">
        <f>IF(DaybyDay[[#This Row],[Admin Hours]]&gt;0,DaybyDay[[#This Row],[Admin Hours]]*$AM$2+$AM$3,"")</f>
        <v/>
      </c>
      <c r="AN355" s="40">
        <f>SUMIFS(DaybyDay[Est-Admin-Payroll],DaybyDay[Date],"&gt;="&amp;$C$5,DaybyDay[RowYear],"&gt;="&amp;$C$4,DaybyDay[Date],"&lt;="&amp;DaybyDay[[#This Row],[Date]])</f>
        <v>0</v>
      </c>
      <c r="AO355" s="41" t="str">
        <f>IF(AND(DaybyDay[[#This Row],[_Space]],ISNUMBER(DaybyDay[[#This Row],[Admin Hours]])),DaybyDay[[#This Row],[Est-Admin-Payroll]]/(DaybyDay[[#This Row],[Service-Actuals]]+DaybyDay[[#This Row],[Retail-Actuals]]),"")</f>
        <v/>
      </c>
      <c r="AP355" s="41" t="e">
        <f>DaybyDay[[#This Row],[Estimated-Payroll-Rollup]]/DaybyDay[[#This Row],[Simple-Forecast]]</f>
        <v>#DIV/0!</v>
      </c>
      <c r="AQ3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5" s="77"/>
      <c r="AS355" s="40" t="str">
        <f>IF(DaybyDay[[#This Row],[Retail Hours]]&gt;0,DaybyDay[[#This Row],[Retail Hours]]*$AS$2,"")</f>
        <v/>
      </c>
      <c r="AT355" s="40">
        <f>SUMIFS(DaybyDay[Est-Retail-Payroll],DaybyDay[Date],"&gt;="&amp;$C$5,DaybyDay[RowYear],"&gt;="&amp;$C$4,DaybyDay[Date],"&lt;="&amp;DaybyDay[[#This Row],[Date]])</f>
        <v>0</v>
      </c>
      <c r="AU355" s="82" t="str">
        <f>IF(AND(DaybyDay[[#This Row],[_Space]],ISNUMBER(DaybyDay[[#This Row],[Retail Hours]])),DaybyDay[[#This Row],[Est-Retail-Payroll]]/(DaybyDay[[#This Row],[Retail-Actuals]]),"")</f>
        <v/>
      </c>
      <c r="AV355" s="82" t="e">
        <f>DaybyDay[[#This Row],[Est-Retail-PayrollRU]]/DaybyDay[[#This Row],[Simple-Forecast-Retail]]</f>
        <v>#DIV/0!</v>
      </c>
      <c r="AW355" s="8"/>
    </row>
    <row r="356" spans="3:49" hidden="1" x14ac:dyDescent="0.25">
      <c r="C356" s="26" t="str">
        <f>Tools!$C$1</f>
        <v>Example</v>
      </c>
      <c r="D356" s="27" t="s">
        <v>79</v>
      </c>
      <c r="E356" s="28">
        <v>2017</v>
      </c>
      <c r="F356" s="28">
        <f>MATCH(DaybyDay[[#This Row],[RowMonth]],Table3[SummaryMonth],0)</f>
        <v>12</v>
      </c>
      <c r="G356" s="29" t="e">
        <f>MATCH(DaybyDay[[#This Row],[LY-Date]],DaybyDay[Date],0)</f>
        <v>#N/A</v>
      </c>
      <c r="H356" s="30">
        <f>WEEKDAY(DaybyDay[[#This Row],[Date]])</f>
        <v>7</v>
      </c>
      <c r="I356" s="31">
        <v>43085</v>
      </c>
      <c r="J356" s="74">
        <v>22</v>
      </c>
      <c r="K356" s="32">
        <f>SUMIFS(BudgetSeasonality[365 Seasonality],BudgetSeasonality[MonthAdjustment],DaybyDay[[#This Row],[Date]])*SUMIFS(Budgets[Service-Budget],Budgets[BudgetMonth],DaybyDay[[#This Row],[RowMonth]],Budgets[BudgetYear],DaybyDay[[#This Row],[RowYear]])</f>
        <v>0</v>
      </c>
      <c r="L356" s="75">
        <v>6188</v>
      </c>
      <c r="M356" s="32">
        <f>INDEX(BudgetSeasonality[365 Seasonality],MATCH(DaybyDay[[#This Row],[Date]],BudgetSeasonality[MonthAdjustment],0))*SUMIFS(Budgets[Retail-Budget],Budgets[BudgetMonth],DaybyDay[[#This Row],[RowMonth]],Budgets[BudgetYear],DaybyDay[[#This Row],[RowYear]])</f>
        <v>0</v>
      </c>
      <c r="N356" s="75">
        <v>871.5</v>
      </c>
      <c r="O356" s="33">
        <f>SUMIFS(DaybyDay[Service-Budgets],DaybyDay[Date],"&gt;="&amp;$C$5,DaybyDay[RowYear],"&gt;="&amp;$C$4,DaybyDay[Date],"&lt;="&amp;DaybyDay[[#This Row],[Date]])</f>
        <v>0</v>
      </c>
      <c r="P356" s="33">
        <f>SUMIFS(DaybyDay[Retail-Budgets],DaybyDay[Date],"&gt;="&amp;$C$5,DaybyDay[RowYear],"&gt;="&amp;$C$4,DaybyDay[Date],"&lt;="&amp;DaybyDay[[#This Row],[Date]])</f>
        <v>0</v>
      </c>
      <c r="Q356" s="34">
        <f>SUMIFS(DaybyDay[Service-Actuals],DaybyDay[Date],"&gt;="&amp;$C$5,DaybyDay[RowYear],"&gt;="&amp;$C$4,DaybyDay[Date],"&lt;="&amp;DaybyDay[[#This Row],[Date]])</f>
        <v>0</v>
      </c>
      <c r="R356" s="34">
        <f>SUMIFS(DaybyDay[Retail-Actuals],DaybyDay[Date],"&gt;="&amp;$C$5,DaybyDay[RowYear],"&gt;="&amp;$C$4,DaybyDay[Date],"&lt;="&amp;DaybyDay[[#This Row],[Date]])</f>
        <v>0</v>
      </c>
      <c r="S356" s="35">
        <f>SUMIFS(DaybyDay[Service-LY],DaybyDay[Date],"&gt;="&amp;$C$5,DaybyDay[RowYear],"&gt;="&amp;$C$4,DaybyDay[Date],"&lt;="&amp;DaybyDay[[#This Row],[Date]])</f>
        <v>0</v>
      </c>
      <c r="T356" s="35">
        <f>SUMIFS(DaybyDay[Retail-LY],DaybyDay[Date],"&gt;="&amp;$C$5,DaybyDay[RowYear],"&gt;="&amp;$C$4,DaybyDay[Date],"&lt;="&amp;DaybyDay[[#This Row],[Date]])</f>
        <v>0</v>
      </c>
      <c r="U356" s="32">
        <f>DaybyDay[[#This Row],[Serv-Bud-RU]]+DaybyDay[[#This Row],[Ret-Bud-RU]]</f>
        <v>0</v>
      </c>
      <c r="V356" s="32">
        <f>DaybyDay[[#This Row],[Serv-Act-RU]]+DaybyDay[[#This Row],[Ret-Act-RU]]</f>
        <v>0</v>
      </c>
      <c r="W356" s="36">
        <f>IF(DaybyDay[[#This Row],[_Space]],IFERROR(
((DaybyDay[[#This Row],[Actual-Rollup]]-DaybyDay[[#This Row],[Budget-Rollup]])/DaybyDay[[#This Row],[Budget-Rollup]]),0),"")</f>
        <v>0</v>
      </c>
      <c r="X356" t="b">
        <f>NOT(AND(ISBLANK(DaybyDay[[#This Row],[Appts]]),ISBLANK(DaybyDay[[#This Row],[Service-Actuals]]),ISBLANK(DaybyDay[[#This Row],[Retail-Actuals]])))</f>
        <v>1</v>
      </c>
      <c r="Y356" s="36">
        <f>IF(DaybyDay[[#This Row],[_Space]],IFERROR(
((DaybyDay[[#This Row],[Actual-Rollup]]-DaybyDay[[#This Row],[LY-Rollup]])/DaybyDay[[#This Row],[LY-Rollup]]),0),"")</f>
        <v>0</v>
      </c>
      <c r="Z356"/>
      <c r="AA356" s="37" t="e">
        <f>IF(DaybyDay[[#This Row],[_Space]],DaybyDay[[#This Row],[Ret-Act-RU]]/DaybyDay[[#This Row],[Serv-Act-RU]],"")</f>
        <v>#DIV/0!</v>
      </c>
      <c r="AB356" s="50" t="e">
        <f>IF(DaybyDay[[#This Row],[_Space]],DaybyDay[[#This Row],[RETPEN-Act]]/DaybyDay[[#This Row],[RETPEN-Bud]],"")</f>
        <v>#DIV/0!</v>
      </c>
      <c r="AC356" s="37" t="e">
        <f>IF(DaybyDay[[#This Row],[_Space]],DaybyDay[[#This Row],[Ret-Bud-RU]]/DaybyDay[[#This Row],[Serv-Bud-RU]],"")</f>
        <v>#DIV/0!</v>
      </c>
      <c r="AD356" s="37" t="e">
        <f>IF(DaybyDay[[#This Row],[_Space]],DaybyDay[[#This Row],[Ret-LY-RU]]/DaybyDay[[#This Row],[Serv-LY-RU]],"")</f>
        <v>#DIV/0!</v>
      </c>
      <c r="AE356" s="30">
        <f>WEEKDAY(DaybyDay[[#This Row],[LY-Date]])</f>
        <v>7</v>
      </c>
      <c r="AF356" s="38">
        <f>$E$2+_xlfn.DAYS(DaybyDay[[#This Row],[Date]],minDate)</f>
        <v>42721</v>
      </c>
      <c r="AG356" s="39" t="str" cm="1">
        <f t="array" ref="AG356">IFERROR(INDEX(DaybyDay[],DaybyDay[[#This Row],[FORM_MATCH_HELPER]],8),"")</f>
        <v/>
      </c>
      <c r="AH356" s="39" t="str" cm="1">
        <f t="array" ref="AH356">IFERROR(INDEX(DaybyDay[],DaybyDay[[#This Row],[FORM_MATCH_HELPER]],10),"")</f>
        <v/>
      </c>
      <c r="AI356" s="39" t="str" cm="1">
        <f t="array" ref="AI356">IFERROR(INDEX(DaybyDay[],DaybyDay[[#This Row],[FORM_MATCH_HELPER]],12),"")</f>
        <v/>
      </c>
      <c r="AJ356" s="32">
        <f>IFERROR(DaybyDay[[#This Row],[Serv-LY-RU]]+DaybyDay[[#This Row],[Ret-LY-RU]],"")</f>
        <v>0</v>
      </c>
      <c r="AK3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6" s="77"/>
      <c r="AM356" s="40" t="str">
        <f>IF(DaybyDay[[#This Row],[Admin Hours]]&gt;0,DaybyDay[[#This Row],[Admin Hours]]*$AM$2+$AM$3,"")</f>
        <v/>
      </c>
      <c r="AN356" s="40">
        <f>SUMIFS(DaybyDay[Est-Admin-Payroll],DaybyDay[Date],"&gt;="&amp;$C$5,DaybyDay[RowYear],"&gt;="&amp;$C$4,DaybyDay[Date],"&lt;="&amp;DaybyDay[[#This Row],[Date]])</f>
        <v>0</v>
      </c>
      <c r="AO356" s="41" t="str">
        <f>IF(AND(DaybyDay[[#This Row],[_Space]],ISNUMBER(DaybyDay[[#This Row],[Admin Hours]])),DaybyDay[[#This Row],[Est-Admin-Payroll]]/(DaybyDay[[#This Row],[Service-Actuals]]+DaybyDay[[#This Row],[Retail-Actuals]]),"")</f>
        <v/>
      </c>
      <c r="AP356" s="41" t="e">
        <f>DaybyDay[[#This Row],[Estimated-Payroll-Rollup]]/DaybyDay[[#This Row],[Simple-Forecast]]</f>
        <v>#DIV/0!</v>
      </c>
      <c r="AQ3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6" s="77"/>
      <c r="AS356" s="40" t="str">
        <f>IF(DaybyDay[[#This Row],[Retail Hours]]&gt;0,DaybyDay[[#This Row],[Retail Hours]]*$AS$2,"")</f>
        <v/>
      </c>
      <c r="AT356" s="40">
        <f>SUMIFS(DaybyDay[Est-Retail-Payroll],DaybyDay[Date],"&gt;="&amp;$C$5,DaybyDay[RowYear],"&gt;="&amp;$C$4,DaybyDay[Date],"&lt;="&amp;DaybyDay[[#This Row],[Date]])</f>
        <v>0</v>
      </c>
      <c r="AU356" s="82" t="str">
        <f>IF(AND(DaybyDay[[#This Row],[_Space]],ISNUMBER(DaybyDay[[#This Row],[Retail Hours]])),DaybyDay[[#This Row],[Est-Retail-Payroll]]/(DaybyDay[[#This Row],[Retail-Actuals]]),"")</f>
        <v/>
      </c>
      <c r="AV356" s="82" t="e">
        <f>DaybyDay[[#This Row],[Est-Retail-PayrollRU]]/DaybyDay[[#This Row],[Simple-Forecast-Retail]]</f>
        <v>#DIV/0!</v>
      </c>
      <c r="AW356" s="8"/>
    </row>
    <row r="357" spans="3:49" hidden="1" x14ac:dyDescent="0.25">
      <c r="C357" s="26" t="str">
        <f>Tools!$C$1</f>
        <v>Example</v>
      </c>
      <c r="D357" s="27" t="s">
        <v>79</v>
      </c>
      <c r="E357" s="28">
        <v>2017</v>
      </c>
      <c r="F357" s="28">
        <f>MATCH(DaybyDay[[#This Row],[RowMonth]],Table3[SummaryMonth],0)</f>
        <v>12</v>
      </c>
      <c r="G357" s="29" t="e">
        <f>MATCH(DaybyDay[[#This Row],[LY-Date]],DaybyDay[Date],0)</f>
        <v>#N/A</v>
      </c>
      <c r="H357" s="30">
        <f>WEEKDAY(DaybyDay[[#This Row],[Date]])</f>
        <v>1</v>
      </c>
      <c r="I357" s="31">
        <v>43086</v>
      </c>
      <c r="J357" s="74">
        <v>16</v>
      </c>
      <c r="K357" s="32">
        <f>SUMIFS(BudgetSeasonality[365 Seasonality],BudgetSeasonality[MonthAdjustment],DaybyDay[[#This Row],[Date]])*SUMIFS(Budgets[Service-Budget],Budgets[BudgetMonth],DaybyDay[[#This Row],[RowMonth]],Budgets[BudgetYear],DaybyDay[[#This Row],[RowYear]])</f>
        <v>0</v>
      </c>
      <c r="L357" s="75">
        <v>4071.2</v>
      </c>
      <c r="M357" s="32">
        <f>INDEX(BudgetSeasonality[365 Seasonality],MATCH(DaybyDay[[#This Row],[Date]],BudgetSeasonality[MonthAdjustment],0))*SUMIFS(Budgets[Retail-Budget],Budgets[BudgetMonth],DaybyDay[[#This Row],[RowMonth]],Budgets[BudgetYear],DaybyDay[[#This Row],[RowYear]])</f>
        <v>0</v>
      </c>
      <c r="N357" s="75">
        <v>169</v>
      </c>
      <c r="O357" s="33">
        <f>SUMIFS(DaybyDay[Service-Budgets],DaybyDay[Date],"&gt;="&amp;$C$5,DaybyDay[RowYear],"&gt;="&amp;$C$4,DaybyDay[Date],"&lt;="&amp;DaybyDay[[#This Row],[Date]])</f>
        <v>0</v>
      </c>
      <c r="P357" s="33">
        <f>SUMIFS(DaybyDay[Retail-Budgets],DaybyDay[Date],"&gt;="&amp;$C$5,DaybyDay[RowYear],"&gt;="&amp;$C$4,DaybyDay[Date],"&lt;="&amp;DaybyDay[[#This Row],[Date]])</f>
        <v>0</v>
      </c>
      <c r="Q357" s="34">
        <f>SUMIFS(DaybyDay[Service-Actuals],DaybyDay[Date],"&gt;="&amp;$C$5,DaybyDay[RowYear],"&gt;="&amp;$C$4,DaybyDay[Date],"&lt;="&amp;DaybyDay[[#This Row],[Date]])</f>
        <v>0</v>
      </c>
      <c r="R357" s="34">
        <f>SUMIFS(DaybyDay[Retail-Actuals],DaybyDay[Date],"&gt;="&amp;$C$5,DaybyDay[RowYear],"&gt;="&amp;$C$4,DaybyDay[Date],"&lt;="&amp;DaybyDay[[#This Row],[Date]])</f>
        <v>0</v>
      </c>
      <c r="S357" s="35">
        <f>SUMIFS(DaybyDay[Service-LY],DaybyDay[Date],"&gt;="&amp;$C$5,DaybyDay[RowYear],"&gt;="&amp;$C$4,DaybyDay[Date],"&lt;="&amp;DaybyDay[[#This Row],[Date]])</f>
        <v>0</v>
      </c>
      <c r="T357" s="35">
        <f>SUMIFS(DaybyDay[Retail-LY],DaybyDay[Date],"&gt;="&amp;$C$5,DaybyDay[RowYear],"&gt;="&amp;$C$4,DaybyDay[Date],"&lt;="&amp;DaybyDay[[#This Row],[Date]])</f>
        <v>0</v>
      </c>
      <c r="U357" s="32">
        <f>DaybyDay[[#This Row],[Serv-Bud-RU]]+DaybyDay[[#This Row],[Ret-Bud-RU]]</f>
        <v>0</v>
      </c>
      <c r="V357" s="32">
        <f>DaybyDay[[#This Row],[Serv-Act-RU]]+DaybyDay[[#This Row],[Ret-Act-RU]]</f>
        <v>0</v>
      </c>
      <c r="W357" s="36">
        <f>IF(DaybyDay[[#This Row],[_Space]],IFERROR(
((DaybyDay[[#This Row],[Actual-Rollup]]-DaybyDay[[#This Row],[Budget-Rollup]])/DaybyDay[[#This Row],[Budget-Rollup]]),0),"")</f>
        <v>0</v>
      </c>
      <c r="X357" t="b">
        <f>NOT(AND(ISBLANK(DaybyDay[[#This Row],[Appts]]),ISBLANK(DaybyDay[[#This Row],[Service-Actuals]]),ISBLANK(DaybyDay[[#This Row],[Retail-Actuals]])))</f>
        <v>1</v>
      </c>
      <c r="Y357" s="36">
        <f>IF(DaybyDay[[#This Row],[_Space]],IFERROR(
((DaybyDay[[#This Row],[Actual-Rollup]]-DaybyDay[[#This Row],[LY-Rollup]])/DaybyDay[[#This Row],[LY-Rollup]]),0),"")</f>
        <v>0</v>
      </c>
      <c r="Z357"/>
      <c r="AA357" s="37" t="e">
        <f>IF(DaybyDay[[#This Row],[_Space]],DaybyDay[[#This Row],[Ret-Act-RU]]/DaybyDay[[#This Row],[Serv-Act-RU]],"")</f>
        <v>#DIV/0!</v>
      </c>
      <c r="AB357" s="50" t="e">
        <f>IF(DaybyDay[[#This Row],[_Space]],DaybyDay[[#This Row],[RETPEN-Act]]/DaybyDay[[#This Row],[RETPEN-Bud]],"")</f>
        <v>#DIV/0!</v>
      </c>
      <c r="AC357" s="37" t="e">
        <f>IF(DaybyDay[[#This Row],[_Space]],DaybyDay[[#This Row],[Ret-Bud-RU]]/DaybyDay[[#This Row],[Serv-Bud-RU]],"")</f>
        <v>#DIV/0!</v>
      </c>
      <c r="AD357" s="37" t="e">
        <f>IF(DaybyDay[[#This Row],[_Space]],DaybyDay[[#This Row],[Ret-LY-RU]]/DaybyDay[[#This Row],[Serv-LY-RU]],"")</f>
        <v>#DIV/0!</v>
      </c>
      <c r="AE357" s="30">
        <f>WEEKDAY(DaybyDay[[#This Row],[LY-Date]])</f>
        <v>1</v>
      </c>
      <c r="AF357" s="38">
        <f>$E$2+_xlfn.DAYS(DaybyDay[[#This Row],[Date]],minDate)</f>
        <v>42722</v>
      </c>
      <c r="AG357" s="39" t="str" cm="1">
        <f t="array" ref="AG357">IFERROR(INDEX(DaybyDay[],DaybyDay[[#This Row],[FORM_MATCH_HELPER]],8),"")</f>
        <v/>
      </c>
      <c r="AH357" s="39" t="str" cm="1">
        <f t="array" ref="AH357">IFERROR(INDEX(DaybyDay[],DaybyDay[[#This Row],[FORM_MATCH_HELPER]],10),"")</f>
        <v/>
      </c>
      <c r="AI357" s="39" t="str" cm="1">
        <f t="array" ref="AI357">IFERROR(INDEX(DaybyDay[],DaybyDay[[#This Row],[FORM_MATCH_HELPER]],12),"")</f>
        <v/>
      </c>
      <c r="AJ357" s="32">
        <f>IFERROR(DaybyDay[[#This Row],[Serv-LY-RU]]+DaybyDay[[#This Row],[Ret-LY-RU]],"")</f>
        <v>0</v>
      </c>
      <c r="AK3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7" s="77"/>
      <c r="AM357" s="40" t="str">
        <f>IF(DaybyDay[[#This Row],[Admin Hours]]&gt;0,DaybyDay[[#This Row],[Admin Hours]]*$AM$2+$AM$3,"")</f>
        <v/>
      </c>
      <c r="AN357" s="40">
        <f>SUMIFS(DaybyDay[Est-Admin-Payroll],DaybyDay[Date],"&gt;="&amp;$C$5,DaybyDay[RowYear],"&gt;="&amp;$C$4,DaybyDay[Date],"&lt;="&amp;DaybyDay[[#This Row],[Date]])</f>
        <v>0</v>
      </c>
      <c r="AO357" s="41" t="str">
        <f>IF(AND(DaybyDay[[#This Row],[_Space]],ISNUMBER(DaybyDay[[#This Row],[Admin Hours]])),DaybyDay[[#This Row],[Est-Admin-Payroll]]/(DaybyDay[[#This Row],[Service-Actuals]]+DaybyDay[[#This Row],[Retail-Actuals]]),"")</f>
        <v/>
      </c>
      <c r="AP357" s="41" t="e">
        <f>DaybyDay[[#This Row],[Estimated-Payroll-Rollup]]/DaybyDay[[#This Row],[Simple-Forecast]]</f>
        <v>#DIV/0!</v>
      </c>
      <c r="AQ3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7" s="77"/>
      <c r="AS357" s="40" t="str">
        <f>IF(DaybyDay[[#This Row],[Retail Hours]]&gt;0,DaybyDay[[#This Row],[Retail Hours]]*$AS$2,"")</f>
        <v/>
      </c>
      <c r="AT357" s="40">
        <f>SUMIFS(DaybyDay[Est-Retail-Payroll],DaybyDay[Date],"&gt;="&amp;$C$5,DaybyDay[RowYear],"&gt;="&amp;$C$4,DaybyDay[Date],"&lt;="&amp;DaybyDay[[#This Row],[Date]])</f>
        <v>0</v>
      </c>
      <c r="AU357" s="82" t="str">
        <f>IF(AND(DaybyDay[[#This Row],[_Space]],ISNUMBER(DaybyDay[[#This Row],[Retail Hours]])),DaybyDay[[#This Row],[Est-Retail-Payroll]]/(DaybyDay[[#This Row],[Retail-Actuals]]),"")</f>
        <v/>
      </c>
      <c r="AV357" s="82" t="e">
        <f>DaybyDay[[#This Row],[Est-Retail-PayrollRU]]/DaybyDay[[#This Row],[Simple-Forecast-Retail]]</f>
        <v>#DIV/0!</v>
      </c>
      <c r="AW357" s="8"/>
    </row>
    <row r="358" spans="3:49" hidden="1" x14ac:dyDescent="0.25">
      <c r="C358" s="26" t="str">
        <f>Tools!$C$1</f>
        <v>Example</v>
      </c>
      <c r="D358" s="27" t="s">
        <v>79</v>
      </c>
      <c r="E358" s="28">
        <v>2017</v>
      </c>
      <c r="F358" s="28">
        <f>MATCH(DaybyDay[[#This Row],[RowMonth]],Table3[SummaryMonth],0)</f>
        <v>12</v>
      </c>
      <c r="G358" s="29" t="e">
        <f>MATCH(DaybyDay[[#This Row],[LY-Date]],DaybyDay[Date],0)</f>
        <v>#N/A</v>
      </c>
      <c r="H358" s="30">
        <f>WEEKDAY(DaybyDay[[#This Row],[Date]])</f>
        <v>2</v>
      </c>
      <c r="I358" s="31">
        <v>43087</v>
      </c>
      <c r="J358" s="74">
        <v>23</v>
      </c>
      <c r="K358" s="32">
        <f>SUMIFS(BudgetSeasonality[365 Seasonality],BudgetSeasonality[MonthAdjustment],DaybyDay[[#This Row],[Date]])*SUMIFS(Budgets[Service-Budget],Budgets[BudgetMonth],DaybyDay[[#This Row],[RowMonth]],Budgets[BudgetYear],DaybyDay[[#This Row],[RowYear]])</f>
        <v>0</v>
      </c>
      <c r="L358" s="75">
        <v>4913.7</v>
      </c>
      <c r="M358" s="32">
        <f>INDEX(BudgetSeasonality[365 Seasonality],MATCH(DaybyDay[[#This Row],[Date]],BudgetSeasonality[MonthAdjustment],0))*SUMIFS(Budgets[Retail-Budget],Budgets[BudgetMonth],DaybyDay[[#This Row],[RowMonth]],Budgets[BudgetYear],DaybyDay[[#This Row],[RowYear]])</f>
        <v>0</v>
      </c>
      <c r="N358" s="75">
        <v>1540</v>
      </c>
      <c r="O358" s="33">
        <f>SUMIFS(DaybyDay[Service-Budgets],DaybyDay[Date],"&gt;="&amp;$C$5,DaybyDay[RowYear],"&gt;="&amp;$C$4,DaybyDay[Date],"&lt;="&amp;DaybyDay[[#This Row],[Date]])</f>
        <v>0</v>
      </c>
      <c r="P358" s="33">
        <f>SUMIFS(DaybyDay[Retail-Budgets],DaybyDay[Date],"&gt;="&amp;$C$5,DaybyDay[RowYear],"&gt;="&amp;$C$4,DaybyDay[Date],"&lt;="&amp;DaybyDay[[#This Row],[Date]])</f>
        <v>0</v>
      </c>
      <c r="Q358" s="34">
        <f>SUMIFS(DaybyDay[Service-Actuals],DaybyDay[Date],"&gt;="&amp;$C$5,DaybyDay[RowYear],"&gt;="&amp;$C$4,DaybyDay[Date],"&lt;="&amp;DaybyDay[[#This Row],[Date]])</f>
        <v>0</v>
      </c>
      <c r="R358" s="34">
        <f>SUMIFS(DaybyDay[Retail-Actuals],DaybyDay[Date],"&gt;="&amp;$C$5,DaybyDay[RowYear],"&gt;="&amp;$C$4,DaybyDay[Date],"&lt;="&amp;DaybyDay[[#This Row],[Date]])</f>
        <v>0</v>
      </c>
      <c r="S358" s="35">
        <f>SUMIFS(DaybyDay[Service-LY],DaybyDay[Date],"&gt;="&amp;$C$5,DaybyDay[RowYear],"&gt;="&amp;$C$4,DaybyDay[Date],"&lt;="&amp;DaybyDay[[#This Row],[Date]])</f>
        <v>0</v>
      </c>
      <c r="T358" s="35">
        <f>SUMIFS(DaybyDay[Retail-LY],DaybyDay[Date],"&gt;="&amp;$C$5,DaybyDay[RowYear],"&gt;="&amp;$C$4,DaybyDay[Date],"&lt;="&amp;DaybyDay[[#This Row],[Date]])</f>
        <v>0</v>
      </c>
      <c r="U358" s="32">
        <f>DaybyDay[[#This Row],[Serv-Bud-RU]]+DaybyDay[[#This Row],[Ret-Bud-RU]]</f>
        <v>0</v>
      </c>
      <c r="V358" s="32">
        <f>DaybyDay[[#This Row],[Serv-Act-RU]]+DaybyDay[[#This Row],[Ret-Act-RU]]</f>
        <v>0</v>
      </c>
      <c r="W358" s="36">
        <f>IF(DaybyDay[[#This Row],[_Space]],IFERROR(
((DaybyDay[[#This Row],[Actual-Rollup]]-DaybyDay[[#This Row],[Budget-Rollup]])/DaybyDay[[#This Row],[Budget-Rollup]]),0),"")</f>
        <v>0</v>
      </c>
      <c r="X358" t="b">
        <f>NOT(AND(ISBLANK(DaybyDay[[#This Row],[Appts]]),ISBLANK(DaybyDay[[#This Row],[Service-Actuals]]),ISBLANK(DaybyDay[[#This Row],[Retail-Actuals]])))</f>
        <v>1</v>
      </c>
      <c r="Y358" s="36">
        <f>IF(DaybyDay[[#This Row],[_Space]],IFERROR(
((DaybyDay[[#This Row],[Actual-Rollup]]-DaybyDay[[#This Row],[LY-Rollup]])/DaybyDay[[#This Row],[LY-Rollup]]),0),"")</f>
        <v>0</v>
      </c>
      <c r="Z358"/>
      <c r="AA358" s="37" t="e">
        <f>IF(DaybyDay[[#This Row],[_Space]],DaybyDay[[#This Row],[Ret-Act-RU]]/DaybyDay[[#This Row],[Serv-Act-RU]],"")</f>
        <v>#DIV/0!</v>
      </c>
      <c r="AB358" s="50" t="e">
        <f>IF(DaybyDay[[#This Row],[_Space]],DaybyDay[[#This Row],[RETPEN-Act]]/DaybyDay[[#This Row],[RETPEN-Bud]],"")</f>
        <v>#DIV/0!</v>
      </c>
      <c r="AC358" s="37" t="e">
        <f>IF(DaybyDay[[#This Row],[_Space]],DaybyDay[[#This Row],[Ret-Bud-RU]]/DaybyDay[[#This Row],[Serv-Bud-RU]],"")</f>
        <v>#DIV/0!</v>
      </c>
      <c r="AD358" s="37" t="e">
        <f>IF(DaybyDay[[#This Row],[_Space]],DaybyDay[[#This Row],[Ret-LY-RU]]/DaybyDay[[#This Row],[Serv-LY-RU]],"")</f>
        <v>#DIV/0!</v>
      </c>
      <c r="AE358" s="30">
        <f>WEEKDAY(DaybyDay[[#This Row],[LY-Date]])</f>
        <v>2</v>
      </c>
      <c r="AF358" s="38">
        <f>$E$2+_xlfn.DAYS(DaybyDay[[#This Row],[Date]],minDate)</f>
        <v>42723</v>
      </c>
      <c r="AG358" s="39" t="str" cm="1">
        <f t="array" ref="AG358">IFERROR(INDEX(DaybyDay[],DaybyDay[[#This Row],[FORM_MATCH_HELPER]],8),"")</f>
        <v/>
      </c>
      <c r="AH358" s="39" t="str" cm="1">
        <f t="array" ref="AH358">IFERROR(INDEX(DaybyDay[],DaybyDay[[#This Row],[FORM_MATCH_HELPER]],10),"")</f>
        <v/>
      </c>
      <c r="AI358" s="39" t="str" cm="1">
        <f t="array" ref="AI358">IFERROR(INDEX(DaybyDay[],DaybyDay[[#This Row],[FORM_MATCH_HELPER]],12),"")</f>
        <v/>
      </c>
      <c r="AJ358" s="32">
        <f>IFERROR(DaybyDay[[#This Row],[Serv-LY-RU]]+DaybyDay[[#This Row],[Ret-LY-RU]],"")</f>
        <v>0</v>
      </c>
      <c r="AK3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8" s="77"/>
      <c r="AM358" s="40" t="str">
        <f>IF(DaybyDay[[#This Row],[Admin Hours]]&gt;0,DaybyDay[[#This Row],[Admin Hours]]*$AM$2+$AM$3,"")</f>
        <v/>
      </c>
      <c r="AN358" s="40">
        <f>SUMIFS(DaybyDay[Est-Admin-Payroll],DaybyDay[Date],"&gt;="&amp;$C$5,DaybyDay[RowYear],"&gt;="&amp;$C$4,DaybyDay[Date],"&lt;="&amp;DaybyDay[[#This Row],[Date]])</f>
        <v>0</v>
      </c>
      <c r="AO358" s="41" t="str">
        <f>IF(AND(DaybyDay[[#This Row],[_Space]],ISNUMBER(DaybyDay[[#This Row],[Admin Hours]])),DaybyDay[[#This Row],[Est-Admin-Payroll]]/(DaybyDay[[#This Row],[Service-Actuals]]+DaybyDay[[#This Row],[Retail-Actuals]]),"")</f>
        <v/>
      </c>
      <c r="AP358" s="41" t="e">
        <f>DaybyDay[[#This Row],[Estimated-Payroll-Rollup]]/DaybyDay[[#This Row],[Simple-Forecast]]</f>
        <v>#DIV/0!</v>
      </c>
      <c r="AQ3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8" s="77"/>
      <c r="AS358" s="40" t="str">
        <f>IF(DaybyDay[[#This Row],[Retail Hours]]&gt;0,DaybyDay[[#This Row],[Retail Hours]]*$AS$2,"")</f>
        <v/>
      </c>
      <c r="AT358" s="40">
        <f>SUMIFS(DaybyDay[Est-Retail-Payroll],DaybyDay[Date],"&gt;="&amp;$C$5,DaybyDay[RowYear],"&gt;="&amp;$C$4,DaybyDay[Date],"&lt;="&amp;DaybyDay[[#This Row],[Date]])</f>
        <v>0</v>
      </c>
      <c r="AU358" s="82" t="str">
        <f>IF(AND(DaybyDay[[#This Row],[_Space]],ISNUMBER(DaybyDay[[#This Row],[Retail Hours]])),DaybyDay[[#This Row],[Est-Retail-Payroll]]/(DaybyDay[[#This Row],[Retail-Actuals]]),"")</f>
        <v/>
      </c>
      <c r="AV358" s="82" t="e">
        <f>DaybyDay[[#This Row],[Est-Retail-PayrollRU]]/DaybyDay[[#This Row],[Simple-Forecast-Retail]]</f>
        <v>#DIV/0!</v>
      </c>
      <c r="AW358" s="8"/>
    </row>
    <row r="359" spans="3:49" hidden="1" x14ac:dyDescent="0.25">
      <c r="C359" s="26" t="str">
        <f>Tools!$C$1</f>
        <v>Example</v>
      </c>
      <c r="D359" s="27" t="s">
        <v>79</v>
      </c>
      <c r="E359" s="28">
        <v>2017</v>
      </c>
      <c r="F359" s="28">
        <f>MATCH(DaybyDay[[#This Row],[RowMonth]],Table3[SummaryMonth],0)</f>
        <v>12</v>
      </c>
      <c r="G359" s="29" t="e">
        <f>MATCH(DaybyDay[[#This Row],[LY-Date]],DaybyDay[Date],0)</f>
        <v>#N/A</v>
      </c>
      <c r="H359" s="30">
        <f>WEEKDAY(DaybyDay[[#This Row],[Date]])</f>
        <v>3</v>
      </c>
      <c r="I359" s="31">
        <v>43088</v>
      </c>
      <c r="J359" s="74">
        <v>27</v>
      </c>
      <c r="K359" s="32">
        <f>SUMIFS(BudgetSeasonality[365 Seasonality],BudgetSeasonality[MonthAdjustment],DaybyDay[[#This Row],[Date]])*SUMIFS(Budgets[Service-Budget],Budgets[BudgetMonth],DaybyDay[[#This Row],[RowMonth]],Budgets[BudgetYear],DaybyDay[[#This Row],[RowYear]])</f>
        <v>0</v>
      </c>
      <c r="L359" s="75">
        <v>5941.73</v>
      </c>
      <c r="M359" s="32">
        <f>INDEX(BudgetSeasonality[365 Seasonality],MATCH(DaybyDay[[#This Row],[Date]],BudgetSeasonality[MonthAdjustment],0))*SUMIFS(Budgets[Retail-Budget],Budgets[BudgetMonth],DaybyDay[[#This Row],[RowMonth]],Budgets[BudgetYear],DaybyDay[[#This Row],[RowYear]])</f>
        <v>0</v>
      </c>
      <c r="N359" s="75">
        <v>1719.67</v>
      </c>
      <c r="O359" s="33">
        <f>SUMIFS(DaybyDay[Service-Budgets],DaybyDay[Date],"&gt;="&amp;$C$5,DaybyDay[RowYear],"&gt;="&amp;$C$4,DaybyDay[Date],"&lt;="&amp;DaybyDay[[#This Row],[Date]])</f>
        <v>0</v>
      </c>
      <c r="P359" s="33">
        <f>SUMIFS(DaybyDay[Retail-Budgets],DaybyDay[Date],"&gt;="&amp;$C$5,DaybyDay[RowYear],"&gt;="&amp;$C$4,DaybyDay[Date],"&lt;="&amp;DaybyDay[[#This Row],[Date]])</f>
        <v>0</v>
      </c>
      <c r="Q359" s="34">
        <f>SUMIFS(DaybyDay[Service-Actuals],DaybyDay[Date],"&gt;="&amp;$C$5,DaybyDay[RowYear],"&gt;="&amp;$C$4,DaybyDay[Date],"&lt;="&amp;DaybyDay[[#This Row],[Date]])</f>
        <v>0</v>
      </c>
      <c r="R359" s="34">
        <f>SUMIFS(DaybyDay[Retail-Actuals],DaybyDay[Date],"&gt;="&amp;$C$5,DaybyDay[RowYear],"&gt;="&amp;$C$4,DaybyDay[Date],"&lt;="&amp;DaybyDay[[#This Row],[Date]])</f>
        <v>0</v>
      </c>
      <c r="S359" s="35">
        <f>SUMIFS(DaybyDay[Service-LY],DaybyDay[Date],"&gt;="&amp;$C$5,DaybyDay[RowYear],"&gt;="&amp;$C$4,DaybyDay[Date],"&lt;="&amp;DaybyDay[[#This Row],[Date]])</f>
        <v>0</v>
      </c>
      <c r="T359" s="35">
        <f>SUMIFS(DaybyDay[Retail-LY],DaybyDay[Date],"&gt;="&amp;$C$5,DaybyDay[RowYear],"&gt;="&amp;$C$4,DaybyDay[Date],"&lt;="&amp;DaybyDay[[#This Row],[Date]])</f>
        <v>0</v>
      </c>
      <c r="U359" s="32">
        <f>DaybyDay[[#This Row],[Serv-Bud-RU]]+DaybyDay[[#This Row],[Ret-Bud-RU]]</f>
        <v>0</v>
      </c>
      <c r="V359" s="32">
        <f>DaybyDay[[#This Row],[Serv-Act-RU]]+DaybyDay[[#This Row],[Ret-Act-RU]]</f>
        <v>0</v>
      </c>
      <c r="W359" s="36">
        <f>IF(DaybyDay[[#This Row],[_Space]],IFERROR(
((DaybyDay[[#This Row],[Actual-Rollup]]-DaybyDay[[#This Row],[Budget-Rollup]])/DaybyDay[[#This Row],[Budget-Rollup]]),0),"")</f>
        <v>0</v>
      </c>
      <c r="X359" t="b">
        <f>NOT(AND(ISBLANK(DaybyDay[[#This Row],[Appts]]),ISBLANK(DaybyDay[[#This Row],[Service-Actuals]]),ISBLANK(DaybyDay[[#This Row],[Retail-Actuals]])))</f>
        <v>1</v>
      </c>
      <c r="Y359" s="36">
        <f>IF(DaybyDay[[#This Row],[_Space]],IFERROR(
((DaybyDay[[#This Row],[Actual-Rollup]]-DaybyDay[[#This Row],[LY-Rollup]])/DaybyDay[[#This Row],[LY-Rollup]]),0),"")</f>
        <v>0</v>
      </c>
      <c r="Z359"/>
      <c r="AA359" s="37" t="e">
        <f>IF(DaybyDay[[#This Row],[_Space]],DaybyDay[[#This Row],[Ret-Act-RU]]/DaybyDay[[#This Row],[Serv-Act-RU]],"")</f>
        <v>#DIV/0!</v>
      </c>
      <c r="AB359" s="50" t="e">
        <f>IF(DaybyDay[[#This Row],[_Space]],DaybyDay[[#This Row],[RETPEN-Act]]/DaybyDay[[#This Row],[RETPEN-Bud]],"")</f>
        <v>#DIV/0!</v>
      </c>
      <c r="AC359" s="37" t="e">
        <f>IF(DaybyDay[[#This Row],[_Space]],DaybyDay[[#This Row],[Ret-Bud-RU]]/DaybyDay[[#This Row],[Serv-Bud-RU]],"")</f>
        <v>#DIV/0!</v>
      </c>
      <c r="AD359" s="37" t="e">
        <f>IF(DaybyDay[[#This Row],[_Space]],DaybyDay[[#This Row],[Ret-LY-RU]]/DaybyDay[[#This Row],[Serv-LY-RU]],"")</f>
        <v>#DIV/0!</v>
      </c>
      <c r="AE359" s="30">
        <f>WEEKDAY(DaybyDay[[#This Row],[LY-Date]])</f>
        <v>3</v>
      </c>
      <c r="AF359" s="38">
        <f>$E$2+_xlfn.DAYS(DaybyDay[[#This Row],[Date]],minDate)</f>
        <v>42724</v>
      </c>
      <c r="AG359" s="39" t="str" cm="1">
        <f t="array" ref="AG359">IFERROR(INDEX(DaybyDay[],DaybyDay[[#This Row],[FORM_MATCH_HELPER]],8),"")</f>
        <v/>
      </c>
      <c r="AH359" s="39" t="str" cm="1">
        <f t="array" ref="AH359">IFERROR(INDEX(DaybyDay[],DaybyDay[[#This Row],[FORM_MATCH_HELPER]],10),"")</f>
        <v/>
      </c>
      <c r="AI359" s="39" t="str" cm="1">
        <f t="array" ref="AI359">IFERROR(INDEX(DaybyDay[],DaybyDay[[#This Row],[FORM_MATCH_HELPER]],12),"")</f>
        <v/>
      </c>
      <c r="AJ359" s="32">
        <f>IFERROR(DaybyDay[[#This Row],[Serv-LY-RU]]+DaybyDay[[#This Row],[Ret-LY-RU]],"")</f>
        <v>0</v>
      </c>
      <c r="AK3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59" s="77"/>
      <c r="AM359" s="40" t="str">
        <f>IF(DaybyDay[[#This Row],[Admin Hours]]&gt;0,DaybyDay[[#This Row],[Admin Hours]]*$AM$2+$AM$3,"")</f>
        <v/>
      </c>
      <c r="AN359" s="40">
        <f>SUMIFS(DaybyDay[Est-Admin-Payroll],DaybyDay[Date],"&gt;="&amp;$C$5,DaybyDay[RowYear],"&gt;="&amp;$C$4,DaybyDay[Date],"&lt;="&amp;DaybyDay[[#This Row],[Date]])</f>
        <v>0</v>
      </c>
      <c r="AO359" s="41" t="str">
        <f>IF(AND(DaybyDay[[#This Row],[_Space]],ISNUMBER(DaybyDay[[#This Row],[Admin Hours]])),DaybyDay[[#This Row],[Est-Admin-Payroll]]/(DaybyDay[[#This Row],[Service-Actuals]]+DaybyDay[[#This Row],[Retail-Actuals]]),"")</f>
        <v/>
      </c>
      <c r="AP359" s="41" t="e">
        <f>DaybyDay[[#This Row],[Estimated-Payroll-Rollup]]/DaybyDay[[#This Row],[Simple-Forecast]]</f>
        <v>#DIV/0!</v>
      </c>
      <c r="AQ3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59" s="77"/>
      <c r="AS359" s="40" t="str">
        <f>IF(DaybyDay[[#This Row],[Retail Hours]]&gt;0,DaybyDay[[#This Row],[Retail Hours]]*$AS$2,"")</f>
        <v/>
      </c>
      <c r="AT359" s="40">
        <f>SUMIFS(DaybyDay[Est-Retail-Payroll],DaybyDay[Date],"&gt;="&amp;$C$5,DaybyDay[RowYear],"&gt;="&amp;$C$4,DaybyDay[Date],"&lt;="&amp;DaybyDay[[#This Row],[Date]])</f>
        <v>0</v>
      </c>
      <c r="AU359" s="82" t="str">
        <f>IF(AND(DaybyDay[[#This Row],[_Space]],ISNUMBER(DaybyDay[[#This Row],[Retail Hours]])),DaybyDay[[#This Row],[Est-Retail-Payroll]]/(DaybyDay[[#This Row],[Retail-Actuals]]),"")</f>
        <v/>
      </c>
      <c r="AV359" s="82" t="e">
        <f>DaybyDay[[#This Row],[Est-Retail-PayrollRU]]/DaybyDay[[#This Row],[Simple-Forecast-Retail]]</f>
        <v>#DIV/0!</v>
      </c>
      <c r="AW359" s="8"/>
    </row>
    <row r="360" spans="3:49" hidden="1" x14ac:dyDescent="0.25">
      <c r="C360" s="26" t="str">
        <f>Tools!$C$1</f>
        <v>Example</v>
      </c>
      <c r="D360" s="27" t="s">
        <v>79</v>
      </c>
      <c r="E360" s="28">
        <v>2017</v>
      </c>
      <c r="F360" s="28">
        <f>MATCH(DaybyDay[[#This Row],[RowMonth]],Table3[SummaryMonth],0)</f>
        <v>12</v>
      </c>
      <c r="G360" s="29" t="e">
        <f>MATCH(DaybyDay[[#This Row],[LY-Date]],DaybyDay[Date],0)</f>
        <v>#N/A</v>
      </c>
      <c r="H360" s="30">
        <f>WEEKDAY(DaybyDay[[#This Row],[Date]])</f>
        <v>4</v>
      </c>
      <c r="I360" s="31">
        <v>43089</v>
      </c>
      <c r="J360" s="74">
        <v>29</v>
      </c>
      <c r="K360" s="32">
        <f>SUMIFS(BudgetSeasonality[365 Seasonality],BudgetSeasonality[MonthAdjustment],DaybyDay[[#This Row],[Date]])*SUMIFS(Budgets[Service-Budget],Budgets[BudgetMonth],DaybyDay[[#This Row],[RowMonth]],Budgets[BudgetYear],DaybyDay[[#This Row],[RowYear]])</f>
        <v>0</v>
      </c>
      <c r="L360" s="75">
        <v>5655</v>
      </c>
      <c r="M360" s="32">
        <f>INDEX(BudgetSeasonality[365 Seasonality],MATCH(DaybyDay[[#This Row],[Date]],BudgetSeasonality[MonthAdjustment],0))*SUMIFS(Budgets[Retail-Budget],Budgets[BudgetMonth],DaybyDay[[#This Row],[RowMonth]],Budgets[BudgetYear],DaybyDay[[#This Row],[RowYear]])</f>
        <v>0</v>
      </c>
      <c r="N360" s="75">
        <v>929.1</v>
      </c>
      <c r="O360" s="33">
        <f>SUMIFS(DaybyDay[Service-Budgets],DaybyDay[Date],"&gt;="&amp;$C$5,DaybyDay[RowYear],"&gt;="&amp;$C$4,DaybyDay[Date],"&lt;="&amp;DaybyDay[[#This Row],[Date]])</f>
        <v>0</v>
      </c>
      <c r="P360" s="33">
        <f>SUMIFS(DaybyDay[Retail-Budgets],DaybyDay[Date],"&gt;="&amp;$C$5,DaybyDay[RowYear],"&gt;="&amp;$C$4,DaybyDay[Date],"&lt;="&amp;DaybyDay[[#This Row],[Date]])</f>
        <v>0</v>
      </c>
      <c r="Q360" s="34">
        <f>SUMIFS(DaybyDay[Service-Actuals],DaybyDay[Date],"&gt;="&amp;$C$5,DaybyDay[RowYear],"&gt;="&amp;$C$4,DaybyDay[Date],"&lt;="&amp;DaybyDay[[#This Row],[Date]])</f>
        <v>0</v>
      </c>
      <c r="R360" s="34">
        <f>SUMIFS(DaybyDay[Retail-Actuals],DaybyDay[Date],"&gt;="&amp;$C$5,DaybyDay[RowYear],"&gt;="&amp;$C$4,DaybyDay[Date],"&lt;="&amp;DaybyDay[[#This Row],[Date]])</f>
        <v>0</v>
      </c>
      <c r="S360" s="35">
        <f>SUMIFS(DaybyDay[Service-LY],DaybyDay[Date],"&gt;="&amp;$C$5,DaybyDay[RowYear],"&gt;="&amp;$C$4,DaybyDay[Date],"&lt;="&amp;DaybyDay[[#This Row],[Date]])</f>
        <v>0</v>
      </c>
      <c r="T360" s="35">
        <f>SUMIFS(DaybyDay[Retail-LY],DaybyDay[Date],"&gt;="&amp;$C$5,DaybyDay[RowYear],"&gt;="&amp;$C$4,DaybyDay[Date],"&lt;="&amp;DaybyDay[[#This Row],[Date]])</f>
        <v>0</v>
      </c>
      <c r="U360" s="32">
        <f>DaybyDay[[#This Row],[Serv-Bud-RU]]+DaybyDay[[#This Row],[Ret-Bud-RU]]</f>
        <v>0</v>
      </c>
      <c r="V360" s="32">
        <f>DaybyDay[[#This Row],[Serv-Act-RU]]+DaybyDay[[#This Row],[Ret-Act-RU]]</f>
        <v>0</v>
      </c>
      <c r="W360" s="36">
        <f>IF(DaybyDay[[#This Row],[_Space]],IFERROR(
((DaybyDay[[#This Row],[Actual-Rollup]]-DaybyDay[[#This Row],[Budget-Rollup]])/DaybyDay[[#This Row],[Budget-Rollup]]),0),"")</f>
        <v>0</v>
      </c>
      <c r="X360" t="b">
        <f>NOT(AND(ISBLANK(DaybyDay[[#This Row],[Appts]]),ISBLANK(DaybyDay[[#This Row],[Service-Actuals]]),ISBLANK(DaybyDay[[#This Row],[Retail-Actuals]])))</f>
        <v>1</v>
      </c>
      <c r="Y360" s="36">
        <f>IF(DaybyDay[[#This Row],[_Space]],IFERROR(
((DaybyDay[[#This Row],[Actual-Rollup]]-DaybyDay[[#This Row],[LY-Rollup]])/DaybyDay[[#This Row],[LY-Rollup]]),0),"")</f>
        <v>0</v>
      </c>
      <c r="Z360"/>
      <c r="AA360" s="37" t="e">
        <f>IF(DaybyDay[[#This Row],[_Space]],DaybyDay[[#This Row],[Ret-Act-RU]]/DaybyDay[[#This Row],[Serv-Act-RU]],"")</f>
        <v>#DIV/0!</v>
      </c>
      <c r="AB360" s="50" t="e">
        <f>IF(DaybyDay[[#This Row],[_Space]],DaybyDay[[#This Row],[RETPEN-Act]]/DaybyDay[[#This Row],[RETPEN-Bud]],"")</f>
        <v>#DIV/0!</v>
      </c>
      <c r="AC360" s="37" t="e">
        <f>IF(DaybyDay[[#This Row],[_Space]],DaybyDay[[#This Row],[Ret-Bud-RU]]/DaybyDay[[#This Row],[Serv-Bud-RU]],"")</f>
        <v>#DIV/0!</v>
      </c>
      <c r="AD360" s="37" t="e">
        <f>IF(DaybyDay[[#This Row],[_Space]],DaybyDay[[#This Row],[Ret-LY-RU]]/DaybyDay[[#This Row],[Serv-LY-RU]],"")</f>
        <v>#DIV/0!</v>
      </c>
      <c r="AE360" s="30">
        <f>WEEKDAY(DaybyDay[[#This Row],[LY-Date]])</f>
        <v>4</v>
      </c>
      <c r="AF360" s="38">
        <f>$E$2+_xlfn.DAYS(DaybyDay[[#This Row],[Date]],minDate)</f>
        <v>42725</v>
      </c>
      <c r="AG360" s="39" t="str" cm="1">
        <f t="array" ref="AG360">IFERROR(INDEX(DaybyDay[],DaybyDay[[#This Row],[FORM_MATCH_HELPER]],8),"")</f>
        <v/>
      </c>
      <c r="AH360" s="39" t="str" cm="1">
        <f t="array" ref="AH360">IFERROR(INDEX(DaybyDay[],DaybyDay[[#This Row],[FORM_MATCH_HELPER]],10),"")</f>
        <v/>
      </c>
      <c r="AI360" s="39" t="str" cm="1">
        <f t="array" ref="AI360">IFERROR(INDEX(DaybyDay[],DaybyDay[[#This Row],[FORM_MATCH_HELPER]],12),"")</f>
        <v/>
      </c>
      <c r="AJ360" s="32">
        <f>IFERROR(DaybyDay[[#This Row],[Serv-LY-RU]]+DaybyDay[[#This Row],[Ret-LY-RU]],"")</f>
        <v>0</v>
      </c>
      <c r="AK3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0" s="77"/>
      <c r="AM360" s="40" t="str">
        <f>IF(DaybyDay[[#This Row],[Admin Hours]]&gt;0,DaybyDay[[#This Row],[Admin Hours]]*$AM$2+$AM$3,"")</f>
        <v/>
      </c>
      <c r="AN360" s="40">
        <f>SUMIFS(DaybyDay[Est-Admin-Payroll],DaybyDay[Date],"&gt;="&amp;$C$5,DaybyDay[RowYear],"&gt;="&amp;$C$4,DaybyDay[Date],"&lt;="&amp;DaybyDay[[#This Row],[Date]])</f>
        <v>0</v>
      </c>
      <c r="AO360" s="41" t="str">
        <f>IF(AND(DaybyDay[[#This Row],[_Space]],ISNUMBER(DaybyDay[[#This Row],[Admin Hours]])),DaybyDay[[#This Row],[Est-Admin-Payroll]]/(DaybyDay[[#This Row],[Service-Actuals]]+DaybyDay[[#This Row],[Retail-Actuals]]),"")</f>
        <v/>
      </c>
      <c r="AP360" s="41" t="e">
        <f>DaybyDay[[#This Row],[Estimated-Payroll-Rollup]]/DaybyDay[[#This Row],[Simple-Forecast]]</f>
        <v>#DIV/0!</v>
      </c>
      <c r="AQ3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0" s="77"/>
      <c r="AS360" s="40" t="str">
        <f>IF(DaybyDay[[#This Row],[Retail Hours]]&gt;0,DaybyDay[[#This Row],[Retail Hours]]*$AS$2,"")</f>
        <v/>
      </c>
      <c r="AT360" s="40">
        <f>SUMIFS(DaybyDay[Est-Retail-Payroll],DaybyDay[Date],"&gt;="&amp;$C$5,DaybyDay[RowYear],"&gt;="&amp;$C$4,DaybyDay[Date],"&lt;="&amp;DaybyDay[[#This Row],[Date]])</f>
        <v>0</v>
      </c>
      <c r="AU360" s="82" t="str">
        <f>IF(AND(DaybyDay[[#This Row],[_Space]],ISNUMBER(DaybyDay[[#This Row],[Retail Hours]])),DaybyDay[[#This Row],[Est-Retail-Payroll]]/(DaybyDay[[#This Row],[Retail-Actuals]]),"")</f>
        <v/>
      </c>
      <c r="AV360" s="82" t="e">
        <f>DaybyDay[[#This Row],[Est-Retail-PayrollRU]]/DaybyDay[[#This Row],[Simple-Forecast-Retail]]</f>
        <v>#DIV/0!</v>
      </c>
      <c r="AW360" s="8"/>
    </row>
    <row r="361" spans="3:49" hidden="1" x14ac:dyDescent="0.25">
      <c r="C361" s="26" t="str">
        <f>Tools!$C$1</f>
        <v>Example</v>
      </c>
      <c r="D361" s="27" t="s">
        <v>79</v>
      </c>
      <c r="E361" s="28">
        <v>2017</v>
      </c>
      <c r="F361" s="28">
        <f>MATCH(DaybyDay[[#This Row],[RowMonth]],Table3[SummaryMonth],0)</f>
        <v>12</v>
      </c>
      <c r="G361" s="29" t="e">
        <f>MATCH(DaybyDay[[#This Row],[LY-Date]],DaybyDay[Date],0)</f>
        <v>#N/A</v>
      </c>
      <c r="H361" s="30">
        <f>WEEKDAY(DaybyDay[[#This Row],[Date]])</f>
        <v>5</v>
      </c>
      <c r="I361" s="31">
        <v>43090</v>
      </c>
      <c r="J361" s="74">
        <v>26</v>
      </c>
      <c r="K361" s="32">
        <f>SUMIFS(BudgetSeasonality[365 Seasonality],BudgetSeasonality[MonthAdjustment],DaybyDay[[#This Row],[Date]])*SUMIFS(Budgets[Service-Budget],Budgets[BudgetMonth],DaybyDay[[#This Row],[RowMonth]],Budgets[BudgetYear],DaybyDay[[#This Row],[RowYear]])</f>
        <v>0</v>
      </c>
      <c r="L361" s="75">
        <v>6663</v>
      </c>
      <c r="M361" s="32">
        <f>INDEX(BudgetSeasonality[365 Seasonality],MATCH(DaybyDay[[#This Row],[Date]],BudgetSeasonality[MonthAdjustment],0))*SUMIFS(Budgets[Retail-Budget],Budgets[BudgetMonth],DaybyDay[[#This Row],[RowMonth]],Budgets[BudgetYear],DaybyDay[[#This Row],[RowYear]])</f>
        <v>0</v>
      </c>
      <c r="N361" s="75">
        <v>9009.4</v>
      </c>
      <c r="O361" s="33">
        <f>SUMIFS(DaybyDay[Service-Budgets],DaybyDay[Date],"&gt;="&amp;$C$5,DaybyDay[RowYear],"&gt;="&amp;$C$4,DaybyDay[Date],"&lt;="&amp;DaybyDay[[#This Row],[Date]])</f>
        <v>0</v>
      </c>
      <c r="P361" s="33">
        <f>SUMIFS(DaybyDay[Retail-Budgets],DaybyDay[Date],"&gt;="&amp;$C$5,DaybyDay[RowYear],"&gt;="&amp;$C$4,DaybyDay[Date],"&lt;="&amp;DaybyDay[[#This Row],[Date]])</f>
        <v>0</v>
      </c>
      <c r="Q361" s="34">
        <f>SUMIFS(DaybyDay[Service-Actuals],DaybyDay[Date],"&gt;="&amp;$C$5,DaybyDay[RowYear],"&gt;="&amp;$C$4,DaybyDay[Date],"&lt;="&amp;DaybyDay[[#This Row],[Date]])</f>
        <v>0</v>
      </c>
      <c r="R361" s="34">
        <f>SUMIFS(DaybyDay[Retail-Actuals],DaybyDay[Date],"&gt;="&amp;$C$5,DaybyDay[RowYear],"&gt;="&amp;$C$4,DaybyDay[Date],"&lt;="&amp;DaybyDay[[#This Row],[Date]])</f>
        <v>0</v>
      </c>
      <c r="S361" s="35">
        <f>SUMIFS(DaybyDay[Service-LY],DaybyDay[Date],"&gt;="&amp;$C$5,DaybyDay[RowYear],"&gt;="&amp;$C$4,DaybyDay[Date],"&lt;="&amp;DaybyDay[[#This Row],[Date]])</f>
        <v>0</v>
      </c>
      <c r="T361" s="35">
        <f>SUMIFS(DaybyDay[Retail-LY],DaybyDay[Date],"&gt;="&amp;$C$5,DaybyDay[RowYear],"&gt;="&amp;$C$4,DaybyDay[Date],"&lt;="&amp;DaybyDay[[#This Row],[Date]])</f>
        <v>0</v>
      </c>
      <c r="U361" s="32">
        <f>DaybyDay[[#This Row],[Serv-Bud-RU]]+DaybyDay[[#This Row],[Ret-Bud-RU]]</f>
        <v>0</v>
      </c>
      <c r="V361" s="32">
        <f>DaybyDay[[#This Row],[Serv-Act-RU]]+DaybyDay[[#This Row],[Ret-Act-RU]]</f>
        <v>0</v>
      </c>
      <c r="W361" s="36">
        <f>IF(DaybyDay[[#This Row],[_Space]],IFERROR(
((DaybyDay[[#This Row],[Actual-Rollup]]-DaybyDay[[#This Row],[Budget-Rollup]])/DaybyDay[[#This Row],[Budget-Rollup]]),0),"")</f>
        <v>0</v>
      </c>
      <c r="X361" t="b">
        <f>NOT(AND(ISBLANK(DaybyDay[[#This Row],[Appts]]),ISBLANK(DaybyDay[[#This Row],[Service-Actuals]]),ISBLANK(DaybyDay[[#This Row],[Retail-Actuals]])))</f>
        <v>1</v>
      </c>
      <c r="Y361" s="36">
        <f>IF(DaybyDay[[#This Row],[_Space]],IFERROR(
((DaybyDay[[#This Row],[Actual-Rollup]]-DaybyDay[[#This Row],[LY-Rollup]])/DaybyDay[[#This Row],[LY-Rollup]]),0),"")</f>
        <v>0</v>
      </c>
      <c r="Z361"/>
      <c r="AA361" s="37" t="e">
        <f>IF(DaybyDay[[#This Row],[_Space]],DaybyDay[[#This Row],[Ret-Act-RU]]/DaybyDay[[#This Row],[Serv-Act-RU]],"")</f>
        <v>#DIV/0!</v>
      </c>
      <c r="AB361" s="50" t="e">
        <f>IF(DaybyDay[[#This Row],[_Space]],DaybyDay[[#This Row],[RETPEN-Act]]/DaybyDay[[#This Row],[RETPEN-Bud]],"")</f>
        <v>#DIV/0!</v>
      </c>
      <c r="AC361" s="37" t="e">
        <f>IF(DaybyDay[[#This Row],[_Space]],DaybyDay[[#This Row],[Ret-Bud-RU]]/DaybyDay[[#This Row],[Serv-Bud-RU]],"")</f>
        <v>#DIV/0!</v>
      </c>
      <c r="AD361" s="37" t="e">
        <f>IF(DaybyDay[[#This Row],[_Space]],DaybyDay[[#This Row],[Ret-LY-RU]]/DaybyDay[[#This Row],[Serv-LY-RU]],"")</f>
        <v>#DIV/0!</v>
      </c>
      <c r="AE361" s="30">
        <f>WEEKDAY(DaybyDay[[#This Row],[LY-Date]])</f>
        <v>5</v>
      </c>
      <c r="AF361" s="38">
        <f>$E$2+_xlfn.DAYS(DaybyDay[[#This Row],[Date]],minDate)</f>
        <v>42726</v>
      </c>
      <c r="AG361" s="39" t="str" cm="1">
        <f t="array" ref="AG361">IFERROR(INDEX(DaybyDay[],DaybyDay[[#This Row],[FORM_MATCH_HELPER]],8),"")</f>
        <v/>
      </c>
      <c r="AH361" s="39" t="str" cm="1">
        <f t="array" ref="AH361">IFERROR(INDEX(DaybyDay[],DaybyDay[[#This Row],[FORM_MATCH_HELPER]],10),"")</f>
        <v/>
      </c>
      <c r="AI361" s="39" t="str" cm="1">
        <f t="array" ref="AI361">IFERROR(INDEX(DaybyDay[],DaybyDay[[#This Row],[FORM_MATCH_HELPER]],12),"")</f>
        <v/>
      </c>
      <c r="AJ361" s="32">
        <f>IFERROR(DaybyDay[[#This Row],[Serv-LY-RU]]+DaybyDay[[#This Row],[Ret-LY-RU]],"")</f>
        <v>0</v>
      </c>
      <c r="AK3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1" s="77"/>
      <c r="AM361" s="40" t="str">
        <f>IF(DaybyDay[[#This Row],[Admin Hours]]&gt;0,DaybyDay[[#This Row],[Admin Hours]]*$AM$2+$AM$3,"")</f>
        <v/>
      </c>
      <c r="AN361" s="40">
        <f>SUMIFS(DaybyDay[Est-Admin-Payroll],DaybyDay[Date],"&gt;="&amp;$C$5,DaybyDay[RowYear],"&gt;="&amp;$C$4,DaybyDay[Date],"&lt;="&amp;DaybyDay[[#This Row],[Date]])</f>
        <v>0</v>
      </c>
      <c r="AO361" s="41" t="str">
        <f>IF(AND(DaybyDay[[#This Row],[_Space]],ISNUMBER(DaybyDay[[#This Row],[Admin Hours]])),DaybyDay[[#This Row],[Est-Admin-Payroll]]/(DaybyDay[[#This Row],[Service-Actuals]]+DaybyDay[[#This Row],[Retail-Actuals]]),"")</f>
        <v/>
      </c>
      <c r="AP361" s="41" t="e">
        <f>DaybyDay[[#This Row],[Estimated-Payroll-Rollup]]/DaybyDay[[#This Row],[Simple-Forecast]]</f>
        <v>#DIV/0!</v>
      </c>
      <c r="AQ3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1" s="77"/>
      <c r="AS361" s="40" t="str">
        <f>IF(DaybyDay[[#This Row],[Retail Hours]]&gt;0,DaybyDay[[#This Row],[Retail Hours]]*$AS$2,"")</f>
        <v/>
      </c>
      <c r="AT361" s="40">
        <f>SUMIFS(DaybyDay[Est-Retail-Payroll],DaybyDay[Date],"&gt;="&amp;$C$5,DaybyDay[RowYear],"&gt;="&amp;$C$4,DaybyDay[Date],"&lt;="&amp;DaybyDay[[#This Row],[Date]])</f>
        <v>0</v>
      </c>
      <c r="AU361" s="82" t="str">
        <f>IF(AND(DaybyDay[[#This Row],[_Space]],ISNUMBER(DaybyDay[[#This Row],[Retail Hours]])),DaybyDay[[#This Row],[Est-Retail-Payroll]]/(DaybyDay[[#This Row],[Retail-Actuals]]),"")</f>
        <v/>
      </c>
      <c r="AV361" s="82" t="e">
        <f>DaybyDay[[#This Row],[Est-Retail-PayrollRU]]/DaybyDay[[#This Row],[Simple-Forecast-Retail]]</f>
        <v>#DIV/0!</v>
      </c>
      <c r="AW361" s="8"/>
    </row>
    <row r="362" spans="3:49" hidden="1" x14ac:dyDescent="0.25">
      <c r="C362" s="26" t="str">
        <f>Tools!$C$1</f>
        <v>Example</v>
      </c>
      <c r="D362" s="27" t="s">
        <v>79</v>
      </c>
      <c r="E362" s="28">
        <v>2017</v>
      </c>
      <c r="F362" s="28">
        <f>MATCH(DaybyDay[[#This Row],[RowMonth]],Table3[SummaryMonth],0)</f>
        <v>12</v>
      </c>
      <c r="G362" s="29" t="e">
        <f>MATCH(DaybyDay[[#This Row],[LY-Date]],DaybyDay[Date],0)</f>
        <v>#N/A</v>
      </c>
      <c r="H362" s="30">
        <f>WEEKDAY(DaybyDay[[#This Row],[Date]])</f>
        <v>6</v>
      </c>
      <c r="I362" s="31">
        <v>43091</v>
      </c>
      <c r="J362" s="74">
        <v>26</v>
      </c>
      <c r="K362" s="32">
        <f>SUMIFS(BudgetSeasonality[365 Seasonality],BudgetSeasonality[MonthAdjustment],DaybyDay[[#This Row],[Date]])*SUMIFS(Budgets[Service-Budget],Budgets[BudgetMonth],DaybyDay[[#This Row],[RowMonth]],Budgets[BudgetYear],DaybyDay[[#This Row],[RowYear]])</f>
        <v>0</v>
      </c>
      <c r="L362" s="75">
        <v>6378</v>
      </c>
      <c r="M362" s="32">
        <f>INDEX(BudgetSeasonality[365 Seasonality],MATCH(DaybyDay[[#This Row],[Date]],BudgetSeasonality[MonthAdjustment],0))*SUMIFS(Budgets[Retail-Budget],Budgets[BudgetMonth],DaybyDay[[#This Row],[RowMonth]],Budgets[BudgetYear],DaybyDay[[#This Row],[RowYear]])</f>
        <v>0</v>
      </c>
      <c r="N362" s="75">
        <v>8142.3</v>
      </c>
      <c r="O362" s="33">
        <f>SUMIFS(DaybyDay[Service-Budgets],DaybyDay[Date],"&gt;="&amp;$C$5,DaybyDay[RowYear],"&gt;="&amp;$C$4,DaybyDay[Date],"&lt;="&amp;DaybyDay[[#This Row],[Date]])</f>
        <v>0</v>
      </c>
      <c r="P362" s="33">
        <f>SUMIFS(DaybyDay[Retail-Budgets],DaybyDay[Date],"&gt;="&amp;$C$5,DaybyDay[RowYear],"&gt;="&amp;$C$4,DaybyDay[Date],"&lt;="&amp;DaybyDay[[#This Row],[Date]])</f>
        <v>0</v>
      </c>
      <c r="Q362" s="34">
        <f>SUMIFS(DaybyDay[Service-Actuals],DaybyDay[Date],"&gt;="&amp;$C$5,DaybyDay[RowYear],"&gt;="&amp;$C$4,DaybyDay[Date],"&lt;="&amp;DaybyDay[[#This Row],[Date]])</f>
        <v>0</v>
      </c>
      <c r="R362" s="34">
        <f>SUMIFS(DaybyDay[Retail-Actuals],DaybyDay[Date],"&gt;="&amp;$C$5,DaybyDay[RowYear],"&gt;="&amp;$C$4,DaybyDay[Date],"&lt;="&amp;DaybyDay[[#This Row],[Date]])</f>
        <v>0</v>
      </c>
      <c r="S362" s="35">
        <f>SUMIFS(DaybyDay[Service-LY],DaybyDay[Date],"&gt;="&amp;$C$5,DaybyDay[RowYear],"&gt;="&amp;$C$4,DaybyDay[Date],"&lt;="&amp;DaybyDay[[#This Row],[Date]])</f>
        <v>0</v>
      </c>
      <c r="T362" s="35">
        <f>SUMIFS(DaybyDay[Retail-LY],DaybyDay[Date],"&gt;="&amp;$C$5,DaybyDay[RowYear],"&gt;="&amp;$C$4,DaybyDay[Date],"&lt;="&amp;DaybyDay[[#This Row],[Date]])</f>
        <v>0</v>
      </c>
      <c r="U362" s="32">
        <f>DaybyDay[[#This Row],[Serv-Bud-RU]]+DaybyDay[[#This Row],[Ret-Bud-RU]]</f>
        <v>0</v>
      </c>
      <c r="V362" s="32">
        <f>DaybyDay[[#This Row],[Serv-Act-RU]]+DaybyDay[[#This Row],[Ret-Act-RU]]</f>
        <v>0</v>
      </c>
      <c r="W362" s="36">
        <f>IF(DaybyDay[[#This Row],[_Space]],IFERROR(
((DaybyDay[[#This Row],[Actual-Rollup]]-DaybyDay[[#This Row],[Budget-Rollup]])/DaybyDay[[#This Row],[Budget-Rollup]]),0),"")</f>
        <v>0</v>
      </c>
      <c r="X362" t="b">
        <f>NOT(AND(ISBLANK(DaybyDay[[#This Row],[Appts]]),ISBLANK(DaybyDay[[#This Row],[Service-Actuals]]),ISBLANK(DaybyDay[[#This Row],[Retail-Actuals]])))</f>
        <v>1</v>
      </c>
      <c r="Y362" s="36">
        <f>IF(DaybyDay[[#This Row],[_Space]],IFERROR(
((DaybyDay[[#This Row],[Actual-Rollup]]-DaybyDay[[#This Row],[LY-Rollup]])/DaybyDay[[#This Row],[LY-Rollup]]),0),"")</f>
        <v>0</v>
      </c>
      <c r="Z362"/>
      <c r="AA362" s="37" t="e">
        <f>IF(DaybyDay[[#This Row],[_Space]],DaybyDay[[#This Row],[Ret-Act-RU]]/DaybyDay[[#This Row],[Serv-Act-RU]],"")</f>
        <v>#DIV/0!</v>
      </c>
      <c r="AB362" s="50" t="e">
        <f>IF(DaybyDay[[#This Row],[_Space]],DaybyDay[[#This Row],[RETPEN-Act]]/DaybyDay[[#This Row],[RETPEN-Bud]],"")</f>
        <v>#DIV/0!</v>
      </c>
      <c r="AC362" s="37" t="e">
        <f>IF(DaybyDay[[#This Row],[_Space]],DaybyDay[[#This Row],[Ret-Bud-RU]]/DaybyDay[[#This Row],[Serv-Bud-RU]],"")</f>
        <v>#DIV/0!</v>
      </c>
      <c r="AD362" s="37" t="e">
        <f>IF(DaybyDay[[#This Row],[_Space]],DaybyDay[[#This Row],[Ret-LY-RU]]/DaybyDay[[#This Row],[Serv-LY-RU]],"")</f>
        <v>#DIV/0!</v>
      </c>
      <c r="AE362" s="30">
        <f>WEEKDAY(DaybyDay[[#This Row],[LY-Date]])</f>
        <v>6</v>
      </c>
      <c r="AF362" s="38">
        <f>$E$2+_xlfn.DAYS(DaybyDay[[#This Row],[Date]],minDate)</f>
        <v>42727</v>
      </c>
      <c r="AG362" s="39" t="str" cm="1">
        <f t="array" ref="AG362">IFERROR(INDEX(DaybyDay[],DaybyDay[[#This Row],[FORM_MATCH_HELPER]],8),"")</f>
        <v/>
      </c>
      <c r="AH362" s="39" t="str" cm="1">
        <f t="array" ref="AH362">IFERROR(INDEX(DaybyDay[],DaybyDay[[#This Row],[FORM_MATCH_HELPER]],10),"")</f>
        <v/>
      </c>
      <c r="AI362" s="39" t="str" cm="1">
        <f t="array" ref="AI362">IFERROR(INDEX(DaybyDay[],DaybyDay[[#This Row],[FORM_MATCH_HELPER]],12),"")</f>
        <v/>
      </c>
      <c r="AJ362" s="32">
        <f>IFERROR(DaybyDay[[#This Row],[Serv-LY-RU]]+DaybyDay[[#This Row],[Ret-LY-RU]],"")</f>
        <v>0</v>
      </c>
      <c r="AK3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2" s="77"/>
      <c r="AM362" s="40" t="str">
        <f>IF(DaybyDay[[#This Row],[Admin Hours]]&gt;0,DaybyDay[[#This Row],[Admin Hours]]*$AM$2+$AM$3,"")</f>
        <v/>
      </c>
      <c r="AN362" s="40">
        <f>SUMIFS(DaybyDay[Est-Admin-Payroll],DaybyDay[Date],"&gt;="&amp;$C$5,DaybyDay[RowYear],"&gt;="&amp;$C$4,DaybyDay[Date],"&lt;="&amp;DaybyDay[[#This Row],[Date]])</f>
        <v>0</v>
      </c>
      <c r="AO362" s="41" t="str">
        <f>IF(AND(DaybyDay[[#This Row],[_Space]],ISNUMBER(DaybyDay[[#This Row],[Admin Hours]])),DaybyDay[[#This Row],[Est-Admin-Payroll]]/(DaybyDay[[#This Row],[Service-Actuals]]+DaybyDay[[#This Row],[Retail-Actuals]]),"")</f>
        <v/>
      </c>
      <c r="AP362" s="41" t="e">
        <f>DaybyDay[[#This Row],[Estimated-Payroll-Rollup]]/DaybyDay[[#This Row],[Simple-Forecast]]</f>
        <v>#DIV/0!</v>
      </c>
      <c r="AQ3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2" s="77"/>
      <c r="AS362" s="40" t="str">
        <f>IF(DaybyDay[[#This Row],[Retail Hours]]&gt;0,DaybyDay[[#This Row],[Retail Hours]]*$AS$2,"")</f>
        <v/>
      </c>
      <c r="AT362" s="40">
        <f>SUMIFS(DaybyDay[Est-Retail-Payroll],DaybyDay[Date],"&gt;="&amp;$C$5,DaybyDay[RowYear],"&gt;="&amp;$C$4,DaybyDay[Date],"&lt;="&amp;DaybyDay[[#This Row],[Date]])</f>
        <v>0</v>
      </c>
      <c r="AU362" s="82" t="str">
        <f>IF(AND(DaybyDay[[#This Row],[_Space]],ISNUMBER(DaybyDay[[#This Row],[Retail Hours]])),DaybyDay[[#This Row],[Est-Retail-Payroll]]/(DaybyDay[[#This Row],[Retail-Actuals]]),"")</f>
        <v/>
      </c>
      <c r="AV362" s="82" t="e">
        <f>DaybyDay[[#This Row],[Est-Retail-PayrollRU]]/DaybyDay[[#This Row],[Simple-Forecast-Retail]]</f>
        <v>#DIV/0!</v>
      </c>
      <c r="AW362" s="8"/>
    </row>
    <row r="363" spans="3:49" hidden="1" x14ac:dyDescent="0.25">
      <c r="C363" s="26" t="str">
        <f>Tools!$C$1</f>
        <v>Example</v>
      </c>
      <c r="D363" s="27" t="s">
        <v>79</v>
      </c>
      <c r="E363" s="28">
        <v>2017</v>
      </c>
      <c r="F363" s="28">
        <f>MATCH(DaybyDay[[#This Row],[RowMonth]],Table3[SummaryMonth],0)</f>
        <v>12</v>
      </c>
      <c r="G363" s="29" t="e">
        <f>MATCH(DaybyDay[[#This Row],[LY-Date]],DaybyDay[Date],0)</f>
        <v>#N/A</v>
      </c>
      <c r="H363" s="30">
        <f>WEEKDAY(DaybyDay[[#This Row],[Date]])</f>
        <v>7</v>
      </c>
      <c r="I363" s="31">
        <v>43092</v>
      </c>
      <c r="J363" s="74">
        <v>28</v>
      </c>
      <c r="K363" s="32">
        <f>SUMIFS(BudgetSeasonality[365 Seasonality],BudgetSeasonality[MonthAdjustment],DaybyDay[[#This Row],[Date]])*SUMIFS(Budgets[Service-Budget],Budgets[BudgetMonth],DaybyDay[[#This Row],[RowMonth]],Budgets[BudgetYear],DaybyDay[[#This Row],[RowYear]])</f>
        <v>0</v>
      </c>
      <c r="L363" s="75">
        <v>7112</v>
      </c>
      <c r="M363" s="32">
        <f>INDEX(BudgetSeasonality[365 Seasonality],MATCH(DaybyDay[[#This Row],[Date]],BudgetSeasonality[MonthAdjustment],0))*SUMIFS(Budgets[Retail-Budget],Budgets[BudgetMonth],DaybyDay[[#This Row],[RowMonth]],Budgets[BudgetYear],DaybyDay[[#This Row],[RowYear]])</f>
        <v>0</v>
      </c>
      <c r="N363" s="75">
        <v>4254</v>
      </c>
      <c r="O363" s="33">
        <f>SUMIFS(DaybyDay[Service-Budgets],DaybyDay[Date],"&gt;="&amp;$C$5,DaybyDay[RowYear],"&gt;="&amp;$C$4,DaybyDay[Date],"&lt;="&amp;DaybyDay[[#This Row],[Date]])</f>
        <v>0</v>
      </c>
      <c r="P363" s="33">
        <f>SUMIFS(DaybyDay[Retail-Budgets],DaybyDay[Date],"&gt;="&amp;$C$5,DaybyDay[RowYear],"&gt;="&amp;$C$4,DaybyDay[Date],"&lt;="&amp;DaybyDay[[#This Row],[Date]])</f>
        <v>0</v>
      </c>
      <c r="Q363" s="34">
        <f>SUMIFS(DaybyDay[Service-Actuals],DaybyDay[Date],"&gt;="&amp;$C$5,DaybyDay[RowYear],"&gt;="&amp;$C$4,DaybyDay[Date],"&lt;="&amp;DaybyDay[[#This Row],[Date]])</f>
        <v>0</v>
      </c>
      <c r="R363" s="34">
        <f>SUMIFS(DaybyDay[Retail-Actuals],DaybyDay[Date],"&gt;="&amp;$C$5,DaybyDay[RowYear],"&gt;="&amp;$C$4,DaybyDay[Date],"&lt;="&amp;DaybyDay[[#This Row],[Date]])</f>
        <v>0</v>
      </c>
      <c r="S363" s="35">
        <f>SUMIFS(DaybyDay[Service-LY],DaybyDay[Date],"&gt;="&amp;$C$5,DaybyDay[RowYear],"&gt;="&amp;$C$4,DaybyDay[Date],"&lt;="&amp;DaybyDay[[#This Row],[Date]])</f>
        <v>0</v>
      </c>
      <c r="T363" s="35">
        <f>SUMIFS(DaybyDay[Retail-LY],DaybyDay[Date],"&gt;="&amp;$C$5,DaybyDay[RowYear],"&gt;="&amp;$C$4,DaybyDay[Date],"&lt;="&amp;DaybyDay[[#This Row],[Date]])</f>
        <v>0</v>
      </c>
      <c r="U363" s="32">
        <f>DaybyDay[[#This Row],[Serv-Bud-RU]]+DaybyDay[[#This Row],[Ret-Bud-RU]]</f>
        <v>0</v>
      </c>
      <c r="V363" s="32">
        <f>DaybyDay[[#This Row],[Serv-Act-RU]]+DaybyDay[[#This Row],[Ret-Act-RU]]</f>
        <v>0</v>
      </c>
      <c r="W363" s="36">
        <f>IF(DaybyDay[[#This Row],[_Space]],IFERROR(
((DaybyDay[[#This Row],[Actual-Rollup]]-DaybyDay[[#This Row],[Budget-Rollup]])/DaybyDay[[#This Row],[Budget-Rollup]]),0),"")</f>
        <v>0</v>
      </c>
      <c r="X363" t="b">
        <f>NOT(AND(ISBLANK(DaybyDay[[#This Row],[Appts]]),ISBLANK(DaybyDay[[#This Row],[Service-Actuals]]),ISBLANK(DaybyDay[[#This Row],[Retail-Actuals]])))</f>
        <v>1</v>
      </c>
      <c r="Y363" s="36">
        <f>IF(DaybyDay[[#This Row],[_Space]],IFERROR(
((DaybyDay[[#This Row],[Actual-Rollup]]-DaybyDay[[#This Row],[LY-Rollup]])/DaybyDay[[#This Row],[LY-Rollup]]),0),"")</f>
        <v>0</v>
      </c>
      <c r="Z363"/>
      <c r="AA363" s="37" t="e">
        <f>IF(DaybyDay[[#This Row],[_Space]],DaybyDay[[#This Row],[Ret-Act-RU]]/DaybyDay[[#This Row],[Serv-Act-RU]],"")</f>
        <v>#DIV/0!</v>
      </c>
      <c r="AB363" s="50" t="e">
        <f>IF(DaybyDay[[#This Row],[_Space]],DaybyDay[[#This Row],[RETPEN-Act]]/DaybyDay[[#This Row],[RETPEN-Bud]],"")</f>
        <v>#DIV/0!</v>
      </c>
      <c r="AC363" s="37" t="e">
        <f>IF(DaybyDay[[#This Row],[_Space]],DaybyDay[[#This Row],[Ret-Bud-RU]]/DaybyDay[[#This Row],[Serv-Bud-RU]],"")</f>
        <v>#DIV/0!</v>
      </c>
      <c r="AD363" s="37" t="e">
        <f>IF(DaybyDay[[#This Row],[_Space]],DaybyDay[[#This Row],[Ret-LY-RU]]/DaybyDay[[#This Row],[Serv-LY-RU]],"")</f>
        <v>#DIV/0!</v>
      </c>
      <c r="AE363" s="30">
        <f>WEEKDAY(DaybyDay[[#This Row],[LY-Date]])</f>
        <v>7</v>
      </c>
      <c r="AF363" s="38">
        <f>$E$2+_xlfn.DAYS(DaybyDay[[#This Row],[Date]],minDate)</f>
        <v>42728</v>
      </c>
      <c r="AG363" s="39" t="str" cm="1">
        <f t="array" ref="AG363">IFERROR(INDEX(DaybyDay[],DaybyDay[[#This Row],[FORM_MATCH_HELPER]],8),"")</f>
        <v/>
      </c>
      <c r="AH363" s="39" t="str" cm="1">
        <f t="array" ref="AH363">IFERROR(INDEX(DaybyDay[],DaybyDay[[#This Row],[FORM_MATCH_HELPER]],10),"")</f>
        <v/>
      </c>
      <c r="AI363" s="39" t="str" cm="1">
        <f t="array" ref="AI363">IFERROR(INDEX(DaybyDay[],DaybyDay[[#This Row],[FORM_MATCH_HELPER]],12),"")</f>
        <v/>
      </c>
      <c r="AJ363" s="32">
        <f>IFERROR(DaybyDay[[#This Row],[Serv-LY-RU]]+DaybyDay[[#This Row],[Ret-LY-RU]],"")</f>
        <v>0</v>
      </c>
      <c r="AK3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3" s="77"/>
      <c r="AM363" s="40" t="str">
        <f>IF(DaybyDay[[#This Row],[Admin Hours]]&gt;0,DaybyDay[[#This Row],[Admin Hours]]*$AM$2+$AM$3,"")</f>
        <v/>
      </c>
      <c r="AN363" s="40">
        <f>SUMIFS(DaybyDay[Est-Admin-Payroll],DaybyDay[Date],"&gt;="&amp;$C$5,DaybyDay[RowYear],"&gt;="&amp;$C$4,DaybyDay[Date],"&lt;="&amp;DaybyDay[[#This Row],[Date]])</f>
        <v>0</v>
      </c>
      <c r="AO363" s="41" t="str">
        <f>IF(AND(DaybyDay[[#This Row],[_Space]],ISNUMBER(DaybyDay[[#This Row],[Admin Hours]])),DaybyDay[[#This Row],[Est-Admin-Payroll]]/(DaybyDay[[#This Row],[Service-Actuals]]+DaybyDay[[#This Row],[Retail-Actuals]]),"")</f>
        <v/>
      </c>
      <c r="AP363" s="41" t="e">
        <f>DaybyDay[[#This Row],[Estimated-Payroll-Rollup]]/DaybyDay[[#This Row],[Simple-Forecast]]</f>
        <v>#DIV/0!</v>
      </c>
      <c r="AQ3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3" s="77"/>
      <c r="AS363" s="40" t="str">
        <f>IF(DaybyDay[[#This Row],[Retail Hours]]&gt;0,DaybyDay[[#This Row],[Retail Hours]]*$AS$2,"")</f>
        <v/>
      </c>
      <c r="AT363" s="40">
        <f>SUMIFS(DaybyDay[Est-Retail-Payroll],DaybyDay[Date],"&gt;="&amp;$C$5,DaybyDay[RowYear],"&gt;="&amp;$C$4,DaybyDay[Date],"&lt;="&amp;DaybyDay[[#This Row],[Date]])</f>
        <v>0</v>
      </c>
      <c r="AU363" s="82" t="str">
        <f>IF(AND(DaybyDay[[#This Row],[_Space]],ISNUMBER(DaybyDay[[#This Row],[Retail Hours]])),DaybyDay[[#This Row],[Est-Retail-Payroll]]/(DaybyDay[[#This Row],[Retail-Actuals]]),"")</f>
        <v/>
      </c>
      <c r="AV363" s="82" t="e">
        <f>DaybyDay[[#This Row],[Est-Retail-PayrollRU]]/DaybyDay[[#This Row],[Simple-Forecast-Retail]]</f>
        <v>#DIV/0!</v>
      </c>
      <c r="AW363" s="8"/>
    </row>
    <row r="364" spans="3:49" hidden="1" x14ac:dyDescent="0.25">
      <c r="C364" s="26" t="str">
        <f>Tools!$C$1</f>
        <v>Example</v>
      </c>
      <c r="D364" s="27" t="s">
        <v>79</v>
      </c>
      <c r="E364" s="28">
        <v>2017</v>
      </c>
      <c r="F364" s="28">
        <f>MATCH(DaybyDay[[#This Row],[RowMonth]],Table3[SummaryMonth],0)</f>
        <v>12</v>
      </c>
      <c r="G364" s="29" t="e">
        <f>MATCH(DaybyDay[[#This Row],[LY-Date]],DaybyDay[Date],0)</f>
        <v>#N/A</v>
      </c>
      <c r="H364" s="30">
        <f>WEEKDAY(DaybyDay[[#This Row],[Date]])</f>
        <v>1</v>
      </c>
      <c r="I364" s="31">
        <v>43093</v>
      </c>
      <c r="J364" s="74">
        <v>17</v>
      </c>
      <c r="K364" s="32">
        <f>SUMIFS(BudgetSeasonality[365 Seasonality],BudgetSeasonality[MonthAdjustment],DaybyDay[[#This Row],[Date]])*SUMIFS(Budgets[Service-Budget],Budgets[BudgetMonth],DaybyDay[[#This Row],[RowMonth]],Budgets[BudgetYear],DaybyDay[[#This Row],[RowYear]])</f>
        <v>0</v>
      </c>
      <c r="L364" s="75">
        <v>4381</v>
      </c>
      <c r="M364" s="32">
        <f>INDEX(BudgetSeasonality[365 Seasonality],MATCH(DaybyDay[[#This Row],[Date]],BudgetSeasonality[MonthAdjustment],0))*SUMIFS(Budgets[Retail-Budget],Budgets[BudgetMonth],DaybyDay[[#This Row],[RowMonth]],Budgets[BudgetYear],DaybyDay[[#This Row],[RowYear]])</f>
        <v>0</v>
      </c>
      <c r="N364" s="75">
        <v>550</v>
      </c>
      <c r="O364" s="33">
        <f>SUMIFS(DaybyDay[Service-Budgets],DaybyDay[Date],"&gt;="&amp;$C$5,DaybyDay[RowYear],"&gt;="&amp;$C$4,DaybyDay[Date],"&lt;="&amp;DaybyDay[[#This Row],[Date]])</f>
        <v>0</v>
      </c>
      <c r="P364" s="33">
        <f>SUMIFS(DaybyDay[Retail-Budgets],DaybyDay[Date],"&gt;="&amp;$C$5,DaybyDay[RowYear],"&gt;="&amp;$C$4,DaybyDay[Date],"&lt;="&amp;DaybyDay[[#This Row],[Date]])</f>
        <v>0</v>
      </c>
      <c r="Q364" s="34">
        <f>SUMIFS(DaybyDay[Service-Actuals],DaybyDay[Date],"&gt;="&amp;$C$5,DaybyDay[RowYear],"&gt;="&amp;$C$4,DaybyDay[Date],"&lt;="&amp;DaybyDay[[#This Row],[Date]])</f>
        <v>0</v>
      </c>
      <c r="R364" s="34">
        <f>SUMIFS(DaybyDay[Retail-Actuals],DaybyDay[Date],"&gt;="&amp;$C$5,DaybyDay[RowYear],"&gt;="&amp;$C$4,DaybyDay[Date],"&lt;="&amp;DaybyDay[[#This Row],[Date]])</f>
        <v>0</v>
      </c>
      <c r="S364" s="35">
        <f>SUMIFS(DaybyDay[Service-LY],DaybyDay[Date],"&gt;="&amp;$C$5,DaybyDay[RowYear],"&gt;="&amp;$C$4,DaybyDay[Date],"&lt;="&amp;DaybyDay[[#This Row],[Date]])</f>
        <v>0</v>
      </c>
      <c r="T364" s="35">
        <f>SUMIFS(DaybyDay[Retail-LY],DaybyDay[Date],"&gt;="&amp;$C$5,DaybyDay[RowYear],"&gt;="&amp;$C$4,DaybyDay[Date],"&lt;="&amp;DaybyDay[[#This Row],[Date]])</f>
        <v>0</v>
      </c>
      <c r="U364" s="32">
        <f>DaybyDay[[#This Row],[Serv-Bud-RU]]+DaybyDay[[#This Row],[Ret-Bud-RU]]</f>
        <v>0</v>
      </c>
      <c r="V364" s="32">
        <f>DaybyDay[[#This Row],[Serv-Act-RU]]+DaybyDay[[#This Row],[Ret-Act-RU]]</f>
        <v>0</v>
      </c>
      <c r="W364" s="36">
        <f>IF(DaybyDay[[#This Row],[_Space]],IFERROR(
((DaybyDay[[#This Row],[Actual-Rollup]]-DaybyDay[[#This Row],[Budget-Rollup]])/DaybyDay[[#This Row],[Budget-Rollup]]),0),"")</f>
        <v>0</v>
      </c>
      <c r="X364" t="b">
        <f>NOT(AND(ISBLANK(DaybyDay[[#This Row],[Appts]]),ISBLANK(DaybyDay[[#This Row],[Service-Actuals]]),ISBLANK(DaybyDay[[#This Row],[Retail-Actuals]])))</f>
        <v>1</v>
      </c>
      <c r="Y364" s="36">
        <f>IF(DaybyDay[[#This Row],[_Space]],IFERROR(
((DaybyDay[[#This Row],[Actual-Rollup]]-DaybyDay[[#This Row],[LY-Rollup]])/DaybyDay[[#This Row],[LY-Rollup]]),0),"")</f>
        <v>0</v>
      </c>
      <c r="Z364"/>
      <c r="AA364" s="37" t="e">
        <f>IF(DaybyDay[[#This Row],[_Space]],DaybyDay[[#This Row],[Ret-Act-RU]]/DaybyDay[[#This Row],[Serv-Act-RU]],"")</f>
        <v>#DIV/0!</v>
      </c>
      <c r="AB364" s="50" t="e">
        <f>IF(DaybyDay[[#This Row],[_Space]],DaybyDay[[#This Row],[RETPEN-Act]]/DaybyDay[[#This Row],[RETPEN-Bud]],"")</f>
        <v>#DIV/0!</v>
      </c>
      <c r="AC364" s="37" t="e">
        <f>IF(DaybyDay[[#This Row],[_Space]],DaybyDay[[#This Row],[Ret-Bud-RU]]/DaybyDay[[#This Row],[Serv-Bud-RU]],"")</f>
        <v>#DIV/0!</v>
      </c>
      <c r="AD364" s="37" t="e">
        <f>IF(DaybyDay[[#This Row],[_Space]],DaybyDay[[#This Row],[Ret-LY-RU]]/DaybyDay[[#This Row],[Serv-LY-RU]],"")</f>
        <v>#DIV/0!</v>
      </c>
      <c r="AE364" s="30">
        <f>WEEKDAY(DaybyDay[[#This Row],[LY-Date]])</f>
        <v>1</v>
      </c>
      <c r="AF364" s="38">
        <f>$E$2+_xlfn.DAYS(DaybyDay[[#This Row],[Date]],minDate)</f>
        <v>42729</v>
      </c>
      <c r="AG364" s="39" t="str" cm="1">
        <f t="array" ref="AG364">IFERROR(INDEX(DaybyDay[],DaybyDay[[#This Row],[FORM_MATCH_HELPER]],8),"")</f>
        <v/>
      </c>
      <c r="AH364" s="39" t="str" cm="1">
        <f t="array" ref="AH364">IFERROR(INDEX(DaybyDay[],DaybyDay[[#This Row],[FORM_MATCH_HELPER]],10),"")</f>
        <v/>
      </c>
      <c r="AI364" s="39" t="str" cm="1">
        <f t="array" ref="AI364">IFERROR(INDEX(DaybyDay[],DaybyDay[[#This Row],[FORM_MATCH_HELPER]],12),"")</f>
        <v/>
      </c>
      <c r="AJ364" s="32">
        <f>IFERROR(DaybyDay[[#This Row],[Serv-LY-RU]]+DaybyDay[[#This Row],[Ret-LY-RU]],"")</f>
        <v>0</v>
      </c>
      <c r="AK3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4" s="77"/>
      <c r="AM364" s="40" t="str">
        <f>IF(DaybyDay[[#This Row],[Admin Hours]]&gt;0,DaybyDay[[#This Row],[Admin Hours]]*$AM$2+$AM$3,"")</f>
        <v/>
      </c>
      <c r="AN364" s="40">
        <f>SUMIFS(DaybyDay[Est-Admin-Payroll],DaybyDay[Date],"&gt;="&amp;$C$5,DaybyDay[RowYear],"&gt;="&amp;$C$4,DaybyDay[Date],"&lt;="&amp;DaybyDay[[#This Row],[Date]])</f>
        <v>0</v>
      </c>
      <c r="AO364" s="41" t="str">
        <f>IF(AND(DaybyDay[[#This Row],[_Space]],ISNUMBER(DaybyDay[[#This Row],[Admin Hours]])),DaybyDay[[#This Row],[Est-Admin-Payroll]]/(DaybyDay[[#This Row],[Service-Actuals]]+DaybyDay[[#This Row],[Retail-Actuals]]),"")</f>
        <v/>
      </c>
      <c r="AP364" s="41" t="e">
        <f>DaybyDay[[#This Row],[Estimated-Payroll-Rollup]]/DaybyDay[[#This Row],[Simple-Forecast]]</f>
        <v>#DIV/0!</v>
      </c>
      <c r="AQ3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4" s="77"/>
      <c r="AS364" s="40" t="str">
        <f>IF(DaybyDay[[#This Row],[Retail Hours]]&gt;0,DaybyDay[[#This Row],[Retail Hours]]*$AS$2,"")</f>
        <v/>
      </c>
      <c r="AT364" s="40">
        <f>SUMIFS(DaybyDay[Est-Retail-Payroll],DaybyDay[Date],"&gt;="&amp;$C$5,DaybyDay[RowYear],"&gt;="&amp;$C$4,DaybyDay[Date],"&lt;="&amp;DaybyDay[[#This Row],[Date]])</f>
        <v>0</v>
      </c>
      <c r="AU364" s="82" t="str">
        <f>IF(AND(DaybyDay[[#This Row],[_Space]],ISNUMBER(DaybyDay[[#This Row],[Retail Hours]])),DaybyDay[[#This Row],[Est-Retail-Payroll]]/(DaybyDay[[#This Row],[Retail-Actuals]]),"")</f>
        <v/>
      </c>
      <c r="AV364" s="82" t="e">
        <f>DaybyDay[[#This Row],[Est-Retail-PayrollRU]]/DaybyDay[[#This Row],[Simple-Forecast-Retail]]</f>
        <v>#DIV/0!</v>
      </c>
      <c r="AW364" s="8"/>
    </row>
    <row r="365" spans="3:49" hidden="1" x14ac:dyDescent="0.25">
      <c r="C365" s="26" t="str">
        <f>Tools!$C$1</f>
        <v>Example</v>
      </c>
      <c r="D365" s="27" t="s">
        <v>79</v>
      </c>
      <c r="E365" s="28">
        <v>2017</v>
      </c>
      <c r="F365" s="28">
        <f>MATCH(DaybyDay[[#This Row],[RowMonth]],Table3[SummaryMonth],0)</f>
        <v>12</v>
      </c>
      <c r="G365" s="29" t="e">
        <f>MATCH(DaybyDay[[#This Row],[LY-Date]],DaybyDay[Date],0)</f>
        <v>#N/A</v>
      </c>
      <c r="H365" s="30">
        <f>WEEKDAY(DaybyDay[[#This Row],[Date]])</f>
        <v>2</v>
      </c>
      <c r="I365" s="31">
        <v>43094</v>
      </c>
      <c r="J365" s="74">
        <v>13</v>
      </c>
      <c r="K365" s="32">
        <f>SUMIFS(BudgetSeasonality[365 Seasonality],BudgetSeasonality[MonthAdjustment],DaybyDay[[#This Row],[Date]])*SUMIFS(Budgets[Service-Budget],Budgets[BudgetMonth],DaybyDay[[#This Row],[RowMonth]],Budgets[BudgetYear],DaybyDay[[#This Row],[RowYear]])</f>
        <v>0</v>
      </c>
      <c r="L365" s="75">
        <v>3494</v>
      </c>
      <c r="M365" s="32">
        <f>INDEX(BudgetSeasonality[365 Seasonality],MATCH(DaybyDay[[#This Row],[Date]],BudgetSeasonality[MonthAdjustment],0))*SUMIFS(Budgets[Retail-Budget],Budgets[BudgetMonth],DaybyDay[[#This Row],[RowMonth]],Budgets[BudgetYear],DaybyDay[[#This Row],[RowYear]])</f>
        <v>0</v>
      </c>
      <c r="N365" s="75">
        <v>0</v>
      </c>
      <c r="O365" s="33">
        <f>SUMIFS(DaybyDay[Service-Budgets],DaybyDay[Date],"&gt;="&amp;$C$5,DaybyDay[RowYear],"&gt;="&amp;$C$4,DaybyDay[Date],"&lt;="&amp;DaybyDay[[#This Row],[Date]])</f>
        <v>0</v>
      </c>
      <c r="P365" s="33">
        <f>SUMIFS(DaybyDay[Retail-Budgets],DaybyDay[Date],"&gt;="&amp;$C$5,DaybyDay[RowYear],"&gt;="&amp;$C$4,DaybyDay[Date],"&lt;="&amp;DaybyDay[[#This Row],[Date]])</f>
        <v>0</v>
      </c>
      <c r="Q365" s="34">
        <f>SUMIFS(DaybyDay[Service-Actuals],DaybyDay[Date],"&gt;="&amp;$C$5,DaybyDay[RowYear],"&gt;="&amp;$C$4,DaybyDay[Date],"&lt;="&amp;DaybyDay[[#This Row],[Date]])</f>
        <v>0</v>
      </c>
      <c r="R365" s="34">
        <f>SUMIFS(DaybyDay[Retail-Actuals],DaybyDay[Date],"&gt;="&amp;$C$5,DaybyDay[RowYear],"&gt;="&amp;$C$4,DaybyDay[Date],"&lt;="&amp;DaybyDay[[#This Row],[Date]])</f>
        <v>0</v>
      </c>
      <c r="S365" s="35">
        <f>SUMIFS(DaybyDay[Service-LY],DaybyDay[Date],"&gt;="&amp;$C$5,DaybyDay[RowYear],"&gt;="&amp;$C$4,DaybyDay[Date],"&lt;="&amp;DaybyDay[[#This Row],[Date]])</f>
        <v>0</v>
      </c>
      <c r="T365" s="35">
        <f>SUMIFS(DaybyDay[Retail-LY],DaybyDay[Date],"&gt;="&amp;$C$5,DaybyDay[RowYear],"&gt;="&amp;$C$4,DaybyDay[Date],"&lt;="&amp;DaybyDay[[#This Row],[Date]])</f>
        <v>0</v>
      </c>
      <c r="U365" s="32">
        <f>DaybyDay[[#This Row],[Serv-Bud-RU]]+DaybyDay[[#This Row],[Ret-Bud-RU]]</f>
        <v>0</v>
      </c>
      <c r="V365" s="32">
        <f>DaybyDay[[#This Row],[Serv-Act-RU]]+DaybyDay[[#This Row],[Ret-Act-RU]]</f>
        <v>0</v>
      </c>
      <c r="W365" s="36">
        <f>IF(DaybyDay[[#This Row],[_Space]],IFERROR(
((DaybyDay[[#This Row],[Actual-Rollup]]-DaybyDay[[#This Row],[Budget-Rollup]])/DaybyDay[[#This Row],[Budget-Rollup]]),0),"")</f>
        <v>0</v>
      </c>
      <c r="X365" t="b">
        <f>NOT(AND(ISBLANK(DaybyDay[[#This Row],[Appts]]),ISBLANK(DaybyDay[[#This Row],[Service-Actuals]]),ISBLANK(DaybyDay[[#This Row],[Retail-Actuals]])))</f>
        <v>1</v>
      </c>
      <c r="Y365" s="36">
        <f>IF(DaybyDay[[#This Row],[_Space]],IFERROR(
((DaybyDay[[#This Row],[Actual-Rollup]]-DaybyDay[[#This Row],[LY-Rollup]])/DaybyDay[[#This Row],[LY-Rollup]]),0),"")</f>
        <v>0</v>
      </c>
      <c r="Z365"/>
      <c r="AA365" s="37" t="e">
        <f>IF(DaybyDay[[#This Row],[_Space]],DaybyDay[[#This Row],[Ret-Act-RU]]/DaybyDay[[#This Row],[Serv-Act-RU]],"")</f>
        <v>#DIV/0!</v>
      </c>
      <c r="AB365" s="50" t="e">
        <f>IF(DaybyDay[[#This Row],[_Space]],DaybyDay[[#This Row],[RETPEN-Act]]/DaybyDay[[#This Row],[RETPEN-Bud]],"")</f>
        <v>#DIV/0!</v>
      </c>
      <c r="AC365" s="37" t="e">
        <f>IF(DaybyDay[[#This Row],[_Space]],DaybyDay[[#This Row],[Ret-Bud-RU]]/DaybyDay[[#This Row],[Serv-Bud-RU]],"")</f>
        <v>#DIV/0!</v>
      </c>
      <c r="AD365" s="37" t="e">
        <f>IF(DaybyDay[[#This Row],[_Space]],DaybyDay[[#This Row],[Ret-LY-RU]]/DaybyDay[[#This Row],[Serv-LY-RU]],"")</f>
        <v>#DIV/0!</v>
      </c>
      <c r="AE365" s="30">
        <f>WEEKDAY(DaybyDay[[#This Row],[LY-Date]])</f>
        <v>2</v>
      </c>
      <c r="AF365" s="38">
        <f>$E$2+_xlfn.DAYS(DaybyDay[[#This Row],[Date]],minDate)</f>
        <v>42730</v>
      </c>
      <c r="AG365" s="39" t="str" cm="1">
        <f t="array" ref="AG365">IFERROR(INDEX(DaybyDay[],DaybyDay[[#This Row],[FORM_MATCH_HELPER]],8),"")</f>
        <v/>
      </c>
      <c r="AH365" s="39" t="str" cm="1">
        <f t="array" ref="AH365">IFERROR(INDEX(DaybyDay[],DaybyDay[[#This Row],[FORM_MATCH_HELPER]],10),"")</f>
        <v/>
      </c>
      <c r="AI365" s="39" t="str" cm="1">
        <f t="array" ref="AI365">IFERROR(INDEX(DaybyDay[],DaybyDay[[#This Row],[FORM_MATCH_HELPER]],12),"")</f>
        <v/>
      </c>
      <c r="AJ365" s="32">
        <f>IFERROR(DaybyDay[[#This Row],[Serv-LY-RU]]+DaybyDay[[#This Row],[Ret-LY-RU]],"")</f>
        <v>0</v>
      </c>
      <c r="AK3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5" s="77"/>
      <c r="AM365" s="40" t="str">
        <f>IF(DaybyDay[[#This Row],[Admin Hours]]&gt;0,DaybyDay[[#This Row],[Admin Hours]]*$AM$2+$AM$3,"")</f>
        <v/>
      </c>
      <c r="AN365" s="40">
        <f>SUMIFS(DaybyDay[Est-Admin-Payroll],DaybyDay[Date],"&gt;="&amp;$C$5,DaybyDay[RowYear],"&gt;="&amp;$C$4,DaybyDay[Date],"&lt;="&amp;DaybyDay[[#This Row],[Date]])</f>
        <v>0</v>
      </c>
      <c r="AO365" s="41" t="str">
        <f>IF(AND(DaybyDay[[#This Row],[_Space]],ISNUMBER(DaybyDay[[#This Row],[Admin Hours]])),DaybyDay[[#This Row],[Est-Admin-Payroll]]/(DaybyDay[[#This Row],[Service-Actuals]]+DaybyDay[[#This Row],[Retail-Actuals]]),"")</f>
        <v/>
      </c>
      <c r="AP365" s="41" t="e">
        <f>DaybyDay[[#This Row],[Estimated-Payroll-Rollup]]/DaybyDay[[#This Row],[Simple-Forecast]]</f>
        <v>#DIV/0!</v>
      </c>
      <c r="AQ3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5" s="77"/>
      <c r="AS365" s="40" t="str">
        <f>IF(DaybyDay[[#This Row],[Retail Hours]]&gt;0,DaybyDay[[#This Row],[Retail Hours]]*$AS$2,"")</f>
        <v/>
      </c>
      <c r="AT365" s="40">
        <f>SUMIFS(DaybyDay[Est-Retail-Payroll],DaybyDay[Date],"&gt;="&amp;$C$5,DaybyDay[RowYear],"&gt;="&amp;$C$4,DaybyDay[Date],"&lt;="&amp;DaybyDay[[#This Row],[Date]])</f>
        <v>0</v>
      </c>
      <c r="AU365" s="82" t="str">
        <f>IF(AND(DaybyDay[[#This Row],[_Space]],ISNUMBER(DaybyDay[[#This Row],[Retail Hours]])),DaybyDay[[#This Row],[Est-Retail-Payroll]]/(DaybyDay[[#This Row],[Retail-Actuals]]),"")</f>
        <v/>
      </c>
      <c r="AV365" s="82" t="e">
        <f>DaybyDay[[#This Row],[Est-Retail-PayrollRU]]/DaybyDay[[#This Row],[Simple-Forecast-Retail]]</f>
        <v>#DIV/0!</v>
      </c>
      <c r="AW365" s="8"/>
    </row>
    <row r="366" spans="3:49" hidden="1" x14ac:dyDescent="0.25">
      <c r="C366" s="26" t="str">
        <f>Tools!$C$1</f>
        <v>Example</v>
      </c>
      <c r="D366" s="27" t="s">
        <v>79</v>
      </c>
      <c r="E366" s="28">
        <v>2017</v>
      </c>
      <c r="F366" s="28">
        <f>MATCH(DaybyDay[[#This Row],[RowMonth]],Table3[SummaryMonth],0)</f>
        <v>12</v>
      </c>
      <c r="G366" s="29" t="e">
        <f>MATCH(DaybyDay[[#This Row],[LY-Date]],DaybyDay[Date],0)</f>
        <v>#N/A</v>
      </c>
      <c r="H366" s="30">
        <f>WEEKDAY(DaybyDay[[#This Row],[Date]])</f>
        <v>3</v>
      </c>
      <c r="I366" s="31">
        <v>43095</v>
      </c>
      <c r="J366" s="74">
        <v>18</v>
      </c>
      <c r="K366" s="32">
        <f>SUMIFS(BudgetSeasonality[365 Seasonality],BudgetSeasonality[MonthAdjustment],DaybyDay[[#This Row],[Date]])*SUMIFS(Budgets[Service-Budget],Budgets[BudgetMonth],DaybyDay[[#This Row],[RowMonth]],Budgets[BudgetYear],DaybyDay[[#This Row],[RowYear]])</f>
        <v>0</v>
      </c>
      <c r="L366" s="75">
        <v>3622</v>
      </c>
      <c r="M366" s="32">
        <f>INDEX(BudgetSeasonality[365 Seasonality],MATCH(DaybyDay[[#This Row],[Date]],BudgetSeasonality[MonthAdjustment],0))*SUMIFS(Budgets[Retail-Budget],Budgets[BudgetMonth],DaybyDay[[#This Row],[RowMonth]],Budgets[BudgetYear],DaybyDay[[#This Row],[RowYear]])</f>
        <v>0</v>
      </c>
      <c r="N366" s="75">
        <v>263</v>
      </c>
      <c r="O366" s="33">
        <f>SUMIFS(DaybyDay[Service-Budgets],DaybyDay[Date],"&gt;="&amp;$C$5,DaybyDay[RowYear],"&gt;="&amp;$C$4,DaybyDay[Date],"&lt;="&amp;DaybyDay[[#This Row],[Date]])</f>
        <v>0</v>
      </c>
      <c r="P366" s="33">
        <f>SUMIFS(DaybyDay[Retail-Budgets],DaybyDay[Date],"&gt;="&amp;$C$5,DaybyDay[RowYear],"&gt;="&amp;$C$4,DaybyDay[Date],"&lt;="&amp;DaybyDay[[#This Row],[Date]])</f>
        <v>0</v>
      </c>
      <c r="Q366" s="34">
        <f>SUMIFS(DaybyDay[Service-Actuals],DaybyDay[Date],"&gt;="&amp;$C$5,DaybyDay[RowYear],"&gt;="&amp;$C$4,DaybyDay[Date],"&lt;="&amp;DaybyDay[[#This Row],[Date]])</f>
        <v>0</v>
      </c>
      <c r="R366" s="34">
        <f>SUMIFS(DaybyDay[Retail-Actuals],DaybyDay[Date],"&gt;="&amp;$C$5,DaybyDay[RowYear],"&gt;="&amp;$C$4,DaybyDay[Date],"&lt;="&amp;DaybyDay[[#This Row],[Date]])</f>
        <v>0</v>
      </c>
      <c r="S366" s="35">
        <f>SUMIFS(DaybyDay[Service-LY],DaybyDay[Date],"&gt;="&amp;$C$5,DaybyDay[RowYear],"&gt;="&amp;$C$4,DaybyDay[Date],"&lt;="&amp;DaybyDay[[#This Row],[Date]])</f>
        <v>0</v>
      </c>
      <c r="T366" s="35">
        <f>SUMIFS(DaybyDay[Retail-LY],DaybyDay[Date],"&gt;="&amp;$C$5,DaybyDay[RowYear],"&gt;="&amp;$C$4,DaybyDay[Date],"&lt;="&amp;DaybyDay[[#This Row],[Date]])</f>
        <v>0</v>
      </c>
      <c r="U366" s="32">
        <f>DaybyDay[[#This Row],[Serv-Bud-RU]]+DaybyDay[[#This Row],[Ret-Bud-RU]]</f>
        <v>0</v>
      </c>
      <c r="V366" s="32">
        <f>DaybyDay[[#This Row],[Serv-Act-RU]]+DaybyDay[[#This Row],[Ret-Act-RU]]</f>
        <v>0</v>
      </c>
      <c r="W366" s="36">
        <f>IF(DaybyDay[[#This Row],[_Space]],IFERROR(
((DaybyDay[[#This Row],[Actual-Rollup]]-DaybyDay[[#This Row],[Budget-Rollup]])/DaybyDay[[#This Row],[Budget-Rollup]]),0),"")</f>
        <v>0</v>
      </c>
      <c r="X366" t="b">
        <f>NOT(AND(ISBLANK(DaybyDay[[#This Row],[Appts]]),ISBLANK(DaybyDay[[#This Row],[Service-Actuals]]),ISBLANK(DaybyDay[[#This Row],[Retail-Actuals]])))</f>
        <v>1</v>
      </c>
      <c r="Y366" s="36">
        <f>IF(DaybyDay[[#This Row],[_Space]],IFERROR(
((DaybyDay[[#This Row],[Actual-Rollup]]-DaybyDay[[#This Row],[LY-Rollup]])/DaybyDay[[#This Row],[LY-Rollup]]),0),"")</f>
        <v>0</v>
      </c>
      <c r="Z366"/>
      <c r="AA366" s="37" t="e">
        <f>IF(DaybyDay[[#This Row],[_Space]],DaybyDay[[#This Row],[Ret-Act-RU]]/DaybyDay[[#This Row],[Serv-Act-RU]],"")</f>
        <v>#DIV/0!</v>
      </c>
      <c r="AB366" s="50" t="e">
        <f>IF(DaybyDay[[#This Row],[_Space]],DaybyDay[[#This Row],[RETPEN-Act]]/DaybyDay[[#This Row],[RETPEN-Bud]],"")</f>
        <v>#DIV/0!</v>
      </c>
      <c r="AC366" s="37" t="e">
        <f>IF(DaybyDay[[#This Row],[_Space]],DaybyDay[[#This Row],[Ret-Bud-RU]]/DaybyDay[[#This Row],[Serv-Bud-RU]],"")</f>
        <v>#DIV/0!</v>
      </c>
      <c r="AD366" s="37" t="e">
        <f>IF(DaybyDay[[#This Row],[_Space]],DaybyDay[[#This Row],[Ret-LY-RU]]/DaybyDay[[#This Row],[Serv-LY-RU]],"")</f>
        <v>#DIV/0!</v>
      </c>
      <c r="AE366" s="30">
        <f>WEEKDAY(DaybyDay[[#This Row],[LY-Date]])</f>
        <v>3</v>
      </c>
      <c r="AF366" s="38">
        <f>$E$2+_xlfn.DAYS(DaybyDay[[#This Row],[Date]],minDate)</f>
        <v>42731</v>
      </c>
      <c r="AG366" s="39" t="str" cm="1">
        <f t="array" ref="AG366">IFERROR(INDEX(DaybyDay[],DaybyDay[[#This Row],[FORM_MATCH_HELPER]],8),"")</f>
        <v/>
      </c>
      <c r="AH366" s="39" t="str" cm="1">
        <f t="array" ref="AH366">IFERROR(INDEX(DaybyDay[],DaybyDay[[#This Row],[FORM_MATCH_HELPER]],10),"")</f>
        <v/>
      </c>
      <c r="AI366" s="39" t="str" cm="1">
        <f t="array" ref="AI366">IFERROR(INDEX(DaybyDay[],DaybyDay[[#This Row],[FORM_MATCH_HELPER]],12),"")</f>
        <v/>
      </c>
      <c r="AJ366" s="32">
        <f>IFERROR(DaybyDay[[#This Row],[Serv-LY-RU]]+DaybyDay[[#This Row],[Ret-LY-RU]],"")</f>
        <v>0</v>
      </c>
      <c r="AK3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6" s="77"/>
      <c r="AM366" s="40" t="str">
        <f>IF(DaybyDay[[#This Row],[Admin Hours]]&gt;0,DaybyDay[[#This Row],[Admin Hours]]*$AM$2+$AM$3,"")</f>
        <v/>
      </c>
      <c r="AN366" s="40">
        <f>SUMIFS(DaybyDay[Est-Admin-Payroll],DaybyDay[Date],"&gt;="&amp;$C$5,DaybyDay[RowYear],"&gt;="&amp;$C$4,DaybyDay[Date],"&lt;="&amp;DaybyDay[[#This Row],[Date]])</f>
        <v>0</v>
      </c>
      <c r="AO366" s="41" t="str">
        <f>IF(AND(DaybyDay[[#This Row],[_Space]],ISNUMBER(DaybyDay[[#This Row],[Admin Hours]])),DaybyDay[[#This Row],[Est-Admin-Payroll]]/(DaybyDay[[#This Row],[Service-Actuals]]+DaybyDay[[#This Row],[Retail-Actuals]]),"")</f>
        <v/>
      </c>
      <c r="AP366" s="41" t="e">
        <f>DaybyDay[[#This Row],[Estimated-Payroll-Rollup]]/DaybyDay[[#This Row],[Simple-Forecast]]</f>
        <v>#DIV/0!</v>
      </c>
      <c r="AQ3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6" s="77"/>
      <c r="AS366" s="40" t="str">
        <f>IF(DaybyDay[[#This Row],[Retail Hours]]&gt;0,DaybyDay[[#This Row],[Retail Hours]]*$AS$2,"")</f>
        <v/>
      </c>
      <c r="AT366" s="40">
        <f>SUMIFS(DaybyDay[Est-Retail-Payroll],DaybyDay[Date],"&gt;="&amp;$C$5,DaybyDay[RowYear],"&gt;="&amp;$C$4,DaybyDay[Date],"&lt;="&amp;DaybyDay[[#This Row],[Date]])</f>
        <v>0</v>
      </c>
      <c r="AU366" s="82" t="str">
        <f>IF(AND(DaybyDay[[#This Row],[_Space]],ISNUMBER(DaybyDay[[#This Row],[Retail Hours]])),DaybyDay[[#This Row],[Est-Retail-Payroll]]/(DaybyDay[[#This Row],[Retail-Actuals]]),"")</f>
        <v/>
      </c>
      <c r="AV366" s="82" t="e">
        <f>DaybyDay[[#This Row],[Est-Retail-PayrollRU]]/DaybyDay[[#This Row],[Simple-Forecast-Retail]]</f>
        <v>#DIV/0!</v>
      </c>
      <c r="AW366" s="8"/>
    </row>
    <row r="367" spans="3:49" hidden="1" x14ac:dyDescent="0.25">
      <c r="C367" s="26" t="str">
        <f>Tools!$C$1</f>
        <v>Example</v>
      </c>
      <c r="D367" s="27" t="s">
        <v>79</v>
      </c>
      <c r="E367" s="28">
        <v>2017</v>
      </c>
      <c r="F367" s="28">
        <f>MATCH(DaybyDay[[#This Row],[RowMonth]],Table3[SummaryMonth],0)</f>
        <v>12</v>
      </c>
      <c r="G367" s="29" t="e">
        <f>MATCH(DaybyDay[[#This Row],[LY-Date]],DaybyDay[Date],0)</f>
        <v>#N/A</v>
      </c>
      <c r="H367" s="30">
        <f>WEEKDAY(DaybyDay[[#This Row],[Date]])</f>
        <v>4</v>
      </c>
      <c r="I367" s="31">
        <v>43096</v>
      </c>
      <c r="J367" s="74">
        <v>27</v>
      </c>
      <c r="K367" s="32">
        <f>SUMIFS(BudgetSeasonality[365 Seasonality],BudgetSeasonality[MonthAdjustment],DaybyDay[[#This Row],[Date]])*SUMIFS(Budgets[Service-Budget],Budgets[BudgetMonth],DaybyDay[[#This Row],[RowMonth]],Budgets[BudgetYear],DaybyDay[[#This Row],[RowYear]])</f>
        <v>0</v>
      </c>
      <c r="L367" s="75">
        <v>6072.5</v>
      </c>
      <c r="M367" s="32">
        <f>INDEX(BudgetSeasonality[365 Seasonality],MATCH(DaybyDay[[#This Row],[Date]],BudgetSeasonality[MonthAdjustment],0))*SUMIFS(Budgets[Retail-Budget],Budgets[BudgetMonth],DaybyDay[[#This Row],[RowMonth]],Budgets[BudgetYear],DaybyDay[[#This Row],[RowYear]])</f>
        <v>0</v>
      </c>
      <c r="N367" s="75">
        <v>2511.5</v>
      </c>
      <c r="O367" s="33">
        <f>SUMIFS(DaybyDay[Service-Budgets],DaybyDay[Date],"&gt;="&amp;$C$5,DaybyDay[RowYear],"&gt;="&amp;$C$4,DaybyDay[Date],"&lt;="&amp;DaybyDay[[#This Row],[Date]])</f>
        <v>0</v>
      </c>
      <c r="P367" s="33">
        <f>SUMIFS(DaybyDay[Retail-Budgets],DaybyDay[Date],"&gt;="&amp;$C$5,DaybyDay[RowYear],"&gt;="&amp;$C$4,DaybyDay[Date],"&lt;="&amp;DaybyDay[[#This Row],[Date]])</f>
        <v>0</v>
      </c>
      <c r="Q367" s="34">
        <f>SUMIFS(DaybyDay[Service-Actuals],DaybyDay[Date],"&gt;="&amp;$C$5,DaybyDay[RowYear],"&gt;="&amp;$C$4,DaybyDay[Date],"&lt;="&amp;DaybyDay[[#This Row],[Date]])</f>
        <v>0</v>
      </c>
      <c r="R367" s="34">
        <f>SUMIFS(DaybyDay[Retail-Actuals],DaybyDay[Date],"&gt;="&amp;$C$5,DaybyDay[RowYear],"&gt;="&amp;$C$4,DaybyDay[Date],"&lt;="&amp;DaybyDay[[#This Row],[Date]])</f>
        <v>0</v>
      </c>
      <c r="S367" s="35">
        <f>SUMIFS(DaybyDay[Service-LY],DaybyDay[Date],"&gt;="&amp;$C$5,DaybyDay[RowYear],"&gt;="&amp;$C$4,DaybyDay[Date],"&lt;="&amp;DaybyDay[[#This Row],[Date]])</f>
        <v>0</v>
      </c>
      <c r="T367" s="35">
        <f>SUMIFS(DaybyDay[Retail-LY],DaybyDay[Date],"&gt;="&amp;$C$5,DaybyDay[RowYear],"&gt;="&amp;$C$4,DaybyDay[Date],"&lt;="&amp;DaybyDay[[#This Row],[Date]])</f>
        <v>0</v>
      </c>
      <c r="U367" s="32">
        <f>DaybyDay[[#This Row],[Serv-Bud-RU]]+DaybyDay[[#This Row],[Ret-Bud-RU]]</f>
        <v>0</v>
      </c>
      <c r="V367" s="32">
        <f>DaybyDay[[#This Row],[Serv-Act-RU]]+DaybyDay[[#This Row],[Ret-Act-RU]]</f>
        <v>0</v>
      </c>
      <c r="W367" s="36">
        <f>IF(DaybyDay[[#This Row],[_Space]],IFERROR(
((DaybyDay[[#This Row],[Actual-Rollup]]-DaybyDay[[#This Row],[Budget-Rollup]])/DaybyDay[[#This Row],[Budget-Rollup]]),0),"")</f>
        <v>0</v>
      </c>
      <c r="X367" t="b">
        <f>NOT(AND(ISBLANK(DaybyDay[[#This Row],[Appts]]),ISBLANK(DaybyDay[[#This Row],[Service-Actuals]]),ISBLANK(DaybyDay[[#This Row],[Retail-Actuals]])))</f>
        <v>1</v>
      </c>
      <c r="Y367" s="36">
        <f>IF(DaybyDay[[#This Row],[_Space]],IFERROR(
((DaybyDay[[#This Row],[Actual-Rollup]]-DaybyDay[[#This Row],[LY-Rollup]])/DaybyDay[[#This Row],[LY-Rollup]]),0),"")</f>
        <v>0</v>
      </c>
      <c r="Z367"/>
      <c r="AA367" s="37" t="e">
        <f>IF(DaybyDay[[#This Row],[_Space]],DaybyDay[[#This Row],[Ret-Act-RU]]/DaybyDay[[#This Row],[Serv-Act-RU]],"")</f>
        <v>#DIV/0!</v>
      </c>
      <c r="AB367" s="50" t="e">
        <f>IF(DaybyDay[[#This Row],[_Space]],DaybyDay[[#This Row],[RETPEN-Act]]/DaybyDay[[#This Row],[RETPEN-Bud]],"")</f>
        <v>#DIV/0!</v>
      </c>
      <c r="AC367" s="37" t="e">
        <f>IF(DaybyDay[[#This Row],[_Space]],DaybyDay[[#This Row],[Ret-Bud-RU]]/DaybyDay[[#This Row],[Serv-Bud-RU]],"")</f>
        <v>#DIV/0!</v>
      </c>
      <c r="AD367" s="37" t="e">
        <f>IF(DaybyDay[[#This Row],[_Space]],DaybyDay[[#This Row],[Ret-LY-RU]]/DaybyDay[[#This Row],[Serv-LY-RU]],"")</f>
        <v>#DIV/0!</v>
      </c>
      <c r="AE367" s="30">
        <f>WEEKDAY(DaybyDay[[#This Row],[LY-Date]])</f>
        <v>4</v>
      </c>
      <c r="AF367" s="38">
        <f>$E$2+_xlfn.DAYS(DaybyDay[[#This Row],[Date]],minDate)</f>
        <v>42732</v>
      </c>
      <c r="AG367" s="39" t="str" cm="1">
        <f t="array" ref="AG367">IFERROR(INDEX(DaybyDay[],DaybyDay[[#This Row],[FORM_MATCH_HELPER]],8),"")</f>
        <v/>
      </c>
      <c r="AH367" s="39" t="str" cm="1">
        <f t="array" ref="AH367">IFERROR(INDEX(DaybyDay[],DaybyDay[[#This Row],[FORM_MATCH_HELPER]],10),"")</f>
        <v/>
      </c>
      <c r="AI367" s="39" t="str" cm="1">
        <f t="array" ref="AI367">IFERROR(INDEX(DaybyDay[],DaybyDay[[#This Row],[FORM_MATCH_HELPER]],12),"")</f>
        <v/>
      </c>
      <c r="AJ367" s="32">
        <f>IFERROR(DaybyDay[[#This Row],[Serv-LY-RU]]+DaybyDay[[#This Row],[Ret-LY-RU]],"")</f>
        <v>0</v>
      </c>
      <c r="AK3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7" s="77"/>
      <c r="AM367" s="40" t="str">
        <f>IF(DaybyDay[[#This Row],[Admin Hours]]&gt;0,DaybyDay[[#This Row],[Admin Hours]]*$AM$2+$AM$3,"")</f>
        <v/>
      </c>
      <c r="AN367" s="40">
        <f>SUMIFS(DaybyDay[Est-Admin-Payroll],DaybyDay[Date],"&gt;="&amp;$C$5,DaybyDay[RowYear],"&gt;="&amp;$C$4,DaybyDay[Date],"&lt;="&amp;DaybyDay[[#This Row],[Date]])</f>
        <v>0</v>
      </c>
      <c r="AO367" s="41" t="str">
        <f>IF(AND(DaybyDay[[#This Row],[_Space]],ISNUMBER(DaybyDay[[#This Row],[Admin Hours]])),DaybyDay[[#This Row],[Est-Admin-Payroll]]/(DaybyDay[[#This Row],[Service-Actuals]]+DaybyDay[[#This Row],[Retail-Actuals]]),"")</f>
        <v/>
      </c>
      <c r="AP367" s="41" t="e">
        <f>DaybyDay[[#This Row],[Estimated-Payroll-Rollup]]/DaybyDay[[#This Row],[Simple-Forecast]]</f>
        <v>#DIV/0!</v>
      </c>
      <c r="AQ3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7" s="77"/>
      <c r="AS367" s="40" t="str">
        <f>IF(DaybyDay[[#This Row],[Retail Hours]]&gt;0,DaybyDay[[#This Row],[Retail Hours]]*$AS$2,"")</f>
        <v/>
      </c>
      <c r="AT367" s="40">
        <f>SUMIFS(DaybyDay[Est-Retail-Payroll],DaybyDay[Date],"&gt;="&amp;$C$5,DaybyDay[RowYear],"&gt;="&amp;$C$4,DaybyDay[Date],"&lt;="&amp;DaybyDay[[#This Row],[Date]])</f>
        <v>0</v>
      </c>
      <c r="AU367" s="82" t="str">
        <f>IF(AND(DaybyDay[[#This Row],[_Space]],ISNUMBER(DaybyDay[[#This Row],[Retail Hours]])),DaybyDay[[#This Row],[Est-Retail-Payroll]]/(DaybyDay[[#This Row],[Retail-Actuals]]),"")</f>
        <v/>
      </c>
      <c r="AV367" s="82" t="e">
        <f>DaybyDay[[#This Row],[Est-Retail-PayrollRU]]/DaybyDay[[#This Row],[Simple-Forecast-Retail]]</f>
        <v>#DIV/0!</v>
      </c>
      <c r="AW367" s="8"/>
    </row>
    <row r="368" spans="3:49" hidden="1" x14ac:dyDescent="0.25">
      <c r="C368" s="26" t="str">
        <f>Tools!$C$1</f>
        <v>Example</v>
      </c>
      <c r="D368" s="27" t="s">
        <v>79</v>
      </c>
      <c r="E368" s="28">
        <v>2017</v>
      </c>
      <c r="F368" s="28">
        <f>MATCH(DaybyDay[[#This Row],[RowMonth]],Table3[SummaryMonth],0)</f>
        <v>12</v>
      </c>
      <c r="G368" s="29" t="e">
        <f>MATCH(DaybyDay[[#This Row],[LY-Date]],DaybyDay[Date],0)</f>
        <v>#N/A</v>
      </c>
      <c r="H368" s="30">
        <f>WEEKDAY(DaybyDay[[#This Row],[Date]])</f>
        <v>5</v>
      </c>
      <c r="I368" s="31">
        <v>43097</v>
      </c>
      <c r="J368" s="74">
        <v>35</v>
      </c>
      <c r="K368" s="32">
        <f>SUMIFS(BudgetSeasonality[365 Seasonality],BudgetSeasonality[MonthAdjustment],DaybyDay[[#This Row],[Date]])*SUMIFS(Budgets[Service-Budget],Budgets[BudgetMonth],DaybyDay[[#This Row],[RowMonth]],Budgets[BudgetYear],DaybyDay[[#This Row],[RowYear]])</f>
        <v>0</v>
      </c>
      <c r="L368" s="75">
        <v>7769.33</v>
      </c>
      <c r="M368" s="32">
        <f>INDEX(BudgetSeasonality[365 Seasonality],MATCH(DaybyDay[[#This Row],[Date]],BudgetSeasonality[MonthAdjustment],0))*SUMIFS(Budgets[Retail-Budget],Budgets[BudgetMonth],DaybyDay[[#This Row],[RowMonth]],Budgets[BudgetYear],DaybyDay[[#This Row],[RowYear]])</f>
        <v>0</v>
      </c>
      <c r="N368" s="75">
        <v>1559</v>
      </c>
      <c r="O368" s="33">
        <f>SUMIFS(DaybyDay[Service-Budgets],DaybyDay[Date],"&gt;="&amp;$C$5,DaybyDay[RowYear],"&gt;="&amp;$C$4,DaybyDay[Date],"&lt;="&amp;DaybyDay[[#This Row],[Date]])</f>
        <v>0</v>
      </c>
      <c r="P368" s="33">
        <f>SUMIFS(DaybyDay[Retail-Budgets],DaybyDay[Date],"&gt;="&amp;$C$5,DaybyDay[RowYear],"&gt;="&amp;$C$4,DaybyDay[Date],"&lt;="&amp;DaybyDay[[#This Row],[Date]])</f>
        <v>0</v>
      </c>
      <c r="Q368" s="34">
        <f>SUMIFS(DaybyDay[Service-Actuals],DaybyDay[Date],"&gt;="&amp;$C$5,DaybyDay[RowYear],"&gt;="&amp;$C$4,DaybyDay[Date],"&lt;="&amp;DaybyDay[[#This Row],[Date]])</f>
        <v>0</v>
      </c>
      <c r="R368" s="34">
        <f>SUMIFS(DaybyDay[Retail-Actuals],DaybyDay[Date],"&gt;="&amp;$C$5,DaybyDay[RowYear],"&gt;="&amp;$C$4,DaybyDay[Date],"&lt;="&amp;DaybyDay[[#This Row],[Date]])</f>
        <v>0</v>
      </c>
      <c r="S368" s="35">
        <f>SUMIFS(DaybyDay[Service-LY],DaybyDay[Date],"&gt;="&amp;$C$5,DaybyDay[RowYear],"&gt;="&amp;$C$4,DaybyDay[Date],"&lt;="&amp;DaybyDay[[#This Row],[Date]])</f>
        <v>0</v>
      </c>
      <c r="T368" s="35">
        <f>SUMIFS(DaybyDay[Retail-LY],DaybyDay[Date],"&gt;="&amp;$C$5,DaybyDay[RowYear],"&gt;="&amp;$C$4,DaybyDay[Date],"&lt;="&amp;DaybyDay[[#This Row],[Date]])</f>
        <v>0</v>
      </c>
      <c r="U368" s="32">
        <f>DaybyDay[[#This Row],[Serv-Bud-RU]]+DaybyDay[[#This Row],[Ret-Bud-RU]]</f>
        <v>0</v>
      </c>
      <c r="V368" s="32">
        <f>DaybyDay[[#This Row],[Serv-Act-RU]]+DaybyDay[[#This Row],[Ret-Act-RU]]</f>
        <v>0</v>
      </c>
      <c r="W368" s="36">
        <f>IF(DaybyDay[[#This Row],[_Space]],IFERROR(
((DaybyDay[[#This Row],[Actual-Rollup]]-DaybyDay[[#This Row],[Budget-Rollup]])/DaybyDay[[#This Row],[Budget-Rollup]]),0),"")</f>
        <v>0</v>
      </c>
      <c r="X368" t="b">
        <f>NOT(AND(ISBLANK(DaybyDay[[#This Row],[Appts]]),ISBLANK(DaybyDay[[#This Row],[Service-Actuals]]),ISBLANK(DaybyDay[[#This Row],[Retail-Actuals]])))</f>
        <v>1</v>
      </c>
      <c r="Y368" s="36">
        <f>IF(DaybyDay[[#This Row],[_Space]],IFERROR(
((DaybyDay[[#This Row],[Actual-Rollup]]-DaybyDay[[#This Row],[LY-Rollup]])/DaybyDay[[#This Row],[LY-Rollup]]),0),"")</f>
        <v>0</v>
      </c>
      <c r="Z368"/>
      <c r="AA368" s="37" t="e">
        <f>IF(DaybyDay[[#This Row],[_Space]],DaybyDay[[#This Row],[Ret-Act-RU]]/DaybyDay[[#This Row],[Serv-Act-RU]],"")</f>
        <v>#DIV/0!</v>
      </c>
      <c r="AB368" s="50" t="e">
        <f>IF(DaybyDay[[#This Row],[_Space]],DaybyDay[[#This Row],[RETPEN-Act]]/DaybyDay[[#This Row],[RETPEN-Bud]],"")</f>
        <v>#DIV/0!</v>
      </c>
      <c r="AC368" s="37" t="e">
        <f>IF(DaybyDay[[#This Row],[_Space]],DaybyDay[[#This Row],[Ret-Bud-RU]]/DaybyDay[[#This Row],[Serv-Bud-RU]],"")</f>
        <v>#DIV/0!</v>
      </c>
      <c r="AD368" s="37" t="e">
        <f>IF(DaybyDay[[#This Row],[_Space]],DaybyDay[[#This Row],[Ret-LY-RU]]/DaybyDay[[#This Row],[Serv-LY-RU]],"")</f>
        <v>#DIV/0!</v>
      </c>
      <c r="AE368" s="30">
        <f>WEEKDAY(DaybyDay[[#This Row],[LY-Date]])</f>
        <v>5</v>
      </c>
      <c r="AF368" s="38">
        <f>$E$2+_xlfn.DAYS(DaybyDay[[#This Row],[Date]],minDate)</f>
        <v>42733</v>
      </c>
      <c r="AG368" s="39" t="str" cm="1">
        <f t="array" ref="AG368">IFERROR(INDEX(DaybyDay[],DaybyDay[[#This Row],[FORM_MATCH_HELPER]],8),"")</f>
        <v/>
      </c>
      <c r="AH368" s="39" t="str" cm="1">
        <f t="array" ref="AH368">IFERROR(INDEX(DaybyDay[],DaybyDay[[#This Row],[FORM_MATCH_HELPER]],10),"")</f>
        <v/>
      </c>
      <c r="AI368" s="39" t="str" cm="1">
        <f t="array" ref="AI368">IFERROR(INDEX(DaybyDay[],DaybyDay[[#This Row],[FORM_MATCH_HELPER]],12),"")</f>
        <v/>
      </c>
      <c r="AJ368" s="32">
        <f>IFERROR(DaybyDay[[#This Row],[Serv-LY-RU]]+DaybyDay[[#This Row],[Ret-LY-RU]],"")</f>
        <v>0</v>
      </c>
      <c r="AK3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8" s="77"/>
      <c r="AM368" s="40" t="str">
        <f>IF(DaybyDay[[#This Row],[Admin Hours]]&gt;0,DaybyDay[[#This Row],[Admin Hours]]*$AM$2+$AM$3,"")</f>
        <v/>
      </c>
      <c r="AN368" s="40">
        <f>SUMIFS(DaybyDay[Est-Admin-Payroll],DaybyDay[Date],"&gt;="&amp;$C$5,DaybyDay[RowYear],"&gt;="&amp;$C$4,DaybyDay[Date],"&lt;="&amp;DaybyDay[[#This Row],[Date]])</f>
        <v>0</v>
      </c>
      <c r="AO368" s="41" t="str">
        <f>IF(AND(DaybyDay[[#This Row],[_Space]],ISNUMBER(DaybyDay[[#This Row],[Admin Hours]])),DaybyDay[[#This Row],[Est-Admin-Payroll]]/(DaybyDay[[#This Row],[Service-Actuals]]+DaybyDay[[#This Row],[Retail-Actuals]]),"")</f>
        <v/>
      </c>
      <c r="AP368" s="41" t="e">
        <f>DaybyDay[[#This Row],[Estimated-Payroll-Rollup]]/DaybyDay[[#This Row],[Simple-Forecast]]</f>
        <v>#DIV/0!</v>
      </c>
      <c r="AQ3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8" s="77"/>
      <c r="AS368" s="40" t="str">
        <f>IF(DaybyDay[[#This Row],[Retail Hours]]&gt;0,DaybyDay[[#This Row],[Retail Hours]]*$AS$2,"")</f>
        <v/>
      </c>
      <c r="AT368" s="40">
        <f>SUMIFS(DaybyDay[Est-Retail-Payroll],DaybyDay[Date],"&gt;="&amp;$C$5,DaybyDay[RowYear],"&gt;="&amp;$C$4,DaybyDay[Date],"&lt;="&amp;DaybyDay[[#This Row],[Date]])</f>
        <v>0</v>
      </c>
      <c r="AU368" s="82" t="str">
        <f>IF(AND(DaybyDay[[#This Row],[_Space]],ISNUMBER(DaybyDay[[#This Row],[Retail Hours]])),DaybyDay[[#This Row],[Est-Retail-Payroll]]/(DaybyDay[[#This Row],[Retail-Actuals]]),"")</f>
        <v/>
      </c>
      <c r="AV368" s="82" t="e">
        <f>DaybyDay[[#This Row],[Est-Retail-PayrollRU]]/DaybyDay[[#This Row],[Simple-Forecast-Retail]]</f>
        <v>#DIV/0!</v>
      </c>
      <c r="AW368" s="8"/>
    </row>
    <row r="369" spans="3:49" hidden="1" x14ac:dyDescent="0.25">
      <c r="C369" s="26" t="str">
        <f>Tools!$C$1</f>
        <v>Example</v>
      </c>
      <c r="D369" s="27" t="s">
        <v>79</v>
      </c>
      <c r="E369" s="28">
        <v>2017</v>
      </c>
      <c r="F369" s="28">
        <f>MATCH(DaybyDay[[#This Row],[RowMonth]],Table3[SummaryMonth],0)</f>
        <v>12</v>
      </c>
      <c r="G369" s="29" t="e">
        <f>MATCH(DaybyDay[[#This Row],[LY-Date]],DaybyDay[Date],0)</f>
        <v>#N/A</v>
      </c>
      <c r="H369" s="30">
        <f>WEEKDAY(DaybyDay[[#This Row],[Date]])</f>
        <v>6</v>
      </c>
      <c r="I369" s="31">
        <v>43098</v>
      </c>
      <c r="J369" s="74">
        <v>40</v>
      </c>
      <c r="K369" s="32">
        <f>SUMIFS(BudgetSeasonality[365 Seasonality],BudgetSeasonality[MonthAdjustment],DaybyDay[[#This Row],[Date]])*SUMIFS(Budgets[Service-Budget],Budgets[BudgetMonth],DaybyDay[[#This Row],[RowMonth]],Budgets[BudgetYear],DaybyDay[[#This Row],[RowYear]])</f>
        <v>0</v>
      </c>
      <c r="L369" s="75">
        <v>9815.1</v>
      </c>
      <c r="M369" s="32">
        <f>INDEX(BudgetSeasonality[365 Seasonality],MATCH(DaybyDay[[#This Row],[Date]],BudgetSeasonality[MonthAdjustment],0))*SUMIFS(Budgets[Retail-Budget],Budgets[BudgetMonth],DaybyDay[[#This Row],[RowMonth]],Budgets[BudgetYear],DaybyDay[[#This Row],[RowYear]])</f>
        <v>0</v>
      </c>
      <c r="N369" s="75">
        <v>1359</v>
      </c>
      <c r="O369" s="33">
        <f>SUMIFS(DaybyDay[Service-Budgets],DaybyDay[Date],"&gt;="&amp;$C$5,DaybyDay[RowYear],"&gt;="&amp;$C$4,DaybyDay[Date],"&lt;="&amp;DaybyDay[[#This Row],[Date]])</f>
        <v>0</v>
      </c>
      <c r="P369" s="33">
        <f>SUMIFS(DaybyDay[Retail-Budgets],DaybyDay[Date],"&gt;="&amp;$C$5,DaybyDay[RowYear],"&gt;="&amp;$C$4,DaybyDay[Date],"&lt;="&amp;DaybyDay[[#This Row],[Date]])</f>
        <v>0</v>
      </c>
      <c r="Q369" s="34">
        <f>SUMIFS(DaybyDay[Service-Actuals],DaybyDay[Date],"&gt;="&amp;$C$5,DaybyDay[RowYear],"&gt;="&amp;$C$4,DaybyDay[Date],"&lt;="&amp;DaybyDay[[#This Row],[Date]])</f>
        <v>0</v>
      </c>
      <c r="R369" s="34">
        <f>SUMIFS(DaybyDay[Retail-Actuals],DaybyDay[Date],"&gt;="&amp;$C$5,DaybyDay[RowYear],"&gt;="&amp;$C$4,DaybyDay[Date],"&lt;="&amp;DaybyDay[[#This Row],[Date]])</f>
        <v>0</v>
      </c>
      <c r="S369" s="35">
        <f>SUMIFS(DaybyDay[Service-LY],DaybyDay[Date],"&gt;="&amp;$C$5,DaybyDay[RowYear],"&gt;="&amp;$C$4,DaybyDay[Date],"&lt;="&amp;DaybyDay[[#This Row],[Date]])</f>
        <v>0</v>
      </c>
      <c r="T369" s="35">
        <f>SUMIFS(DaybyDay[Retail-LY],DaybyDay[Date],"&gt;="&amp;$C$5,DaybyDay[RowYear],"&gt;="&amp;$C$4,DaybyDay[Date],"&lt;="&amp;DaybyDay[[#This Row],[Date]])</f>
        <v>0</v>
      </c>
      <c r="U369" s="32">
        <f>DaybyDay[[#This Row],[Serv-Bud-RU]]+DaybyDay[[#This Row],[Ret-Bud-RU]]</f>
        <v>0</v>
      </c>
      <c r="V369" s="32">
        <f>DaybyDay[[#This Row],[Serv-Act-RU]]+DaybyDay[[#This Row],[Ret-Act-RU]]</f>
        <v>0</v>
      </c>
      <c r="W369" s="36">
        <f>IF(DaybyDay[[#This Row],[_Space]],IFERROR(
((DaybyDay[[#This Row],[Actual-Rollup]]-DaybyDay[[#This Row],[Budget-Rollup]])/DaybyDay[[#This Row],[Budget-Rollup]]),0),"")</f>
        <v>0</v>
      </c>
      <c r="X369" t="b">
        <f>NOT(AND(ISBLANK(DaybyDay[[#This Row],[Appts]]),ISBLANK(DaybyDay[[#This Row],[Service-Actuals]]),ISBLANK(DaybyDay[[#This Row],[Retail-Actuals]])))</f>
        <v>1</v>
      </c>
      <c r="Y369" s="36">
        <f>IF(DaybyDay[[#This Row],[_Space]],IFERROR(
((DaybyDay[[#This Row],[Actual-Rollup]]-DaybyDay[[#This Row],[LY-Rollup]])/DaybyDay[[#This Row],[LY-Rollup]]),0),"")</f>
        <v>0</v>
      </c>
      <c r="Z369"/>
      <c r="AA369" s="37" t="e">
        <f>IF(DaybyDay[[#This Row],[_Space]],DaybyDay[[#This Row],[Ret-Act-RU]]/DaybyDay[[#This Row],[Serv-Act-RU]],"")</f>
        <v>#DIV/0!</v>
      </c>
      <c r="AB369" s="50" t="e">
        <f>IF(DaybyDay[[#This Row],[_Space]],DaybyDay[[#This Row],[RETPEN-Act]]/DaybyDay[[#This Row],[RETPEN-Bud]],"")</f>
        <v>#DIV/0!</v>
      </c>
      <c r="AC369" s="37" t="e">
        <f>IF(DaybyDay[[#This Row],[_Space]],DaybyDay[[#This Row],[Ret-Bud-RU]]/DaybyDay[[#This Row],[Serv-Bud-RU]],"")</f>
        <v>#DIV/0!</v>
      </c>
      <c r="AD369" s="37" t="e">
        <f>IF(DaybyDay[[#This Row],[_Space]],DaybyDay[[#This Row],[Ret-LY-RU]]/DaybyDay[[#This Row],[Serv-LY-RU]],"")</f>
        <v>#DIV/0!</v>
      </c>
      <c r="AE369" s="30">
        <f>WEEKDAY(DaybyDay[[#This Row],[LY-Date]])</f>
        <v>6</v>
      </c>
      <c r="AF369" s="38">
        <f>$E$2+_xlfn.DAYS(DaybyDay[[#This Row],[Date]],minDate)</f>
        <v>42734</v>
      </c>
      <c r="AG369" s="39" t="str" cm="1">
        <f t="array" ref="AG369">IFERROR(INDEX(DaybyDay[],DaybyDay[[#This Row],[FORM_MATCH_HELPER]],8),"")</f>
        <v/>
      </c>
      <c r="AH369" s="39" t="str" cm="1">
        <f t="array" ref="AH369">IFERROR(INDEX(DaybyDay[],DaybyDay[[#This Row],[FORM_MATCH_HELPER]],10),"")</f>
        <v/>
      </c>
      <c r="AI369" s="39" t="str" cm="1">
        <f t="array" ref="AI369">IFERROR(INDEX(DaybyDay[],DaybyDay[[#This Row],[FORM_MATCH_HELPER]],12),"")</f>
        <v/>
      </c>
      <c r="AJ369" s="32">
        <f>IFERROR(DaybyDay[[#This Row],[Serv-LY-RU]]+DaybyDay[[#This Row],[Ret-LY-RU]],"")</f>
        <v>0</v>
      </c>
      <c r="AK3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69" s="77"/>
      <c r="AM369" s="40" t="str">
        <f>IF(DaybyDay[[#This Row],[Admin Hours]]&gt;0,DaybyDay[[#This Row],[Admin Hours]]*$AM$2+$AM$3,"")</f>
        <v/>
      </c>
      <c r="AN369" s="40">
        <f>SUMIFS(DaybyDay[Est-Admin-Payroll],DaybyDay[Date],"&gt;="&amp;$C$5,DaybyDay[RowYear],"&gt;="&amp;$C$4,DaybyDay[Date],"&lt;="&amp;DaybyDay[[#This Row],[Date]])</f>
        <v>0</v>
      </c>
      <c r="AO369" s="41" t="str">
        <f>IF(AND(DaybyDay[[#This Row],[_Space]],ISNUMBER(DaybyDay[[#This Row],[Admin Hours]])),DaybyDay[[#This Row],[Est-Admin-Payroll]]/(DaybyDay[[#This Row],[Service-Actuals]]+DaybyDay[[#This Row],[Retail-Actuals]]),"")</f>
        <v/>
      </c>
      <c r="AP369" s="41" t="e">
        <f>DaybyDay[[#This Row],[Estimated-Payroll-Rollup]]/DaybyDay[[#This Row],[Simple-Forecast]]</f>
        <v>#DIV/0!</v>
      </c>
      <c r="AQ3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69" s="77"/>
      <c r="AS369" s="40" t="str">
        <f>IF(DaybyDay[[#This Row],[Retail Hours]]&gt;0,DaybyDay[[#This Row],[Retail Hours]]*$AS$2,"")</f>
        <v/>
      </c>
      <c r="AT369" s="40">
        <f>SUMIFS(DaybyDay[Est-Retail-Payroll],DaybyDay[Date],"&gt;="&amp;$C$5,DaybyDay[RowYear],"&gt;="&amp;$C$4,DaybyDay[Date],"&lt;="&amp;DaybyDay[[#This Row],[Date]])</f>
        <v>0</v>
      </c>
      <c r="AU369" s="82" t="str">
        <f>IF(AND(DaybyDay[[#This Row],[_Space]],ISNUMBER(DaybyDay[[#This Row],[Retail Hours]])),DaybyDay[[#This Row],[Est-Retail-Payroll]]/(DaybyDay[[#This Row],[Retail-Actuals]]),"")</f>
        <v/>
      </c>
      <c r="AV369" s="82" t="e">
        <f>DaybyDay[[#This Row],[Est-Retail-PayrollRU]]/DaybyDay[[#This Row],[Simple-Forecast-Retail]]</f>
        <v>#DIV/0!</v>
      </c>
      <c r="AW369" s="8"/>
    </row>
    <row r="370" spans="3:49" hidden="1" x14ac:dyDescent="0.25">
      <c r="C370" s="26" t="str">
        <f>Tools!$C$1</f>
        <v>Example</v>
      </c>
      <c r="D370" s="27" t="s">
        <v>79</v>
      </c>
      <c r="E370" s="28">
        <v>2017</v>
      </c>
      <c r="F370" s="28">
        <f>MATCH(DaybyDay[[#This Row],[RowMonth]],Table3[SummaryMonth],0)</f>
        <v>12</v>
      </c>
      <c r="G370" s="29" t="e">
        <f>MATCH(DaybyDay[[#This Row],[LY-Date]],DaybyDay[Date],0)</f>
        <v>#N/A</v>
      </c>
      <c r="H370" s="30">
        <f>WEEKDAY(DaybyDay[[#This Row],[Date]])</f>
        <v>7</v>
      </c>
      <c r="I370" s="31">
        <v>43099</v>
      </c>
      <c r="J370" s="74">
        <v>21</v>
      </c>
      <c r="K370" s="32">
        <f>SUMIFS(BudgetSeasonality[365 Seasonality],BudgetSeasonality[MonthAdjustment],DaybyDay[[#This Row],[Date]])*SUMIFS(Budgets[Service-Budget],Budgets[BudgetMonth],DaybyDay[[#This Row],[RowMonth]],Budgets[BudgetYear],DaybyDay[[#This Row],[RowYear]])</f>
        <v>0</v>
      </c>
      <c r="L370" s="75">
        <v>5200</v>
      </c>
      <c r="M370" s="32">
        <f>INDEX(BudgetSeasonality[365 Seasonality],MATCH(DaybyDay[[#This Row],[Date]],BudgetSeasonality[MonthAdjustment],0))*SUMIFS(Budgets[Retail-Budget],Budgets[BudgetMonth],DaybyDay[[#This Row],[RowMonth]],Budgets[BudgetYear],DaybyDay[[#This Row],[RowYear]])</f>
        <v>0</v>
      </c>
      <c r="N370" s="75">
        <v>4635.5</v>
      </c>
      <c r="O370" s="33">
        <f>SUMIFS(DaybyDay[Service-Budgets],DaybyDay[Date],"&gt;="&amp;$C$5,DaybyDay[RowYear],"&gt;="&amp;$C$4,DaybyDay[Date],"&lt;="&amp;DaybyDay[[#This Row],[Date]])</f>
        <v>0</v>
      </c>
      <c r="P370" s="33">
        <f>SUMIFS(DaybyDay[Retail-Budgets],DaybyDay[Date],"&gt;="&amp;$C$5,DaybyDay[RowYear],"&gt;="&amp;$C$4,DaybyDay[Date],"&lt;="&amp;DaybyDay[[#This Row],[Date]])</f>
        <v>0</v>
      </c>
      <c r="Q370" s="34">
        <f>SUMIFS(DaybyDay[Service-Actuals],DaybyDay[Date],"&gt;="&amp;$C$5,DaybyDay[RowYear],"&gt;="&amp;$C$4,DaybyDay[Date],"&lt;="&amp;DaybyDay[[#This Row],[Date]])</f>
        <v>0</v>
      </c>
      <c r="R370" s="34">
        <f>SUMIFS(DaybyDay[Retail-Actuals],DaybyDay[Date],"&gt;="&amp;$C$5,DaybyDay[RowYear],"&gt;="&amp;$C$4,DaybyDay[Date],"&lt;="&amp;DaybyDay[[#This Row],[Date]])</f>
        <v>0</v>
      </c>
      <c r="S370" s="35">
        <f>SUMIFS(DaybyDay[Service-LY],DaybyDay[Date],"&gt;="&amp;$C$5,DaybyDay[RowYear],"&gt;="&amp;$C$4,DaybyDay[Date],"&lt;="&amp;DaybyDay[[#This Row],[Date]])</f>
        <v>0</v>
      </c>
      <c r="T370" s="35">
        <f>SUMIFS(DaybyDay[Retail-LY],DaybyDay[Date],"&gt;="&amp;$C$5,DaybyDay[RowYear],"&gt;="&amp;$C$4,DaybyDay[Date],"&lt;="&amp;DaybyDay[[#This Row],[Date]])</f>
        <v>0</v>
      </c>
      <c r="U370" s="32">
        <f>DaybyDay[[#This Row],[Serv-Bud-RU]]+DaybyDay[[#This Row],[Ret-Bud-RU]]</f>
        <v>0</v>
      </c>
      <c r="V370" s="32">
        <f>DaybyDay[[#This Row],[Serv-Act-RU]]+DaybyDay[[#This Row],[Ret-Act-RU]]</f>
        <v>0</v>
      </c>
      <c r="W370" s="36">
        <f>IF(DaybyDay[[#This Row],[_Space]],IFERROR(
((DaybyDay[[#This Row],[Actual-Rollup]]-DaybyDay[[#This Row],[Budget-Rollup]])/DaybyDay[[#This Row],[Budget-Rollup]]),0),"")</f>
        <v>0</v>
      </c>
      <c r="X370" t="b">
        <f>NOT(AND(ISBLANK(DaybyDay[[#This Row],[Appts]]),ISBLANK(DaybyDay[[#This Row],[Service-Actuals]]),ISBLANK(DaybyDay[[#This Row],[Retail-Actuals]])))</f>
        <v>1</v>
      </c>
      <c r="Y370" s="36">
        <f>IF(DaybyDay[[#This Row],[_Space]],IFERROR(
((DaybyDay[[#This Row],[Actual-Rollup]]-DaybyDay[[#This Row],[LY-Rollup]])/DaybyDay[[#This Row],[LY-Rollup]]),0),"")</f>
        <v>0</v>
      </c>
      <c r="Z370"/>
      <c r="AA370" s="37" t="e">
        <f>IF(DaybyDay[[#This Row],[_Space]],DaybyDay[[#This Row],[Ret-Act-RU]]/DaybyDay[[#This Row],[Serv-Act-RU]],"")</f>
        <v>#DIV/0!</v>
      </c>
      <c r="AB370" s="50" t="e">
        <f>IF(DaybyDay[[#This Row],[_Space]],DaybyDay[[#This Row],[RETPEN-Act]]/DaybyDay[[#This Row],[RETPEN-Bud]],"")</f>
        <v>#DIV/0!</v>
      </c>
      <c r="AC370" s="37" t="e">
        <f>IF(DaybyDay[[#This Row],[_Space]],DaybyDay[[#This Row],[Ret-Bud-RU]]/DaybyDay[[#This Row],[Serv-Bud-RU]],"")</f>
        <v>#DIV/0!</v>
      </c>
      <c r="AD370" s="37" t="e">
        <f>IF(DaybyDay[[#This Row],[_Space]],DaybyDay[[#This Row],[Ret-LY-RU]]/DaybyDay[[#This Row],[Serv-LY-RU]],"")</f>
        <v>#DIV/0!</v>
      </c>
      <c r="AE370" s="30">
        <f>WEEKDAY(DaybyDay[[#This Row],[LY-Date]])</f>
        <v>7</v>
      </c>
      <c r="AF370" s="38">
        <f>$E$2+_xlfn.DAYS(DaybyDay[[#This Row],[Date]],minDate)</f>
        <v>42735</v>
      </c>
      <c r="AG370" s="39" t="str" cm="1">
        <f t="array" ref="AG370">IFERROR(INDEX(DaybyDay[],DaybyDay[[#This Row],[FORM_MATCH_HELPER]],8),"")</f>
        <v/>
      </c>
      <c r="AH370" s="39" t="str" cm="1">
        <f t="array" ref="AH370">IFERROR(INDEX(DaybyDay[],DaybyDay[[#This Row],[FORM_MATCH_HELPER]],10),"")</f>
        <v/>
      </c>
      <c r="AI370" s="39" t="str" cm="1">
        <f t="array" ref="AI370">IFERROR(INDEX(DaybyDay[],DaybyDay[[#This Row],[FORM_MATCH_HELPER]],12),"")</f>
        <v/>
      </c>
      <c r="AJ370" s="32">
        <f>IFERROR(DaybyDay[[#This Row],[Serv-LY-RU]]+DaybyDay[[#This Row],[Ret-LY-RU]],"")</f>
        <v>0</v>
      </c>
      <c r="AK3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0" s="77"/>
      <c r="AM370" s="40" t="str">
        <f>IF(DaybyDay[[#This Row],[Admin Hours]]&gt;0,DaybyDay[[#This Row],[Admin Hours]]*$AM$2+$AM$3,"")</f>
        <v/>
      </c>
      <c r="AN370" s="40">
        <f>SUMIFS(DaybyDay[Est-Admin-Payroll],DaybyDay[Date],"&gt;="&amp;$C$5,DaybyDay[RowYear],"&gt;="&amp;$C$4,DaybyDay[Date],"&lt;="&amp;DaybyDay[[#This Row],[Date]])</f>
        <v>0</v>
      </c>
      <c r="AO370" s="41" t="str">
        <f>IF(AND(DaybyDay[[#This Row],[_Space]],ISNUMBER(DaybyDay[[#This Row],[Admin Hours]])),DaybyDay[[#This Row],[Est-Admin-Payroll]]/(DaybyDay[[#This Row],[Service-Actuals]]+DaybyDay[[#This Row],[Retail-Actuals]]),"")</f>
        <v/>
      </c>
      <c r="AP370" s="41" t="e">
        <f>DaybyDay[[#This Row],[Estimated-Payroll-Rollup]]/DaybyDay[[#This Row],[Simple-Forecast]]</f>
        <v>#DIV/0!</v>
      </c>
      <c r="AQ3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0" s="77"/>
      <c r="AS370" s="40" t="str">
        <f>IF(DaybyDay[[#This Row],[Retail Hours]]&gt;0,DaybyDay[[#This Row],[Retail Hours]]*$AS$2,"")</f>
        <v/>
      </c>
      <c r="AT370" s="40">
        <f>SUMIFS(DaybyDay[Est-Retail-Payroll],DaybyDay[Date],"&gt;="&amp;$C$5,DaybyDay[RowYear],"&gt;="&amp;$C$4,DaybyDay[Date],"&lt;="&amp;DaybyDay[[#This Row],[Date]])</f>
        <v>0</v>
      </c>
      <c r="AU370" s="82" t="str">
        <f>IF(AND(DaybyDay[[#This Row],[_Space]],ISNUMBER(DaybyDay[[#This Row],[Retail Hours]])),DaybyDay[[#This Row],[Est-Retail-Payroll]]/(DaybyDay[[#This Row],[Retail-Actuals]]),"")</f>
        <v/>
      </c>
      <c r="AV370" s="82" t="e">
        <f>DaybyDay[[#This Row],[Est-Retail-PayrollRU]]/DaybyDay[[#This Row],[Simple-Forecast-Retail]]</f>
        <v>#DIV/0!</v>
      </c>
      <c r="AW370" s="8"/>
    </row>
    <row r="371" spans="3:49" hidden="1" x14ac:dyDescent="0.25">
      <c r="C371" s="26" t="str">
        <f>Tools!$C$1</f>
        <v>Example</v>
      </c>
      <c r="D371" s="27" t="s">
        <v>79</v>
      </c>
      <c r="E371" s="28">
        <v>2017</v>
      </c>
      <c r="F371" s="28">
        <f>MATCH(DaybyDay[[#This Row],[RowMonth]],Table3[SummaryMonth],0)</f>
        <v>12</v>
      </c>
      <c r="G371" s="29">
        <f>MATCH(DaybyDay[[#This Row],[LY-Date]],DaybyDay[Date],0)</f>
        <v>1</v>
      </c>
      <c r="H371" s="30">
        <f>WEEKDAY(DaybyDay[[#This Row],[Date]])</f>
        <v>1</v>
      </c>
      <c r="I371" s="31">
        <v>43100</v>
      </c>
      <c r="J371" s="74">
        <v>17</v>
      </c>
      <c r="K371" s="32">
        <f>SUMIFS(BudgetSeasonality[365 Seasonality],BudgetSeasonality[MonthAdjustment],DaybyDay[[#This Row],[Date]])*SUMIFS(Budgets[Service-Budget],Budgets[BudgetMonth],DaybyDay[[#This Row],[RowMonth]],Budgets[BudgetYear],DaybyDay[[#This Row],[RowYear]])</f>
        <v>0</v>
      </c>
      <c r="L371" s="75">
        <v>4589</v>
      </c>
      <c r="M371" s="32">
        <f>INDEX(BudgetSeasonality[365 Seasonality],MATCH(DaybyDay[[#This Row],[Date]],BudgetSeasonality[MonthAdjustment],0))*SUMIFS(Budgets[Retail-Budget],Budgets[BudgetMonth],DaybyDay[[#This Row],[RowMonth]],Budgets[BudgetYear],DaybyDay[[#This Row],[RowYear]])</f>
        <v>0</v>
      </c>
      <c r="N371" s="75">
        <v>201</v>
      </c>
      <c r="O371" s="33">
        <f>SUMIFS(DaybyDay[Service-Budgets],DaybyDay[Date],"&gt;="&amp;$C$5,DaybyDay[RowYear],"&gt;="&amp;$C$4,DaybyDay[Date],"&lt;="&amp;DaybyDay[[#This Row],[Date]])</f>
        <v>0</v>
      </c>
      <c r="P371" s="33">
        <f>SUMIFS(DaybyDay[Retail-Budgets],DaybyDay[Date],"&gt;="&amp;$C$5,DaybyDay[RowYear],"&gt;="&amp;$C$4,DaybyDay[Date],"&lt;="&amp;DaybyDay[[#This Row],[Date]])</f>
        <v>0</v>
      </c>
      <c r="Q371" s="34">
        <f>SUMIFS(DaybyDay[Service-Actuals],DaybyDay[Date],"&gt;="&amp;$C$5,DaybyDay[RowYear],"&gt;="&amp;$C$4,DaybyDay[Date],"&lt;="&amp;DaybyDay[[#This Row],[Date]])</f>
        <v>0</v>
      </c>
      <c r="R371" s="34">
        <f>SUMIFS(DaybyDay[Retail-Actuals],DaybyDay[Date],"&gt;="&amp;$C$5,DaybyDay[RowYear],"&gt;="&amp;$C$4,DaybyDay[Date],"&lt;="&amp;DaybyDay[[#This Row],[Date]])</f>
        <v>0</v>
      </c>
      <c r="S371" s="35">
        <f>SUMIFS(DaybyDay[Service-LY],DaybyDay[Date],"&gt;="&amp;$C$5,DaybyDay[RowYear],"&gt;="&amp;$C$4,DaybyDay[Date],"&lt;="&amp;DaybyDay[[#This Row],[Date]])</f>
        <v>0</v>
      </c>
      <c r="T371" s="35">
        <f>SUMIFS(DaybyDay[Retail-LY],DaybyDay[Date],"&gt;="&amp;$C$5,DaybyDay[RowYear],"&gt;="&amp;$C$4,DaybyDay[Date],"&lt;="&amp;DaybyDay[[#This Row],[Date]])</f>
        <v>0</v>
      </c>
      <c r="U371" s="32">
        <f>DaybyDay[[#This Row],[Serv-Bud-RU]]+DaybyDay[[#This Row],[Ret-Bud-RU]]</f>
        <v>0</v>
      </c>
      <c r="V371" s="32">
        <f>DaybyDay[[#This Row],[Serv-Act-RU]]+DaybyDay[[#This Row],[Ret-Act-RU]]</f>
        <v>0</v>
      </c>
      <c r="W371" s="36">
        <f>IF(DaybyDay[[#This Row],[_Space]],IFERROR(
((DaybyDay[[#This Row],[Actual-Rollup]]-DaybyDay[[#This Row],[Budget-Rollup]])/DaybyDay[[#This Row],[Budget-Rollup]]),0),"")</f>
        <v>0</v>
      </c>
      <c r="X371" t="b">
        <f>NOT(AND(ISBLANK(DaybyDay[[#This Row],[Appts]]),ISBLANK(DaybyDay[[#This Row],[Service-Actuals]]),ISBLANK(DaybyDay[[#This Row],[Retail-Actuals]])))</f>
        <v>1</v>
      </c>
      <c r="Y371" s="36">
        <f>IF(DaybyDay[[#This Row],[_Space]],IFERROR(
((DaybyDay[[#This Row],[Actual-Rollup]]-DaybyDay[[#This Row],[LY-Rollup]])/DaybyDay[[#This Row],[LY-Rollup]]),0),"")</f>
        <v>0</v>
      </c>
      <c r="Z371"/>
      <c r="AA371" s="37" t="e">
        <f>IF(DaybyDay[[#This Row],[_Space]],DaybyDay[[#This Row],[Ret-Act-RU]]/DaybyDay[[#This Row],[Serv-Act-RU]],"")</f>
        <v>#DIV/0!</v>
      </c>
      <c r="AB371" s="50" t="e">
        <f>IF(DaybyDay[[#This Row],[_Space]],DaybyDay[[#This Row],[RETPEN-Act]]/DaybyDay[[#This Row],[RETPEN-Bud]],"")</f>
        <v>#DIV/0!</v>
      </c>
      <c r="AC371" s="37" t="e">
        <f>IF(DaybyDay[[#This Row],[_Space]],DaybyDay[[#This Row],[Ret-Bud-RU]]/DaybyDay[[#This Row],[Serv-Bud-RU]],"")</f>
        <v>#DIV/0!</v>
      </c>
      <c r="AD371" s="37" t="e">
        <f>IF(DaybyDay[[#This Row],[_Space]],DaybyDay[[#This Row],[Ret-LY-RU]]/DaybyDay[[#This Row],[Serv-LY-RU]],"")</f>
        <v>#DIV/0!</v>
      </c>
      <c r="AE371" s="30">
        <f>WEEKDAY(DaybyDay[[#This Row],[LY-Date]])</f>
        <v>1</v>
      </c>
      <c r="AF371" s="38">
        <f>$E$2+_xlfn.DAYS(DaybyDay[[#This Row],[Date]],minDate)</f>
        <v>42736</v>
      </c>
      <c r="AG371" s="39" cm="1">
        <f t="array" ref="AG371">IFERROR(INDEX(DaybyDay[],DaybyDay[[#This Row],[FORM_MATCH_HELPER]],8),"")</f>
        <v>14</v>
      </c>
      <c r="AH371" s="39" cm="1">
        <f t="array" ref="AH371">IFERROR(INDEX(DaybyDay[],DaybyDay[[#This Row],[FORM_MATCH_HELPER]],10),"")</f>
        <v>3747.5</v>
      </c>
      <c r="AI371" s="39" cm="1">
        <f t="array" ref="AI371">IFERROR(INDEX(DaybyDay[],DaybyDay[[#This Row],[FORM_MATCH_HELPER]],12),"")</f>
        <v>394</v>
      </c>
      <c r="AJ371" s="32">
        <f>IFERROR(DaybyDay[[#This Row],[Serv-LY-RU]]+DaybyDay[[#This Row],[Ret-LY-RU]],"")</f>
        <v>0</v>
      </c>
      <c r="AK3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1" s="77"/>
      <c r="AM371" s="40" t="str">
        <f>IF(DaybyDay[[#This Row],[Admin Hours]]&gt;0,DaybyDay[[#This Row],[Admin Hours]]*$AM$2+$AM$3,"")</f>
        <v/>
      </c>
      <c r="AN371" s="40">
        <f>SUMIFS(DaybyDay[Est-Admin-Payroll],DaybyDay[Date],"&gt;="&amp;$C$5,DaybyDay[RowYear],"&gt;="&amp;$C$4,DaybyDay[Date],"&lt;="&amp;DaybyDay[[#This Row],[Date]])</f>
        <v>0</v>
      </c>
      <c r="AO371" s="41" t="str">
        <f>IF(AND(DaybyDay[[#This Row],[_Space]],ISNUMBER(DaybyDay[[#This Row],[Admin Hours]])),DaybyDay[[#This Row],[Est-Admin-Payroll]]/(DaybyDay[[#This Row],[Service-Actuals]]+DaybyDay[[#This Row],[Retail-Actuals]]),"")</f>
        <v/>
      </c>
      <c r="AP371" s="41" t="e">
        <f>DaybyDay[[#This Row],[Estimated-Payroll-Rollup]]/DaybyDay[[#This Row],[Simple-Forecast]]</f>
        <v>#DIV/0!</v>
      </c>
      <c r="AQ3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1" s="77"/>
      <c r="AS371" s="40" t="str">
        <f>IF(DaybyDay[[#This Row],[Retail Hours]]&gt;0,DaybyDay[[#This Row],[Retail Hours]]*$AS$2,"")</f>
        <v/>
      </c>
      <c r="AT371" s="40">
        <f>SUMIFS(DaybyDay[Est-Retail-Payroll],DaybyDay[Date],"&gt;="&amp;$C$5,DaybyDay[RowYear],"&gt;="&amp;$C$4,DaybyDay[Date],"&lt;="&amp;DaybyDay[[#This Row],[Date]])</f>
        <v>0</v>
      </c>
      <c r="AU371" s="82" t="str">
        <f>IF(AND(DaybyDay[[#This Row],[_Space]],ISNUMBER(DaybyDay[[#This Row],[Retail Hours]])),DaybyDay[[#This Row],[Est-Retail-Payroll]]/(DaybyDay[[#This Row],[Retail-Actuals]]),"")</f>
        <v/>
      </c>
      <c r="AV371" s="82" t="e">
        <f>DaybyDay[[#This Row],[Est-Retail-PayrollRU]]/DaybyDay[[#This Row],[Simple-Forecast-Retail]]</f>
        <v>#DIV/0!</v>
      </c>
      <c r="AW371" s="8"/>
    </row>
    <row r="372" spans="3:49" hidden="1" x14ac:dyDescent="0.25">
      <c r="C372" s="26" t="str">
        <f>Tools!$C$1</f>
        <v>Example</v>
      </c>
      <c r="D372" s="27" t="s">
        <v>79</v>
      </c>
      <c r="E372" s="28">
        <v>2017</v>
      </c>
      <c r="F372" s="28">
        <f>MATCH(DaybyDay[[#This Row],[RowMonth]],Table3[SummaryMonth],0)</f>
        <v>12</v>
      </c>
      <c r="G372" s="29">
        <f>MATCH(DaybyDay[[#This Row],[LY-Date]],DaybyDay[Date],0)</f>
        <v>2</v>
      </c>
      <c r="H372" s="30">
        <f>WEEKDAY(DaybyDay[[#This Row],[Date]])</f>
        <v>2</v>
      </c>
      <c r="I372" s="31">
        <v>43101</v>
      </c>
      <c r="J372" s="74">
        <v>17</v>
      </c>
      <c r="K372" s="32">
        <f>SUMIFS(BudgetSeasonality[365 Seasonality],BudgetSeasonality[MonthAdjustment],DaybyDay[[#This Row],[Date]])*SUMIFS(Budgets[Service-Budget],Budgets[BudgetMonth],DaybyDay[[#This Row],[RowMonth]],Budgets[BudgetYear],DaybyDay[[#This Row],[RowYear]])</f>
        <v>0</v>
      </c>
      <c r="L372" s="75">
        <v>3699</v>
      </c>
      <c r="M372" s="32">
        <f>INDEX(BudgetSeasonality[365 Seasonality],MATCH(DaybyDay[[#This Row],[Date]],BudgetSeasonality[MonthAdjustment],0))*SUMIFS(Budgets[Retail-Budget],Budgets[BudgetMonth],DaybyDay[[#This Row],[RowMonth]],Budgets[BudgetYear],DaybyDay[[#This Row],[RowYear]])</f>
        <v>0</v>
      </c>
      <c r="N372" s="75">
        <v>385</v>
      </c>
      <c r="O372" s="33">
        <f>SUMIFS(DaybyDay[Service-Budgets],DaybyDay[Date],"&gt;="&amp;$C$5,DaybyDay[RowYear],"&gt;="&amp;$C$4,DaybyDay[Date],"&lt;="&amp;DaybyDay[[#This Row],[Date]])</f>
        <v>0</v>
      </c>
      <c r="P372" s="33">
        <f>SUMIFS(DaybyDay[Retail-Budgets],DaybyDay[Date],"&gt;="&amp;$C$5,DaybyDay[RowYear],"&gt;="&amp;$C$4,DaybyDay[Date],"&lt;="&amp;DaybyDay[[#This Row],[Date]])</f>
        <v>0</v>
      </c>
      <c r="Q372" s="34">
        <f>SUMIFS(DaybyDay[Service-Actuals],DaybyDay[Date],"&gt;="&amp;$C$5,DaybyDay[RowYear],"&gt;="&amp;$C$4,DaybyDay[Date],"&lt;="&amp;DaybyDay[[#This Row],[Date]])</f>
        <v>0</v>
      </c>
      <c r="R372" s="34">
        <f>SUMIFS(DaybyDay[Retail-Actuals],DaybyDay[Date],"&gt;="&amp;$C$5,DaybyDay[RowYear],"&gt;="&amp;$C$4,DaybyDay[Date],"&lt;="&amp;DaybyDay[[#This Row],[Date]])</f>
        <v>0</v>
      </c>
      <c r="S372" s="35">
        <f>SUMIFS(DaybyDay[Service-LY],DaybyDay[Date],"&gt;="&amp;$C$5,DaybyDay[RowYear],"&gt;="&amp;$C$4,DaybyDay[Date],"&lt;="&amp;DaybyDay[[#This Row],[Date]])</f>
        <v>0</v>
      </c>
      <c r="T372" s="35">
        <f>SUMIFS(DaybyDay[Retail-LY],DaybyDay[Date],"&gt;="&amp;$C$5,DaybyDay[RowYear],"&gt;="&amp;$C$4,DaybyDay[Date],"&lt;="&amp;DaybyDay[[#This Row],[Date]])</f>
        <v>0</v>
      </c>
      <c r="U372" s="32">
        <f>DaybyDay[[#This Row],[Serv-Bud-RU]]+DaybyDay[[#This Row],[Ret-Bud-RU]]</f>
        <v>0</v>
      </c>
      <c r="V372" s="32">
        <f>DaybyDay[[#This Row],[Serv-Act-RU]]+DaybyDay[[#This Row],[Ret-Act-RU]]</f>
        <v>0</v>
      </c>
      <c r="W372" s="36">
        <f>IF(DaybyDay[[#This Row],[_Space]],IFERROR(
((DaybyDay[[#This Row],[Actual-Rollup]]-DaybyDay[[#This Row],[Budget-Rollup]])/DaybyDay[[#This Row],[Budget-Rollup]]),0),"")</f>
        <v>0</v>
      </c>
      <c r="X372" t="b">
        <f>NOT(AND(ISBLANK(DaybyDay[[#This Row],[Appts]]),ISBLANK(DaybyDay[[#This Row],[Service-Actuals]]),ISBLANK(DaybyDay[[#This Row],[Retail-Actuals]])))</f>
        <v>1</v>
      </c>
      <c r="Y372" s="36">
        <f>IF(DaybyDay[[#This Row],[_Space]],IFERROR(
((DaybyDay[[#This Row],[Actual-Rollup]]-DaybyDay[[#This Row],[LY-Rollup]])/DaybyDay[[#This Row],[LY-Rollup]]),0),"")</f>
        <v>0</v>
      </c>
      <c r="Z372"/>
      <c r="AA372" s="37" t="e">
        <f>IF(DaybyDay[[#This Row],[_Space]],DaybyDay[[#This Row],[Ret-Act-RU]]/DaybyDay[[#This Row],[Serv-Act-RU]],"")</f>
        <v>#DIV/0!</v>
      </c>
      <c r="AB372" s="50" t="e">
        <f>IF(DaybyDay[[#This Row],[_Space]],DaybyDay[[#This Row],[RETPEN-Act]]/DaybyDay[[#This Row],[RETPEN-Bud]],"")</f>
        <v>#DIV/0!</v>
      </c>
      <c r="AC372" s="37" t="e">
        <f>IF(DaybyDay[[#This Row],[_Space]],DaybyDay[[#This Row],[Ret-Bud-RU]]/DaybyDay[[#This Row],[Serv-Bud-RU]],"")</f>
        <v>#DIV/0!</v>
      </c>
      <c r="AD372" s="37" t="e">
        <f>IF(DaybyDay[[#This Row],[_Space]],DaybyDay[[#This Row],[Ret-LY-RU]]/DaybyDay[[#This Row],[Serv-LY-RU]],"")</f>
        <v>#DIV/0!</v>
      </c>
      <c r="AE372" s="30">
        <f>WEEKDAY(DaybyDay[[#This Row],[LY-Date]])</f>
        <v>2</v>
      </c>
      <c r="AF372" s="38">
        <f>$E$2+_xlfn.DAYS(DaybyDay[[#This Row],[Date]],minDate)</f>
        <v>42737</v>
      </c>
      <c r="AG372" s="39" cm="1">
        <f t="array" ref="AG372">IFERROR(INDEX(DaybyDay[],DaybyDay[[#This Row],[FORM_MATCH_HELPER]],8),"")</f>
        <v>36</v>
      </c>
      <c r="AH372" s="39" cm="1">
        <f t="array" ref="AH372">IFERROR(INDEX(DaybyDay[],DaybyDay[[#This Row],[FORM_MATCH_HELPER]],10),"")</f>
        <v>5737.63</v>
      </c>
      <c r="AI372" s="39" cm="1">
        <f t="array" ref="AI372">IFERROR(INDEX(DaybyDay[],DaybyDay[[#This Row],[FORM_MATCH_HELPER]],12),"")</f>
        <v>77</v>
      </c>
      <c r="AJ372" s="32">
        <f>IFERROR(DaybyDay[[#This Row],[Serv-LY-RU]]+DaybyDay[[#This Row],[Ret-LY-RU]],"")</f>
        <v>0</v>
      </c>
      <c r="AK3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2" s="77"/>
      <c r="AM372" s="40" t="str">
        <f>IF(DaybyDay[[#This Row],[Admin Hours]]&gt;0,DaybyDay[[#This Row],[Admin Hours]]*$AM$2+$AM$3,"")</f>
        <v/>
      </c>
      <c r="AN372" s="40">
        <f>SUMIFS(DaybyDay[Est-Admin-Payroll],DaybyDay[Date],"&gt;="&amp;$C$5,DaybyDay[RowYear],"&gt;="&amp;$C$4,DaybyDay[Date],"&lt;="&amp;DaybyDay[[#This Row],[Date]])</f>
        <v>0</v>
      </c>
      <c r="AO372" s="41" t="str">
        <f>IF(AND(DaybyDay[[#This Row],[_Space]],ISNUMBER(DaybyDay[[#This Row],[Admin Hours]])),DaybyDay[[#This Row],[Est-Admin-Payroll]]/(DaybyDay[[#This Row],[Service-Actuals]]+DaybyDay[[#This Row],[Retail-Actuals]]),"")</f>
        <v/>
      </c>
      <c r="AP372" s="41" t="e">
        <f>DaybyDay[[#This Row],[Estimated-Payroll-Rollup]]/DaybyDay[[#This Row],[Simple-Forecast]]</f>
        <v>#DIV/0!</v>
      </c>
      <c r="AQ3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2" s="77"/>
      <c r="AS372" s="40" t="str">
        <f>IF(DaybyDay[[#This Row],[Retail Hours]]&gt;0,DaybyDay[[#This Row],[Retail Hours]]*$AS$2,"")</f>
        <v/>
      </c>
      <c r="AT372" s="40">
        <f>SUMIFS(DaybyDay[Est-Retail-Payroll],DaybyDay[Date],"&gt;="&amp;$C$5,DaybyDay[RowYear],"&gt;="&amp;$C$4,DaybyDay[Date],"&lt;="&amp;DaybyDay[[#This Row],[Date]])</f>
        <v>0</v>
      </c>
      <c r="AU372" s="82" t="str">
        <f>IF(AND(DaybyDay[[#This Row],[_Space]],ISNUMBER(DaybyDay[[#This Row],[Retail Hours]])),DaybyDay[[#This Row],[Est-Retail-Payroll]]/(DaybyDay[[#This Row],[Retail-Actuals]]),"")</f>
        <v/>
      </c>
      <c r="AV372" s="82" t="e">
        <f>DaybyDay[[#This Row],[Est-Retail-PayrollRU]]/DaybyDay[[#This Row],[Simple-Forecast-Retail]]</f>
        <v>#DIV/0!</v>
      </c>
      <c r="AW372" s="8"/>
    </row>
    <row r="373" spans="3:49" hidden="1" x14ac:dyDescent="0.25">
      <c r="C373" s="26" t="str">
        <f>Tools!$C$1</f>
        <v>Example</v>
      </c>
      <c r="D373" s="27" t="s">
        <v>79</v>
      </c>
      <c r="E373" s="28">
        <v>2017</v>
      </c>
      <c r="F373" s="28">
        <f>MATCH(DaybyDay[[#This Row],[RowMonth]],Table3[SummaryMonth],0)</f>
        <v>12</v>
      </c>
      <c r="G373" s="29">
        <f>MATCH(DaybyDay[[#This Row],[LY-Date]],DaybyDay[Date],0)</f>
        <v>3</v>
      </c>
      <c r="H373" s="30">
        <f>WEEKDAY(DaybyDay[[#This Row],[Date]])</f>
        <v>3</v>
      </c>
      <c r="I373" s="31">
        <v>43102</v>
      </c>
      <c r="J373" s="74">
        <v>15</v>
      </c>
      <c r="K373" s="32">
        <f>SUMIFS(BudgetSeasonality[365 Seasonality],BudgetSeasonality[MonthAdjustment],DaybyDay[[#This Row],[Date]])*SUMIFS(Budgets[Service-Budget],Budgets[BudgetMonth],DaybyDay[[#This Row],[RowMonth]],Budgets[BudgetYear],DaybyDay[[#This Row],[RowYear]])</f>
        <v>0</v>
      </c>
      <c r="L373" s="75">
        <v>3613.5</v>
      </c>
      <c r="M373" s="32">
        <f>INDEX(BudgetSeasonality[365 Seasonality],MATCH(DaybyDay[[#This Row],[Date]],BudgetSeasonality[MonthAdjustment],0))*SUMIFS(Budgets[Retail-Budget],Budgets[BudgetMonth],DaybyDay[[#This Row],[RowMonth]],Budgets[BudgetYear],DaybyDay[[#This Row],[RowYear]])</f>
        <v>0</v>
      </c>
      <c r="N373" s="75">
        <v>730.5</v>
      </c>
      <c r="O373" s="33">
        <f>SUMIFS(DaybyDay[Service-Budgets],DaybyDay[Date],"&gt;="&amp;$C$5,DaybyDay[RowYear],"&gt;="&amp;$C$4,DaybyDay[Date],"&lt;="&amp;DaybyDay[[#This Row],[Date]])</f>
        <v>0</v>
      </c>
      <c r="P373" s="33">
        <f>SUMIFS(DaybyDay[Retail-Budgets],DaybyDay[Date],"&gt;="&amp;$C$5,DaybyDay[RowYear],"&gt;="&amp;$C$4,DaybyDay[Date],"&lt;="&amp;DaybyDay[[#This Row],[Date]])</f>
        <v>0</v>
      </c>
      <c r="Q373" s="34">
        <f>SUMIFS(DaybyDay[Service-Actuals],DaybyDay[Date],"&gt;="&amp;$C$5,DaybyDay[RowYear],"&gt;="&amp;$C$4,DaybyDay[Date],"&lt;="&amp;DaybyDay[[#This Row],[Date]])</f>
        <v>0</v>
      </c>
      <c r="R373" s="34">
        <f>SUMIFS(DaybyDay[Retail-Actuals],DaybyDay[Date],"&gt;="&amp;$C$5,DaybyDay[RowYear],"&gt;="&amp;$C$4,DaybyDay[Date],"&lt;="&amp;DaybyDay[[#This Row],[Date]])</f>
        <v>0</v>
      </c>
      <c r="S373" s="35">
        <f>SUMIFS(DaybyDay[Service-LY],DaybyDay[Date],"&gt;="&amp;$C$5,DaybyDay[RowYear],"&gt;="&amp;$C$4,DaybyDay[Date],"&lt;="&amp;DaybyDay[[#This Row],[Date]])</f>
        <v>0</v>
      </c>
      <c r="T373" s="35">
        <f>SUMIFS(DaybyDay[Retail-LY],DaybyDay[Date],"&gt;="&amp;$C$5,DaybyDay[RowYear],"&gt;="&amp;$C$4,DaybyDay[Date],"&lt;="&amp;DaybyDay[[#This Row],[Date]])</f>
        <v>0</v>
      </c>
      <c r="U373" s="32">
        <f>DaybyDay[[#This Row],[Serv-Bud-RU]]+DaybyDay[[#This Row],[Ret-Bud-RU]]</f>
        <v>0</v>
      </c>
      <c r="V373" s="32">
        <f>DaybyDay[[#This Row],[Serv-Act-RU]]+DaybyDay[[#This Row],[Ret-Act-RU]]</f>
        <v>0</v>
      </c>
      <c r="W373" s="36">
        <f>IF(DaybyDay[[#This Row],[_Space]],IFERROR(
((DaybyDay[[#This Row],[Actual-Rollup]]-DaybyDay[[#This Row],[Budget-Rollup]])/DaybyDay[[#This Row],[Budget-Rollup]]),0),"")</f>
        <v>0</v>
      </c>
      <c r="X373" t="b">
        <f>NOT(AND(ISBLANK(DaybyDay[[#This Row],[Appts]]),ISBLANK(DaybyDay[[#This Row],[Service-Actuals]]),ISBLANK(DaybyDay[[#This Row],[Retail-Actuals]])))</f>
        <v>1</v>
      </c>
      <c r="Y373" s="36">
        <f>IF(DaybyDay[[#This Row],[_Space]],IFERROR(
((DaybyDay[[#This Row],[Actual-Rollup]]-DaybyDay[[#This Row],[LY-Rollup]])/DaybyDay[[#This Row],[LY-Rollup]]),0),"")</f>
        <v>0</v>
      </c>
      <c r="Z373"/>
      <c r="AA373" s="37" t="e">
        <f>IF(DaybyDay[[#This Row],[_Space]],DaybyDay[[#This Row],[Ret-Act-RU]]/DaybyDay[[#This Row],[Serv-Act-RU]],"")</f>
        <v>#DIV/0!</v>
      </c>
      <c r="AB373" s="50" t="e">
        <f>IF(DaybyDay[[#This Row],[_Space]],DaybyDay[[#This Row],[RETPEN-Act]]/DaybyDay[[#This Row],[RETPEN-Bud]],"")</f>
        <v>#DIV/0!</v>
      </c>
      <c r="AC373" s="37" t="e">
        <f>IF(DaybyDay[[#This Row],[_Space]],DaybyDay[[#This Row],[Ret-Bud-RU]]/DaybyDay[[#This Row],[Serv-Bud-RU]],"")</f>
        <v>#DIV/0!</v>
      </c>
      <c r="AD373" s="37" t="e">
        <f>IF(DaybyDay[[#This Row],[_Space]],DaybyDay[[#This Row],[Ret-LY-RU]]/DaybyDay[[#This Row],[Serv-LY-RU]],"")</f>
        <v>#DIV/0!</v>
      </c>
      <c r="AE373" s="30">
        <f>WEEKDAY(DaybyDay[[#This Row],[LY-Date]])</f>
        <v>3</v>
      </c>
      <c r="AF373" s="38">
        <f>$E$2+_xlfn.DAYS(DaybyDay[[#This Row],[Date]],minDate)</f>
        <v>42738</v>
      </c>
      <c r="AG373" s="39" cm="1">
        <f t="array" ref="AG373">IFERROR(INDEX(DaybyDay[],DaybyDay[[#This Row],[FORM_MATCH_HELPER]],8),"")</f>
        <v>37</v>
      </c>
      <c r="AH373" s="39" cm="1">
        <f t="array" ref="AH373">IFERROR(INDEX(DaybyDay[],DaybyDay[[#This Row],[FORM_MATCH_HELPER]],10),"")</f>
        <v>6867.59</v>
      </c>
      <c r="AI373" s="39" cm="1">
        <f t="array" ref="AI373">IFERROR(INDEX(DaybyDay[],DaybyDay[[#This Row],[FORM_MATCH_HELPER]],12),"")</f>
        <v>311</v>
      </c>
      <c r="AJ373" s="32">
        <f>IFERROR(DaybyDay[[#This Row],[Serv-LY-RU]]+DaybyDay[[#This Row],[Ret-LY-RU]],"")</f>
        <v>0</v>
      </c>
      <c r="AK3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3" s="77"/>
      <c r="AM373" s="40" t="str">
        <f>IF(DaybyDay[[#This Row],[Admin Hours]]&gt;0,DaybyDay[[#This Row],[Admin Hours]]*$AM$2+$AM$3,"")</f>
        <v/>
      </c>
      <c r="AN373" s="40">
        <f>SUMIFS(DaybyDay[Est-Admin-Payroll],DaybyDay[Date],"&gt;="&amp;$C$5,DaybyDay[RowYear],"&gt;="&amp;$C$4,DaybyDay[Date],"&lt;="&amp;DaybyDay[[#This Row],[Date]])</f>
        <v>0</v>
      </c>
      <c r="AO373" s="41" t="str">
        <f>IF(AND(DaybyDay[[#This Row],[_Space]],ISNUMBER(DaybyDay[[#This Row],[Admin Hours]])),DaybyDay[[#This Row],[Est-Admin-Payroll]]/(DaybyDay[[#This Row],[Service-Actuals]]+DaybyDay[[#This Row],[Retail-Actuals]]),"")</f>
        <v/>
      </c>
      <c r="AP373" s="41" t="e">
        <f>DaybyDay[[#This Row],[Estimated-Payroll-Rollup]]/DaybyDay[[#This Row],[Simple-Forecast]]</f>
        <v>#DIV/0!</v>
      </c>
      <c r="AQ3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3" s="77"/>
      <c r="AS373" s="40" t="str">
        <f>IF(DaybyDay[[#This Row],[Retail Hours]]&gt;0,DaybyDay[[#This Row],[Retail Hours]]*$AS$2,"")</f>
        <v/>
      </c>
      <c r="AT373" s="40">
        <f>SUMIFS(DaybyDay[Est-Retail-Payroll],DaybyDay[Date],"&gt;="&amp;$C$5,DaybyDay[RowYear],"&gt;="&amp;$C$4,DaybyDay[Date],"&lt;="&amp;DaybyDay[[#This Row],[Date]])</f>
        <v>0</v>
      </c>
      <c r="AU373" s="82" t="str">
        <f>IF(AND(DaybyDay[[#This Row],[_Space]],ISNUMBER(DaybyDay[[#This Row],[Retail Hours]])),DaybyDay[[#This Row],[Est-Retail-Payroll]]/(DaybyDay[[#This Row],[Retail-Actuals]]),"")</f>
        <v/>
      </c>
      <c r="AV373" s="82" t="e">
        <f>DaybyDay[[#This Row],[Est-Retail-PayrollRU]]/DaybyDay[[#This Row],[Simple-Forecast-Retail]]</f>
        <v>#DIV/0!</v>
      </c>
      <c r="AW373" s="8"/>
    </row>
    <row r="374" spans="3:49" hidden="1" x14ac:dyDescent="0.25">
      <c r="C374" s="26" t="str">
        <f>Tools!$C$1</f>
        <v>Example</v>
      </c>
      <c r="D374" s="27" t="s">
        <v>79</v>
      </c>
      <c r="E374" s="28">
        <v>2017</v>
      </c>
      <c r="F374" s="28">
        <f>MATCH(DaybyDay[[#This Row],[RowMonth]],Table3[SummaryMonth],0)</f>
        <v>12</v>
      </c>
      <c r="G374" s="29">
        <f>MATCH(DaybyDay[[#This Row],[LY-Date]],DaybyDay[Date],0)</f>
        <v>4</v>
      </c>
      <c r="H374" s="30">
        <f>WEEKDAY(DaybyDay[[#This Row],[Date]])</f>
        <v>4</v>
      </c>
      <c r="I374" s="31">
        <v>43103</v>
      </c>
      <c r="J374" s="74">
        <v>16</v>
      </c>
      <c r="K374" s="32">
        <f>SUMIFS(BudgetSeasonality[365 Seasonality],BudgetSeasonality[MonthAdjustment],DaybyDay[[#This Row],[Date]])*SUMIFS(Budgets[Service-Budget],Budgets[BudgetMonth],DaybyDay[[#This Row],[RowMonth]],Budgets[BudgetYear],DaybyDay[[#This Row],[RowYear]])</f>
        <v>0</v>
      </c>
      <c r="L374" s="75">
        <v>3517.7</v>
      </c>
      <c r="M374" s="32">
        <f>INDEX(BudgetSeasonality[365 Seasonality],MATCH(DaybyDay[[#This Row],[Date]],BudgetSeasonality[MonthAdjustment],0))*SUMIFS(Budgets[Retail-Budget],Budgets[BudgetMonth],DaybyDay[[#This Row],[RowMonth]],Budgets[BudgetYear],DaybyDay[[#This Row],[RowYear]])</f>
        <v>0</v>
      </c>
      <c r="N374" s="75">
        <v>0</v>
      </c>
      <c r="O374" s="33">
        <f>SUMIFS(DaybyDay[Service-Budgets],DaybyDay[Date],"&gt;="&amp;$C$5,DaybyDay[RowYear],"&gt;="&amp;$C$4,DaybyDay[Date],"&lt;="&amp;DaybyDay[[#This Row],[Date]])</f>
        <v>0</v>
      </c>
      <c r="P374" s="33">
        <f>SUMIFS(DaybyDay[Retail-Budgets],DaybyDay[Date],"&gt;="&amp;$C$5,DaybyDay[RowYear],"&gt;="&amp;$C$4,DaybyDay[Date],"&lt;="&amp;DaybyDay[[#This Row],[Date]])</f>
        <v>0</v>
      </c>
      <c r="Q374" s="34">
        <f>SUMIFS(DaybyDay[Service-Actuals],DaybyDay[Date],"&gt;="&amp;$C$5,DaybyDay[RowYear],"&gt;="&amp;$C$4,DaybyDay[Date],"&lt;="&amp;DaybyDay[[#This Row],[Date]])</f>
        <v>0</v>
      </c>
      <c r="R374" s="34">
        <f>SUMIFS(DaybyDay[Retail-Actuals],DaybyDay[Date],"&gt;="&amp;$C$5,DaybyDay[RowYear],"&gt;="&amp;$C$4,DaybyDay[Date],"&lt;="&amp;DaybyDay[[#This Row],[Date]])</f>
        <v>0</v>
      </c>
      <c r="S374" s="35">
        <f>SUMIFS(DaybyDay[Service-LY],DaybyDay[Date],"&gt;="&amp;$C$5,DaybyDay[RowYear],"&gt;="&amp;$C$4,DaybyDay[Date],"&lt;="&amp;DaybyDay[[#This Row],[Date]])</f>
        <v>0</v>
      </c>
      <c r="T374" s="35">
        <f>SUMIFS(DaybyDay[Retail-LY],DaybyDay[Date],"&gt;="&amp;$C$5,DaybyDay[RowYear],"&gt;="&amp;$C$4,DaybyDay[Date],"&lt;="&amp;DaybyDay[[#This Row],[Date]])</f>
        <v>0</v>
      </c>
      <c r="U374" s="32">
        <f>DaybyDay[[#This Row],[Serv-Bud-RU]]+DaybyDay[[#This Row],[Ret-Bud-RU]]</f>
        <v>0</v>
      </c>
      <c r="V374" s="32">
        <f>DaybyDay[[#This Row],[Serv-Act-RU]]+DaybyDay[[#This Row],[Ret-Act-RU]]</f>
        <v>0</v>
      </c>
      <c r="W374" s="36">
        <f>IF(DaybyDay[[#This Row],[_Space]],IFERROR(
((DaybyDay[[#This Row],[Actual-Rollup]]-DaybyDay[[#This Row],[Budget-Rollup]])/DaybyDay[[#This Row],[Budget-Rollup]]),0),"")</f>
        <v>0</v>
      </c>
      <c r="X374" t="b">
        <f>NOT(AND(ISBLANK(DaybyDay[[#This Row],[Appts]]),ISBLANK(DaybyDay[[#This Row],[Service-Actuals]]),ISBLANK(DaybyDay[[#This Row],[Retail-Actuals]])))</f>
        <v>1</v>
      </c>
      <c r="Y374" s="36">
        <f>IF(DaybyDay[[#This Row],[_Space]],IFERROR(
((DaybyDay[[#This Row],[Actual-Rollup]]-DaybyDay[[#This Row],[LY-Rollup]])/DaybyDay[[#This Row],[LY-Rollup]]),0),"")</f>
        <v>0</v>
      </c>
      <c r="Z374"/>
      <c r="AA374" s="37" t="e">
        <f>IF(DaybyDay[[#This Row],[_Space]],DaybyDay[[#This Row],[Ret-Act-RU]]/DaybyDay[[#This Row],[Serv-Act-RU]],"")</f>
        <v>#DIV/0!</v>
      </c>
      <c r="AB374" s="50" t="e">
        <f>IF(DaybyDay[[#This Row],[_Space]],DaybyDay[[#This Row],[RETPEN-Act]]/DaybyDay[[#This Row],[RETPEN-Bud]],"")</f>
        <v>#DIV/0!</v>
      </c>
      <c r="AC374" s="37" t="e">
        <f>IF(DaybyDay[[#This Row],[_Space]],DaybyDay[[#This Row],[Ret-Bud-RU]]/DaybyDay[[#This Row],[Serv-Bud-RU]],"")</f>
        <v>#DIV/0!</v>
      </c>
      <c r="AD374" s="37" t="e">
        <f>IF(DaybyDay[[#This Row],[_Space]],DaybyDay[[#This Row],[Ret-LY-RU]]/DaybyDay[[#This Row],[Serv-LY-RU]],"")</f>
        <v>#DIV/0!</v>
      </c>
      <c r="AE374" s="30">
        <f>WEEKDAY(DaybyDay[[#This Row],[LY-Date]])</f>
        <v>4</v>
      </c>
      <c r="AF374" s="38">
        <f>$E$2+_xlfn.DAYS(DaybyDay[[#This Row],[Date]],minDate)</f>
        <v>42739</v>
      </c>
      <c r="AG374" s="39" cm="1">
        <f t="array" ref="AG374">IFERROR(INDEX(DaybyDay[],DaybyDay[[#This Row],[FORM_MATCH_HELPER]],8),"")</f>
        <v>36</v>
      </c>
      <c r="AH374" s="39" cm="1">
        <f t="array" ref="AH374">IFERROR(INDEX(DaybyDay[],DaybyDay[[#This Row],[FORM_MATCH_HELPER]],10),"")</f>
        <v>4762.42</v>
      </c>
      <c r="AI374" s="39" cm="1">
        <f t="array" ref="AI374">IFERROR(INDEX(DaybyDay[],DaybyDay[[#This Row],[FORM_MATCH_HELPER]],12),"")</f>
        <v>0</v>
      </c>
      <c r="AJ374" s="32">
        <f>IFERROR(DaybyDay[[#This Row],[Serv-LY-RU]]+DaybyDay[[#This Row],[Ret-LY-RU]],"")</f>
        <v>0</v>
      </c>
      <c r="AK3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4" s="77"/>
      <c r="AM374" s="40" t="str">
        <f>IF(DaybyDay[[#This Row],[Admin Hours]]&gt;0,DaybyDay[[#This Row],[Admin Hours]]*$AM$2+$AM$3,"")</f>
        <v/>
      </c>
      <c r="AN374" s="40">
        <f>SUMIFS(DaybyDay[Est-Admin-Payroll],DaybyDay[Date],"&gt;="&amp;$C$5,DaybyDay[RowYear],"&gt;="&amp;$C$4,DaybyDay[Date],"&lt;="&amp;DaybyDay[[#This Row],[Date]])</f>
        <v>0</v>
      </c>
      <c r="AO374" s="41" t="str">
        <f>IF(AND(DaybyDay[[#This Row],[_Space]],ISNUMBER(DaybyDay[[#This Row],[Admin Hours]])),DaybyDay[[#This Row],[Est-Admin-Payroll]]/(DaybyDay[[#This Row],[Service-Actuals]]+DaybyDay[[#This Row],[Retail-Actuals]]),"")</f>
        <v/>
      </c>
      <c r="AP374" s="41" t="e">
        <f>DaybyDay[[#This Row],[Estimated-Payroll-Rollup]]/DaybyDay[[#This Row],[Simple-Forecast]]</f>
        <v>#DIV/0!</v>
      </c>
      <c r="AQ3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4" s="77"/>
      <c r="AS374" s="40" t="str">
        <f>IF(DaybyDay[[#This Row],[Retail Hours]]&gt;0,DaybyDay[[#This Row],[Retail Hours]]*$AS$2,"")</f>
        <v/>
      </c>
      <c r="AT374" s="40">
        <f>SUMIFS(DaybyDay[Est-Retail-Payroll],DaybyDay[Date],"&gt;="&amp;$C$5,DaybyDay[RowYear],"&gt;="&amp;$C$4,DaybyDay[Date],"&lt;="&amp;DaybyDay[[#This Row],[Date]])</f>
        <v>0</v>
      </c>
      <c r="AU374" s="82" t="str">
        <f>IF(AND(DaybyDay[[#This Row],[_Space]],ISNUMBER(DaybyDay[[#This Row],[Retail Hours]])),DaybyDay[[#This Row],[Est-Retail-Payroll]]/(DaybyDay[[#This Row],[Retail-Actuals]]),"")</f>
        <v/>
      </c>
      <c r="AV374" s="82" t="e">
        <f>DaybyDay[[#This Row],[Est-Retail-PayrollRU]]/DaybyDay[[#This Row],[Simple-Forecast-Retail]]</f>
        <v>#DIV/0!</v>
      </c>
      <c r="AW374" s="8"/>
    </row>
    <row r="375" spans="3:49" hidden="1" x14ac:dyDescent="0.25">
      <c r="C375" s="26" t="str">
        <f>Tools!$C$1</f>
        <v>Example</v>
      </c>
      <c r="D375" s="27" t="s">
        <v>79</v>
      </c>
      <c r="E375" s="28">
        <v>2017</v>
      </c>
      <c r="F375" s="28">
        <f>MATCH(DaybyDay[[#This Row],[RowMonth]],Table3[SummaryMonth],0)</f>
        <v>12</v>
      </c>
      <c r="G375" s="29">
        <f>MATCH(DaybyDay[[#This Row],[LY-Date]],DaybyDay[Date],0)</f>
        <v>5</v>
      </c>
      <c r="H375" s="30">
        <f>WEEKDAY(DaybyDay[[#This Row],[Date]])</f>
        <v>5</v>
      </c>
      <c r="I375" s="31">
        <v>43104</v>
      </c>
      <c r="J375" s="74">
        <v>20</v>
      </c>
      <c r="K375" s="32">
        <f>SUMIFS(BudgetSeasonality[365 Seasonality],BudgetSeasonality[MonthAdjustment],DaybyDay[[#This Row],[Date]])*SUMIFS(Budgets[Service-Budget],Budgets[BudgetMonth],DaybyDay[[#This Row],[RowMonth]],Budgets[BudgetYear],DaybyDay[[#This Row],[RowYear]])</f>
        <v>0</v>
      </c>
      <c r="L375" s="75">
        <v>5642</v>
      </c>
      <c r="M375" s="32">
        <f>INDEX(BudgetSeasonality[365 Seasonality],MATCH(DaybyDay[[#This Row],[Date]],BudgetSeasonality[MonthAdjustment],0))*SUMIFS(Budgets[Retail-Budget],Budgets[BudgetMonth],DaybyDay[[#This Row],[RowMonth]],Budgets[BudgetYear],DaybyDay[[#This Row],[RowYear]])</f>
        <v>0</v>
      </c>
      <c r="N375" s="75">
        <v>1751.75</v>
      </c>
      <c r="O375" s="33">
        <f>SUMIFS(DaybyDay[Service-Budgets],DaybyDay[Date],"&gt;="&amp;$C$5,DaybyDay[RowYear],"&gt;="&amp;$C$4,DaybyDay[Date],"&lt;="&amp;DaybyDay[[#This Row],[Date]])</f>
        <v>0</v>
      </c>
      <c r="P375" s="33">
        <f>SUMIFS(DaybyDay[Retail-Budgets],DaybyDay[Date],"&gt;="&amp;$C$5,DaybyDay[RowYear],"&gt;="&amp;$C$4,DaybyDay[Date],"&lt;="&amp;DaybyDay[[#This Row],[Date]])</f>
        <v>0</v>
      </c>
      <c r="Q375" s="34">
        <f>SUMIFS(DaybyDay[Service-Actuals],DaybyDay[Date],"&gt;="&amp;$C$5,DaybyDay[RowYear],"&gt;="&amp;$C$4,DaybyDay[Date],"&lt;="&amp;DaybyDay[[#This Row],[Date]])</f>
        <v>0</v>
      </c>
      <c r="R375" s="34">
        <f>SUMIFS(DaybyDay[Retail-Actuals],DaybyDay[Date],"&gt;="&amp;$C$5,DaybyDay[RowYear],"&gt;="&amp;$C$4,DaybyDay[Date],"&lt;="&amp;DaybyDay[[#This Row],[Date]])</f>
        <v>0</v>
      </c>
      <c r="S375" s="35">
        <f>SUMIFS(DaybyDay[Service-LY],DaybyDay[Date],"&gt;="&amp;$C$5,DaybyDay[RowYear],"&gt;="&amp;$C$4,DaybyDay[Date],"&lt;="&amp;DaybyDay[[#This Row],[Date]])</f>
        <v>0</v>
      </c>
      <c r="T375" s="35">
        <f>SUMIFS(DaybyDay[Retail-LY],DaybyDay[Date],"&gt;="&amp;$C$5,DaybyDay[RowYear],"&gt;="&amp;$C$4,DaybyDay[Date],"&lt;="&amp;DaybyDay[[#This Row],[Date]])</f>
        <v>0</v>
      </c>
      <c r="U375" s="32">
        <f>DaybyDay[[#This Row],[Serv-Bud-RU]]+DaybyDay[[#This Row],[Ret-Bud-RU]]</f>
        <v>0</v>
      </c>
      <c r="V375" s="32">
        <f>DaybyDay[[#This Row],[Serv-Act-RU]]+DaybyDay[[#This Row],[Ret-Act-RU]]</f>
        <v>0</v>
      </c>
      <c r="W375" s="36">
        <f>IF(DaybyDay[[#This Row],[_Space]],IFERROR(
((DaybyDay[[#This Row],[Actual-Rollup]]-DaybyDay[[#This Row],[Budget-Rollup]])/DaybyDay[[#This Row],[Budget-Rollup]]),0),"")</f>
        <v>0</v>
      </c>
      <c r="X375" t="b">
        <f>NOT(AND(ISBLANK(DaybyDay[[#This Row],[Appts]]),ISBLANK(DaybyDay[[#This Row],[Service-Actuals]]),ISBLANK(DaybyDay[[#This Row],[Retail-Actuals]])))</f>
        <v>1</v>
      </c>
      <c r="Y375" s="36">
        <f>IF(DaybyDay[[#This Row],[_Space]],IFERROR(
((DaybyDay[[#This Row],[Actual-Rollup]]-DaybyDay[[#This Row],[LY-Rollup]])/DaybyDay[[#This Row],[LY-Rollup]]),0),"")</f>
        <v>0</v>
      </c>
      <c r="Z375"/>
      <c r="AA375" s="37" t="e">
        <f>IF(DaybyDay[[#This Row],[_Space]],DaybyDay[[#This Row],[Ret-Act-RU]]/DaybyDay[[#This Row],[Serv-Act-RU]],"")</f>
        <v>#DIV/0!</v>
      </c>
      <c r="AB375" s="50" t="e">
        <f>IF(DaybyDay[[#This Row],[_Space]],DaybyDay[[#This Row],[RETPEN-Act]]/DaybyDay[[#This Row],[RETPEN-Bud]],"")</f>
        <v>#DIV/0!</v>
      </c>
      <c r="AC375" s="37" t="e">
        <f>IF(DaybyDay[[#This Row],[_Space]],DaybyDay[[#This Row],[Ret-Bud-RU]]/DaybyDay[[#This Row],[Serv-Bud-RU]],"")</f>
        <v>#DIV/0!</v>
      </c>
      <c r="AD375" s="37" t="e">
        <f>IF(DaybyDay[[#This Row],[_Space]],DaybyDay[[#This Row],[Ret-LY-RU]]/DaybyDay[[#This Row],[Serv-LY-RU]],"")</f>
        <v>#DIV/0!</v>
      </c>
      <c r="AE375" s="30">
        <f>WEEKDAY(DaybyDay[[#This Row],[LY-Date]])</f>
        <v>5</v>
      </c>
      <c r="AF375" s="38">
        <f>$E$2+_xlfn.DAYS(DaybyDay[[#This Row],[Date]],minDate)</f>
        <v>42740</v>
      </c>
      <c r="AG375" s="39" cm="1">
        <f t="array" ref="AG375">IFERROR(INDEX(DaybyDay[],DaybyDay[[#This Row],[FORM_MATCH_HELPER]],8),"")</f>
        <v>40</v>
      </c>
      <c r="AH375" s="39" cm="1">
        <f t="array" ref="AH375">IFERROR(INDEX(DaybyDay[],DaybyDay[[#This Row],[FORM_MATCH_HELPER]],10),"")</f>
        <v>6063.06</v>
      </c>
      <c r="AI375" s="39" cm="1">
        <f t="array" ref="AI375">IFERROR(INDEX(DaybyDay[],DaybyDay[[#This Row],[FORM_MATCH_HELPER]],12),"")</f>
        <v>1382.5</v>
      </c>
      <c r="AJ375" s="32">
        <f>IFERROR(DaybyDay[[#This Row],[Serv-LY-RU]]+DaybyDay[[#This Row],[Ret-LY-RU]],"")</f>
        <v>0</v>
      </c>
      <c r="AK3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5" s="77"/>
      <c r="AM375" s="40" t="str">
        <f>IF(DaybyDay[[#This Row],[Admin Hours]]&gt;0,DaybyDay[[#This Row],[Admin Hours]]*$AM$2+$AM$3,"")</f>
        <v/>
      </c>
      <c r="AN375" s="40">
        <f>SUMIFS(DaybyDay[Est-Admin-Payroll],DaybyDay[Date],"&gt;="&amp;$C$5,DaybyDay[RowYear],"&gt;="&amp;$C$4,DaybyDay[Date],"&lt;="&amp;DaybyDay[[#This Row],[Date]])</f>
        <v>0</v>
      </c>
      <c r="AO375" s="41" t="str">
        <f>IF(AND(DaybyDay[[#This Row],[_Space]],ISNUMBER(DaybyDay[[#This Row],[Admin Hours]])),DaybyDay[[#This Row],[Est-Admin-Payroll]]/(DaybyDay[[#This Row],[Service-Actuals]]+DaybyDay[[#This Row],[Retail-Actuals]]),"")</f>
        <v/>
      </c>
      <c r="AP375" s="41" t="e">
        <f>DaybyDay[[#This Row],[Estimated-Payroll-Rollup]]/DaybyDay[[#This Row],[Simple-Forecast]]</f>
        <v>#DIV/0!</v>
      </c>
      <c r="AQ3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5" s="77"/>
      <c r="AS375" s="40" t="str">
        <f>IF(DaybyDay[[#This Row],[Retail Hours]]&gt;0,DaybyDay[[#This Row],[Retail Hours]]*$AS$2,"")</f>
        <v/>
      </c>
      <c r="AT375" s="40">
        <f>SUMIFS(DaybyDay[Est-Retail-Payroll],DaybyDay[Date],"&gt;="&amp;$C$5,DaybyDay[RowYear],"&gt;="&amp;$C$4,DaybyDay[Date],"&lt;="&amp;DaybyDay[[#This Row],[Date]])</f>
        <v>0</v>
      </c>
      <c r="AU375" s="82" t="str">
        <f>IF(AND(DaybyDay[[#This Row],[_Space]],ISNUMBER(DaybyDay[[#This Row],[Retail Hours]])),DaybyDay[[#This Row],[Est-Retail-Payroll]]/(DaybyDay[[#This Row],[Retail-Actuals]]),"")</f>
        <v/>
      </c>
      <c r="AV375" s="82" t="e">
        <f>DaybyDay[[#This Row],[Est-Retail-PayrollRU]]/DaybyDay[[#This Row],[Simple-Forecast-Retail]]</f>
        <v>#DIV/0!</v>
      </c>
      <c r="AW375" s="8"/>
    </row>
    <row r="376" spans="3:49" hidden="1" x14ac:dyDescent="0.25">
      <c r="C376" s="26" t="str">
        <f>Tools!$C$1</f>
        <v>Example</v>
      </c>
      <c r="D376" s="27" t="s">
        <v>79</v>
      </c>
      <c r="E376" s="28">
        <v>2017</v>
      </c>
      <c r="F376" s="28">
        <f>MATCH(DaybyDay[[#This Row],[RowMonth]],Table3[SummaryMonth],0)</f>
        <v>12</v>
      </c>
      <c r="G376" s="29">
        <f>MATCH(DaybyDay[[#This Row],[LY-Date]],DaybyDay[Date],0)</f>
        <v>6</v>
      </c>
      <c r="H376" s="30">
        <f>WEEKDAY(DaybyDay[[#This Row],[Date]])</f>
        <v>6</v>
      </c>
      <c r="I376" s="31">
        <v>43105</v>
      </c>
      <c r="J376" s="74">
        <v>25</v>
      </c>
      <c r="K376" s="32">
        <f>SUMIFS(BudgetSeasonality[365 Seasonality],BudgetSeasonality[MonthAdjustment],DaybyDay[[#This Row],[Date]])*SUMIFS(Budgets[Service-Budget],Budgets[BudgetMonth],DaybyDay[[#This Row],[RowMonth]],Budgets[BudgetYear],DaybyDay[[#This Row],[RowYear]])</f>
        <v>0</v>
      </c>
      <c r="L376" s="75">
        <v>4776.8900000000003</v>
      </c>
      <c r="M376" s="32">
        <f>INDEX(BudgetSeasonality[365 Seasonality],MATCH(DaybyDay[[#This Row],[Date]],BudgetSeasonality[MonthAdjustment],0))*SUMIFS(Budgets[Retail-Budget],Budgets[BudgetMonth],DaybyDay[[#This Row],[RowMonth]],Budgets[BudgetYear],DaybyDay[[#This Row],[RowYear]])</f>
        <v>0</v>
      </c>
      <c r="N376" s="75">
        <v>2608.5</v>
      </c>
      <c r="O376" s="33">
        <f>SUMIFS(DaybyDay[Service-Budgets],DaybyDay[Date],"&gt;="&amp;$C$5,DaybyDay[RowYear],"&gt;="&amp;$C$4,DaybyDay[Date],"&lt;="&amp;DaybyDay[[#This Row],[Date]])</f>
        <v>0</v>
      </c>
      <c r="P376" s="33">
        <f>SUMIFS(DaybyDay[Retail-Budgets],DaybyDay[Date],"&gt;="&amp;$C$5,DaybyDay[RowYear],"&gt;="&amp;$C$4,DaybyDay[Date],"&lt;="&amp;DaybyDay[[#This Row],[Date]])</f>
        <v>0</v>
      </c>
      <c r="Q376" s="34">
        <f>SUMIFS(DaybyDay[Service-Actuals],DaybyDay[Date],"&gt;="&amp;$C$5,DaybyDay[RowYear],"&gt;="&amp;$C$4,DaybyDay[Date],"&lt;="&amp;DaybyDay[[#This Row],[Date]])</f>
        <v>0</v>
      </c>
      <c r="R376" s="34">
        <f>SUMIFS(DaybyDay[Retail-Actuals],DaybyDay[Date],"&gt;="&amp;$C$5,DaybyDay[RowYear],"&gt;="&amp;$C$4,DaybyDay[Date],"&lt;="&amp;DaybyDay[[#This Row],[Date]])</f>
        <v>0</v>
      </c>
      <c r="S376" s="35">
        <f>SUMIFS(DaybyDay[Service-LY],DaybyDay[Date],"&gt;="&amp;$C$5,DaybyDay[RowYear],"&gt;="&amp;$C$4,DaybyDay[Date],"&lt;="&amp;DaybyDay[[#This Row],[Date]])</f>
        <v>0</v>
      </c>
      <c r="T376" s="35">
        <f>SUMIFS(DaybyDay[Retail-LY],DaybyDay[Date],"&gt;="&amp;$C$5,DaybyDay[RowYear],"&gt;="&amp;$C$4,DaybyDay[Date],"&lt;="&amp;DaybyDay[[#This Row],[Date]])</f>
        <v>0</v>
      </c>
      <c r="U376" s="32">
        <f>DaybyDay[[#This Row],[Serv-Bud-RU]]+DaybyDay[[#This Row],[Ret-Bud-RU]]</f>
        <v>0</v>
      </c>
      <c r="V376" s="32">
        <f>DaybyDay[[#This Row],[Serv-Act-RU]]+DaybyDay[[#This Row],[Ret-Act-RU]]</f>
        <v>0</v>
      </c>
      <c r="W376" s="36">
        <f>IF(DaybyDay[[#This Row],[_Space]],IFERROR(
((DaybyDay[[#This Row],[Actual-Rollup]]-DaybyDay[[#This Row],[Budget-Rollup]])/DaybyDay[[#This Row],[Budget-Rollup]]),0),"")</f>
        <v>0</v>
      </c>
      <c r="X376" t="b">
        <f>NOT(AND(ISBLANK(DaybyDay[[#This Row],[Appts]]),ISBLANK(DaybyDay[[#This Row],[Service-Actuals]]),ISBLANK(DaybyDay[[#This Row],[Retail-Actuals]])))</f>
        <v>1</v>
      </c>
      <c r="Y376" s="36">
        <f>IF(DaybyDay[[#This Row],[_Space]],IFERROR(
((DaybyDay[[#This Row],[Actual-Rollup]]-DaybyDay[[#This Row],[LY-Rollup]])/DaybyDay[[#This Row],[LY-Rollup]]),0),"")</f>
        <v>0</v>
      </c>
      <c r="Z376"/>
      <c r="AA376" s="37" t="e">
        <f>IF(DaybyDay[[#This Row],[_Space]],DaybyDay[[#This Row],[Ret-Act-RU]]/DaybyDay[[#This Row],[Serv-Act-RU]],"")</f>
        <v>#DIV/0!</v>
      </c>
      <c r="AB376" s="50" t="e">
        <f>IF(DaybyDay[[#This Row],[_Space]],DaybyDay[[#This Row],[RETPEN-Act]]/DaybyDay[[#This Row],[RETPEN-Bud]],"")</f>
        <v>#DIV/0!</v>
      </c>
      <c r="AC376" s="37" t="e">
        <f>IF(DaybyDay[[#This Row],[_Space]],DaybyDay[[#This Row],[Ret-Bud-RU]]/DaybyDay[[#This Row],[Serv-Bud-RU]],"")</f>
        <v>#DIV/0!</v>
      </c>
      <c r="AD376" s="37" t="e">
        <f>IF(DaybyDay[[#This Row],[_Space]],DaybyDay[[#This Row],[Ret-LY-RU]]/DaybyDay[[#This Row],[Serv-LY-RU]],"")</f>
        <v>#DIV/0!</v>
      </c>
      <c r="AE376" s="30">
        <f>WEEKDAY(DaybyDay[[#This Row],[LY-Date]])</f>
        <v>6</v>
      </c>
      <c r="AF376" s="38">
        <f>$E$2+_xlfn.DAYS(DaybyDay[[#This Row],[Date]],minDate)</f>
        <v>42741</v>
      </c>
      <c r="AG376" s="39" cm="1">
        <f t="array" ref="AG376">IFERROR(INDEX(DaybyDay[],DaybyDay[[#This Row],[FORM_MATCH_HELPER]],8),"")</f>
        <v>35</v>
      </c>
      <c r="AH376" s="39" cm="1">
        <f t="array" ref="AH376">IFERROR(INDEX(DaybyDay[],DaybyDay[[#This Row],[FORM_MATCH_HELPER]],10),"")</f>
        <v>5601.5</v>
      </c>
      <c r="AI376" s="39" cm="1">
        <f t="array" ref="AI376">IFERROR(INDEX(DaybyDay[],DaybyDay[[#This Row],[FORM_MATCH_HELPER]],12),"")</f>
        <v>31.5</v>
      </c>
      <c r="AJ376" s="32">
        <f>IFERROR(DaybyDay[[#This Row],[Serv-LY-RU]]+DaybyDay[[#This Row],[Ret-LY-RU]],"")</f>
        <v>0</v>
      </c>
      <c r="AK3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6" s="77"/>
      <c r="AM376" s="40" t="str">
        <f>IF(DaybyDay[[#This Row],[Admin Hours]]&gt;0,DaybyDay[[#This Row],[Admin Hours]]*$AM$2+$AM$3,"")</f>
        <v/>
      </c>
      <c r="AN376" s="40">
        <f>SUMIFS(DaybyDay[Est-Admin-Payroll],DaybyDay[Date],"&gt;="&amp;$C$5,DaybyDay[RowYear],"&gt;="&amp;$C$4,DaybyDay[Date],"&lt;="&amp;DaybyDay[[#This Row],[Date]])</f>
        <v>0</v>
      </c>
      <c r="AO376" s="41" t="str">
        <f>IF(AND(DaybyDay[[#This Row],[_Space]],ISNUMBER(DaybyDay[[#This Row],[Admin Hours]])),DaybyDay[[#This Row],[Est-Admin-Payroll]]/(DaybyDay[[#This Row],[Service-Actuals]]+DaybyDay[[#This Row],[Retail-Actuals]]),"")</f>
        <v/>
      </c>
      <c r="AP376" s="41" t="e">
        <f>DaybyDay[[#This Row],[Estimated-Payroll-Rollup]]/DaybyDay[[#This Row],[Simple-Forecast]]</f>
        <v>#DIV/0!</v>
      </c>
      <c r="AQ3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6" s="77"/>
      <c r="AS376" s="40" t="str">
        <f>IF(DaybyDay[[#This Row],[Retail Hours]]&gt;0,DaybyDay[[#This Row],[Retail Hours]]*$AS$2,"")</f>
        <v/>
      </c>
      <c r="AT376" s="40">
        <f>SUMIFS(DaybyDay[Est-Retail-Payroll],DaybyDay[Date],"&gt;="&amp;$C$5,DaybyDay[RowYear],"&gt;="&amp;$C$4,DaybyDay[Date],"&lt;="&amp;DaybyDay[[#This Row],[Date]])</f>
        <v>0</v>
      </c>
      <c r="AU376" s="82" t="str">
        <f>IF(AND(DaybyDay[[#This Row],[_Space]],ISNUMBER(DaybyDay[[#This Row],[Retail Hours]])),DaybyDay[[#This Row],[Est-Retail-Payroll]]/(DaybyDay[[#This Row],[Retail-Actuals]]),"")</f>
        <v/>
      </c>
      <c r="AV376" s="82" t="e">
        <f>DaybyDay[[#This Row],[Est-Retail-PayrollRU]]/DaybyDay[[#This Row],[Simple-Forecast-Retail]]</f>
        <v>#DIV/0!</v>
      </c>
      <c r="AW376" s="8"/>
    </row>
    <row r="377" spans="3:49" hidden="1" x14ac:dyDescent="0.25">
      <c r="C377" s="26" t="str">
        <f>Tools!$C$1</f>
        <v>Example</v>
      </c>
      <c r="D377" s="27" t="s">
        <v>79</v>
      </c>
      <c r="E377" s="28">
        <v>2017</v>
      </c>
      <c r="F377" s="28">
        <f>MATCH(DaybyDay[[#This Row],[RowMonth]],Table3[SummaryMonth],0)</f>
        <v>12</v>
      </c>
      <c r="G377" s="29">
        <f>MATCH(DaybyDay[[#This Row],[LY-Date]],DaybyDay[Date],0)</f>
        <v>7</v>
      </c>
      <c r="H377" s="30">
        <f>WEEKDAY(DaybyDay[[#This Row],[Date]])</f>
        <v>7</v>
      </c>
      <c r="I377" s="31">
        <v>43106</v>
      </c>
      <c r="J377" s="74">
        <v>25</v>
      </c>
      <c r="K377" s="32">
        <f>SUMIFS(BudgetSeasonality[365 Seasonality],BudgetSeasonality[MonthAdjustment],DaybyDay[[#This Row],[Date]])*SUMIFS(Budgets[Service-Budget],Budgets[BudgetMonth],DaybyDay[[#This Row],[RowMonth]],Budgets[BudgetYear],DaybyDay[[#This Row],[RowYear]])</f>
        <v>0</v>
      </c>
      <c r="L377" s="75">
        <v>6741</v>
      </c>
      <c r="M377" s="32">
        <f>INDEX(BudgetSeasonality[365 Seasonality],MATCH(DaybyDay[[#This Row],[Date]],BudgetSeasonality[MonthAdjustment],0))*SUMIFS(Budgets[Retail-Budget],Budgets[BudgetMonth],DaybyDay[[#This Row],[RowMonth]],Budgets[BudgetYear],DaybyDay[[#This Row],[RowYear]])</f>
        <v>0</v>
      </c>
      <c r="N377" s="75">
        <v>561</v>
      </c>
      <c r="O377" s="33">
        <f>SUMIFS(DaybyDay[Service-Budgets],DaybyDay[Date],"&gt;="&amp;$C$5,DaybyDay[RowYear],"&gt;="&amp;$C$4,DaybyDay[Date],"&lt;="&amp;DaybyDay[[#This Row],[Date]])</f>
        <v>0</v>
      </c>
      <c r="P377" s="33">
        <f>SUMIFS(DaybyDay[Retail-Budgets],DaybyDay[Date],"&gt;="&amp;$C$5,DaybyDay[RowYear],"&gt;="&amp;$C$4,DaybyDay[Date],"&lt;="&amp;DaybyDay[[#This Row],[Date]])</f>
        <v>0</v>
      </c>
      <c r="Q377" s="34">
        <f>SUMIFS(DaybyDay[Service-Actuals],DaybyDay[Date],"&gt;="&amp;$C$5,DaybyDay[RowYear],"&gt;="&amp;$C$4,DaybyDay[Date],"&lt;="&amp;DaybyDay[[#This Row],[Date]])</f>
        <v>0</v>
      </c>
      <c r="R377" s="34">
        <f>SUMIFS(DaybyDay[Retail-Actuals],DaybyDay[Date],"&gt;="&amp;$C$5,DaybyDay[RowYear],"&gt;="&amp;$C$4,DaybyDay[Date],"&lt;="&amp;DaybyDay[[#This Row],[Date]])</f>
        <v>0</v>
      </c>
      <c r="S377" s="35">
        <f>SUMIFS(DaybyDay[Service-LY],DaybyDay[Date],"&gt;="&amp;$C$5,DaybyDay[RowYear],"&gt;="&amp;$C$4,DaybyDay[Date],"&lt;="&amp;DaybyDay[[#This Row],[Date]])</f>
        <v>0</v>
      </c>
      <c r="T377" s="35">
        <f>SUMIFS(DaybyDay[Retail-LY],DaybyDay[Date],"&gt;="&amp;$C$5,DaybyDay[RowYear],"&gt;="&amp;$C$4,DaybyDay[Date],"&lt;="&amp;DaybyDay[[#This Row],[Date]])</f>
        <v>0</v>
      </c>
      <c r="U377" s="32">
        <f>DaybyDay[[#This Row],[Serv-Bud-RU]]+DaybyDay[[#This Row],[Ret-Bud-RU]]</f>
        <v>0</v>
      </c>
      <c r="V377" s="32">
        <f>DaybyDay[[#This Row],[Serv-Act-RU]]+DaybyDay[[#This Row],[Ret-Act-RU]]</f>
        <v>0</v>
      </c>
      <c r="W377" s="36">
        <f>IF(DaybyDay[[#This Row],[_Space]],IFERROR(
((DaybyDay[[#This Row],[Actual-Rollup]]-DaybyDay[[#This Row],[Budget-Rollup]])/DaybyDay[[#This Row],[Budget-Rollup]]),0),"")</f>
        <v>0</v>
      </c>
      <c r="X377" t="b">
        <f>NOT(AND(ISBLANK(DaybyDay[[#This Row],[Appts]]),ISBLANK(DaybyDay[[#This Row],[Service-Actuals]]),ISBLANK(DaybyDay[[#This Row],[Retail-Actuals]])))</f>
        <v>1</v>
      </c>
      <c r="Y377" s="36">
        <f>IF(DaybyDay[[#This Row],[_Space]],IFERROR(
((DaybyDay[[#This Row],[Actual-Rollup]]-DaybyDay[[#This Row],[LY-Rollup]])/DaybyDay[[#This Row],[LY-Rollup]]),0),"")</f>
        <v>0</v>
      </c>
      <c r="Z377"/>
      <c r="AA377" s="37" t="e">
        <f>IF(DaybyDay[[#This Row],[_Space]],DaybyDay[[#This Row],[Ret-Act-RU]]/DaybyDay[[#This Row],[Serv-Act-RU]],"")</f>
        <v>#DIV/0!</v>
      </c>
      <c r="AB377" s="50" t="e">
        <f>IF(DaybyDay[[#This Row],[_Space]],DaybyDay[[#This Row],[RETPEN-Act]]/DaybyDay[[#This Row],[RETPEN-Bud]],"")</f>
        <v>#DIV/0!</v>
      </c>
      <c r="AC377" s="37" t="e">
        <f>IF(DaybyDay[[#This Row],[_Space]],DaybyDay[[#This Row],[Ret-Bud-RU]]/DaybyDay[[#This Row],[Serv-Bud-RU]],"")</f>
        <v>#DIV/0!</v>
      </c>
      <c r="AD377" s="37" t="e">
        <f>IF(DaybyDay[[#This Row],[_Space]],DaybyDay[[#This Row],[Ret-LY-RU]]/DaybyDay[[#This Row],[Serv-LY-RU]],"")</f>
        <v>#DIV/0!</v>
      </c>
      <c r="AE377" s="30">
        <f>WEEKDAY(DaybyDay[[#This Row],[LY-Date]])</f>
        <v>7</v>
      </c>
      <c r="AF377" s="38">
        <f>$E$2+_xlfn.DAYS(DaybyDay[[#This Row],[Date]],minDate)</f>
        <v>42742</v>
      </c>
      <c r="AG377" s="39" cm="1">
        <f t="array" ref="AG377">IFERROR(INDEX(DaybyDay[],DaybyDay[[#This Row],[FORM_MATCH_HELPER]],8),"")</f>
        <v>49</v>
      </c>
      <c r="AH377" s="39" cm="1">
        <f t="array" ref="AH377">IFERROR(INDEX(DaybyDay[],DaybyDay[[#This Row],[FORM_MATCH_HELPER]],10),"")</f>
        <v>9677.25</v>
      </c>
      <c r="AI377" s="39" cm="1">
        <f t="array" ref="AI377">IFERROR(INDEX(DaybyDay[],DaybyDay[[#This Row],[FORM_MATCH_HELPER]],12),"")</f>
        <v>962</v>
      </c>
      <c r="AJ377" s="32">
        <f>IFERROR(DaybyDay[[#This Row],[Serv-LY-RU]]+DaybyDay[[#This Row],[Ret-LY-RU]],"")</f>
        <v>0</v>
      </c>
      <c r="AK3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7" s="77"/>
      <c r="AM377" s="40" t="str">
        <f>IF(DaybyDay[[#This Row],[Admin Hours]]&gt;0,DaybyDay[[#This Row],[Admin Hours]]*$AM$2+$AM$3,"")</f>
        <v/>
      </c>
      <c r="AN377" s="40">
        <f>SUMIFS(DaybyDay[Est-Admin-Payroll],DaybyDay[Date],"&gt;="&amp;$C$5,DaybyDay[RowYear],"&gt;="&amp;$C$4,DaybyDay[Date],"&lt;="&amp;DaybyDay[[#This Row],[Date]])</f>
        <v>0</v>
      </c>
      <c r="AO377" s="41" t="str">
        <f>IF(AND(DaybyDay[[#This Row],[_Space]],ISNUMBER(DaybyDay[[#This Row],[Admin Hours]])),DaybyDay[[#This Row],[Est-Admin-Payroll]]/(DaybyDay[[#This Row],[Service-Actuals]]+DaybyDay[[#This Row],[Retail-Actuals]]),"")</f>
        <v/>
      </c>
      <c r="AP377" s="41" t="e">
        <f>DaybyDay[[#This Row],[Estimated-Payroll-Rollup]]/DaybyDay[[#This Row],[Simple-Forecast]]</f>
        <v>#DIV/0!</v>
      </c>
      <c r="AQ3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7" s="77"/>
      <c r="AS377" s="40" t="str">
        <f>IF(DaybyDay[[#This Row],[Retail Hours]]&gt;0,DaybyDay[[#This Row],[Retail Hours]]*$AS$2,"")</f>
        <v/>
      </c>
      <c r="AT377" s="40">
        <f>SUMIFS(DaybyDay[Est-Retail-Payroll],DaybyDay[Date],"&gt;="&amp;$C$5,DaybyDay[RowYear],"&gt;="&amp;$C$4,DaybyDay[Date],"&lt;="&amp;DaybyDay[[#This Row],[Date]])</f>
        <v>0</v>
      </c>
      <c r="AU377" s="82" t="str">
        <f>IF(AND(DaybyDay[[#This Row],[_Space]],ISNUMBER(DaybyDay[[#This Row],[Retail Hours]])),DaybyDay[[#This Row],[Est-Retail-Payroll]]/(DaybyDay[[#This Row],[Retail-Actuals]]),"")</f>
        <v/>
      </c>
      <c r="AV377" s="82" t="e">
        <f>DaybyDay[[#This Row],[Est-Retail-PayrollRU]]/DaybyDay[[#This Row],[Simple-Forecast-Retail]]</f>
        <v>#DIV/0!</v>
      </c>
      <c r="AW377" s="8"/>
    </row>
    <row r="378" spans="3:49" hidden="1" x14ac:dyDescent="0.25">
      <c r="C378" s="26" t="str">
        <f>Tools!$C$1</f>
        <v>Example</v>
      </c>
      <c r="D378" s="27" t="s">
        <v>68</v>
      </c>
      <c r="E378" s="28">
        <v>2018</v>
      </c>
      <c r="F378" s="28">
        <f>MATCH(DaybyDay[[#This Row],[RowMonth]],Table3[SummaryMonth],0)</f>
        <v>1</v>
      </c>
      <c r="G378" s="29">
        <f>MATCH(DaybyDay[[#This Row],[LY-Date]],DaybyDay[Date],0)</f>
        <v>8</v>
      </c>
      <c r="H378" s="30">
        <f>WEEKDAY(DaybyDay[[#This Row],[Date]])</f>
        <v>1</v>
      </c>
      <c r="I378" s="31">
        <v>43107</v>
      </c>
      <c r="J378" s="74">
        <v>25</v>
      </c>
      <c r="K378" s="32">
        <f>SUMIFS(BudgetSeasonality[365 Seasonality],BudgetSeasonality[MonthAdjustment],DaybyDay[[#This Row],[Date]])*SUMIFS(Budgets[Service-Budget],Budgets[BudgetMonth],DaybyDay[[#This Row],[RowMonth]],Budgets[BudgetYear],DaybyDay[[#This Row],[RowYear]])</f>
        <v>5604.9703612012327</v>
      </c>
      <c r="L378" s="75">
        <v>5549</v>
      </c>
      <c r="M378" s="32">
        <f>INDEX(BudgetSeasonality[365 Seasonality],MATCH(DaybyDay[[#This Row],[Date]],BudgetSeasonality[MonthAdjustment],0))*SUMIFS(Budgets[Retail-Budget],Budgets[BudgetMonth],DaybyDay[[#This Row],[RowMonth]],Budgets[BudgetYear],DaybyDay[[#This Row],[RowYear]])</f>
        <v>1683.6109912503855</v>
      </c>
      <c r="N378" s="75">
        <v>438</v>
      </c>
      <c r="O378" s="33">
        <f>SUMIFS(DaybyDay[Service-Budgets],DaybyDay[Date],"&gt;="&amp;$C$5,DaybyDay[RowYear],"&gt;="&amp;$C$4,DaybyDay[Date],"&lt;="&amp;DaybyDay[[#This Row],[Date]])</f>
        <v>0</v>
      </c>
      <c r="P378" s="33">
        <f>SUMIFS(DaybyDay[Retail-Budgets],DaybyDay[Date],"&gt;="&amp;$C$5,DaybyDay[RowYear],"&gt;="&amp;$C$4,DaybyDay[Date],"&lt;="&amp;DaybyDay[[#This Row],[Date]])</f>
        <v>0</v>
      </c>
      <c r="Q378" s="34">
        <f>SUMIFS(DaybyDay[Service-Actuals],DaybyDay[Date],"&gt;="&amp;$C$5,DaybyDay[RowYear],"&gt;="&amp;$C$4,DaybyDay[Date],"&lt;="&amp;DaybyDay[[#This Row],[Date]])</f>
        <v>0</v>
      </c>
      <c r="R378" s="34">
        <f>SUMIFS(DaybyDay[Retail-Actuals],DaybyDay[Date],"&gt;="&amp;$C$5,DaybyDay[RowYear],"&gt;="&amp;$C$4,DaybyDay[Date],"&lt;="&amp;DaybyDay[[#This Row],[Date]])</f>
        <v>0</v>
      </c>
      <c r="S378" s="35">
        <f>SUMIFS(DaybyDay[Service-LY],DaybyDay[Date],"&gt;="&amp;$C$5,DaybyDay[RowYear],"&gt;="&amp;$C$4,DaybyDay[Date],"&lt;="&amp;DaybyDay[[#This Row],[Date]])</f>
        <v>0</v>
      </c>
      <c r="T378" s="35">
        <f>SUMIFS(DaybyDay[Retail-LY],DaybyDay[Date],"&gt;="&amp;$C$5,DaybyDay[RowYear],"&gt;="&amp;$C$4,DaybyDay[Date],"&lt;="&amp;DaybyDay[[#This Row],[Date]])</f>
        <v>0</v>
      </c>
      <c r="U378" s="32">
        <f>DaybyDay[[#This Row],[Serv-Bud-RU]]+DaybyDay[[#This Row],[Ret-Bud-RU]]</f>
        <v>0</v>
      </c>
      <c r="V378" s="32">
        <f>DaybyDay[[#This Row],[Serv-Act-RU]]+DaybyDay[[#This Row],[Ret-Act-RU]]</f>
        <v>0</v>
      </c>
      <c r="W378" s="36">
        <f>IF(DaybyDay[[#This Row],[_Space]],IFERROR(
((DaybyDay[[#This Row],[Actual-Rollup]]-DaybyDay[[#This Row],[Budget-Rollup]])/DaybyDay[[#This Row],[Budget-Rollup]]),0),"")</f>
        <v>0</v>
      </c>
      <c r="X378" t="b">
        <f>NOT(AND(ISBLANK(DaybyDay[[#This Row],[Appts]]),ISBLANK(DaybyDay[[#This Row],[Service-Actuals]]),ISBLANK(DaybyDay[[#This Row],[Retail-Actuals]])))</f>
        <v>1</v>
      </c>
      <c r="Y378" s="36">
        <f>IF(DaybyDay[[#This Row],[_Space]],IFERROR(
((DaybyDay[[#This Row],[Actual-Rollup]]-DaybyDay[[#This Row],[LY-Rollup]])/DaybyDay[[#This Row],[LY-Rollup]]),0),"")</f>
        <v>0</v>
      </c>
      <c r="Z378"/>
      <c r="AA378" s="37" t="e">
        <f>IF(DaybyDay[[#This Row],[_Space]],DaybyDay[[#This Row],[Ret-Act-RU]]/DaybyDay[[#This Row],[Serv-Act-RU]],"")</f>
        <v>#DIV/0!</v>
      </c>
      <c r="AB378" s="50" t="e">
        <f>IF(DaybyDay[[#This Row],[_Space]],DaybyDay[[#This Row],[RETPEN-Act]]/DaybyDay[[#This Row],[RETPEN-Bud]],"")</f>
        <v>#DIV/0!</v>
      </c>
      <c r="AC378" s="37" t="e">
        <f>IF(DaybyDay[[#This Row],[_Space]],DaybyDay[[#This Row],[Ret-Bud-RU]]/DaybyDay[[#This Row],[Serv-Bud-RU]],"")</f>
        <v>#DIV/0!</v>
      </c>
      <c r="AD378" s="37" t="e">
        <f>IF(DaybyDay[[#This Row],[_Space]],DaybyDay[[#This Row],[Ret-LY-RU]]/DaybyDay[[#This Row],[Serv-LY-RU]],"")</f>
        <v>#DIV/0!</v>
      </c>
      <c r="AE378" s="30">
        <f>WEEKDAY(DaybyDay[[#This Row],[LY-Date]])</f>
        <v>1</v>
      </c>
      <c r="AF378" s="38">
        <f>$E$2+_xlfn.DAYS(DaybyDay[[#This Row],[Date]],minDate)</f>
        <v>42743</v>
      </c>
      <c r="AG378" s="39" cm="1">
        <f t="array" ref="AG378">IFERROR(INDEX(DaybyDay[],DaybyDay[[#This Row],[FORM_MATCH_HELPER]],8),"")</f>
        <v>42</v>
      </c>
      <c r="AH378" s="39" cm="1">
        <f t="array" ref="AH378">IFERROR(INDEX(DaybyDay[],DaybyDay[[#This Row],[FORM_MATCH_HELPER]],10),"")</f>
        <v>6135.64</v>
      </c>
      <c r="AI378" s="39" cm="1">
        <f t="array" ref="AI378">IFERROR(INDEX(DaybyDay[],DaybyDay[[#This Row],[FORM_MATCH_HELPER]],12),"")</f>
        <v>456.6</v>
      </c>
      <c r="AJ378" s="32">
        <f>IFERROR(DaybyDay[[#This Row],[Serv-LY-RU]]+DaybyDay[[#This Row],[Ret-LY-RU]],"")</f>
        <v>0</v>
      </c>
      <c r="AK3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8" s="77"/>
      <c r="AM378" s="40" t="str">
        <f>IF(DaybyDay[[#This Row],[Admin Hours]]&gt;0,DaybyDay[[#This Row],[Admin Hours]]*$AM$2+$AM$3,"")</f>
        <v/>
      </c>
      <c r="AN378" s="40">
        <f>SUMIFS(DaybyDay[Est-Admin-Payroll],DaybyDay[Date],"&gt;="&amp;$C$5,DaybyDay[RowYear],"&gt;="&amp;$C$4,DaybyDay[Date],"&lt;="&amp;DaybyDay[[#This Row],[Date]])</f>
        <v>0</v>
      </c>
      <c r="AO378" s="41" t="str">
        <f>IF(AND(DaybyDay[[#This Row],[_Space]],ISNUMBER(DaybyDay[[#This Row],[Admin Hours]])),DaybyDay[[#This Row],[Est-Admin-Payroll]]/(DaybyDay[[#This Row],[Service-Actuals]]+DaybyDay[[#This Row],[Retail-Actuals]]),"")</f>
        <v/>
      </c>
      <c r="AP378" s="41" t="e">
        <f>DaybyDay[[#This Row],[Estimated-Payroll-Rollup]]/DaybyDay[[#This Row],[Simple-Forecast]]</f>
        <v>#DIV/0!</v>
      </c>
      <c r="AQ3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8" s="77"/>
      <c r="AS378" s="40" t="str">
        <f>IF(DaybyDay[[#This Row],[Retail Hours]]&gt;0,DaybyDay[[#This Row],[Retail Hours]]*$AS$2,"")</f>
        <v/>
      </c>
      <c r="AT378" s="40">
        <f>SUMIFS(DaybyDay[Est-Retail-Payroll],DaybyDay[Date],"&gt;="&amp;$C$5,DaybyDay[RowYear],"&gt;="&amp;$C$4,DaybyDay[Date],"&lt;="&amp;DaybyDay[[#This Row],[Date]])</f>
        <v>0</v>
      </c>
      <c r="AU378" s="82" t="str">
        <f>IF(AND(DaybyDay[[#This Row],[_Space]],ISNUMBER(DaybyDay[[#This Row],[Retail Hours]])),DaybyDay[[#This Row],[Est-Retail-Payroll]]/(DaybyDay[[#This Row],[Retail-Actuals]]),"")</f>
        <v/>
      </c>
      <c r="AV378" s="82" t="e">
        <f>DaybyDay[[#This Row],[Est-Retail-PayrollRU]]/DaybyDay[[#This Row],[Simple-Forecast-Retail]]</f>
        <v>#DIV/0!</v>
      </c>
      <c r="AW378" s="8"/>
    </row>
    <row r="379" spans="3:49" hidden="1" x14ac:dyDescent="0.25">
      <c r="C379" s="26" t="str">
        <f>Tools!$C$1</f>
        <v>Example</v>
      </c>
      <c r="D379" s="27" t="s">
        <v>68</v>
      </c>
      <c r="E379" s="28">
        <v>2018</v>
      </c>
      <c r="F379" s="28">
        <f>MATCH(DaybyDay[[#This Row],[RowMonth]],Table3[SummaryMonth],0)</f>
        <v>1</v>
      </c>
      <c r="G379" s="29">
        <f>MATCH(DaybyDay[[#This Row],[LY-Date]],DaybyDay[Date],0)</f>
        <v>9</v>
      </c>
      <c r="H379" s="30">
        <f>WEEKDAY(DaybyDay[[#This Row],[Date]])</f>
        <v>2</v>
      </c>
      <c r="I379" s="31">
        <v>43108</v>
      </c>
      <c r="J379" s="74">
        <v>7</v>
      </c>
      <c r="K379" s="32">
        <f>SUMIFS(BudgetSeasonality[365 Seasonality],BudgetSeasonality[MonthAdjustment],DaybyDay[[#This Row],[Date]])*SUMIFS(Budgets[Service-Budget],Budgets[BudgetMonth],DaybyDay[[#This Row],[RowMonth]],Budgets[BudgetYear],DaybyDay[[#This Row],[RowYear]])</f>
        <v>3427.6086703656679</v>
      </c>
      <c r="L379" s="75">
        <v>1248.5</v>
      </c>
      <c r="M379" s="32">
        <f>INDEX(BudgetSeasonality[365 Seasonality],MATCH(DaybyDay[[#This Row],[Date]],BudgetSeasonality[MonthAdjustment],0))*SUMIFS(Budgets[Retail-Budget],Budgets[BudgetMonth],DaybyDay[[#This Row],[RowMonth]],Budgets[BudgetYear],DaybyDay[[#This Row],[RowYear]])</f>
        <v>1029.5789735266314</v>
      </c>
      <c r="N379" s="75">
        <v>738</v>
      </c>
      <c r="O379" s="33">
        <f>SUMIFS(DaybyDay[Service-Budgets],DaybyDay[Date],"&gt;="&amp;$C$5,DaybyDay[RowYear],"&gt;="&amp;$C$4,DaybyDay[Date],"&lt;="&amp;DaybyDay[[#This Row],[Date]])</f>
        <v>0</v>
      </c>
      <c r="P379" s="33">
        <f>SUMIFS(DaybyDay[Retail-Budgets],DaybyDay[Date],"&gt;="&amp;$C$5,DaybyDay[RowYear],"&gt;="&amp;$C$4,DaybyDay[Date],"&lt;="&amp;DaybyDay[[#This Row],[Date]])</f>
        <v>0</v>
      </c>
      <c r="Q379" s="34">
        <f>SUMIFS(DaybyDay[Service-Actuals],DaybyDay[Date],"&gt;="&amp;$C$5,DaybyDay[RowYear],"&gt;="&amp;$C$4,DaybyDay[Date],"&lt;="&amp;DaybyDay[[#This Row],[Date]])</f>
        <v>0</v>
      </c>
      <c r="R379" s="34">
        <f>SUMIFS(DaybyDay[Retail-Actuals],DaybyDay[Date],"&gt;="&amp;$C$5,DaybyDay[RowYear],"&gt;="&amp;$C$4,DaybyDay[Date],"&lt;="&amp;DaybyDay[[#This Row],[Date]])</f>
        <v>0</v>
      </c>
      <c r="S379" s="35">
        <f>SUMIFS(DaybyDay[Service-LY],DaybyDay[Date],"&gt;="&amp;$C$5,DaybyDay[RowYear],"&gt;="&amp;$C$4,DaybyDay[Date],"&lt;="&amp;DaybyDay[[#This Row],[Date]])</f>
        <v>0</v>
      </c>
      <c r="T379" s="35">
        <f>SUMIFS(DaybyDay[Retail-LY],DaybyDay[Date],"&gt;="&amp;$C$5,DaybyDay[RowYear],"&gt;="&amp;$C$4,DaybyDay[Date],"&lt;="&amp;DaybyDay[[#This Row],[Date]])</f>
        <v>0</v>
      </c>
      <c r="U379" s="32">
        <f>DaybyDay[[#This Row],[Serv-Bud-RU]]+DaybyDay[[#This Row],[Ret-Bud-RU]]</f>
        <v>0</v>
      </c>
      <c r="V379" s="32">
        <f>DaybyDay[[#This Row],[Serv-Act-RU]]+DaybyDay[[#This Row],[Ret-Act-RU]]</f>
        <v>0</v>
      </c>
      <c r="W379" s="36">
        <f>IF(DaybyDay[[#This Row],[_Space]],IFERROR(
((DaybyDay[[#This Row],[Actual-Rollup]]-DaybyDay[[#This Row],[Budget-Rollup]])/DaybyDay[[#This Row],[Budget-Rollup]]),0),"")</f>
        <v>0</v>
      </c>
      <c r="X379" t="b">
        <f>NOT(AND(ISBLANK(DaybyDay[[#This Row],[Appts]]),ISBLANK(DaybyDay[[#This Row],[Service-Actuals]]),ISBLANK(DaybyDay[[#This Row],[Retail-Actuals]])))</f>
        <v>1</v>
      </c>
      <c r="Y379" s="36">
        <f>IF(DaybyDay[[#This Row],[_Space]],IFERROR(
((DaybyDay[[#This Row],[Actual-Rollup]]-DaybyDay[[#This Row],[LY-Rollup]])/DaybyDay[[#This Row],[LY-Rollup]]),0),"")</f>
        <v>0</v>
      </c>
      <c r="Z379"/>
      <c r="AA379" s="37" t="e">
        <f>IF(DaybyDay[[#This Row],[_Space]],DaybyDay[[#This Row],[Ret-Act-RU]]/DaybyDay[[#This Row],[Serv-Act-RU]],"")</f>
        <v>#DIV/0!</v>
      </c>
      <c r="AB379" s="50" t="e">
        <f>IF(DaybyDay[[#This Row],[_Space]],DaybyDay[[#This Row],[RETPEN-Act]]/DaybyDay[[#This Row],[RETPEN-Bud]],"")</f>
        <v>#DIV/0!</v>
      </c>
      <c r="AC379" s="37" t="e">
        <f>IF(DaybyDay[[#This Row],[_Space]],DaybyDay[[#This Row],[Ret-Bud-RU]]/DaybyDay[[#This Row],[Serv-Bud-RU]],"")</f>
        <v>#DIV/0!</v>
      </c>
      <c r="AD379" s="37" t="e">
        <f>IF(DaybyDay[[#This Row],[_Space]],DaybyDay[[#This Row],[Ret-LY-RU]]/DaybyDay[[#This Row],[Serv-LY-RU]],"")</f>
        <v>#DIV/0!</v>
      </c>
      <c r="AE379" s="30">
        <f>WEEKDAY(DaybyDay[[#This Row],[LY-Date]])</f>
        <v>2</v>
      </c>
      <c r="AF379" s="38">
        <f>$E$2+_xlfn.DAYS(DaybyDay[[#This Row],[Date]],minDate)</f>
        <v>42744</v>
      </c>
      <c r="AG379" s="39" cm="1">
        <f t="array" ref="AG379">IFERROR(INDEX(DaybyDay[],DaybyDay[[#This Row],[FORM_MATCH_HELPER]],8),"")</f>
        <v>32</v>
      </c>
      <c r="AH379" s="39" cm="1">
        <f t="array" ref="AH379">IFERROR(INDEX(DaybyDay[],DaybyDay[[#This Row],[FORM_MATCH_HELPER]],10),"")</f>
        <v>4813.25</v>
      </c>
      <c r="AI379" s="39" cm="1">
        <f t="array" ref="AI379">IFERROR(INDEX(DaybyDay[],DaybyDay[[#This Row],[FORM_MATCH_HELPER]],12),"")</f>
        <v>678</v>
      </c>
      <c r="AJ379" s="32">
        <f>IFERROR(DaybyDay[[#This Row],[Serv-LY-RU]]+DaybyDay[[#This Row],[Ret-LY-RU]],"")</f>
        <v>0</v>
      </c>
      <c r="AK3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79" s="77"/>
      <c r="AM379" s="40" t="str">
        <f>IF(DaybyDay[[#This Row],[Admin Hours]]&gt;0,DaybyDay[[#This Row],[Admin Hours]]*$AM$2+$AM$3,"")</f>
        <v/>
      </c>
      <c r="AN379" s="40">
        <f>SUMIFS(DaybyDay[Est-Admin-Payroll],DaybyDay[Date],"&gt;="&amp;$C$5,DaybyDay[RowYear],"&gt;="&amp;$C$4,DaybyDay[Date],"&lt;="&amp;DaybyDay[[#This Row],[Date]])</f>
        <v>0</v>
      </c>
      <c r="AO379" s="41" t="str">
        <f>IF(AND(DaybyDay[[#This Row],[_Space]],ISNUMBER(DaybyDay[[#This Row],[Admin Hours]])),DaybyDay[[#This Row],[Est-Admin-Payroll]]/(DaybyDay[[#This Row],[Service-Actuals]]+DaybyDay[[#This Row],[Retail-Actuals]]),"")</f>
        <v/>
      </c>
      <c r="AP379" s="41" t="e">
        <f>DaybyDay[[#This Row],[Estimated-Payroll-Rollup]]/DaybyDay[[#This Row],[Simple-Forecast]]</f>
        <v>#DIV/0!</v>
      </c>
      <c r="AQ3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79" s="77"/>
      <c r="AS379" s="40" t="str">
        <f>IF(DaybyDay[[#This Row],[Retail Hours]]&gt;0,DaybyDay[[#This Row],[Retail Hours]]*$AS$2,"")</f>
        <v/>
      </c>
      <c r="AT379" s="40">
        <f>SUMIFS(DaybyDay[Est-Retail-Payroll],DaybyDay[Date],"&gt;="&amp;$C$5,DaybyDay[RowYear],"&gt;="&amp;$C$4,DaybyDay[Date],"&lt;="&amp;DaybyDay[[#This Row],[Date]])</f>
        <v>0</v>
      </c>
      <c r="AU379" s="82" t="str">
        <f>IF(AND(DaybyDay[[#This Row],[_Space]],ISNUMBER(DaybyDay[[#This Row],[Retail Hours]])),DaybyDay[[#This Row],[Est-Retail-Payroll]]/(DaybyDay[[#This Row],[Retail-Actuals]]),"")</f>
        <v/>
      </c>
      <c r="AV379" s="82" t="e">
        <f>DaybyDay[[#This Row],[Est-Retail-PayrollRU]]/DaybyDay[[#This Row],[Simple-Forecast-Retail]]</f>
        <v>#DIV/0!</v>
      </c>
      <c r="AW379" s="8"/>
    </row>
    <row r="380" spans="3:49" hidden="1" x14ac:dyDescent="0.25">
      <c r="C380" s="26" t="str">
        <f>Tools!$C$1</f>
        <v>Example</v>
      </c>
      <c r="D380" s="27" t="s">
        <v>68</v>
      </c>
      <c r="E380" s="28">
        <v>2018</v>
      </c>
      <c r="F380" s="28">
        <f>MATCH(DaybyDay[[#This Row],[RowMonth]],Table3[SummaryMonth],0)</f>
        <v>1</v>
      </c>
      <c r="G380" s="29">
        <f>MATCH(DaybyDay[[#This Row],[LY-Date]],DaybyDay[Date],0)</f>
        <v>10</v>
      </c>
      <c r="H380" s="30">
        <f>WEEKDAY(DaybyDay[[#This Row],[Date]])</f>
        <v>3</v>
      </c>
      <c r="I380" s="31">
        <v>43109</v>
      </c>
      <c r="J380" s="74">
        <v>14</v>
      </c>
      <c r="K380" s="32">
        <f>SUMIFS(BudgetSeasonality[365 Seasonality],BudgetSeasonality[MonthAdjustment],DaybyDay[[#This Row],[Date]])*SUMIFS(Budgets[Service-Budget],Budgets[BudgetMonth],DaybyDay[[#This Row],[RowMonth]],Budgets[BudgetYear],DaybyDay[[#This Row],[RowYear]])</f>
        <v>3500.4472936351685</v>
      </c>
      <c r="L380" s="75">
        <v>2786</v>
      </c>
      <c r="M380" s="32">
        <f>INDEX(BudgetSeasonality[365 Seasonality],MATCH(DaybyDay[[#This Row],[Date]],BudgetSeasonality[MonthAdjustment],0))*SUMIFS(Budgets[Retail-Budget],Budgets[BudgetMonth],DaybyDay[[#This Row],[RowMonth]],Budgets[BudgetYear],DaybyDay[[#This Row],[RowYear]])</f>
        <v>1051.4581091547091</v>
      </c>
      <c r="N380" s="75">
        <v>217</v>
      </c>
      <c r="O380" s="33">
        <f>SUMIFS(DaybyDay[Service-Budgets],DaybyDay[Date],"&gt;="&amp;$C$5,DaybyDay[RowYear],"&gt;="&amp;$C$4,DaybyDay[Date],"&lt;="&amp;DaybyDay[[#This Row],[Date]])</f>
        <v>0</v>
      </c>
      <c r="P380" s="33">
        <f>SUMIFS(DaybyDay[Retail-Budgets],DaybyDay[Date],"&gt;="&amp;$C$5,DaybyDay[RowYear],"&gt;="&amp;$C$4,DaybyDay[Date],"&lt;="&amp;DaybyDay[[#This Row],[Date]])</f>
        <v>0</v>
      </c>
      <c r="Q380" s="34">
        <f>SUMIFS(DaybyDay[Service-Actuals],DaybyDay[Date],"&gt;="&amp;$C$5,DaybyDay[RowYear],"&gt;="&amp;$C$4,DaybyDay[Date],"&lt;="&amp;DaybyDay[[#This Row],[Date]])</f>
        <v>0</v>
      </c>
      <c r="R380" s="34">
        <f>SUMIFS(DaybyDay[Retail-Actuals],DaybyDay[Date],"&gt;="&amp;$C$5,DaybyDay[RowYear],"&gt;="&amp;$C$4,DaybyDay[Date],"&lt;="&amp;DaybyDay[[#This Row],[Date]])</f>
        <v>0</v>
      </c>
      <c r="S380" s="35">
        <f>SUMIFS(DaybyDay[Service-LY],DaybyDay[Date],"&gt;="&amp;$C$5,DaybyDay[RowYear],"&gt;="&amp;$C$4,DaybyDay[Date],"&lt;="&amp;DaybyDay[[#This Row],[Date]])</f>
        <v>0</v>
      </c>
      <c r="T380" s="35">
        <f>SUMIFS(DaybyDay[Retail-LY],DaybyDay[Date],"&gt;="&amp;$C$5,DaybyDay[RowYear],"&gt;="&amp;$C$4,DaybyDay[Date],"&lt;="&amp;DaybyDay[[#This Row],[Date]])</f>
        <v>0</v>
      </c>
      <c r="U380" s="32">
        <f>DaybyDay[[#This Row],[Serv-Bud-RU]]+DaybyDay[[#This Row],[Ret-Bud-RU]]</f>
        <v>0</v>
      </c>
      <c r="V380" s="32">
        <f>DaybyDay[[#This Row],[Serv-Act-RU]]+DaybyDay[[#This Row],[Ret-Act-RU]]</f>
        <v>0</v>
      </c>
      <c r="W380" s="36">
        <f>IF(DaybyDay[[#This Row],[_Space]],IFERROR(
((DaybyDay[[#This Row],[Actual-Rollup]]-DaybyDay[[#This Row],[Budget-Rollup]])/DaybyDay[[#This Row],[Budget-Rollup]]),0),"")</f>
        <v>0</v>
      </c>
      <c r="X380" t="b">
        <f>NOT(AND(ISBLANK(DaybyDay[[#This Row],[Appts]]),ISBLANK(DaybyDay[[#This Row],[Service-Actuals]]),ISBLANK(DaybyDay[[#This Row],[Retail-Actuals]])))</f>
        <v>1</v>
      </c>
      <c r="Y380" s="36">
        <f>IF(DaybyDay[[#This Row],[_Space]],IFERROR(
((DaybyDay[[#This Row],[Actual-Rollup]]-DaybyDay[[#This Row],[LY-Rollup]])/DaybyDay[[#This Row],[LY-Rollup]]),0),"")</f>
        <v>0</v>
      </c>
      <c r="Z380"/>
      <c r="AA380" s="37" t="e">
        <f>IF(DaybyDay[[#This Row],[_Space]],DaybyDay[[#This Row],[Ret-Act-RU]]/DaybyDay[[#This Row],[Serv-Act-RU]],"")</f>
        <v>#DIV/0!</v>
      </c>
      <c r="AB380" s="50" t="e">
        <f>IF(DaybyDay[[#This Row],[_Space]],DaybyDay[[#This Row],[RETPEN-Act]]/DaybyDay[[#This Row],[RETPEN-Bud]],"")</f>
        <v>#DIV/0!</v>
      </c>
      <c r="AC380" s="37" t="e">
        <f>IF(DaybyDay[[#This Row],[_Space]],DaybyDay[[#This Row],[Ret-Bud-RU]]/DaybyDay[[#This Row],[Serv-Bud-RU]],"")</f>
        <v>#DIV/0!</v>
      </c>
      <c r="AD380" s="37" t="e">
        <f>IF(DaybyDay[[#This Row],[_Space]],DaybyDay[[#This Row],[Ret-LY-RU]]/DaybyDay[[#This Row],[Serv-LY-RU]],"")</f>
        <v>#DIV/0!</v>
      </c>
      <c r="AE380" s="30">
        <f>WEEKDAY(DaybyDay[[#This Row],[LY-Date]])</f>
        <v>3</v>
      </c>
      <c r="AF380" s="38">
        <f>$E$2+_xlfn.DAYS(DaybyDay[[#This Row],[Date]],minDate)</f>
        <v>42745</v>
      </c>
      <c r="AG380" s="39" cm="1">
        <f t="array" ref="AG380">IFERROR(INDEX(DaybyDay[],DaybyDay[[#This Row],[FORM_MATCH_HELPER]],8),"")</f>
        <v>41</v>
      </c>
      <c r="AH380" s="39" cm="1">
        <f t="array" ref="AH380">IFERROR(INDEX(DaybyDay[],DaybyDay[[#This Row],[FORM_MATCH_HELPER]],10),"")</f>
        <v>6978.1</v>
      </c>
      <c r="AI380" s="39" cm="1">
        <f t="array" ref="AI380">IFERROR(INDEX(DaybyDay[],DaybyDay[[#This Row],[FORM_MATCH_HELPER]],12),"")</f>
        <v>477.69</v>
      </c>
      <c r="AJ380" s="32">
        <f>IFERROR(DaybyDay[[#This Row],[Serv-LY-RU]]+DaybyDay[[#This Row],[Ret-LY-RU]],"")</f>
        <v>0</v>
      </c>
      <c r="AK3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0" s="77"/>
      <c r="AM380" s="40" t="str">
        <f>IF(DaybyDay[[#This Row],[Admin Hours]]&gt;0,DaybyDay[[#This Row],[Admin Hours]]*$AM$2+$AM$3,"")</f>
        <v/>
      </c>
      <c r="AN380" s="40">
        <f>SUMIFS(DaybyDay[Est-Admin-Payroll],DaybyDay[Date],"&gt;="&amp;$C$5,DaybyDay[RowYear],"&gt;="&amp;$C$4,DaybyDay[Date],"&lt;="&amp;DaybyDay[[#This Row],[Date]])</f>
        <v>0</v>
      </c>
      <c r="AO380" s="41" t="str">
        <f>IF(AND(DaybyDay[[#This Row],[_Space]],ISNUMBER(DaybyDay[[#This Row],[Admin Hours]])),DaybyDay[[#This Row],[Est-Admin-Payroll]]/(DaybyDay[[#This Row],[Service-Actuals]]+DaybyDay[[#This Row],[Retail-Actuals]]),"")</f>
        <v/>
      </c>
      <c r="AP380" s="41" t="e">
        <f>DaybyDay[[#This Row],[Estimated-Payroll-Rollup]]/DaybyDay[[#This Row],[Simple-Forecast]]</f>
        <v>#DIV/0!</v>
      </c>
      <c r="AQ3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0" s="77"/>
      <c r="AS380" s="40" t="str">
        <f>IF(DaybyDay[[#This Row],[Retail Hours]]&gt;0,DaybyDay[[#This Row],[Retail Hours]]*$AS$2,"")</f>
        <v/>
      </c>
      <c r="AT380" s="40">
        <f>SUMIFS(DaybyDay[Est-Retail-Payroll],DaybyDay[Date],"&gt;="&amp;$C$5,DaybyDay[RowYear],"&gt;="&amp;$C$4,DaybyDay[Date],"&lt;="&amp;DaybyDay[[#This Row],[Date]])</f>
        <v>0</v>
      </c>
      <c r="AU380" s="82" t="str">
        <f>IF(AND(DaybyDay[[#This Row],[_Space]],ISNUMBER(DaybyDay[[#This Row],[Retail Hours]])),DaybyDay[[#This Row],[Est-Retail-Payroll]]/(DaybyDay[[#This Row],[Retail-Actuals]]),"")</f>
        <v/>
      </c>
      <c r="AV380" s="82" t="e">
        <f>DaybyDay[[#This Row],[Est-Retail-PayrollRU]]/DaybyDay[[#This Row],[Simple-Forecast-Retail]]</f>
        <v>#DIV/0!</v>
      </c>
      <c r="AW380" s="8"/>
    </row>
    <row r="381" spans="3:49" hidden="1" x14ac:dyDescent="0.25">
      <c r="C381" s="26" t="str">
        <f>Tools!$C$1</f>
        <v>Example</v>
      </c>
      <c r="D381" s="27" t="s">
        <v>68</v>
      </c>
      <c r="E381" s="28">
        <v>2018</v>
      </c>
      <c r="F381" s="28">
        <f>MATCH(DaybyDay[[#This Row],[RowMonth]],Table3[SummaryMonth],0)</f>
        <v>1</v>
      </c>
      <c r="G381" s="29">
        <f>MATCH(DaybyDay[[#This Row],[LY-Date]],DaybyDay[Date],0)</f>
        <v>11</v>
      </c>
      <c r="H381" s="30">
        <f>WEEKDAY(DaybyDay[[#This Row],[Date]])</f>
        <v>4</v>
      </c>
      <c r="I381" s="31">
        <v>43110</v>
      </c>
      <c r="J381" s="74">
        <v>21</v>
      </c>
      <c r="K381" s="32">
        <f>SUMIFS(BudgetSeasonality[365 Seasonality],BudgetSeasonality[MonthAdjustment],DaybyDay[[#This Row],[Date]])*SUMIFS(Budgets[Service-Budget],Budgets[BudgetMonth],DaybyDay[[#This Row],[RowMonth]],Budgets[BudgetYear],DaybyDay[[#This Row],[RowYear]])</f>
        <v>3970.5164948897113</v>
      </c>
      <c r="L381" s="75">
        <v>5272</v>
      </c>
      <c r="M381" s="32">
        <f>INDEX(BudgetSeasonality[365 Seasonality],MATCH(DaybyDay[[#This Row],[Date]],BudgetSeasonality[MonthAdjustment],0))*SUMIFS(Budgets[Retail-Budget],Budgets[BudgetMonth],DaybyDay[[#This Row],[RowMonth]],Budgets[BudgetYear],DaybyDay[[#This Row],[RowYear]])</f>
        <v>1192.6566566722424</v>
      </c>
      <c r="N381" s="75">
        <v>898</v>
      </c>
      <c r="O381" s="33">
        <f>SUMIFS(DaybyDay[Service-Budgets],DaybyDay[Date],"&gt;="&amp;$C$5,DaybyDay[RowYear],"&gt;="&amp;$C$4,DaybyDay[Date],"&lt;="&amp;DaybyDay[[#This Row],[Date]])</f>
        <v>0</v>
      </c>
      <c r="P381" s="33">
        <f>SUMIFS(DaybyDay[Retail-Budgets],DaybyDay[Date],"&gt;="&amp;$C$5,DaybyDay[RowYear],"&gt;="&amp;$C$4,DaybyDay[Date],"&lt;="&amp;DaybyDay[[#This Row],[Date]])</f>
        <v>0</v>
      </c>
      <c r="Q381" s="34">
        <f>SUMIFS(DaybyDay[Service-Actuals],DaybyDay[Date],"&gt;="&amp;$C$5,DaybyDay[RowYear],"&gt;="&amp;$C$4,DaybyDay[Date],"&lt;="&amp;DaybyDay[[#This Row],[Date]])</f>
        <v>0</v>
      </c>
      <c r="R381" s="34">
        <f>SUMIFS(DaybyDay[Retail-Actuals],DaybyDay[Date],"&gt;="&amp;$C$5,DaybyDay[RowYear],"&gt;="&amp;$C$4,DaybyDay[Date],"&lt;="&amp;DaybyDay[[#This Row],[Date]])</f>
        <v>0</v>
      </c>
      <c r="S381" s="35">
        <f>SUMIFS(DaybyDay[Service-LY],DaybyDay[Date],"&gt;="&amp;$C$5,DaybyDay[RowYear],"&gt;="&amp;$C$4,DaybyDay[Date],"&lt;="&amp;DaybyDay[[#This Row],[Date]])</f>
        <v>0</v>
      </c>
      <c r="T381" s="35">
        <f>SUMIFS(DaybyDay[Retail-LY],DaybyDay[Date],"&gt;="&amp;$C$5,DaybyDay[RowYear],"&gt;="&amp;$C$4,DaybyDay[Date],"&lt;="&amp;DaybyDay[[#This Row],[Date]])</f>
        <v>0</v>
      </c>
      <c r="U381" s="32">
        <f>DaybyDay[[#This Row],[Serv-Bud-RU]]+DaybyDay[[#This Row],[Ret-Bud-RU]]</f>
        <v>0</v>
      </c>
      <c r="V381" s="32">
        <f>DaybyDay[[#This Row],[Serv-Act-RU]]+DaybyDay[[#This Row],[Ret-Act-RU]]</f>
        <v>0</v>
      </c>
      <c r="W381" s="36">
        <f>IF(DaybyDay[[#This Row],[_Space]],IFERROR(
((DaybyDay[[#This Row],[Actual-Rollup]]-DaybyDay[[#This Row],[Budget-Rollup]])/DaybyDay[[#This Row],[Budget-Rollup]]),0),"")</f>
        <v>0</v>
      </c>
      <c r="X381" t="b">
        <f>NOT(AND(ISBLANK(DaybyDay[[#This Row],[Appts]]),ISBLANK(DaybyDay[[#This Row],[Service-Actuals]]),ISBLANK(DaybyDay[[#This Row],[Retail-Actuals]])))</f>
        <v>1</v>
      </c>
      <c r="Y381" s="36">
        <f>IF(DaybyDay[[#This Row],[_Space]],IFERROR(
((DaybyDay[[#This Row],[Actual-Rollup]]-DaybyDay[[#This Row],[LY-Rollup]])/DaybyDay[[#This Row],[LY-Rollup]]),0),"")</f>
        <v>0</v>
      </c>
      <c r="Z381"/>
      <c r="AA381" s="37" t="e">
        <f>IF(DaybyDay[[#This Row],[_Space]],DaybyDay[[#This Row],[Ret-Act-RU]]/DaybyDay[[#This Row],[Serv-Act-RU]],"")</f>
        <v>#DIV/0!</v>
      </c>
      <c r="AB381" s="50" t="e">
        <f>IF(DaybyDay[[#This Row],[_Space]],DaybyDay[[#This Row],[RETPEN-Act]]/DaybyDay[[#This Row],[RETPEN-Bud]],"")</f>
        <v>#DIV/0!</v>
      </c>
      <c r="AC381" s="37" t="e">
        <f>IF(DaybyDay[[#This Row],[_Space]],DaybyDay[[#This Row],[Ret-Bud-RU]]/DaybyDay[[#This Row],[Serv-Bud-RU]],"")</f>
        <v>#DIV/0!</v>
      </c>
      <c r="AD381" s="37" t="e">
        <f>IF(DaybyDay[[#This Row],[_Space]],DaybyDay[[#This Row],[Ret-LY-RU]]/DaybyDay[[#This Row],[Serv-LY-RU]],"")</f>
        <v>#DIV/0!</v>
      </c>
      <c r="AE381" s="30">
        <f>WEEKDAY(DaybyDay[[#This Row],[LY-Date]])</f>
        <v>4</v>
      </c>
      <c r="AF381" s="38">
        <f>$E$2+_xlfn.DAYS(DaybyDay[[#This Row],[Date]],minDate)</f>
        <v>42746</v>
      </c>
      <c r="AG381" s="39" cm="1">
        <f t="array" ref="AG381">IFERROR(INDEX(DaybyDay[],DaybyDay[[#This Row],[FORM_MATCH_HELPER]],8),"")</f>
        <v>43</v>
      </c>
      <c r="AH381" s="39" cm="1">
        <f t="array" ref="AH381">IFERROR(INDEX(DaybyDay[],DaybyDay[[#This Row],[FORM_MATCH_HELPER]],10),"")</f>
        <v>6362.39</v>
      </c>
      <c r="AI381" s="39" cm="1">
        <f t="array" ref="AI381">IFERROR(INDEX(DaybyDay[],DaybyDay[[#This Row],[FORM_MATCH_HELPER]],12),"")</f>
        <v>1884.62</v>
      </c>
      <c r="AJ381" s="32">
        <f>IFERROR(DaybyDay[[#This Row],[Serv-LY-RU]]+DaybyDay[[#This Row],[Ret-LY-RU]],"")</f>
        <v>0</v>
      </c>
      <c r="AK3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1" s="77"/>
      <c r="AM381" s="40" t="str">
        <f>IF(DaybyDay[[#This Row],[Admin Hours]]&gt;0,DaybyDay[[#This Row],[Admin Hours]]*$AM$2+$AM$3,"")</f>
        <v/>
      </c>
      <c r="AN381" s="40">
        <f>SUMIFS(DaybyDay[Est-Admin-Payroll],DaybyDay[Date],"&gt;="&amp;$C$5,DaybyDay[RowYear],"&gt;="&amp;$C$4,DaybyDay[Date],"&lt;="&amp;DaybyDay[[#This Row],[Date]])</f>
        <v>0</v>
      </c>
      <c r="AO381" s="41" t="str">
        <f>IF(AND(DaybyDay[[#This Row],[_Space]],ISNUMBER(DaybyDay[[#This Row],[Admin Hours]])),DaybyDay[[#This Row],[Est-Admin-Payroll]]/(DaybyDay[[#This Row],[Service-Actuals]]+DaybyDay[[#This Row],[Retail-Actuals]]),"")</f>
        <v/>
      </c>
      <c r="AP381" s="41" t="e">
        <f>DaybyDay[[#This Row],[Estimated-Payroll-Rollup]]/DaybyDay[[#This Row],[Simple-Forecast]]</f>
        <v>#DIV/0!</v>
      </c>
      <c r="AQ3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1" s="77"/>
      <c r="AS381" s="40" t="str">
        <f>IF(DaybyDay[[#This Row],[Retail Hours]]&gt;0,DaybyDay[[#This Row],[Retail Hours]]*$AS$2,"")</f>
        <v/>
      </c>
      <c r="AT381" s="40">
        <f>SUMIFS(DaybyDay[Est-Retail-Payroll],DaybyDay[Date],"&gt;="&amp;$C$5,DaybyDay[RowYear],"&gt;="&amp;$C$4,DaybyDay[Date],"&lt;="&amp;DaybyDay[[#This Row],[Date]])</f>
        <v>0</v>
      </c>
      <c r="AU381" s="82" t="str">
        <f>IF(AND(DaybyDay[[#This Row],[_Space]],ISNUMBER(DaybyDay[[#This Row],[Retail Hours]])),DaybyDay[[#This Row],[Est-Retail-Payroll]]/(DaybyDay[[#This Row],[Retail-Actuals]]),"")</f>
        <v/>
      </c>
      <c r="AV381" s="82" t="e">
        <f>DaybyDay[[#This Row],[Est-Retail-PayrollRU]]/DaybyDay[[#This Row],[Simple-Forecast-Retail]]</f>
        <v>#DIV/0!</v>
      </c>
      <c r="AW381" s="8"/>
    </row>
    <row r="382" spans="3:49" hidden="1" x14ac:dyDescent="0.25">
      <c r="C382" s="26" t="str">
        <f>Tools!$C$1</f>
        <v>Example</v>
      </c>
      <c r="D382" s="27" t="s">
        <v>68</v>
      </c>
      <c r="E382" s="28">
        <v>2018</v>
      </c>
      <c r="F382" s="28">
        <f>MATCH(DaybyDay[[#This Row],[RowMonth]],Table3[SummaryMonth],0)</f>
        <v>1</v>
      </c>
      <c r="G382" s="29">
        <f>MATCH(DaybyDay[[#This Row],[LY-Date]],DaybyDay[Date],0)</f>
        <v>12</v>
      </c>
      <c r="H382" s="30">
        <f>WEEKDAY(DaybyDay[[#This Row],[Date]])</f>
        <v>5</v>
      </c>
      <c r="I382" s="31">
        <v>43111</v>
      </c>
      <c r="J382" s="74">
        <v>17</v>
      </c>
      <c r="K382" s="32">
        <f>SUMIFS(BudgetSeasonality[365 Seasonality],BudgetSeasonality[MonthAdjustment],DaybyDay[[#This Row],[Date]])*SUMIFS(Budgets[Service-Budget],Budgets[BudgetMonth],DaybyDay[[#This Row],[RowMonth]],Budgets[BudgetYear],DaybyDay[[#This Row],[RowYear]])</f>
        <v>4044.2694536522163</v>
      </c>
      <c r="L382" s="75">
        <v>3506.5</v>
      </c>
      <c r="M382" s="32">
        <f>INDEX(BudgetSeasonality[365 Seasonality],MATCH(DaybyDay[[#This Row],[Date]],BudgetSeasonality[MonthAdjustment],0))*SUMIFS(Budgets[Retail-Budget],Budgets[BudgetMonth],DaybyDay[[#This Row],[RowMonth]],Budgets[BudgetYear],DaybyDay[[#This Row],[RowYear]])</f>
        <v>1214.8104387634608</v>
      </c>
      <c r="N382" s="75">
        <v>222.99</v>
      </c>
      <c r="O382" s="33">
        <f>SUMIFS(DaybyDay[Service-Budgets],DaybyDay[Date],"&gt;="&amp;$C$5,DaybyDay[RowYear],"&gt;="&amp;$C$4,DaybyDay[Date],"&lt;="&amp;DaybyDay[[#This Row],[Date]])</f>
        <v>0</v>
      </c>
      <c r="P382" s="33">
        <f>SUMIFS(DaybyDay[Retail-Budgets],DaybyDay[Date],"&gt;="&amp;$C$5,DaybyDay[RowYear],"&gt;="&amp;$C$4,DaybyDay[Date],"&lt;="&amp;DaybyDay[[#This Row],[Date]])</f>
        <v>0</v>
      </c>
      <c r="Q382" s="34">
        <f>SUMIFS(DaybyDay[Service-Actuals],DaybyDay[Date],"&gt;="&amp;$C$5,DaybyDay[RowYear],"&gt;="&amp;$C$4,DaybyDay[Date],"&lt;="&amp;DaybyDay[[#This Row],[Date]])</f>
        <v>0</v>
      </c>
      <c r="R382" s="34">
        <f>SUMIFS(DaybyDay[Retail-Actuals],DaybyDay[Date],"&gt;="&amp;$C$5,DaybyDay[RowYear],"&gt;="&amp;$C$4,DaybyDay[Date],"&lt;="&amp;DaybyDay[[#This Row],[Date]])</f>
        <v>0</v>
      </c>
      <c r="S382" s="35">
        <f>SUMIFS(DaybyDay[Service-LY],DaybyDay[Date],"&gt;="&amp;$C$5,DaybyDay[RowYear],"&gt;="&amp;$C$4,DaybyDay[Date],"&lt;="&amp;DaybyDay[[#This Row],[Date]])</f>
        <v>0</v>
      </c>
      <c r="T382" s="35">
        <f>SUMIFS(DaybyDay[Retail-LY],DaybyDay[Date],"&gt;="&amp;$C$5,DaybyDay[RowYear],"&gt;="&amp;$C$4,DaybyDay[Date],"&lt;="&amp;DaybyDay[[#This Row],[Date]])</f>
        <v>0</v>
      </c>
      <c r="U382" s="32">
        <f>DaybyDay[[#This Row],[Serv-Bud-RU]]+DaybyDay[[#This Row],[Ret-Bud-RU]]</f>
        <v>0</v>
      </c>
      <c r="V382" s="32">
        <f>DaybyDay[[#This Row],[Serv-Act-RU]]+DaybyDay[[#This Row],[Ret-Act-RU]]</f>
        <v>0</v>
      </c>
      <c r="W382" s="36">
        <f>IF(DaybyDay[[#This Row],[_Space]],IFERROR(
((DaybyDay[[#This Row],[Actual-Rollup]]-DaybyDay[[#This Row],[Budget-Rollup]])/DaybyDay[[#This Row],[Budget-Rollup]]),0),"")</f>
        <v>0</v>
      </c>
      <c r="X382" t="b">
        <f>NOT(AND(ISBLANK(DaybyDay[[#This Row],[Appts]]),ISBLANK(DaybyDay[[#This Row],[Service-Actuals]]),ISBLANK(DaybyDay[[#This Row],[Retail-Actuals]])))</f>
        <v>1</v>
      </c>
      <c r="Y382" s="36">
        <f>IF(DaybyDay[[#This Row],[_Space]],IFERROR(
((DaybyDay[[#This Row],[Actual-Rollup]]-DaybyDay[[#This Row],[LY-Rollup]])/DaybyDay[[#This Row],[LY-Rollup]]),0),"")</f>
        <v>0</v>
      </c>
      <c r="Z382"/>
      <c r="AA382" s="37" t="e">
        <f>IF(DaybyDay[[#This Row],[_Space]],DaybyDay[[#This Row],[Ret-Act-RU]]/DaybyDay[[#This Row],[Serv-Act-RU]],"")</f>
        <v>#DIV/0!</v>
      </c>
      <c r="AB382" s="50" t="e">
        <f>IF(DaybyDay[[#This Row],[_Space]],DaybyDay[[#This Row],[RETPEN-Act]]/DaybyDay[[#This Row],[RETPEN-Bud]],"")</f>
        <v>#DIV/0!</v>
      </c>
      <c r="AC382" s="37" t="e">
        <f>IF(DaybyDay[[#This Row],[_Space]],DaybyDay[[#This Row],[Ret-Bud-RU]]/DaybyDay[[#This Row],[Serv-Bud-RU]],"")</f>
        <v>#DIV/0!</v>
      </c>
      <c r="AD382" s="37" t="e">
        <f>IF(DaybyDay[[#This Row],[_Space]],DaybyDay[[#This Row],[Ret-LY-RU]]/DaybyDay[[#This Row],[Serv-LY-RU]],"")</f>
        <v>#DIV/0!</v>
      </c>
      <c r="AE382" s="30">
        <f>WEEKDAY(DaybyDay[[#This Row],[LY-Date]])</f>
        <v>5</v>
      </c>
      <c r="AF382" s="38">
        <f>$E$2+_xlfn.DAYS(DaybyDay[[#This Row],[Date]],minDate)</f>
        <v>42747</v>
      </c>
      <c r="AG382" s="39" cm="1">
        <f t="array" ref="AG382">IFERROR(INDEX(DaybyDay[],DaybyDay[[#This Row],[FORM_MATCH_HELPER]],8),"")</f>
        <v>42</v>
      </c>
      <c r="AH382" s="39" cm="1">
        <f t="array" ref="AH382">IFERROR(INDEX(DaybyDay[],DaybyDay[[#This Row],[FORM_MATCH_HELPER]],10),"")</f>
        <v>5405.08</v>
      </c>
      <c r="AI382" s="39" cm="1">
        <f t="array" ref="AI382">IFERROR(INDEX(DaybyDay[],DaybyDay[[#This Row],[FORM_MATCH_HELPER]],12),"")</f>
        <v>1102.25</v>
      </c>
      <c r="AJ382" s="32">
        <f>IFERROR(DaybyDay[[#This Row],[Serv-LY-RU]]+DaybyDay[[#This Row],[Ret-LY-RU]],"")</f>
        <v>0</v>
      </c>
      <c r="AK3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2" s="77"/>
      <c r="AM382" s="40" t="str">
        <f>IF(DaybyDay[[#This Row],[Admin Hours]]&gt;0,DaybyDay[[#This Row],[Admin Hours]]*$AM$2+$AM$3,"")</f>
        <v/>
      </c>
      <c r="AN382" s="40">
        <f>SUMIFS(DaybyDay[Est-Admin-Payroll],DaybyDay[Date],"&gt;="&amp;$C$5,DaybyDay[RowYear],"&gt;="&amp;$C$4,DaybyDay[Date],"&lt;="&amp;DaybyDay[[#This Row],[Date]])</f>
        <v>0</v>
      </c>
      <c r="AO382" s="41" t="str">
        <f>IF(AND(DaybyDay[[#This Row],[_Space]],ISNUMBER(DaybyDay[[#This Row],[Admin Hours]])),DaybyDay[[#This Row],[Est-Admin-Payroll]]/(DaybyDay[[#This Row],[Service-Actuals]]+DaybyDay[[#This Row],[Retail-Actuals]]),"")</f>
        <v/>
      </c>
      <c r="AP382" s="41" t="e">
        <f>DaybyDay[[#This Row],[Estimated-Payroll-Rollup]]/DaybyDay[[#This Row],[Simple-Forecast]]</f>
        <v>#DIV/0!</v>
      </c>
      <c r="AQ3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2" s="77"/>
      <c r="AS382" s="40" t="str">
        <f>IF(DaybyDay[[#This Row],[Retail Hours]]&gt;0,DaybyDay[[#This Row],[Retail Hours]]*$AS$2,"")</f>
        <v/>
      </c>
      <c r="AT382" s="40">
        <f>SUMIFS(DaybyDay[Est-Retail-Payroll],DaybyDay[Date],"&gt;="&amp;$C$5,DaybyDay[RowYear],"&gt;="&amp;$C$4,DaybyDay[Date],"&lt;="&amp;DaybyDay[[#This Row],[Date]])</f>
        <v>0</v>
      </c>
      <c r="AU382" s="82" t="str">
        <f>IF(AND(DaybyDay[[#This Row],[_Space]],ISNUMBER(DaybyDay[[#This Row],[Retail Hours]])),DaybyDay[[#This Row],[Est-Retail-Payroll]]/(DaybyDay[[#This Row],[Retail-Actuals]]),"")</f>
        <v/>
      </c>
      <c r="AV382" s="82" t="e">
        <f>DaybyDay[[#This Row],[Est-Retail-PayrollRU]]/DaybyDay[[#This Row],[Simple-Forecast-Retail]]</f>
        <v>#DIV/0!</v>
      </c>
      <c r="AW382" s="8"/>
    </row>
    <row r="383" spans="3:49" hidden="1" x14ac:dyDescent="0.25">
      <c r="C383" s="26" t="str">
        <f>Tools!$C$1</f>
        <v>Example</v>
      </c>
      <c r="D383" s="27" t="s">
        <v>68</v>
      </c>
      <c r="E383" s="28">
        <v>2018</v>
      </c>
      <c r="F383" s="28">
        <f>MATCH(DaybyDay[[#This Row],[RowMonth]],Table3[SummaryMonth],0)</f>
        <v>1</v>
      </c>
      <c r="G383" s="29">
        <f>MATCH(DaybyDay[[#This Row],[LY-Date]],DaybyDay[Date],0)</f>
        <v>13</v>
      </c>
      <c r="H383" s="30">
        <f>WEEKDAY(DaybyDay[[#This Row],[Date]])</f>
        <v>6</v>
      </c>
      <c r="I383" s="31">
        <v>43112</v>
      </c>
      <c r="J383" s="74">
        <v>32</v>
      </c>
      <c r="K383" s="32">
        <f>SUMIFS(BudgetSeasonality[365 Seasonality],BudgetSeasonality[MonthAdjustment],DaybyDay[[#This Row],[Date]])*SUMIFS(Budgets[Service-Budget],Budgets[BudgetMonth],DaybyDay[[#This Row],[RowMonth]],Budgets[BudgetYear],DaybyDay[[#This Row],[RowYear]])</f>
        <v>4952.400987683478</v>
      </c>
      <c r="L383" s="75">
        <v>6347.99</v>
      </c>
      <c r="M383" s="32">
        <f>INDEX(BudgetSeasonality[365 Seasonality],MATCH(DaybyDay[[#This Row],[Date]],BudgetSeasonality[MonthAdjustment],0))*SUMIFS(Budgets[Retail-Budget],Budgets[BudgetMonth],DaybyDay[[#This Row],[RowMonth]],Budgets[BudgetYear],DaybyDay[[#This Row],[RowYear]])</f>
        <v>1487.5933677829871</v>
      </c>
      <c r="N383" s="75">
        <v>746.95</v>
      </c>
      <c r="O383" s="33">
        <f>SUMIFS(DaybyDay[Service-Budgets],DaybyDay[Date],"&gt;="&amp;$C$5,DaybyDay[RowYear],"&gt;="&amp;$C$4,DaybyDay[Date],"&lt;="&amp;DaybyDay[[#This Row],[Date]])</f>
        <v>0</v>
      </c>
      <c r="P383" s="33">
        <f>SUMIFS(DaybyDay[Retail-Budgets],DaybyDay[Date],"&gt;="&amp;$C$5,DaybyDay[RowYear],"&gt;="&amp;$C$4,DaybyDay[Date],"&lt;="&amp;DaybyDay[[#This Row],[Date]])</f>
        <v>0</v>
      </c>
      <c r="Q383" s="34">
        <f>SUMIFS(DaybyDay[Service-Actuals],DaybyDay[Date],"&gt;="&amp;$C$5,DaybyDay[RowYear],"&gt;="&amp;$C$4,DaybyDay[Date],"&lt;="&amp;DaybyDay[[#This Row],[Date]])</f>
        <v>0</v>
      </c>
      <c r="R383" s="34">
        <f>SUMIFS(DaybyDay[Retail-Actuals],DaybyDay[Date],"&gt;="&amp;$C$5,DaybyDay[RowYear],"&gt;="&amp;$C$4,DaybyDay[Date],"&lt;="&amp;DaybyDay[[#This Row],[Date]])</f>
        <v>0</v>
      </c>
      <c r="S383" s="35">
        <f>SUMIFS(DaybyDay[Service-LY],DaybyDay[Date],"&gt;="&amp;$C$5,DaybyDay[RowYear],"&gt;="&amp;$C$4,DaybyDay[Date],"&lt;="&amp;DaybyDay[[#This Row],[Date]])</f>
        <v>0</v>
      </c>
      <c r="T383" s="35">
        <f>SUMIFS(DaybyDay[Retail-LY],DaybyDay[Date],"&gt;="&amp;$C$5,DaybyDay[RowYear],"&gt;="&amp;$C$4,DaybyDay[Date],"&lt;="&amp;DaybyDay[[#This Row],[Date]])</f>
        <v>0</v>
      </c>
      <c r="U383" s="32">
        <f>DaybyDay[[#This Row],[Serv-Bud-RU]]+DaybyDay[[#This Row],[Ret-Bud-RU]]</f>
        <v>0</v>
      </c>
      <c r="V383" s="32">
        <f>DaybyDay[[#This Row],[Serv-Act-RU]]+DaybyDay[[#This Row],[Ret-Act-RU]]</f>
        <v>0</v>
      </c>
      <c r="W383" s="36">
        <f>IF(DaybyDay[[#This Row],[_Space]],IFERROR(
((DaybyDay[[#This Row],[Actual-Rollup]]-DaybyDay[[#This Row],[Budget-Rollup]])/DaybyDay[[#This Row],[Budget-Rollup]]),0),"")</f>
        <v>0</v>
      </c>
      <c r="X383" t="b">
        <f>NOT(AND(ISBLANK(DaybyDay[[#This Row],[Appts]]),ISBLANK(DaybyDay[[#This Row],[Service-Actuals]]),ISBLANK(DaybyDay[[#This Row],[Retail-Actuals]])))</f>
        <v>1</v>
      </c>
      <c r="Y383" s="36">
        <f>IF(DaybyDay[[#This Row],[_Space]],IFERROR(
((DaybyDay[[#This Row],[Actual-Rollup]]-DaybyDay[[#This Row],[LY-Rollup]])/DaybyDay[[#This Row],[LY-Rollup]]),0),"")</f>
        <v>0</v>
      </c>
      <c r="Z383"/>
      <c r="AA383" s="37" t="e">
        <f>IF(DaybyDay[[#This Row],[_Space]],DaybyDay[[#This Row],[Ret-Act-RU]]/DaybyDay[[#This Row],[Serv-Act-RU]],"")</f>
        <v>#DIV/0!</v>
      </c>
      <c r="AB383" s="50" t="e">
        <f>IF(DaybyDay[[#This Row],[_Space]],DaybyDay[[#This Row],[RETPEN-Act]]/DaybyDay[[#This Row],[RETPEN-Bud]],"")</f>
        <v>#DIV/0!</v>
      </c>
      <c r="AC383" s="37" t="e">
        <f>IF(DaybyDay[[#This Row],[_Space]],DaybyDay[[#This Row],[Ret-Bud-RU]]/DaybyDay[[#This Row],[Serv-Bud-RU]],"")</f>
        <v>#DIV/0!</v>
      </c>
      <c r="AD383" s="37" t="e">
        <f>IF(DaybyDay[[#This Row],[_Space]],DaybyDay[[#This Row],[Ret-LY-RU]]/DaybyDay[[#This Row],[Serv-LY-RU]],"")</f>
        <v>#DIV/0!</v>
      </c>
      <c r="AE383" s="30">
        <f>WEEKDAY(DaybyDay[[#This Row],[LY-Date]])</f>
        <v>6</v>
      </c>
      <c r="AF383" s="38">
        <f>$E$2+_xlfn.DAYS(DaybyDay[[#This Row],[Date]],minDate)</f>
        <v>42748</v>
      </c>
      <c r="AG383" s="39" cm="1">
        <f t="array" ref="AG383">IFERROR(INDEX(DaybyDay[],DaybyDay[[#This Row],[FORM_MATCH_HELPER]],8),"")</f>
        <v>29</v>
      </c>
      <c r="AH383" s="39" cm="1">
        <f t="array" ref="AH383">IFERROR(INDEX(DaybyDay[],DaybyDay[[#This Row],[FORM_MATCH_HELPER]],10),"")</f>
        <v>8020.75</v>
      </c>
      <c r="AI383" s="39" cm="1">
        <f t="array" ref="AI383">IFERROR(INDEX(DaybyDay[],DaybyDay[[#This Row],[FORM_MATCH_HELPER]],12),"")</f>
        <v>223.4</v>
      </c>
      <c r="AJ383" s="32">
        <f>IFERROR(DaybyDay[[#This Row],[Serv-LY-RU]]+DaybyDay[[#This Row],[Ret-LY-RU]],"")</f>
        <v>0</v>
      </c>
      <c r="AK3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3" s="77"/>
      <c r="AM383" s="40" t="str">
        <f>IF(DaybyDay[[#This Row],[Admin Hours]]&gt;0,DaybyDay[[#This Row],[Admin Hours]]*$AM$2+$AM$3,"")</f>
        <v/>
      </c>
      <c r="AN383" s="40">
        <f>SUMIFS(DaybyDay[Est-Admin-Payroll],DaybyDay[Date],"&gt;="&amp;$C$5,DaybyDay[RowYear],"&gt;="&amp;$C$4,DaybyDay[Date],"&lt;="&amp;DaybyDay[[#This Row],[Date]])</f>
        <v>0</v>
      </c>
      <c r="AO383" s="41" t="str">
        <f>IF(AND(DaybyDay[[#This Row],[_Space]],ISNUMBER(DaybyDay[[#This Row],[Admin Hours]])),DaybyDay[[#This Row],[Est-Admin-Payroll]]/(DaybyDay[[#This Row],[Service-Actuals]]+DaybyDay[[#This Row],[Retail-Actuals]]),"")</f>
        <v/>
      </c>
      <c r="AP383" s="41" t="e">
        <f>DaybyDay[[#This Row],[Estimated-Payroll-Rollup]]/DaybyDay[[#This Row],[Simple-Forecast]]</f>
        <v>#DIV/0!</v>
      </c>
      <c r="AQ3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3" s="77"/>
      <c r="AS383" s="40" t="str">
        <f>IF(DaybyDay[[#This Row],[Retail Hours]]&gt;0,DaybyDay[[#This Row],[Retail Hours]]*$AS$2,"")</f>
        <v/>
      </c>
      <c r="AT383" s="40">
        <f>SUMIFS(DaybyDay[Est-Retail-Payroll],DaybyDay[Date],"&gt;="&amp;$C$5,DaybyDay[RowYear],"&gt;="&amp;$C$4,DaybyDay[Date],"&lt;="&amp;DaybyDay[[#This Row],[Date]])</f>
        <v>0</v>
      </c>
      <c r="AU383" s="82" t="str">
        <f>IF(AND(DaybyDay[[#This Row],[_Space]],ISNUMBER(DaybyDay[[#This Row],[Retail Hours]])),DaybyDay[[#This Row],[Est-Retail-Payroll]]/(DaybyDay[[#This Row],[Retail-Actuals]]),"")</f>
        <v/>
      </c>
      <c r="AV383" s="82" t="e">
        <f>DaybyDay[[#This Row],[Est-Retail-PayrollRU]]/DaybyDay[[#This Row],[Simple-Forecast-Retail]]</f>
        <v>#DIV/0!</v>
      </c>
      <c r="AW383" s="8"/>
    </row>
    <row r="384" spans="3:49" hidden="1" x14ac:dyDescent="0.25">
      <c r="C384" s="26" t="str">
        <f>Tools!$C$1</f>
        <v>Example</v>
      </c>
      <c r="D384" s="27" t="s">
        <v>68</v>
      </c>
      <c r="E384" s="28">
        <v>2018</v>
      </c>
      <c r="F384" s="28">
        <f>MATCH(DaybyDay[[#This Row],[RowMonth]],Table3[SummaryMonth],0)</f>
        <v>1</v>
      </c>
      <c r="G384" s="29">
        <f>MATCH(DaybyDay[[#This Row],[LY-Date]],DaybyDay[Date],0)</f>
        <v>14</v>
      </c>
      <c r="H384" s="30">
        <f>WEEKDAY(DaybyDay[[#This Row],[Date]])</f>
        <v>7</v>
      </c>
      <c r="I384" s="31">
        <v>43113</v>
      </c>
      <c r="J384" s="74">
        <v>32</v>
      </c>
      <c r="K384" s="32">
        <f>SUMIFS(BudgetSeasonality[365 Seasonality],BudgetSeasonality[MonthAdjustment],DaybyDay[[#This Row],[Date]])*SUMIFS(Budgets[Service-Budget],Budgets[BudgetMonth],DaybyDay[[#This Row],[RowMonth]],Budgets[BudgetYear],DaybyDay[[#This Row],[RowYear]])</f>
        <v>6908.9224157207818</v>
      </c>
      <c r="L384" s="75">
        <v>7661</v>
      </c>
      <c r="M384" s="32">
        <f>INDEX(BudgetSeasonality[365 Seasonality],MATCH(DaybyDay[[#This Row],[Date]],BudgetSeasonality[MonthAdjustment],0))*SUMIFS(Budgets[Retail-Budget],Budgets[BudgetMonth],DaybyDay[[#This Row],[RowMonth]],Budgets[BudgetYear],DaybyDay[[#This Row],[RowYear]])</f>
        <v>2075.2897816056902</v>
      </c>
      <c r="N384" s="75">
        <v>960</v>
      </c>
      <c r="O384" s="33">
        <f>SUMIFS(DaybyDay[Service-Budgets],DaybyDay[Date],"&gt;="&amp;$C$5,DaybyDay[RowYear],"&gt;="&amp;$C$4,DaybyDay[Date],"&lt;="&amp;DaybyDay[[#This Row],[Date]])</f>
        <v>0</v>
      </c>
      <c r="P384" s="33">
        <f>SUMIFS(DaybyDay[Retail-Budgets],DaybyDay[Date],"&gt;="&amp;$C$5,DaybyDay[RowYear],"&gt;="&amp;$C$4,DaybyDay[Date],"&lt;="&amp;DaybyDay[[#This Row],[Date]])</f>
        <v>0</v>
      </c>
      <c r="Q384" s="34">
        <f>SUMIFS(DaybyDay[Service-Actuals],DaybyDay[Date],"&gt;="&amp;$C$5,DaybyDay[RowYear],"&gt;="&amp;$C$4,DaybyDay[Date],"&lt;="&amp;DaybyDay[[#This Row],[Date]])</f>
        <v>0</v>
      </c>
      <c r="R384" s="34">
        <f>SUMIFS(DaybyDay[Retail-Actuals],DaybyDay[Date],"&gt;="&amp;$C$5,DaybyDay[RowYear],"&gt;="&amp;$C$4,DaybyDay[Date],"&lt;="&amp;DaybyDay[[#This Row],[Date]])</f>
        <v>0</v>
      </c>
      <c r="S384" s="35">
        <f>SUMIFS(DaybyDay[Service-LY],DaybyDay[Date],"&gt;="&amp;$C$5,DaybyDay[RowYear],"&gt;="&amp;$C$4,DaybyDay[Date],"&lt;="&amp;DaybyDay[[#This Row],[Date]])</f>
        <v>0</v>
      </c>
      <c r="T384" s="35">
        <f>SUMIFS(DaybyDay[Retail-LY],DaybyDay[Date],"&gt;="&amp;$C$5,DaybyDay[RowYear],"&gt;="&amp;$C$4,DaybyDay[Date],"&lt;="&amp;DaybyDay[[#This Row],[Date]])</f>
        <v>0</v>
      </c>
      <c r="U384" s="32">
        <f>DaybyDay[[#This Row],[Serv-Bud-RU]]+DaybyDay[[#This Row],[Ret-Bud-RU]]</f>
        <v>0</v>
      </c>
      <c r="V384" s="32">
        <f>DaybyDay[[#This Row],[Serv-Act-RU]]+DaybyDay[[#This Row],[Ret-Act-RU]]</f>
        <v>0</v>
      </c>
      <c r="W384" s="36">
        <f>IF(DaybyDay[[#This Row],[_Space]],IFERROR(
((DaybyDay[[#This Row],[Actual-Rollup]]-DaybyDay[[#This Row],[Budget-Rollup]])/DaybyDay[[#This Row],[Budget-Rollup]]),0),"")</f>
        <v>0</v>
      </c>
      <c r="X384" t="b">
        <f>NOT(AND(ISBLANK(DaybyDay[[#This Row],[Appts]]),ISBLANK(DaybyDay[[#This Row],[Service-Actuals]]),ISBLANK(DaybyDay[[#This Row],[Retail-Actuals]])))</f>
        <v>1</v>
      </c>
      <c r="Y384" s="36">
        <f>IF(DaybyDay[[#This Row],[_Space]],IFERROR(
((DaybyDay[[#This Row],[Actual-Rollup]]-DaybyDay[[#This Row],[LY-Rollup]])/DaybyDay[[#This Row],[LY-Rollup]]),0),"")</f>
        <v>0</v>
      </c>
      <c r="Z384"/>
      <c r="AA384" s="37" t="e">
        <f>IF(DaybyDay[[#This Row],[_Space]],DaybyDay[[#This Row],[Ret-Act-RU]]/DaybyDay[[#This Row],[Serv-Act-RU]],"")</f>
        <v>#DIV/0!</v>
      </c>
      <c r="AB384" s="50" t="e">
        <f>IF(DaybyDay[[#This Row],[_Space]],DaybyDay[[#This Row],[RETPEN-Act]]/DaybyDay[[#This Row],[RETPEN-Bud]],"")</f>
        <v>#DIV/0!</v>
      </c>
      <c r="AC384" s="37" t="e">
        <f>IF(DaybyDay[[#This Row],[_Space]],DaybyDay[[#This Row],[Ret-Bud-RU]]/DaybyDay[[#This Row],[Serv-Bud-RU]],"")</f>
        <v>#DIV/0!</v>
      </c>
      <c r="AD384" s="37" t="e">
        <f>IF(DaybyDay[[#This Row],[_Space]],DaybyDay[[#This Row],[Ret-LY-RU]]/DaybyDay[[#This Row],[Serv-LY-RU]],"")</f>
        <v>#DIV/0!</v>
      </c>
      <c r="AE384" s="30">
        <f>WEEKDAY(DaybyDay[[#This Row],[LY-Date]])</f>
        <v>7</v>
      </c>
      <c r="AF384" s="38">
        <f>$E$2+_xlfn.DAYS(DaybyDay[[#This Row],[Date]],minDate)</f>
        <v>42749</v>
      </c>
      <c r="AG384" s="39" cm="1">
        <f t="array" ref="AG384">IFERROR(INDEX(DaybyDay[],DaybyDay[[#This Row],[FORM_MATCH_HELPER]],8),"")</f>
        <v>59</v>
      </c>
      <c r="AH384" s="39" cm="1">
        <f t="array" ref="AH384">IFERROR(INDEX(DaybyDay[],DaybyDay[[#This Row],[FORM_MATCH_HELPER]],10),"")</f>
        <v>10832.52</v>
      </c>
      <c r="AI384" s="39" cm="1">
        <f t="array" ref="AI384">IFERROR(INDEX(DaybyDay[],DaybyDay[[#This Row],[FORM_MATCH_HELPER]],12),"")</f>
        <v>1069.5</v>
      </c>
      <c r="AJ384" s="32">
        <f>IFERROR(DaybyDay[[#This Row],[Serv-LY-RU]]+DaybyDay[[#This Row],[Ret-LY-RU]],"")</f>
        <v>0</v>
      </c>
      <c r="AK3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4" s="77"/>
      <c r="AM384" s="40" t="str">
        <f>IF(DaybyDay[[#This Row],[Admin Hours]]&gt;0,DaybyDay[[#This Row],[Admin Hours]]*$AM$2+$AM$3,"")</f>
        <v/>
      </c>
      <c r="AN384" s="40">
        <f>SUMIFS(DaybyDay[Est-Admin-Payroll],DaybyDay[Date],"&gt;="&amp;$C$5,DaybyDay[RowYear],"&gt;="&amp;$C$4,DaybyDay[Date],"&lt;="&amp;DaybyDay[[#This Row],[Date]])</f>
        <v>0</v>
      </c>
      <c r="AO384" s="41" t="str">
        <f>IF(AND(DaybyDay[[#This Row],[_Space]],ISNUMBER(DaybyDay[[#This Row],[Admin Hours]])),DaybyDay[[#This Row],[Est-Admin-Payroll]]/(DaybyDay[[#This Row],[Service-Actuals]]+DaybyDay[[#This Row],[Retail-Actuals]]),"")</f>
        <v/>
      </c>
      <c r="AP384" s="41" t="e">
        <f>DaybyDay[[#This Row],[Estimated-Payroll-Rollup]]/DaybyDay[[#This Row],[Simple-Forecast]]</f>
        <v>#DIV/0!</v>
      </c>
      <c r="AQ3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4" s="77"/>
      <c r="AS384" s="40" t="str">
        <f>IF(DaybyDay[[#This Row],[Retail Hours]]&gt;0,DaybyDay[[#This Row],[Retail Hours]]*$AS$2,"")</f>
        <v/>
      </c>
      <c r="AT384" s="40">
        <f>SUMIFS(DaybyDay[Est-Retail-Payroll],DaybyDay[Date],"&gt;="&amp;$C$5,DaybyDay[RowYear],"&gt;="&amp;$C$4,DaybyDay[Date],"&lt;="&amp;DaybyDay[[#This Row],[Date]])</f>
        <v>0</v>
      </c>
      <c r="AU384" s="82" t="str">
        <f>IF(AND(DaybyDay[[#This Row],[_Space]],ISNUMBER(DaybyDay[[#This Row],[Retail Hours]])),DaybyDay[[#This Row],[Est-Retail-Payroll]]/(DaybyDay[[#This Row],[Retail-Actuals]]),"")</f>
        <v/>
      </c>
      <c r="AV384" s="82" t="e">
        <f>DaybyDay[[#This Row],[Est-Retail-PayrollRU]]/DaybyDay[[#This Row],[Simple-Forecast-Retail]]</f>
        <v>#DIV/0!</v>
      </c>
      <c r="AW384" s="8"/>
    </row>
    <row r="385" spans="3:49" hidden="1" x14ac:dyDescent="0.25">
      <c r="C385" s="26" t="str">
        <f>Tools!$C$1</f>
        <v>Example</v>
      </c>
      <c r="D385" s="27" t="s">
        <v>68</v>
      </c>
      <c r="E385" s="28">
        <v>2018</v>
      </c>
      <c r="F385" s="28">
        <f>MATCH(DaybyDay[[#This Row],[RowMonth]],Table3[SummaryMonth],0)</f>
        <v>1</v>
      </c>
      <c r="G385" s="29">
        <f>MATCH(DaybyDay[[#This Row],[LY-Date]],DaybyDay[Date],0)</f>
        <v>15</v>
      </c>
      <c r="H385" s="30">
        <f>WEEKDAY(DaybyDay[[#This Row],[Date]])</f>
        <v>1</v>
      </c>
      <c r="I385" s="31">
        <v>43114</v>
      </c>
      <c r="J385" s="74">
        <v>33</v>
      </c>
      <c r="K385" s="32">
        <f>SUMIFS(BudgetSeasonality[365 Seasonality],BudgetSeasonality[MonthAdjustment],DaybyDay[[#This Row],[Date]])*SUMIFS(Budgets[Service-Budget],Budgets[BudgetMonth],DaybyDay[[#This Row],[RowMonth]],Budgets[BudgetYear],DaybyDay[[#This Row],[RowYear]])</f>
        <v>5429.0657804729435</v>
      </c>
      <c r="L385" s="75">
        <v>6768.1</v>
      </c>
      <c r="M385" s="32">
        <f>INDEX(BudgetSeasonality[365 Seasonality],MATCH(DaybyDay[[#This Row],[Date]],BudgetSeasonality[MonthAdjustment],0))*SUMIFS(Budgets[Retail-Budget],Budgets[BudgetMonth],DaybyDay[[#This Row],[RowMonth]],Budgets[BudgetYear],DaybyDay[[#This Row],[RowYear]])</f>
        <v>1630.7730873115022</v>
      </c>
      <c r="N385" s="75">
        <v>527</v>
      </c>
      <c r="O385" s="33">
        <f>SUMIFS(DaybyDay[Service-Budgets],DaybyDay[Date],"&gt;="&amp;$C$5,DaybyDay[RowYear],"&gt;="&amp;$C$4,DaybyDay[Date],"&lt;="&amp;DaybyDay[[#This Row],[Date]])</f>
        <v>0</v>
      </c>
      <c r="P385" s="33">
        <f>SUMIFS(DaybyDay[Retail-Budgets],DaybyDay[Date],"&gt;="&amp;$C$5,DaybyDay[RowYear],"&gt;="&amp;$C$4,DaybyDay[Date],"&lt;="&amp;DaybyDay[[#This Row],[Date]])</f>
        <v>0</v>
      </c>
      <c r="Q385" s="34">
        <f>SUMIFS(DaybyDay[Service-Actuals],DaybyDay[Date],"&gt;="&amp;$C$5,DaybyDay[RowYear],"&gt;="&amp;$C$4,DaybyDay[Date],"&lt;="&amp;DaybyDay[[#This Row],[Date]])</f>
        <v>0</v>
      </c>
      <c r="R385" s="34">
        <f>SUMIFS(DaybyDay[Retail-Actuals],DaybyDay[Date],"&gt;="&amp;$C$5,DaybyDay[RowYear],"&gt;="&amp;$C$4,DaybyDay[Date],"&lt;="&amp;DaybyDay[[#This Row],[Date]])</f>
        <v>0</v>
      </c>
      <c r="S385" s="35">
        <f>SUMIFS(DaybyDay[Service-LY],DaybyDay[Date],"&gt;="&amp;$C$5,DaybyDay[RowYear],"&gt;="&amp;$C$4,DaybyDay[Date],"&lt;="&amp;DaybyDay[[#This Row],[Date]])</f>
        <v>0</v>
      </c>
      <c r="T385" s="35">
        <f>SUMIFS(DaybyDay[Retail-LY],DaybyDay[Date],"&gt;="&amp;$C$5,DaybyDay[RowYear],"&gt;="&amp;$C$4,DaybyDay[Date],"&lt;="&amp;DaybyDay[[#This Row],[Date]])</f>
        <v>0</v>
      </c>
      <c r="U385" s="32">
        <f>DaybyDay[[#This Row],[Serv-Bud-RU]]+DaybyDay[[#This Row],[Ret-Bud-RU]]</f>
        <v>0</v>
      </c>
      <c r="V385" s="32">
        <f>DaybyDay[[#This Row],[Serv-Act-RU]]+DaybyDay[[#This Row],[Ret-Act-RU]]</f>
        <v>0</v>
      </c>
      <c r="W385" s="36">
        <f>IF(DaybyDay[[#This Row],[_Space]],IFERROR(
((DaybyDay[[#This Row],[Actual-Rollup]]-DaybyDay[[#This Row],[Budget-Rollup]])/DaybyDay[[#This Row],[Budget-Rollup]]),0),"")</f>
        <v>0</v>
      </c>
      <c r="X385" t="b">
        <f>NOT(AND(ISBLANK(DaybyDay[[#This Row],[Appts]]),ISBLANK(DaybyDay[[#This Row],[Service-Actuals]]),ISBLANK(DaybyDay[[#This Row],[Retail-Actuals]])))</f>
        <v>1</v>
      </c>
      <c r="Y385" s="36">
        <f>IF(DaybyDay[[#This Row],[_Space]],IFERROR(
((DaybyDay[[#This Row],[Actual-Rollup]]-DaybyDay[[#This Row],[LY-Rollup]])/DaybyDay[[#This Row],[LY-Rollup]]),0),"")</f>
        <v>0</v>
      </c>
      <c r="Z385"/>
      <c r="AA385" s="37" t="e">
        <f>IF(DaybyDay[[#This Row],[_Space]],DaybyDay[[#This Row],[Ret-Act-RU]]/DaybyDay[[#This Row],[Serv-Act-RU]],"")</f>
        <v>#DIV/0!</v>
      </c>
      <c r="AB385" s="50" t="e">
        <f>IF(DaybyDay[[#This Row],[_Space]],DaybyDay[[#This Row],[RETPEN-Act]]/DaybyDay[[#This Row],[RETPEN-Bud]],"")</f>
        <v>#DIV/0!</v>
      </c>
      <c r="AC385" s="37" t="e">
        <f>IF(DaybyDay[[#This Row],[_Space]],DaybyDay[[#This Row],[Ret-Bud-RU]]/DaybyDay[[#This Row],[Serv-Bud-RU]],"")</f>
        <v>#DIV/0!</v>
      </c>
      <c r="AD385" s="37" t="e">
        <f>IF(DaybyDay[[#This Row],[_Space]],DaybyDay[[#This Row],[Ret-LY-RU]]/DaybyDay[[#This Row],[Serv-LY-RU]],"")</f>
        <v>#DIV/0!</v>
      </c>
      <c r="AE385" s="30">
        <f>WEEKDAY(DaybyDay[[#This Row],[LY-Date]])</f>
        <v>1</v>
      </c>
      <c r="AF385" s="38">
        <f>$E$2+_xlfn.DAYS(DaybyDay[[#This Row],[Date]],minDate)</f>
        <v>42750</v>
      </c>
      <c r="AG385" s="39" cm="1">
        <f t="array" ref="AG385">IFERROR(INDEX(DaybyDay[],DaybyDay[[#This Row],[FORM_MATCH_HELPER]],8),"")</f>
        <v>43</v>
      </c>
      <c r="AH385" s="39" cm="1">
        <f t="array" ref="AH385">IFERROR(INDEX(DaybyDay[],DaybyDay[[#This Row],[FORM_MATCH_HELPER]],10),"")</f>
        <v>6370.56</v>
      </c>
      <c r="AI385" s="39" cm="1">
        <f t="array" ref="AI385">IFERROR(INDEX(DaybyDay[],DaybyDay[[#This Row],[FORM_MATCH_HELPER]],12),"")</f>
        <v>107</v>
      </c>
      <c r="AJ385" s="32">
        <f>IFERROR(DaybyDay[[#This Row],[Serv-LY-RU]]+DaybyDay[[#This Row],[Ret-LY-RU]],"")</f>
        <v>0</v>
      </c>
      <c r="AK3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5" s="77"/>
      <c r="AM385" s="40" t="str">
        <f>IF(DaybyDay[[#This Row],[Admin Hours]]&gt;0,DaybyDay[[#This Row],[Admin Hours]]*$AM$2+$AM$3,"")</f>
        <v/>
      </c>
      <c r="AN385" s="40">
        <f>SUMIFS(DaybyDay[Est-Admin-Payroll],DaybyDay[Date],"&gt;="&amp;$C$5,DaybyDay[RowYear],"&gt;="&amp;$C$4,DaybyDay[Date],"&lt;="&amp;DaybyDay[[#This Row],[Date]])</f>
        <v>0</v>
      </c>
      <c r="AO385" s="41" t="str">
        <f>IF(AND(DaybyDay[[#This Row],[_Space]],ISNUMBER(DaybyDay[[#This Row],[Admin Hours]])),DaybyDay[[#This Row],[Est-Admin-Payroll]]/(DaybyDay[[#This Row],[Service-Actuals]]+DaybyDay[[#This Row],[Retail-Actuals]]),"")</f>
        <v/>
      </c>
      <c r="AP385" s="41" t="e">
        <f>DaybyDay[[#This Row],[Estimated-Payroll-Rollup]]/DaybyDay[[#This Row],[Simple-Forecast]]</f>
        <v>#DIV/0!</v>
      </c>
      <c r="AQ3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5" s="77"/>
      <c r="AS385" s="40" t="str">
        <f>IF(DaybyDay[[#This Row],[Retail Hours]]&gt;0,DaybyDay[[#This Row],[Retail Hours]]*$AS$2,"")</f>
        <v/>
      </c>
      <c r="AT385" s="40">
        <f>SUMIFS(DaybyDay[Est-Retail-Payroll],DaybyDay[Date],"&gt;="&amp;$C$5,DaybyDay[RowYear],"&gt;="&amp;$C$4,DaybyDay[Date],"&lt;="&amp;DaybyDay[[#This Row],[Date]])</f>
        <v>0</v>
      </c>
      <c r="AU385" s="82" t="str">
        <f>IF(AND(DaybyDay[[#This Row],[_Space]],ISNUMBER(DaybyDay[[#This Row],[Retail Hours]])),DaybyDay[[#This Row],[Est-Retail-Payroll]]/(DaybyDay[[#This Row],[Retail-Actuals]]),"")</f>
        <v/>
      </c>
      <c r="AV385" s="82" t="e">
        <f>DaybyDay[[#This Row],[Est-Retail-PayrollRU]]/DaybyDay[[#This Row],[Simple-Forecast-Retail]]</f>
        <v>#DIV/0!</v>
      </c>
      <c r="AW385" s="8"/>
    </row>
    <row r="386" spans="3:49" hidden="1" x14ac:dyDescent="0.25">
      <c r="C386" s="26" t="str">
        <f>Tools!$C$1</f>
        <v>Example</v>
      </c>
      <c r="D386" s="27" t="s">
        <v>68</v>
      </c>
      <c r="E386" s="28">
        <v>2018</v>
      </c>
      <c r="F386" s="28">
        <f>MATCH(DaybyDay[[#This Row],[RowMonth]],Table3[SummaryMonth],0)</f>
        <v>1</v>
      </c>
      <c r="G386" s="29">
        <f>MATCH(DaybyDay[[#This Row],[LY-Date]],DaybyDay[Date],0)</f>
        <v>16</v>
      </c>
      <c r="H386" s="30">
        <f>WEEKDAY(DaybyDay[[#This Row],[Date]])</f>
        <v>2</v>
      </c>
      <c r="I386" s="31">
        <v>43115</v>
      </c>
      <c r="J386" s="74">
        <v>25</v>
      </c>
      <c r="K386" s="32">
        <f>SUMIFS(BudgetSeasonality[365 Seasonality],BudgetSeasonality[MonthAdjustment],DaybyDay[[#This Row],[Date]])*SUMIFS(Budgets[Service-Budget],Budgets[BudgetMonth],DaybyDay[[#This Row],[RowMonth]],Budgets[BudgetYear],DaybyDay[[#This Row],[RowYear]])</f>
        <v>3283.2944050600599</v>
      </c>
      <c r="L386" s="75">
        <v>4658.58</v>
      </c>
      <c r="M386" s="32">
        <f>INDEX(BudgetSeasonality[365 Seasonality],MATCH(DaybyDay[[#This Row],[Date]],BudgetSeasonality[MonthAdjustment],0))*SUMIFS(Budgets[Retail-Budget],Budgets[BudgetMonth],DaybyDay[[#This Row],[RowMonth]],Budgets[BudgetYear],DaybyDay[[#This Row],[RowYear]])</f>
        <v>986.23011214020403</v>
      </c>
      <c r="N386" s="75">
        <v>483.4</v>
      </c>
      <c r="O386" s="33">
        <f>SUMIFS(DaybyDay[Service-Budgets],DaybyDay[Date],"&gt;="&amp;$C$5,DaybyDay[RowYear],"&gt;="&amp;$C$4,DaybyDay[Date],"&lt;="&amp;DaybyDay[[#This Row],[Date]])</f>
        <v>0</v>
      </c>
      <c r="P386" s="33">
        <f>SUMIFS(DaybyDay[Retail-Budgets],DaybyDay[Date],"&gt;="&amp;$C$5,DaybyDay[RowYear],"&gt;="&amp;$C$4,DaybyDay[Date],"&lt;="&amp;DaybyDay[[#This Row],[Date]])</f>
        <v>0</v>
      </c>
      <c r="Q386" s="34">
        <f>SUMIFS(DaybyDay[Service-Actuals],DaybyDay[Date],"&gt;="&amp;$C$5,DaybyDay[RowYear],"&gt;="&amp;$C$4,DaybyDay[Date],"&lt;="&amp;DaybyDay[[#This Row],[Date]])</f>
        <v>0</v>
      </c>
      <c r="R386" s="34">
        <f>SUMIFS(DaybyDay[Retail-Actuals],DaybyDay[Date],"&gt;="&amp;$C$5,DaybyDay[RowYear],"&gt;="&amp;$C$4,DaybyDay[Date],"&lt;="&amp;DaybyDay[[#This Row],[Date]])</f>
        <v>0</v>
      </c>
      <c r="S386" s="35">
        <f>SUMIFS(DaybyDay[Service-LY],DaybyDay[Date],"&gt;="&amp;$C$5,DaybyDay[RowYear],"&gt;="&amp;$C$4,DaybyDay[Date],"&lt;="&amp;DaybyDay[[#This Row],[Date]])</f>
        <v>0</v>
      </c>
      <c r="T386" s="35">
        <f>SUMIFS(DaybyDay[Retail-LY],DaybyDay[Date],"&gt;="&amp;$C$5,DaybyDay[RowYear],"&gt;="&amp;$C$4,DaybyDay[Date],"&lt;="&amp;DaybyDay[[#This Row],[Date]])</f>
        <v>0</v>
      </c>
      <c r="U386" s="32">
        <f>DaybyDay[[#This Row],[Serv-Bud-RU]]+DaybyDay[[#This Row],[Ret-Bud-RU]]</f>
        <v>0</v>
      </c>
      <c r="V386" s="32">
        <f>DaybyDay[[#This Row],[Serv-Act-RU]]+DaybyDay[[#This Row],[Ret-Act-RU]]</f>
        <v>0</v>
      </c>
      <c r="W386" s="36">
        <f>IF(DaybyDay[[#This Row],[_Space]],IFERROR(
((DaybyDay[[#This Row],[Actual-Rollup]]-DaybyDay[[#This Row],[Budget-Rollup]])/DaybyDay[[#This Row],[Budget-Rollup]]),0),"")</f>
        <v>0</v>
      </c>
      <c r="X386" t="b">
        <f>NOT(AND(ISBLANK(DaybyDay[[#This Row],[Appts]]),ISBLANK(DaybyDay[[#This Row],[Service-Actuals]]),ISBLANK(DaybyDay[[#This Row],[Retail-Actuals]])))</f>
        <v>1</v>
      </c>
      <c r="Y386" s="36">
        <f>IF(DaybyDay[[#This Row],[_Space]],IFERROR(
((DaybyDay[[#This Row],[Actual-Rollup]]-DaybyDay[[#This Row],[LY-Rollup]])/DaybyDay[[#This Row],[LY-Rollup]]),0),"")</f>
        <v>0</v>
      </c>
      <c r="Z386"/>
      <c r="AA386" s="37" t="e">
        <f>IF(DaybyDay[[#This Row],[_Space]],DaybyDay[[#This Row],[Ret-Act-RU]]/DaybyDay[[#This Row],[Serv-Act-RU]],"")</f>
        <v>#DIV/0!</v>
      </c>
      <c r="AB386" s="50" t="e">
        <f>IF(DaybyDay[[#This Row],[_Space]],DaybyDay[[#This Row],[RETPEN-Act]]/DaybyDay[[#This Row],[RETPEN-Bud]],"")</f>
        <v>#DIV/0!</v>
      </c>
      <c r="AC386" s="37" t="e">
        <f>IF(DaybyDay[[#This Row],[_Space]],DaybyDay[[#This Row],[Ret-Bud-RU]]/DaybyDay[[#This Row],[Serv-Bud-RU]],"")</f>
        <v>#DIV/0!</v>
      </c>
      <c r="AD386" s="37" t="e">
        <f>IF(DaybyDay[[#This Row],[_Space]],DaybyDay[[#This Row],[Ret-LY-RU]]/DaybyDay[[#This Row],[Serv-LY-RU]],"")</f>
        <v>#DIV/0!</v>
      </c>
      <c r="AE386" s="30">
        <f>WEEKDAY(DaybyDay[[#This Row],[LY-Date]])</f>
        <v>2</v>
      </c>
      <c r="AF386" s="38">
        <f>$E$2+_xlfn.DAYS(DaybyDay[[#This Row],[Date]],minDate)</f>
        <v>42751</v>
      </c>
      <c r="AG386" s="39" cm="1">
        <f t="array" ref="AG386">IFERROR(INDEX(DaybyDay[],DaybyDay[[#This Row],[FORM_MATCH_HELPER]],8),"")</f>
        <v>50</v>
      </c>
      <c r="AH386" s="39" cm="1">
        <f t="array" ref="AH386">IFERROR(INDEX(DaybyDay[],DaybyDay[[#This Row],[FORM_MATCH_HELPER]],10),"")</f>
        <v>6833.29</v>
      </c>
      <c r="AI386" s="39" cm="1">
        <f t="array" ref="AI386">IFERROR(INDEX(DaybyDay[],DaybyDay[[#This Row],[FORM_MATCH_HELPER]],12),"")</f>
        <v>385</v>
      </c>
      <c r="AJ386" s="32">
        <f>IFERROR(DaybyDay[[#This Row],[Serv-LY-RU]]+DaybyDay[[#This Row],[Ret-LY-RU]],"")</f>
        <v>0</v>
      </c>
      <c r="AK3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6" s="77"/>
      <c r="AM386" s="40" t="str">
        <f>IF(DaybyDay[[#This Row],[Admin Hours]]&gt;0,DaybyDay[[#This Row],[Admin Hours]]*$AM$2+$AM$3,"")</f>
        <v/>
      </c>
      <c r="AN386" s="40">
        <f>SUMIFS(DaybyDay[Est-Admin-Payroll],DaybyDay[Date],"&gt;="&amp;$C$5,DaybyDay[RowYear],"&gt;="&amp;$C$4,DaybyDay[Date],"&lt;="&amp;DaybyDay[[#This Row],[Date]])</f>
        <v>0</v>
      </c>
      <c r="AO386" s="41" t="str">
        <f>IF(AND(DaybyDay[[#This Row],[_Space]],ISNUMBER(DaybyDay[[#This Row],[Admin Hours]])),DaybyDay[[#This Row],[Est-Admin-Payroll]]/(DaybyDay[[#This Row],[Service-Actuals]]+DaybyDay[[#This Row],[Retail-Actuals]]),"")</f>
        <v/>
      </c>
      <c r="AP386" s="41" t="e">
        <f>DaybyDay[[#This Row],[Estimated-Payroll-Rollup]]/DaybyDay[[#This Row],[Simple-Forecast]]</f>
        <v>#DIV/0!</v>
      </c>
      <c r="AQ3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6" s="77"/>
      <c r="AS386" s="40" t="str">
        <f>IF(DaybyDay[[#This Row],[Retail Hours]]&gt;0,DaybyDay[[#This Row],[Retail Hours]]*$AS$2,"")</f>
        <v/>
      </c>
      <c r="AT386" s="40">
        <f>SUMIFS(DaybyDay[Est-Retail-Payroll],DaybyDay[Date],"&gt;="&amp;$C$5,DaybyDay[RowYear],"&gt;="&amp;$C$4,DaybyDay[Date],"&lt;="&amp;DaybyDay[[#This Row],[Date]])</f>
        <v>0</v>
      </c>
      <c r="AU386" s="82" t="str">
        <f>IF(AND(DaybyDay[[#This Row],[_Space]],ISNUMBER(DaybyDay[[#This Row],[Retail Hours]])),DaybyDay[[#This Row],[Est-Retail-Payroll]]/(DaybyDay[[#This Row],[Retail-Actuals]]),"")</f>
        <v/>
      </c>
      <c r="AV386" s="82" t="e">
        <f>DaybyDay[[#This Row],[Est-Retail-PayrollRU]]/DaybyDay[[#This Row],[Simple-Forecast-Retail]]</f>
        <v>#DIV/0!</v>
      </c>
      <c r="AW386" s="8"/>
    </row>
    <row r="387" spans="3:49" hidden="1" x14ac:dyDescent="0.25">
      <c r="C387" s="26" t="str">
        <f>Tools!$C$1</f>
        <v>Example</v>
      </c>
      <c r="D387" s="27" t="s">
        <v>68</v>
      </c>
      <c r="E387" s="28">
        <v>2018</v>
      </c>
      <c r="F387" s="28">
        <f>MATCH(DaybyDay[[#This Row],[RowMonth]],Table3[SummaryMonth],0)</f>
        <v>1</v>
      </c>
      <c r="G387" s="29">
        <f>MATCH(DaybyDay[[#This Row],[LY-Date]],DaybyDay[Date],0)</f>
        <v>17</v>
      </c>
      <c r="H387" s="30">
        <f>WEEKDAY(DaybyDay[[#This Row],[Date]])</f>
        <v>3</v>
      </c>
      <c r="I387" s="31">
        <v>43116</v>
      </c>
      <c r="J387" s="74">
        <v>12</v>
      </c>
      <c r="K387" s="32">
        <f>SUMIFS(BudgetSeasonality[365 Seasonality],BudgetSeasonality[MonthAdjustment],DaybyDay[[#This Row],[Date]])*SUMIFS(Budgets[Service-Budget],Budgets[BudgetMonth],DaybyDay[[#This Row],[RowMonth]],Budgets[BudgetYear],DaybyDay[[#This Row],[RowYear]])</f>
        <v>3390.0932317419724</v>
      </c>
      <c r="L387" s="75">
        <v>2598</v>
      </c>
      <c r="M387" s="32">
        <f>INDEX(BudgetSeasonality[365 Seasonality],MATCH(DaybyDay[[#This Row],[Date]],BudgetSeasonality[MonthAdjustment],0))*SUMIFS(Budgets[Retail-Budget],Budgets[BudgetMonth],DaybyDay[[#This Row],[RowMonth]],Budgets[BudgetYear],DaybyDay[[#This Row],[RowYear]])</f>
        <v>1018.3101530444306</v>
      </c>
      <c r="N387" s="75">
        <v>194</v>
      </c>
      <c r="O387" s="33">
        <f>SUMIFS(DaybyDay[Service-Budgets],DaybyDay[Date],"&gt;="&amp;$C$5,DaybyDay[RowYear],"&gt;="&amp;$C$4,DaybyDay[Date],"&lt;="&amp;DaybyDay[[#This Row],[Date]])</f>
        <v>0</v>
      </c>
      <c r="P387" s="33">
        <f>SUMIFS(DaybyDay[Retail-Budgets],DaybyDay[Date],"&gt;="&amp;$C$5,DaybyDay[RowYear],"&gt;="&amp;$C$4,DaybyDay[Date],"&lt;="&amp;DaybyDay[[#This Row],[Date]])</f>
        <v>0</v>
      </c>
      <c r="Q387" s="34">
        <f>SUMIFS(DaybyDay[Service-Actuals],DaybyDay[Date],"&gt;="&amp;$C$5,DaybyDay[RowYear],"&gt;="&amp;$C$4,DaybyDay[Date],"&lt;="&amp;DaybyDay[[#This Row],[Date]])</f>
        <v>0</v>
      </c>
      <c r="R387" s="34">
        <f>SUMIFS(DaybyDay[Retail-Actuals],DaybyDay[Date],"&gt;="&amp;$C$5,DaybyDay[RowYear],"&gt;="&amp;$C$4,DaybyDay[Date],"&lt;="&amp;DaybyDay[[#This Row],[Date]])</f>
        <v>0</v>
      </c>
      <c r="S387" s="35">
        <f>SUMIFS(DaybyDay[Service-LY],DaybyDay[Date],"&gt;="&amp;$C$5,DaybyDay[RowYear],"&gt;="&amp;$C$4,DaybyDay[Date],"&lt;="&amp;DaybyDay[[#This Row],[Date]])</f>
        <v>0</v>
      </c>
      <c r="T387" s="35">
        <f>SUMIFS(DaybyDay[Retail-LY],DaybyDay[Date],"&gt;="&amp;$C$5,DaybyDay[RowYear],"&gt;="&amp;$C$4,DaybyDay[Date],"&lt;="&amp;DaybyDay[[#This Row],[Date]])</f>
        <v>0</v>
      </c>
      <c r="U387" s="32">
        <f>DaybyDay[[#This Row],[Serv-Bud-RU]]+DaybyDay[[#This Row],[Ret-Bud-RU]]</f>
        <v>0</v>
      </c>
      <c r="V387" s="32">
        <f>DaybyDay[[#This Row],[Serv-Act-RU]]+DaybyDay[[#This Row],[Ret-Act-RU]]</f>
        <v>0</v>
      </c>
      <c r="W387" s="36">
        <f>IF(DaybyDay[[#This Row],[_Space]],IFERROR(
((DaybyDay[[#This Row],[Actual-Rollup]]-DaybyDay[[#This Row],[Budget-Rollup]])/DaybyDay[[#This Row],[Budget-Rollup]]),0),"")</f>
        <v>0</v>
      </c>
      <c r="X387" t="b">
        <f>NOT(AND(ISBLANK(DaybyDay[[#This Row],[Appts]]),ISBLANK(DaybyDay[[#This Row],[Service-Actuals]]),ISBLANK(DaybyDay[[#This Row],[Retail-Actuals]])))</f>
        <v>1</v>
      </c>
      <c r="Y387" s="36">
        <f>IF(DaybyDay[[#This Row],[_Space]],IFERROR(
((DaybyDay[[#This Row],[Actual-Rollup]]-DaybyDay[[#This Row],[LY-Rollup]])/DaybyDay[[#This Row],[LY-Rollup]]),0),"")</f>
        <v>0</v>
      </c>
      <c r="Z387"/>
      <c r="AA387" s="37" t="e">
        <f>IF(DaybyDay[[#This Row],[_Space]],DaybyDay[[#This Row],[Ret-Act-RU]]/DaybyDay[[#This Row],[Serv-Act-RU]],"")</f>
        <v>#DIV/0!</v>
      </c>
      <c r="AB387" s="50" t="e">
        <f>IF(DaybyDay[[#This Row],[_Space]],DaybyDay[[#This Row],[RETPEN-Act]]/DaybyDay[[#This Row],[RETPEN-Bud]],"")</f>
        <v>#DIV/0!</v>
      </c>
      <c r="AC387" s="37" t="e">
        <f>IF(DaybyDay[[#This Row],[_Space]],DaybyDay[[#This Row],[Ret-Bud-RU]]/DaybyDay[[#This Row],[Serv-Bud-RU]],"")</f>
        <v>#DIV/0!</v>
      </c>
      <c r="AD387" s="37" t="e">
        <f>IF(DaybyDay[[#This Row],[_Space]],DaybyDay[[#This Row],[Ret-LY-RU]]/DaybyDay[[#This Row],[Serv-LY-RU]],"")</f>
        <v>#DIV/0!</v>
      </c>
      <c r="AE387" s="30">
        <f>WEEKDAY(DaybyDay[[#This Row],[LY-Date]])</f>
        <v>3</v>
      </c>
      <c r="AF387" s="38">
        <f>$E$2+_xlfn.DAYS(DaybyDay[[#This Row],[Date]],minDate)</f>
        <v>42752</v>
      </c>
      <c r="AG387" s="39" cm="1">
        <f t="array" ref="AG387">IFERROR(INDEX(DaybyDay[],DaybyDay[[#This Row],[FORM_MATCH_HELPER]],8),"")</f>
        <v>40</v>
      </c>
      <c r="AH387" s="39" cm="1">
        <f t="array" ref="AH387">IFERROR(INDEX(DaybyDay[],DaybyDay[[#This Row],[FORM_MATCH_HELPER]],10),"")</f>
        <v>6006.95</v>
      </c>
      <c r="AI387" s="39" cm="1">
        <f t="array" ref="AI387">IFERROR(INDEX(DaybyDay[],DaybyDay[[#This Row],[FORM_MATCH_HELPER]],12),"")</f>
        <v>135</v>
      </c>
      <c r="AJ387" s="32">
        <f>IFERROR(DaybyDay[[#This Row],[Serv-LY-RU]]+DaybyDay[[#This Row],[Ret-LY-RU]],"")</f>
        <v>0</v>
      </c>
      <c r="AK3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7" s="77"/>
      <c r="AM387" s="40" t="str">
        <f>IF(DaybyDay[[#This Row],[Admin Hours]]&gt;0,DaybyDay[[#This Row],[Admin Hours]]*$AM$2+$AM$3,"")</f>
        <v/>
      </c>
      <c r="AN387" s="40">
        <f>SUMIFS(DaybyDay[Est-Admin-Payroll],DaybyDay[Date],"&gt;="&amp;$C$5,DaybyDay[RowYear],"&gt;="&amp;$C$4,DaybyDay[Date],"&lt;="&amp;DaybyDay[[#This Row],[Date]])</f>
        <v>0</v>
      </c>
      <c r="AO387" s="41" t="str">
        <f>IF(AND(DaybyDay[[#This Row],[_Space]],ISNUMBER(DaybyDay[[#This Row],[Admin Hours]])),DaybyDay[[#This Row],[Est-Admin-Payroll]]/(DaybyDay[[#This Row],[Service-Actuals]]+DaybyDay[[#This Row],[Retail-Actuals]]),"")</f>
        <v/>
      </c>
      <c r="AP387" s="41" t="e">
        <f>DaybyDay[[#This Row],[Estimated-Payroll-Rollup]]/DaybyDay[[#This Row],[Simple-Forecast]]</f>
        <v>#DIV/0!</v>
      </c>
      <c r="AQ3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7" s="77"/>
      <c r="AS387" s="40" t="str">
        <f>IF(DaybyDay[[#This Row],[Retail Hours]]&gt;0,DaybyDay[[#This Row],[Retail Hours]]*$AS$2,"")</f>
        <v/>
      </c>
      <c r="AT387" s="40">
        <f>SUMIFS(DaybyDay[Est-Retail-Payroll],DaybyDay[Date],"&gt;="&amp;$C$5,DaybyDay[RowYear],"&gt;="&amp;$C$4,DaybyDay[Date],"&lt;="&amp;DaybyDay[[#This Row],[Date]])</f>
        <v>0</v>
      </c>
      <c r="AU387" s="82" t="str">
        <f>IF(AND(DaybyDay[[#This Row],[_Space]],ISNUMBER(DaybyDay[[#This Row],[Retail Hours]])),DaybyDay[[#This Row],[Est-Retail-Payroll]]/(DaybyDay[[#This Row],[Retail-Actuals]]),"")</f>
        <v/>
      </c>
      <c r="AV387" s="82" t="e">
        <f>DaybyDay[[#This Row],[Est-Retail-PayrollRU]]/DaybyDay[[#This Row],[Simple-Forecast-Retail]]</f>
        <v>#DIV/0!</v>
      </c>
      <c r="AW387" s="8"/>
    </row>
    <row r="388" spans="3:49" hidden="1" x14ac:dyDescent="0.25">
      <c r="C388" s="26" t="str">
        <f>Tools!$C$1</f>
        <v>Example</v>
      </c>
      <c r="D388" s="27" t="s">
        <v>68</v>
      </c>
      <c r="E388" s="28">
        <v>2018</v>
      </c>
      <c r="F388" s="28">
        <f>MATCH(DaybyDay[[#This Row],[RowMonth]],Table3[SummaryMonth],0)</f>
        <v>1</v>
      </c>
      <c r="G388" s="29">
        <f>MATCH(DaybyDay[[#This Row],[LY-Date]],DaybyDay[Date],0)</f>
        <v>18</v>
      </c>
      <c r="H388" s="30">
        <f>WEEKDAY(DaybyDay[[#This Row],[Date]])</f>
        <v>4</v>
      </c>
      <c r="I388" s="31">
        <v>43117</v>
      </c>
      <c r="J388" s="74">
        <v>18</v>
      </c>
      <c r="K388" s="32">
        <f>SUMIFS(BudgetSeasonality[365 Seasonality],BudgetSeasonality[MonthAdjustment],DaybyDay[[#This Row],[Date]])*SUMIFS(Budgets[Service-Budget],Budgets[BudgetMonth],DaybyDay[[#This Row],[RowMonth]],Budgets[BudgetYear],DaybyDay[[#This Row],[RowYear]])</f>
        <v>3895.8594639286448</v>
      </c>
      <c r="L388" s="75">
        <v>4118</v>
      </c>
      <c r="M388" s="32">
        <f>INDEX(BudgetSeasonality[365 Seasonality],MATCH(DaybyDay[[#This Row],[Date]],BudgetSeasonality[MonthAdjustment],0))*SUMIFS(Budgets[Retail-Budget],Budgets[BudgetMonth],DaybyDay[[#This Row],[RowMonth]],Budgets[BudgetYear],DaybyDay[[#This Row],[RowYear]])</f>
        <v>1170.231310987946</v>
      </c>
      <c r="N388" s="75">
        <v>127</v>
      </c>
      <c r="O388" s="33">
        <f>SUMIFS(DaybyDay[Service-Budgets],DaybyDay[Date],"&gt;="&amp;$C$5,DaybyDay[RowYear],"&gt;="&amp;$C$4,DaybyDay[Date],"&lt;="&amp;DaybyDay[[#This Row],[Date]])</f>
        <v>0</v>
      </c>
      <c r="P388" s="33">
        <f>SUMIFS(DaybyDay[Retail-Budgets],DaybyDay[Date],"&gt;="&amp;$C$5,DaybyDay[RowYear],"&gt;="&amp;$C$4,DaybyDay[Date],"&lt;="&amp;DaybyDay[[#This Row],[Date]])</f>
        <v>0</v>
      </c>
      <c r="Q388" s="34">
        <f>SUMIFS(DaybyDay[Service-Actuals],DaybyDay[Date],"&gt;="&amp;$C$5,DaybyDay[RowYear],"&gt;="&amp;$C$4,DaybyDay[Date],"&lt;="&amp;DaybyDay[[#This Row],[Date]])</f>
        <v>0</v>
      </c>
      <c r="R388" s="34">
        <f>SUMIFS(DaybyDay[Retail-Actuals],DaybyDay[Date],"&gt;="&amp;$C$5,DaybyDay[RowYear],"&gt;="&amp;$C$4,DaybyDay[Date],"&lt;="&amp;DaybyDay[[#This Row],[Date]])</f>
        <v>0</v>
      </c>
      <c r="S388" s="35">
        <f>SUMIFS(DaybyDay[Service-LY],DaybyDay[Date],"&gt;="&amp;$C$5,DaybyDay[RowYear],"&gt;="&amp;$C$4,DaybyDay[Date],"&lt;="&amp;DaybyDay[[#This Row],[Date]])</f>
        <v>0</v>
      </c>
      <c r="T388" s="35">
        <f>SUMIFS(DaybyDay[Retail-LY],DaybyDay[Date],"&gt;="&amp;$C$5,DaybyDay[RowYear],"&gt;="&amp;$C$4,DaybyDay[Date],"&lt;="&amp;DaybyDay[[#This Row],[Date]])</f>
        <v>0</v>
      </c>
      <c r="U388" s="32">
        <f>DaybyDay[[#This Row],[Serv-Bud-RU]]+DaybyDay[[#This Row],[Ret-Bud-RU]]</f>
        <v>0</v>
      </c>
      <c r="V388" s="32">
        <f>DaybyDay[[#This Row],[Serv-Act-RU]]+DaybyDay[[#This Row],[Ret-Act-RU]]</f>
        <v>0</v>
      </c>
      <c r="W388" s="36">
        <f>IF(DaybyDay[[#This Row],[_Space]],IFERROR(
((DaybyDay[[#This Row],[Actual-Rollup]]-DaybyDay[[#This Row],[Budget-Rollup]])/DaybyDay[[#This Row],[Budget-Rollup]]),0),"")</f>
        <v>0</v>
      </c>
      <c r="X388" t="b">
        <f>NOT(AND(ISBLANK(DaybyDay[[#This Row],[Appts]]),ISBLANK(DaybyDay[[#This Row],[Service-Actuals]]),ISBLANK(DaybyDay[[#This Row],[Retail-Actuals]])))</f>
        <v>1</v>
      </c>
      <c r="Y388" s="36">
        <f>IF(DaybyDay[[#This Row],[_Space]],IFERROR(
((DaybyDay[[#This Row],[Actual-Rollup]]-DaybyDay[[#This Row],[LY-Rollup]])/DaybyDay[[#This Row],[LY-Rollup]]),0),"")</f>
        <v>0</v>
      </c>
      <c r="Z388"/>
      <c r="AA388" s="37" t="e">
        <f>IF(DaybyDay[[#This Row],[_Space]],DaybyDay[[#This Row],[Ret-Act-RU]]/DaybyDay[[#This Row],[Serv-Act-RU]],"")</f>
        <v>#DIV/0!</v>
      </c>
      <c r="AB388" s="50" t="e">
        <f>IF(DaybyDay[[#This Row],[_Space]],DaybyDay[[#This Row],[RETPEN-Act]]/DaybyDay[[#This Row],[RETPEN-Bud]],"")</f>
        <v>#DIV/0!</v>
      </c>
      <c r="AC388" s="37" t="e">
        <f>IF(DaybyDay[[#This Row],[_Space]],DaybyDay[[#This Row],[Ret-Bud-RU]]/DaybyDay[[#This Row],[Serv-Bud-RU]],"")</f>
        <v>#DIV/0!</v>
      </c>
      <c r="AD388" s="37" t="e">
        <f>IF(DaybyDay[[#This Row],[_Space]],DaybyDay[[#This Row],[Ret-LY-RU]]/DaybyDay[[#This Row],[Serv-LY-RU]],"")</f>
        <v>#DIV/0!</v>
      </c>
      <c r="AE388" s="30">
        <f>WEEKDAY(DaybyDay[[#This Row],[LY-Date]])</f>
        <v>4</v>
      </c>
      <c r="AF388" s="38">
        <f>$E$2+_xlfn.DAYS(DaybyDay[[#This Row],[Date]],minDate)</f>
        <v>42753</v>
      </c>
      <c r="AG388" s="39" cm="1">
        <f t="array" ref="AG388">IFERROR(INDEX(DaybyDay[],DaybyDay[[#This Row],[FORM_MATCH_HELPER]],8),"")</f>
        <v>45</v>
      </c>
      <c r="AH388" s="39" cm="1">
        <f t="array" ref="AH388">IFERROR(INDEX(DaybyDay[],DaybyDay[[#This Row],[FORM_MATCH_HELPER]],10),"")</f>
        <v>8811.6</v>
      </c>
      <c r="AI388" s="39" cm="1">
        <f t="array" ref="AI388">IFERROR(INDEX(DaybyDay[],DaybyDay[[#This Row],[FORM_MATCH_HELPER]],12),"")</f>
        <v>280.39</v>
      </c>
      <c r="AJ388" s="32">
        <f>IFERROR(DaybyDay[[#This Row],[Serv-LY-RU]]+DaybyDay[[#This Row],[Ret-LY-RU]],"")</f>
        <v>0</v>
      </c>
      <c r="AK3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8" s="77"/>
      <c r="AM388" s="40" t="str">
        <f>IF(DaybyDay[[#This Row],[Admin Hours]]&gt;0,DaybyDay[[#This Row],[Admin Hours]]*$AM$2+$AM$3,"")</f>
        <v/>
      </c>
      <c r="AN388" s="40">
        <f>SUMIFS(DaybyDay[Est-Admin-Payroll],DaybyDay[Date],"&gt;="&amp;$C$5,DaybyDay[RowYear],"&gt;="&amp;$C$4,DaybyDay[Date],"&lt;="&amp;DaybyDay[[#This Row],[Date]])</f>
        <v>0</v>
      </c>
      <c r="AO388" s="41" t="str">
        <f>IF(AND(DaybyDay[[#This Row],[_Space]],ISNUMBER(DaybyDay[[#This Row],[Admin Hours]])),DaybyDay[[#This Row],[Est-Admin-Payroll]]/(DaybyDay[[#This Row],[Service-Actuals]]+DaybyDay[[#This Row],[Retail-Actuals]]),"")</f>
        <v/>
      </c>
      <c r="AP388" s="41" t="e">
        <f>DaybyDay[[#This Row],[Estimated-Payroll-Rollup]]/DaybyDay[[#This Row],[Simple-Forecast]]</f>
        <v>#DIV/0!</v>
      </c>
      <c r="AQ3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8" s="77"/>
      <c r="AS388" s="40" t="str">
        <f>IF(DaybyDay[[#This Row],[Retail Hours]]&gt;0,DaybyDay[[#This Row],[Retail Hours]]*$AS$2,"")</f>
        <v/>
      </c>
      <c r="AT388" s="40">
        <f>SUMIFS(DaybyDay[Est-Retail-Payroll],DaybyDay[Date],"&gt;="&amp;$C$5,DaybyDay[RowYear],"&gt;="&amp;$C$4,DaybyDay[Date],"&lt;="&amp;DaybyDay[[#This Row],[Date]])</f>
        <v>0</v>
      </c>
      <c r="AU388" s="82" t="str">
        <f>IF(AND(DaybyDay[[#This Row],[_Space]],ISNUMBER(DaybyDay[[#This Row],[Retail Hours]])),DaybyDay[[#This Row],[Est-Retail-Payroll]]/(DaybyDay[[#This Row],[Retail-Actuals]]),"")</f>
        <v/>
      </c>
      <c r="AV388" s="82" t="e">
        <f>DaybyDay[[#This Row],[Est-Retail-PayrollRU]]/DaybyDay[[#This Row],[Simple-Forecast-Retail]]</f>
        <v>#DIV/0!</v>
      </c>
      <c r="AW388" s="8"/>
    </row>
    <row r="389" spans="3:49" hidden="1" x14ac:dyDescent="0.25">
      <c r="C389" s="26" t="str">
        <f>Tools!$C$1</f>
        <v>Example</v>
      </c>
      <c r="D389" s="27" t="s">
        <v>68</v>
      </c>
      <c r="E389" s="28">
        <v>2018</v>
      </c>
      <c r="F389" s="28">
        <f>MATCH(DaybyDay[[#This Row],[RowMonth]],Table3[SummaryMonth],0)</f>
        <v>1</v>
      </c>
      <c r="G389" s="29">
        <f>MATCH(DaybyDay[[#This Row],[LY-Date]],DaybyDay[Date],0)</f>
        <v>19</v>
      </c>
      <c r="H389" s="30">
        <f>WEEKDAY(DaybyDay[[#This Row],[Date]])</f>
        <v>5</v>
      </c>
      <c r="I389" s="31">
        <v>43118</v>
      </c>
      <c r="J389" s="74">
        <v>15</v>
      </c>
      <c r="K389" s="32">
        <f>SUMIFS(BudgetSeasonality[365 Seasonality],BudgetSeasonality[MonthAdjustment],DaybyDay[[#This Row],[Date]])*SUMIFS(Budgets[Service-Budget],Budgets[BudgetMonth],DaybyDay[[#This Row],[RowMonth]],Budgets[BudgetYear],DaybyDay[[#This Row],[RowYear]])</f>
        <v>4006.3955817657752</v>
      </c>
      <c r="L389" s="75">
        <v>4079</v>
      </c>
      <c r="M389" s="32">
        <f>INDEX(BudgetSeasonality[365 Seasonality],MATCH(DaybyDay[[#This Row],[Date]],BudgetSeasonality[MonthAdjustment],0))*SUMIFS(Budgets[Retail-Budget],Budgets[BudgetMonth],DaybyDay[[#This Row],[RowMonth]],Budgets[BudgetYear],DaybyDay[[#This Row],[RowYear]])</f>
        <v>1203.4339527376621</v>
      </c>
      <c r="N389" s="75">
        <v>155</v>
      </c>
      <c r="O389" s="33">
        <f>SUMIFS(DaybyDay[Service-Budgets],DaybyDay[Date],"&gt;="&amp;$C$5,DaybyDay[RowYear],"&gt;="&amp;$C$4,DaybyDay[Date],"&lt;="&amp;DaybyDay[[#This Row],[Date]])</f>
        <v>0</v>
      </c>
      <c r="P389" s="33">
        <f>SUMIFS(DaybyDay[Retail-Budgets],DaybyDay[Date],"&gt;="&amp;$C$5,DaybyDay[RowYear],"&gt;="&amp;$C$4,DaybyDay[Date],"&lt;="&amp;DaybyDay[[#This Row],[Date]])</f>
        <v>0</v>
      </c>
      <c r="Q389" s="34">
        <f>SUMIFS(DaybyDay[Service-Actuals],DaybyDay[Date],"&gt;="&amp;$C$5,DaybyDay[RowYear],"&gt;="&amp;$C$4,DaybyDay[Date],"&lt;="&amp;DaybyDay[[#This Row],[Date]])</f>
        <v>0</v>
      </c>
      <c r="R389" s="34">
        <f>SUMIFS(DaybyDay[Retail-Actuals],DaybyDay[Date],"&gt;="&amp;$C$5,DaybyDay[RowYear],"&gt;="&amp;$C$4,DaybyDay[Date],"&lt;="&amp;DaybyDay[[#This Row],[Date]])</f>
        <v>0</v>
      </c>
      <c r="S389" s="35">
        <f>SUMIFS(DaybyDay[Service-LY],DaybyDay[Date],"&gt;="&amp;$C$5,DaybyDay[RowYear],"&gt;="&amp;$C$4,DaybyDay[Date],"&lt;="&amp;DaybyDay[[#This Row],[Date]])</f>
        <v>0</v>
      </c>
      <c r="T389" s="35">
        <f>SUMIFS(DaybyDay[Retail-LY],DaybyDay[Date],"&gt;="&amp;$C$5,DaybyDay[RowYear],"&gt;="&amp;$C$4,DaybyDay[Date],"&lt;="&amp;DaybyDay[[#This Row],[Date]])</f>
        <v>0</v>
      </c>
      <c r="U389" s="32">
        <f>DaybyDay[[#This Row],[Serv-Bud-RU]]+DaybyDay[[#This Row],[Ret-Bud-RU]]</f>
        <v>0</v>
      </c>
      <c r="V389" s="32">
        <f>DaybyDay[[#This Row],[Serv-Act-RU]]+DaybyDay[[#This Row],[Ret-Act-RU]]</f>
        <v>0</v>
      </c>
      <c r="W389" s="36">
        <f>IF(DaybyDay[[#This Row],[_Space]],IFERROR(
((DaybyDay[[#This Row],[Actual-Rollup]]-DaybyDay[[#This Row],[Budget-Rollup]])/DaybyDay[[#This Row],[Budget-Rollup]]),0),"")</f>
        <v>0</v>
      </c>
      <c r="X389" t="b">
        <f>NOT(AND(ISBLANK(DaybyDay[[#This Row],[Appts]]),ISBLANK(DaybyDay[[#This Row],[Service-Actuals]]),ISBLANK(DaybyDay[[#This Row],[Retail-Actuals]])))</f>
        <v>1</v>
      </c>
      <c r="Y389" s="36">
        <f>IF(DaybyDay[[#This Row],[_Space]],IFERROR(
((DaybyDay[[#This Row],[Actual-Rollup]]-DaybyDay[[#This Row],[LY-Rollup]])/DaybyDay[[#This Row],[LY-Rollup]]),0),"")</f>
        <v>0</v>
      </c>
      <c r="Z389"/>
      <c r="AA389" s="37" t="e">
        <f>IF(DaybyDay[[#This Row],[_Space]],DaybyDay[[#This Row],[Ret-Act-RU]]/DaybyDay[[#This Row],[Serv-Act-RU]],"")</f>
        <v>#DIV/0!</v>
      </c>
      <c r="AB389" s="50" t="e">
        <f>IF(DaybyDay[[#This Row],[_Space]],DaybyDay[[#This Row],[RETPEN-Act]]/DaybyDay[[#This Row],[RETPEN-Bud]],"")</f>
        <v>#DIV/0!</v>
      </c>
      <c r="AC389" s="37" t="e">
        <f>IF(DaybyDay[[#This Row],[_Space]],DaybyDay[[#This Row],[Ret-Bud-RU]]/DaybyDay[[#This Row],[Serv-Bud-RU]],"")</f>
        <v>#DIV/0!</v>
      </c>
      <c r="AD389" s="37" t="e">
        <f>IF(DaybyDay[[#This Row],[_Space]],DaybyDay[[#This Row],[Ret-LY-RU]]/DaybyDay[[#This Row],[Serv-LY-RU]],"")</f>
        <v>#DIV/0!</v>
      </c>
      <c r="AE389" s="30">
        <f>WEEKDAY(DaybyDay[[#This Row],[LY-Date]])</f>
        <v>5</v>
      </c>
      <c r="AF389" s="38">
        <f>$E$2+_xlfn.DAYS(DaybyDay[[#This Row],[Date]],minDate)</f>
        <v>42754</v>
      </c>
      <c r="AG389" s="39" cm="1">
        <f t="array" ref="AG389">IFERROR(INDEX(DaybyDay[],DaybyDay[[#This Row],[FORM_MATCH_HELPER]],8),"")</f>
        <v>44</v>
      </c>
      <c r="AH389" s="39" cm="1">
        <f t="array" ref="AH389">IFERROR(INDEX(DaybyDay[],DaybyDay[[#This Row],[FORM_MATCH_HELPER]],10),"")</f>
        <v>5986.92</v>
      </c>
      <c r="AI389" s="39" cm="1">
        <f t="array" ref="AI389">IFERROR(INDEX(DaybyDay[],DaybyDay[[#This Row],[FORM_MATCH_HELPER]],12),"")</f>
        <v>1595.5</v>
      </c>
      <c r="AJ389" s="32">
        <f>IFERROR(DaybyDay[[#This Row],[Serv-LY-RU]]+DaybyDay[[#This Row],[Ret-LY-RU]],"")</f>
        <v>0</v>
      </c>
      <c r="AK3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89" s="77"/>
      <c r="AM389" s="40" t="str">
        <f>IF(DaybyDay[[#This Row],[Admin Hours]]&gt;0,DaybyDay[[#This Row],[Admin Hours]]*$AM$2+$AM$3,"")</f>
        <v/>
      </c>
      <c r="AN389" s="40">
        <f>SUMIFS(DaybyDay[Est-Admin-Payroll],DaybyDay[Date],"&gt;="&amp;$C$5,DaybyDay[RowYear],"&gt;="&amp;$C$4,DaybyDay[Date],"&lt;="&amp;DaybyDay[[#This Row],[Date]])</f>
        <v>0</v>
      </c>
      <c r="AO389" s="41" t="str">
        <f>IF(AND(DaybyDay[[#This Row],[_Space]],ISNUMBER(DaybyDay[[#This Row],[Admin Hours]])),DaybyDay[[#This Row],[Est-Admin-Payroll]]/(DaybyDay[[#This Row],[Service-Actuals]]+DaybyDay[[#This Row],[Retail-Actuals]]),"")</f>
        <v/>
      </c>
      <c r="AP389" s="41" t="e">
        <f>DaybyDay[[#This Row],[Estimated-Payroll-Rollup]]/DaybyDay[[#This Row],[Simple-Forecast]]</f>
        <v>#DIV/0!</v>
      </c>
      <c r="AQ3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89" s="77"/>
      <c r="AS389" s="40" t="str">
        <f>IF(DaybyDay[[#This Row],[Retail Hours]]&gt;0,DaybyDay[[#This Row],[Retail Hours]]*$AS$2,"")</f>
        <v/>
      </c>
      <c r="AT389" s="40">
        <f>SUMIFS(DaybyDay[Est-Retail-Payroll],DaybyDay[Date],"&gt;="&amp;$C$5,DaybyDay[RowYear],"&gt;="&amp;$C$4,DaybyDay[Date],"&lt;="&amp;DaybyDay[[#This Row],[Date]])</f>
        <v>0</v>
      </c>
      <c r="AU389" s="82" t="str">
        <f>IF(AND(DaybyDay[[#This Row],[_Space]],ISNUMBER(DaybyDay[[#This Row],[Retail Hours]])),DaybyDay[[#This Row],[Est-Retail-Payroll]]/(DaybyDay[[#This Row],[Retail-Actuals]]),"")</f>
        <v/>
      </c>
      <c r="AV389" s="82" t="e">
        <f>DaybyDay[[#This Row],[Est-Retail-PayrollRU]]/DaybyDay[[#This Row],[Simple-Forecast-Retail]]</f>
        <v>#DIV/0!</v>
      </c>
      <c r="AW389" s="8"/>
    </row>
    <row r="390" spans="3:49" hidden="1" x14ac:dyDescent="0.25">
      <c r="C390" s="26" t="str">
        <f>Tools!$C$1</f>
        <v>Example</v>
      </c>
      <c r="D390" s="27" t="s">
        <v>68</v>
      </c>
      <c r="E390" s="28">
        <v>2018</v>
      </c>
      <c r="F390" s="28">
        <f>MATCH(DaybyDay[[#This Row],[RowMonth]],Table3[SummaryMonth],0)</f>
        <v>1</v>
      </c>
      <c r="G390" s="29">
        <f>MATCH(DaybyDay[[#This Row],[LY-Date]],DaybyDay[Date],0)</f>
        <v>20</v>
      </c>
      <c r="H390" s="30">
        <f>WEEKDAY(DaybyDay[[#This Row],[Date]])</f>
        <v>6</v>
      </c>
      <c r="I390" s="31">
        <v>43119</v>
      </c>
      <c r="J390" s="74">
        <v>21</v>
      </c>
      <c r="K390" s="32">
        <f>SUMIFS(BudgetSeasonality[365 Seasonality],BudgetSeasonality[MonthAdjustment],DaybyDay[[#This Row],[Date]])*SUMIFS(Budgets[Service-Budget],Budgets[BudgetMonth],DaybyDay[[#This Row],[RowMonth]],Budgets[BudgetYear],DaybyDay[[#This Row],[RowYear]])</f>
        <v>4951.7383795576288</v>
      </c>
      <c r="L390" s="75">
        <v>5604</v>
      </c>
      <c r="M390" s="32">
        <f>INDEX(BudgetSeasonality[365 Seasonality],MATCH(DaybyDay[[#This Row],[Date]],BudgetSeasonality[MonthAdjustment],0))*SUMIFS(Budgets[Retail-Budget],Budgets[BudgetMonth],DaybyDay[[#This Row],[RowMonth]],Budgets[BudgetYear],DaybyDay[[#This Row],[RowYear]])</f>
        <v>1487.3943347370155</v>
      </c>
      <c r="N390" s="75">
        <v>973.2</v>
      </c>
      <c r="O390" s="33">
        <f>SUMIFS(DaybyDay[Service-Budgets],DaybyDay[Date],"&gt;="&amp;$C$5,DaybyDay[RowYear],"&gt;="&amp;$C$4,DaybyDay[Date],"&lt;="&amp;DaybyDay[[#This Row],[Date]])</f>
        <v>0</v>
      </c>
      <c r="P390" s="33">
        <f>SUMIFS(DaybyDay[Retail-Budgets],DaybyDay[Date],"&gt;="&amp;$C$5,DaybyDay[RowYear],"&gt;="&amp;$C$4,DaybyDay[Date],"&lt;="&amp;DaybyDay[[#This Row],[Date]])</f>
        <v>0</v>
      </c>
      <c r="Q390" s="34">
        <f>SUMIFS(DaybyDay[Service-Actuals],DaybyDay[Date],"&gt;="&amp;$C$5,DaybyDay[RowYear],"&gt;="&amp;$C$4,DaybyDay[Date],"&lt;="&amp;DaybyDay[[#This Row],[Date]])</f>
        <v>0</v>
      </c>
      <c r="R390" s="34">
        <f>SUMIFS(DaybyDay[Retail-Actuals],DaybyDay[Date],"&gt;="&amp;$C$5,DaybyDay[RowYear],"&gt;="&amp;$C$4,DaybyDay[Date],"&lt;="&amp;DaybyDay[[#This Row],[Date]])</f>
        <v>0</v>
      </c>
      <c r="S390" s="35">
        <f>SUMIFS(DaybyDay[Service-LY],DaybyDay[Date],"&gt;="&amp;$C$5,DaybyDay[RowYear],"&gt;="&amp;$C$4,DaybyDay[Date],"&lt;="&amp;DaybyDay[[#This Row],[Date]])</f>
        <v>0</v>
      </c>
      <c r="T390" s="35">
        <f>SUMIFS(DaybyDay[Retail-LY],DaybyDay[Date],"&gt;="&amp;$C$5,DaybyDay[RowYear],"&gt;="&amp;$C$4,DaybyDay[Date],"&lt;="&amp;DaybyDay[[#This Row],[Date]])</f>
        <v>0</v>
      </c>
      <c r="U390" s="32">
        <f>DaybyDay[[#This Row],[Serv-Bud-RU]]+DaybyDay[[#This Row],[Ret-Bud-RU]]</f>
        <v>0</v>
      </c>
      <c r="V390" s="32">
        <f>DaybyDay[[#This Row],[Serv-Act-RU]]+DaybyDay[[#This Row],[Ret-Act-RU]]</f>
        <v>0</v>
      </c>
      <c r="W390" s="36">
        <f>IF(DaybyDay[[#This Row],[_Space]],IFERROR(
((DaybyDay[[#This Row],[Actual-Rollup]]-DaybyDay[[#This Row],[Budget-Rollup]])/DaybyDay[[#This Row],[Budget-Rollup]]),0),"")</f>
        <v>0</v>
      </c>
      <c r="X390" t="b">
        <f>NOT(AND(ISBLANK(DaybyDay[[#This Row],[Appts]]),ISBLANK(DaybyDay[[#This Row],[Service-Actuals]]),ISBLANK(DaybyDay[[#This Row],[Retail-Actuals]])))</f>
        <v>1</v>
      </c>
      <c r="Y390" s="36">
        <f>IF(DaybyDay[[#This Row],[_Space]],IFERROR(
((DaybyDay[[#This Row],[Actual-Rollup]]-DaybyDay[[#This Row],[LY-Rollup]])/DaybyDay[[#This Row],[LY-Rollup]]),0),"")</f>
        <v>0</v>
      </c>
      <c r="Z390"/>
      <c r="AA390" s="37" t="e">
        <f>IF(DaybyDay[[#This Row],[_Space]],DaybyDay[[#This Row],[Ret-Act-RU]]/DaybyDay[[#This Row],[Serv-Act-RU]],"")</f>
        <v>#DIV/0!</v>
      </c>
      <c r="AB390" s="50" t="e">
        <f>IF(DaybyDay[[#This Row],[_Space]],DaybyDay[[#This Row],[RETPEN-Act]]/DaybyDay[[#This Row],[RETPEN-Bud]],"")</f>
        <v>#DIV/0!</v>
      </c>
      <c r="AC390" s="37" t="e">
        <f>IF(DaybyDay[[#This Row],[_Space]],DaybyDay[[#This Row],[Ret-Bud-RU]]/DaybyDay[[#This Row],[Serv-Bud-RU]],"")</f>
        <v>#DIV/0!</v>
      </c>
      <c r="AD390" s="37" t="e">
        <f>IF(DaybyDay[[#This Row],[_Space]],DaybyDay[[#This Row],[Ret-LY-RU]]/DaybyDay[[#This Row],[Serv-LY-RU]],"")</f>
        <v>#DIV/0!</v>
      </c>
      <c r="AE390" s="30">
        <f>WEEKDAY(DaybyDay[[#This Row],[LY-Date]])</f>
        <v>6</v>
      </c>
      <c r="AF390" s="38">
        <f>$E$2+_xlfn.DAYS(DaybyDay[[#This Row],[Date]],minDate)</f>
        <v>42755</v>
      </c>
      <c r="AG390" s="39" cm="1">
        <f t="array" ref="AG390">IFERROR(INDEX(DaybyDay[],DaybyDay[[#This Row],[FORM_MATCH_HELPER]],8),"")</f>
        <v>42</v>
      </c>
      <c r="AH390" s="39" cm="1">
        <f t="array" ref="AH390">IFERROR(INDEX(DaybyDay[],DaybyDay[[#This Row],[FORM_MATCH_HELPER]],10),"")</f>
        <v>9069.84</v>
      </c>
      <c r="AI390" s="39" cm="1">
        <f t="array" ref="AI390">IFERROR(INDEX(DaybyDay[],DaybyDay[[#This Row],[FORM_MATCH_HELPER]],12),"")</f>
        <v>941</v>
      </c>
      <c r="AJ390" s="32">
        <f>IFERROR(DaybyDay[[#This Row],[Serv-LY-RU]]+DaybyDay[[#This Row],[Ret-LY-RU]],"")</f>
        <v>0</v>
      </c>
      <c r="AK3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0" s="77"/>
      <c r="AM390" s="40" t="str">
        <f>IF(DaybyDay[[#This Row],[Admin Hours]]&gt;0,DaybyDay[[#This Row],[Admin Hours]]*$AM$2+$AM$3,"")</f>
        <v/>
      </c>
      <c r="AN390" s="40">
        <f>SUMIFS(DaybyDay[Est-Admin-Payroll],DaybyDay[Date],"&gt;="&amp;$C$5,DaybyDay[RowYear],"&gt;="&amp;$C$4,DaybyDay[Date],"&lt;="&amp;DaybyDay[[#This Row],[Date]])</f>
        <v>0</v>
      </c>
      <c r="AO390" s="41" t="str">
        <f>IF(AND(DaybyDay[[#This Row],[_Space]],ISNUMBER(DaybyDay[[#This Row],[Admin Hours]])),DaybyDay[[#This Row],[Est-Admin-Payroll]]/(DaybyDay[[#This Row],[Service-Actuals]]+DaybyDay[[#This Row],[Retail-Actuals]]),"")</f>
        <v/>
      </c>
      <c r="AP390" s="41" t="e">
        <f>DaybyDay[[#This Row],[Estimated-Payroll-Rollup]]/DaybyDay[[#This Row],[Simple-Forecast]]</f>
        <v>#DIV/0!</v>
      </c>
      <c r="AQ3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0" s="77"/>
      <c r="AS390" s="40" t="str">
        <f>IF(DaybyDay[[#This Row],[Retail Hours]]&gt;0,DaybyDay[[#This Row],[Retail Hours]]*$AS$2,"")</f>
        <v/>
      </c>
      <c r="AT390" s="40">
        <f>SUMIFS(DaybyDay[Est-Retail-Payroll],DaybyDay[Date],"&gt;="&amp;$C$5,DaybyDay[RowYear],"&gt;="&amp;$C$4,DaybyDay[Date],"&lt;="&amp;DaybyDay[[#This Row],[Date]])</f>
        <v>0</v>
      </c>
      <c r="AU390" s="82" t="str">
        <f>IF(AND(DaybyDay[[#This Row],[_Space]],ISNUMBER(DaybyDay[[#This Row],[Retail Hours]])),DaybyDay[[#This Row],[Est-Retail-Payroll]]/(DaybyDay[[#This Row],[Retail-Actuals]]),"")</f>
        <v/>
      </c>
      <c r="AV390" s="82" t="e">
        <f>DaybyDay[[#This Row],[Est-Retail-PayrollRU]]/DaybyDay[[#This Row],[Simple-Forecast-Retail]]</f>
        <v>#DIV/0!</v>
      </c>
      <c r="AW390" s="8"/>
    </row>
    <row r="391" spans="3:49" hidden="1" x14ac:dyDescent="0.25">
      <c r="C391" s="26" t="str">
        <f>Tools!$C$1</f>
        <v>Example</v>
      </c>
      <c r="D391" s="27" t="s">
        <v>68</v>
      </c>
      <c r="E391" s="28">
        <v>2018</v>
      </c>
      <c r="F391" s="28">
        <f>MATCH(DaybyDay[[#This Row],[RowMonth]],Table3[SummaryMonth],0)</f>
        <v>1</v>
      </c>
      <c r="G391" s="29">
        <f>MATCH(DaybyDay[[#This Row],[LY-Date]],DaybyDay[Date],0)</f>
        <v>21</v>
      </c>
      <c r="H391" s="30">
        <f>WEEKDAY(DaybyDay[[#This Row],[Date]])</f>
        <v>7</v>
      </c>
      <c r="I391" s="31">
        <v>43120</v>
      </c>
      <c r="J391" s="74">
        <v>35</v>
      </c>
      <c r="K391" s="32">
        <f>SUMIFS(BudgetSeasonality[365 Seasonality],BudgetSeasonality[MonthAdjustment],DaybyDay[[#This Row],[Date]])*SUMIFS(Budgets[Service-Budget],Budgets[BudgetMonth],DaybyDay[[#This Row],[RowMonth]],Budgets[BudgetYear],DaybyDay[[#This Row],[RowYear]])</f>
        <v>6945.2437057512379</v>
      </c>
      <c r="L391" s="75">
        <v>8917.42</v>
      </c>
      <c r="M391" s="32">
        <f>INDEX(BudgetSeasonality[365 Seasonality],MATCH(DaybyDay[[#This Row],[Date]],BudgetSeasonality[MonthAdjustment],0))*SUMIFS(Budgets[Retail-Budget],Budgets[BudgetMonth],DaybyDay[[#This Row],[RowMonth]],Budgets[BudgetYear],DaybyDay[[#This Row],[RowYear]])</f>
        <v>2086.1999058652168</v>
      </c>
      <c r="N391" s="75">
        <v>2784.58</v>
      </c>
      <c r="O391" s="33">
        <f>SUMIFS(DaybyDay[Service-Budgets],DaybyDay[Date],"&gt;="&amp;$C$5,DaybyDay[RowYear],"&gt;="&amp;$C$4,DaybyDay[Date],"&lt;="&amp;DaybyDay[[#This Row],[Date]])</f>
        <v>0</v>
      </c>
      <c r="P391" s="33">
        <f>SUMIFS(DaybyDay[Retail-Budgets],DaybyDay[Date],"&gt;="&amp;$C$5,DaybyDay[RowYear],"&gt;="&amp;$C$4,DaybyDay[Date],"&lt;="&amp;DaybyDay[[#This Row],[Date]])</f>
        <v>0</v>
      </c>
      <c r="Q391" s="34">
        <f>SUMIFS(DaybyDay[Service-Actuals],DaybyDay[Date],"&gt;="&amp;$C$5,DaybyDay[RowYear],"&gt;="&amp;$C$4,DaybyDay[Date],"&lt;="&amp;DaybyDay[[#This Row],[Date]])</f>
        <v>0</v>
      </c>
      <c r="R391" s="34">
        <f>SUMIFS(DaybyDay[Retail-Actuals],DaybyDay[Date],"&gt;="&amp;$C$5,DaybyDay[RowYear],"&gt;="&amp;$C$4,DaybyDay[Date],"&lt;="&amp;DaybyDay[[#This Row],[Date]])</f>
        <v>0</v>
      </c>
      <c r="S391" s="35">
        <f>SUMIFS(DaybyDay[Service-LY],DaybyDay[Date],"&gt;="&amp;$C$5,DaybyDay[RowYear],"&gt;="&amp;$C$4,DaybyDay[Date],"&lt;="&amp;DaybyDay[[#This Row],[Date]])</f>
        <v>0</v>
      </c>
      <c r="T391" s="35">
        <f>SUMIFS(DaybyDay[Retail-LY],DaybyDay[Date],"&gt;="&amp;$C$5,DaybyDay[RowYear],"&gt;="&amp;$C$4,DaybyDay[Date],"&lt;="&amp;DaybyDay[[#This Row],[Date]])</f>
        <v>0</v>
      </c>
      <c r="U391" s="32">
        <f>DaybyDay[[#This Row],[Serv-Bud-RU]]+DaybyDay[[#This Row],[Ret-Bud-RU]]</f>
        <v>0</v>
      </c>
      <c r="V391" s="32">
        <f>DaybyDay[[#This Row],[Serv-Act-RU]]+DaybyDay[[#This Row],[Ret-Act-RU]]</f>
        <v>0</v>
      </c>
      <c r="W391" s="36">
        <f>IF(DaybyDay[[#This Row],[_Space]],IFERROR(
((DaybyDay[[#This Row],[Actual-Rollup]]-DaybyDay[[#This Row],[Budget-Rollup]])/DaybyDay[[#This Row],[Budget-Rollup]]),0),"")</f>
        <v>0</v>
      </c>
      <c r="X391" t="b">
        <f>NOT(AND(ISBLANK(DaybyDay[[#This Row],[Appts]]),ISBLANK(DaybyDay[[#This Row],[Service-Actuals]]),ISBLANK(DaybyDay[[#This Row],[Retail-Actuals]])))</f>
        <v>1</v>
      </c>
      <c r="Y391" s="36">
        <f>IF(DaybyDay[[#This Row],[_Space]],IFERROR(
((DaybyDay[[#This Row],[Actual-Rollup]]-DaybyDay[[#This Row],[LY-Rollup]])/DaybyDay[[#This Row],[LY-Rollup]]),0),"")</f>
        <v>0</v>
      </c>
      <c r="Z391"/>
      <c r="AA391" s="37" t="e">
        <f>IF(DaybyDay[[#This Row],[_Space]],DaybyDay[[#This Row],[Ret-Act-RU]]/DaybyDay[[#This Row],[Serv-Act-RU]],"")</f>
        <v>#DIV/0!</v>
      </c>
      <c r="AB391" s="50" t="e">
        <f>IF(DaybyDay[[#This Row],[_Space]],DaybyDay[[#This Row],[RETPEN-Act]]/DaybyDay[[#This Row],[RETPEN-Bud]],"")</f>
        <v>#DIV/0!</v>
      </c>
      <c r="AC391" s="37" t="e">
        <f>IF(DaybyDay[[#This Row],[_Space]],DaybyDay[[#This Row],[Ret-Bud-RU]]/DaybyDay[[#This Row],[Serv-Bud-RU]],"")</f>
        <v>#DIV/0!</v>
      </c>
      <c r="AD391" s="37" t="e">
        <f>IF(DaybyDay[[#This Row],[_Space]],DaybyDay[[#This Row],[Ret-LY-RU]]/DaybyDay[[#This Row],[Serv-LY-RU]],"")</f>
        <v>#DIV/0!</v>
      </c>
      <c r="AE391" s="30">
        <f>WEEKDAY(DaybyDay[[#This Row],[LY-Date]])</f>
        <v>7</v>
      </c>
      <c r="AF391" s="38">
        <f>$E$2+_xlfn.DAYS(DaybyDay[[#This Row],[Date]],minDate)</f>
        <v>42756</v>
      </c>
      <c r="AG391" s="39" cm="1">
        <f t="array" ref="AG391">IFERROR(INDEX(DaybyDay[],DaybyDay[[#This Row],[FORM_MATCH_HELPER]],8),"")</f>
        <v>51</v>
      </c>
      <c r="AH391" s="39" cm="1">
        <f t="array" ref="AH391">IFERROR(INDEX(DaybyDay[],DaybyDay[[#This Row],[FORM_MATCH_HELPER]],10),"")</f>
        <v>9373.75</v>
      </c>
      <c r="AI391" s="39" cm="1">
        <f t="array" ref="AI391">IFERROR(INDEX(DaybyDay[],DaybyDay[[#This Row],[FORM_MATCH_HELPER]],12),"")</f>
        <v>788.98</v>
      </c>
      <c r="AJ391" s="32">
        <f>IFERROR(DaybyDay[[#This Row],[Serv-LY-RU]]+DaybyDay[[#This Row],[Ret-LY-RU]],"")</f>
        <v>0</v>
      </c>
      <c r="AK3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1" s="77"/>
      <c r="AM391" s="40" t="str">
        <f>IF(DaybyDay[[#This Row],[Admin Hours]]&gt;0,DaybyDay[[#This Row],[Admin Hours]]*$AM$2+$AM$3,"")</f>
        <v/>
      </c>
      <c r="AN391" s="40">
        <f>SUMIFS(DaybyDay[Est-Admin-Payroll],DaybyDay[Date],"&gt;="&amp;$C$5,DaybyDay[RowYear],"&gt;="&amp;$C$4,DaybyDay[Date],"&lt;="&amp;DaybyDay[[#This Row],[Date]])</f>
        <v>0</v>
      </c>
      <c r="AO391" s="41" t="str">
        <f>IF(AND(DaybyDay[[#This Row],[_Space]],ISNUMBER(DaybyDay[[#This Row],[Admin Hours]])),DaybyDay[[#This Row],[Est-Admin-Payroll]]/(DaybyDay[[#This Row],[Service-Actuals]]+DaybyDay[[#This Row],[Retail-Actuals]]),"")</f>
        <v/>
      </c>
      <c r="AP391" s="41" t="e">
        <f>DaybyDay[[#This Row],[Estimated-Payroll-Rollup]]/DaybyDay[[#This Row],[Simple-Forecast]]</f>
        <v>#DIV/0!</v>
      </c>
      <c r="AQ3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1" s="77"/>
      <c r="AS391" s="40" t="str">
        <f>IF(DaybyDay[[#This Row],[Retail Hours]]&gt;0,DaybyDay[[#This Row],[Retail Hours]]*$AS$2,"")</f>
        <v/>
      </c>
      <c r="AT391" s="40">
        <f>SUMIFS(DaybyDay[Est-Retail-Payroll],DaybyDay[Date],"&gt;="&amp;$C$5,DaybyDay[RowYear],"&gt;="&amp;$C$4,DaybyDay[Date],"&lt;="&amp;DaybyDay[[#This Row],[Date]])</f>
        <v>0</v>
      </c>
      <c r="AU391" s="82" t="str">
        <f>IF(AND(DaybyDay[[#This Row],[_Space]],ISNUMBER(DaybyDay[[#This Row],[Retail Hours]])),DaybyDay[[#This Row],[Est-Retail-Payroll]]/(DaybyDay[[#This Row],[Retail-Actuals]]),"")</f>
        <v/>
      </c>
      <c r="AV391" s="82" t="e">
        <f>DaybyDay[[#This Row],[Est-Retail-PayrollRU]]/DaybyDay[[#This Row],[Simple-Forecast-Retail]]</f>
        <v>#DIV/0!</v>
      </c>
      <c r="AW391" s="8"/>
    </row>
    <row r="392" spans="3:49" hidden="1" x14ac:dyDescent="0.25">
      <c r="C392" s="26" t="str">
        <f>Tools!$C$1</f>
        <v>Example</v>
      </c>
      <c r="D392" s="27" t="s">
        <v>68</v>
      </c>
      <c r="E392" s="28">
        <v>2018</v>
      </c>
      <c r="F392" s="28">
        <f>MATCH(DaybyDay[[#This Row],[RowMonth]],Table3[SummaryMonth],0)</f>
        <v>1</v>
      </c>
      <c r="G392" s="29">
        <f>MATCH(DaybyDay[[#This Row],[LY-Date]],DaybyDay[Date],0)</f>
        <v>22</v>
      </c>
      <c r="H392" s="30">
        <f>WEEKDAY(DaybyDay[[#This Row],[Date]])</f>
        <v>1</v>
      </c>
      <c r="I392" s="31">
        <v>43121</v>
      </c>
      <c r="J392" s="74">
        <v>28</v>
      </c>
      <c r="K392" s="32">
        <f>SUMIFS(BudgetSeasonality[365 Seasonality],BudgetSeasonality[MonthAdjustment],DaybyDay[[#This Row],[Date]])*SUMIFS(Budgets[Service-Budget],Budgets[BudgetMonth],DaybyDay[[#This Row],[RowMonth]],Budgets[BudgetYear],DaybyDay[[#This Row],[RowYear]])</f>
        <v>5501.4999999253841</v>
      </c>
      <c r="L392" s="75">
        <v>5787</v>
      </c>
      <c r="M392" s="32">
        <f>INDEX(BudgetSeasonality[365 Seasonality],MATCH(DaybyDay[[#This Row],[Date]],BudgetSeasonality[MonthAdjustment],0))*SUMIFS(Budgets[Retail-Budget],Budgets[BudgetMonth],DaybyDay[[#This Row],[RowMonth]],Budgets[BudgetYear],DaybyDay[[#This Row],[RowYear]])</f>
        <v>1652.5307488429426</v>
      </c>
      <c r="N392" s="75">
        <v>1795.5</v>
      </c>
      <c r="O392" s="33">
        <f>SUMIFS(DaybyDay[Service-Budgets],DaybyDay[Date],"&gt;="&amp;$C$5,DaybyDay[RowYear],"&gt;="&amp;$C$4,DaybyDay[Date],"&lt;="&amp;DaybyDay[[#This Row],[Date]])</f>
        <v>0</v>
      </c>
      <c r="P392" s="33">
        <f>SUMIFS(DaybyDay[Retail-Budgets],DaybyDay[Date],"&gt;="&amp;$C$5,DaybyDay[RowYear],"&gt;="&amp;$C$4,DaybyDay[Date],"&lt;="&amp;DaybyDay[[#This Row],[Date]])</f>
        <v>0</v>
      </c>
      <c r="Q392" s="34">
        <f>SUMIFS(DaybyDay[Service-Actuals],DaybyDay[Date],"&gt;="&amp;$C$5,DaybyDay[RowYear],"&gt;="&amp;$C$4,DaybyDay[Date],"&lt;="&amp;DaybyDay[[#This Row],[Date]])</f>
        <v>0</v>
      </c>
      <c r="R392" s="34">
        <f>SUMIFS(DaybyDay[Retail-Actuals],DaybyDay[Date],"&gt;="&amp;$C$5,DaybyDay[RowYear],"&gt;="&amp;$C$4,DaybyDay[Date],"&lt;="&amp;DaybyDay[[#This Row],[Date]])</f>
        <v>0</v>
      </c>
      <c r="S392" s="35">
        <f>SUMIFS(DaybyDay[Service-LY],DaybyDay[Date],"&gt;="&amp;$C$5,DaybyDay[RowYear],"&gt;="&amp;$C$4,DaybyDay[Date],"&lt;="&amp;DaybyDay[[#This Row],[Date]])</f>
        <v>0</v>
      </c>
      <c r="T392" s="35">
        <f>SUMIFS(DaybyDay[Retail-LY],DaybyDay[Date],"&gt;="&amp;$C$5,DaybyDay[RowYear],"&gt;="&amp;$C$4,DaybyDay[Date],"&lt;="&amp;DaybyDay[[#This Row],[Date]])</f>
        <v>0</v>
      </c>
      <c r="U392" s="32">
        <f>DaybyDay[[#This Row],[Serv-Bud-RU]]+DaybyDay[[#This Row],[Ret-Bud-RU]]</f>
        <v>0</v>
      </c>
      <c r="V392" s="32">
        <f>DaybyDay[[#This Row],[Serv-Act-RU]]+DaybyDay[[#This Row],[Ret-Act-RU]]</f>
        <v>0</v>
      </c>
      <c r="W392" s="36">
        <f>IF(DaybyDay[[#This Row],[_Space]],IFERROR(
((DaybyDay[[#This Row],[Actual-Rollup]]-DaybyDay[[#This Row],[Budget-Rollup]])/DaybyDay[[#This Row],[Budget-Rollup]]),0),"")</f>
        <v>0</v>
      </c>
      <c r="X392" t="b">
        <f>NOT(AND(ISBLANK(DaybyDay[[#This Row],[Appts]]),ISBLANK(DaybyDay[[#This Row],[Service-Actuals]]),ISBLANK(DaybyDay[[#This Row],[Retail-Actuals]])))</f>
        <v>1</v>
      </c>
      <c r="Y392" s="36">
        <f>IF(DaybyDay[[#This Row],[_Space]],IFERROR(
((DaybyDay[[#This Row],[Actual-Rollup]]-DaybyDay[[#This Row],[LY-Rollup]])/DaybyDay[[#This Row],[LY-Rollup]]),0),"")</f>
        <v>0</v>
      </c>
      <c r="Z392"/>
      <c r="AA392" s="37" t="e">
        <f>IF(DaybyDay[[#This Row],[_Space]],DaybyDay[[#This Row],[Ret-Act-RU]]/DaybyDay[[#This Row],[Serv-Act-RU]],"")</f>
        <v>#DIV/0!</v>
      </c>
      <c r="AB392" s="50" t="e">
        <f>IF(DaybyDay[[#This Row],[_Space]],DaybyDay[[#This Row],[RETPEN-Act]]/DaybyDay[[#This Row],[RETPEN-Bud]],"")</f>
        <v>#DIV/0!</v>
      </c>
      <c r="AC392" s="37" t="e">
        <f>IF(DaybyDay[[#This Row],[_Space]],DaybyDay[[#This Row],[Ret-Bud-RU]]/DaybyDay[[#This Row],[Serv-Bud-RU]],"")</f>
        <v>#DIV/0!</v>
      </c>
      <c r="AD392" s="37" t="e">
        <f>IF(DaybyDay[[#This Row],[_Space]],DaybyDay[[#This Row],[Ret-LY-RU]]/DaybyDay[[#This Row],[Serv-LY-RU]],"")</f>
        <v>#DIV/0!</v>
      </c>
      <c r="AE392" s="30">
        <f>WEEKDAY(DaybyDay[[#This Row],[LY-Date]])</f>
        <v>1</v>
      </c>
      <c r="AF392" s="38">
        <f>$E$2+_xlfn.DAYS(DaybyDay[[#This Row],[Date]],minDate)</f>
        <v>42757</v>
      </c>
      <c r="AG392" s="39" cm="1">
        <f t="array" ref="AG392">IFERROR(INDEX(DaybyDay[],DaybyDay[[#This Row],[FORM_MATCH_HELPER]],8),"")</f>
        <v>43</v>
      </c>
      <c r="AH392" s="39" cm="1">
        <f t="array" ref="AH392">IFERROR(INDEX(DaybyDay[],DaybyDay[[#This Row],[FORM_MATCH_HELPER]],10),"")</f>
        <v>6444.47</v>
      </c>
      <c r="AI392" s="39" cm="1">
        <f t="array" ref="AI392">IFERROR(INDEX(DaybyDay[],DaybyDay[[#This Row],[FORM_MATCH_HELPER]],12),"")</f>
        <v>284.60000000000002</v>
      </c>
      <c r="AJ392" s="32">
        <f>IFERROR(DaybyDay[[#This Row],[Serv-LY-RU]]+DaybyDay[[#This Row],[Ret-LY-RU]],"")</f>
        <v>0</v>
      </c>
      <c r="AK3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2" s="77"/>
      <c r="AM392" s="40" t="str">
        <f>IF(DaybyDay[[#This Row],[Admin Hours]]&gt;0,DaybyDay[[#This Row],[Admin Hours]]*$AM$2+$AM$3,"")</f>
        <v/>
      </c>
      <c r="AN392" s="40">
        <f>SUMIFS(DaybyDay[Est-Admin-Payroll],DaybyDay[Date],"&gt;="&amp;$C$5,DaybyDay[RowYear],"&gt;="&amp;$C$4,DaybyDay[Date],"&lt;="&amp;DaybyDay[[#This Row],[Date]])</f>
        <v>0</v>
      </c>
      <c r="AO392" s="41" t="str">
        <f>IF(AND(DaybyDay[[#This Row],[_Space]],ISNUMBER(DaybyDay[[#This Row],[Admin Hours]])),DaybyDay[[#This Row],[Est-Admin-Payroll]]/(DaybyDay[[#This Row],[Service-Actuals]]+DaybyDay[[#This Row],[Retail-Actuals]]),"")</f>
        <v/>
      </c>
      <c r="AP392" s="41" t="e">
        <f>DaybyDay[[#This Row],[Estimated-Payroll-Rollup]]/DaybyDay[[#This Row],[Simple-Forecast]]</f>
        <v>#DIV/0!</v>
      </c>
      <c r="AQ3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2" s="77"/>
      <c r="AS392" s="40" t="str">
        <f>IF(DaybyDay[[#This Row],[Retail Hours]]&gt;0,DaybyDay[[#This Row],[Retail Hours]]*$AS$2,"")</f>
        <v/>
      </c>
      <c r="AT392" s="40">
        <f>SUMIFS(DaybyDay[Est-Retail-Payroll],DaybyDay[Date],"&gt;="&amp;$C$5,DaybyDay[RowYear],"&gt;="&amp;$C$4,DaybyDay[Date],"&lt;="&amp;DaybyDay[[#This Row],[Date]])</f>
        <v>0</v>
      </c>
      <c r="AU392" s="82" t="str">
        <f>IF(AND(DaybyDay[[#This Row],[_Space]],ISNUMBER(DaybyDay[[#This Row],[Retail Hours]])),DaybyDay[[#This Row],[Est-Retail-Payroll]]/(DaybyDay[[#This Row],[Retail-Actuals]]),"")</f>
        <v/>
      </c>
      <c r="AV392" s="82" t="e">
        <f>DaybyDay[[#This Row],[Est-Retail-PayrollRU]]/DaybyDay[[#This Row],[Simple-Forecast-Retail]]</f>
        <v>#DIV/0!</v>
      </c>
      <c r="AW392" s="8"/>
    </row>
    <row r="393" spans="3:49" hidden="1" x14ac:dyDescent="0.25">
      <c r="C393" s="26" t="str">
        <f>Tools!$C$1</f>
        <v>Example</v>
      </c>
      <c r="D393" s="27" t="s">
        <v>68</v>
      </c>
      <c r="E393" s="28">
        <v>2018</v>
      </c>
      <c r="F393" s="28">
        <f>MATCH(DaybyDay[[#This Row],[RowMonth]],Table3[SummaryMonth],0)</f>
        <v>1</v>
      </c>
      <c r="G393" s="29">
        <f>MATCH(DaybyDay[[#This Row],[LY-Date]],DaybyDay[Date],0)</f>
        <v>23</v>
      </c>
      <c r="H393" s="30">
        <f>WEEKDAY(DaybyDay[[#This Row],[Date]])</f>
        <v>2</v>
      </c>
      <c r="I393" s="31">
        <v>43122</v>
      </c>
      <c r="J393" s="74">
        <v>7</v>
      </c>
      <c r="K393" s="32">
        <f>SUMIFS(BudgetSeasonality[365 Seasonality],BudgetSeasonality[MonthAdjustment],DaybyDay[[#This Row],[Date]])*SUMIFS(Budgets[Service-Budget],Budgets[BudgetMonth],DaybyDay[[#This Row],[RowMonth]],Budgets[BudgetYear],DaybyDay[[#This Row],[RowYear]])</f>
        <v>3390.3474960016779</v>
      </c>
      <c r="L393" s="75">
        <v>1887.5</v>
      </c>
      <c r="M393" s="32">
        <f>INDEX(BudgetSeasonality[365 Seasonality],MATCH(DaybyDay[[#This Row],[Date]],BudgetSeasonality[MonthAdjustment],0))*SUMIFS(Budgets[Retail-Budget],Budgets[BudgetMonth],DaybyDay[[#This Row],[RowMonth]],Budgets[BudgetYear],DaybyDay[[#This Row],[RowYear]])</f>
        <v>1018.386528488855</v>
      </c>
      <c r="N393" s="75">
        <v>0</v>
      </c>
      <c r="O393" s="33">
        <f>SUMIFS(DaybyDay[Service-Budgets],DaybyDay[Date],"&gt;="&amp;$C$5,DaybyDay[RowYear],"&gt;="&amp;$C$4,DaybyDay[Date],"&lt;="&amp;DaybyDay[[#This Row],[Date]])</f>
        <v>0</v>
      </c>
      <c r="P393" s="33">
        <f>SUMIFS(DaybyDay[Retail-Budgets],DaybyDay[Date],"&gt;="&amp;$C$5,DaybyDay[RowYear],"&gt;="&amp;$C$4,DaybyDay[Date],"&lt;="&amp;DaybyDay[[#This Row],[Date]])</f>
        <v>0</v>
      </c>
      <c r="Q393" s="34">
        <f>SUMIFS(DaybyDay[Service-Actuals],DaybyDay[Date],"&gt;="&amp;$C$5,DaybyDay[RowYear],"&gt;="&amp;$C$4,DaybyDay[Date],"&lt;="&amp;DaybyDay[[#This Row],[Date]])</f>
        <v>0</v>
      </c>
      <c r="R393" s="34">
        <f>SUMIFS(DaybyDay[Retail-Actuals],DaybyDay[Date],"&gt;="&amp;$C$5,DaybyDay[RowYear],"&gt;="&amp;$C$4,DaybyDay[Date],"&lt;="&amp;DaybyDay[[#This Row],[Date]])</f>
        <v>0</v>
      </c>
      <c r="S393" s="35">
        <f>SUMIFS(DaybyDay[Service-LY],DaybyDay[Date],"&gt;="&amp;$C$5,DaybyDay[RowYear],"&gt;="&amp;$C$4,DaybyDay[Date],"&lt;="&amp;DaybyDay[[#This Row],[Date]])</f>
        <v>0</v>
      </c>
      <c r="T393" s="35">
        <f>SUMIFS(DaybyDay[Retail-LY],DaybyDay[Date],"&gt;="&amp;$C$5,DaybyDay[RowYear],"&gt;="&amp;$C$4,DaybyDay[Date],"&lt;="&amp;DaybyDay[[#This Row],[Date]])</f>
        <v>0</v>
      </c>
      <c r="U393" s="32">
        <f>DaybyDay[[#This Row],[Serv-Bud-RU]]+DaybyDay[[#This Row],[Ret-Bud-RU]]</f>
        <v>0</v>
      </c>
      <c r="V393" s="32">
        <f>DaybyDay[[#This Row],[Serv-Act-RU]]+DaybyDay[[#This Row],[Ret-Act-RU]]</f>
        <v>0</v>
      </c>
      <c r="W393" s="36">
        <f>IF(DaybyDay[[#This Row],[_Space]],IFERROR(
((DaybyDay[[#This Row],[Actual-Rollup]]-DaybyDay[[#This Row],[Budget-Rollup]])/DaybyDay[[#This Row],[Budget-Rollup]]),0),"")</f>
        <v>0</v>
      </c>
      <c r="X393" t="b">
        <f>NOT(AND(ISBLANK(DaybyDay[[#This Row],[Appts]]),ISBLANK(DaybyDay[[#This Row],[Service-Actuals]]),ISBLANK(DaybyDay[[#This Row],[Retail-Actuals]])))</f>
        <v>1</v>
      </c>
      <c r="Y393" s="36">
        <f>IF(DaybyDay[[#This Row],[_Space]],IFERROR(
((DaybyDay[[#This Row],[Actual-Rollup]]-DaybyDay[[#This Row],[LY-Rollup]])/DaybyDay[[#This Row],[LY-Rollup]]),0),"")</f>
        <v>0</v>
      </c>
      <c r="Z393"/>
      <c r="AA393" s="37" t="e">
        <f>IF(DaybyDay[[#This Row],[_Space]],DaybyDay[[#This Row],[Ret-Act-RU]]/DaybyDay[[#This Row],[Serv-Act-RU]],"")</f>
        <v>#DIV/0!</v>
      </c>
      <c r="AB393" s="50" t="e">
        <f>IF(DaybyDay[[#This Row],[_Space]],DaybyDay[[#This Row],[RETPEN-Act]]/DaybyDay[[#This Row],[RETPEN-Bud]],"")</f>
        <v>#DIV/0!</v>
      </c>
      <c r="AC393" s="37" t="e">
        <f>IF(DaybyDay[[#This Row],[_Space]],DaybyDay[[#This Row],[Ret-Bud-RU]]/DaybyDay[[#This Row],[Serv-Bud-RU]],"")</f>
        <v>#DIV/0!</v>
      </c>
      <c r="AD393" s="37" t="e">
        <f>IF(DaybyDay[[#This Row],[_Space]],DaybyDay[[#This Row],[Ret-LY-RU]]/DaybyDay[[#This Row],[Serv-LY-RU]],"")</f>
        <v>#DIV/0!</v>
      </c>
      <c r="AE393" s="30">
        <f>WEEKDAY(DaybyDay[[#This Row],[LY-Date]])</f>
        <v>2</v>
      </c>
      <c r="AF393" s="38">
        <f>$E$2+_xlfn.DAYS(DaybyDay[[#This Row],[Date]],minDate)</f>
        <v>42758</v>
      </c>
      <c r="AG393" s="39" cm="1">
        <f t="array" ref="AG393">IFERROR(INDEX(DaybyDay[],DaybyDay[[#This Row],[FORM_MATCH_HELPER]],8),"")</f>
        <v>34</v>
      </c>
      <c r="AH393" s="39" cm="1">
        <f t="array" ref="AH393">IFERROR(INDEX(DaybyDay[],DaybyDay[[#This Row],[FORM_MATCH_HELPER]],10),"")</f>
        <v>4896.24</v>
      </c>
      <c r="AI393" s="39" cm="1">
        <f t="array" ref="AI393">IFERROR(INDEX(DaybyDay[],DaybyDay[[#This Row],[FORM_MATCH_HELPER]],12),"")</f>
        <v>182.42</v>
      </c>
      <c r="AJ393" s="32">
        <f>IFERROR(DaybyDay[[#This Row],[Serv-LY-RU]]+DaybyDay[[#This Row],[Ret-LY-RU]],"")</f>
        <v>0</v>
      </c>
      <c r="AK3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3" s="77"/>
      <c r="AM393" s="40" t="str">
        <f>IF(DaybyDay[[#This Row],[Admin Hours]]&gt;0,DaybyDay[[#This Row],[Admin Hours]]*$AM$2+$AM$3,"")</f>
        <v/>
      </c>
      <c r="AN393" s="40">
        <f>SUMIFS(DaybyDay[Est-Admin-Payroll],DaybyDay[Date],"&gt;="&amp;$C$5,DaybyDay[RowYear],"&gt;="&amp;$C$4,DaybyDay[Date],"&lt;="&amp;DaybyDay[[#This Row],[Date]])</f>
        <v>0</v>
      </c>
      <c r="AO393" s="41" t="str">
        <f>IF(AND(DaybyDay[[#This Row],[_Space]],ISNUMBER(DaybyDay[[#This Row],[Admin Hours]])),DaybyDay[[#This Row],[Est-Admin-Payroll]]/(DaybyDay[[#This Row],[Service-Actuals]]+DaybyDay[[#This Row],[Retail-Actuals]]),"")</f>
        <v/>
      </c>
      <c r="AP393" s="41" t="e">
        <f>DaybyDay[[#This Row],[Estimated-Payroll-Rollup]]/DaybyDay[[#This Row],[Simple-Forecast]]</f>
        <v>#DIV/0!</v>
      </c>
      <c r="AQ3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3" s="77"/>
      <c r="AS393" s="40" t="str">
        <f>IF(DaybyDay[[#This Row],[Retail Hours]]&gt;0,DaybyDay[[#This Row],[Retail Hours]]*$AS$2,"")</f>
        <v/>
      </c>
      <c r="AT393" s="40">
        <f>SUMIFS(DaybyDay[Est-Retail-Payroll],DaybyDay[Date],"&gt;="&amp;$C$5,DaybyDay[RowYear],"&gt;="&amp;$C$4,DaybyDay[Date],"&lt;="&amp;DaybyDay[[#This Row],[Date]])</f>
        <v>0</v>
      </c>
      <c r="AU393" s="82" t="str">
        <f>IF(AND(DaybyDay[[#This Row],[_Space]],ISNUMBER(DaybyDay[[#This Row],[Retail Hours]])),DaybyDay[[#This Row],[Est-Retail-Payroll]]/(DaybyDay[[#This Row],[Retail-Actuals]]),"")</f>
        <v/>
      </c>
      <c r="AV393" s="82" t="e">
        <f>DaybyDay[[#This Row],[Est-Retail-PayrollRU]]/DaybyDay[[#This Row],[Simple-Forecast-Retail]]</f>
        <v>#DIV/0!</v>
      </c>
      <c r="AW393" s="8"/>
    </row>
    <row r="394" spans="3:49" hidden="1" x14ac:dyDescent="0.25">
      <c r="C394" s="26" t="str">
        <f>Tools!$C$1</f>
        <v>Example</v>
      </c>
      <c r="D394" s="27" t="s">
        <v>68</v>
      </c>
      <c r="E394" s="28">
        <v>2018</v>
      </c>
      <c r="F394" s="28">
        <f>MATCH(DaybyDay[[#This Row],[RowMonth]],Table3[SummaryMonth],0)</f>
        <v>1</v>
      </c>
      <c r="G394" s="29">
        <f>MATCH(DaybyDay[[#This Row],[LY-Date]],DaybyDay[Date],0)</f>
        <v>24</v>
      </c>
      <c r="H394" s="30">
        <f>WEEKDAY(DaybyDay[[#This Row],[Date]])</f>
        <v>3</v>
      </c>
      <c r="I394" s="31">
        <v>43123</v>
      </c>
      <c r="J394" s="74">
        <v>26</v>
      </c>
      <c r="K394" s="32">
        <f>SUMIFS(BudgetSeasonality[365 Seasonality],BudgetSeasonality[MonthAdjustment],DaybyDay[[#This Row],[Date]])*SUMIFS(Budgets[Service-Budget],Budgets[BudgetMonth],DaybyDay[[#This Row],[RowMonth]],Budgets[BudgetYear],DaybyDay[[#This Row],[RowYear]])</f>
        <v>3529.6765043578903</v>
      </c>
      <c r="L394" s="75">
        <v>7299.39</v>
      </c>
      <c r="M394" s="32">
        <f>INDEX(BudgetSeasonality[365 Seasonality],MATCH(DaybyDay[[#This Row],[Date]],BudgetSeasonality[MonthAdjustment],0))*SUMIFS(Budgets[Retail-Budget],Budgets[BudgetMonth],DaybyDay[[#This Row],[RowMonth]],Budgets[BudgetYear],DaybyDay[[#This Row],[RowYear]])</f>
        <v>1060.2379272923738</v>
      </c>
      <c r="N394" s="75">
        <v>1288.56</v>
      </c>
      <c r="O394" s="33">
        <f>SUMIFS(DaybyDay[Service-Budgets],DaybyDay[Date],"&gt;="&amp;$C$5,DaybyDay[RowYear],"&gt;="&amp;$C$4,DaybyDay[Date],"&lt;="&amp;DaybyDay[[#This Row],[Date]])</f>
        <v>0</v>
      </c>
      <c r="P394" s="33">
        <f>SUMIFS(DaybyDay[Retail-Budgets],DaybyDay[Date],"&gt;="&amp;$C$5,DaybyDay[RowYear],"&gt;="&amp;$C$4,DaybyDay[Date],"&lt;="&amp;DaybyDay[[#This Row],[Date]])</f>
        <v>0</v>
      </c>
      <c r="Q394" s="34">
        <f>SUMIFS(DaybyDay[Service-Actuals],DaybyDay[Date],"&gt;="&amp;$C$5,DaybyDay[RowYear],"&gt;="&amp;$C$4,DaybyDay[Date],"&lt;="&amp;DaybyDay[[#This Row],[Date]])</f>
        <v>0</v>
      </c>
      <c r="R394" s="34">
        <f>SUMIFS(DaybyDay[Retail-Actuals],DaybyDay[Date],"&gt;="&amp;$C$5,DaybyDay[RowYear],"&gt;="&amp;$C$4,DaybyDay[Date],"&lt;="&amp;DaybyDay[[#This Row],[Date]])</f>
        <v>0</v>
      </c>
      <c r="S394" s="35">
        <f>SUMIFS(DaybyDay[Service-LY],DaybyDay[Date],"&gt;="&amp;$C$5,DaybyDay[RowYear],"&gt;="&amp;$C$4,DaybyDay[Date],"&lt;="&amp;DaybyDay[[#This Row],[Date]])</f>
        <v>0</v>
      </c>
      <c r="T394" s="35">
        <f>SUMIFS(DaybyDay[Retail-LY],DaybyDay[Date],"&gt;="&amp;$C$5,DaybyDay[RowYear],"&gt;="&amp;$C$4,DaybyDay[Date],"&lt;="&amp;DaybyDay[[#This Row],[Date]])</f>
        <v>0</v>
      </c>
      <c r="U394" s="32">
        <f>DaybyDay[[#This Row],[Serv-Bud-RU]]+DaybyDay[[#This Row],[Ret-Bud-RU]]</f>
        <v>0</v>
      </c>
      <c r="V394" s="32">
        <f>DaybyDay[[#This Row],[Serv-Act-RU]]+DaybyDay[[#This Row],[Ret-Act-RU]]</f>
        <v>0</v>
      </c>
      <c r="W394" s="36">
        <f>IF(DaybyDay[[#This Row],[_Space]],IFERROR(
((DaybyDay[[#This Row],[Actual-Rollup]]-DaybyDay[[#This Row],[Budget-Rollup]])/DaybyDay[[#This Row],[Budget-Rollup]]),0),"")</f>
        <v>0</v>
      </c>
      <c r="X394" t="b">
        <f>NOT(AND(ISBLANK(DaybyDay[[#This Row],[Appts]]),ISBLANK(DaybyDay[[#This Row],[Service-Actuals]]),ISBLANK(DaybyDay[[#This Row],[Retail-Actuals]])))</f>
        <v>1</v>
      </c>
      <c r="Y394" s="36">
        <f>IF(DaybyDay[[#This Row],[_Space]],IFERROR(
((DaybyDay[[#This Row],[Actual-Rollup]]-DaybyDay[[#This Row],[LY-Rollup]])/DaybyDay[[#This Row],[LY-Rollup]]),0),"")</f>
        <v>0</v>
      </c>
      <c r="Z394"/>
      <c r="AA394" s="37" t="e">
        <f>IF(DaybyDay[[#This Row],[_Space]],DaybyDay[[#This Row],[Ret-Act-RU]]/DaybyDay[[#This Row],[Serv-Act-RU]],"")</f>
        <v>#DIV/0!</v>
      </c>
      <c r="AB394" s="50" t="e">
        <f>IF(DaybyDay[[#This Row],[_Space]],DaybyDay[[#This Row],[RETPEN-Act]]/DaybyDay[[#This Row],[RETPEN-Bud]],"")</f>
        <v>#DIV/0!</v>
      </c>
      <c r="AC394" s="37" t="e">
        <f>IF(DaybyDay[[#This Row],[_Space]],DaybyDay[[#This Row],[Ret-Bud-RU]]/DaybyDay[[#This Row],[Serv-Bud-RU]],"")</f>
        <v>#DIV/0!</v>
      </c>
      <c r="AD394" s="37" t="e">
        <f>IF(DaybyDay[[#This Row],[_Space]],DaybyDay[[#This Row],[Ret-LY-RU]]/DaybyDay[[#This Row],[Serv-LY-RU]],"")</f>
        <v>#DIV/0!</v>
      </c>
      <c r="AE394" s="30">
        <f>WEEKDAY(DaybyDay[[#This Row],[LY-Date]])</f>
        <v>3</v>
      </c>
      <c r="AF394" s="38">
        <f>$E$2+_xlfn.DAYS(DaybyDay[[#This Row],[Date]],minDate)</f>
        <v>42759</v>
      </c>
      <c r="AG394" s="39" cm="1">
        <f t="array" ref="AG394">IFERROR(INDEX(DaybyDay[],DaybyDay[[#This Row],[FORM_MATCH_HELPER]],8),"")</f>
        <v>33</v>
      </c>
      <c r="AH394" s="39" cm="1">
        <f t="array" ref="AH394">IFERROR(INDEX(DaybyDay[],DaybyDay[[#This Row],[FORM_MATCH_HELPER]],10),"")</f>
        <v>5259.01</v>
      </c>
      <c r="AI394" s="39" cm="1">
        <f t="array" ref="AI394">IFERROR(INDEX(DaybyDay[],DaybyDay[[#This Row],[FORM_MATCH_HELPER]],12),"")</f>
        <v>2895.43</v>
      </c>
      <c r="AJ394" s="32">
        <f>IFERROR(DaybyDay[[#This Row],[Serv-LY-RU]]+DaybyDay[[#This Row],[Ret-LY-RU]],"")</f>
        <v>0</v>
      </c>
      <c r="AK3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4" s="77"/>
      <c r="AM394" s="40" t="str">
        <f>IF(DaybyDay[[#This Row],[Admin Hours]]&gt;0,DaybyDay[[#This Row],[Admin Hours]]*$AM$2+$AM$3,"")</f>
        <v/>
      </c>
      <c r="AN394" s="40">
        <f>SUMIFS(DaybyDay[Est-Admin-Payroll],DaybyDay[Date],"&gt;="&amp;$C$5,DaybyDay[RowYear],"&gt;="&amp;$C$4,DaybyDay[Date],"&lt;="&amp;DaybyDay[[#This Row],[Date]])</f>
        <v>0</v>
      </c>
      <c r="AO394" s="41" t="str">
        <f>IF(AND(DaybyDay[[#This Row],[_Space]],ISNUMBER(DaybyDay[[#This Row],[Admin Hours]])),DaybyDay[[#This Row],[Est-Admin-Payroll]]/(DaybyDay[[#This Row],[Service-Actuals]]+DaybyDay[[#This Row],[Retail-Actuals]]),"")</f>
        <v/>
      </c>
      <c r="AP394" s="41" t="e">
        <f>DaybyDay[[#This Row],[Estimated-Payroll-Rollup]]/DaybyDay[[#This Row],[Simple-Forecast]]</f>
        <v>#DIV/0!</v>
      </c>
      <c r="AQ3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4" s="77"/>
      <c r="AS394" s="40" t="str">
        <f>IF(DaybyDay[[#This Row],[Retail Hours]]&gt;0,DaybyDay[[#This Row],[Retail Hours]]*$AS$2,"")</f>
        <v/>
      </c>
      <c r="AT394" s="40">
        <f>SUMIFS(DaybyDay[Est-Retail-Payroll],DaybyDay[Date],"&gt;="&amp;$C$5,DaybyDay[RowYear],"&gt;="&amp;$C$4,DaybyDay[Date],"&lt;="&amp;DaybyDay[[#This Row],[Date]])</f>
        <v>0</v>
      </c>
      <c r="AU394" s="82" t="str">
        <f>IF(AND(DaybyDay[[#This Row],[_Space]],ISNUMBER(DaybyDay[[#This Row],[Retail Hours]])),DaybyDay[[#This Row],[Est-Retail-Payroll]]/(DaybyDay[[#This Row],[Retail-Actuals]]),"")</f>
        <v/>
      </c>
      <c r="AV394" s="82" t="e">
        <f>DaybyDay[[#This Row],[Est-Retail-PayrollRU]]/DaybyDay[[#This Row],[Simple-Forecast-Retail]]</f>
        <v>#DIV/0!</v>
      </c>
      <c r="AW394" s="8"/>
    </row>
    <row r="395" spans="3:49" hidden="1" x14ac:dyDescent="0.25">
      <c r="C395" s="26" t="str">
        <f>Tools!$C$1</f>
        <v>Example</v>
      </c>
      <c r="D395" s="27" t="s">
        <v>68</v>
      </c>
      <c r="E395" s="28">
        <v>2018</v>
      </c>
      <c r="F395" s="28">
        <f>MATCH(DaybyDay[[#This Row],[RowMonth]],Table3[SummaryMonth],0)</f>
        <v>1</v>
      </c>
      <c r="G395" s="29">
        <f>MATCH(DaybyDay[[#This Row],[LY-Date]],DaybyDay[Date],0)</f>
        <v>25</v>
      </c>
      <c r="H395" s="30">
        <f>WEEKDAY(DaybyDay[[#This Row],[Date]])</f>
        <v>4</v>
      </c>
      <c r="I395" s="31">
        <v>43124</v>
      </c>
      <c r="J395" s="74">
        <v>26</v>
      </c>
      <c r="K395" s="32">
        <f>SUMIFS(BudgetSeasonality[365 Seasonality],BudgetSeasonality[MonthAdjustment],DaybyDay[[#This Row],[Date]])*SUMIFS(Budgets[Service-Budget],Budgets[BudgetMonth],DaybyDay[[#This Row],[RowMonth]],Budgets[BudgetYear],DaybyDay[[#This Row],[RowYear]])</f>
        <v>4065.3252323582224</v>
      </c>
      <c r="L395" s="75">
        <v>5525.3</v>
      </c>
      <c r="M395" s="32">
        <f>INDEX(BudgetSeasonality[365 Seasonality],MATCH(DaybyDay[[#This Row],[Date]],BudgetSeasonality[MonthAdjustment],0))*SUMIFS(Budgets[Retail-Budget],Budgets[BudgetMonth],DaybyDay[[#This Row],[RowMonth]],Budgets[BudgetYear],DaybyDay[[#This Row],[RowYear]])</f>
        <v>1221.1351359829425</v>
      </c>
      <c r="N395" s="75">
        <v>1290</v>
      </c>
      <c r="O395" s="33">
        <f>SUMIFS(DaybyDay[Service-Budgets],DaybyDay[Date],"&gt;="&amp;$C$5,DaybyDay[RowYear],"&gt;="&amp;$C$4,DaybyDay[Date],"&lt;="&amp;DaybyDay[[#This Row],[Date]])</f>
        <v>0</v>
      </c>
      <c r="P395" s="33">
        <f>SUMIFS(DaybyDay[Retail-Budgets],DaybyDay[Date],"&gt;="&amp;$C$5,DaybyDay[RowYear],"&gt;="&amp;$C$4,DaybyDay[Date],"&lt;="&amp;DaybyDay[[#This Row],[Date]])</f>
        <v>0</v>
      </c>
      <c r="Q395" s="34">
        <f>SUMIFS(DaybyDay[Service-Actuals],DaybyDay[Date],"&gt;="&amp;$C$5,DaybyDay[RowYear],"&gt;="&amp;$C$4,DaybyDay[Date],"&lt;="&amp;DaybyDay[[#This Row],[Date]])</f>
        <v>0</v>
      </c>
      <c r="R395" s="34">
        <f>SUMIFS(DaybyDay[Retail-Actuals],DaybyDay[Date],"&gt;="&amp;$C$5,DaybyDay[RowYear],"&gt;="&amp;$C$4,DaybyDay[Date],"&lt;="&amp;DaybyDay[[#This Row],[Date]])</f>
        <v>0</v>
      </c>
      <c r="S395" s="35">
        <f>SUMIFS(DaybyDay[Service-LY],DaybyDay[Date],"&gt;="&amp;$C$5,DaybyDay[RowYear],"&gt;="&amp;$C$4,DaybyDay[Date],"&lt;="&amp;DaybyDay[[#This Row],[Date]])</f>
        <v>0</v>
      </c>
      <c r="T395" s="35">
        <f>SUMIFS(DaybyDay[Retail-LY],DaybyDay[Date],"&gt;="&amp;$C$5,DaybyDay[RowYear],"&gt;="&amp;$C$4,DaybyDay[Date],"&lt;="&amp;DaybyDay[[#This Row],[Date]])</f>
        <v>0</v>
      </c>
      <c r="U395" s="32">
        <f>DaybyDay[[#This Row],[Serv-Bud-RU]]+DaybyDay[[#This Row],[Ret-Bud-RU]]</f>
        <v>0</v>
      </c>
      <c r="V395" s="32">
        <f>DaybyDay[[#This Row],[Serv-Act-RU]]+DaybyDay[[#This Row],[Ret-Act-RU]]</f>
        <v>0</v>
      </c>
      <c r="W395" s="36">
        <f>IF(DaybyDay[[#This Row],[_Space]],IFERROR(
((DaybyDay[[#This Row],[Actual-Rollup]]-DaybyDay[[#This Row],[Budget-Rollup]])/DaybyDay[[#This Row],[Budget-Rollup]]),0),"")</f>
        <v>0</v>
      </c>
      <c r="X395" t="b">
        <f>NOT(AND(ISBLANK(DaybyDay[[#This Row],[Appts]]),ISBLANK(DaybyDay[[#This Row],[Service-Actuals]]),ISBLANK(DaybyDay[[#This Row],[Retail-Actuals]])))</f>
        <v>1</v>
      </c>
      <c r="Y395" s="36">
        <f>IF(DaybyDay[[#This Row],[_Space]],IFERROR(
((DaybyDay[[#This Row],[Actual-Rollup]]-DaybyDay[[#This Row],[LY-Rollup]])/DaybyDay[[#This Row],[LY-Rollup]]),0),"")</f>
        <v>0</v>
      </c>
      <c r="Z395"/>
      <c r="AA395" s="37" t="e">
        <f>IF(DaybyDay[[#This Row],[_Space]],DaybyDay[[#This Row],[Ret-Act-RU]]/DaybyDay[[#This Row],[Serv-Act-RU]],"")</f>
        <v>#DIV/0!</v>
      </c>
      <c r="AB395" s="50" t="e">
        <f>IF(DaybyDay[[#This Row],[_Space]],DaybyDay[[#This Row],[RETPEN-Act]]/DaybyDay[[#This Row],[RETPEN-Bud]],"")</f>
        <v>#DIV/0!</v>
      </c>
      <c r="AC395" s="37" t="e">
        <f>IF(DaybyDay[[#This Row],[_Space]],DaybyDay[[#This Row],[Ret-Bud-RU]]/DaybyDay[[#This Row],[Serv-Bud-RU]],"")</f>
        <v>#DIV/0!</v>
      </c>
      <c r="AD395" s="37" t="e">
        <f>IF(DaybyDay[[#This Row],[_Space]],DaybyDay[[#This Row],[Ret-LY-RU]]/DaybyDay[[#This Row],[Serv-LY-RU]],"")</f>
        <v>#DIV/0!</v>
      </c>
      <c r="AE395" s="30">
        <f>WEEKDAY(DaybyDay[[#This Row],[LY-Date]])</f>
        <v>4</v>
      </c>
      <c r="AF395" s="38">
        <f>$E$2+_xlfn.DAYS(DaybyDay[[#This Row],[Date]],minDate)</f>
        <v>42760</v>
      </c>
      <c r="AG395" s="39" cm="1">
        <f t="array" ref="AG395">IFERROR(INDEX(DaybyDay[],DaybyDay[[#This Row],[FORM_MATCH_HELPER]],8),"")</f>
        <v>41</v>
      </c>
      <c r="AH395" s="39" cm="1">
        <f t="array" ref="AH395">IFERROR(INDEX(DaybyDay[],DaybyDay[[#This Row],[FORM_MATCH_HELPER]],10),"")</f>
        <v>5584.79</v>
      </c>
      <c r="AI395" s="39" cm="1">
        <f t="array" ref="AI395">IFERROR(INDEX(DaybyDay[],DaybyDay[[#This Row],[FORM_MATCH_HELPER]],12),"")</f>
        <v>889</v>
      </c>
      <c r="AJ395" s="32">
        <f>IFERROR(DaybyDay[[#This Row],[Serv-LY-RU]]+DaybyDay[[#This Row],[Ret-LY-RU]],"")</f>
        <v>0</v>
      </c>
      <c r="AK3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5" s="77"/>
      <c r="AM395" s="40" t="str">
        <f>IF(DaybyDay[[#This Row],[Admin Hours]]&gt;0,DaybyDay[[#This Row],[Admin Hours]]*$AM$2+$AM$3,"")</f>
        <v/>
      </c>
      <c r="AN395" s="40">
        <f>SUMIFS(DaybyDay[Est-Admin-Payroll],DaybyDay[Date],"&gt;="&amp;$C$5,DaybyDay[RowYear],"&gt;="&amp;$C$4,DaybyDay[Date],"&lt;="&amp;DaybyDay[[#This Row],[Date]])</f>
        <v>0</v>
      </c>
      <c r="AO395" s="41" t="str">
        <f>IF(AND(DaybyDay[[#This Row],[_Space]],ISNUMBER(DaybyDay[[#This Row],[Admin Hours]])),DaybyDay[[#This Row],[Est-Admin-Payroll]]/(DaybyDay[[#This Row],[Service-Actuals]]+DaybyDay[[#This Row],[Retail-Actuals]]),"")</f>
        <v/>
      </c>
      <c r="AP395" s="41" t="e">
        <f>DaybyDay[[#This Row],[Estimated-Payroll-Rollup]]/DaybyDay[[#This Row],[Simple-Forecast]]</f>
        <v>#DIV/0!</v>
      </c>
      <c r="AQ3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5" s="77"/>
      <c r="AS395" s="40" t="str">
        <f>IF(DaybyDay[[#This Row],[Retail Hours]]&gt;0,DaybyDay[[#This Row],[Retail Hours]]*$AS$2,"")</f>
        <v/>
      </c>
      <c r="AT395" s="40">
        <f>SUMIFS(DaybyDay[Est-Retail-Payroll],DaybyDay[Date],"&gt;="&amp;$C$5,DaybyDay[RowYear],"&gt;="&amp;$C$4,DaybyDay[Date],"&lt;="&amp;DaybyDay[[#This Row],[Date]])</f>
        <v>0</v>
      </c>
      <c r="AU395" s="82" t="str">
        <f>IF(AND(DaybyDay[[#This Row],[_Space]],ISNUMBER(DaybyDay[[#This Row],[Retail Hours]])),DaybyDay[[#This Row],[Est-Retail-Payroll]]/(DaybyDay[[#This Row],[Retail-Actuals]]),"")</f>
        <v/>
      </c>
      <c r="AV395" s="82" t="e">
        <f>DaybyDay[[#This Row],[Est-Retail-PayrollRU]]/DaybyDay[[#This Row],[Simple-Forecast-Retail]]</f>
        <v>#DIV/0!</v>
      </c>
      <c r="AW395" s="8"/>
    </row>
    <row r="396" spans="3:49" hidden="1" x14ac:dyDescent="0.25">
      <c r="C396" s="26" t="str">
        <f>Tools!$C$1</f>
        <v>Example</v>
      </c>
      <c r="D396" s="27" t="s">
        <v>68</v>
      </c>
      <c r="E396" s="28">
        <v>2018</v>
      </c>
      <c r="F396" s="28">
        <f>MATCH(DaybyDay[[#This Row],[RowMonth]],Table3[SummaryMonth],0)</f>
        <v>1</v>
      </c>
      <c r="G396" s="29">
        <f>MATCH(DaybyDay[[#This Row],[LY-Date]],DaybyDay[Date],0)</f>
        <v>26</v>
      </c>
      <c r="H396" s="30">
        <f>WEEKDAY(DaybyDay[[#This Row],[Date]])</f>
        <v>5</v>
      </c>
      <c r="I396" s="31">
        <v>43125</v>
      </c>
      <c r="J396" s="74">
        <v>20</v>
      </c>
      <c r="K396" s="32">
        <f>SUMIFS(BudgetSeasonality[365 Seasonality],BudgetSeasonality[MonthAdjustment],DaybyDay[[#This Row],[Date]])*SUMIFS(Budgets[Service-Budget],Budgets[BudgetMonth],DaybyDay[[#This Row],[RowMonth]],Budgets[BudgetYear],DaybyDay[[#This Row],[RowYear]])</f>
        <v>4202.5792253470963</v>
      </c>
      <c r="L396" s="75">
        <v>3789.38</v>
      </c>
      <c r="M396" s="32">
        <f>INDEX(BudgetSeasonality[365 Seasonality],MATCH(DaybyDay[[#This Row],[Date]],BudgetSeasonality[MonthAdjustment],0))*SUMIFS(Budgets[Retail-Budget],Budgets[BudgetMonth],DaybyDay[[#This Row],[RowMonth]],Budgets[BudgetYear],DaybyDay[[#This Row],[RowYear]])</f>
        <v>1262.3632453746836</v>
      </c>
      <c r="N396" s="75">
        <v>1391.4</v>
      </c>
      <c r="O396" s="33">
        <f>SUMIFS(DaybyDay[Service-Budgets],DaybyDay[Date],"&gt;="&amp;$C$5,DaybyDay[RowYear],"&gt;="&amp;$C$4,DaybyDay[Date],"&lt;="&amp;DaybyDay[[#This Row],[Date]])</f>
        <v>0</v>
      </c>
      <c r="P396" s="33">
        <f>SUMIFS(DaybyDay[Retail-Budgets],DaybyDay[Date],"&gt;="&amp;$C$5,DaybyDay[RowYear],"&gt;="&amp;$C$4,DaybyDay[Date],"&lt;="&amp;DaybyDay[[#This Row],[Date]])</f>
        <v>0</v>
      </c>
      <c r="Q396" s="34">
        <f>SUMIFS(DaybyDay[Service-Actuals],DaybyDay[Date],"&gt;="&amp;$C$5,DaybyDay[RowYear],"&gt;="&amp;$C$4,DaybyDay[Date],"&lt;="&amp;DaybyDay[[#This Row],[Date]])</f>
        <v>0</v>
      </c>
      <c r="R396" s="34">
        <f>SUMIFS(DaybyDay[Retail-Actuals],DaybyDay[Date],"&gt;="&amp;$C$5,DaybyDay[RowYear],"&gt;="&amp;$C$4,DaybyDay[Date],"&lt;="&amp;DaybyDay[[#This Row],[Date]])</f>
        <v>0</v>
      </c>
      <c r="S396" s="35">
        <f>SUMIFS(DaybyDay[Service-LY],DaybyDay[Date],"&gt;="&amp;$C$5,DaybyDay[RowYear],"&gt;="&amp;$C$4,DaybyDay[Date],"&lt;="&amp;DaybyDay[[#This Row],[Date]])</f>
        <v>0</v>
      </c>
      <c r="T396" s="35">
        <f>SUMIFS(DaybyDay[Retail-LY],DaybyDay[Date],"&gt;="&amp;$C$5,DaybyDay[RowYear],"&gt;="&amp;$C$4,DaybyDay[Date],"&lt;="&amp;DaybyDay[[#This Row],[Date]])</f>
        <v>0</v>
      </c>
      <c r="U396" s="32">
        <f>DaybyDay[[#This Row],[Serv-Bud-RU]]+DaybyDay[[#This Row],[Ret-Bud-RU]]</f>
        <v>0</v>
      </c>
      <c r="V396" s="32">
        <f>DaybyDay[[#This Row],[Serv-Act-RU]]+DaybyDay[[#This Row],[Ret-Act-RU]]</f>
        <v>0</v>
      </c>
      <c r="W396" s="36">
        <f>IF(DaybyDay[[#This Row],[_Space]],IFERROR(
((DaybyDay[[#This Row],[Actual-Rollup]]-DaybyDay[[#This Row],[Budget-Rollup]])/DaybyDay[[#This Row],[Budget-Rollup]]),0),"")</f>
        <v>0</v>
      </c>
      <c r="X396" t="b">
        <f>NOT(AND(ISBLANK(DaybyDay[[#This Row],[Appts]]),ISBLANK(DaybyDay[[#This Row],[Service-Actuals]]),ISBLANK(DaybyDay[[#This Row],[Retail-Actuals]])))</f>
        <v>1</v>
      </c>
      <c r="Y396" s="36">
        <f>IF(DaybyDay[[#This Row],[_Space]],IFERROR(
((DaybyDay[[#This Row],[Actual-Rollup]]-DaybyDay[[#This Row],[LY-Rollup]])/DaybyDay[[#This Row],[LY-Rollup]]),0),"")</f>
        <v>0</v>
      </c>
      <c r="Z396"/>
      <c r="AA396" s="37" t="e">
        <f>IF(DaybyDay[[#This Row],[_Space]],DaybyDay[[#This Row],[Ret-Act-RU]]/DaybyDay[[#This Row],[Serv-Act-RU]],"")</f>
        <v>#DIV/0!</v>
      </c>
      <c r="AB396" s="50" t="e">
        <f>IF(DaybyDay[[#This Row],[_Space]],DaybyDay[[#This Row],[RETPEN-Act]]/DaybyDay[[#This Row],[RETPEN-Bud]],"")</f>
        <v>#DIV/0!</v>
      </c>
      <c r="AC396" s="37" t="e">
        <f>IF(DaybyDay[[#This Row],[_Space]],DaybyDay[[#This Row],[Ret-Bud-RU]]/DaybyDay[[#This Row],[Serv-Bud-RU]],"")</f>
        <v>#DIV/0!</v>
      </c>
      <c r="AD396" s="37" t="e">
        <f>IF(DaybyDay[[#This Row],[_Space]],DaybyDay[[#This Row],[Ret-LY-RU]]/DaybyDay[[#This Row],[Serv-LY-RU]],"")</f>
        <v>#DIV/0!</v>
      </c>
      <c r="AE396" s="30">
        <f>WEEKDAY(DaybyDay[[#This Row],[LY-Date]])</f>
        <v>5</v>
      </c>
      <c r="AF396" s="38">
        <f>$E$2+_xlfn.DAYS(DaybyDay[[#This Row],[Date]],minDate)</f>
        <v>42761</v>
      </c>
      <c r="AG396" s="39" cm="1">
        <f t="array" ref="AG396">IFERROR(INDEX(DaybyDay[],DaybyDay[[#This Row],[FORM_MATCH_HELPER]],8),"")</f>
        <v>42</v>
      </c>
      <c r="AH396" s="39" cm="1">
        <f t="array" ref="AH396">IFERROR(INDEX(DaybyDay[],DaybyDay[[#This Row],[FORM_MATCH_HELPER]],10),"")</f>
        <v>5893.21</v>
      </c>
      <c r="AI396" s="39" cm="1">
        <f t="array" ref="AI396">IFERROR(INDEX(DaybyDay[],DaybyDay[[#This Row],[FORM_MATCH_HELPER]],12),"")</f>
        <v>66</v>
      </c>
      <c r="AJ396" s="32">
        <f>IFERROR(DaybyDay[[#This Row],[Serv-LY-RU]]+DaybyDay[[#This Row],[Ret-LY-RU]],"")</f>
        <v>0</v>
      </c>
      <c r="AK3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6" s="77"/>
      <c r="AM396" s="40" t="str">
        <f>IF(DaybyDay[[#This Row],[Admin Hours]]&gt;0,DaybyDay[[#This Row],[Admin Hours]]*$AM$2+$AM$3,"")</f>
        <v/>
      </c>
      <c r="AN396" s="40">
        <f>SUMIFS(DaybyDay[Est-Admin-Payroll],DaybyDay[Date],"&gt;="&amp;$C$5,DaybyDay[RowYear],"&gt;="&amp;$C$4,DaybyDay[Date],"&lt;="&amp;DaybyDay[[#This Row],[Date]])</f>
        <v>0</v>
      </c>
      <c r="AO396" s="41" t="str">
        <f>IF(AND(DaybyDay[[#This Row],[_Space]],ISNUMBER(DaybyDay[[#This Row],[Admin Hours]])),DaybyDay[[#This Row],[Est-Admin-Payroll]]/(DaybyDay[[#This Row],[Service-Actuals]]+DaybyDay[[#This Row],[Retail-Actuals]]),"")</f>
        <v/>
      </c>
      <c r="AP396" s="41" t="e">
        <f>DaybyDay[[#This Row],[Estimated-Payroll-Rollup]]/DaybyDay[[#This Row],[Simple-Forecast]]</f>
        <v>#DIV/0!</v>
      </c>
      <c r="AQ3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6" s="77"/>
      <c r="AS396" s="40" t="str">
        <f>IF(DaybyDay[[#This Row],[Retail Hours]]&gt;0,DaybyDay[[#This Row],[Retail Hours]]*$AS$2,"")</f>
        <v/>
      </c>
      <c r="AT396" s="40">
        <f>SUMIFS(DaybyDay[Est-Retail-Payroll],DaybyDay[Date],"&gt;="&amp;$C$5,DaybyDay[RowYear],"&gt;="&amp;$C$4,DaybyDay[Date],"&lt;="&amp;DaybyDay[[#This Row],[Date]])</f>
        <v>0</v>
      </c>
      <c r="AU396" s="82" t="str">
        <f>IF(AND(DaybyDay[[#This Row],[_Space]],ISNUMBER(DaybyDay[[#This Row],[Retail Hours]])),DaybyDay[[#This Row],[Est-Retail-Payroll]]/(DaybyDay[[#This Row],[Retail-Actuals]]),"")</f>
        <v/>
      </c>
      <c r="AV396" s="82" t="e">
        <f>DaybyDay[[#This Row],[Est-Retail-PayrollRU]]/DaybyDay[[#This Row],[Simple-Forecast-Retail]]</f>
        <v>#DIV/0!</v>
      </c>
      <c r="AW396" s="8"/>
    </row>
    <row r="397" spans="3:49" hidden="1" x14ac:dyDescent="0.25">
      <c r="C397" s="26" t="str">
        <f>Tools!$C$1</f>
        <v>Example</v>
      </c>
      <c r="D397" s="27" t="s">
        <v>68</v>
      </c>
      <c r="E397" s="28">
        <v>2018</v>
      </c>
      <c r="F397" s="28">
        <f>MATCH(DaybyDay[[#This Row],[RowMonth]],Table3[SummaryMonth],0)</f>
        <v>1</v>
      </c>
      <c r="G397" s="29">
        <f>MATCH(DaybyDay[[#This Row],[LY-Date]],DaybyDay[Date],0)</f>
        <v>27</v>
      </c>
      <c r="H397" s="30">
        <f>WEEKDAY(DaybyDay[[#This Row],[Date]])</f>
        <v>6</v>
      </c>
      <c r="I397" s="31">
        <v>43126</v>
      </c>
      <c r="J397" s="74">
        <v>16</v>
      </c>
      <c r="K397" s="32">
        <f>SUMIFS(BudgetSeasonality[365 Seasonality],BudgetSeasonality[MonthAdjustment],DaybyDay[[#This Row],[Date]])*SUMIFS(Budgets[Service-Budget],Budgets[BudgetMonth],DaybyDay[[#This Row],[RowMonth]],Budgets[BudgetYear],DaybyDay[[#This Row],[RowYear]])</f>
        <v>5171.0060817930134</v>
      </c>
      <c r="L397" s="75">
        <v>4408</v>
      </c>
      <c r="M397" s="32">
        <f>INDEX(BudgetSeasonality[365 Seasonality],MATCH(DaybyDay[[#This Row],[Date]],BudgetSeasonality[MonthAdjustment],0))*SUMIFS(Budgets[Retail-Budget],Budgets[BudgetMonth],DaybyDay[[#This Row],[RowMonth]],Budgets[BudgetYear],DaybyDay[[#This Row],[RowYear]])</f>
        <v>1553.257575703484</v>
      </c>
      <c r="N397" s="75">
        <v>659</v>
      </c>
      <c r="O397" s="33">
        <f>SUMIFS(DaybyDay[Service-Budgets],DaybyDay[Date],"&gt;="&amp;$C$5,DaybyDay[RowYear],"&gt;="&amp;$C$4,DaybyDay[Date],"&lt;="&amp;DaybyDay[[#This Row],[Date]])</f>
        <v>0</v>
      </c>
      <c r="P397" s="33">
        <f>SUMIFS(DaybyDay[Retail-Budgets],DaybyDay[Date],"&gt;="&amp;$C$5,DaybyDay[RowYear],"&gt;="&amp;$C$4,DaybyDay[Date],"&lt;="&amp;DaybyDay[[#This Row],[Date]])</f>
        <v>0</v>
      </c>
      <c r="Q397" s="34">
        <f>SUMIFS(DaybyDay[Service-Actuals],DaybyDay[Date],"&gt;="&amp;$C$5,DaybyDay[RowYear],"&gt;="&amp;$C$4,DaybyDay[Date],"&lt;="&amp;DaybyDay[[#This Row],[Date]])</f>
        <v>0</v>
      </c>
      <c r="R397" s="34">
        <f>SUMIFS(DaybyDay[Retail-Actuals],DaybyDay[Date],"&gt;="&amp;$C$5,DaybyDay[RowYear],"&gt;="&amp;$C$4,DaybyDay[Date],"&lt;="&amp;DaybyDay[[#This Row],[Date]])</f>
        <v>0</v>
      </c>
      <c r="S397" s="35">
        <f>SUMIFS(DaybyDay[Service-LY],DaybyDay[Date],"&gt;="&amp;$C$5,DaybyDay[RowYear],"&gt;="&amp;$C$4,DaybyDay[Date],"&lt;="&amp;DaybyDay[[#This Row],[Date]])</f>
        <v>0</v>
      </c>
      <c r="T397" s="35">
        <f>SUMIFS(DaybyDay[Retail-LY],DaybyDay[Date],"&gt;="&amp;$C$5,DaybyDay[RowYear],"&gt;="&amp;$C$4,DaybyDay[Date],"&lt;="&amp;DaybyDay[[#This Row],[Date]])</f>
        <v>0</v>
      </c>
      <c r="U397" s="32">
        <f>DaybyDay[[#This Row],[Serv-Bud-RU]]+DaybyDay[[#This Row],[Ret-Bud-RU]]</f>
        <v>0</v>
      </c>
      <c r="V397" s="32">
        <f>DaybyDay[[#This Row],[Serv-Act-RU]]+DaybyDay[[#This Row],[Ret-Act-RU]]</f>
        <v>0</v>
      </c>
      <c r="W397" s="36">
        <f>IF(DaybyDay[[#This Row],[_Space]],IFERROR(
((DaybyDay[[#This Row],[Actual-Rollup]]-DaybyDay[[#This Row],[Budget-Rollup]])/DaybyDay[[#This Row],[Budget-Rollup]]),0),"")</f>
        <v>0</v>
      </c>
      <c r="X397" t="b">
        <f>NOT(AND(ISBLANK(DaybyDay[[#This Row],[Appts]]),ISBLANK(DaybyDay[[#This Row],[Service-Actuals]]),ISBLANK(DaybyDay[[#This Row],[Retail-Actuals]])))</f>
        <v>1</v>
      </c>
      <c r="Y397" s="36">
        <f>IF(DaybyDay[[#This Row],[_Space]],IFERROR(
((DaybyDay[[#This Row],[Actual-Rollup]]-DaybyDay[[#This Row],[LY-Rollup]])/DaybyDay[[#This Row],[LY-Rollup]]),0),"")</f>
        <v>0</v>
      </c>
      <c r="Z397"/>
      <c r="AA397" s="37" t="e">
        <f>IF(DaybyDay[[#This Row],[_Space]],DaybyDay[[#This Row],[Ret-Act-RU]]/DaybyDay[[#This Row],[Serv-Act-RU]],"")</f>
        <v>#DIV/0!</v>
      </c>
      <c r="AB397" s="50" t="e">
        <f>IF(DaybyDay[[#This Row],[_Space]],DaybyDay[[#This Row],[RETPEN-Act]]/DaybyDay[[#This Row],[RETPEN-Bud]],"")</f>
        <v>#DIV/0!</v>
      </c>
      <c r="AC397" s="37" t="e">
        <f>IF(DaybyDay[[#This Row],[_Space]],DaybyDay[[#This Row],[Ret-Bud-RU]]/DaybyDay[[#This Row],[Serv-Bud-RU]],"")</f>
        <v>#DIV/0!</v>
      </c>
      <c r="AD397" s="37" t="e">
        <f>IF(DaybyDay[[#This Row],[_Space]],DaybyDay[[#This Row],[Ret-LY-RU]]/DaybyDay[[#This Row],[Serv-LY-RU]],"")</f>
        <v>#DIV/0!</v>
      </c>
      <c r="AE397" s="30">
        <f>WEEKDAY(DaybyDay[[#This Row],[LY-Date]])</f>
        <v>6</v>
      </c>
      <c r="AF397" s="38">
        <f>$E$2+_xlfn.DAYS(DaybyDay[[#This Row],[Date]],minDate)</f>
        <v>42762</v>
      </c>
      <c r="AG397" s="39" cm="1">
        <f t="array" ref="AG397">IFERROR(INDEX(DaybyDay[],DaybyDay[[#This Row],[FORM_MATCH_HELPER]],8),"")</f>
        <v>33</v>
      </c>
      <c r="AH397" s="39" cm="1">
        <f t="array" ref="AH397">IFERROR(INDEX(DaybyDay[],DaybyDay[[#This Row],[FORM_MATCH_HELPER]],10),"")</f>
        <v>5401.7</v>
      </c>
      <c r="AI397" s="39" cm="1">
        <f t="array" ref="AI397">IFERROR(INDEX(DaybyDay[],DaybyDay[[#This Row],[FORM_MATCH_HELPER]],12),"")</f>
        <v>1593.95</v>
      </c>
      <c r="AJ397" s="32">
        <f>IFERROR(DaybyDay[[#This Row],[Serv-LY-RU]]+DaybyDay[[#This Row],[Ret-LY-RU]],"")</f>
        <v>0</v>
      </c>
      <c r="AK3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7" s="77"/>
      <c r="AM397" s="40" t="str">
        <f>IF(DaybyDay[[#This Row],[Admin Hours]]&gt;0,DaybyDay[[#This Row],[Admin Hours]]*$AM$2+$AM$3,"")</f>
        <v/>
      </c>
      <c r="AN397" s="40">
        <f>SUMIFS(DaybyDay[Est-Admin-Payroll],DaybyDay[Date],"&gt;="&amp;$C$5,DaybyDay[RowYear],"&gt;="&amp;$C$4,DaybyDay[Date],"&lt;="&amp;DaybyDay[[#This Row],[Date]])</f>
        <v>0</v>
      </c>
      <c r="AO397" s="41" t="str">
        <f>IF(AND(DaybyDay[[#This Row],[_Space]],ISNUMBER(DaybyDay[[#This Row],[Admin Hours]])),DaybyDay[[#This Row],[Est-Admin-Payroll]]/(DaybyDay[[#This Row],[Service-Actuals]]+DaybyDay[[#This Row],[Retail-Actuals]]),"")</f>
        <v/>
      </c>
      <c r="AP397" s="41" t="e">
        <f>DaybyDay[[#This Row],[Estimated-Payroll-Rollup]]/DaybyDay[[#This Row],[Simple-Forecast]]</f>
        <v>#DIV/0!</v>
      </c>
      <c r="AQ3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7" s="77"/>
      <c r="AS397" s="40" t="str">
        <f>IF(DaybyDay[[#This Row],[Retail Hours]]&gt;0,DaybyDay[[#This Row],[Retail Hours]]*$AS$2,"")</f>
        <v/>
      </c>
      <c r="AT397" s="40">
        <f>SUMIFS(DaybyDay[Est-Retail-Payroll],DaybyDay[Date],"&gt;="&amp;$C$5,DaybyDay[RowYear],"&gt;="&amp;$C$4,DaybyDay[Date],"&lt;="&amp;DaybyDay[[#This Row],[Date]])</f>
        <v>0</v>
      </c>
      <c r="AU397" s="82" t="str">
        <f>IF(AND(DaybyDay[[#This Row],[_Space]],ISNUMBER(DaybyDay[[#This Row],[Retail Hours]])),DaybyDay[[#This Row],[Est-Retail-Payroll]]/(DaybyDay[[#This Row],[Retail-Actuals]]),"")</f>
        <v/>
      </c>
      <c r="AV397" s="82" t="e">
        <f>DaybyDay[[#This Row],[Est-Retail-PayrollRU]]/DaybyDay[[#This Row],[Simple-Forecast-Retail]]</f>
        <v>#DIV/0!</v>
      </c>
      <c r="AW397" s="8"/>
    </row>
    <row r="398" spans="3:49" hidden="1" x14ac:dyDescent="0.25">
      <c r="C398" s="26" t="str">
        <f>Tools!$C$1</f>
        <v>Example</v>
      </c>
      <c r="D398" s="27" t="s">
        <v>68</v>
      </c>
      <c r="E398" s="28">
        <v>2018</v>
      </c>
      <c r="F398" s="28">
        <f>MATCH(DaybyDay[[#This Row],[RowMonth]],Table3[SummaryMonth],0)</f>
        <v>1</v>
      </c>
      <c r="G398" s="29">
        <f>MATCH(DaybyDay[[#This Row],[LY-Date]],DaybyDay[Date],0)</f>
        <v>28</v>
      </c>
      <c r="H398" s="30">
        <f>WEEKDAY(DaybyDay[[#This Row],[Date]])</f>
        <v>7</v>
      </c>
      <c r="I398" s="31">
        <v>43127</v>
      </c>
      <c r="J398" s="74">
        <v>34</v>
      </c>
      <c r="K398" s="32">
        <f>SUMIFS(BudgetSeasonality[365 Seasonality],BudgetSeasonality[MonthAdjustment],DaybyDay[[#This Row],[Date]])*SUMIFS(Budgets[Service-Budget],Budgets[BudgetMonth],DaybyDay[[#This Row],[RowMonth]],Budgets[BudgetYear],DaybyDay[[#This Row],[RowYear]])</f>
        <v>7183.5451522377016</v>
      </c>
      <c r="L398" s="75">
        <v>8048.75</v>
      </c>
      <c r="M398" s="32">
        <f>INDEX(BudgetSeasonality[365 Seasonality],MATCH(DaybyDay[[#This Row],[Date]],BudgetSeasonality[MonthAdjustment],0))*SUMIFS(Budgets[Retail-Budget],Budgets[BudgetMonth],DaybyDay[[#This Row],[RowMonth]],Budgets[BudgetYear],DaybyDay[[#This Row],[RowYear]])</f>
        <v>2157.7804689512795</v>
      </c>
      <c r="N398" s="75">
        <v>1942.25</v>
      </c>
      <c r="O398" s="33">
        <f>SUMIFS(DaybyDay[Service-Budgets],DaybyDay[Date],"&gt;="&amp;$C$5,DaybyDay[RowYear],"&gt;="&amp;$C$4,DaybyDay[Date],"&lt;="&amp;DaybyDay[[#This Row],[Date]])</f>
        <v>0</v>
      </c>
      <c r="P398" s="33">
        <f>SUMIFS(DaybyDay[Retail-Budgets],DaybyDay[Date],"&gt;="&amp;$C$5,DaybyDay[RowYear],"&gt;="&amp;$C$4,DaybyDay[Date],"&lt;="&amp;DaybyDay[[#This Row],[Date]])</f>
        <v>0</v>
      </c>
      <c r="Q398" s="34">
        <f>SUMIFS(DaybyDay[Service-Actuals],DaybyDay[Date],"&gt;="&amp;$C$5,DaybyDay[RowYear],"&gt;="&amp;$C$4,DaybyDay[Date],"&lt;="&amp;DaybyDay[[#This Row],[Date]])</f>
        <v>0</v>
      </c>
      <c r="R398" s="34">
        <f>SUMIFS(DaybyDay[Retail-Actuals],DaybyDay[Date],"&gt;="&amp;$C$5,DaybyDay[RowYear],"&gt;="&amp;$C$4,DaybyDay[Date],"&lt;="&amp;DaybyDay[[#This Row],[Date]])</f>
        <v>0</v>
      </c>
      <c r="S398" s="35">
        <f>SUMIFS(DaybyDay[Service-LY],DaybyDay[Date],"&gt;="&amp;$C$5,DaybyDay[RowYear],"&gt;="&amp;$C$4,DaybyDay[Date],"&lt;="&amp;DaybyDay[[#This Row],[Date]])</f>
        <v>0</v>
      </c>
      <c r="T398" s="35">
        <f>SUMIFS(DaybyDay[Retail-LY],DaybyDay[Date],"&gt;="&amp;$C$5,DaybyDay[RowYear],"&gt;="&amp;$C$4,DaybyDay[Date],"&lt;="&amp;DaybyDay[[#This Row],[Date]])</f>
        <v>0</v>
      </c>
      <c r="U398" s="32">
        <f>DaybyDay[[#This Row],[Serv-Bud-RU]]+DaybyDay[[#This Row],[Ret-Bud-RU]]</f>
        <v>0</v>
      </c>
      <c r="V398" s="32">
        <f>DaybyDay[[#This Row],[Serv-Act-RU]]+DaybyDay[[#This Row],[Ret-Act-RU]]</f>
        <v>0</v>
      </c>
      <c r="W398" s="36">
        <f>IF(DaybyDay[[#This Row],[_Space]],IFERROR(
((DaybyDay[[#This Row],[Actual-Rollup]]-DaybyDay[[#This Row],[Budget-Rollup]])/DaybyDay[[#This Row],[Budget-Rollup]]),0),"")</f>
        <v>0</v>
      </c>
      <c r="X398" t="b">
        <f>NOT(AND(ISBLANK(DaybyDay[[#This Row],[Appts]]),ISBLANK(DaybyDay[[#This Row],[Service-Actuals]]),ISBLANK(DaybyDay[[#This Row],[Retail-Actuals]])))</f>
        <v>1</v>
      </c>
      <c r="Y398" s="36">
        <f>IF(DaybyDay[[#This Row],[_Space]],IFERROR(
((DaybyDay[[#This Row],[Actual-Rollup]]-DaybyDay[[#This Row],[LY-Rollup]])/DaybyDay[[#This Row],[LY-Rollup]]),0),"")</f>
        <v>0</v>
      </c>
      <c r="Z398"/>
      <c r="AA398" s="37" t="e">
        <f>IF(DaybyDay[[#This Row],[_Space]],DaybyDay[[#This Row],[Ret-Act-RU]]/DaybyDay[[#This Row],[Serv-Act-RU]],"")</f>
        <v>#DIV/0!</v>
      </c>
      <c r="AB398" s="50" t="e">
        <f>IF(DaybyDay[[#This Row],[_Space]],DaybyDay[[#This Row],[RETPEN-Act]]/DaybyDay[[#This Row],[RETPEN-Bud]],"")</f>
        <v>#DIV/0!</v>
      </c>
      <c r="AC398" s="37" t="e">
        <f>IF(DaybyDay[[#This Row],[_Space]],DaybyDay[[#This Row],[Ret-Bud-RU]]/DaybyDay[[#This Row],[Serv-Bud-RU]],"")</f>
        <v>#DIV/0!</v>
      </c>
      <c r="AD398" s="37" t="e">
        <f>IF(DaybyDay[[#This Row],[_Space]],DaybyDay[[#This Row],[Ret-LY-RU]]/DaybyDay[[#This Row],[Serv-LY-RU]],"")</f>
        <v>#DIV/0!</v>
      </c>
      <c r="AE398" s="30">
        <f>WEEKDAY(DaybyDay[[#This Row],[LY-Date]])</f>
        <v>7</v>
      </c>
      <c r="AF398" s="38">
        <f>$E$2+_xlfn.DAYS(DaybyDay[[#This Row],[Date]],minDate)</f>
        <v>42763</v>
      </c>
      <c r="AG398" s="39" cm="1">
        <f t="array" ref="AG398">IFERROR(INDEX(DaybyDay[],DaybyDay[[#This Row],[FORM_MATCH_HELPER]],8),"")</f>
        <v>54</v>
      </c>
      <c r="AH398" s="39" cm="1">
        <f t="array" ref="AH398">IFERROR(INDEX(DaybyDay[],DaybyDay[[#This Row],[FORM_MATCH_HELPER]],10),"")</f>
        <v>10625.62</v>
      </c>
      <c r="AI398" s="39" cm="1">
        <f t="array" ref="AI398">IFERROR(INDEX(DaybyDay[],DaybyDay[[#This Row],[FORM_MATCH_HELPER]],12),"")</f>
        <v>773.96</v>
      </c>
      <c r="AJ398" s="32">
        <f>IFERROR(DaybyDay[[#This Row],[Serv-LY-RU]]+DaybyDay[[#This Row],[Ret-LY-RU]],"")</f>
        <v>0</v>
      </c>
      <c r="AK3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8" s="77"/>
      <c r="AM398" s="40" t="str">
        <f>IF(DaybyDay[[#This Row],[Admin Hours]]&gt;0,DaybyDay[[#This Row],[Admin Hours]]*$AM$2+$AM$3,"")</f>
        <v/>
      </c>
      <c r="AN398" s="40">
        <f>SUMIFS(DaybyDay[Est-Admin-Payroll],DaybyDay[Date],"&gt;="&amp;$C$5,DaybyDay[RowYear],"&gt;="&amp;$C$4,DaybyDay[Date],"&lt;="&amp;DaybyDay[[#This Row],[Date]])</f>
        <v>0</v>
      </c>
      <c r="AO398" s="41" t="str">
        <f>IF(AND(DaybyDay[[#This Row],[_Space]],ISNUMBER(DaybyDay[[#This Row],[Admin Hours]])),DaybyDay[[#This Row],[Est-Admin-Payroll]]/(DaybyDay[[#This Row],[Service-Actuals]]+DaybyDay[[#This Row],[Retail-Actuals]]),"")</f>
        <v/>
      </c>
      <c r="AP398" s="41" t="e">
        <f>DaybyDay[[#This Row],[Estimated-Payroll-Rollup]]/DaybyDay[[#This Row],[Simple-Forecast]]</f>
        <v>#DIV/0!</v>
      </c>
      <c r="AQ3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8" s="77"/>
      <c r="AS398" s="40" t="str">
        <f>IF(DaybyDay[[#This Row],[Retail Hours]]&gt;0,DaybyDay[[#This Row],[Retail Hours]]*$AS$2,"")</f>
        <v/>
      </c>
      <c r="AT398" s="40">
        <f>SUMIFS(DaybyDay[Est-Retail-Payroll],DaybyDay[Date],"&gt;="&amp;$C$5,DaybyDay[RowYear],"&gt;="&amp;$C$4,DaybyDay[Date],"&lt;="&amp;DaybyDay[[#This Row],[Date]])</f>
        <v>0</v>
      </c>
      <c r="AU398" s="82" t="str">
        <f>IF(AND(DaybyDay[[#This Row],[_Space]],ISNUMBER(DaybyDay[[#This Row],[Retail Hours]])),DaybyDay[[#This Row],[Est-Retail-Payroll]]/(DaybyDay[[#This Row],[Retail-Actuals]]),"")</f>
        <v/>
      </c>
      <c r="AV398" s="82" t="e">
        <f>DaybyDay[[#This Row],[Est-Retail-PayrollRU]]/DaybyDay[[#This Row],[Simple-Forecast-Retail]]</f>
        <v>#DIV/0!</v>
      </c>
      <c r="AW398" s="8"/>
    </row>
    <row r="399" spans="3:49" hidden="1" x14ac:dyDescent="0.25">
      <c r="C399" s="26" t="str">
        <f>Tools!$C$1</f>
        <v>Example</v>
      </c>
      <c r="D399" s="27" t="s">
        <v>68</v>
      </c>
      <c r="E399" s="28">
        <v>2018</v>
      </c>
      <c r="F399" s="28">
        <f>MATCH(DaybyDay[[#This Row],[RowMonth]],Table3[SummaryMonth],0)</f>
        <v>1</v>
      </c>
      <c r="G399" s="29">
        <f>MATCH(DaybyDay[[#This Row],[LY-Date]],DaybyDay[Date],0)</f>
        <v>29</v>
      </c>
      <c r="H399" s="30">
        <f>WEEKDAY(DaybyDay[[#This Row],[Date]])</f>
        <v>1</v>
      </c>
      <c r="I399" s="31">
        <v>43128</v>
      </c>
      <c r="J399" s="74">
        <v>49</v>
      </c>
      <c r="K399" s="32">
        <f>SUMIFS(BudgetSeasonality[365 Seasonality],BudgetSeasonality[MonthAdjustment],DaybyDay[[#This Row],[Date]])*SUMIFS(Budgets[Service-Budget],Budgets[BudgetMonth],DaybyDay[[#This Row],[RowMonth]],Budgets[BudgetYear],DaybyDay[[#This Row],[RowYear]])</f>
        <v>5754.4253734519743</v>
      </c>
      <c r="L399" s="75">
        <v>10326</v>
      </c>
      <c r="M399" s="32">
        <f>INDEX(BudgetSeasonality[365 Seasonality],MATCH(DaybyDay[[#This Row],[Date]],BudgetSeasonality[MonthAdjustment],0))*SUMIFS(Budgets[Retail-Budget],Budgets[BudgetMonth],DaybyDay[[#This Row],[RowMonth]],Budgets[BudgetYear],DaybyDay[[#This Row],[RowYear]])</f>
        <v>1728.5040210270643</v>
      </c>
      <c r="N399" s="75">
        <v>464</v>
      </c>
      <c r="O399" s="33">
        <f>SUMIFS(DaybyDay[Service-Budgets],DaybyDay[Date],"&gt;="&amp;$C$5,DaybyDay[RowYear],"&gt;="&amp;$C$4,DaybyDay[Date],"&lt;="&amp;DaybyDay[[#This Row],[Date]])</f>
        <v>0</v>
      </c>
      <c r="P399" s="33">
        <f>SUMIFS(DaybyDay[Retail-Budgets],DaybyDay[Date],"&gt;="&amp;$C$5,DaybyDay[RowYear],"&gt;="&amp;$C$4,DaybyDay[Date],"&lt;="&amp;DaybyDay[[#This Row],[Date]])</f>
        <v>0</v>
      </c>
      <c r="Q399" s="34">
        <f>SUMIFS(DaybyDay[Service-Actuals],DaybyDay[Date],"&gt;="&amp;$C$5,DaybyDay[RowYear],"&gt;="&amp;$C$4,DaybyDay[Date],"&lt;="&amp;DaybyDay[[#This Row],[Date]])</f>
        <v>0</v>
      </c>
      <c r="R399" s="34">
        <f>SUMIFS(DaybyDay[Retail-Actuals],DaybyDay[Date],"&gt;="&amp;$C$5,DaybyDay[RowYear],"&gt;="&amp;$C$4,DaybyDay[Date],"&lt;="&amp;DaybyDay[[#This Row],[Date]])</f>
        <v>0</v>
      </c>
      <c r="S399" s="35">
        <f>SUMIFS(DaybyDay[Service-LY],DaybyDay[Date],"&gt;="&amp;$C$5,DaybyDay[RowYear],"&gt;="&amp;$C$4,DaybyDay[Date],"&lt;="&amp;DaybyDay[[#This Row],[Date]])</f>
        <v>0</v>
      </c>
      <c r="T399" s="35">
        <f>SUMIFS(DaybyDay[Retail-LY],DaybyDay[Date],"&gt;="&amp;$C$5,DaybyDay[RowYear],"&gt;="&amp;$C$4,DaybyDay[Date],"&lt;="&amp;DaybyDay[[#This Row],[Date]])</f>
        <v>0</v>
      </c>
      <c r="U399" s="32">
        <f>DaybyDay[[#This Row],[Serv-Bud-RU]]+DaybyDay[[#This Row],[Ret-Bud-RU]]</f>
        <v>0</v>
      </c>
      <c r="V399" s="32">
        <f>DaybyDay[[#This Row],[Serv-Act-RU]]+DaybyDay[[#This Row],[Ret-Act-RU]]</f>
        <v>0</v>
      </c>
      <c r="W399" s="36">
        <f>IF(DaybyDay[[#This Row],[_Space]],IFERROR(
((DaybyDay[[#This Row],[Actual-Rollup]]-DaybyDay[[#This Row],[Budget-Rollup]])/DaybyDay[[#This Row],[Budget-Rollup]]),0),"")</f>
        <v>0</v>
      </c>
      <c r="X399" t="b">
        <f>NOT(AND(ISBLANK(DaybyDay[[#This Row],[Appts]]),ISBLANK(DaybyDay[[#This Row],[Service-Actuals]]),ISBLANK(DaybyDay[[#This Row],[Retail-Actuals]])))</f>
        <v>1</v>
      </c>
      <c r="Y399" s="36">
        <f>IF(DaybyDay[[#This Row],[_Space]],IFERROR(
((DaybyDay[[#This Row],[Actual-Rollup]]-DaybyDay[[#This Row],[LY-Rollup]])/DaybyDay[[#This Row],[LY-Rollup]]),0),"")</f>
        <v>0</v>
      </c>
      <c r="Z399"/>
      <c r="AA399" s="37" t="e">
        <f>IF(DaybyDay[[#This Row],[_Space]],DaybyDay[[#This Row],[Ret-Act-RU]]/DaybyDay[[#This Row],[Serv-Act-RU]],"")</f>
        <v>#DIV/0!</v>
      </c>
      <c r="AB399" s="50" t="e">
        <f>IF(DaybyDay[[#This Row],[_Space]],DaybyDay[[#This Row],[RETPEN-Act]]/DaybyDay[[#This Row],[RETPEN-Bud]],"")</f>
        <v>#DIV/0!</v>
      </c>
      <c r="AC399" s="37" t="e">
        <f>IF(DaybyDay[[#This Row],[_Space]],DaybyDay[[#This Row],[Ret-Bud-RU]]/DaybyDay[[#This Row],[Serv-Bud-RU]],"")</f>
        <v>#DIV/0!</v>
      </c>
      <c r="AD399" s="37" t="e">
        <f>IF(DaybyDay[[#This Row],[_Space]],DaybyDay[[#This Row],[Ret-LY-RU]]/DaybyDay[[#This Row],[Serv-LY-RU]],"")</f>
        <v>#DIV/0!</v>
      </c>
      <c r="AE399" s="30">
        <f>WEEKDAY(DaybyDay[[#This Row],[LY-Date]])</f>
        <v>1</v>
      </c>
      <c r="AF399" s="38">
        <f>$E$2+_xlfn.DAYS(DaybyDay[[#This Row],[Date]],minDate)</f>
        <v>42764</v>
      </c>
      <c r="AG399" s="39" cm="1">
        <f t="array" ref="AG399">IFERROR(INDEX(DaybyDay[],DaybyDay[[#This Row],[FORM_MATCH_HELPER]],8),"")</f>
        <v>53</v>
      </c>
      <c r="AH399" s="39" cm="1">
        <f t="array" ref="AH399">IFERROR(INDEX(DaybyDay[],DaybyDay[[#This Row],[FORM_MATCH_HELPER]],10),"")</f>
        <v>7654.62</v>
      </c>
      <c r="AI399" s="39" cm="1">
        <f t="array" ref="AI399">IFERROR(INDEX(DaybyDay[],DaybyDay[[#This Row],[FORM_MATCH_HELPER]],12),"")</f>
        <v>1100</v>
      </c>
      <c r="AJ399" s="32">
        <f>IFERROR(DaybyDay[[#This Row],[Serv-LY-RU]]+DaybyDay[[#This Row],[Ret-LY-RU]],"")</f>
        <v>0</v>
      </c>
      <c r="AK3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399" s="77"/>
      <c r="AM399" s="40" t="str">
        <f>IF(DaybyDay[[#This Row],[Admin Hours]]&gt;0,DaybyDay[[#This Row],[Admin Hours]]*$AM$2+$AM$3,"")</f>
        <v/>
      </c>
      <c r="AN399" s="40">
        <f>SUMIFS(DaybyDay[Est-Admin-Payroll],DaybyDay[Date],"&gt;="&amp;$C$5,DaybyDay[RowYear],"&gt;="&amp;$C$4,DaybyDay[Date],"&lt;="&amp;DaybyDay[[#This Row],[Date]])</f>
        <v>0</v>
      </c>
      <c r="AO399" s="41" t="str">
        <f>IF(AND(DaybyDay[[#This Row],[_Space]],ISNUMBER(DaybyDay[[#This Row],[Admin Hours]])),DaybyDay[[#This Row],[Est-Admin-Payroll]]/(DaybyDay[[#This Row],[Service-Actuals]]+DaybyDay[[#This Row],[Retail-Actuals]]),"")</f>
        <v/>
      </c>
      <c r="AP399" s="41" t="e">
        <f>DaybyDay[[#This Row],[Estimated-Payroll-Rollup]]/DaybyDay[[#This Row],[Simple-Forecast]]</f>
        <v>#DIV/0!</v>
      </c>
      <c r="AQ3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399" s="77"/>
      <c r="AS399" s="40" t="str">
        <f>IF(DaybyDay[[#This Row],[Retail Hours]]&gt;0,DaybyDay[[#This Row],[Retail Hours]]*$AS$2,"")</f>
        <v/>
      </c>
      <c r="AT399" s="40">
        <f>SUMIFS(DaybyDay[Est-Retail-Payroll],DaybyDay[Date],"&gt;="&amp;$C$5,DaybyDay[RowYear],"&gt;="&amp;$C$4,DaybyDay[Date],"&lt;="&amp;DaybyDay[[#This Row],[Date]])</f>
        <v>0</v>
      </c>
      <c r="AU399" s="82" t="str">
        <f>IF(AND(DaybyDay[[#This Row],[_Space]],ISNUMBER(DaybyDay[[#This Row],[Retail Hours]])),DaybyDay[[#This Row],[Est-Retail-Payroll]]/(DaybyDay[[#This Row],[Retail-Actuals]]),"")</f>
        <v/>
      </c>
      <c r="AV399" s="82" t="e">
        <f>DaybyDay[[#This Row],[Est-Retail-PayrollRU]]/DaybyDay[[#This Row],[Simple-Forecast-Retail]]</f>
        <v>#DIV/0!</v>
      </c>
      <c r="AW399" s="8"/>
    </row>
    <row r="400" spans="3:49" hidden="1" x14ac:dyDescent="0.25">
      <c r="C400" s="26" t="str">
        <f>Tools!$C$1</f>
        <v>Example</v>
      </c>
      <c r="D400" s="27" t="s">
        <v>68</v>
      </c>
      <c r="E400" s="28">
        <v>2018</v>
      </c>
      <c r="F400" s="28">
        <f>MATCH(DaybyDay[[#This Row],[RowMonth]],Table3[SummaryMonth],0)</f>
        <v>1</v>
      </c>
      <c r="G400" s="29">
        <f>MATCH(DaybyDay[[#This Row],[LY-Date]],DaybyDay[Date],0)</f>
        <v>30</v>
      </c>
      <c r="H400" s="30">
        <f>WEEKDAY(DaybyDay[[#This Row],[Date]])</f>
        <v>2</v>
      </c>
      <c r="I400" s="31">
        <v>43129</v>
      </c>
      <c r="J400" s="74">
        <v>6</v>
      </c>
      <c r="K400" s="32">
        <f>SUMIFS(BudgetSeasonality[365 Seasonality],BudgetSeasonality[MonthAdjustment],DaybyDay[[#This Row],[Date]])*SUMIFS(Budgets[Service-Budget],Budgets[BudgetMonth],DaybyDay[[#This Row],[RowMonth]],Budgets[BudgetYear],DaybyDay[[#This Row],[RowYear]])</f>
        <v>3653.1881467958642</v>
      </c>
      <c r="L400" s="75">
        <v>1448.5</v>
      </c>
      <c r="M400" s="32">
        <f>INDEX(BudgetSeasonality[365 Seasonality],MATCH(DaybyDay[[#This Row],[Date]],BudgetSeasonality[MonthAdjustment],0))*SUMIFS(Budgets[Retail-Budget],Budgets[BudgetMonth],DaybyDay[[#This Row],[RowMonth]],Budgets[BudgetYear],DaybyDay[[#This Row],[RowYear]])</f>
        <v>1097.3381339581222</v>
      </c>
      <c r="N400" s="75">
        <v>249</v>
      </c>
      <c r="O400" s="33">
        <f>SUMIFS(DaybyDay[Service-Budgets],DaybyDay[Date],"&gt;="&amp;$C$5,DaybyDay[RowYear],"&gt;="&amp;$C$4,DaybyDay[Date],"&lt;="&amp;DaybyDay[[#This Row],[Date]])</f>
        <v>0</v>
      </c>
      <c r="P400" s="33">
        <f>SUMIFS(DaybyDay[Retail-Budgets],DaybyDay[Date],"&gt;="&amp;$C$5,DaybyDay[RowYear],"&gt;="&amp;$C$4,DaybyDay[Date],"&lt;="&amp;DaybyDay[[#This Row],[Date]])</f>
        <v>0</v>
      </c>
      <c r="Q400" s="34">
        <f>SUMIFS(DaybyDay[Service-Actuals],DaybyDay[Date],"&gt;="&amp;$C$5,DaybyDay[RowYear],"&gt;="&amp;$C$4,DaybyDay[Date],"&lt;="&amp;DaybyDay[[#This Row],[Date]])</f>
        <v>0</v>
      </c>
      <c r="R400" s="34">
        <f>SUMIFS(DaybyDay[Retail-Actuals],DaybyDay[Date],"&gt;="&amp;$C$5,DaybyDay[RowYear],"&gt;="&amp;$C$4,DaybyDay[Date],"&lt;="&amp;DaybyDay[[#This Row],[Date]])</f>
        <v>0</v>
      </c>
      <c r="S400" s="35">
        <f>SUMIFS(DaybyDay[Service-LY],DaybyDay[Date],"&gt;="&amp;$C$5,DaybyDay[RowYear],"&gt;="&amp;$C$4,DaybyDay[Date],"&lt;="&amp;DaybyDay[[#This Row],[Date]])</f>
        <v>0</v>
      </c>
      <c r="T400" s="35">
        <f>SUMIFS(DaybyDay[Retail-LY],DaybyDay[Date],"&gt;="&amp;$C$5,DaybyDay[RowYear],"&gt;="&amp;$C$4,DaybyDay[Date],"&lt;="&amp;DaybyDay[[#This Row],[Date]])</f>
        <v>0</v>
      </c>
      <c r="U400" s="32">
        <f>DaybyDay[[#This Row],[Serv-Bud-RU]]+DaybyDay[[#This Row],[Ret-Bud-RU]]</f>
        <v>0</v>
      </c>
      <c r="V400" s="32">
        <f>DaybyDay[[#This Row],[Serv-Act-RU]]+DaybyDay[[#This Row],[Ret-Act-RU]]</f>
        <v>0</v>
      </c>
      <c r="W400" s="36">
        <f>IF(DaybyDay[[#This Row],[_Space]],IFERROR(
((DaybyDay[[#This Row],[Actual-Rollup]]-DaybyDay[[#This Row],[Budget-Rollup]])/DaybyDay[[#This Row],[Budget-Rollup]]),0),"")</f>
        <v>0</v>
      </c>
      <c r="X400" t="b">
        <f>NOT(AND(ISBLANK(DaybyDay[[#This Row],[Appts]]),ISBLANK(DaybyDay[[#This Row],[Service-Actuals]]),ISBLANK(DaybyDay[[#This Row],[Retail-Actuals]])))</f>
        <v>1</v>
      </c>
      <c r="Y400" s="36">
        <f>IF(DaybyDay[[#This Row],[_Space]],IFERROR(
((DaybyDay[[#This Row],[Actual-Rollup]]-DaybyDay[[#This Row],[LY-Rollup]])/DaybyDay[[#This Row],[LY-Rollup]]),0),"")</f>
        <v>0</v>
      </c>
      <c r="Z400"/>
      <c r="AA400" s="37" t="e">
        <f>IF(DaybyDay[[#This Row],[_Space]],DaybyDay[[#This Row],[Ret-Act-RU]]/DaybyDay[[#This Row],[Serv-Act-RU]],"")</f>
        <v>#DIV/0!</v>
      </c>
      <c r="AB400" s="50" t="e">
        <f>IF(DaybyDay[[#This Row],[_Space]],DaybyDay[[#This Row],[RETPEN-Act]]/DaybyDay[[#This Row],[RETPEN-Bud]],"")</f>
        <v>#DIV/0!</v>
      </c>
      <c r="AC400" s="37" t="e">
        <f>IF(DaybyDay[[#This Row],[_Space]],DaybyDay[[#This Row],[Ret-Bud-RU]]/DaybyDay[[#This Row],[Serv-Bud-RU]],"")</f>
        <v>#DIV/0!</v>
      </c>
      <c r="AD400" s="37" t="e">
        <f>IF(DaybyDay[[#This Row],[_Space]],DaybyDay[[#This Row],[Ret-LY-RU]]/DaybyDay[[#This Row],[Serv-LY-RU]],"")</f>
        <v>#DIV/0!</v>
      </c>
      <c r="AE400" s="30">
        <f>WEEKDAY(DaybyDay[[#This Row],[LY-Date]])</f>
        <v>2</v>
      </c>
      <c r="AF400" s="38">
        <f>$E$2+_xlfn.DAYS(DaybyDay[[#This Row],[Date]],minDate)</f>
        <v>42765</v>
      </c>
      <c r="AG400" s="39" cm="1">
        <f t="array" ref="AG400">IFERROR(INDEX(DaybyDay[],DaybyDay[[#This Row],[FORM_MATCH_HELPER]],8),"")</f>
        <v>37</v>
      </c>
      <c r="AH400" s="39" cm="1">
        <f t="array" ref="AH400">IFERROR(INDEX(DaybyDay[],DaybyDay[[#This Row],[FORM_MATCH_HELPER]],10),"")</f>
        <v>5012.53</v>
      </c>
      <c r="AI400" s="39" cm="1">
        <f t="array" ref="AI400">IFERROR(INDEX(DaybyDay[],DaybyDay[[#This Row],[FORM_MATCH_HELPER]],12),"")</f>
        <v>215.27</v>
      </c>
      <c r="AJ400" s="32">
        <f>IFERROR(DaybyDay[[#This Row],[Serv-LY-RU]]+DaybyDay[[#This Row],[Ret-LY-RU]],"")</f>
        <v>0</v>
      </c>
      <c r="AK4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0" s="77"/>
      <c r="AM400" s="40" t="str">
        <f>IF(DaybyDay[[#This Row],[Admin Hours]]&gt;0,DaybyDay[[#This Row],[Admin Hours]]*$AM$2+$AM$3,"")</f>
        <v/>
      </c>
      <c r="AN400" s="40">
        <f>SUMIFS(DaybyDay[Est-Admin-Payroll],DaybyDay[Date],"&gt;="&amp;$C$5,DaybyDay[RowYear],"&gt;="&amp;$C$4,DaybyDay[Date],"&lt;="&amp;DaybyDay[[#This Row],[Date]])</f>
        <v>0</v>
      </c>
      <c r="AO400" s="41" t="str">
        <f>IF(AND(DaybyDay[[#This Row],[_Space]],ISNUMBER(DaybyDay[[#This Row],[Admin Hours]])),DaybyDay[[#This Row],[Est-Admin-Payroll]]/(DaybyDay[[#This Row],[Service-Actuals]]+DaybyDay[[#This Row],[Retail-Actuals]]),"")</f>
        <v/>
      </c>
      <c r="AP400" s="41" t="e">
        <f>DaybyDay[[#This Row],[Estimated-Payroll-Rollup]]/DaybyDay[[#This Row],[Simple-Forecast]]</f>
        <v>#DIV/0!</v>
      </c>
      <c r="AQ4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0" s="77"/>
      <c r="AS400" s="40" t="str">
        <f>IF(DaybyDay[[#This Row],[Retail Hours]]&gt;0,DaybyDay[[#This Row],[Retail Hours]]*$AS$2,"")</f>
        <v/>
      </c>
      <c r="AT400" s="40">
        <f>SUMIFS(DaybyDay[Est-Retail-Payroll],DaybyDay[Date],"&gt;="&amp;$C$5,DaybyDay[RowYear],"&gt;="&amp;$C$4,DaybyDay[Date],"&lt;="&amp;DaybyDay[[#This Row],[Date]])</f>
        <v>0</v>
      </c>
      <c r="AU400" s="82" t="str">
        <f>IF(AND(DaybyDay[[#This Row],[_Space]],ISNUMBER(DaybyDay[[#This Row],[Retail Hours]])),DaybyDay[[#This Row],[Est-Retail-Payroll]]/(DaybyDay[[#This Row],[Retail-Actuals]]),"")</f>
        <v/>
      </c>
      <c r="AV400" s="82" t="e">
        <f>DaybyDay[[#This Row],[Est-Retail-PayrollRU]]/DaybyDay[[#This Row],[Simple-Forecast-Retail]]</f>
        <v>#DIV/0!</v>
      </c>
      <c r="AW400" s="8"/>
    </row>
    <row r="401" spans="3:49" hidden="1" x14ac:dyDescent="0.25">
      <c r="C401" s="26" t="str">
        <f>Tools!$C$1</f>
        <v>Example</v>
      </c>
      <c r="D401" s="27" t="s">
        <v>68</v>
      </c>
      <c r="E401" s="28">
        <v>2018</v>
      </c>
      <c r="F401" s="28">
        <f>MATCH(DaybyDay[[#This Row],[RowMonth]],Table3[SummaryMonth],0)</f>
        <v>1</v>
      </c>
      <c r="G401" s="29">
        <f>MATCH(DaybyDay[[#This Row],[LY-Date]],DaybyDay[Date],0)</f>
        <v>31</v>
      </c>
      <c r="H401" s="30">
        <f>WEEKDAY(DaybyDay[[#This Row],[Date]])</f>
        <v>3</v>
      </c>
      <c r="I401" s="31">
        <v>43130</v>
      </c>
      <c r="J401" s="74">
        <v>18</v>
      </c>
      <c r="K401" s="32">
        <f>SUMIFS(BudgetSeasonality[365 Seasonality],BudgetSeasonality[MonthAdjustment],DaybyDay[[#This Row],[Date]])*SUMIFS(Budgets[Service-Budget],Budgets[BudgetMonth],DaybyDay[[#This Row],[RowMonth]],Budgets[BudgetYear],DaybyDay[[#This Row],[RowYear]])</f>
        <v>3797.4887268047851</v>
      </c>
      <c r="L401" s="75">
        <v>3061.5</v>
      </c>
      <c r="M401" s="32">
        <f>INDEX(BudgetSeasonality[365 Seasonality],MATCH(DaybyDay[[#This Row],[Date]],BudgetSeasonality[MonthAdjustment],0))*SUMIFS(Budgets[Retail-Budget],Budgets[BudgetMonth],DaybyDay[[#This Row],[RowMonth]],Budgets[BudgetYear],DaybyDay[[#This Row],[RowYear]])</f>
        <v>1140.6828845795615</v>
      </c>
      <c r="N401" s="75">
        <v>32.03</v>
      </c>
      <c r="O401" s="33">
        <f>SUMIFS(DaybyDay[Service-Budgets],DaybyDay[Date],"&gt;="&amp;$C$5,DaybyDay[RowYear],"&gt;="&amp;$C$4,DaybyDay[Date],"&lt;="&amp;DaybyDay[[#This Row],[Date]])</f>
        <v>0</v>
      </c>
      <c r="P401" s="33">
        <f>SUMIFS(DaybyDay[Retail-Budgets],DaybyDay[Date],"&gt;="&amp;$C$5,DaybyDay[RowYear],"&gt;="&amp;$C$4,DaybyDay[Date],"&lt;="&amp;DaybyDay[[#This Row],[Date]])</f>
        <v>0</v>
      </c>
      <c r="Q401" s="34">
        <f>SUMIFS(DaybyDay[Service-Actuals],DaybyDay[Date],"&gt;="&amp;$C$5,DaybyDay[RowYear],"&gt;="&amp;$C$4,DaybyDay[Date],"&lt;="&amp;DaybyDay[[#This Row],[Date]])</f>
        <v>0</v>
      </c>
      <c r="R401" s="34">
        <f>SUMIFS(DaybyDay[Retail-Actuals],DaybyDay[Date],"&gt;="&amp;$C$5,DaybyDay[RowYear],"&gt;="&amp;$C$4,DaybyDay[Date],"&lt;="&amp;DaybyDay[[#This Row],[Date]])</f>
        <v>0</v>
      </c>
      <c r="S401" s="35">
        <f>SUMIFS(DaybyDay[Service-LY],DaybyDay[Date],"&gt;="&amp;$C$5,DaybyDay[RowYear],"&gt;="&amp;$C$4,DaybyDay[Date],"&lt;="&amp;DaybyDay[[#This Row],[Date]])</f>
        <v>0</v>
      </c>
      <c r="T401" s="35">
        <f>SUMIFS(DaybyDay[Retail-LY],DaybyDay[Date],"&gt;="&amp;$C$5,DaybyDay[RowYear],"&gt;="&amp;$C$4,DaybyDay[Date],"&lt;="&amp;DaybyDay[[#This Row],[Date]])</f>
        <v>0</v>
      </c>
      <c r="U401" s="32">
        <f>DaybyDay[[#This Row],[Serv-Bud-RU]]+DaybyDay[[#This Row],[Ret-Bud-RU]]</f>
        <v>0</v>
      </c>
      <c r="V401" s="32">
        <f>DaybyDay[[#This Row],[Serv-Act-RU]]+DaybyDay[[#This Row],[Ret-Act-RU]]</f>
        <v>0</v>
      </c>
      <c r="W401" s="36">
        <f>IF(DaybyDay[[#This Row],[_Space]],IFERROR(
((DaybyDay[[#This Row],[Actual-Rollup]]-DaybyDay[[#This Row],[Budget-Rollup]])/DaybyDay[[#This Row],[Budget-Rollup]]),0),"")</f>
        <v>0</v>
      </c>
      <c r="X401" t="b">
        <f>NOT(AND(ISBLANK(DaybyDay[[#This Row],[Appts]]),ISBLANK(DaybyDay[[#This Row],[Service-Actuals]]),ISBLANK(DaybyDay[[#This Row],[Retail-Actuals]])))</f>
        <v>1</v>
      </c>
      <c r="Y401" s="36">
        <f>IF(DaybyDay[[#This Row],[_Space]],IFERROR(
((DaybyDay[[#This Row],[Actual-Rollup]]-DaybyDay[[#This Row],[LY-Rollup]])/DaybyDay[[#This Row],[LY-Rollup]]),0),"")</f>
        <v>0</v>
      </c>
      <c r="Z401"/>
      <c r="AA401" s="37" t="e">
        <f>IF(DaybyDay[[#This Row],[_Space]],DaybyDay[[#This Row],[Ret-Act-RU]]/DaybyDay[[#This Row],[Serv-Act-RU]],"")</f>
        <v>#DIV/0!</v>
      </c>
      <c r="AB401" s="50" t="e">
        <f>IF(DaybyDay[[#This Row],[_Space]],DaybyDay[[#This Row],[RETPEN-Act]]/DaybyDay[[#This Row],[RETPEN-Bud]],"")</f>
        <v>#DIV/0!</v>
      </c>
      <c r="AC401" s="37" t="e">
        <f>IF(DaybyDay[[#This Row],[_Space]],DaybyDay[[#This Row],[Ret-Bud-RU]]/DaybyDay[[#This Row],[Serv-Bud-RU]],"")</f>
        <v>#DIV/0!</v>
      </c>
      <c r="AD401" s="37" t="e">
        <f>IF(DaybyDay[[#This Row],[_Space]],DaybyDay[[#This Row],[Ret-LY-RU]]/DaybyDay[[#This Row],[Serv-LY-RU]],"")</f>
        <v>#DIV/0!</v>
      </c>
      <c r="AE401" s="30">
        <f>WEEKDAY(DaybyDay[[#This Row],[LY-Date]])</f>
        <v>3</v>
      </c>
      <c r="AF401" s="38">
        <f>$E$2+_xlfn.DAYS(DaybyDay[[#This Row],[Date]],minDate)</f>
        <v>42766</v>
      </c>
      <c r="AG401" s="39" cm="1">
        <f t="array" ref="AG401">IFERROR(INDEX(DaybyDay[],DaybyDay[[#This Row],[FORM_MATCH_HELPER]],8),"")</f>
        <v>51</v>
      </c>
      <c r="AH401" s="39" cm="1">
        <f t="array" ref="AH401">IFERROR(INDEX(DaybyDay[],DaybyDay[[#This Row],[FORM_MATCH_HELPER]],10),"")</f>
        <v>7055.88</v>
      </c>
      <c r="AI401" s="39" cm="1">
        <f t="array" ref="AI401">IFERROR(INDEX(DaybyDay[],DaybyDay[[#This Row],[FORM_MATCH_HELPER]],12),"")</f>
        <v>504</v>
      </c>
      <c r="AJ401" s="32">
        <f>IFERROR(DaybyDay[[#This Row],[Serv-LY-RU]]+DaybyDay[[#This Row],[Ret-LY-RU]],"")</f>
        <v>0</v>
      </c>
      <c r="AK4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1" s="77"/>
      <c r="AM401" s="40" t="str">
        <f>IF(DaybyDay[[#This Row],[Admin Hours]]&gt;0,DaybyDay[[#This Row],[Admin Hours]]*$AM$2+$AM$3,"")</f>
        <v/>
      </c>
      <c r="AN401" s="40">
        <f>SUMIFS(DaybyDay[Est-Admin-Payroll],DaybyDay[Date],"&gt;="&amp;$C$5,DaybyDay[RowYear],"&gt;="&amp;$C$4,DaybyDay[Date],"&lt;="&amp;DaybyDay[[#This Row],[Date]])</f>
        <v>0</v>
      </c>
      <c r="AO401" s="41" t="str">
        <f>IF(AND(DaybyDay[[#This Row],[_Space]],ISNUMBER(DaybyDay[[#This Row],[Admin Hours]])),DaybyDay[[#This Row],[Est-Admin-Payroll]]/(DaybyDay[[#This Row],[Service-Actuals]]+DaybyDay[[#This Row],[Retail-Actuals]]),"")</f>
        <v/>
      </c>
      <c r="AP401" s="41" t="e">
        <f>DaybyDay[[#This Row],[Estimated-Payroll-Rollup]]/DaybyDay[[#This Row],[Simple-Forecast]]</f>
        <v>#DIV/0!</v>
      </c>
      <c r="AQ4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1" s="77"/>
      <c r="AS401" s="40" t="str">
        <f>IF(DaybyDay[[#This Row],[Retail Hours]]&gt;0,DaybyDay[[#This Row],[Retail Hours]]*$AS$2,"")</f>
        <v/>
      </c>
      <c r="AT401" s="40">
        <f>SUMIFS(DaybyDay[Est-Retail-Payroll],DaybyDay[Date],"&gt;="&amp;$C$5,DaybyDay[RowYear],"&gt;="&amp;$C$4,DaybyDay[Date],"&lt;="&amp;DaybyDay[[#This Row],[Date]])</f>
        <v>0</v>
      </c>
      <c r="AU401" s="82" t="str">
        <f>IF(AND(DaybyDay[[#This Row],[_Space]],ISNUMBER(DaybyDay[[#This Row],[Retail Hours]])),DaybyDay[[#This Row],[Est-Retail-Payroll]]/(DaybyDay[[#This Row],[Retail-Actuals]]),"")</f>
        <v/>
      </c>
      <c r="AV401" s="82" t="e">
        <f>DaybyDay[[#This Row],[Est-Retail-PayrollRU]]/DaybyDay[[#This Row],[Simple-Forecast-Retail]]</f>
        <v>#DIV/0!</v>
      </c>
      <c r="AW401" s="8"/>
    </row>
    <row r="402" spans="3:49" hidden="1" x14ac:dyDescent="0.25">
      <c r="C402" s="26" t="str">
        <f>Tools!$C$1</f>
        <v>Example</v>
      </c>
      <c r="D402" s="27" t="s">
        <v>68</v>
      </c>
      <c r="E402" s="28">
        <v>2018</v>
      </c>
      <c r="F402" s="28">
        <f>MATCH(DaybyDay[[#This Row],[RowMonth]],Table3[SummaryMonth],0)</f>
        <v>1</v>
      </c>
      <c r="G402" s="29">
        <f>MATCH(DaybyDay[[#This Row],[LY-Date]],DaybyDay[Date],0)</f>
        <v>32</v>
      </c>
      <c r="H402" s="30">
        <f>WEEKDAY(DaybyDay[[#This Row],[Date]])</f>
        <v>4</v>
      </c>
      <c r="I402" s="31">
        <v>43131</v>
      </c>
      <c r="J402" s="74">
        <v>15</v>
      </c>
      <c r="K402" s="32">
        <f>SUMIFS(BudgetSeasonality[365 Seasonality],BudgetSeasonality[MonthAdjustment],DaybyDay[[#This Row],[Date]])*SUMIFS(Budgets[Service-Budget],Budgets[BudgetMonth],DaybyDay[[#This Row],[RowMonth]],Budgets[BudgetYear],DaybyDay[[#This Row],[RowYear]])</f>
        <v>4332.9966355703855</v>
      </c>
      <c r="L402" s="75">
        <v>3280</v>
      </c>
      <c r="M402" s="32">
        <f>INDEX(BudgetSeasonality[365 Seasonality],MATCH(DaybyDay[[#This Row],[Date]],BudgetSeasonality[MonthAdjustment],0))*SUMIFS(Budgets[Retail-Budget],Budgets[BudgetMonth],DaybyDay[[#This Row],[RowMonth]],Budgets[BudgetYear],DaybyDay[[#This Row],[RowYear]])</f>
        <v>1301.5377942397884</v>
      </c>
      <c r="N402" s="75">
        <v>2269.5</v>
      </c>
      <c r="O402" s="33">
        <f>SUMIFS(DaybyDay[Service-Budgets],DaybyDay[Date],"&gt;="&amp;$C$5,DaybyDay[RowYear],"&gt;="&amp;$C$4,DaybyDay[Date],"&lt;="&amp;DaybyDay[[#This Row],[Date]])</f>
        <v>0</v>
      </c>
      <c r="P402" s="33">
        <f>SUMIFS(DaybyDay[Retail-Budgets],DaybyDay[Date],"&gt;="&amp;$C$5,DaybyDay[RowYear],"&gt;="&amp;$C$4,DaybyDay[Date],"&lt;="&amp;DaybyDay[[#This Row],[Date]])</f>
        <v>0</v>
      </c>
      <c r="Q402" s="34">
        <f>SUMIFS(DaybyDay[Service-Actuals],DaybyDay[Date],"&gt;="&amp;$C$5,DaybyDay[RowYear],"&gt;="&amp;$C$4,DaybyDay[Date],"&lt;="&amp;DaybyDay[[#This Row],[Date]])</f>
        <v>0</v>
      </c>
      <c r="R402" s="34">
        <f>SUMIFS(DaybyDay[Retail-Actuals],DaybyDay[Date],"&gt;="&amp;$C$5,DaybyDay[RowYear],"&gt;="&amp;$C$4,DaybyDay[Date],"&lt;="&amp;DaybyDay[[#This Row],[Date]])</f>
        <v>0</v>
      </c>
      <c r="S402" s="35">
        <f>SUMIFS(DaybyDay[Service-LY],DaybyDay[Date],"&gt;="&amp;$C$5,DaybyDay[RowYear],"&gt;="&amp;$C$4,DaybyDay[Date],"&lt;="&amp;DaybyDay[[#This Row],[Date]])</f>
        <v>0</v>
      </c>
      <c r="T402" s="35">
        <f>SUMIFS(DaybyDay[Retail-LY],DaybyDay[Date],"&gt;="&amp;$C$5,DaybyDay[RowYear],"&gt;="&amp;$C$4,DaybyDay[Date],"&lt;="&amp;DaybyDay[[#This Row],[Date]])</f>
        <v>0</v>
      </c>
      <c r="U402" s="32">
        <f>DaybyDay[[#This Row],[Serv-Bud-RU]]+DaybyDay[[#This Row],[Ret-Bud-RU]]</f>
        <v>0</v>
      </c>
      <c r="V402" s="32">
        <f>DaybyDay[[#This Row],[Serv-Act-RU]]+DaybyDay[[#This Row],[Ret-Act-RU]]</f>
        <v>0</v>
      </c>
      <c r="W402" s="36">
        <f>IF(DaybyDay[[#This Row],[_Space]],IFERROR(
((DaybyDay[[#This Row],[Actual-Rollup]]-DaybyDay[[#This Row],[Budget-Rollup]])/DaybyDay[[#This Row],[Budget-Rollup]]),0),"")</f>
        <v>0</v>
      </c>
      <c r="X402" t="b">
        <f>NOT(AND(ISBLANK(DaybyDay[[#This Row],[Appts]]),ISBLANK(DaybyDay[[#This Row],[Service-Actuals]]),ISBLANK(DaybyDay[[#This Row],[Retail-Actuals]])))</f>
        <v>1</v>
      </c>
      <c r="Y402" s="36">
        <f>IF(DaybyDay[[#This Row],[_Space]],IFERROR(
((DaybyDay[[#This Row],[Actual-Rollup]]-DaybyDay[[#This Row],[LY-Rollup]])/DaybyDay[[#This Row],[LY-Rollup]]),0),"")</f>
        <v>0</v>
      </c>
      <c r="Z402"/>
      <c r="AA402" s="37" t="e">
        <f>IF(DaybyDay[[#This Row],[_Space]],DaybyDay[[#This Row],[Ret-Act-RU]]/DaybyDay[[#This Row],[Serv-Act-RU]],"")</f>
        <v>#DIV/0!</v>
      </c>
      <c r="AB402" s="50" t="e">
        <f>IF(DaybyDay[[#This Row],[_Space]],DaybyDay[[#This Row],[RETPEN-Act]]/DaybyDay[[#This Row],[RETPEN-Bud]],"")</f>
        <v>#DIV/0!</v>
      </c>
      <c r="AC402" s="37" t="e">
        <f>IF(DaybyDay[[#This Row],[_Space]],DaybyDay[[#This Row],[Ret-Bud-RU]]/DaybyDay[[#This Row],[Serv-Bud-RU]],"")</f>
        <v>#DIV/0!</v>
      </c>
      <c r="AD402" s="37" t="e">
        <f>IF(DaybyDay[[#This Row],[_Space]],DaybyDay[[#This Row],[Ret-LY-RU]]/DaybyDay[[#This Row],[Serv-LY-RU]],"")</f>
        <v>#DIV/0!</v>
      </c>
      <c r="AE402" s="30">
        <f>WEEKDAY(DaybyDay[[#This Row],[LY-Date]])</f>
        <v>4</v>
      </c>
      <c r="AF402" s="38">
        <f>$E$2+_xlfn.DAYS(DaybyDay[[#This Row],[Date]],minDate)</f>
        <v>42767</v>
      </c>
      <c r="AG402" s="39" cm="1">
        <f t="array" ref="AG402">IFERROR(INDEX(DaybyDay[],DaybyDay[[#This Row],[FORM_MATCH_HELPER]],8),"")</f>
        <v>31</v>
      </c>
      <c r="AH402" s="39" cm="1">
        <f t="array" ref="AH402">IFERROR(INDEX(DaybyDay[],DaybyDay[[#This Row],[FORM_MATCH_HELPER]],10),"")</f>
        <v>4451.05</v>
      </c>
      <c r="AI402" s="39" cm="1">
        <f t="array" ref="AI402">IFERROR(INDEX(DaybyDay[],DaybyDay[[#This Row],[FORM_MATCH_HELPER]],12),"")</f>
        <v>2784.35</v>
      </c>
      <c r="AJ402" s="32">
        <f>IFERROR(DaybyDay[[#This Row],[Serv-LY-RU]]+DaybyDay[[#This Row],[Ret-LY-RU]],"")</f>
        <v>0</v>
      </c>
      <c r="AK4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2" s="77"/>
      <c r="AM402" s="40" t="str">
        <f>IF(DaybyDay[[#This Row],[Admin Hours]]&gt;0,DaybyDay[[#This Row],[Admin Hours]]*$AM$2+$AM$3,"")</f>
        <v/>
      </c>
      <c r="AN402" s="40">
        <f>SUMIFS(DaybyDay[Est-Admin-Payroll],DaybyDay[Date],"&gt;="&amp;$C$5,DaybyDay[RowYear],"&gt;="&amp;$C$4,DaybyDay[Date],"&lt;="&amp;DaybyDay[[#This Row],[Date]])</f>
        <v>0</v>
      </c>
      <c r="AO402" s="41" t="str">
        <f>IF(AND(DaybyDay[[#This Row],[_Space]],ISNUMBER(DaybyDay[[#This Row],[Admin Hours]])),DaybyDay[[#This Row],[Est-Admin-Payroll]]/(DaybyDay[[#This Row],[Service-Actuals]]+DaybyDay[[#This Row],[Retail-Actuals]]),"")</f>
        <v/>
      </c>
      <c r="AP402" s="41" t="e">
        <f>DaybyDay[[#This Row],[Estimated-Payroll-Rollup]]/DaybyDay[[#This Row],[Simple-Forecast]]</f>
        <v>#DIV/0!</v>
      </c>
      <c r="AQ4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2" s="77"/>
      <c r="AS402" s="40" t="str">
        <f>IF(DaybyDay[[#This Row],[Retail Hours]]&gt;0,DaybyDay[[#This Row],[Retail Hours]]*$AS$2,"")</f>
        <v/>
      </c>
      <c r="AT402" s="40">
        <f>SUMIFS(DaybyDay[Est-Retail-Payroll],DaybyDay[Date],"&gt;="&amp;$C$5,DaybyDay[RowYear],"&gt;="&amp;$C$4,DaybyDay[Date],"&lt;="&amp;DaybyDay[[#This Row],[Date]])</f>
        <v>0</v>
      </c>
      <c r="AU402" s="82" t="str">
        <f>IF(AND(DaybyDay[[#This Row],[_Space]],ISNUMBER(DaybyDay[[#This Row],[Retail Hours]])),DaybyDay[[#This Row],[Est-Retail-Payroll]]/(DaybyDay[[#This Row],[Retail-Actuals]]),"")</f>
        <v/>
      </c>
      <c r="AV402" s="82" t="e">
        <f>DaybyDay[[#This Row],[Est-Retail-PayrollRU]]/DaybyDay[[#This Row],[Simple-Forecast-Retail]]</f>
        <v>#DIV/0!</v>
      </c>
      <c r="AW402" s="8"/>
    </row>
    <row r="403" spans="3:49" hidden="1" x14ac:dyDescent="0.25">
      <c r="C403" s="26" t="str">
        <f>Tools!$C$1</f>
        <v>Example</v>
      </c>
      <c r="D403" s="27" t="s">
        <v>68</v>
      </c>
      <c r="E403" s="28">
        <v>2018</v>
      </c>
      <c r="F403" s="28">
        <f>MATCH(DaybyDay[[#This Row],[RowMonth]],Table3[SummaryMonth],0)</f>
        <v>1</v>
      </c>
      <c r="G403" s="29">
        <f>MATCH(DaybyDay[[#This Row],[LY-Date]],DaybyDay[Date],0)</f>
        <v>33</v>
      </c>
      <c r="H403" s="30">
        <f>WEEKDAY(DaybyDay[[#This Row],[Date]])</f>
        <v>5</v>
      </c>
      <c r="I403" s="31">
        <v>43132</v>
      </c>
      <c r="J403" s="74">
        <v>19</v>
      </c>
      <c r="K403" s="32">
        <f>SUMIFS(BudgetSeasonality[365 Seasonality],BudgetSeasonality[MonthAdjustment],DaybyDay[[#This Row],[Date]])*SUMIFS(Budgets[Service-Budget],Budgets[BudgetMonth],DaybyDay[[#This Row],[RowMonth]],Budgets[BudgetYear],DaybyDay[[#This Row],[RowYear]])</f>
        <v>4464.8972247428628</v>
      </c>
      <c r="L403" s="75">
        <v>3452</v>
      </c>
      <c r="M403" s="32">
        <f>INDEX(BudgetSeasonality[365 Seasonality],MATCH(DaybyDay[[#This Row],[Date]],BudgetSeasonality[MonthAdjustment],0))*SUMIFS(Budgets[Retail-Budget],Budgets[BudgetMonth],DaybyDay[[#This Row],[RowMonth]],Budgets[BudgetYear],DaybyDay[[#This Row],[RowYear]])</f>
        <v>1341.1578577499174</v>
      </c>
      <c r="N403" s="75">
        <v>3610.1</v>
      </c>
      <c r="O403" s="33">
        <f>SUMIFS(DaybyDay[Service-Budgets],DaybyDay[Date],"&gt;="&amp;$C$5,DaybyDay[RowYear],"&gt;="&amp;$C$4,DaybyDay[Date],"&lt;="&amp;DaybyDay[[#This Row],[Date]])</f>
        <v>0</v>
      </c>
      <c r="P403" s="33">
        <f>SUMIFS(DaybyDay[Retail-Budgets],DaybyDay[Date],"&gt;="&amp;$C$5,DaybyDay[RowYear],"&gt;="&amp;$C$4,DaybyDay[Date],"&lt;="&amp;DaybyDay[[#This Row],[Date]])</f>
        <v>0</v>
      </c>
      <c r="Q403" s="34">
        <f>SUMIFS(DaybyDay[Service-Actuals],DaybyDay[Date],"&gt;="&amp;$C$5,DaybyDay[RowYear],"&gt;="&amp;$C$4,DaybyDay[Date],"&lt;="&amp;DaybyDay[[#This Row],[Date]])</f>
        <v>0</v>
      </c>
      <c r="R403" s="34">
        <f>SUMIFS(DaybyDay[Retail-Actuals],DaybyDay[Date],"&gt;="&amp;$C$5,DaybyDay[RowYear],"&gt;="&amp;$C$4,DaybyDay[Date],"&lt;="&amp;DaybyDay[[#This Row],[Date]])</f>
        <v>0</v>
      </c>
      <c r="S403" s="35">
        <f>SUMIFS(DaybyDay[Service-LY],DaybyDay[Date],"&gt;="&amp;$C$5,DaybyDay[RowYear],"&gt;="&amp;$C$4,DaybyDay[Date],"&lt;="&amp;DaybyDay[[#This Row],[Date]])</f>
        <v>0</v>
      </c>
      <c r="T403" s="35">
        <f>SUMIFS(DaybyDay[Retail-LY],DaybyDay[Date],"&gt;="&amp;$C$5,DaybyDay[RowYear],"&gt;="&amp;$C$4,DaybyDay[Date],"&lt;="&amp;DaybyDay[[#This Row],[Date]])</f>
        <v>0</v>
      </c>
      <c r="U403" s="32">
        <f>DaybyDay[[#This Row],[Serv-Bud-RU]]+DaybyDay[[#This Row],[Ret-Bud-RU]]</f>
        <v>0</v>
      </c>
      <c r="V403" s="32">
        <f>DaybyDay[[#This Row],[Serv-Act-RU]]+DaybyDay[[#This Row],[Ret-Act-RU]]</f>
        <v>0</v>
      </c>
      <c r="W403" s="36">
        <f>IF(DaybyDay[[#This Row],[_Space]],IFERROR(
((DaybyDay[[#This Row],[Actual-Rollup]]-DaybyDay[[#This Row],[Budget-Rollup]])/DaybyDay[[#This Row],[Budget-Rollup]]),0),"")</f>
        <v>0</v>
      </c>
      <c r="X403" t="b">
        <f>NOT(AND(ISBLANK(DaybyDay[[#This Row],[Appts]]),ISBLANK(DaybyDay[[#This Row],[Service-Actuals]]),ISBLANK(DaybyDay[[#This Row],[Retail-Actuals]])))</f>
        <v>1</v>
      </c>
      <c r="Y403" s="36">
        <f>IF(DaybyDay[[#This Row],[_Space]],IFERROR(
((DaybyDay[[#This Row],[Actual-Rollup]]-DaybyDay[[#This Row],[LY-Rollup]])/DaybyDay[[#This Row],[LY-Rollup]]),0),"")</f>
        <v>0</v>
      </c>
      <c r="Z403"/>
      <c r="AA403" s="37" t="e">
        <f>IF(DaybyDay[[#This Row],[_Space]],DaybyDay[[#This Row],[Ret-Act-RU]]/DaybyDay[[#This Row],[Serv-Act-RU]],"")</f>
        <v>#DIV/0!</v>
      </c>
      <c r="AB403" s="50" t="e">
        <f>IF(DaybyDay[[#This Row],[_Space]],DaybyDay[[#This Row],[RETPEN-Act]]/DaybyDay[[#This Row],[RETPEN-Bud]],"")</f>
        <v>#DIV/0!</v>
      </c>
      <c r="AC403" s="37" t="e">
        <f>IF(DaybyDay[[#This Row],[_Space]],DaybyDay[[#This Row],[Ret-Bud-RU]]/DaybyDay[[#This Row],[Serv-Bud-RU]],"")</f>
        <v>#DIV/0!</v>
      </c>
      <c r="AD403" s="37" t="e">
        <f>IF(DaybyDay[[#This Row],[_Space]],DaybyDay[[#This Row],[Ret-LY-RU]]/DaybyDay[[#This Row],[Serv-LY-RU]],"")</f>
        <v>#DIV/0!</v>
      </c>
      <c r="AE403" s="30">
        <f>WEEKDAY(DaybyDay[[#This Row],[LY-Date]])</f>
        <v>5</v>
      </c>
      <c r="AF403" s="38">
        <f>$E$2+_xlfn.DAYS(DaybyDay[[#This Row],[Date]],minDate)</f>
        <v>42768</v>
      </c>
      <c r="AG403" s="39" cm="1">
        <f t="array" ref="AG403">IFERROR(INDEX(DaybyDay[],DaybyDay[[#This Row],[FORM_MATCH_HELPER]],8),"")</f>
        <v>39</v>
      </c>
      <c r="AH403" s="39" cm="1">
        <f t="array" ref="AH403">IFERROR(INDEX(DaybyDay[],DaybyDay[[#This Row],[FORM_MATCH_HELPER]],10),"")</f>
        <v>5686.59</v>
      </c>
      <c r="AI403" s="39" cm="1">
        <f t="array" ref="AI403">IFERROR(INDEX(DaybyDay[],DaybyDay[[#This Row],[FORM_MATCH_HELPER]],12),"")</f>
        <v>638</v>
      </c>
      <c r="AJ403" s="32">
        <f>IFERROR(DaybyDay[[#This Row],[Serv-LY-RU]]+DaybyDay[[#This Row],[Ret-LY-RU]],"")</f>
        <v>0</v>
      </c>
      <c r="AK4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3" s="77"/>
      <c r="AM403" s="40" t="str">
        <f>IF(DaybyDay[[#This Row],[Admin Hours]]&gt;0,DaybyDay[[#This Row],[Admin Hours]]*$AM$2+$AM$3,"")</f>
        <v/>
      </c>
      <c r="AN403" s="40">
        <f>SUMIFS(DaybyDay[Est-Admin-Payroll],DaybyDay[Date],"&gt;="&amp;$C$5,DaybyDay[RowYear],"&gt;="&amp;$C$4,DaybyDay[Date],"&lt;="&amp;DaybyDay[[#This Row],[Date]])</f>
        <v>0</v>
      </c>
      <c r="AO403" s="41" t="str">
        <f>IF(AND(DaybyDay[[#This Row],[_Space]],ISNUMBER(DaybyDay[[#This Row],[Admin Hours]])),DaybyDay[[#This Row],[Est-Admin-Payroll]]/(DaybyDay[[#This Row],[Service-Actuals]]+DaybyDay[[#This Row],[Retail-Actuals]]),"")</f>
        <v/>
      </c>
      <c r="AP403" s="41" t="e">
        <f>DaybyDay[[#This Row],[Estimated-Payroll-Rollup]]/DaybyDay[[#This Row],[Simple-Forecast]]</f>
        <v>#DIV/0!</v>
      </c>
      <c r="AQ4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3" s="77"/>
      <c r="AS403" s="40" t="str">
        <f>IF(DaybyDay[[#This Row],[Retail Hours]]&gt;0,DaybyDay[[#This Row],[Retail Hours]]*$AS$2,"")</f>
        <v/>
      </c>
      <c r="AT403" s="40">
        <f>SUMIFS(DaybyDay[Est-Retail-Payroll],DaybyDay[Date],"&gt;="&amp;$C$5,DaybyDay[RowYear],"&gt;="&amp;$C$4,DaybyDay[Date],"&lt;="&amp;DaybyDay[[#This Row],[Date]])</f>
        <v>0</v>
      </c>
      <c r="AU403" s="82" t="str">
        <f>IF(AND(DaybyDay[[#This Row],[_Space]],ISNUMBER(DaybyDay[[#This Row],[Retail Hours]])),DaybyDay[[#This Row],[Est-Retail-Payroll]]/(DaybyDay[[#This Row],[Retail-Actuals]]),"")</f>
        <v/>
      </c>
      <c r="AV403" s="82" t="e">
        <f>DaybyDay[[#This Row],[Est-Retail-PayrollRU]]/DaybyDay[[#This Row],[Simple-Forecast-Retail]]</f>
        <v>#DIV/0!</v>
      </c>
      <c r="AW403" s="8"/>
    </row>
    <row r="404" spans="3:49" hidden="1" x14ac:dyDescent="0.25">
      <c r="C404" s="26" t="str">
        <f>Tools!$C$1</f>
        <v>Example</v>
      </c>
      <c r="D404" s="27" t="s">
        <v>68</v>
      </c>
      <c r="E404" s="28">
        <v>2018</v>
      </c>
      <c r="F404" s="28">
        <f>MATCH(DaybyDay[[#This Row],[RowMonth]],Table3[SummaryMonth],0)</f>
        <v>1</v>
      </c>
      <c r="G404" s="29">
        <f>MATCH(DaybyDay[[#This Row],[LY-Date]],DaybyDay[Date],0)</f>
        <v>34</v>
      </c>
      <c r="H404" s="30">
        <f>WEEKDAY(DaybyDay[[#This Row],[Date]])</f>
        <v>6</v>
      </c>
      <c r="I404" s="31">
        <v>43133</v>
      </c>
      <c r="J404" s="74">
        <v>18</v>
      </c>
      <c r="K404" s="32">
        <f>SUMIFS(BudgetSeasonality[365 Seasonality],BudgetSeasonality[MonthAdjustment],DaybyDay[[#This Row],[Date]])*SUMIFS(Budgets[Service-Budget],Budgets[BudgetMonth],DaybyDay[[#This Row],[RowMonth]],Budgets[BudgetYear],DaybyDay[[#This Row],[RowYear]])</f>
        <v>5422.7280677723538</v>
      </c>
      <c r="L404" s="75">
        <v>3732</v>
      </c>
      <c r="M404" s="32">
        <f>INDEX(BudgetSeasonality[365 Seasonality],MATCH(DaybyDay[[#This Row],[Date]],BudgetSeasonality[MonthAdjustment],0))*SUMIFS(Budgets[Retail-Budget],Budgets[BudgetMonth],DaybyDay[[#This Row],[RowMonth]],Budgets[BudgetYear],DaybyDay[[#This Row],[RowYear]])</f>
        <v>1628.869376484419</v>
      </c>
      <c r="N404" s="75">
        <v>118</v>
      </c>
      <c r="O404" s="33">
        <f>SUMIFS(DaybyDay[Service-Budgets],DaybyDay[Date],"&gt;="&amp;$C$5,DaybyDay[RowYear],"&gt;="&amp;$C$4,DaybyDay[Date],"&lt;="&amp;DaybyDay[[#This Row],[Date]])</f>
        <v>0</v>
      </c>
      <c r="P404" s="33">
        <f>SUMIFS(DaybyDay[Retail-Budgets],DaybyDay[Date],"&gt;="&amp;$C$5,DaybyDay[RowYear],"&gt;="&amp;$C$4,DaybyDay[Date],"&lt;="&amp;DaybyDay[[#This Row],[Date]])</f>
        <v>0</v>
      </c>
      <c r="Q404" s="34">
        <f>SUMIFS(DaybyDay[Service-Actuals],DaybyDay[Date],"&gt;="&amp;$C$5,DaybyDay[RowYear],"&gt;="&amp;$C$4,DaybyDay[Date],"&lt;="&amp;DaybyDay[[#This Row],[Date]])</f>
        <v>0</v>
      </c>
      <c r="R404" s="34">
        <f>SUMIFS(DaybyDay[Retail-Actuals],DaybyDay[Date],"&gt;="&amp;$C$5,DaybyDay[RowYear],"&gt;="&amp;$C$4,DaybyDay[Date],"&lt;="&amp;DaybyDay[[#This Row],[Date]])</f>
        <v>0</v>
      </c>
      <c r="S404" s="35">
        <f>SUMIFS(DaybyDay[Service-LY],DaybyDay[Date],"&gt;="&amp;$C$5,DaybyDay[RowYear],"&gt;="&amp;$C$4,DaybyDay[Date],"&lt;="&amp;DaybyDay[[#This Row],[Date]])</f>
        <v>0</v>
      </c>
      <c r="T404" s="35">
        <f>SUMIFS(DaybyDay[Retail-LY],DaybyDay[Date],"&gt;="&amp;$C$5,DaybyDay[RowYear],"&gt;="&amp;$C$4,DaybyDay[Date],"&lt;="&amp;DaybyDay[[#This Row],[Date]])</f>
        <v>0</v>
      </c>
      <c r="U404" s="32">
        <f>DaybyDay[[#This Row],[Serv-Bud-RU]]+DaybyDay[[#This Row],[Ret-Bud-RU]]</f>
        <v>0</v>
      </c>
      <c r="V404" s="32">
        <f>DaybyDay[[#This Row],[Serv-Act-RU]]+DaybyDay[[#This Row],[Ret-Act-RU]]</f>
        <v>0</v>
      </c>
      <c r="W404" s="36">
        <f>IF(DaybyDay[[#This Row],[_Space]],IFERROR(
((DaybyDay[[#This Row],[Actual-Rollup]]-DaybyDay[[#This Row],[Budget-Rollup]])/DaybyDay[[#This Row],[Budget-Rollup]]),0),"")</f>
        <v>0</v>
      </c>
      <c r="X404" t="b">
        <f>NOT(AND(ISBLANK(DaybyDay[[#This Row],[Appts]]),ISBLANK(DaybyDay[[#This Row],[Service-Actuals]]),ISBLANK(DaybyDay[[#This Row],[Retail-Actuals]])))</f>
        <v>1</v>
      </c>
      <c r="Y404" s="36">
        <f>IF(DaybyDay[[#This Row],[_Space]],IFERROR(
((DaybyDay[[#This Row],[Actual-Rollup]]-DaybyDay[[#This Row],[LY-Rollup]])/DaybyDay[[#This Row],[LY-Rollup]]),0),"")</f>
        <v>0</v>
      </c>
      <c r="Z404"/>
      <c r="AA404" s="37" t="e">
        <f>IF(DaybyDay[[#This Row],[_Space]],DaybyDay[[#This Row],[Ret-Act-RU]]/DaybyDay[[#This Row],[Serv-Act-RU]],"")</f>
        <v>#DIV/0!</v>
      </c>
      <c r="AB404" s="50" t="e">
        <f>IF(DaybyDay[[#This Row],[_Space]],DaybyDay[[#This Row],[RETPEN-Act]]/DaybyDay[[#This Row],[RETPEN-Bud]],"")</f>
        <v>#DIV/0!</v>
      </c>
      <c r="AC404" s="37" t="e">
        <f>IF(DaybyDay[[#This Row],[_Space]],DaybyDay[[#This Row],[Ret-Bud-RU]]/DaybyDay[[#This Row],[Serv-Bud-RU]],"")</f>
        <v>#DIV/0!</v>
      </c>
      <c r="AD404" s="37" t="e">
        <f>IF(DaybyDay[[#This Row],[_Space]],DaybyDay[[#This Row],[Ret-LY-RU]]/DaybyDay[[#This Row],[Serv-LY-RU]],"")</f>
        <v>#DIV/0!</v>
      </c>
      <c r="AE404" s="30">
        <f>WEEKDAY(DaybyDay[[#This Row],[LY-Date]])</f>
        <v>6</v>
      </c>
      <c r="AF404" s="38">
        <f>$E$2+_xlfn.DAYS(DaybyDay[[#This Row],[Date]],minDate)</f>
        <v>42769</v>
      </c>
      <c r="AG404" s="39" cm="1">
        <f t="array" ref="AG404">IFERROR(INDEX(DaybyDay[],DaybyDay[[#This Row],[FORM_MATCH_HELPER]],8),"")</f>
        <v>40</v>
      </c>
      <c r="AH404" s="39" cm="1">
        <f t="array" ref="AH404">IFERROR(INDEX(DaybyDay[],DaybyDay[[#This Row],[FORM_MATCH_HELPER]],10),"")</f>
        <v>5798.71</v>
      </c>
      <c r="AI404" s="39" cm="1">
        <f t="array" ref="AI404">IFERROR(INDEX(DaybyDay[],DaybyDay[[#This Row],[FORM_MATCH_HELPER]],12),"")</f>
        <v>1141.25</v>
      </c>
      <c r="AJ404" s="32">
        <f>IFERROR(DaybyDay[[#This Row],[Serv-LY-RU]]+DaybyDay[[#This Row],[Ret-LY-RU]],"")</f>
        <v>0</v>
      </c>
      <c r="AK4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4" s="77"/>
      <c r="AM404" s="40" t="str">
        <f>IF(DaybyDay[[#This Row],[Admin Hours]]&gt;0,DaybyDay[[#This Row],[Admin Hours]]*$AM$2+$AM$3,"")</f>
        <v/>
      </c>
      <c r="AN404" s="40">
        <f>SUMIFS(DaybyDay[Est-Admin-Payroll],DaybyDay[Date],"&gt;="&amp;$C$5,DaybyDay[RowYear],"&gt;="&amp;$C$4,DaybyDay[Date],"&lt;="&amp;DaybyDay[[#This Row],[Date]])</f>
        <v>0</v>
      </c>
      <c r="AO404" s="41" t="str">
        <f>IF(AND(DaybyDay[[#This Row],[_Space]],ISNUMBER(DaybyDay[[#This Row],[Admin Hours]])),DaybyDay[[#This Row],[Est-Admin-Payroll]]/(DaybyDay[[#This Row],[Service-Actuals]]+DaybyDay[[#This Row],[Retail-Actuals]]),"")</f>
        <v/>
      </c>
      <c r="AP404" s="41" t="e">
        <f>DaybyDay[[#This Row],[Estimated-Payroll-Rollup]]/DaybyDay[[#This Row],[Simple-Forecast]]</f>
        <v>#DIV/0!</v>
      </c>
      <c r="AQ4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4" s="77"/>
      <c r="AS404" s="40" t="str">
        <f>IF(DaybyDay[[#This Row],[Retail Hours]]&gt;0,DaybyDay[[#This Row],[Retail Hours]]*$AS$2,"")</f>
        <v/>
      </c>
      <c r="AT404" s="40">
        <f>SUMIFS(DaybyDay[Est-Retail-Payroll],DaybyDay[Date],"&gt;="&amp;$C$5,DaybyDay[RowYear],"&gt;="&amp;$C$4,DaybyDay[Date],"&lt;="&amp;DaybyDay[[#This Row],[Date]])</f>
        <v>0</v>
      </c>
      <c r="AU404" s="82" t="str">
        <f>IF(AND(DaybyDay[[#This Row],[_Space]],ISNUMBER(DaybyDay[[#This Row],[Retail Hours]])),DaybyDay[[#This Row],[Est-Retail-Payroll]]/(DaybyDay[[#This Row],[Retail-Actuals]]),"")</f>
        <v/>
      </c>
      <c r="AV404" s="82" t="e">
        <f>DaybyDay[[#This Row],[Est-Retail-PayrollRU]]/DaybyDay[[#This Row],[Simple-Forecast-Retail]]</f>
        <v>#DIV/0!</v>
      </c>
      <c r="AW404" s="8"/>
    </row>
    <row r="405" spans="3:49" hidden="1" x14ac:dyDescent="0.25">
      <c r="C405" s="26" t="str">
        <f>Tools!$C$1</f>
        <v>Example</v>
      </c>
      <c r="D405" s="27" t="s">
        <v>68</v>
      </c>
      <c r="E405" s="28">
        <v>2018</v>
      </c>
      <c r="F405" s="28">
        <f>MATCH(DaybyDay[[#This Row],[RowMonth]],Table3[SummaryMonth],0)</f>
        <v>1</v>
      </c>
      <c r="G405" s="29">
        <f>MATCH(DaybyDay[[#This Row],[LY-Date]],DaybyDay[Date],0)</f>
        <v>35</v>
      </c>
      <c r="H405" s="30">
        <f>WEEKDAY(DaybyDay[[#This Row],[Date]])</f>
        <v>7</v>
      </c>
      <c r="I405" s="31">
        <v>43134</v>
      </c>
      <c r="J405" s="74">
        <v>23</v>
      </c>
      <c r="K405" s="32">
        <f>SUMIFS(BudgetSeasonality[365 Seasonality],BudgetSeasonality[MonthAdjustment],DaybyDay[[#This Row],[Date]])*SUMIFS(Budgets[Service-Budget],Budgets[BudgetMonth],DaybyDay[[#This Row],[RowMonth]],Budgets[BudgetYear],DaybyDay[[#This Row],[RowYear]])</f>
        <v>7419.4699074142491</v>
      </c>
      <c r="L405" s="75">
        <v>6446</v>
      </c>
      <c r="M405" s="32">
        <f>INDEX(BudgetSeasonality[365 Seasonality],MATCH(DaybyDay[[#This Row],[Date]],BudgetSeasonality[MonthAdjustment],0))*SUMIFS(Budgets[Retail-Budget],Budgets[BudgetMonth],DaybyDay[[#This Row],[RowMonth]],Budgets[BudgetYear],DaybyDay[[#This Row],[RowYear]])</f>
        <v>2228.6471257444769</v>
      </c>
      <c r="N405" s="75">
        <v>663.75</v>
      </c>
      <c r="O405" s="33">
        <f>SUMIFS(DaybyDay[Service-Budgets],DaybyDay[Date],"&gt;="&amp;$C$5,DaybyDay[RowYear],"&gt;="&amp;$C$4,DaybyDay[Date],"&lt;="&amp;DaybyDay[[#This Row],[Date]])</f>
        <v>0</v>
      </c>
      <c r="P405" s="33">
        <f>SUMIFS(DaybyDay[Retail-Budgets],DaybyDay[Date],"&gt;="&amp;$C$5,DaybyDay[RowYear],"&gt;="&amp;$C$4,DaybyDay[Date],"&lt;="&amp;DaybyDay[[#This Row],[Date]])</f>
        <v>0</v>
      </c>
      <c r="Q405" s="34">
        <f>SUMIFS(DaybyDay[Service-Actuals],DaybyDay[Date],"&gt;="&amp;$C$5,DaybyDay[RowYear],"&gt;="&amp;$C$4,DaybyDay[Date],"&lt;="&amp;DaybyDay[[#This Row],[Date]])</f>
        <v>0</v>
      </c>
      <c r="R405" s="34">
        <f>SUMIFS(DaybyDay[Retail-Actuals],DaybyDay[Date],"&gt;="&amp;$C$5,DaybyDay[RowYear],"&gt;="&amp;$C$4,DaybyDay[Date],"&lt;="&amp;DaybyDay[[#This Row],[Date]])</f>
        <v>0</v>
      </c>
      <c r="S405" s="35">
        <f>SUMIFS(DaybyDay[Service-LY],DaybyDay[Date],"&gt;="&amp;$C$5,DaybyDay[RowYear],"&gt;="&amp;$C$4,DaybyDay[Date],"&lt;="&amp;DaybyDay[[#This Row],[Date]])</f>
        <v>0</v>
      </c>
      <c r="T405" s="35">
        <f>SUMIFS(DaybyDay[Retail-LY],DaybyDay[Date],"&gt;="&amp;$C$5,DaybyDay[RowYear],"&gt;="&amp;$C$4,DaybyDay[Date],"&lt;="&amp;DaybyDay[[#This Row],[Date]])</f>
        <v>0</v>
      </c>
      <c r="U405" s="32">
        <f>DaybyDay[[#This Row],[Serv-Bud-RU]]+DaybyDay[[#This Row],[Ret-Bud-RU]]</f>
        <v>0</v>
      </c>
      <c r="V405" s="32">
        <f>DaybyDay[[#This Row],[Serv-Act-RU]]+DaybyDay[[#This Row],[Ret-Act-RU]]</f>
        <v>0</v>
      </c>
      <c r="W405" s="36">
        <f>IF(DaybyDay[[#This Row],[_Space]],IFERROR(
((DaybyDay[[#This Row],[Actual-Rollup]]-DaybyDay[[#This Row],[Budget-Rollup]])/DaybyDay[[#This Row],[Budget-Rollup]]),0),"")</f>
        <v>0</v>
      </c>
      <c r="X405" t="b">
        <f>NOT(AND(ISBLANK(DaybyDay[[#This Row],[Appts]]),ISBLANK(DaybyDay[[#This Row],[Service-Actuals]]),ISBLANK(DaybyDay[[#This Row],[Retail-Actuals]])))</f>
        <v>1</v>
      </c>
      <c r="Y405" s="36">
        <f>IF(DaybyDay[[#This Row],[_Space]],IFERROR(
((DaybyDay[[#This Row],[Actual-Rollup]]-DaybyDay[[#This Row],[LY-Rollup]])/DaybyDay[[#This Row],[LY-Rollup]]),0),"")</f>
        <v>0</v>
      </c>
      <c r="Z405"/>
      <c r="AA405" s="37" t="e">
        <f>IF(DaybyDay[[#This Row],[_Space]],DaybyDay[[#This Row],[Ret-Act-RU]]/DaybyDay[[#This Row],[Serv-Act-RU]],"")</f>
        <v>#DIV/0!</v>
      </c>
      <c r="AB405" s="50" t="e">
        <f>IF(DaybyDay[[#This Row],[_Space]],DaybyDay[[#This Row],[RETPEN-Act]]/DaybyDay[[#This Row],[RETPEN-Bud]],"")</f>
        <v>#DIV/0!</v>
      </c>
      <c r="AC405" s="37" t="e">
        <f>IF(DaybyDay[[#This Row],[_Space]],DaybyDay[[#This Row],[Ret-Bud-RU]]/DaybyDay[[#This Row],[Serv-Bud-RU]],"")</f>
        <v>#DIV/0!</v>
      </c>
      <c r="AD405" s="37" t="e">
        <f>IF(DaybyDay[[#This Row],[_Space]],DaybyDay[[#This Row],[Ret-LY-RU]]/DaybyDay[[#This Row],[Serv-LY-RU]],"")</f>
        <v>#DIV/0!</v>
      </c>
      <c r="AE405" s="30">
        <f>WEEKDAY(DaybyDay[[#This Row],[LY-Date]])</f>
        <v>7</v>
      </c>
      <c r="AF405" s="38">
        <f>$E$2+_xlfn.DAYS(DaybyDay[[#This Row],[Date]],minDate)</f>
        <v>42770</v>
      </c>
      <c r="AG405" s="39" cm="1">
        <f t="array" ref="AG405">IFERROR(INDEX(DaybyDay[],DaybyDay[[#This Row],[FORM_MATCH_HELPER]],8),"")</f>
        <v>55</v>
      </c>
      <c r="AH405" s="39" cm="1">
        <f t="array" ref="AH405">IFERROR(INDEX(DaybyDay[],DaybyDay[[#This Row],[FORM_MATCH_HELPER]],10),"")</f>
        <v>10853.75</v>
      </c>
      <c r="AI405" s="39" cm="1">
        <f t="array" ref="AI405">IFERROR(INDEX(DaybyDay[],DaybyDay[[#This Row],[FORM_MATCH_HELPER]],12),"")</f>
        <v>166.5</v>
      </c>
      <c r="AJ405" s="32">
        <f>IFERROR(DaybyDay[[#This Row],[Serv-LY-RU]]+DaybyDay[[#This Row],[Ret-LY-RU]],"")</f>
        <v>0</v>
      </c>
      <c r="AK4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5" s="77"/>
      <c r="AM405" s="40" t="str">
        <f>IF(DaybyDay[[#This Row],[Admin Hours]]&gt;0,DaybyDay[[#This Row],[Admin Hours]]*$AM$2+$AM$3,"")</f>
        <v/>
      </c>
      <c r="AN405" s="40">
        <f>SUMIFS(DaybyDay[Est-Admin-Payroll],DaybyDay[Date],"&gt;="&amp;$C$5,DaybyDay[RowYear],"&gt;="&amp;$C$4,DaybyDay[Date],"&lt;="&amp;DaybyDay[[#This Row],[Date]])</f>
        <v>0</v>
      </c>
      <c r="AO405" s="41" t="str">
        <f>IF(AND(DaybyDay[[#This Row],[_Space]],ISNUMBER(DaybyDay[[#This Row],[Admin Hours]])),DaybyDay[[#This Row],[Est-Admin-Payroll]]/(DaybyDay[[#This Row],[Service-Actuals]]+DaybyDay[[#This Row],[Retail-Actuals]]),"")</f>
        <v/>
      </c>
      <c r="AP405" s="41" t="e">
        <f>DaybyDay[[#This Row],[Estimated-Payroll-Rollup]]/DaybyDay[[#This Row],[Simple-Forecast]]</f>
        <v>#DIV/0!</v>
      </c>
      <c r="AQ4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5" s="77"/>
      <c r="AS405" s="40" t="str">
        <f>IF(DaybyDay[[#This Row],[Retail Hours]]&gt;0,DaybyDay[[#This Row],[Retail Hours]]*$AS$2,"")</f>
        <v/>
      </c>
      <c r="AT405" s="40">
        <f>SUMIFS(DaybyDay[Est-Retail-Payroll],DaybyDay[Date],"&gt;="&amp;$C$5,DaybyDay[RowYear],"&gt;="&amp;$C$4,DaybyDay[Date],"&lt;="&amp;DaybyDay[[#This Row],[Date]])</f>
        <v>0</v>
      </c>
      <c r="AU405" s="82" t="str">
        <f>IF(AND(DaybyDay[[#This Row],[_Space]],ISNUMBER(DaybyDay[[#This Row],[Retail Hours]])),DaybyDay[[#This Row],[Est-Retail-Payroll]]/(DaybyDay[[#This Row],[Retail-Actuals]]),"")</f>
        <v/>
      </c>
      <c r="AV405" s="82" t="e">
        <f>DaybyDay[[#This Row],[Est-Retail-PayrollRU]]/DaybyDay[[#This Row],[Simple-Forecast-Retail]]</f>
        <v>#DIV/0!</v>
      </c>
      <c r="AW405" s="8"/>
    </row>
    <row r="406" spans="3:49" hidden="1" x14ac:dyDescent="0.25">
      <c r="C406" s="26" t="str">
        <f>Tools!$C$1</f>
        <v>Example</v>
      </c>
      <c r="D406" s="27" t="s">
        <v>69</v>
      </c>
      <c r="E406" s="28">
        <v>2018</v>
      </c>
      <c r="F406" s="28">
        <f>MATCH(DaybyDay[[#This Row],[RowMonth]],Table3[SummaryMonth],0)</f>
        <v>2</v>
      </c>
      <c r="G406" s="29">
        <f>MATCH(DaybyDay[[#This Row],[LY-Date]],DaybyDay[Date],0)</f>
        <v>36</v>
      </c>
      <c r="H406" s="30">
        <f>WEEKDAY(DaybyDay[[#This Row],[Date]])</f>
        <v>1</v>
      </c>
      <c r="I406" s="31">
        <v>43135</v>
      </c>
      <c r="J406" s="74">
        <v>34</v>
      </c>
      <c r="K406" s="32">
        <f>SUMIFS(BudgetSeasonality[365 Seasonality],BudgetSeasonality[MonthAdjustment],DaybyDay[[#This Row],[Date]])*SUMIFS(Budgets[Service-Budget],Budgets[BudgetMonth],DaybyDay[[#This Row],[RowMonth]],Budgets[BudgetYear],DaybyDay[[#This Row],[RowYear]])</f>
        <v>5996.7464057888174</v>
      </c>
      <c r="L406" s="75">
        <v>5738</v>
      </c>
      <c r="M406" s="32">
        <f>INDEX(BudgetSeasonality[365 Seasonality],MATCH(DaybyDay[[#This Row],[Date]],BudgetSeasonality[MonthAdjustment],0))*SUMIFS(Budgets[Retail-Budget],Budgets[BudgetMonth],DaybyDay[[#This Row],[RowMonth]],Budgets[BudgetYear],DaybyDay[[#This Row],[RowYear]])</f>
        <v>1801.2936970605624</v>
      </c>
      <c r="N406" s="75">
        <v>262</v>
      </c>
      <c r="O406" s="33">
        <f>SUMIFS(DaybyDay[Service-Budgets],DaybyDay[Date],"&gt;="&amp;$C$5,DaybyDay[RowYear],"&gt;="&amp;$C$4,DaybyDay[Date],"&lt;="&amp;DaybyDay[[#This Row],[Date]])</f>
        <v>0</v>
      </c>
      <c r="P406" s="33">
        <f>SUMIFS(DaybyDay[Retail-Budgets],DaybyDay[Date],"&gt;="&amp;$C$5,DaybyDay[RowYear],"&gt;="&amp;$C$4,DaybyDay[Date],"&lt;="&amp;DaybyDay[[#This Row],[Date]])</f>
        <v>0</v>
      </c>
      <c r="Q406" s="34">
        <f>SUMIFS(DaybyDay[Service-Actuals],DaybyDay[Date],"&gt;="&amp;$C$5,DaybyDay[RowYear],"&gt;="&amp;$C$4,DaybyDay[Date],"&lt;="&amp;DaybyDay[[#This Row],[Date]])</f>
        <v>0</v>
      </c>
      <c r="R406" s="34">
        <f>SUMIFS(DaybyDay[Retail-Actuals],DaybyDay[Date],"&gt;="&amp;$C$5,DaybyDay[RowYear],"&gt;="&amp;$C$4,DaybyDay[Date],"&lt;="&amp;DaybyDay[[#This Row],[Date]])</f>
        <v>0</v>
      </c>
      <c r="S406" s="35">
        <f>SUMIFS(DaybyDay[Service-LY],DaybyDay[Date],"&gt;="&amp;$C$5,DaybyDay[RowYear],"&gt;="&amp;$C$4,DaybyDay[Date],"&lt;="&amp;DaybyDay[[#This Row],[Date]])</f>
        <v>0</v>
      </c>
      <c r="T406" s="35">
        <f>SUMIFS(DaybyDay[Retail-LY],DaybyDay[Date],"&gt;="&amp;$C$5,DaybyDay[RowYear],"&gt;="&amp;$C$4,DaybyDay[Date],"&lt;="&amp;DaybyDay[[#This Row],[Date]])</f>
        <v>0</v>
      </c>
      <c r="U406" s="32">
        <f>DaybyDay[[#This Row],[Serv-Bud-RU]]+DaybyDay[[#This Row],[Ret-Bud-RU]]</f>
        <v>0</v>
      </c>
      <c r="V406" s="32">
        <f>DaybyDay[[#This Row],[Serv-Act-RU]]+DaybyDay[[#This Row],[Ret-Act-RU]]</f>
        <v>0</v>
      </c>
      <c r="W406" s="36">
        <f>IF(DaybyDay[[#This Row],[_Space]],IFERROR(
((DaybyDay[[#This Row],[Actual-Rollup]]-DaybyDay[[#This Row],[Budget-Rollup]])/DaybyDay[[#This Row],[Budget-Rollup]]),0),"")</f>
        <v>0</v>
      </c>
      <c r="X406" t="b">
        <f>NOT(AND(ISBLANK(DaybyDay[[#This Row],[Appts]]),ISBLANK(DaybyDay[[#This Row],[Service-Actuals]]),ISBLANK(DaybyDay[[#This Row],[Retail-Actuals]])))</f>
        <v>1</v>
      </c>
      <c r="Y406" s="36">
        <f>IF(DaybyDay[[#This Row],[_Space]],IFERROR(
((DaybyDay[[#This Row],[Actual-Rollup]]-DaybyDay[[#This Row],[LY-Rollup]])/DaybyDay[[#This Row],[LY-Rollup]]),0),"")</f>
        <v>0</v>
      </c>
      <c r="Z406"/>
      <c r="AA406" s="37" t="e">
        <f>IF(DaybyDay[[#This Row],[_Space]],DaybyDay[[#This Row],[Ret-Act-RU]]/DaybyDay[[#This Row],[Serv-Act-RU]],"")</f>
        <v>#DIV/0!</v>
      </c>
      <c r="AB406" s="50" t="e">
        <f>IF(DaybyDay[[#This Row],[_Space]],DaybyDay[[#This Row],[RETPEN-Act]]/DaybyDay[[#This Row],[RETPEN-Bud]],"")</f>
        <v>#DIV/0!</v>
      </c>
      <c r="AC406" s="37" t="e">
        <f>IF(DaybyDay[[#This Row],[_Space]],DaybyDay[[#This Row],[Ret-Bud-RU]]/DaybyDay[[#This Row],[Serv-Bud-RU]],"")</f>
        <v>#DIV/0!</v>
      </c>
      <c r="AD406" s="37" t="e">
        <f>IF(DaybyDay[[#This Row],[_Space]],DaybyDay[[#This Row],[Ret-LY-RU]]/DaybyDay[[#This Row],[Serv-LY-RU]],"")</f>
        <v>#DIV/0!</v>
      </c>
      <c r="AE406" s="30">
        <f>WEEKDAY(DaybyDay[[#This Row],[LY-Date]])</f>
        <v>1</v>
      </c>
      <c r="AF406" s="38">
        <f>$E$2+_xlfn.DAYS(DaybyDay[[#This Row],[Date]],minDate)</f>
        <v>42771</v>
      </c>
      <c r="AG406" s="39" cm="1">
        <f t="array" ref="AG406">IFERROR(INDEX(DaybyDay[],DaybyDay[[#This Row],[FORM_MATCH_HELPER]],8),"")</f>
        <v>42</v>
      </c>
      <c r="AH406" s="39" cm="1">
        <f t="array" ref="AH406">IFERROR(INDEX(DaybyDay[],DaybyDay[[#This Row],[FORM_MATCH_HELPER]],10),"")</f>
        <v>5581.55</v>
      </c>
      <c r="AI406" s="39" cm="1">
        <f t="array" ref="AI406">IFERROR(INDEX(DaybyDay[],DaybyDay[[#This Row],[FORM_MATCH_HELPER]],12),"")</f>
        <v>647.6</v>
      </c>
      <c r="AJ406" s="32">
        <f>IFERROR(DaybyDay[[#This Row],[Serv-LY-RU]]+DaybyDay[[#This Row],[Ret-LY-RU]],"")</f>
        <v>0</v>
      </c>
      <c r="AK4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6" s="77"/>
      <c r="AM406" s="40" t="str">
        <f>IF(DaybyDay[[#This Row],[Admin Hours]]&gt;0,DaybyDay[[#This Row],[Admin Hours]]*$AM$2+$AM$3,"")</f>
        <v/>
      </c>
      <c r="AN406" s="40">
        <f>SUMIFS(DaybyDay[Est-Admin-Payroll],DaybyDay[Date],"&gt;="&amp;$C$5,DaybyDay[RowYear],"&gt;="&amp;$C$4,DaybyDay[Date],"&lt;="&amp;DaybyDay[[#This Row],[Date]])</f>
        <v>0</v>
      </c>
      <c r="AO406" s="41" t="str">
        <f>IF(AND(DaybyDay[[#This Row],[_Space]],ISNUMBER(DaybyDay[[#This Row],[Admin Hours]])),DaybyDay[[#This Row],[Est-Admin-Payroll]]/(DaybyDay[[#This Row],[Service-Actuals]]+DaybyDay[[#This Row],[Retail-Actuals]]),"")</f>
        <v/>
      </c>
      <c r="AP406" s="41" t="e">
        <f>DaybyDay[[#This Row],[Estimated-Payroll-Rollup]]/DaybyDay[[#This Row],[Simple-Forecast]]</f>
        <v>#DIV/0!</v>
      </c>
      <c r="AQ4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6" s="77"/>
      <c r="AS406" s="40" t="str">
        <f>IF(DaybyDay[[#This Row],[Retail Hours]]&gt;0,DaybyDay[[#This Row],[Retail Hours]]*$AS$2,"")</f>
        <v/>
      </c>
      <c r="AT406" s="40">
        <f>SUMIFS(DaybyDay[Est-Retail-Payroll],DaybyDay[Date],"&gt;="&amp;$C$5,DaybyDay[RowYear],"&gt;="&amp;$C$4,DaybyDay[Date],"&lt;="&amp;DaybyDay[[#This Row],[Date]])</f>
        <v>0</v>
      </c>
      <c r="AU406" s="82" t="str">
        <f>IF(AND(DaybyDay[[#This Row],[_Space]],ISNUMBER(DaybyDay[[#This Row],[Retail Hours]])),DaybyDay[[#This Row],[Est-Retail-Payroll]]/(DaybyDay[[#This Row],[Retail-Actuals]]),"")</f>
        <v/>
      </c>
      <c r="AV406" s="82" t="e">
        <f>DaybyDay[[#This Row],[Est-Retail-PayrollRU]]/DaybyDay[[#This Row],[Simple-Forecast-Retail]]</f>
        <v>#DIV/0!</v>
      </c>
      <c r="AW406" s="8"/>
    </row>
    <row r="407" spans="3:49" hidden="1" x14ac:dyDescent="0.25">
      <c r="C407" s="26" t="str">
        <f>Tools!$C$1</f>
        <v>Example</v>
      </c>
      <c r="D407" s="27" t="s">
        <v>69</v>
      </c>
      <c r="E407" s="28">
        <v>2018</v>
      </c>
      <c r="F407" s="28">
        <f>MATCH(DaybyDay[[#This Row],[RowMonth]],Table3[SummaryMonth],0)</f>
        <v>2</v>
      </c>
      <c r="G407" s="29">
        <f>MATCH(DaybyDay[[#This Row],[LY-Date]],DaybyDay[Date],0)</f>
        <v>37</v>
      </c>
      <c r="H407" s="30">
        <f>WEEKDAY(DaybyDay[[#This Row],[Date]])</f>
        <v>2</v>
      </c>
      <c r="I407" s="31">
        <v>43136</v>
      </c>
      <c r="J407" s="74">
        <v>20</v>
      </c>
      <c r="K407" s="32">
        <f>SUMIFS(BudgetSeasonality[365 Seasonality],BudgetSeasonality[MonthAdjustment],DaybyDay[[#This Row],[Date]])*SUMIFS(Budgets[Service-Budget],Budgets[BudgetMonth],DaybyDay[[#This Row],[RowMonth]],Budgets[BudgetYear],DaybyDay[[#This Row],[RowYear]])</f>
        <v>3860.0022395087954</v>
      </c>
      <c r="L407" s="75">
        <v>3584</v>
      </c>
      <c r="M407" s="32">
        <f>INDEX(BudgetSeasonality[365 Seasonality],MATCH(DaybyDay[[#This Row],[Date]],BudgetSeasonality[MonthAdjustment],0))*SUMIFS(Budgets[Retail-Budget],Budgets[BudgetMonth],DaybyDay[[#This Row],[RowMonth]],Budgets[BudgetYear],DaybyDay[[#This Row],[RowYear]])</f>
        <v>1159.4616870833383</v>
      </c>
      <c r="N407" s="75">
        <v>1561.5</v>
      </c>
      <c r="O407" s="33">
        <f>SUMIFS(DaybyDay[Service-Budgets],DaybyDay[Date],"&gt;="&amp;$C$5,DaybyDay[RowYear],"&gt;="&amp;$C$4,DaybyDay[Date],"&lt;="&amp;DaybyDay[[#This Row],[Date]])</f>
        <v>0</v>
      </c>
      <c r="P407" s="33">
        <f>SUMIFS(DaybyDay[Retail-Budgets],DaybyDay[Date],"&gt;="&amp;$C$5,DaybyDay[RowYear],"&gt;="&amp;$C$4,DaybyDay[Date],"&lt;="&amp;DaybyDay[[#This Row],[Date]])</f>
        <v>0</v>
      </c>
      <c r="Q407" s="34">
        <f>SUMIFS(DaybyDay[Service-Actuals],DaybyDay[Date],"&gt;="&amp;$C$5,DaybyDay[RowYear],"&gt;="&amp;$C$4,DaybyDay[Date],"&lt;="&amp;DaybyDay[[#This Row],[Date]])</f>
        <v>0</v>
      </c>
      <c r="R407" s="34">
        <f>SUMIFS(DaybyDay[Retail-Actuals],DaybyDay[Date],"&gt;="&amp;$C$5,DaybyDay[RowYear],"&gt;="&amp;$C$4,DaybyDay[Date],"&lt;="&amp;DaybyDay[[#This Row],[Date]])</f>
        <v>0</v>
      </c>
      <c r="S407" s="35">
        <f>SUMIFS(DaybyDay[Service-LY],DaybyDay[Date],"&gt;="&amp;$C$5,DaybyDay[RowYear],"&gt;="&amp;$C$4,DaybyDay[Date],"&lt;="&amp;DaybyDay[[#This Row],[Date]])</f>
        <v>0</v>
      </c>
      <c r="T407" s="35">
        <f>SUMIFS(DaybyDay[Retail-LY],DaybyDay[Date],"&gt;="&amp;$C$5,DaybyDay[RowYear],"&gt;="&amp;$C$4,DaybyDay[Date],"&lt;="&amp;DaybyDay[[#This Row],[Date]])</f>
        <v>0</v>
      </c>
      <c r="U407" s="32">
        <f>DaybyDay[[#This Row],[Serv-Bud-RU]]+DaybyDay[[#This Row],[Ret-Bud-RU]]</f>
        <v>0</v>
      </c>
      <c r="V407" s="32">
        <f>DaybyDay[[#This Row],[Serv-Act-RU]]+DaybyDay[[#This Row],[Ret-Act-RU]]</f>
        <v>0</v>
      </c>
      <c r="W407" s="36">
        <f>IF(DaybyDay[[#This Row],[_Space]],IFERROR(
((DaybyDay[[#This Row],[Actual-Rollup]]-DaybyDay[[#This Row],[Budget-Rollup]])/DaybyDay[[#This Row],[Budget-Rollup]]),0),"")</f>
        <v>0</v>
      </c>
      <c r="X407" t="b">
        <f>NOT(AND(ISBLANK(DaybyDay[[#This Row],[Appts]]),ISBLANK(DaybyDay[[#This Row],[Service-Actuals]]),ISBLANK(DaybyDay[[#This Row],[Retail-Actuals]])))</f>
        <v>1</v>
      </c>
      <c r="Y407" s="36">
        <f>IF(DaybyDay[[#This Row],[_Space]],IFERROR(
((DaybyDay[[#This Row],[Actual-Rollup]]-DaybyDay[[#This Row],[LY-Rollup]])/DaybyDay[[#This Row],[LY-Rollup]]),0),"")</f>
        <v>0</v>
      </c>
      <c r="Z407"/>
      <c r="AA407" s="37" t="e">
        <f>IF(DaybyDay[[#This Row],[_Space]],DaybyDay[[#This Row],[Ret-Act-RU]]/DaybyDay[[#This Row],[Serv-Act-RU]],"")</f>
        <v>#DIV/0!</v>
      </c>
      <c r="AB407" s="50" t="e">
        <f>IF(DaybyDay[[#This Row],[_Space]],DaybyDay[[#This Row],[RETPEN-Act]]/DaybyDay[[#This Row],[RETPEN-Bud]],"")</f>
        <v>#DIV/0!</v>
      </c>
      <c r="AC407" s="37" t="e">
        <f>IF(DaybyDay[[#This Row],[_Space]],DaybyDay[[#This Row],[Ret-Bud-RU]]/DaybyDay[[#This Row],[Serv-Bud-RU]],"")</f>
        <v>#DIV/0!</v>
      </c>
      <c r="AD407" s="37" t="e">
        <f>IF(DaybyDay[[#This Row],[_Space]],DaybyDay[[#This Row],[Ret-LY-RU]]/DaybyDay[[#This Row],[Serv-LY-RU]],"")</f>
        <v>#DIV/0!</v>
      </c>
      <c r="AE407" s="30">
        <f>WEEKDAY(DaybyDay[[#This Row],[LY-Date]])</f>
        <v>2</v>
      </c>
      <c r="AF407" s="38">
        <f>$E$2+_xlfn.DAYS(DaybyDay[[#This Row],[Date]],minDate)</f>
        <v>42772</v>
      </c>
      <c r="AG407" s="39" cm="1">
        <f t="array" ref="AG407">IFERROR(INDEX(DaybyDay[],DaybyDay[[#This Row],[FORM_MATCH_HELPER]],8),"")</f>
        <v>26</v>
      </c>
      <c r="AH407" s="39" cm="1">
        <f t="array" ref="AH407">IFERROR(INDEX(DaybyDay[],DaybyDay[[#This Row],[FORM_MATCH_HELPER]],10),"")</f>
        <v>4465.13</v>
      </c>
      <c r="AI407" s="39" cm="1">
        <f t="array" ref="AI407">IFERROR(INDEX(DaybyDay[],DaybyDay[[#This Row],[FORM_MATCH_HELPER]],12),"")</f>
        <v>415.8</v>
      </c>
      <c r="AJ407" s="32">
        <f>IFERROR(DaybyDay[[#This Row],[Serv-LY-RU]]+DaybyDay[[#This Row],[Ret-LY-RU]],"")</f>
        <v>0</v>
      </c>
      <c r="AK4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7" s="77"/>
      <c r="AM407" s="40" t="str">
        <f>IF(DaybyDay[[#This Row],[Admin Hours]]&gt;0,DaybyDay[[#This Row],[Admin Hours]]*$AM$2+$AM$3,"")</f>
        <v/>
      </c>
      <c r="AN407" s="40">
        <f>SUMIFS(DaybyDay[Est-Admin-Payroll],DaybyDay[Date],"&gt;="&amp;$C$5,DaybyDay[RowYear],"&gt;="&amp;$C$4,DaybyDay[Date],"&lt;="&amp;DaybyDay[[#This Row],[Date]])</f>
        <v>0</v>
      </c>
      <c r="AO407" s="41" t="str">
        <f>IF(AND(DaybyDay[[#This Row],[_Space]],ISNUMBER(DaybyDay[[#This Row],[Admin Hours]])),DaybyDay[[#This Row],[Est-Admin-Payroll]]/(DaybyDay[[#This Row],[Service-Actuals]]+DaybyDay[[#This Row],[Retail-Actuals]]),"")</f>
        <v/>
      </c>
      <c r="AP407" s="41" t="e">
        <f>DaybyDay[[#This Row],[Estimated-Payroll-Rollup]]/DaybyDay[[#This Row],[Simple-Forecast]]</f>
        <v>#DIV/0!</v>
      </c>
      <c r="AQ4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7" s="77"/>
      <c r="AS407" s="40" t="str">
        <f>IF(DaybyDay[[#This Row],[Retail Hours]]&gt;0,DaybyDay[[#This Row],[Retail Hours]]*$AS$2,"")</f>
        <v/>
      </c>
      <c r="AT407" s="40">
        <f>SUMIFS(DaybyDay[Est-Retail-Payroll],DaybyDay[Date],"&gt;="&amp;$C$5,DaybyDay[RowYear],"&gt;="&amp;$C$4,DaybyDay[Date],"&lt;="&amp;DaybyDay[[#This Row],[Date]])</f>
        <v>0</v>
      </c>
      <c r="AU407" s="82" t="str">
        <f>IF(AND(DaybyDay[[#This Row],[_Space]],ISNUMBER(DaybyDay[[#This Row],[Retail Hours]])),DaybyDay[[#This Row],[Est-Retail-Payroll]]/(DaybyDay[[#This Row],[Retail-Actuals]]),"")</f>
        <v/>
      </c>
      <c r="AV407" s="82" t="e">
        <f>DaybyDay[[#This Row],[Est-Retail-PayrollRU]]/DaybyDay[[#This Row],[Simple-Forecast-Retail]]</f>
        <v>#DIV/0!</v>
      </c>
      <c r="AW407" s="8"/>
    </row>
    <row r="408" spans="3:49" hidden="1" x14ac:dyDescent="0.25">
      <c r="C408" s="26" t="str">
        <f>Tools!$C$1</f>
        <v>Example</v>
      </c>
      <c r="D408" s="27" t="s">
        <v>69</v>
      </c>
      <c r="E408" s="28">
        <v>2018</v>
      </c>
      <c r="F408" s="28">
        <f>MATCH(DaybyDay[[#This Row],[RowMonth]],Table3[SummaryMonth],0)</f>
        <v>2</v>
      </c>
      <c r="G408" s="29">
        <f>MATCH(DaybyDay[[#This Row],[LY-Date]],DaybyDay[Date],0)</f>
        <v>38</v>
      </c>
      <c r="H408" s="30">
        <f>WEEKDAY(DaybyDay[[#This Row],[Date]])</f>
        <v>3</v>
      </c>
      <c r="I408" s="31">
        <v>43137</v>
      </c>
      <c r="J408" s="74">
        <v>13</v>
      </c>
      <c r="K408" s="32">
        <f>SUMIFS(BudgetSeasonality[365 Seasonality],BudgetSeasonality[MonthAdjustment],DaybyDay[[#This Row],[Date]])*SUMIFS(Budgets[Service-Budget],Budgets[BudgetMonth],DaybyDay[[#This Row],[RowMonth]],Budgets[BudgetYear],DaybyDay[[#This Row],[RowYear]])</f>
        <v>3974.3942913233877</v>
      </c>
      <c r="L408" s="75">
        <v>2437</v>
      </c>
      <c r="M408" s="32">
        <f>INDEX(BudgetSeasonality[365 Seasonality],MATCH(DaybyDay[[#This Row],[Date]],BudgetSeasonality[MonthAdjustment],0))*SUMIFS(Budgets[Retail-Budget],Budgets[BudgetMonth],DaybyDay[[#This Row],[RowMonth]],Budgets[BudgetYear],DaybyDay[[#This Row],[RowYear]])</f>
        <v>1193.8226001492205</v>
      </c>
      <c r="N408" s="75">
        <v>54</v>
      </c>
      <c r="O408" s="33">
        <f>SUMIFS(DaybyDay[Service-Budgets],DaybyDay[Date],"&gt;="&amp;$C$5,DaybyDay[RowYear],"&gt;="&amp;$C$4,DaybyDay[Date],"&lt;="&amp;DaybyDay[[#This Row],[Date]])</f>
        <v>0</v>
      </c>
      <c r="P408" s="33">
        <f>SUMIFS(DaybyDay[Retail-Budgets],DaybyDay[Date],"&gt;="&amp;$C$5,DaybyDay[RowYear],"&gt;="&amp;$C$4,DaybyDay[Date],"&lt;="&amp;DaybyDay[[#This Row],[Date]])</f>
        <v>0</v>
      </c>
      <c r="Q408" s="34">
        <f>SUMIFS(DaybyDay[Service-Actuals],DaybyDay[Date],"&gt;="&amp;$C$5,DaybyDay[RowYear],"&gt;="&amp;$C$4,DaybyDay[Date],"&lt;="&amp;DaybyDay[[#This Row],[Date]])</f>
        <v>0</v>
      </c>
      <c r="R408" s="34">
        <f>SUMIFS(DaybyDay[Retail-Actuals],DaybyDay[Date],"&gt;="&amp;$C$5,DaybyDay[RowYear],"&gt;="&amp;$C$4,DaybyDay[Date],"&lt;="&amp;DaybyDay[[#This Row],[Date]])</f>
        <v>0</v>
      </c>
      <c r="S408" s="35">
        <f>SUMIFS(DaybyDay[Service-LY],DaybyDay[Date],"&gt;="&amp;$C$5,DaybyDay[RowYear],"&gt;="&amp;$C$4,DaybyDay[Date],"&lt;="&amp;DaybyDay[[#This Row],[Date]])</f>
        <v>0</v>
      </c>
      <c r="T408" s="35">
        <f>SUMIFS(DaybyDay[Retail-LY],DaybyDay[Date],"&gt;="&amp;$C$5,DaybyDay[RowYear],"&gt;="&amp;$C$4,DaybyDay[Date],"&lt;="&amp;DaybyDay[[#This Row],[Date]])</f>
        <v>0</v>
      </c>
      <c r="U408" s="32">
        <f>DaybyDay[[#This Row],[Serv-Bud-RU]]+DaybyDay[[#This Row],[Ret-Bud-RU]]</f>
        <v>0</v>
      </c>
      <c r="V408" s="32">
        <f>DaybyDay[[#This Row],[Serv-Act-RU]]+DaybyDay[[#This Row],[Ret-Act-RU]]</f>
        <v>0</v>
      </c>
      <c r="W408" s="36">
        <f>IF(DaybyDay[[#This Row],[_Space]],IFERROR(
((DaybyDay[[#This Row],[Actual-Rollup]]-DaybyDay[[#This Row],[Budget-Rollup]])/DaybyDay[[#This Row],[Budget-Rollup]]),0),"")</f>
        <v>0</v>
      </c>
      <c r="X408" t="b">
        <f>NOT(AND(ISBLANK(DaybyDay[[#This Row],[Appts]]),ISBLANK(DaybyDay[[#This Row],[Service-Actuals]]),ISBLANK(DaybyDay[[#This Row],[Retail-Actuals]])))</f>
        <v>1</v>
      </c>
      <c r="Y408" s="36">
        <f>IF(DaybyDay[[#This Row],[_Space]],IFERROR(
((DaybyDay[[#This Row],[Actual-Rollup]]-DaybyDay[[#This Row],[LY-Rollup]])/DaybyDay[[#This Row],[LY-Rollup]]),0),"")</f>
        <v>0</v>
      </c>
      <c r="Z408"/>
      <c r="AA408" s="37" t="e">
        <f>IF(DaybyDay[[#This Row],[_Space]],DaybyDay[[#This Row],[Ret-Act-RU]]/DaybyDay[[#This Row],[Serv-Act-RU]],"")</f>
        <v>#DIV/0!</v>
      </c>
      <c r="AB408" s="50" t="e">
        <f>IF(DaybyDay[[#This Row],[_Space]],DaybyDay[[#This Row],[RETPEN-Act]]/DaybyDay[[#This Row],[RETPEN-Bud]],"")</f>
        <v>#DIV/0!</v>
      </c>
      <c r="AC408" s="37" t="e">
        <f>IF(DaybyDay[[#This Row],[_Space]],DaybyDay[[#This Row],[Ret-Bud-RU]]/DaybyDay[[#This Row],[Serv-Bud-RU]],"")</f>
        <v>#DIV/0!</v>
      </c>
      <c r="AD408" s="37" t="e">
        <f>IF(DaybyDay[[#This Row],[_Space]],DaybyDay[[#This Row],[Ret-LY-RU]]/DaybyDay[[#This Row],[Serv-LY-RU]],"")</f>
        <v>#DIV/0!</v>
      </c>
      <c r="AE408" s="30">
        <f>WEEKDAY(DaybyDay[[#This Row],[LY-Date]])</f>
        <v>3</v>
      </c>
      <c r="AF408" s="38">
        <f>$E$2+_xlfn.DAYS(DaybyDay[[#This Row],[Date]],minDate)</f>
        <v>42773</v>
      </c>
      <c r="AG408" s="39" cm="1">
        <f t="array" ref="AG408">IFERROR(INDEX(DaybyDay[],DaybyDay[[#This Row],[FORM_MATCH_HELPER]],8),"")</f>
        <v>39</v>
      </c>
      <c r="AH408" s="39" cm="1">
        <f t="array" ref="AH408">IFERROR(INDEX(DaybyDay[],DaybyDay[[#This Row],[FORM_MATCH_HELPER]],10),"")</f>
        <v>6979.91</v>
      </c>
      <c r="AI408" s="39" cm="1">
        <f t="array" ref="AI408">IFERROR(INDEX(DaybyDay[],DaybyDay[[#This Row],[FORM_MATCH_HELPER]],12),"")</f>
        <v>1950.04</v>
      </c>
      <c r="AJ408" s="32">
        <f>IFERROR(DaybyDay[[#This Row],[Serv-LY-RU]]+DaybyDay[[#This Row],[Ret-LY-RU]],"")</f>
        <v>0</v>
      </c>
      <c r="AK4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8" s="77"/>
      <c r="AM408" s="40" t="str">
        <f>IF(DaybyDay[[#This Row],[Admin Hours]]&gt;0,DaybyDay[[#This Row],[Admin Hours]]*$AM$2+$AM$3,"")</f>
        <v/>
      </c>
      <c r="AN408" s="40">
        <f>SUMIFS(DaybyDay[Est-Admin-Payroll],DaybyDay[Date],"&gt;="&amp;$C$5,DaybyDay[RowYear],"&gt;="&amp;$C$4,DaybyDay[Date],"&lt;="&amp;DaybyDay[[#This Row],[Date]])</f>
        <v>0</v>
      </c>
      <c r="AO408" s="41" t="str">
        <f>IF(AND(DaybyDay[[#This Row],[_Space]],ISNUMBER(DaybyDay[[#This Row],[Admin Hours]])),DaybyDay[[#This Row],[Est-Admin-Payroll]]/(DaybyDay[[#This Row],[Service-Actuals]]+DaybyDay[[#This Row],[Retail-Actuals]]),"")</f>
        <v/>
      </c>
      <c r="AP408" s="41" t="e">
        <f>DaybyDay[[#This Row],[Estimated-Payroll-Rollup]]/DaybyDay[[#This Row],[Simple-Forecast]]</f>
        <v>#DIV/0!</v>
      </c>
      <c r="AQ4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8" s="77"/>
      <c r="AS408" s="40" t="str">
        <f>IF(DaybyDay[[#This Row],[Retail Hours]]&gt;0,DaybyDay[[#This Row],[Retail Hours]]*$AS$2,"")</f>
        <v/>
      </c>
      <c r="AT408" s="40">
        <f>SUMIFS(DaybyDay[Est-Retail-Payroll],DaybyDay[Date],"&gt;="&amp;$C$5,DaybyDay[RowYear],"&gt;="&amp;$C$4,DaybyDay[Date],"&lt;="&amp;DaybyDay[[#This Row],[Date]])</f>
        <v>0</v>
      </c>
      <c r="AU408" s="82" t="str">
        <f>IF(AND(DaybyDay[[#This Row],[_Space]],ISNUMBER(DaybyDay[[#This Row],[Retail Hours]])),DaybyDay[[#This Row],[Est-Retail-Payroll]]/(DaybyDay[[#This Row],[Retail-Actuals]]),"")</f>
        <v/>
      </c>
      <c r="AV408" s="82" t="e">
        <f>DaybyDay[[#This Row],[Est-Retail-PayrollRU]]/DaybyDay[[#This Row],[Simple-Forecast-Retail]]</f>
        <v>#DIV/0!</v>
      </c>
      <c r="AW408" s="8"/>
    </row>
    <row r="409" spans="3:49" hidden="1" x14ac:dyDescent="0.25">
      <c r="C409" s="26" t="str">
        <f>Tools!$C$1</f>
        <v>Example</v>
      </c>
      <c r="D409" s="27" t="s">
        <v>69</v>
      </c>
      <c r="E409" s="28">
        <v>2018</v>
      </c>
      <c r="F409" s="28">
        <f>MATCH(DaybyDay[[#This Row],[RowMonth]],Table3[SummaryMonth],0)</f>
        <v>2</v>
      </c>
      <c r="G409" s="29">
        <f>MATCH(DaybyDay[[#This Row],[LY-Date]],DaybyDay[Date],0)</f>
        <v>39</v>
      </c>
      <c r="H409" s="30">
        <f>WEEKDAY(DaybyDay[[#This Row],[Date]])</f>
        <v>4</v>
      </c>
      <c r="I409" s="31">
        <v>43138</v>
      </c>
      <c r="J409" s="74">
        <v>19</v>
      </c>
      <c r="K409" s="32">
        <f>SUMIFS(BudgetSeasonality[365 Seasonality],BudgetSeasonality[MonthAdjustment],DaybyDay[[#This Row],[Date]])*SUMIFS(Budgets[Service-Budget],Budgets[BudgetMonth],DaybyDay[[#This Row],[RowMonth]],Budgets[BudgetYear],DaybyDay[[#This Row],[RowYear]])</f>
        <v>4477.4495217852909</v>
      </c>
      <c r="L409" s="75">
        <v>3654</v>
      </c>
      <c r="M409" s="32">
        <f>INDEX(BudgetSeasonality[365 Seasonality],MATCH(DaybyDay[[#This Row],[Date]],BudgetSeasonality[MonthAdjustment],0))*SUMIFS(Budgets[Retail-Budget],Budgets[BudgetMonth],DaybyDay[[#This Row],[RowMonth]],Budgets[BudgetYear],DaybyDay[[#This Row],[RowYear]])</f>
        <v>1344.9295762637421</v>
      </c>
      <c r="N409" s="75">
        <v>1182.5</v>
      </c>
      <c r="O409" s="33">
        <f>SUMIFS(DaybyDay[Service-Budgets],DaybyDay[Date],"&gt;="&amp;$C$5,DaybyDay[RowYear],"&gt;="&amp;$C$4,DaybyDay[Date],"&lt;="&amp;DaybyDay[[#This Row],[Date]])</f>
        <v>0</v>
      </c>
      <c r="P409" s="33">
        <f>SUMIFS(DaybyDay[Retail-Budgets],DaybyDay[Date],"&gt;="&amp;$C$5,DaybyDay[RowYear],"&gt;="&amp;$C$4,DaybyDay[Date],"&lt;="&amp;DaybyDay[[#This Row],[Date]])</f>
        <v>0</v>
      </c>
      <c r="Q409" s="34">
        <f>SUMIFS(DaybyDay[Service-Actuals],DaybyDay[Date],"&gt;="&amp;$C$5,DaybyDay[RowYear],"&gt;="&amp;$C$4,DaybyDay[Date],"&lt;="&amp;DaybyDay[[#This Row],[Date]])</f>
        <v>0</v>
      </c>
      <c r="R409" s="34">
        <f>SUMIFS(DaybyDay[Retail-Actuals],DaybyDay[Date],"&gt;="&amp;$C$5,DaybyDay[RowYear],"&gt;="&amp;$C$4,DaybyDay[Date],"&lt;="&amp;DaybyDay[[#This Row],[Date]])</f>
        <v>0</v>
      </c>
      <c r="S409" s="35">
        <f>SUMIFS(DaybyDay[Service-LY],DaybyDay[Date],"&gt;="&amp;$C$5,DaybyDay[RowYear],"&gt;="&amp;$C$4,DaybyDay[Date],"&lt;="&amp;DaybyDay[[#This Row],[Date]])</f>
        <v>0</v>
      </c>
      <c r="T409" s="35">
        <f>SUMIFS(DaybyDay[Retail-LY],DaybyDay[Date],"&gt;="&amp;$C$5,DaybyDay[RowYear],"&gt;="&amp;$C$4,DaybyDay[Date],"&lt;="&amp;DaybyDay[[#This Row],[Date]])</f>
        <v>0</v>
      </c>
      <c r="U409" s="32">
        <f>DaybyDay[[#This Row],[Serv-Bud-RU]]+DaybyDay[[#This Row],[Ret-Bud-RU]]</f>
        <v>0</v>
      </c>
      <c r="V409" s="32">
        <f>DaybyDay[[#This Row],[Serv-Act-RU]]+DaybyDay[[#This Row],[Ret-Act-RU]]</f>
        <v>0</v>
      </c>
      <c r="W409" s="36">
        <f>IF(DaybyDay[[#This Row],[_Space]],IFERROR(
((DaybyDay[[#This Row],[Actual-Rollup]]-DaybyDay[[#This Row],[Budget-Rollup]])/DaybyDay[[#This Row],[Budget-Rollup]]),0),"")</f>
        <v>0</v>
      </c>
      <c r="X409" t="b">
        <f>NOT(AND(ISBLANK(DaybyDay[[#This Row],[Appts]]),ISBLANK(DaybyDay[[#This Row],[Service-Actuals]]),ISBLANK(DaybyDay[[#This Row],[Retail-Actuals]])))</f>
        <v>1</v>
      </c>
      <c r="Y409" s="36">
        <f>IF(DaybyDay[[#This Row],[_Space]],IFERROR(
((DaybyDay[[#This Row],[Actual-Rollup]]-DaybyDay[[#This Row],[LY-Rollup]])/DaybyDay[[#This Row],[LY-Rollup]]),0),"")</f>
        <v>0</v>
      </c>
      <c r="Z409"/>
      <c r="AA409" s="37" t="e">
        <f>IF(DaybyDay[[#This Row],[_Space]],DaybyDay[[#This Row],[Ret-Act-RU]]/DaybyDay[[#This Row],[Serv-Act-RU]],"")</f>
        <v>#DIV/0!</v>
      </c>
      <c r="AB409" s="50" t="e">
        <f>IF(DaybyDay[[#This Row],[_Space]],DaybyDay[[#This Row],[RETPEN-Act]]/DaybyDay[[#This Row],[RETPEN-Bud]],"")</f>
        <v>#DIV/0!</v>
      </c>
      <c r="AC409" s="37" t="e">
        <f>IF(DaybyDay[[#This Row],[_Space]],DaybyDay[[#This Row],[Ret-Bud-RU]]/DaybyDay[[#This Row],[Serv-Bud-RU]],"")</f>
        <v>#DIV/0!</v>
      </c>
      <c r="AD409" s="37" t="e">
        <f>IF(DaybyDay[[#This Row],[_Space]],DaybyDay[[#This Row],[Ret-LY-RU]]/DaybyDay[[#This Row],[Serv-LY-RU]],"")</f>
        <v>#DIV/0!</v>
      </c>
      <c r="AE409" s="30">
        <f>WEEKDAY(DaybyDay[[#This Row],[LY-Date]])</f>
        <v>4</v>
      </c>
      <c r="AF409" s="38">
        <f>$E$2+_xlfn.DAYS(DaybyDay[[#This Row],[Date]],minDate)</f>
        <v>42774</v>
      </c>
      <c r="AG409" s="39" cm="1">
        <f t="array" ref="AG409">IFERROR(INDEX(DaybyDay[],DaybyDay[[#This Row],[FORM_MATCH_HELPER]],8),"")</f>
        <v>32</v>
      </c>
      <c r="AH409" s="39" cm="1">
        <f t="array" ref="AH409">IFERROR(INDEX(DaybyDay[],DaybyDay[[#This Row],[FORM_MATCH_HELPER]],10),"")</f>
        <v>6138</v>
      </c>
      <c r="AI409" s="39" cm="1">
        <f t="array" ref="AI409">IFERROR(INDEX(DaybyDay[],DaybyDay[[#This Row],[FORM_MATCH_HELPER]],12),"")</f>
        <v>192.87</v>
      </c>
      <c r="AJ409" s="32">
        <f>IFERROR(DaybyDay[[#This Row],[Serv-LY-RU]]+DaybyDay[[#This Row],[Ret-LY-RU]],"")</f>
        <v>0</v>
      </c>
      <c r="AK4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09" s="77"/>
      <c r="AM409" s="40" t="str">
        <f>IF(DaybyDay[[#This Row],[Admin Hours]]&gt;0,DaybyDay[[#This Row],[Admin Hours]]*$AM$2+$AM$3,"")</f>
        <v/>
      </c>
      <c r="AN409" s="40">
        <f>SUMIFS(DaybyDay[Est-Admin-Payroll],DaybyDay[Date],"&gt;="&amp;$C$5,DaybyDay[RowYear],"&gt;="&amp;$C$4,DaybyDay[Date],"&lt;="&amp;DaybyDay[[#This Row],[Date]])</f>
        <v>0</v>
      </c>
      <c r="AO409" s="41" t="str">
        <f>IF(AND(DaybyDay[[#This Row],[_Space]],ISNUMBER(DaybyDay[[#This Row],[Admin Hours]])),DaybyDay[[#This Row],[Est-Admin-Payroll]]/(DaybyDay[[#This Row],[Service-Actuals]]+DaybyDay[[#This Row],[Retail-Actuals]]),"")</f>
        <v/>
      </c>
      <c r="AP409" s="41" t="e">
        <f>DaybyDay[[#This Row],[Estimated-Payroll-Rollup]]/DaybyDay[[#This Row],[Simple-Forecast]]</f>
        <v>#DIV/0!</v>
      </c>
      <c r="AQ4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09" s="77"/>
      <c r="AS409" s="40" t="str">
        <f>IF(DaybyDay[[#This Row],[Retail Hours]]&gt;0,DaybyDay[[#This Row],[Retail Hours]]*$AS$2,"")</f>
        <v/>
      </c>
      <c r="AT409" s="40">
        <f>SUMIFS(DaybyDay[Est-Retail-Payroll],DaybyDay[Date],"&gt;="&amp;$C$5,DaybyDay[RowYear],"&gt;="&amp;$C$4,DaybyDay[Date],"&lt;="&amp;DaybyDay[[#This Row],[Date]])</f>
        <v>0</v>
      </c>
      <c r="AU409" s="82" t="str">
        <f>IF(AND(DaybyDay[[#This Row],[_Space]],ISNUMBER(DaybyDay[[#This Row],[Retail Hours]])),DaybyDay[[#This Row],[Est-Retail-Payroll]]/(DaybyDay[[#This Row],[Retail-Actuals]]),"")</f>
        <v/>
      </c>
      <c r="AV409" s="82" t="e">
        <f>DaybyDay[[#This Row],[Est-Retail-PayrollRU]]/DaybyDay[[#This Row],[Simple-Forecast-Retail]]</f>
        <v>#DIV/0!</v>
      </c>
      <c r="AW409" s="8"/>
    </row>
    <row r="410" spans="3:49" hidden="1" x14ac:dyDescent="0.25">
      <c r="C410" s="26" t="str">
        <f>Tools!$C$1</f>
        <v>Example</v>
      </c>
      <c r="D410" s="27" t="s">
        <v>69</v>
      </c>
      <c r="E410" s="28">
        <v>2018</v>
      </c>
      <c r="F410" s="28">
        <f>MATCH(DaybyDay[[#This Row],[RowMonth]],Table3[SummaryMonth],0)</f>
        <v>2</v>
      </c>
      <c r="G410" s="29">
        <f>MATCH(DaybyDay[[#This Row],[LY-Date]],DaybyDay[Date],0)</f>
        <v>40</v>
      </c>
      <c r="H410" s="30">
        <f>WEEKDAY(DaybyDay[[#This Row],[Date]])</f>
        <v>5</v>
      </c>
      <c r="I410" s="31">
        <v>43139</v>
      </c>
      <c r="J410" s="74">
        <v>17</v>
      </c>
      <c r="K410" s="32">
        <f>SUMIFS(BudgetSeasonality[365 Seasonality],BudgetSeasonality[MonthAdjustment],DaybyDay[[#This Row],[Date]])*SUMIFS(Budgets[Service-Budget],Budgets[BudgetMonth],DaybyDay[[#This Row],[RowMonth]],Budgets[BudgetYear],DaybyDay[[#This Row],[RowYear]])</f>
        <v>4571.1235787532696</v>
      </c>
      <c r="L410" s="75">
        <v>2202</v>
      </c>
      <c r="M410" s="32">
        <f>INDEX(BudgetSeasonality[365 Seasonality],MATCH(DaybyDay[[#This Row],[Date]],BudgetSeasonality[MonthAdjustment],0))*SUMIFS(Budgets[Retail-Budget],Budgets[BudgetMonth],DaybyDay[[#This Row],[RowMonth]],Budgets[BudgetYear],DaybyDay[[#This Row],[RowYear]])</f>
        <v>1373.0672490910654</v>
      </c>
      <c r="N410" s="75">
        <v>1485.5</v>
      </c>
      <c r="O410" s="33">
        <f>SUMIFS(DaybyDay[Service-Budgets],DaybyDay[Date],"&gt;="&amp;$C$5,DaybyDay[RowYear],"&gt;="&amp;$C$4,DaybyDay[Date],"&lt;="&amp;DaybyDay[[#This Row],[Date]])</f>
        <v>0</v>
      </c>
      <c r="P410" s="33">
        <f>SUMIFS(DaybyDay[Retail-Budgets],DaybyDay[Date],"&gt;="&amp;$C$5,DaybyDay[RowYear],"&gt;="&amp;$C$4,DaybyDay[Date],"&lt;="&amp;DaybyDay[[#This Row],[Date]])</f>
        <v>0</v>
      </c>
      <c r="Q410" s="34">
        <f>SUMIFS(DaybyDay[Service-Actuals],DaybyDay[Date],"&gt;="&amp;$C$5,DaybyDay[RowYear],"&gt;="&amp;$C$4,DaybyDay[Date],"&lt;="&amp;DaybyDay[[#This Row],[Date]])</f>
        <v>0</v>
      </c>
      <c r="R410" s="34">
        <f>SUMIFS(DaybyDay[Retail-Actuals],DaybyDay[Date],"&gt;="&amp;$C$5,DaybyDay[RowYear],"&gt;="&amp;$C$4,DaybyDay[Date],"&lt;="&amp;DaybyDay[[#This Row],[Date]])</f>
        <v>0</v>
      </c>
      <c r="S410" s="35">
        <f>SUMIFS(DaybyDay[Service-LY],DaybyDay[Date],"&gt;="&amp;$C$5,DaybyDay[RowYear],"&gt;="&amp;$C$4,DaybyDay[Date],"&lt;="&amp;DaybyDay[[#This Row],[Date]])</f>
        <v>0</v>
      </c>
      <c r="T410" s="35">
        <f>SUMIFS(DaybyDay[Retail-LY],DaybyDay[Date],"&gt;="&amp;$C$5,DaybyDay[RowYear],"&gt;="&amp;$C$4,DaybyDay[Date],"&lt;="&amp;DaybyDay[[#This Row],[Date]])</f>
        <v>0</v>
      </c>
      <c r="U410" s="32">
        <f>DaybyDay[[#This Row],[Serv-Bud-RU]]+DaybyDay[[#This Row],[Ret-Bud-RU]]</f>
        <v>0</v>
      </c>
      <c r="V410" s="32">
        <f>DaybyDay[[#This Row],[Serv-Act-RU]]+DaybyDay[[#This Row],[Ret-Act-RU]]</f>
        <v>0</v>
      </c>
      <c r="W410" s="36">
        <f>IF(DaybyDay[[#This Row],[_Space]],IFERROR(
((DaybyDay[[#This Row],[Actual-Rollup]]-DaybyDay[[#This Row],[Budget-Rollup]])/DaybyDay[[#This Row],[Budget-Rollup]]),0),"")</f>
        <v>0</v>
      </c>
      <c r="X410" t="b">
        <f>NOT(AND(ISBLANK(DaybyDay[[#This Row],[Appts]]),ISBLANK(DaybyDay[[#This Row],[Service-Actuals]]),ISBLANK(DaybyDay[[#This Row],[Retail-Actuals]])))</f>
        <v>1</v>
      </c>
      <c r="Y410" s="36">
        <f>IF(DaybyDay[[#This Row],[_Space]],IFERROR(
((DaybyDay[[#This Row],[Actual-Rollup]]-DaybyDay[[#This Row],[LY-Rollup]])/DaybyDay[[#This Row],[LY-Rollup]]),0),"")</f>
        <v>0</v>
      </c>
      <c r="Z410"/>
      <c r="AA410" s="37" t="e">
        <f>IF(DaybyDay[[#This Row],[_Space]],DaybyDay[[#This Row],[Ret-Act-RU]]/DaybyDay[[#This Row],[Serv-Act-RU]],"")</f>
        <v>#DIV/0!</v>
      </c>
      <c r="AB410" s="50" t="e">
        <f>IF(DaybyDay[[#This Row],[_Space]],DaybyDay[[#This Row],[RETPEN-Act]]/DaybyDay[[#This Row],[RETPEN-Bud]],"")</f>
        <v>#DIV/0!</v>
      </c>
      <c r="AC410" s="37" t="e">
        <f>IF(DaybyDay[[#This Row],[_Space]],DaybyDay[[#This Row],[Ret-Bud-RU]]/DaybyDay[[#This Row],[Serv-Bud-RU]],"")</f>
        <v>#DIV/0!</v>
      </c>
      <c r="AD410" s="37" t="e">
        <f>IF(DaybyDay[[#This Row],[_Space]],DaybyDay[[#This Row],[Ret-LY-RU]]/DaybyDay[[#This Row],[Serv-LY-RU]],"")</f>
        <v>#DIV/0!</v>
      </c>
      <c r="AE410" s="30">
        <f>WEEKDAY(DaybyDay[[#This Row],[LY-Date]])</f>
        <v>5</v>
      </c>
      <c r="AF410" s="38">
        <f>$E$2+_xlfn.DAYS(DaybyDay[[#This Row],[Date]],minDate)</f>
        <v>42775</v>
      </c>
      <c r="AG410" s="39" cm="1">
        <f t="array" ref="AG410">IFERROR(INDEX(DaybyDay[],DaybyDay[[#This Row],[FORM_MATCH_HELPER]],8),"")</f>
        <v>27</v>
      </c>
      <c r="AH410" s="39" cm="1">
        <f t="array" ref="AH410">IFERROR(INDEX(DaybyDay[],DaybyDay[[#This Row],[FORM_MATCH_HELPER]],10),"")</f>
        <v>5381</v>
      </c>
      <c r="AI410" s="39" cm="1">
        <f t="array" ref="AI410">IFERROR(INDEX(DaybyDay[],DaybyDay[[#This Row],[FORM_MATCH_HELPER]],12),"")</f>
        <v>1142.46</v>
      </c>
      <c r="AJ410" s="32">
        <f>IFERROR(DaybyDay[[#This Row],[Serv-LY-RU]]+DaybyDay[[#This Row],[Ret-LY-RU]],"")</f>
        <v>0</v>
      </c>
      <c r="AK4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0" s="77"/>
      <c r="AM410" s="40" t="str">
        <f>IF(DaybyDay[[#This Row],[Admin Hours]]&gt;0,DaybyDay[[#This Row],[Admin Hours]]*$AM$2+$AM$3,"")</f>
        <v/>
      </c>
      <c r="AN410" s="40">
        <f>SUMIFS(DaybyDay[Est-Admin-Payroll],DaybyDay[Date],"&gt;="&amp;$C$5,DaybyDay[RowYear],"&gt;="&amp;$C$4,DaybyDay[Date],"&lt;="&amp;DaybyDay[[#This Row],[Date]])</f>
        <v>0</v>
      </c>
      <c r="AO410" s="41" t="str">
        <f>IF(AND(DaybyDay[[#This Row],[_Space]],ISNUMBER(DaybyDay[[#This Row],[Admin Hours]])),DaybyDay[[#This Row],[Est-Admin-Payroll]]/(DaybyDay[[#This Row],[Service-Actuals]]+DaybyDay[[#This Row],[Retail-Actuals]]),"")</f>
        <v/>
      </c>
      <c r="AP410" s="41" t="e">
        <f>DaybyDay[[#This Row],[Estimated-Payroll-Rollup]]/DaybyDay[[#This Row],[Simple-Forecast]]</f>
        <v>#DIV/0!</v>
      </c>
      <c r="AQ4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0" s="77"/>
      <c r="AS410" s="40" t="str">
        <f>IF(DaybyDay[[#This Row],[Retail Hours]]&gt;0,DaybyDay[[#This Row],[Retail Hours]]*$AS$2,"")</f>
        <v/>
      </c>
      <c r="AT410" s="40">
        <f>SUMIFS(DaybyDay[Est-Retail-Payroll],DaybyDay[Date],"&gt;="&amp;$C$5,DaybyDay[RowYear],"&gt;="&amp;$C$4,DaybyDay[Date],"&lt;="&amp;DaybyDay[[#This Row],[Date]])</f>
        <v>0</v>
      </c>
      <c r="AU410" s="82" t="str">
        <f>IF(AND(DaybyDay[[#This Row],[_Space]],ISNUMBER(DaybyDay[[#This Row],[Retail Hours]])),DaybyDay[[#This Row],[Est-Retail-Payroll]]/(DaybyDay[[#This Row],[Retail-Actuals]]),"")</f>
        <v/>
      </c>
      <c r="AV410" s="82" t="e">
        <f>DaybyDay[[#This Row],[Est-Retail-PayrollRU]]/DaybyDay[[#This Row],[Simple-Forecast-Retail]]</f>
        <v>#DIV/0!</v>
      </c>
      <c r="AW410" s="8"/>
    </row>
    <row r="411" spans="3:49" hidden="1" x14ac:dyDescent="0.25">
      <c r="C411" s="26" t="str">
        <f>Tools!$C$1</f>
        <v>Example</v>
      </c>
      <c r="D411" s="27" t="s">
        <v>69</v>
      </c>
      <c r="E411" s="28">
        <v>2018</v>
      </c>
      <c r="F411" s="28">
        <f>MATCH(DaybyDay[[#This Row],[RowMonth]],Table3[SummaryMonth],0)</f>
        <v>2</v>
      </c>
      <c r="G411" s="29">
        <f>MATCH(DaybyDay[[#This Row],[LY-Date]],DaybyDay[Date],0)</f>
        <v>41</v>
      </c>
      <c r="H411" s="30">
        <f>WEEKDAY(DaybyDay[[#This Row],[Date]])</f>
        <v>6</v>
      </c>
      <c r="I411" s="31">
        <v>43140</v>
      </c>
      <c r="J411" s="74">
        <v>22</v>
      </c>
      <c r="K411" s="32">
        <f>SUMIFS(BudgetSeasonality[365 Seasonality],BudgetSeasonality[MonthAdjustment],DaybyDay[[#This Row],[Date]])*SUMIFS(Budgets[Service-Budget],Budgets[BudgetMonth],DaybyDay[[#This Row],[RowMonth]],Budgets[BudgetYear],DaybyDay[[#This Row],[RowYear]])</f>
        <v>5491.0445431138369</v>
      </c>
      <c r="L411" s="75">
        <v>5540.5</v>
      </c>
      <c r="M411" s="32">
        <f>INDEX(BudgetSeasonality[365 Seasonality],MATCH(DaybyDay[[#This Row],[Date]],BudgetSeasonality[MonthAdjustment],0))*SUMIFS(Budgets[Retail-Budget],Budgets[BudgetMonth],DaybyDay[[#This Row],[RowMonth]],Budgets[BudgetYear],DaybyDay[[#This Row],[RowYear]])</f>
        <v>1649.3917295288195</v>
      </c>
      <c r="N411" s="75">
        <v>768.5</v>
      </c>
      <c r="O411" s="33">
        <f>SUMIFS(DaybyDay[Service-Budgets],DaybyDay[Date],"&gt;="&amp;$C$5,DaybyDay[RowYear],"&gt;="&amp;$C$4,DaybyDay[Date],"&lt;="&amp;DaybyDay[[#This Row],[Date]])</f>
        <v>0</v>
      </c>
      <c r="P411" s="33">
        <f>SUMIFS(DaybyDay[Retail-Budgets],DaybyDay[Date],"&gt;="&amp;$C$5,DaybyDay[RowYear],"&gt;="&amp;$C$4,DaybyDay[Date],"&lt;="&amp;DaybyDay[[#This Row],[Date]])</f>
        <v>0</v>
      </c>
      <c r="Q411" s="34">
        <f>SUMIFS(DaybyDay[Service-Actuals],DaybyDay[Date],"&gt;="&amp;$C$5,DaybyDay[RowYear],"&gt;="&amp;$C$4,DaybyDay[Date],"&lt;="&amp;DaybyDay[[#This Row],[Date]])</f>
        <v>0</v>
      </c>
      <c r="R411" s="34">
        <f>SUMIFS(DaybyDay[Retail-Actuals],DaybyDay[Date],"&gt;="&amp;$C$5,DaybyDay[RowYear],"&gt;="&amp;$C$4,DaybyDay[Date],"&lt;="&amp;DaybyDay[[#This Row],[Date]])</f>
        <v>0</v>
      </c>
      <c r="S411" s="35">
        <f>SUMIFS(DaybyDay[Service-LY],DaybyDay[Date],"&gt;="&amp;$C$5,DaybyDay[RowYear],"&gt;="&amp;$C$4,DaybyDay[Date],"&lt;="&amp;DaybyDay[[#This Row],[Date]])</f>
        <v>0</v>
      </c>
      <c r="T411" s="35">
        <f>SUMIFS(DaybyDay[Retail-LY],DaybyDay[Date],"&gt;="&amp;$C$5,DaybyDay[RowYear],"&gt;="&amp;$C$4,DaybyDay[Date],"&lt;="&amp;DaybyDay[[#This Row],[Date]])</f>
        <v>0</v>
      </c>
      <c r="U411" s="32">
        <f>DaybyDay[[#This Row],[Serv-Bud-RU]]+DaybyDay[[#This Row],[Ret-Bud-RU]]</f>
        <v>0</v>
      </c>
      <c r="V411" s="32">
        <f>DaybyDay[[#This Row],[Serv-Act-RU]]+DaybyDay[[#This Row],[Ret-Act-RU]]</f>
        <v>0</v>
      </c>
      <c r="W411" s="36">
        <f>IF(DaybyDay[[#This Row],[_Space]],IFERROR(
((DaybyDay[[#This Row],[Actual-Rollup]]-DaybyDay[[#This Row],[Budget-Rollup]])/DaybyDay[[#This Row],[Budget-Rollup]]),0),"")</f>
        <v>0</v>
      </c>
      <c r="X411" t="b">
        <f>NOT(AND(ISBLANK(DaybyDay[[#This Row],[Appts]]),ISBLANK(DaybyDay[[#This Row],[Service-Actuals]]),ISBLANK(DaybyDay[[#This Row],[Retail-Actuals]])))</f>
        <v>1</v>
      </c>
      <c r="Y411" s="36">
        <f>IF(DaybyDay[[#This Row],[_Space]],IFERROR(
((DaybyDay[[#This Row],[Actual-Rollup]]-DaybyDay[[#This Row],[LY-Rollup]])/DaybyDay[[#This Row],[LY-Rollup]]),0),"")</f>
        <v>0</v>
      </c>
      <c r="Z411"/>
      <c r="AA411" s="37" t="e">
        <f>IF(DaybyDay[[#This Row],[_Space]],DaybyDay[[#This Row],[Ret-Act-RU]]/DaybyDay[[#This Row],[Serv-Act-RU]],"")</f>
        <v>#DIV/0!</v>
      </c>
      <c r="AB411" s="50" t="e">
        <f>IF(DaybyDay[[#This Row],[_Space]],DaybyDay[[#This Row],[RETPEN-Act]]/DaybyDay[[#This Row],[RETPEN-Bud]],"")</f>
        <v>#DIV/0!</v>
      </c>
      <c r="AC411" s="37" t="e">
        <f>IF(DaybyDay[[#This Row],[_Space]],DaybyDay[[#This Row],[Ret-Bud-RU]]/DaybyDay[[#This Row],[Serv-Bud-RU]],"")</f>
        <v>#DIV/0!</v>
      </c>
      <c r="AD411" s="37" t="e">
        <f>IF(DaybyDay[[#This Row],[_Space]],DaybyDay[[#This Row],[Ret-LY-RU]]/DaybyDay[[#This Row],[Serv-LY-RU]],"")</f>
        <v>#DIV/0!</v>
      </c>
      <c r="AE411" s="30">
        <f>WEEKDAY(DaybyDay[[#This Row],[LY-Date]])</f>
        <v>6</v>
      </c>
      <c r="AF411" s="38">
        <f>$E$2+_xlfn.DAYS(DaybyDay[[#This Row],[Date]],minDate)</f>
        <v>42776</v>
      </c>
      <c r="AG411" s="39" cm="1">
        <f t="array" ref="AG411">IFERROR(INDEX(DaybyDay[],DaybyDay[[#This Row],[FORM_MATCH_HELPER]],8),"")</f>
        <v>52</v>
      </c>
      <c r="AH411" s="39" cm="1">
        <f t="array" ref="AH411">IFERROR(INDEX(DaybyDay[],DaybyDay[[#This Row],[FORM_MATCH_HELPER]],10),"")</f>
        <v>8108.87</v>
      </c>
      <c r="AI411" s="39" cm="1">
        <f t="array" ref="AI411">IFERROR(INDEX(DaybyDay[],DaybyDay[[#This Row],[FORM_MATCH_HELPER]],12),"")</f>
        <v>1587.64</v>
      </c>
      <c r="AJ411" s="32">
        <f>IFERROR(DaybyDay[[#This Row],[Serv-LY-RU]]+DaybyDay[[#This Row],[Ret-LY-RU]],"")</f>
        <v>0</v>
      </c>
      <c r="AK4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1" s="77"/>
      <c r="AM411" s="40" t="str">
        <f>IF(DaybyDay[[#This Row],[Admin Hours]]&gt;0,DaybyDay[[#This Row],[Admin Hours]]*$AM$2+$AM$3,"")</f>
        <v/>
      </c>
      <c r="AN411" s="40">
        <f>SUMIFS(DaybyDay[Est-Admin-Payroll],DaybyDay[Date],"&gt;="&amp;$C$5,DaybyDay[RowYear],"&gt;="&amp;$C$4,DaybyDay[Date],"&lt;="&amp;DaybyDay[[#This Row],[Date]])</f>
        <v>0</v>
      </c>
      <c r="AO411" s="41" t="str">
        <f>IF(AND(DaybyDay[[#This Row],[_Space]],ISNUMBER(DaybyDay[[#This Row],[Admin Hours]])),DaybyDay[[#This Row],[Est-Admin-Payroll]]/(DaybyDay[[#This Row],[Service-Actuals]]+DaybyDay[[#This Row],[Retail-Actuals]]),"")</f>
        <v/>
      </c>
      <c r="AP411" s="41" t="e">
        <f>DaybyDay[[#This Row],[Estimated-Payroll-Rollup]]/DaybyDay[[#This Row],[Simple-Forecast]]</f>
        <v>#DIV/0!</v>
      </c>
      <c r="AQ4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1" s="77"/>
      <c r="AS411" s="40" t="str">
        <f>IF(DaybyDay[[#This Row],[Retail Hours]]&gt;0,DaybyDay[[#This Row],[Retail Hours]]*$AS$2,"")</f>
        <v/>
      </c>
      <c r="AT411" s="40">
        <f>SUMIFS(DaybyDay[Est-Retail-Payroll],DaybyDay[Date],"&gt;="&amp;$C$5,DaybyDay[RowYear],"&gt;="&amp;$C$4,DaybyDay[Date],"&lt;="&amp;DaybyDay[[#This Row],[Date]])</f>
        <v>0</v>
      </c>
      <c r="AU411" s="82" t="str">
        <f>IF(AND(DaybyDay[[#This Row],[_Space]],ISNUMBER(DaybyDay[[#This Row],[Retail Hours]])),DaybyDay[[#This Row],[Est-Retail-Payroll]]/(DaybyDay[[#This Row],[Retail-Actuals]]),"")</f>
        <v/>
      </c>
      <c r="AV411" s="82" t="e">
        <f>DaybyDay[[#This Row],[Est-Retail-PayrollRU]]/DaybyDay[[#This Row],[Simple-Forecast-Retail]]</f>
        <v>#DIV/0!</v>
      </c>
      <c r="AW411" s="8"/>
    </row>
    <row r="412" spans="3:49" hidden="1" x14ac:dyDescent="0.25">
      <c r="C412" s="26" t="str">
        <f>Tools!$C$1</f>
        <v>Example</v>
      </c>
      <c r="D412" s="27" t="s">
        <v>69</v>
      </c>
      <c r="E412" s="28">
        <v>2018</v>
      </c>
      <c r="F412" s="28">
        <f>MATCH(DaybyDay[[#This Row],[RowMonth]],Table3[SummaryMonth],0)</f>
        <v>2</v>
      </c>
      <c r="G412" s="29">
        <f>MATCH(DaybyDay[[#This Row],[LY-Date]],DaybyDay[Date],0)</f>
        <v>42</v>
      </c>
      <c r="H412" s="30">
        <f>WEEKDAY(DaybyDay[[#This Row],[Date]])</f>
        <v>7</v>
      </c>
      <c r="I412" s="31">
        <v>43141</v>
      </c>
      <c r="J412" s="74">
        <v>29</v>
      </c>
      <c r="K412" s="32">
        <f>SUMIFS(BudgetSeasonality[365 Seasonality],BudgetSeasonality[MonthAdjustment],DaybyDay[[#This Row],[Date]])*SUMIFS(Budgets[Service-Budget],Budgets[BudgetMonth],DaybyDay[[#This Row],[RowMonth]],Budgets[BudgetYear],DaybyDay[[#This Row],[RowYear]])</f>
        <v>7451.7037156674314</v>
      </c>
      <c r="L412" s="75">
        <v>7054.27</v>
      </c>
      <c r="M412" s="32">
        <f>INDEX(BudgetSeasonality[365 Seasonality],MATCH(DaybyDay[[#This Row],[Date]],BudgetSeasonality[MonthAdjustment],0))*SUMIFS(Budgets[Retail-Budget],Budgets[BudgetMonth],DaybyDay[[#This Row],[RowMonth]],Budgets[BudgetYear],DaybyDay[[#This Row],[RowYear]])</f>
        <v>2238.3315930180443</v>
      </c>
      <c r="N412" s="75">
        <v>461</v>
      </c>
      <c r="O412" s="33">
        <f>SUMIFS(DaybyDay[Service-Budgets],DaybyDay[Date],"&gt;="&amp;$C$5,DaybyDay[RowYear],"&gt;="&amp;$C$4,DaybyDay[Date],"&lt;="&amp;DaybyDay[[#This Row],[Date]])</f>
        <v>0</v>
      </c>
      <c r="P412" s="33">
        <f>SUMIFS(DaybyDay[Retail-Budgets],DaybyDay[Date],"&gt;="&amp;$C$5,DaybyDay[RowYear],"&gt;="&amp;$C$4,DaybyDay[Date],"&lt;="&amp;DaybyDay[[#This Row],[Date]])</f>
        <v>0</v>
      </c>
      <c r="Q412" s="34">
        <f>SUMIFS(DaybyDay[Service-Actuals],DaybyDay[Date],"&gt;="&amp;$C$5,DaybyDay[RowYear],"&gt;="&amp;$C$4,DaybyDay[Date],"&lt;="&amp;DaybyDay[[#This Row],[Date]])</f>
        <v>0</v>
      </c>
      <c r="R412" s="34">
        <f>SUMIFS(DaybyDay[Retail-Actuals],DaybyDay[Date],"&gt;="&amp;$C$5,DaybyDay[RowYear],"&gt;="&amp;$C$4,DaybyDay[Date],"&lt;="&amp;DaybyDay[[#This Row],[Date]])</f>
        <v>0</v>
      </c>
      <c r="S412" s="35">
        <f>SUMIFS(DaybyDay[Service-LY],DaybyDay[Date],"&gt;="&amp;$C$5,DaybyDay[RowYear],"&gt;="&amp;$C$4,DaybyDay[Date],"&lt;="&amp;DaybyDay[[#This Row],[Date]])</f>
        <v>0</v>
      </c>
      <c r="T412" s="35">
        <f>SUMIFS(DaybyDay[Retail-LY],DaybyDay[Date],"&gt;="&amp;$C$5,DaybyDay[RowYear],"&gt;="&amp;$C$4,DaybyDay[Date],"&lt;="&amp;DaybyDay[[#This Row],[Date]])</f>
        <v>0</v>
      </c>
      <c r="U412" s="32">
        <f>DaybyDay[[#This Row],[Serv-Bud-RU]]+DaybyDay[[#This Row],[Ret-Bud-RU]]</f>
        <v>0</v>
      </c>
      <c r="V412" s="32">
        <f>DaybyDay[[#This Row],[Serv-Act-RU]]+DaybyDay[[#This Row],[Ret-Act-RU]]</f>
        <v>0</v>
      </c>
      <c r="W412" s="36">
        <f>IF(DaybyDay[[#This Row],[_Space]],IFERROR(
((DaybyDay[[#This Row],[Actual-Rollup]]-DaybyDay[[#This Row],[Budget-Rollup]])/DaybyDay[[#This Row],[Budget-Rollup]]),0),"")</f>
        <v>0</v>
      </c>
      <c r="X412" t="b">
        <f>NOT(AND(ISBLANK(DaybyDay[[#This Row],[Appts]]),ISBLANK(DaybyDay[[#This Row],[Service-Actuals]]),ISBLANK(DaybyDay[[#This Row],[Retail-Actuals]])))</f>
        <v>1</v>
      </c>
      <c r="Y412" s="36">
        <f>IF(DaybyDay[[#This Row],[_Space]],IFERROR(
((DaybyDay[[#This Row],[Actual-Rollup]]-DaybyDay[[#This Row],[LY-Rollup]])/DaybyDay[[#This Row],[LY-Rollup]]),0),"")</f>
        <v>0</v>
      </c>
      <c r="Z412"/>
      <c r="AA412" s="37" t="e">
        <f>IF(DaybyDay[[#This Row],[_Space]],DaybyDay[[#This Row],[Ret-Act-RU]]/DaybyDay[[#This Row],[Serv-Act-RU]],"")</f>
        <v>#DIV/0!</v>
      </c>
      <c r="AB412" s="50" t="e">
        <f>IF(DaybyDay[[#This Row],[_Space]],DaybyDay[[#This Row],[RETPEN-Act]]/DaybyDay[[#This Row],[RETPEN-Bud]],"")</f>
        <v>#DIV/0!</v>
      </c>
      <c r="AC412" s="37" t="e">
        <f>IF(DaybyDay[[#This Row],[_Space]],DaybyDay[[#This Row],[Ret-Bud-RU]]/DaybyDay[[#This Row],[Serv-Bud-RU]],"")</f>
        <v>#DIV/0!</v>
      </c>
      <c r="AD412" s="37" t="e">
        <f>IF(DaybyDay[[#This Row],[_Space]],DaybyDay[[#This Row],[Ret-LY-RU]]/DaybyDay[[#This Row],[Serv-LY-RU]],"")</f>
        <v>#DIV/0!</v>
      </c>
      <c r="AE412" s="30">
        <f>WEEKDAY(DaybyDay[[#This Row],[LY-Date]])</f>
        <v>7</v>
      </c>
      <c r="AF412" s="38">
        <f>$E$2+_xlfn.DAYS(DaybyDay[[#This Row],[Date]],minDate)</f>
        <v>42777</v>
      </c>
      <c r="AG412" s="39" cm="1">
        <f t="array" ref="AG412">IFERROR(INDEX(DaybyDay[],DaybyDay[[#This Row],[FORM_MATCH_HELPER]],8),"")</f>
        <v>49</v>
      </c>
      <c r="AH412" s="39" cm="1">
        <f t="array" ref="AH412">IFERROR(INDEX(DaybyDay[],DaybyDay[[#This Row],[FORM_MATCH_HELPER]],10),"")</f>
        <v>8667.57</v>
      </c>
      <c r="AI412" s="39" cm="1">
        <f t="array" ref="AI412">IFERROR(INDEX(DaybyDay[],DaybyDay[[#This Row],[FORM_MATCH_HELPER]],12),"")</f>
        <v>1226.7</v>
      </c>
      <c r="AJ412" s="32">
        <f>IFERROR(DaybyDay[[#This Row],[Serv-LY-RU]]+DaybyDay[[#This Row],[Ret-LY-RU]],"")</f>
        <v>0</v>
      </c>
      <c r="AK4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2" s="77"/>
      <c r="AM412" s="40" t="str">
        <f>IF(DaybyDay[[#This Row],[Admin Hours]]&gt;0,DaybyDay[[#This Row],[Admin Hours]]*$AM$2+$AM$3,"")</f>
        <v/>
      </c>
      <c r="AN412" s="40">
        <f>SUMIFS(DaybyDay[Est-Admin-Payroll],DaybyDay[Date],"&gt;="&amp;$C$5,DaybyDay[RowYear],"&gt;="&amp;$C$4,DaybyDay[Date],"&lt;="&amp;DaybyDay[[#This Row],[Date]])</f>
        <v>0</v>
      </c>
      <c r="AO412" s="41" t="str">
        <f>IF(AND(DaybyDay[[#This Row],[_Space]],ISNUMBER(DaybyDay[[#This Row],[Admin Hours]])),DaybyDay[[#This Row],[Est-Admin-Payroll]]/(DaybyDay[[#This Row],[Service-Actuals]]+DaybyDay[[#This Row],[Retail-Actuals]]),"")</f>
        <v/>
      </c>
      <c r="AP412" s="41" t="e">
        <f>DaybyDay[[#This Row],[Estimated-Payroll-Rollup]]/DaybyDay[[#This Row],[Simple-Forecast]]</f>
        <v>#DIV/0!</v>
      </c>
      <c r="AQ4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2" s="77"/>
      <c r="AS412" s="40" t="str">
        <f>IF(DaybyDay[[#This Row],[Retail Hours]]&gt;0,DaybyDay[[#This Row],[Retail Hours]]*$AS$2,"")</f>
        <v/>
      </c>
      <c r="AT412" s="40">
        <f>SUMIFS(DaybyDay[Est-Retail-Payroll],DaybyDay[Date],"&gt;="&amp;$C$5,DaybyDay[RowYear],"&gt;="&amp;$C$4,DaybyDay[Date],"&lt;="&amp;DaybyDay[[#This Row],[Date]])</f>
        <v>0</v>
      </c>
      <c r="AU412" s="82" t="str">
        <f>IF(AND(DaybyDay[[#This Row],[_Space]],ISNUMBER(DaybyDay[[#This Row],[Retail Hours]])),DaybyDay[[#This Row],[Est-Retail-Payroll]]/(DaybyDay[[#This Row],[Retail-Actuals]]),"")</f>
        <v/>
      </c>
      <c r="AV412" s="82" t="e">
        <f>DaybyDay[[#This Row],[Est-Retail-PayrollRU]]/DaybyDay[[#This Row],[Simple-Forecast-Retail]]</f>
        <v>#DIV/0!</v>
      </c>
      <c r="AW412" s="8"/>
    </row>
    <row r="413" spans="3:49" hidden="1" x14ac:dyDescent="0.25">
      <c r="C413" s="26" t="str">
        <f>Tools!$C$1</f>
        <v>Example</v>
      </c>
      <c r="D413" s="27" t="s">
        <v>69</v>
      </c>
      <c r="E413" s="28">
        <v>2018</v>
      </c>
      <c r="F413" s="28">
        <f>MATCH(DaybyDay[[#This Row],[RowMonth]],Table3[SummaryMonth],0)</f>
        <v>2</v>
      </c>
      <c r="G413" s="29">
        <f>MATCH(DaybyDay[[#This Row],[LY-Date]],DaybyDay[Date],0)</f>
        <v>43</v>
      </c>
      <c r="H413" s="30">
        <f>WEEKDAY(DaybyDay[[#This Row],[Date]])</f>
        <v>1</v>
      </c>
      <c r="I413" s="31">
        <v>43142</v>
      </c>
      <c r="J413" s="74">
        <v>30</v>
      </c>
      <c r="K413" s="32">
        <f>SUMIFS(BudgetSeasonality[365 Seasonality],BudgetSeasonality[MonthAdjustment],DaybyDay[[#This Row],[Date]])*SUMIFS(Budgets[Service-Budget],Budgets[BudgetMonth],DaybyDay[[#This Row],[RowMonth]],Budgets[BudgetYear],DaybyDay[[#This Row],[RowYear]])</f>
        <v>5947.54296643213</v>
      </c>
      <c r="L413" s="75">
        <v>6090</v>
      </c>
      <c r="M413" s="32">
        <f>INDEX(BudgetSeasonality[365 Seasonality],MATCH(DaybyDay[[#This Row],[Date]],BudgetSeasonality[MonthAdjustment],0))*SUMIFS(Budgets[Retail-Budget],Budgets[BudgetMonth],DaybyDay[[#This Row],[RowMonth]],Budgets[BudgetYear],DaybyDay[[#This Row],[RowYear]])</f>
        <v>1786.5140416958889</v>
      </c>
      <c r="N413" s="75">
        <v>453</v>
      </c>
      <c r="O413" s="33">
        <f>SUMIFS(DaybyDay[Service-Budgets],DaybyDay[Date],"&gt;="&amp;$C$5,DaybyDay[RowYear],"&gt;="&amp;$C$4,DaybyDay[Date],"&lt;="&amp;DaybyDay[[#This Row],[Date]])</f>
        <v>0</v>
      </c>
      <c r="P413" s="33">
        <f>SUMIFS(DaybyDay[Retail-Budgets],DaybyDay[Date],"&gt;="&amp;$C$5,DaybyDay[RowYear],"&gt;="&amp;$C$4,DaybyDay[Date],"&lt;="&amp;DaybyDay[[#This Row],[Date]])</f>
        <v>0</v>
      </c>
      <c r="Q413" s="34">
        <f>SUMIFS(DaybyDay[Service-Actuals],DaybyDay[Date],"&gt;="&amp;$C$5,DaybyDay[RowYear],"&gt;="&amp;$C$4,DaybyDay[Date],"&lt;="&amp;DaybyDay[[#This Row],[Date]])</f>
        <v>0</v>
      </c>
      <c r="R413" s="34">
        <f>SUMIFS(DaybyDay[Retail-Actuals],DaybyDay[Date],"&gt;="&amp;$C$5,DaybyDay[RowYear],"&gt;="&amp;$C$4,DaybyDay[Date],"&lt;="&amp;DaybyDay[[#This Row],[Date]])</f>
        <v>0</v>
      </c>
      <c r="S413" s="35">
        <f>SUMIFS(DaybyDay[Service-LY],DaybyDay[Date],"&gt;="&amp;$C$5,DaybyDay[RowYear],"&gt;="&amp;$C$4,DaybyDay[Date],"&lt;="&amp;DaybyDay[[#This Row],[Date]])</f>
        <v>0</v>
      </c>
      <c r="T413" s="35">
        <f>SUMIFS(DaybyDay[Retail-LY],DaybyDay[Date],"&gt;="&amp;$C$5,DaybyDay[RowYear],"&gt;="&amp;$C$4,DaybyDay[Date],"&lt;="&amp;DaybyDay[[#This Row],[Date]])</f>
        <v>0</v>
      </c>
      <c r="U413" s="32">
        <f>DaybyDay[[#This Row],[Serv-Bud-RU]]+DaybyDay[[#This Row],[Ret-Bud-RU]]</f>
        <v>0</v>
      </c>
      <c r="V413" s="32">
        <f>DaybyDay[[#This Row],[Serv-Act-RU]]+DaybyDay[[#This Row],[Ret-Act-RU]]</f>
        <v>0</v>
      </c>
      <c r="W413" s="36">
        <f>IF(DaybyDay[[#This Row],[_Space]],IFERROR(
((DaybyDay[[#This Row],[Actual-Rollup]]-DaybyDay[[#This Row],[Budget-Rollup]])/DaybyDay[[#This Row],[Budget-Rollup]]),0),"")</f>
        <v>0</v>
      </c>
      <c r="X413" t="b">
        <f>NOT(AND(ISBLANK(DaybyDay[[#This Row],[Appts]]),ISBLANK(DaybyDay[[#This Row],[Service-Actuals]]),ISBLANK(DaybyDay[[#This Row],[Retail-Actuals]])))</f>
        <v>1</v>
      </c>
      <c r="Y413" s="36">
        <f>IF(DaybyDay[[#This Row],[_Space]],IFERROR(
((DaybyDay[[#This Row],[Actual-Rollup]]-DaybyDay[[#This Row],[LY-Rollup]])/DaybyDay[[#This Row],[LY-Rollup]]),0),"")</f>
        <v>0</v>
      </c>
      <c r="Z413"/>
      <c r="AA413" s="37" t="e">
        <f>IF(DaybyDay[[#This Row],[_Space]],DaybyDay[[#This Row],[Ret-Act-RU]]/DaybyDay[[#This Row],[Serv-Act-RU]],"")</f>
        <v>#DIV/0!</v>
      </c>
      <c r="AB413" s="50" t="e">
        <f>IF(DaybyDay[[#This Row],[_Space]],DaybyDay[[#This Row],[RETPEN-Act]]/DaybyDay[[#This Row],[RETPEN-Bud]],"")</f>
        <v>#DIV/0!</v>
      </c>
      <c r="AC413" s="37" t="e">
        <f>IF(DaybyDay[[#This Row],[_Space]],DaybyDay[[#This Row],[Ret-Bud-RU]]/DaybyDay[[#This Row],[Serv-Bud-RU]],"")</f>
        <v>#DIV/0!</v>
      </c>
      <c r="AD413" s="37" t="e">
        <f>IF(DaybyDay[[#This Row],[_Space]],DaybyDay[[#This Row],[Ret-LY-RU]]/DaybyDay[[#This Row],[Serv-LY-RU]],"")</f>
        <v>#DIV/0!</v>
      </c>
      <c r="AE413" s="30">
        <f>WEEKDAY(DaybyDay[[#This Row],[LY-Date]])</f>
        <v>1</v>
      </c>
      <c r="AF413" s="38">
        <f>$E$2+_xlfn.DAYS(DaybyDay[[#This Row],[Date]],minDate)</f>
        <v>42778</v>
      </c>
      <c r="AG413" s="39" cm="1">
        <f t="array" ref="AG413">IFERROR(INDEX(DaybyDay[],DaybyDay[[#This Row],[FORM_MATCH_HELPER]],8),"")</f>
        <v>36</v>
      </c>
      <c r="AH413" s="39" cm="1">
        <f t="array" ref="AH413">IFERROR(INDEX(DaybyDay[],DaybyDay[[#This Row],[FORM_MATCH_HELPER]],10),"")</f>
        <v>7781.64</v>
      </c>
      <c r="AI413" s="39" cm="1">
        <f t="array" ref="AI413">IFERROR(INDEX(DaybyDay[],DaybyDay[[#This Row],[FORM_MATCH_HELPER]],12),"")</f>
        <v>404</v>
      </c>
      <c r="AJ413" s="32">
        <f>IFERROR(DaybyDay[[#This Row],[Serv-LY-RU]]+DaybyDay[[#This Row],[Ret-LY-RU]],"")</f>
        <v>0</v>
      </c>
      <c r="AK4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3" s="77"/>
      <c r="AM413" s="40" t="str">
        <f>IF(DaybyDay[[#This Row],[Admin Hours]]&gt;0,DaybyDay[[#This Row],[Admin Hours]]*$AM$2+$AM$3,"")</f>
        <v/>
      </c>
      <c r="AN413" s="40">
        <f>SUMIFS(DaybyDay[Est-Admin-Payroll],DaybyDay[Date],"&gt;="&amp;$C$5,DaybyDay[RowYear],"&gt;="&amp;$C$4,DaybyDay[Date],"&lt;="&amp;DaybyDay[[#This Row],[Date]])</f>
        <v>0</v>
      </c>
      <c r="AO413" s="41" t="str">
        <f>IF(AND(DaybyDay[[#This Row],[_Space]],ISNUMBER(DaybyDay[[#This Row],[Admin Hours]])),DaybyDay[[#This Row],[Est-Admin-Payroll]]/(DaybyDay[[#This Row],[Service-Actuals]]+DaybyDay[[#This Row],[Retail-Actuals]]),"")</f>
        <v/>
      </c>
      <c r="AP413" s="41" t="e">
        <f>DaybyDay[[#This Row],[Estimated-Payroll-Rollup]]/DaybyDay[[#This Row],[Simple-Forecast]]</f>
        <v>#DIV/0!</v>
      </c>
      <c r="AQ4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3" s="77"/>
      <c r="AS413" s="40" t="str">
        <f>IF(DaybyDay[[#This Row],[Retail Hours]]&gt;0,DaybyDay[[#This Row],[Retail Hours]]*$AS$2,"")</f>
        <v/>
      </c>
      <c r="AT413" s="40">
        <f>SUMIFS(DaybyDay[Est-Retail-Payroll],DaybyDay[Date],"&gt;="&amp;$C$5,DaybyDay[RowYear],"&gt;="&amp;$C$4,DaybyDay[Date],"&lt;="&amp;DaybyDay[[#This Row],[Date]])</f>
        <v>0</v>
      </c>
      <c r="AU413" s="82" t="str">
        <f>IF(AND(DaybyDay[[#This Row],[_Space]],ISNUMBER(DaybyDay[[#This Row],[Retail Hours]])),DaybyDay[[#This Row],[Est-Retail-Payroll]]/(DaybyDay[[#This Row],[Retail-Actuals]]),"")</f>
        <v/>
      </c>
      <c r="AV413" s="82" t="e">
        <f>DaybyDay[[#This Row],[Est-Retail-PayrollRU]]/DaybyDay[[#This Row],[Simple-Forecast-Retail]]</f>
        <v>#DIV/0!</v>
      </c>
      <c r="AW413" s="8"/>
    </row>
    <row r="414" spans="3:49" hidden="1" x14ac:dyDescent="0.25">
      <c r="C414" s="26" t="str">
        <f>Tools!$C$1</f>
        <v>Example</v>
      </c>
      <c r="D414" s="27" t="s">
        <v>69</v>
      </c>
      <c r="E414" s="28">
        <v>2018</v>
      </c>
      <c r="F414" s="28">
        <f>MATCH(DaybyDay[[#This Row],[RowMonth]],Table3[SummaryMonth],0)</f>
        <v>2</v>
      </c>
      <c r="G414" s="29">
        <f>MATCH(DaybyDay[[#This Row],[LY-Date]],DaybyDay[Date],0)</f>
        <v>44</v>
      </c>
      <c r="H414" s="30">
        <f>WEEKDAY(DaybyDay[[#This Row],[Date]])</f>
        <v>2</v>
      </c>
      <c r="I414" s="31">
        <v>43143</v>
      </c>
      <c r="J414" s="74">
        <v>11</v>
      </c>
      <c r="K414" s="32">
        <f>SUMIFS(BudgetSeasonality[365 Seasonality],BudgetSeasonality[MonthAdjustment],DaybyDay[[#This Row],[Date]])*SUMIFS(Budgets[Service-Budget],Budgets[BudgetMonth],DaybyDay[[#This Row],[RowMonth]],Budgets[BudgetYear],DaybyDay[[#This Row],[RowYear]])</f>
        <v>3761.6043595136921</v>
      </c>
      <c r="L414" s="75">
        <v>1735.65</v>
      </c>
      <c r="M414" s="32">
        <f>INDEX(BudgetSeasonality[365 Seasonality],MATCH(DaybyDay[[#This Row],[Date]],BudgetSeasonality[MonthAdjustment],0))*SUMIFS(Budgets[Retail-Budget],Budgets[BudgetMonth],DaybyDay[[#This Row],[RowMonth]],Budgets[BudgetYear],DaybyDay[[#This Row],[RowYear]])</f>
        <v>1129.9050793754982</v>
      </c>
      <c r="N414" s="75">
        <v>227</v>
      </c>
      <c r="O414" s="33">
        <f>SUMIFS(DaybyDay[Service-Budgets],DaybyDay[Date],"&gt;="&amp;$C$5,DaybyDay[RowYear],"&gt;="&amp;$C$4,DaybyDay[Date],"&lt;="&amp;DaybyDay[[#This Row],[Date]])</f>
        <v>0</v>
      </c>
      <c r="P414" s="33">
        <f>SUMIFS(DaybyDay[Retail-Budgets],DaybyDay[Date],"&gt;="&amp;$C$5,DaybyDay[RowYear],"&gt;="&amp;$C$4,DaybyDay[Date],"&lt;="&amp;DaybyDay[[#This Row],[Date]])</f>
        <v>0</v>
      </c>
      <c r="Q414" s="34">
        <f>SUMIFS(DaybyDay[Service-Actuals],DaybyDay[Date],"&gt;="&amp;$C$5,DaybyDay[RowYear],"&gt;="&amp;$C$4,DaybyDay[Date],"&lt;="&amp;DaybyDay[[#This Row],[Date]])</f>
        <v>0</v>
      </c>
      <c r="R414" s="34">
        <f>SUMIFS(DaybyDay[Retail-Actuals],DaybyDay[Date],"&gt;="&amp;$C$5,DaybyDay[RowYear],"&gt;="&amp;$C$4,DaybyDay[Date],"&lt;="&amp;DaybyDay[[#This Row],[Date]])</f>
        <v>0</v>
      </c>
      <c r="S414" s="35">
        <f>SUMIFS(DaybyDay[Service-LY],DaybyDay[Date],"&gt;="&amp;$C$5,DaybyDay[RowYear],"&gt;="&amp;$C$4,DaybyDay[Date],"&lt;="&amp;DaybyDay[[#This Row],[Date]])</f>
        <v>0</v>
      </c>
      <c r="T414" s="35">
        <f>SUMIFS(DaybyDay[Retail-LY],DaybyDay[Date],"&gt;="&amp;$C$5,DaybyDay[RowYear],"&gt;="&amp;$C$4,DaybyDay[Date],"&lt;="&amp;DaybyDay[[#This Row],[Date]])</f>
        <v>0</v>
      </c>
      <c r="U414" s="32">
        <f>DaybyDay[[#This Row],[Serv-Bud-RU]]+DaybyDay[[#This Row],[Ret-Bud-RU]]</f>
        <v>0</v>
      </c>
      <c r="V414" s="32">
        <f>DaybyDay[[#This Row],[Serv-Act-RU]]+DaybyDay[[#This Row],[Ret-Act-RU]]</f>
        <v>0</v>
      </c>
      <c r="W414" s="36">
        <f>IF(DaybyDay[[#This Row],[_Space]],IFERROR(
((DaybyDay[[#This Row],[Actual-Rollup]]-DaybyDay[[#This Row],[Budget-Rollup]])/DaybyDay[[#This Row],[Budget-Rollup]]),0),"")</f>
        <v>0</v>
      </c>
      <c r="X414" t="b">
        <f>NOT(AND(ISBLANK(DaybyDay[[#This Row],[Appts]]),ISBLANK(DaybyDay[[#This Row],[Service-Actuals]]),ISBLANK(DaybyDay[[#This Row],[Retail-Actuals]])))</f>
        <v>1</v>
      </c>
      <c r="Y414" s="36">
        <f>IF(DaybyDay[[#This Row],[_Space]],IFERROR(
((DaybyDay[[#This Row],[Actual-Rollup]]-DaybyDay[[#This Row],[LY-Rollup]])/DaybyDay[[#This Row],[LY-Rollup]]),0),"")</f>
        <v>0</v>
      </c>
      <c r="Z414"/>
      <c r="AA414" s="37" t="e">
        <f>IF(DaybyDay[[#This Row],[_Space]],DaybyDay[[#This Row],[Ret-Act-RU]]/DaybyDay[[#This Row],[Serv-Act-RU]],"")</f>
        <v>#DIV/0!</v>
      </c>
      <c r="AB414" s="50" t="e">
        <f>IF(DaybyDay[[#This Row],[_Space]],DaybyDay[[#This Row],[RETPEN-Act]]/DaybyDay[[#This Row],[RETPEN-Bud]],"")</f>
        <v>#DIV/0!</v>
      </c>
      <c r="AC414" s="37" t="e">
        <f>IF(DaybyDay[[#This Row],[_Space]],DaybyDay[[#This Row],[Ret-Bud-RU]]/DaybyDay[[#This Row],[Serv-Bud-RU]],"")</f>
        <v>#DIV/0!</v>
      </c>
      <c r="AD414" s="37" t="e">
        <f>IF(DaybyDay[[#This Row],[_Space]],DaybyDay[[#This Row],[Ret-LY-RU]]/DaybyDay[[#This Row],[Serv-LY-RU]],"")</f>
        <v>#DIV/0!</v>
      </c>
      <c r="AE414" s="30">
        <f>WEEKDAY(DaybyDay[[#This Row],[LY-Date]])</f>
        <v>2</v>
      </c>
      <c r="AF414" s="38">
        <f>$E$2+_xlfn.DAYS(DaybyDay[[#This Row],[Date]],minDate)</f>
        <v>42779</v>
      </c>
      <c r="AG414" s="39" cm="1">
        <f t="array" ref="AG414">IFERROR(INDEX(DaybyDay[],DaybyDay[[#This Row],[FORM_MATCH_HELPER]],8),"")</f>
        <v>29</v>
      </c>
      <c r="AH414" s="39" cm="1">
        <f t="array" ref="AH414">IFERROR(INDEX(DaybyDay[],DaybyDay[[#This Row],[FORM_MATCH_HELPER]],10),"")</f>
        <v>5143.3999999999996</v>
      </c>
      <c r="AI414" s="39" cm="1">
        <f t="array" ref="AI414">IFERROR(INDEX(DaybyDay[],DaybyDay[[#This Row],[FORM_MATCH_HELPER]],12),"")</f>
        <v>856.77</v>
      </c>
      <c r="AJ414" s="32">
        <f>IFERROR(DaybyDay[[#This Row],[Serv-LY-RU]]+DaybyDay[[#This Row],[Ret-LY-RU]],"")</f>
        <v>0</v>
      </c>
      <c r="AK4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4" s="77"/>
      <c r="AM414" s="40" t="str">
        <f>IF(DaybyDay[[#This Row],[Admin Hours]]&gt;0,DaybyDay[[#This Row],[Admin Hours]]*$AM$2+$AM$3,"")</f>
        <v/>
      </c>
      <c r="AN414" s="40">
        <f>SUMIFS(DaybyDay[Est-Admin-Payroll],DaybyDay[Date],"&gt;="&amp;$C$5,DaybyDay[RowYear],"&gt;="&amp;$C$4,DaybyDay[Date],"&lt;="&amp;DaybyDay[[#This Row],[Date]])</f>
        <v>0</v>
      </c>
      <c r="AO414" s="41" t="str">
        <f>IF(AND(DaybyDay[[#This Row],[_Space]],ISNUMBER(DaybyDay[[#This Row],[Admin Hours]])),DaybyDay[[#This Row],[Est-Admin-Payroll]]/(DaybyDay[[#This Row],[Service-Actuals]]+DaybyDay[[#This Row],[Retail-Actuals]]),"")</f>
        <v/>
      </c>
      <c r="AP414" s="41" t="e">
        <f>DaybyDay[[#This Row],[Estimated-Payroll-Rollup]]/DaybyDay[[#This Row],[Simple-Forecast]]</f>
        <v>#DIV/0!</v>
      </c>
      <c r="AQ4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4" s="77"/>
      <c r="AS414" s="40" t="str">
        <f>IF(DaybyDay[[#This Row],[Retail Hours]]&gt;0,DaybyDay[[#This Row],[Retail Hours]]*$AS$2,"")</f>
        <v/>
      </c>
      <c r="AT414" s="40">
        <f>SUMIFS(DaybyDay[Est-Retail-Payroll],DaybyDay[Date],"&gt;="&amp;$C$5,DaybyDay[RowYear],"&gt;="&amp;$C$4,DaybyDay[Date],"&lt;="&amp;DaybyDay[[#This Row],[Date]])</f>
        <v>0</v>
      </c>
      <c r="AU414" s="82" t="str">
        <f>IF(AND(DaybyDay[[#This Row],[_Space]],ISNUMBER(DaybyDay[[#This Row],[Retail Hours]])),DaybyDay[[#This Row],[Est-Retail-Payroll]]/(DaybyDay[[#This Row],[Retail-Actuals]]),"")</f>
        <v/>
      </c>
      <c r="AV414" s="82" t="e">
        <f>DaybyDay[[#This Row],[Est-Retail-PayrollRU]]/DaybyDay[[#This Row],[Simple-Forecast-Retail]]</f>
        <v>#DIV/0!</v>
      </c>
      <c r="AW414" s="8"/>
    </row>
    <row r="415" spans="3:49" hidden="1" x14ac:dyDescent="0.25">
      <c r="C415" s="26" t="str">
        <f>Tools!$C$1</f>
        <v>Example</v>
      </c>
      <c r="D415" s="27" t="s">
        <v>69</v>
      </c>
      <c r="E415" s="28">
        <v>2018</v>
      </c>
      <c r="F415" s="28">
        <f>MATCH(DaybyDay[[#This Row],[RowMonth]],Table3[SummaryMonth],0)</f>
        <v>2</v>
      </c>
      <c r="G415" s="29">
        <f>MATCH(DaybyDay[[#This Row],[LY-Date]],DaybyDay[Date],0)</f>
        <v>45</v>
      </c>
      <c r="H415" s="30">
        <f>WEEKDAY(DaybyDay[[#This Row],[Date]])</f>
        <v>3</v>
      </c>
      <c r="I415" s="31">
        <v>43144</v>
      </c>
      <c r="J415" s="74">
        <v>17</v>
      </c>
      <c r="K415" s="32">
        <f>SUMIFS(BudgetSeasonality[365 Seasonality],BudgetSeasonality[MonthAdjustment],DaybyDay[[#This Row],[Date]])*SUMIFS(Budgets[Service-Budget],Budgets[BudgetMonth],DaybyDay[[#This Row],[RowMonth]],Budgets[BudgetYear],DaybyDay[[#This Row],[RowYear]])</f>
        <v>3825.8448360256161</v>
      </c>
      <c r="L415" s="75">
        <v>2983</v>
      </c>
      <c r="M415" s="32">
        <f>INDEX(BudgetSeasonality[365 Seasonality],MATCH(DaybyDay[[#This Row],[Date]],BudgetSeasonality[MonthAdjustment],0))*SUMIFS(Budgets[Retail-Budget],Budgets[BudgetMonth],DaybyDay[[#This Row],[RowMonth]],Budgets[BudgetYear],DaybyDay[[#This Row],[RowYear]])</f>
        <v>1149.2015374223804</v>
      </c>
      <c r="N415" s="75">
        <v>270.5</v>
      </c>
      <c r="O415" s="33">
        <f>SUMIFS(DaybyDay[Service-Budgets],DaybyDay[Date],"&gt;="&amp;$C$5,DaybyDay[RowYear],"&gt;="&amp;$C$4,DaybyDay[Date],"&lt;="&amp;DaybyDay[[#This Row],[Date]])</f>
        <v>0</v>
      </c>
      <c r="P415" s="33">
        <f>SUMIFS(DaybyDay[Retail-Budgets],DaybyDay[Date],"&gt;="&amp;$C$5,DaybyDay[RowYear],"&gt;="&amp;$C$4,DaybyDay[Date],"&lt;="&amp;DaybyDay[[#This Row],[Date]])</f>
        <v>0</v>
      </c>
      <c r="Q415" s="34">
        <f>SUMIFS(DaybyDay[Service-Actuals],DaybyDay[Date],"&gt;="&amp;$C$5,DaybyDay[RowYear],"&gt;="&amp;$C$4,DaybyDay[Date],"&lt;="&amp;DaybyDay[[#This Row],[Date]])</f>
        <v>0</v>
      </c>
      <c r="R415" s="34">
        <f>SUMIFS(DaybyDay[Retail-Actuals],DaybyDay[Date],"&gt;="&amp;$C$5,DaybyDay[RowYear],"&gt;="&amp;$C$4,DaybyDay[Date],"&lt;="&amp;DaybyDay[[#This Row],[Date]])</f>
        <v>0</v>
      </c>
      <c r="S415" s="35">
        <f>SUMIFS(DaybyDay[Service-LY],DaybyDay[Date],"&gt;="&amp;$C$5,DaybyDay[RowYear],"&gt;="&amp;$C$4,DaybyDay[Date],"&lt;="&amp;DaybyDay[[#This Row],[Date]])</f>
        <v>0</v>
      </c>
      <c r="T415" s="35">
        <f>SUMIFS(DaybyDay[Retail-LY],DaybyDay[Date],"&gt;="&amp;$C$5,DaybyDay[RowYear],"&gt;="&amp;$C$4,DaybyDay[Date],"&lt;="&amp;DaybyDay[[#This Row],[Date]])</f>
        <v>0</v>
      </c>
      <c r="U415" s="32">
        <f>DaybyDay[[#This Row],[Serv-Bud-RU]]+DaybyDay[[#This Row],[Ret-Bud-RU]]</f>
        <v>0</v>
      </c>
      <c r="V415" s="32">
        <f>DaybyDay[[#This Row],[Serv-Act-RU]]+DaybyDay[[#This Row],[Ret-Act-RU]]</f>
        <v>0</v>
      </c>
      <c r="W415" s="36">
        <f>IF(DaybyDay[[#This Row],[_Space]],IFERROR(
((DaybyDay[[#This Row],[Actual-Rollup]]-DaybyDay[[#This Row],[Budget-Rollup]])/DaybyDay[[#This Row],[Budget-Rollup]]),0),"")</f>
        <v>0</v>
      </c>
      <c r="X415" t="b">
        <f>NOT(AND(ISBLANK(DaybyDay[[#This Row],[Appts]]),ISBLANK(DaybyDay[[#This Row],[Service-Actuals]]),ISBLANK(DaybyDay[[#This Row],[Retail-Actuals]])))</f>
        <v>1</v>
      </c>
      <c r="Y415" s="36">
        <f>IF(DaybyDay[[#This Row],[_Space]],IFERROR(
((DaybyDay[[#This Row],[Actual-Rollup]]-DaybyDay[[#This Row],[LY-Rollup]])/DaybyDay[[#This Row],[LY-Rollup]]),0),"")</f>
        <v>0</v>
      </c>
      <c r="Z415"/>
      <c r="AA415" s="37" t="e">
        <f>IF(DaybyDay[[#This Row],[_Space]],DaybyDay[[#This Row],[Ret-Act-RU]]/DaybyDay[[#This Row],[Serv-Act-RU]],"")</f>
        <v>#DIV/0!</v>
      </c>
      <c r="AB415" s="50" t="e">
        <f>IF(DaybyDay[[#This Row],[_Space]],DaybyDay[[#This Row],[RETPEN-Act]]/DaybyDay[[#This Row],[RETPEN-Bud]],"")</f>
        <v>#DIV/0!</v>
      </c>
      <c r="AC415" s="37" t="e">
        <f>IF(DaybyDay[[#This Row],[_Space]],DaybyDay[[#This Row],[Ret-Bud-RU]]/DaybyDay[[#This Row],[Serv-Bud-RU]],"")</f>
        <v>#DIV/0!</v>
      </c>
      <c r="AD415" s="37" t="e">
        <f>IF(DaybyDay[[#This Row],[_Space]],DaybyDay[[#This Row],[Ret-LY-RU]]/DaybyDay[[#This Row],[Serv-LY-RU]],"")</f>
        <v>#DIV/0!</v>
      </c>
      <c r="AE415" s="30">
        <f>WEEKDAY(DaybyDay[[#This Row],[LY-Date]])</f>
        <v>3</v>
      </c>
      <c r="AF415" s="38">
        <f>$E$2+_xlfn.DAYS(DaybyDay[[#This Row],[Date]],minDate)</f>
        <v>42780</v>
      </c>
      <c r="AG415" s="39" cm="1">
        <f t="array" ref="AG415">IFERROR(INDEX(DaybyDay[],DaybyDay[[#This Row],[FORM_MATCH_HELPER]],8),"")</f>
        <v>43</v>
      </c>
      <c r="AH415" s="39" cm="1">
        <f t="array" ref="AH415">IFERROR(INDEX(DaybyDay[],DaybyDay[[#This Row],[FORM_MATCH_HELPER]],10),"")</f>
        <v>9013.3799999999992</v>
      </c>
      <c r="AI415" s="39" cm="1">
        <f t="array" ref="AI415">IFERROR(INDEX(DaybyDay[],DaybyDay[[#This Row],[FORM_MATCH_HELPER]],12),"")</f>
        <v>967</v>
      </c>
      <c r="AJ415" s="32">
        <f>IFERROR(DaybyDay[[#This Row],[Serv-LY-RU]]+DaybyDay[[#This Row],[Ret-LY-RU]],"")</f>
        <v>0</v>
      </c>
      <c r="AK4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5" s="77"/>
      <c r="AM415" s="40" t="str">
        <f>IF(DaybyDay[[#This Row],[Admin Hours]]&gt;0,DaybyDay[[#This Row],[Admin Hours]]*$AM$2+$AM$3,"")</f>
        <v/>
      </c>
      <c r="AN415" s="40">
        <f>SUMIFS(DaybyDay[Est-Admin-Payroll],DaybyDay[Date],"&gt;="&amp;$C$5,DaybyDay[RowYear],"&gt;="&amp;$C$4,DaybyDay[Date],"&lt;="&amp;DaybyDay[[#This Row],[Date]])</f>
        <v>0</v>
      </c>
      <c r="AO415" s="41" t="str">
        <f>IF(AND(DaybyDay[[#This Row],[_Space]],ISNUMBER(DaybyDay[[#This Row],[Admin Hours]])),DaybyDay[[#This Row],[Est-Admin-Payroll]]/(DaybyDay[[#This Row],[Service-Actuals]]+DaybyDay[[#This Row],[Retail-Actuals]]),"")</f>
        <v/>
      </c>
      <c r="AP415" s="41" t="e">
        <f>DaybyDay[[#This Row],[Estimated-Payroll-Rollup]]/DaybyDay[[#This Row],[Simple-Forecast]]</f>
        <v>#DIV/0!</v>
      </c>
      <c r="AQ4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5" s="77"/>
      <c r="AS415" s="40" t="str">
        <f>IF(DaybyDay[[#This Row],[Retail Hours]]&gt;0,DaybyDay[[#This Row],[Retail Hours]]*$AS$2,"")</f>
        <v/>
      </c>
      <c r="AT415" s="40">
        <f>SUMIFS(DaybyDay[Est-Retail-Payroll],DaybyDay[Date],"&gt;="&amp;$C$5,DaybyDay[RowYear],"&gt;="&amp;$C$4,DaybyDay[Date],"&lt;="&amp;DaybyDay[[#This Row],[Date]])</f>
        <v>0</v>
      </c>
      <c r="AU415" s="82" t="str">
        <f>IF(AND(DaybyDay[[#This Row],[_Space]],ISNUMBER(DaybyDay[[#This Row],[Retail Hours]])),DaybyDay[[#This Row],[Est-Retail-Payroll]]/(DaybyDay[[#This Row],[Retail-Actuals]]),"")</f>
        <v/>
      </c>
      <c r="AV415" s="82" t="e">
        <f>DaybyDay[[#This Row],[Est-Retail-PayrollRU]]/DaybyDay[[#This Row],[Simple-Forecast-Retail]]</f>
        <v>#DIV/0!</v>
      </c>
      <c r="AW415" s="8"/>
    </row>
    <row r="416" spans="3:49" hidden="1" x14ac:dyDescent="0.25">
      <c r="C416" s="26" t="str">
        <f>Tools!$C$1</f>
        <v>Example</v>
      </c>
      <c r="D416" s="27" t="s">
        <v>69</v>
      </c>
      <c r="E416" s="28">
        <v>2018</v>
      </c>
      <c r="F416" s="28">
        <f>MATCH(DaybyDay[[#This Row],[RowMonth]],Table3[SummaryMonth],0)</f>
        <v>2</v>
      </c>
      <c r="G416" s="29">
        <f>MATCH(DaybyDay[[#This Row],[LY-Date]],DaybyDay[Date],0)</f>
        <v>46</v>
      </c>
      <c r="H416" s="30">
        <f>WEEKDAY(DaybyDay[[#This Row],[Date]])</f>
        <v>4</v>
      </c>
      <c r="I416" s="31">
        <v>43145</v>
      </c>
      <c r="J416" s="74">
        <v>18</v>
      </c>
      <c r="K416" s="32">
        <f>SUMIFS(BudgetSeasonality[365 Seasonality],BudgetSeasonality[MonthAdjustment],DaybyDay[[#This Row],[Date]])*SUMIFS(Budgets[Service-Budget],Budgets[BudgetMonth],DaybyDay[[#This Row],[RowMonth]],Budgets[BudgetYear],DaybyDay[[#This Row],[RowYear]])</f>
        <v>6932.891781278232</v>
      </c>
      <c r="L416" s="75">
        <v>5243</v>
      </c>
      <c r="M416" s="32">
        <f>INDEX(BudgetSeasonality[365 Seasonality],MATCH(DaybyDay[[#This Row],[Date]],BudgetSeasonality[MonthAdjustment],0))*SUMIFS(Budgets[Retail-Budget],Budgets[BudgetMonth],DaybyDay[[#This Row],[RowMonth]],Budgets[BudgetYear],DaybyDay[[#This Row],[RowYear]])</f>
        <v>2082.4916417950058</v>
      </c>
      <c r="N416" s="75">
        <v>1708.5</v>
      </c>
      <c r="O416" s="33">
        <f>SUMIFS(DaybyDay[Service-Budgets],DaybyDay[Date],"&gt;="&amp;$C$5,DaybyDay[RowYear],"&gt;="&amp;$C$4,DaybyDay[Date],"&lt;="&amp;DaybyDay[[#This Row],[Date]])</f>
        <v>0</v>
      </c>
      <c r="P416" s="33">
        <f>SUMIFS(DaybyDay[Retail-Budgets],DaybyDay[Date],"&gt;="&amp;$C$5,DaybyDay[RowYear],"&gt;="&amp;$C$4,DaybyDay[Date],"&lt;="&amp;DaybyDay[[#This Row],[Date]])</f>
        <v>0</v>
      </c>
      <c r="Q416" s="34">
        <f>SUMIFS(DaybyDay[Service-Actuals],DaybyDay[Date],"&gt;="&amp;$C$5,DaybyDay[RowYear],"&gt;="&amp;$C$4,DaybyDay[Date],"&lt;="&amp;DaybyDay[[#This Row],[Date]])</f>
        <v>0</v>
      </c>
      <c r="R416" s="34">
        <f>SUMIFS(DaybyDay[Retail-Actuals],DaybyDay[Date],"&gt;="&amp;$C$5,DaybyDay[RowYear],"&gt;="&amp;$C$4,DaybyDay[Date],"&lt;="&amp;DaybyDay[[#This Row],[Date]])</f>
        <v>0</v>
      </c>
      <c r="S416" s="35">
        <f>SUMIFS(DaybyDay[Service-LY],DaybyDay[Date],"&gt;="&amp;$C$5,DaybyDay[RowYear],"&gt;="&amp;$C$4,DaybyDay[Date],"&lt;="&amp;DaybyDay[[#This Row],[Date]])</f>
        <v>0</v>
      </c>
      <c r="T416" s="35">
        <f>SUMIFS(DaybyDay[Retail-LY],DaybyDay[Date],"&gt;="&amp;$C$5,DaybyDay[RowYear],"&gt;="&amp;$C$4,DaybyDay[Date],"&lt;="&amp;DaybyDay[[#This Row],[Date]])</f>
        <v>0</v>
      </c>
      <c r="U416" s="32">
        <f>DaybyDay[[#This Row],[Serv-Bud-RU]]+DaybyDay[[#This Row],[Ret-Bud-RU]]</f>
        <v>0</v>
      </c>
      <c r="V416" s="32">
        <f>DaybyDay[[#This Row],[Serv-Act-RU]]+DaybyDay[[#This Row],[Ret-Act-RU]]</f>
        <v>0</v>
      </c>
      <c r="W416" s="36">
        <f>IF(DaybyDay[[#This Row],[_Space]],IFERROR(
((DaybyDay[[#This Row],[Actual-Rollup]]-DaybyDay[[#This Row],[Budget-Rollup]])/DaybyDay[[#This Row],[Budget-Rollup]]),0),"")</f>
        <v>0</v>
      </c>
      <c r="X416" t="b">
        <f>NOT(AND(ISBLANK(DaybyDay[[#This Row],[Appts]]),ISBLANK(DaybyDay[[#This Row],[Service-Actuals]]),ISBLANK(DaybyDay[[#This Row],[Retail-Actuals]])))</f>
        <v>1</v>
      </c>
      <c r="Y416" s="36">
        <f>IF(DaybyDay[[#This Row],[_Space]],IFERROR(
((DaybyDay[[#This Row],[Actual-Rollup]]-DaybyDay[[#This Row],[LY-Rollup]])/DaybyDay[[#This Row],[LY-Rollup]]),0),"")</f>
        <v>0</v>
      </c>
      <c r="Z416"/>
      <c r="AA416" s="37" t="e">
        <f>IF(DaybyDay[[#This Row],[_Space]],DaybyDay[[#This Row],[Ret-Act-RU]]/DaybyDay[[#This Row],[Serv-Act-RU]],"")</f>
        <v>#DIV/0!</v>
      </c>
      <c r="AB416" s="50" t="e">
        <f>IF(DaybyDay[[#This Row],[_Space]],DaybyDay[[#This Row],[RETPEN-Act]]/DaybyDay[[#This Row],[RETPEN-Bud]],"")</f>
        <v>#DIV/0!</v>
      </c>
      <c r="AC416" s="37" t="e">
        <f>IF(DaybyDay[[#This Row],[_Space]],DaybyDay[[#This Row],[Ret-Bud-RU]]/DaybyDay[[#This Row],[Serv-Bud-RU]],"")</f>
        <v>#DIV/0!</v>
      </c>
      <c r="AD416" s="37" t="e">
        <f>IF(DaybyDay[[#This Row],[_Space]],DaybyDay[[#This Row],[Ret-LY-RU]]/DaybyDay[[#This Row],[Serv-LY-RU]],"")</f>
        <v>#DIV/0!</v>
      </c>
      <c r="AE416" s="30">
        <f>WEEKDAY(DaybyDay[[#This Row],[LY-Date]])</f>
        <v>4</v>
      </c>
      <c r="AF416" s="38">
        <f>$E$2+_xlfn.DAYS(DaybyDay[[#This Row],[Date]],minDate)</f>
        <v>42781</v>
      </c>
      <c r="AG416" s="39" cm="1">
        <f t="array" ref="AG416">IFERROR(INDEX(DaybyDay[],DaybyDay[[#This Row],[FORM_MATCH_HELPER]],8),"")</f>
        <v>37</v>
      </c>
      <c r="AH416" s="39" cm="1">
        <f t="array" ref="AH416">IFERROR(INDEX(DaybyDay[],DaybyDay[[#This Row],[FORM_MATCH_HELPER]],10),"")</f>
        <v>6035.34</v>
      </c>
      <c r="AI416" s="39" cm="1">
        <f t="array" ref="AI416">IFERROR(INDEX(DaybyDay[],DaybyDay[[#This Row],[FORM_MATCH_HELPER]],12),"")</f>
        <v>993.03</v>
      </c>
      <c r="AJ416" s="32">
        <f>IFERROR(DaybyDay[[#This Row],[Serv-LY-RU]]+DaybyDay[[#This Row],[Ret-LY-RU]],"")</f>
        <v>0</v>
      </c>
      <c r="AK4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6" s="77"/>
      <c r="AM416" s="40" t="str">
        <f>IF(DaybyDay[[#This Row],[Admin Hours]]&gt;0,DaybyDay[[#This Row],[Admin Hours]]*$AM$2+$AM$3,"")</f>
        <v/>
      </c>
      <c r="AN416" s="40">
        <f>SUMIFS(DaybyDay[Est-Admin-Payroll],DaybyDay[Date],"&gt;="&amp;$C$5,DaybyDay[RowYear],"&gt;="&amp;$C$4,DaybyDay[Date],"&lt;="&amp;DaybyDay[[#This Row],[Date]])</f>
        <v>0</v>
      </c>
      <c r="AO416" s="41" t="str">
        <f>IF(AND(DaybyDay[[#This Row],[_Space]],ISNUMBER(DaybyDay[[#This Row],[Admin Hours]])),DaybyDay[[#This Row],[Est-Admin-Payroll]]/(DaybyDay[[#This Row],[Service-Actuals]]+DaybyDay[[#This Row],[Retail-Actuals]]),"")</f>
        <v/>
      </c>
      <c r="AP416" s="41" t="e">
        <f>DaybyDay[[#This Row],[Estimated-Payroll-Rollup]]/DaybyDay[[#This Row],[Simple-Forecast]]</f>
        <v>#DIV/0!</v>
      </c>
      <c r="AQ4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6" s="77"/>
      <c r="AS416" s="40" t="str">
        <f>IF(DaybyDay[[#This Row],[Retail Hours]]&gt;0,DaybyDay[[#This Row],[Retail Hours]]*$AS$2,"")</f>
        <v/>
      </c>
      <c r="AT416" s="40">
        <f>SUMIFS(DaybyDay[Est-Retail-Payroll],DaybyDay[Date],"&gt;="&amp;$C$5,DaybyDay[RowYear],"&gt;="&amp;$C$4,DaybyDay[Date],"&lt;="&amp;DaybyDay[[#This Row],[Date]])</f>
        <v>0</v>
      </c>
      <c r="AU416" s="82" t="str">
        <f>IF(AND(DaybyDay[[#This Row],[_Space]],ISNUMBER(DaybyDay[[#This Row],[Retail Hours]])),DaybyDay[[#This Row],[Est-Retail-Payroll]]/(DaybyDay[[#This Row],[Retail-Actuals]]),"")</f>
        <v/>
      </c>
      <c r="AV416" s="82" t="e">
        <f>DaybyDay[[#This Row],[Est-Retail-PayrollRU]]/DaybyDay[[#This Row],[Simple-Forecast-Retail]]</f>
        <v>#DIV/0!</v>
      </c>
      <c r="AW416" s="8"/>
    </row>
    <row r="417" spans="3:49" hidden="1" x14ac:dyDescent="0.25">
      <c r="C417" s="26" t="str">
        <f>Tools!$C$1</f>
        <v>Example</v>
      </c>
      <c r="D417" s="27" t="s">
        <v>69</v>
      </c>
      <c r="E417" s="28">
        <v>2018</v>
      </c>
      <c r="F417" s="28">
        <f>MATCH(DaybyDay[[#This Row],[RowMonth]],Table3[SummaryMonth],0)</f>
        <v>2</v>
      </c>
      <c r="G417" s="29">
        <f>MATCH(DaybyDay[[#This Row],[LY-Date]],DaybyDay[Date],0)</f>
        <v>47</v>
      </c>
      <c r="H417" s="30">
        <f>WEEKDAY(DaybyDay[[#This Row],[Date]])</f>
        <v>5</v>
      </c>
      <c r="I417" s="31">
        <v>43146</v>
      </c>
      <c r="J417" s="74">
        <v>20</v>
      </c>
      <c r="K417" s="32">
        <f>SUMIFS(BudgetSeasonality[365 Seasonality],BudgetSeasonality[MonthAdjustment],DaybyDay[[#This Row],[Date]])*SUMIFS(Budgets[Service-Budget],Budgets[BudgetMonth],DaybyDay[[#This Row],[RowMonth]],Budgets[BudgetYear],DaybyDay[[#This Row],[RowYear]])</f>
        <v>4618.5857988202961</v>
      </c>
      <c r="L417" s="75">
        <v>3959</v>
      </c>
      <c r="M417" s="32">
        <f>INDEX(BudgetSeasonality[365 Seasonality],MATCH(DaybyDay[[#This Row],[Date]],BudgetSeasonality[MonthAdjustment],0))*SUMIFS(Budgets[Retail-Budget],Budgets[BudgetMonth],DaybyDay[[#This Row],[RowMonth]],Budgets[BudgetYear],DaybyDay[[#This Row],[RowYear]])</f>
        <v>1387.3238796153623</v>
      </c>
      <c r="N417" s="75">
        <v>1000</v>
      </c>
      <c r="O417" s="33">
        <f>SUMIFS(DaybyDay[Service-Budgets],DaybyDay[Date],"&gt;="&amp;$C$5,DaybyDay[RowYear],"&gt;="&amp;$C$4,DaybyDay[Date],"&lt;="&amp;DaybyDay[[#This Row],[Date]])</f>
        <v>0</v>
      </c>
      <c r="P417" s="33">
        <f>SUMIFS(DaybyDay[Retail-Budgets],DaybyDay[Date],"&gt;="&amp;$C$5,DaybyDay[RowYear],"&gt;="&amp;$C$4,DaybyDay[Date],"&lt;="&amp;DaybyDay[[#This Row],[Date]])</f>
        <v>0</v>
      </c>
      <c r="Q417" s="34">
        <f>SUMIFS(DaybyDay[Service-Actuals],DaybyDay[Date],"&gt;="&amp;$C$5,DaybyDay[RowYear],"&gt;="&amp;$C$4,DaybyDay[Date],"&lt;="&amp;DaybyDay[[#This Row],[Date]])</f>
        <v>0</v>
      </c>
      <c r="R417" s="34">
        <f>SUMIFS(DaybyDay[Retail-Actuals],DaybyDay[Date],"&gt;="&amp;$C$5,DaybyDay[RowYear],"&gt;="&amp;$C$4,DaybyDay[Date],"&lt;="&amp;DaybyDay[[#This Row],[Date]])</f>
        <v>0</v>
      </c>
      <c r="S417" s="35">
        <f>SUMIFS(DaybyDay[Service-LY],DaybyDay[Date],"&gt;="&amp;$C$5,DaybyDay[RowYear],"&gt;="&amp;$C$4,DaybyDay[Date],"&lt;="&amp;DaybyDay[[#This Row],[Date]])</f>
        <v>0</v>
      </c>
      <c r="T417" s="35">
        <f>SUMIFS(DaybyDay[Retail-LY],DaybyDay[Date],"&gt;="&amp;$C$5,DaybyDay[RowYear],"&gt;="&amp;$C$4,DaybyDay[Date],"&lt;="&amp;DaybyDay[[#This Row],[Date]])</f>
        <v>0</v>
      </c>
      <c r="U417" s="32">
        <f>DaybyDay[[#This Row],[Serv-Bud-RU]]+DaybyDay[[#This Row],[Ret-Bud-RU]]</f>
        <v>0</v>
      </c>
      <c r="V417" s="32">
        <f>DaybyDay[[#This Row],[Serv-Act-RU]]+DaybyDay[[#This Row],[Ret-Act-RU]]</f>
        <v>0</v>
      </c>
      <c r="W417" s="36">
        <f>IF(DaybyDay[[#This Row],[_Space]],IFERROR(
((DaybyDay[[#This Row],[Actual-Rollup]]-DaybyDay[[#This Row],[Budget-Rollup]])/DaybyDay[[#This Row],[Budget-Rollup]]),0),"")</f>
        <v>0</v>
      </c>
      <c r="X417" t="b">
        <f>NOT(AND(ISBLANK(DaybyDay[[#This Row],[Appts]]),ISBLANK(DaybyDay[[#This Row],[Service-Actuals]]),ISBLANK(DaybyDay[[#This Row],[Retail-Actuals]])))</f>
        <v>1</v>
      </c>
      <c r="Y417" s="36">
        <f>IF(DaybyDay[[#This Row],[_Space]],IFERROR(
((DaybyDay[[#This Row],[Actual-Rollup]]-DaybyDay[[#This Row],[LY-Rollup]])/DaybyDay[[#This Row],[LY-Rollup]]),0),"")</f>
        <v>0</v>
      </c>
      <c r="Z417"/>
      <c r="AA417" s="37" t="e">
        <f>IF(DaybyDay[[#This Row],[_Space]],DaybyDay[[#This Row],[Ret-Act-RU]]/DaybyDay[[#This Row],[Serv-Act-RU]],"")</f>
        <v>#DIV/0!</v>
      </c>
      <c r="AB417" s="50" t="e">
        <f>IF(DaybyDay[[#This Row],[_Space]],DaybyDay[[#This Row],[RETPEN-Act]]/DaybyDay[[#This Row],[RETPEN-Bud]],"")</f>
        <v>#DIV/0!</v>
      </c>
      <c r="AC417" s="37" t="e">
        <f>IF(DaybyDay[[#This Row],[_Space]],DaybyDay[[#This Row],[Ret-Bud-RU]]/DaybyDay[[#This Row],[Serv-Bud-RU]],"")</f>
        <v>#DIV/0!</v>
      </c>
      <c r="AD417" s="37" t="e">
        <f>IF(DaybyDay[[#This Row],[_Space]],DaybyDay[[#This Row],[Ret-LY-RU]]/DaybyDay[[#This Row],[Serv-LY-RU]],"")</f>
        <v>#DIV/0!</v>
      </c>
      <c r="AE417" s="30">
        <f>WEEKDAY(DaybyDay[[#This Row],[LY-Date]])</f>
        <v>5</v>
      </c>
      <c r="AF417" s="38">
        <f>$E$2+_xlfn.DAYS(DaybyDay[[#This Row],[Date]],minDate)</f>
        <v>42782</v>
      </c>
      <c r="AG417" s="39" cm="1">
        <f t="array" ref="AG417">IFERROR(INDEX(DaybyDay[],DaybyDay[[#This Row],[FORM_MATCH_HELPER]],8),"")</f>
        <v>19</v>
      </c>
      <c r="AH417" s="39" cm="1">
        <f t="array" ref="AH417">IFERROR(INDEX(DaybyDay[],DaybyDay[[#This Row],[FORM_MATCH_HELPER]],10),"")</f>
        <v>2825.69</v>
      </c>
      <c r="AI417" s="39" cm="1">
        <f t="array" ref="AI417">IFERROR(INDEX(DaybyDay[],DaybyDay[[#This Row],[FORM_MATCH_HELPER]],12),"")</f>
        <v>836.8</v>
      </c>
      <c r="AJ417" s="32">
        <f>IFERROR(DaybyDay[[#This Row],[Serv-LY-RU]]+DaybyDay[[#This Row],[Ret-LY-RU]],"")</f>
        <v>0</v>
      </c>
      <c r="AK4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7" s="77"/>
      <c r="AM417" s="40" t="str">
        <f>IF(DaybyDay[[#This Row],[Admin Hours]]&gt;0,DaybyDay[[#This Row],[Admin Hours]]*$AM$2+$AM$3,"")</f>
        <v/>
      </c>
      <c r="AN417" s="40">
        <f>SUMIFS(DaybyDay[Est-Admin-Payroll],DaybyDay[Date],"&gt;="&amp;$C$5,DaybyDay[RowYear],"&gt;="&amp;$C$4,DaybyDay[Date],"&lt;="&amp;DaybyDay[[#This Row],[Date]])</f>
        <v>0</v>
      </c>
      <c r="AO417" s="41" t="str">
        <f>IF(AND(DaybyDay[[#This Row],[_Space]],ISNUMBER(DaybyDay[[#This Row],[Admin Hours]])),DaybyDay[[#This Row],[Est-Admin-Payroll]]/(DaybyDay[[#This Row],[Service-Actuals]]+DaybyDay[[#This Row],[Retail-Actuals]]),"")</f>
        <v/>
      </c>
      <c r="AP417" s="41" t="e">
        <f>DaybyDay[[#This Row],[Estimated-Payroll-Rollup]]/DaybyDay[[#This Row],[Simple-Forecast]]</f>
        <v>#DIV/0!</v>
      </c>
      <c r="AQ4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7" s="77"/>
      <c r="AS417" s="40" t="str">
        <f>IF(DaybyDay[[#This Row],[Retail Hours]]&gt;0,DaybyDay[[#This Row],[Retail Hours]]*$AS$2,"")</f>
        <v/>
      </c>
      <c r="AT417" s="40">
        <f>SUMIFS(DaybyDay[Est-Retail-Payroll],DaybyDay[Date],"&gt;="&amp;$C$5,DaybyDay[RowYear],"&gt;="&amp;$C$4,DaybyDay[Date],"&lt;="&amp;DaybyDay[[#This Row],[Date]])</f>
        <v>0</v>
      </c>
      <c r="AU417" s="82" t="str">
        <f>IF(AND(DaybyDay[[#This Row],[_Space]],ISNUMBER(DaybyDay[[#This Row],[Retail Hours]])),DaybyDay[[#This Row],[Est-Retail-Payroll]]/(DaybyDay[[#This Row],[Retail-Actuals]]),"")</f>
        <v/>
      </c>
      <c r="AV417" s="82" t="e">
        <f>DaybyDay[[#This Row],[Est-Retail-PayrollRU]]/DaybyDay[[#This Row],[Simple-Forecast-Retail]]</f>
        <v>#DIV/0!</v>
      </c>
      <c r="AW417" s="8"/>
    </row>
    <row r="418" spans="3:49" hidden="1" x14ac:dyDescent="0.25">
      <c r="C418" s="26" t="str">
        <f>Tools!$C$1</f>
        <v>Example</v>
      </c>
      <c r="D418" s="27" t="s">
        <v>69</v>
      </c>
      <c r="E418" s="28">
        <v>2018</v>
      </c>
      <c r="F418" s="28">
        <f>MATCH(DaybyDay[[#This Row],[RowMonth]],Table3[SummaryMonth],0)</f>
        <v>2</v>
      </c>
      <c r="G418" s="29">
        <f>MATCH(DaybyDay[[#This Row],[LY-Date]],DaybyDay[Date],0)</f>
        <v>48</v>
      </c>
      <c r="H418" s="30">
        <f>WEEKDAY(DaybyDay[[#This Row],[Date]])</f>
        <v>6</v>
      </c>
      <c r="I418" s="31">
        <v>43147</v>
      </c>
      <c r="J418" s="74">
        <v>25</v>
      </c>
      <c r="K418" s="32">
        <f>SUMIFS(BudgetSeasonality[365 Seasonality],BudgetSeasonality[MonthAdjustment],DaybyDay[[#This Row],[Date]])*SUMIFS(Budgets[Service-Budget],Budgets[BudgetMonth],DaybyDay[[#This Row],[RowMonth]],Budgets[BudgetYear],DaybyDay[[#This Row],[RowYear]])</f>
        <v>5193.9894181670561</v>
      </c>
      <c r="L418" s="75">
        <v>5369</v>
      </c>
      <c r="M418" s="32">
        <f>INDEX(BudgetSeasonality[365 Seasonality],MATCH(DaybyDay[[#This Row],[Date]],BudgetSeasonality[MonthAdjustment],0))*SUMIFS(Budgets[Retail-Budget],Budgets[BudgetMonth],DaybyDay[[#This Row],[RowMonth]],Budgets[BudgetYear],DaybyDay[[#This Row],[RowYear]])</f>
        <v>1560.1627563426857</v>
      </c>
      <c r="N418" s="75">
        <v>997</v>
      </c>
      <c r="O418" s="33">
        <f>SUMIFS(DaybyDay[Service-Budgets],DaybyDay[Date],"&gt;="&amp;$C$5,DaybyDay[RowYear],"&gt;="&amp;$C$4,DaybyDay[Date],"&lt;="&amp;DaybyDay[[#This Row],[Date]])</f>
        <v>0</v>
      </c>
      <c r="P418" s="33">
        <f>SUMIFS(DaybyDay[Retail-Budgets],DaybyDay[Date],"&gt;="&amp;$C$5,DaybyDay[RowYear],"&gt;="&amp;$C$4,DaybyDay[Date],"&lt;="&amp;DaybyDay[[#This Row],[Date]])</f>
        <v>0</v>
      </c>
      <c r="Q418" s="34">
        <f>SUMIFS(DaybyDay[Service-Actuals],DaybyDay[Date],"&gt;="&amp;$C$5,DaybyDay[RowYear],"&gt;="&amp;$C$4,DaybyDay[Date],"&lt;="&amp;DaybyDay[[#This Row],[Date]])</f>
        <v>0</v>
      </c>
      <c r="R418" s="34">
        <f>SUMIFS(DaybyDay[Retail-Actuals],DaybyDay[Date],"&gt;="&amp;$C$5,DaybyDay[RowYear],"&gt;="&amp;$C$4,DaybyDay[Date],"&lt;="&amp;DaybyDay[[#This Row],[Date]])</f>
        <v>0</v>
      </c>
      <c r="S418" s="35">
        <f>SUMIFS(DaybyDay[Service-LY],DaybyDay[Date],"&gt;="&amp;$C$5,DaybyDay[RowYear],"&gt;="&amp;$C$4,DaybyDay[Date],"&lt;="&amp;DaybyDay[[#This Row],[Date]])</f>
        <v>0</v>
      </c>
      <c r="T418" s="35">
        <f>SUMIFS(DaybyDay[Retail-LY],DaybyDay[Date],"&gt;="&amp;$C$5,DaybyDay[RowYear],"&gt;="&amp;$C$4,DaybyDay[Date],"&lt;="&amp;DaybyDay[[#This Row],[Date]])</f>
        <v>0</v>
      </c>
      <c r="U418" s="32">
        <f>DaybyDay[[#This Row],[Serv-Bud-RU]]+DaybyDay[[#This Row],[Ret-Bud-RU]]</f>
        <v>0</v>
      </c>
      <c r="V418" s="32">
        <f>DaybyDay[[#This Row],[Serv-Act-RU]]+DaybyDay[[#This Row],[Ret-Act-RU]]</f>
        <v>0</v>
      </c>
      <c r="W418" s="36">
        <f>IF(DaybyDay[[#This Row],[_Space]],IFERROR(
((DaybyDay[[#This Row],[Actual-Rollup]]-DaybyDay[[#This Row],[Budget-Rollup]])/DaybyDay[[#This Row],[Budget-Rollup]]),0),"")</f>
        <v>0</v>
      </c>
      <c r="X418" t="b">
        <f>NOT(AND(ISBLANK(DaybyDay[[#This Row],[Appts]]),ISBLANK(DaybyDay[[#This Row],[Service-Actuals]]),ISBLANK(DaybyDay[[#This Row],[Retail-Actuals]])))</f>
        <v>1</v>
      </c>
      <c r="Y418" s="36">
        <f>IF(DaybyDay[[#This Row],[_Space]],IFERROR(
((DaybyDay[[#This Row],[Actual-Rollup]]-DaybyDay[[#This Row],[LY-Rollup]])/DaybyDay[[#This Row],[LY-Rollup]]),0),"")</f>
        <v>0</v>
      </c>
      <c r="Z418"/>
      <c r="AA418" s="37" t="e">
        <f>IF(DaybyDay[[#This Row],[_Space]],DaybyDay[[#This Row],[Ret-Act-RU]]/DaybyDay[[#This Row],[Serv-Act-RU]],"")</f>
        <v>#DIV/0!</v>
      </c>
      <c r="AB418" s="50" t="e">
        <f>IF(DaybyDay[[#This Row],[_Space]],DaybyDay[[#This Row],[RETPEN-Act]]/DaybyDay[[#This Row],[RETPEN-Bud]],"")</f>
        <v>#DIV/0!</v>
      </c>
      <c r="AC418" s="37" t="e">
        <f>IF(DaybyDay[[#This Row],[_Space]],DaybyDay[[#This Row],[Ret-Bud-RU]]/DaybyDay[[#This Row],[Serv-Bud-RU]],"")</f>
        <v>#DIV/0!</v>
      </c>
      <c r="AD418" s="37" t="e">
        <f>IF(DaybyDay[[#This Row],[_Space]],DaybyDay[[#This Row],[Ret-LY-RU]]/DaybyDay[[#This Row],[Serv-LY-RU]],"")</f>
        <v>#DIV/0!</v>
      </c>
      <c r="AE418" s="30">
        <f>WEEKDAY(DaybyDay[[#This Row],[LY-Date]])</f>
        <v>6</v>
      </c>
      <c r="AF418" s="38">
        <f>$E$2+_xlfn.DAYS(DaybyDay[[#This Row],[Date]],minDate)</f>
        <v>42783</v>
      </c>
      <c r="AG418" s="39" cm="1">
        <f t="array" ref="AG418">IFERROR(INDEX(DaybyDay[],DaybyDay[[#This Row],[FORM_MATCH_HELPER]],8),"")</f>
        <v>45</v>
      </c>
      <c r="AH418" s="39" cm="1">
        <f t="array" ref="AH418">IFERROR(INDEX(DaybyDay[],DaybyDay[[#This Row],[FORM_MATCH_HELPER]],10),"")</f>
        <v>6478.45</v>
      </c>
      <c r="AI418" s="39" cm="1">
        <f t="array" ref="AI418">IFERROR(INDEX(DaybyDay[],DaybyDay[[#This Row],[FORM_MATCH_HELPER]],12),"")</f>
        <v>1172</v>
      </c>
      <c r="AJ418" s="32">
        <f>IFERROR(DaybyDay[[#This Row],[Serv-LY-RU]]+DaybyDay[[#This Row],[Ret-LY-RU]],"")</f>
        <v>0</v>
      </c>
      <c r="AK4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8" s="77"/>
      <c r="AM418" s="40" t="str">
        <f>IF(DaybyDay[[#This Row],[Admin Hours]]&gt;0,DaybyDay[[#This Row],[Admin Hours]]*$AM$2+$AM$3,"")</f>
        <v/>
      </c>
      <c r="AN418" s="40">
        <f>SUMIFS(DaybyDay[Est-Admin-Payroll],DaybyDay[Date],"&gt;="&amp;$C$5,DaybyDay[RowYear],"&gt;="&amp;$C$4,DaybyDay[Date],"&lt;="&amp;DaybyDay[[#This Row],[Date]])</f>
        <v>0</v>
      </c>
      <c r="AO418" s="41" t="str">
        <f>IF(AND(DaybyDay[[#This Row],[_Space]],ISNUMBER(DaybyDay[[#This Row],[Admin Hours]])),DaybyDay[[#This Row],[Est-Admin-Payroll]]/(DaybyDay[[#This Row],[Service-Actuals]]+DaybyDay[[#This Row],[Retail-Actuals]]),"")</f>
        <v/>
      </c>
      <c r="AP418" s="41" t="e">
        <f>DaybyDay[[#This Row],[Estimated-Payroll-Rollup]]/DaybyDay[[#This Row],[Simple-Forecast]]</f>
        <v>#DIV/0!</v>
      </c>
      <c r="AQ4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8" s="77"/>
      <c r="AS418" s="40" t="str">
        <f>IF(DaybyDay[[#This Row],[Retail Hours]]&gt;0,DaybyDay[[#This Row],[Retail Hours]]*$AS$2,"")</f>
        <v/>
      </c>
      <c r="AT418" s="40">
        <f>SUMIFS(DaybyDay[Est-Retail-Payroll],DaybyDay[Date],"&gt;="&amp;$C$5,DaybyDay[RowYear],"&gt;="&amp;$C$4,DaybyDay[Date],"&lt;="&amp;DaybyDay[[#This Row],[Date]])</f>
        <v>0</v>
      </c>
      <c r="AU418" s="82" t="str">
        <f>IF(AND(DaybyDay[[#This Row],[_Space]],ISNUMBER(DaybyDay[[#This Row],[Retail Hours]])),DaybyDay[[#This Row],[Est-Retail-Payroll]]/(DaybyDay[[#This Row],[Retail-Actuals]]),"")</f>
        <v/>
      </c>
      <c r="AV418" s="82" t="e">
        <f>DaybyDay[[#This Row],[Est-Retail-PayrollRU]]/DaybyDay[[#This Row],[Simple-Forecast-Retail]]</f>
        <v>#DIV/0!</v>
      </c>
      <c r="AW418" s="8"/>
    </row>
    <row r="419" spans="3:49" hidden="1" x14ac:dyDescent="0.25">
      <c r="C419" s="26" t="str">
        <f>Tools!$C$1</f>
        <v>Example</v>
      </c>
      <c r="D419" s="27" t="s">
        <v>69</v>
      </c>
      <c r="E419" s="28">
        <v>2018</v>
      </c>
      <c r="F419" s="28">
        <f>MATCH(DaybyDay[[#This Row],[RowMonth]],Table3[SummaryMonth],0)</f>
        <v>2</v>
      </c>
      <c r="G419" s="29">
        <f>MATCH(DaybyDay[[#This Row],[LY-Date]],DaybyDay[Date],0)</f>
        <v>49</v>
      </c>
      <c r="H419" s="30">
        <f>WEEKDAY(DaybyDay[[#This Row],[Date]])</f>
        <v>7</v>
      </c>
      <c r="I419" s="31">
        <v>43148</v>
      </c>
      <c r="J419" s="74">
        <v>43</v>
      </c>
      <c r="K419" s="32">
        <f>SUMIFS(BudgetSeasonality[365 Seasonality],BudgetSeasonality[MonthAdjustment],DaybyDay[[#This Row],[Date]])*SUMIFS(Budgets[Service-Budget],Budgets[BudgetMonth],DaybyDay[[#This Row],[RowMonth]],Budgets[BudgetYear],DaybyDay[[#This Row],[RowYear]])</f>
        <v>7108.5012061856914</v>
      </c>
      <c r="L419" s="75">
        <v>11128</v>
      </c>
      <c r="M419" s="32">
        <f>INDEX(BudgetSeasonality[365 Seasonality],MATCH(DaybyDay[[#This Row],[Date]],BudgetSeasonality[MonthAdjustment],0))*SUMIFS(Budgets[Retail-Budget],Budgets[BudgetMonth],DaybyDay[[#This Row],[RowMonth]],Budgets[BudgetYear],DaybyDay[[#This Row],[RowYear]])</f>
        <v>2135.240937633976</v>
      </c>
      <c r="N419" s="75">
        <v>3412</v>
      </c>
      <c r="O419" s="33">
        <f>SUMIFS(DaybyDay[Service-Budgets],DaybyDay[Date],"&gt;="&amp;$C$5,DaybyDay[RowYear],"&gt;="&amp;$C$4,DaybyDay[Date],"&lt;="&amp;DaybyDay[[#This Row],[Date]])</f>
        <v>0</v>
      </c>
      <c r="P419" s="33">
        <f>SUMIFS(DaybyDay[Retail-Budgets],DaybyDay[Date],"&gt;="&amp;$C$5,DaybyDay[RowYear],"&gt;="&amp;$C$4,DaybyDay[Date],"&lt;="&amp;DaybyDay[[#This Row],[Date]])</f>
        <v>0</v>
      </c>
      <c r="Q419" s="34">
        <f>SUMIFS(DaybyDay[Service-Actuals],DaybyDay[Date],"&gt;="&amp;$C$5,DaybyDay[RowYear],"&gt;="&amp;$C$4,DaybyDay[Date],"&lt;="&amp;DaybyDay[[#This Row],[Date]])</f>
        <v>0</v>
      </c>
      <c r="R419" s="34">
        <f>SUMIFS(DaybyDay[Retail-Actuals],DaybyDay[Date],"&gt;="&amp;$C$5,DaybyDay[RowYear],"&gt;="&amp;$C$4,DaybyDay[Date],"&lt;="&amp;DaybyDay[[#This Row],[Date]])</f>
        <v>0</v>
      </c>
      <c r="S419" s="35">
        <f>SUMIFS(DaybyDay[Service-LY],DaybyDay[Date],"&gt;="&amp;$C$5,DaybyDay[RowYear],"&gt;="&amp;$C$4,DaybyDay[Date],"&lt;="&amp;DaybyDay[[#This Row],[Date]])</f>
        <v>0</v>
      </c>
      <c r="T419" s="35">
        <f>SUMIFS(DaybyDay[Retail-LY],DaybyDay[Date],"&gt;="&amp;$C$5,DaybyDay[RowYear],"&gt;="&amp;$C$4,DaybyDay[Date],"&lt;="&amp;DaybyDay[[#This Row],[Date]])</f>
        <v>0</v>
      </c>
      <c r="U419" s="32">
        <f>DaybyDay[[#This Row],[Serv-Bud-RU]]+DaybyDay[[#This Row],[Ret-Bud-RU]]</f>
        <v>0</v>
      </c>
      <c r="V419" s="32">
        <f>DaybyDay[[#This Row],[Serv-Act-RU]]+DaybyDay[[#This Row],[Ret-Act-RU]]</f>
        <v>0</v>
      </c>
      <c r="W419" s="36">
        <f>IF(DaybyDay[[#This Row],[_Space]],IFERROR(
((DaybyDay[[#This Row],[Actual-Rollup]]-DaybyDay[[#This Row],[Budget-Rollup]])/DaybyDay[[#This Row],[Budget-Rollup]]),0),"")</f>
        <v>0</v>
      </c>
      <c r="X419" t="b">
        <f>NOT(AND(ISBLANK(DaybyDay[[#This Row],[Appts]]),ISBLANK(DaybyDay[[#This Row],[Service-Actuals]]),ISBLANK(DaybyDay[[#This Row],[Retail-Actuals]])))</f>
        <v>1</v>
      </c>
      <c r="Y419" s="36">
        <f>IF(DaybyDay[[#This Row],[_Space]],IFERROR(
((DaybyDay[[#This Row],[Actual-Rollup]]-DaybyDay[[#This Row],[LY-Rollup]])/DaybyDay[[#This Row],[LY-Rollup]]),0),"")</f>
        <v>0</v>
      </c>
      <c r="Z419"/>
      <c r="AA419" s="37" t="e">
        <f>IF(DaybyDay[[#This Row],[_Space]],DaybyDay[[#This Row],[Ret-Act-RU]]/DaybyDay[[#This Row],[Serv-Act-RU]],"")</f>
        <v>#DIV/0!</v>
      </c>
      <c r="AB419" s="50" t="e">
        <f>IF(DaybyDay[[#This Row],[_Space]],DaybyDay[[#This Row],[RETPEN-Act]]/DaybyDay[[#This Row],[RETPEN-Bud]],"")</f>
        <v>#DIV/0!</v>
      </c>
      <c r="AC419" s="37" t="e">
        <f>IF(DaybyDay[[#This Row],[_Space]],DaybyDay[[#This Row],[Ret-Bud-RU]]/DaybyDay[[#This Row],[Serv-Bud-RU]],"")</f>
        <v>#DIV/0!</v>
      </c>
      <c r="AD419" s="37" t="e">
        <f>IF(DaybyDay[[#This Row],[_Space]],DaybyDay[[#This Row],[Ret-LY-RU]]/DaybyDay[[#This Row],[Serv-LY-RU]],"")</f>
        <v>#DIV/0!</v>
      </c>
      <c r="AE419" s="30">
        <f>WEEKDAY(DaybyDay[[#This Row],[LY-Date]])</f>
        <v>7</v>
      </c>
      <c r="AF419" s="38">
        <f>$E$2+_xlfn.DAYS(DaybyDay[[#This Row],[Date]],minDate)</f>
        <v>42784</v>
      </c>
      <c r="AG419" s="39" cm="1">
        <f t="array" ref="AG419">IFERROR(INDEX(DaybyDay[],DaybyDay[[#This Row],[FORM_MATCH_HELPER]],8),"")</f>
        <v>59</v>
      </c>
      <c r="AH419" s="39" cm="1">
        <f t="array" ref="AH419">IFERROR(INDEX(DaybyDay[],DaybyDay[[#This Row],[FORM_MATCH_HELPER]],10),"")</f>
        <v>10785.36</v>
      </c>
      <c r="AI419" s="39" cm="1">
        <f t="array" ref="AI419">IFERROR(INDEX(DaybyDay[],DaybyDay[[#This Row],[FORM_MATCH_HELPER]],12),"")</f>
        <v>303</v>
      </c>
      <c r="AJ419" s="32">
        <f>IFERROR(DaybyDay[[#This Row],[Serv-LY-RU]]+DaybyDay[[#This Row],[Ret-LY-RU]],"")</f>
        <v>0</v>
      </c>
      <c r="AK4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19" s="77"/>
      <c r="AM419" s="40" t="str">
        <f>IF(DaybyDay[[#This Row],[Admin Hours]]&gt;0,DaybyDay[[#This Row],[Admin Hours]]*$AM$2+$AM$3,"")</f>
        <v/>
      </c>
      <c r="AN419" s="40">
        <f>SUMIFS(DaybyDay[Est-Admin-Payroll],DaybyDay[Date],"&gt;="&amp;$C$5,DaybyDay[RowYear],"&gt;="&amp;$C$4,DaybyDay[Date],"&lt;="&amp;DaybyDay[[#This Row],[Date]])</f>
        <v>0</v>
      </c>
      <c r="AO419" s="41" t="str">
        <f>IF(AND(DaybyDay[[#This Row],[_Space]],ISNUMBER(DaybyDay[[#This Row],[Admin Hours]])),DaybyDay[[#This Row],[Est-Admin-Payroll]]/(DaybyDay[[#This Row],[Service-Actuals]]+DaybyDay[[#This Row],[Retail-Actuals]]),"")</f>
        <v/>
      </c>
      <c r="AP419" s="41" t="e">
        <f>DaybyDay[[#This Row],[Estimated-Payroll-Rollup]]/DaybyDay[[#This Row],[Simple-Forecast]]</f>
        <v>#DIV/0!</v>
      </c>
      <c r="AQ4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19" s="77"/>
      <c r="AS419" s="40" t="str">
        <f>IF(DaybyDay[[#This Row],[Retail Hours]]&gt;0,DaybyDay[[#This Row],[Retail Hours]]*$AS$2,"")</f>
        <v/>
      </c>
      <c r="AT419" s="40">
        <f>SUMIFS(DaybyDay[Est-Retail-Payroll],DaybyDay[Date],"&gt;="&amp;$C$5,DaybyDay[RowYear],"&gt;="&amp;$C$4,DaybyDay[Date],"&lt;="&amp;DaybyDay[[#This Row],[Date]])</f>
        <v>0</v>
      </c>
      <c r="AU419" s="82" t="str">
        <f>IF(AND(DaybyDay[[#This Row],[_Space]],ISNUMBER(DaybyDay[[#This Row],[Retail Hours]])),DaybyDay[[#This Row],[Est-Retail-Payroll]]/(DaybyDay[[#This Row],[Retail-Actuals]]),"")</f>
        <v/>
      </c>
      <c r="AV419" s="82" t="e">
        <f>DaybyDay[[#This Row],[Est-Retail-PayrollRU]]/DaybyDay[[#This Row],[Simple-Forecast-Retail]]</f>
        <v>#DIV/0!</v>
      </c>
      <c r="AW419" s="8"/>
    </row>
    <row r="420" spans="3:49" hidden="1" x14ac:dyDescent="0.25">
      <c r="C420" s="26" t="str">
        <f>Tools!$C$1</f>
        <v>Example</v>
      </c>
      <c r="D420" s="27" t="s">
        <v>69</v>
      </c>
      <c r="E420" s="28">
        <v>2018</v>
      </c>
      <c r="F420" s="28">
        <f>MATCH(DaybyDay[[#This Row],[RowMonth]],Table3[SummaryMonth],0)</f>
        <v>2</v>
      </c>
      <c r="G420" s="29">
        <f>MATCH(DaybyDay[[#This Row],[LY-Date]],DaybyDay[Date],0)</f>
        <v>50</v>
      </c>
      <c r="H420" s="30">
        <f>WEEKDAY(DaybyDay[[#This Row],[Date]])</f>
        <v>1</v>
      </c>
      <c r="I420" s="31">
        <v>43149</v>
      </c>
      <c r="J420" s="74">
        <v>34</v>
      </c>
      <c r="K420" s="32">
        <f>SUMIFS(BudgetSeasonality[365 Seasonality],BudgetSeasonality[MonthAdjustment],DaybyDay[[#This Row],[Date]])*SUMIFS(Budgets[Service-Budget],Budgets[BudgetMonth],DaybyDay[[#This Row],[RowMonth]],Budgets[BudgetYear],DaybyDay[[#This Row],[RowYear]])</f>
        <v>5561.2557445828716</v>
      </c>
      <c r="L420" s="75">
        <v>7717</v>
      </c>
      <c r="M420" s="32">
        <f>INDEX(BudgetSeasonality[365 Seasonality],MATCH(DaybyDay[[#This Row],[Date]],BudgetSeasonality[MonthAdjustment],0))*SUMIFS(Budgets[Retail-Budget],Budgets[BudgetMonth],DaybyDay[[#This Row],[RowMonth]],Budgets[BudgetYear],DaybyDay[[#This Row],[RowYear]])</f>
        <v>1670.4816649890108</v>
      </c>
      <c r="N420" s="75">
        <v>1107</v>
      </c>
      <c r="O420" s="33">
        <f>SUMIFS(DaybyDay[Service-Budgets],DaybyDay[Date],"&gt;="&amp;$C$5,DaybyDay[RowYear],"&gt;="&amp;$C$4,DaybyDay[Date],"&lt;="&amp;DaybyDay[[#This Row],[Date]])</f>
        <v>0</v>
      </c>
      <c r="P420" s="33">
        <f>SUMIFS(DaybyDay[Retail-Budgets],DaybyDay[Date],"&gt;="&amp;$C$5,DaybyDay[RowYear],"&gt;="&amp;$C$4,DaybyDay[Date],"&lt;="&amp;DaybyDay[[#This Row],[Date]])</f>
        <v>0</v>
      </c>
      <c r="Q420" s="34">
        <f>SUMIFS(DaybyDay[Service-Actuals],DaybyDay[Date],"&gt;="&amp;$C$5,DaybyDay[RowYear],"&gt;="&amp;$C$4,DaybyDay[Date],"&lt;="&amp;DaybyDay[[#This Row],[Date]])</f>
        <v>0</v>
      </c>
      <c r="R420" s="34">
        <f>SUMIFS(DaybyDay[Retail-Actuals],DaybyDay[Date],"&gt;="&amp;$C$5,DaybyDay[RowYear],"&gt;="&amp;$C$4,DaybyDay[Date],"&lt;="&amp;DaybyDay[[#This Row],[Date]])</f>
        <v>0</v>
      </c>
      <c r="S420" s="35">
        <f>SUMIFS(DaybyDay[Service-LY],DaybyDay[Date],"&gt;="&amp;$C$5,DaybyDay[RowYear],"&gt;="&amp;$C$4,DaybyDay[Date],"&lt;="&amp;DaybyDay[[#This Row],[Date]])</f>
        <v>0</v>
      </c>
      <c r="T420" s="35">
        <f>SUMIFS(DaybyDay[Retail-LY],DaybyDay[Date],"&gt;="&amp;$C$5,DaybyDay[RowYear],"&gt;="&amp;$C$4,DaybyDay[Date],"&lt;="&amp;DaybyDay[[#This Row],[Date]])</f>
        <v>0</v>
      </c>
      <c r="U420" s="32">
        <f>DaybyDay[[#This Row],[Serv-Bud-RU]]+DaybyDay[[#This Row],[Ret-Bud-RU]]</f>
        <v>0</v>
      </c>
      <c r="V420" s="32">
        <f>DaybyDay[[#This Row],[Serv-Act-RU]]+DaybyDay[[#This Row],[Ret-Act-RU]]</f>
        <v>0</v>
      </c>
      <c r="W420" s="36">
        <f>IF(DaybyDay[[#This Row],[_Space]],IFERROR(
((DaybyDay[[#This Row],[Actual-Rollup]]-DaybyDay[[#This Row],[Budget-Rollup]])/DaybyDay[[#This Row],[Budget-Rollup]]),0),"")</f>
        <v>0</v>
      </c>
      <c r="X420" t="b">
        <f>NOT(AND(ISBLANK(DaybyDay[[#This Row],[Appts]]),ISBLANK(DaybyDay[[#This Row],[Service-Actuals]]),ISBLANK(DaybyDay[[#This Row],[Retail-Actuals]])))</f>
        <v>1</v>
      </c>
      <c r="Y420" s="36">
        <f>IF(DaybyDay[[#This Row],[_Space]],IFERROR(
((DaybyDay[[#This Row],[Actual-Rollup]]-DaybyDay[[#This Row],[LY-Rollup]])/DaybyDay[[#This Row],[LY-Rollup]]),0),"")</f>
        <v>0</v>
      </c>
      <c r="Z420"/>
      <c r="AA420" s="37" t="e">
        <f>IF(DaybyDay[[#This Row],[_Space]],DaybyDay[[#This Row],[Ret-Act-RU]]/DaybyDay[[#This Row],[Serv-Act-RU]],"")</f>
        <v>#DIV/0!</v>
      </c>
      <c r="AB420" s="50" t="e">
        <f>IF(DaybyDay[[#This Row],[_Space]],DaybyDay[[#This Row],[RETPEN-Act]]/DaybyDay[[#This Row],[RETPEN-Bud]],"")</f>
        <v>#DIV/0!</v>
      </c>
      <c r="AC420" s="37" t="e">
        <f>IF(DaybyDay[[#This Row],[_Space]],DaybyDay[[#This Row],[Ret-Bud-RU]]/DaybyDay[[#This Row],[Serv-Bud-RU]],"")</f>
        <v>#DIV/0!</v>
      </c>
      <c r="AD420" s="37" t="e">
        <f>IF(DaybyDay[[#This Row],[_Space]],DaybyDay[[#This Row],[Ret-LY-RU]]/DaybyDay[[#This Row],[Serv-LY-RU]],"")</f>
        <v>#DIV/0!</v>
      </c>
      <c r="AE420" s="30">
        <f>WEEKDAY(DaybyDay[[#This Row],[LY-Date]])</f>
        <v>1</v>
      </c>
      <c r="AF420" s="38">
        <f>$E$2+_xlfn.DAYS(DaybyDay[[#This Row],[Date]],minDate)</f>
        <v>42785</v>
      </c>
      <c r="AG420" s="39" cm="1">
        <f t="array" ref="AG420">IFERROR(INDEX(DaybyDay[],DaybyDay[[#This Row],[FORM_MATCH_HELPER]],8),"")</f>
        <v>30</v>
      </c>
      <c r="AH420" s="39" cm="1">
        <f t="array" ref="AH420">IFERROR(INDEX(DaybyDay[],DaybyDay[[#This Row],[FORM_MATCH_HELPER]],10),"")</f>
        <v>6371.25</v>
      </c>
      <c r="AI420" s="39" cm="1">
        <f t="array" ref="AI420">IFERROR(INDEX(DaybyDay[],DaybyDay[[#This Row],[FORM_MATCH_HELPER]],12),"")</f>
        <v>633.6</v>
      </c>
      <c r="AJ420" s="32">
        <f>IFERROR(DaybyDay[[#This Row],[Serv-LY-RU]]+DaybyDay[[#This Row],[Ret-LY-RU]],"")</f>
        <v>0</v>
      </c>
      <c r="AK4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0" s="77"/>
      <c r="AM420" s="40" t="str">
        <f>IF(DaybyDay[[#This Row],[Admin Hours]]&gt;0,DaybyDay[[#This Row],[Admin Hours]]*$AM$2+$AM$3,"")</f>
        <v/>
      </c>
      <c r="AN420" s="40">
        <f>SUMIFS(DaybyDay[Est-Admin-Payroll],DaybyDay[Date],"&gt;="&amp;$C$5,DaybyDay[RowYear],"&gt;="&amp;$C$4,DaybyDay[Date],"&lt;="&amp;DaybyDay[[#This Row],[Date]])</f>
        <v>0</v>
      </c>
      <c r="AO420" s="41" t="str">
        <f>IF(AND(DaybyDay[[#This Row],[_Space]],ISNUMBER(DaybyDay[[#This Row],[Admin Hours]])),DaybyDay[[#This Row],[Est-Admin-Payroll]]/(DaybyDay[[#This Row],[Service-Actuals]]+DaybyDay[[#This Row],[Retail-Actuals]]),"")</f>
        <v/>
      </c>
      <c r="AP420" s="41" t="e">
        <f>DaybyDay[[#This Row],[Estimated-Payroll-Rollup]]/DaybyDay[[#This Row],[Simple-Forecast]]</f>
        <v>#DIV/0!</v>
      </c>
      <c r="AQ4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0" s="77"/>
      <c r="AS420" s="40" t="str">
        <f>IF(DaybyDay[[#This Row],[Retail Hours]]&gt;0,DaybyDay[[#This Row],[Retail Hours]]*$AS$2,"")</f>
        <v/>
      </c>
      <c r="AT420" s="40">
        <f>SUMIFS(DaybyDay[Est-Retail-Payroll],DaybyDay[Date],"&gt;="&amp;$C$5,DaybyDay[RowYear],"&gt;="&amp;$C$4,DaybyDay[Date],"&lt;="&amp;DaybyDay[[#This Row],[Date]])</f>
        <v>0</v>
      </c>
      <c r="AU420" s="82" t="str">
        <f>IF(AND(DaybyDay[[#This Row],[_Space]],ISNUMBER(DaybyDay[[#This Row],[Retail Hours]])),DaybyDay[[#This Row],[Est-Retail-Payroll]]/(DaybyDay[[#This Row],[Retail-Actuals]]),"")</f>
        <v/>
      </c>
      <c r="AV420" s="82" t="e">
        <f>DaybyDay[[#This Row],[Est-Retail-PayrollRU]]/DaybyDay[[#This Row],[Simple-Forecast-Retail]]</f>
        <v>#DIV/0!</v>
      </c>
      <c r="AW420" s="8"/>
    </row>
    <row r="421" spans="3:49" hidden="1" x14ac:dyDescent="0.25">
      <c r="C421" s="26" t="str">
        <f>Tools!$C$1</f>
        <v>Example</v>
      </c>
      <c r="D421" s="27" t="s">
        <v>69</v>
      </c>
      <c r="E421" s="28">
        <v>2018</v>
      </c>
      <c r="F421" s="28">
        <f>MATCH(DaybyDay[[#This Row],[RowMonth]],Table3[SummaryMonth],0)</f>
        <v>2</v>
      </c>
      <c r="G421" s="29">
        <f>MATCH(DaybyDay[[#This Row],[LY-Date]],DaybyDay[Date],0)</f>
        <v>51</v>
      </c>
      <c r="H421" s="30">
        <f>WEEKDAY(DaybyDay[[#This Row],[Date]])</f>
        <v>2</v>
      </c>
      <c r="I421" s="31">
        <v>43150</v>
      </c>
      <c r="J421" s="74">
        <v>30</v>
      </c>
      <c r="K421" s="32">
        <f>SUMIFS(BudgetSeasonality[365 Seasonality],BudgetSeasonality[MonthAdjustment],DaybyDay[[#This Row],[Date]])*SUMIFS(Budgets[Service-Budget],Budgets[BudgetMonth],DaybyDay[[#This Row],[RowMonth]],Budgets[BudgetYear],DaybyDay[[#This Row],[RowYear]])</f>
        <v>3336.1205264229548</v>
      </c>
      <c r="L421" s="75">
        <v>6605</v>
      </c>
      <c r="M421" s="32">
        <f>INDEX(BudgetSeasonality[365 Seasonality],MATCH(DaybyDay[[#This Row],[Date]],BudgetSeasonality[MonthAdjustment],0))*SUMIFS(Budgets[Retail-Budget],Budgets[BudgetMonth],DaybyDay[[#This Row],[RowMonth]],Budgets[BudgetYear],DaybyDay[[#This Row],[RowYear]])</f>
        <v>1002.0988833343137</v>
      </c>
      <c r="N421" s="75">
        <v>1152</v>
      </c>
      <c r="O421" s="33">
        <f>SUMIFS(DaybyDay[Service-Budgets],DaybyDay[Date],"&gt;="&amp;$C$5,DaybyDay[RowYear],"&gt;="&amp;$C$4,DaybyDay[Date],"&lt;="&amp;DaybyDay[[#This Row],[Date]])</f>
        <v>0</v>
      </c>
      <c r="P421" s="33">
        <f>SUMIFS(DaybyDay[Retail-Budgets],DaybyDay[Date],"&gt;="&amp;$C$5,DaybyDay[RowYear],"&gt;="&amp;$C$4,DaybyDay[Date],"&lt;="&amp;DaybyDay[[#This Row],[Date]])</f>
        <v>0</v>
      </c>
      <c r="Q421" s="34">
        <f>SUMIFS(DaybyDay[Service-Actuals],DaybyDay[Date],"&gt;="&amp;$C$5,DaybyDay[RowYear],"&gt;="&amp;$C$4,DaybyDay[Date],"&lt;="&amp;DaybyDay[[#This Row],[Date]])</f>
        <v>0</v>
      </c>
      <c r="R421" s="34">
        <f>SUMIFS(DaybyDay[Retail-Actuals],DaybyDay[Date],"&gt;="&amp;$C$5,DaybyDay[RowYear],"&gt;="&amp;$C$4,DaybyDay[Date],"&lt;="&amp;DaybyDay[[#This Row],[Date]])</f>
        <v>0</v>
      </c>
      <c r="S421" s="35">
        <f>SUMIFS(DaybyDay[Service-LY],DaybyDay[Date],"&gt;="&amp;$C$5,DaybyDay[RowYear],"&gt;="&amp;$C$4,DaybyDay[Date],"&lt;="&amp;DaybyDay[[#This Row],[Date]])</f>
        <v>0</v>
      </c>
      <c r="T421" s="35">
        <f>SUMIFS(DaybyDay[Retail-LY],DaybyDay[Date],"&gt;="&amp;$C$5,DaybyDay[RowYear],"&gt;="&amp;$C$4,DaybyDay[Date],"&lt;="&amp;DaybyDay[[#This Row],[Date]])</f>
        <v>0</v>
      </c>
      <c r="U421" s="32">
        <f>DaybyDay[[#This Row],[Serv-Bud-RU]]+DaybyDay[[#This Row],[Ret-Bud-RU]]</f>
        <v>0</v>
      </c>
      <c r="V421" s="32">
        <f>DaybyDay[[#This Row],[Serv-Act-RU]]+DaybyDay[[#This Row],[Ret-Act-RU]]</f>
        <v>0</v>
      </c>
      <c r="W421" s="36">
        <f>IF(DaybyDay[[#This Row],[_Space]],IFERROR(
((DaybyDay[[#This Row],[Actual-Rollup]]-DaybyDay[[#This Row],[Budget-Rollup]])/DaybyDay[[#This Row],[Budget-Rollup]]),0),"")</f>
        <v>0</v>
      </c>
      <c r="X421" t="b">
        <f>NOT(AND(ISBLANK(DaybyDay[[#This Row],[Appts]]),ISBLANK(DaybyDay[[#This Row],[Service-Actuals]]),ISBLANK(DaybyDay[[#This Row],[Retail-Actuals]])))</f>
        <v>1</v>
      </c>
      <c r="Y421" s="36">
        <f>IF(DaybyDay[[#This Row],[_Space]],IFERROR(
((DaybyDay[[#This Row],[Actual-Rollup]]-DaybyDay[[#This Row],[LY-Rollup]])/DaybyDay[[#This Row],[LY-Rollup]]),0),"")</f>
        <v>0</v>
      </c>
      <c r="Z421"/>
      <c r="AA421" s="37" t="e">
        <f>IF(DaybyDay[[#This Row],[_Space]],DaybyDay[[#This Row],[Ret-Act-RU]]/DaybyDay[[#This Row],[Serv-Act-RU]],"")</f>
        <v>#DIV/0!</v>
      </c>
      <c r="AB421" s="50" t="e">
        <f>IF(DaybyDay[[#This Row],[_Space]],DaybyDay[[#This Row],[RETPEN-Act]]/DaybyDay[[#This Row],[RETPEN-Bud]],"")</f>
        <v>#DIV/0!</v>
      </c>
      <c r="AC421" s="37" t="e">
        <f>IF(DaybyDay[[#This Row],[_Space]],DaybyDay[[#This Row],[Ret-Bud-RU]]/DaybyDay[[#This Row],[Serv-Bud-RU]],"")</f>
        <v>#DIV/0!</v>
      </c>
      <c r="AD421" s="37" t="e">
        <f>IF(DaybyDay[[#This Row],[_Space]],DaybyDay[[#This Row],[Ret-LY-RU]]/DaybyDay[[#This Row],[Serv-LY-RU]],"")</f>
        <v>#DIV/0!</v>
      </c>
      <c r="AE421" s="30">
        <f>WEEKDAY(DaybyDay[[#This Row],[LY-Date]])</f>
        <v>2</v>
      </c>
      <c r="AF421" s="38">
        <f>$E$2+_xlfn.DAYS(DaybyDay[[#This Row],[Date]],minDate)</f>
        <v>42786</v>
      </c>
      <c r="AG421" s="39" cm="1">
        <f t="array" ref="AG421">IFERROR(INDEX(DaybyDay[],DaybyDay[[#This Row],[FORM_MATCH_HELPER]],8),"")</f>
        <v>43</v>
      </c>
      <c r="AH421" s="39" cm="1">
        <f t="array" ref="AH421">IFERROR(INDEX(DaybyDay[],DaybyDay[[#This Row],[FORM_MATCH_HELPER]],10),"")</f>
        <v>8031.12</v>
      </c>
      <c r="AI421" s="39" cm="1">
        <f t="array" ref="AI421">IFERROR(INDEX(DaybyDay[],DaybyDay[[#This Row],[FORM_MATCH_HELPER]],12),"")</f>
        <v>531.49</v>
      </c>
      <c r="AJ421" s="32">
        <f>IFERROR(DaybyDay[[#This Row],[Serv-LY-RU]]+DaybyDay[[#This Row],[Ret-LY-RU]],"")</f>
        <v>0</v>
      </c>
      <c r="AK4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1" s="77"/>
      <c r="AM421" s="40" t="str">
        <f>IF(DaybyDay[[#This Row],[Admin Hours]]&gt;0,DaybyDay[[#This Row],[Admin Hours]]*$AM$2+$AM$3,"")</f>
        <v/>
      </c>
      <c r="AN421" s="40">
        <f>SUMIFS(DaybyDay[Est-Admin-Payroll],DaybyDay[Date],"&gt;="&amp;$C$5,DaybyDay[RowYear],"&gt;="&amp;$C$4,DaybyDay[Date],"&lt;="&amp;DaybyDay[[#This Row],[Date]])</f>
        <v>0</v>
      </c>
      <c r="AO421" s="41" t="str">
        <f>IF(AND(DaybyDay[[#This Row],[_Space]],ISNUMBER(DaybyDay[[#This Row],[Admin Hours]])),DaybyDay[[#This Row],[Est-Admin-Payroll]]/(DaybyDay[[#This Row],[Service-Actuals]]+DaybyDay[[#This Row],[Retail-Actuals]]),"")</f>
        <v/>
      </c>
      <c r="AP421" s="41" t="e">
        <f>DaybyDay[[#This Row],[Estimated-Payroll-Rollup]]/DaybyDay[[#This Row],[Simple-Forecast]]</f>
        <v>#DIV/0!</v>
      </c>
      <c r="AQ4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1" s="77"/>
      <c r="AS421" s="40" t="str">
        <f>IF(DaybyDay[[#This Row],[Retail Hours]]&gt;0,DaybyDay[[#This Row],[Retail Hours]]*$AS$2,"")</f>
        <v/>
      </c>
      <c r="AT421" s="40">
        <f>SUMIFS(DaybyDay[Est-Retail-Payroll],DaybyDay[Date],"&gt;="&amp;$C$5,DaybyDay[RowYear],"&gt;="&amp;$C$4,DaybyDay[Date],"&lt;="&amp;DaybyDay[[#This Row],[Date]])</f>
        <v>0</v>
      </c>
      <c r="AU421" s="82" t="str">
        <f>IF(AND(DaybyDay[[#This Row],[_Space]],ISNUMBER(DaybyDay[[#This Row],[Retail Hours]])),DaybyDay[[#This Row],[Est-Retail-Payroll]]/(DaybyDay[[#This Row],[Retail-Actuals]]),"")</f>
        <v/>
      </c>
      <c r="AV421" s="82" t="e">
        <f>DaybyDay[[#This Row],[Est-Retail-PayrollRU]]/DaybyDay[[#This Row],[Simple-Forecast-Retail]]</f>
        <v>#DIV/0!</v>
      </c>
      <c r="AW421" s="8"/>
    </row>
    <row r="422" spans="3:49" hidden="1" x14ac:dyDescent="0.25">
      <c r="C422" s="26" t="str">
        <f>Tools!$C$1</f>
        <v>Example</v>
      </c>
      <c r="D422" s="27" t="s">
        <v>69</v>
      </c>
      <c r="E422" s="28">
        <v>2018</v>
      </c>
      <c r="F422" s="28">
        <f>MATCH(DaybyDay[[#This Row],[RowMonth]],Table3[SummaryMonth],0)</f>
        <v>2</v>
      </c>
      <c r="G422" s="29">
        <f>MATCH(DaybyDay[[#This Row],[LY-Date]],DaybyDay[Date],0)</f>
        <v>52</v>
      </c>
      <c r="H422" s="30">
        <f>WEEKDAY(DaybyDay[[#This Row],[Date]])</f>
        <v>3</v>
      </c>
      <c r="I422" s="31">
        <v>43151</v>
      </c>
      <c r="J422" s="74">
        <v>20</v>
      </c>
      <c r="K422" s="32">
        <f>SUMIFS(BudgetSeasonality[365 Seasonality],BudgetSeasonality[MonthAdjustment],DaybyDay[[#This Row],[Date]])*SUMIFS(Budgets[Service-Budget],Budgets[BudgetMonth],DaybyDay[[#This Row],[RowMonth]],Budgets[BudgetYear],DaybyDay[[#This Row],[RowYear]])</f>
        <v>3365.8551107356279</v>
      </c>
      <c r="L422" s="75">
        <v>3992.3</v>
      </c>
      <c r="M422" s="32">
        <f>INDEX(BudgetSeasonality[365 Seasonality],MATCH(DaybyDay[[#This Row],[Date]],BudgetSeasonality[MonthAdjustment],0))*SUMIFS(Budgets[Retail-Budget],Budgets[BudgetMonth],DaybyDay[[#This Row],[RowMonth]],Budgets[BudgetYear],DaybyDay[[#This Row],[RowYear]])</f>
        <v>1011.0305132020417</v>
      </c>
      <c r="N422" s="75">
        <v>1344.5</v>
      </c>
      <c r="O422" s="33">
        <f>SUMIFS(DaybyDay[Service-Budgets],DaybyDay[Date],"&gt;="&amp;$C$5,DaybyDay[RowYear],"&gt;="&amp;$C$4,DaybyDay[Date],"&lt;="&amp;DaybyDay[[#This Row],[Date]])</f>
        <v>0</v>
      </c>
      <c r="P422" s="33">
        <f>SUMIFS(DaybyDay[Retail-Budgets],DaybyDay[Date],"&gt;="&amp;$C$5,DaybyDay[RowYear],"&gt;="&amp;$C$4,DaybyDay[Date],"&lt;="&amp;DaybyDay[[#This Row],[Date]])</f>
        <v>0</v>
      </c>
      <c r="Q422" s="34">
        <f>SUMIFS(DaybyDay[Service-Actuals],DaybyDay[Date],"&gt;="&amp;$C$5,DaybyDay[RowYear],"&gt;="&amp;$C$4,DaybyDay[Date],"&lt;="&amp;DaybyDay[[#This Row],[Date]])</f>
        <v>0</v>
      </c>
      <c r="R422" s="34">
        <f>SUMIFS(DaybyDay[Retail-Actuals],DaybyDay[Date],"&gt;="&amp;$C$5,DaybyDay[RowYear],"&gt;="&amp;$C$4,DaybyDay[Date],"&lt;="&amp;DaybyDay[[#This Row],[Date]])</f>
        <v>0</v>
      </c>
      <c r="S422" s="35">
        <f>SUMIFS(DaybyDay[Service-LY],DaybyDay[Date],"&gt;="&amp;$C$5,DaybyDay[RowYear],"&gt;="&amp;$C$4,DaybyDay[Date],"&lt;="&amp;DaybyDay[[#This Row],[Date]])</f>
        <v>0</v>
      </c>
      <c r="T422" s="35">
        <f>SUMIFS(DaybyDay[Retail-LY],DaybyDay[Date],"&gt;="&amp;$C$5,DaybyDay[RowYear],"&gt;="&amp;$C$4,DaybyDay[Date],"&lt;="&amp;DaybyDay[[#This Row],[Date]])</f>
        <v>0</v>
      </c>
      <c r="U422" s="32">
        <f>DaybyDay[[#This Row],[Serv-Bud-RU]]+DaybyDay[[#This Row],[Ret-Bud-RU]]</f>
        <v>0</v>
      </c>
      <c r="V422" s="32">
        <f>DaybyDay[[#This Row],[Serv-Act-RU]]+DaybyDay[[#This Row],[Ret-Act-RU]]</f>
        <v>0</v>
      </c>
      <c r="W422" s="36">
        <f>IF(DaybyDay[[#This Row],[_Space]],IFERROR(
((DaybyDay[[#This Row],[Actual-Rollup]]-DaybyDay[[#This Row],[Budget-Rollup]])/DaybyDay[[#This Row],[Budget-Rollup]]),0),"")</f>
        <v>0</v>
      </c>
      <c r="X422" t="b">
        <f>NOT(AND(ISBLANK(DaybyDay[[#This Row],[Appts]]),ISBLANK(DaybyDay[[#This Row],[Service-Actuals]]),ISBLANK(DaybyDay[[#This Row],[Retail-Actuals]])))</f>
        <v>1</v>
      </c>
      <c r="Y422" s="36">
        <f>IF(DaybyDay[[#This Row],[_Space]],IFERROR(
((DaybyDay[[#This Row],[Actual-Rollup]]-DaybyDay[[#This Row],[LY-Rollup]])/DaybyDay[[#This Row],[LY-Rollup]]),0),"")</f>
        <v>0</v>
      </c>
      <c r="Z422"/>
      <c r="AA422" s="37" t="e">
        <f>IF(DaybyDay[[#This Row],[_Space]],DaybyDay[[#This Row],[Ret-Act-RU]]/DaybyDay[[#This Row],[Serv-Act-RU]],"")</f>
        <v>#DIV/0!</v>
      </c>
      <c r="AB422" s="50" t="e">
        <f>IF(DaybyDay[[#This Row],[_Space]],DaybyDay[[#This Row],[RETPEN-Act]]/DaybyDay[[#This Row],[RETPEN-Bud]],"")</f>
        <v>#DIV/0!</v>
      </c>
      <c r="AC422" s="37" t="e">
        <f>IF(DaybyDay[[#This Row],[_Space]],DaybyDay[[#This Row],[Ret-Bud-RU]]/DaybyDay[[#This Row],[Serv-Bud-RU]],"")</f>
        <v>#DIV/0!</v>
      </c>
      <c r="AD422" s="37" t="e">
        <f>IF(DaybyDay[[#This Row],[_Space]],DaybyDay[[#This Row],[Ret-LY-RU]]/DaybyDay[[#This Row],[Serv-LY-RU]],"")</f>
        <v>#DIV/0!</v>
      </c>
      <c r="AE422" s="30">
        <f>WEEKDAY(DaybyDay[[#This Row],[LY-Date]])</f>
        <v>3</v>
      </c>
      <c r="AF422" s="38">
        <f>$E$2+_xlfn.DAYS(DaybyDay[[#This Row],[Date]],minDate)</f>
        <v>42787</v>
      </c>
      <c r="AG422" s="39" cm="1">
        <f t="array" ref="AG422">IFERROR(INDEX(DaybyDay[],DaybyDay[[#This Row],[FORM_MATCH_HELPER]],8),"")</f>
        <v>35</v>
      </c>
      <c r="AH422" s="39" cm="1">
        <f t="array" ref="AH422">IFERROR(INDEX(DaybyDay[],DaybyDay[[#This Row],[FORM_MATCH_HELPER]],10),"")</f>
        <v>5148.2</v>
      </c>
      <c r="AI422" s="39" cm="1">
        <f t="array" ref="AI422">IFERROR(INDEX(DaybyDay[],DaybyDay[[#This Row],[FORM_MATCH_HELPER]],12),"")</f>
        <v>330.5</v>
      </c>
      <c r="AJ422" s="32">
        <f>IFERROR(DaybyDay[[#This Row],[Serv-LY-RU]]+DaybyDay[[#This Row],[Ret-LY-RU]],"")</f>
        <v>0</v>
      </c>
      <c r="AK4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2" s="77"/>
      <c r="AM422" s="40" t="str">
        <f>IF(DaybyDay[[#This Row],[Admin Hours]]&gt;0,DaybyDay[[#This Row],[Admin Hours]]*$AM$2+$AM$3,"")</f>
        <v/>
      </c>
      <c r="AN422" s="40">
        <f>SUMIFS(DaybyDay[Est-Admin-Payroll],DaybyDay[Date],"&gt;="&amp;$C$5,DaybyDay[RowYear],"&gt;="&amp;$C$4,DaybyDay[Date],"&lt;="&amp;DaybyDay[[#This Row],[Date]])</f>
        <v>0</v>
      </c>
      <c r="AO422" s="41" t="str">
        <f>IF(AND(DaybyDay[[#This Row],[_Space]],ISNUMBER(DaybyDay[[#This Row],[Admin Hours]])),DaybyDay[[#This Row],[Est-Admin-Payroll]]/(DaybyDay[[#This Row],[Service-Actuals]]+DaybyDay[[#This Row],[Retail-Actuals]]),"")</f>
        <v/>
      </c>
      <c r="AP422" s="41" t="e">
        <f>DaybyDay[[#This Row],[Estimated-Payroll-Rollup]]/DaybyDay[[#This Row],[Simple-Forecast]]</f>
        <v>#DIV/0!</v>
      </c>
      <c r="AQ4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2" s="77"/>
      <c r="AS422" s="40" t="str">
        <f>IF(DaybyDay[[#This Row],[Retail Hours]]&gt;0,DaybyDay[[#This Row],[Retail Hours]]*$AS$2,"")</f>
        <v/>
      </c>
      <c r="AT422" s="40">
        <f>SUMIFS(DaybyDay[Est-Retail-Payroll],DaybyDay[Date],"&gt;="&amp;$C$5,DaybyDay[RowYear],"&gt;="&amp;$C$4,DaybyDay[Date],"&lt;="&amp;DaybyDay[[#This Row],[Date]])</f>
        <v>0</v>
      </c>
      <c r="AU422" s="82" t="str">
        <f>IF(AND(DaybyDay[[#This Row],[_Space]],ISNUMBER(DaybyDay[[#This Row],[Retail Hours]])),DaybyDay[[#This Row],[Est-Retail-Payroll]]/(DaybyDay[[#This Row],[Retail-Actuals]]),"")</f>
        <v/>
      </c>
      <c r="AV422" s="82" t="e">
        <f>DaybyDay[[#This Row],[Est-Retail-PayrollRU]]/DaybyDay[[#This Row],[Simple-Forecast-Retail]]</f>
        <v>#DIV/0!</v>
      </c>
      <c r="AW422" s="8"/>
    </row>
    <row r="423" spans="3:49" hidden="1" x14ac:dyDescent="0.25">
      <c r="C423" s="26" t="str">
        <f>Tools!$C$1</f>
        <v>Example</v>
      </c>
      <c r="D423" s="27" t="s">
        <v>69</v>
      </c>
      <c r="E423" s="28">
        <v>2018</v>
      </c>
      <c r="F423" s="28">
        <f>MATCH(DaybyDay[[#This Row],[RowMonth]],Table3[SummaryMonth],0)</f>
        <v>2</v>
      </c>
      <c r="G423" s="29">
        <f>MATCH(DaybyDay[[#This Row],[LY-Date]],DaybyDay[Date],0)</f>
        <v>53</v>
      </c>
      <c r="H423" s="30">
        <f>WEEKDAY(DaybyDay[[#This Row],[Date]])</f>
        <v>4</v>
      </c>
      <c r="I423" s="31">
        <v>43152</v>
      </c>
      <c r="J423" s="74">
        <v>28</v>
      </c>
      <c r="K423" s="32">
        <f>SUMIFS(BudgetSeasonality[365 Seasonality],BudgetSeasonality[MonthAdjustment],DaybyDay[[#This Row],[Date]])*SUMIFS(Budgets[Service-Budget],Budgets[BudgetMonth],DaybyDay[[#This Row],[RowMonth]],Budgets[BudgetYear],DaybyDay[[#This Row],[RowYear]])</f>
        <v>3789.5038247098137</v>
      </c>
      <c r="L423" s="75">
        <v>4927</v>
      </c>
      <c r="M423" s="32">
        <f>INDEX(BudgetSeasonality[365 Seasonality],MATCH(DaybyDay[[#This Row],[Date]],BudgetSeasonality[MonthAdjustment],0))*SUMIFS(Budgets[Retail-Budget],Budgets[BudgetMonth],DaybyDay[[#This Row],[RowMonth]],Budgets[BudgetYear],DaybyDay[[#This Row],[RowYear]])</f>
        <v>1138.2854789135913</v>
      </c>
      <c r="N423" s="75">
        <v>1014</v>
      </c>
      <c r="O423" s="33">
        <f>SUMIFS(DaybyDay[Service-Budgets],DaybyDay[Date],"&gt;="&amp;$C$5,DaybyDay[RowYear],"&gt;="&amp;$C$4,DaybyDay[Date],"&lt;="&amp;DaybyDay[[#This Row],[Date]])</f>
        <v>0</v>
      </c>
      <c r="P423" s="33">
        <f>SUMIFS(DaybyDay[Retail-Budgets],DaybyDay[Date],"&gt;="&amp;$C$5,DaybyDay[RowYear],"&gt;="&amp;$C$4,DaybyDay[Date],"&lt;="&amp;DaybyDay[[#This Row],[Date]])</f>
        <v>0</v>
      </c>
      <c r="Q423" s="34">
        <f>SUMIFS(DaybyDay[Service-Actuals],DaybyDay[Date],"&gt;="&amp;$C$5,DaybyDay[RowYear],"&gt;="&amp;$C$4,DaybyDay[Date],"&lt;="&amp;DaybyDay[[#This Row],[Date]])</f>
        <v>0</v>
      </c>
      <c r="R423" s="34">
        <f>SUMIFS(DaybyDay[Retail-Actuals],DaybyDay[Date],"&gt;="&amp;$C$5,DaybyDay[RowYear],"&gt;="&amp;$C$4,DaybyDay[Date],"&lt;="&amp;DaybyDay[[#This Row],[Date]])</f>
        <v>0</v>
      </c>
      <c r="S423" s="35">
        <f>SUMIFS(DaybyDay[Service-LY],DaybyDay[Date],"&gt;="&amp;$C$5,DaybyDay[RowYear],"&gt;="&amp;$C$4,DaybyDay[Date],"&lt;="&amp;DaybyDay[[#This Row],[Date]])</f>
        <v>0</v>
      </c>
      <c r="T423" s="35">
        <f>SUMIFS(DaybyDay[Retail-LY],DaybyDay[Date],"&gt;="&amp;$C$5,DaybyDay[RowYear],"&gt;="&amp;$C$4,DaybyDay[Date],"&lt;="&amp;DaybyDay[[#This Row],[Date]])</f>
        <v>0</v>
      </c>
      <c r="U423" s="32">
        <f>DaybyDay[[#This Row],[Serv-Bud-RU]]+DaybyDay[[#This Row],[Ret-Bud-RU]]</f>
        <v>0</v>
      </c>
      <c r="V423" s="32">
        <f>DaybyDay[[#This Row],[Serv-Act-RU]]+DaybyDay[[#This Row],[Ret-Act-RU]]</f>
        <v>0</v>
      </c>
      <c r="W423" s="36">
        <f>IF(DaybyDay[[#This Row],[_Space]],IFERROR(
((DaybyDay[[#This Row],[Actual-Rollup]]-DaybyDay[[#This Row],[Budget-Rollup]])/DaybyDay[[#This Row],[Budget-Rollup]]),0),"")</f>
        <v>0</v>
      </c>
      <c r="X423" t="b">
        <f>NOT(AND(ISBLANK(DaybyDay[[#This Row],[Appts]]),ISBLANK(DaybyDay[[#This Row],[Service-Actuals]]),ISBLANK(DaybyDay[[#This Row],[Retail-Actuals]])))</f>
        <v>1</v>
      </c>
      <c r="Y423" s="36">
        <f>IF(DaybyDay[[#This Row],[_Space]],IFERROR(
((DaybyDay[[#This Row],[Actual-Rollup]]-DaybyDay[[#This Row],[LY-Rollup]])/DaybyDay[[#This Row],[LY-Rollup]]),0),"")</f>
        <v>0</v>
      </c>
      <c r="Z423"/>
      <c r="AA423" s="37" t="e">
        <f>IF(DaybyDay[[#This Row],[_Space]],DaybyDay[[#This Row],[Ret-Act-RU]]/DaybyDay[[#This Row],[Serv-Act-RU]],"")</f>
        <v>#DIV/0!</v>
      </c>
      <c r="AB423" s="50" t="e">
        <f>IF(DaybyDay[[#This Row],[_Space]],DaybyDay[[#This Row],[RETPEN-Act]]/DaybyDay[[#This Row],[RETPEN-Bud]],"")</f>
        <v>#DIV/0!</v>
      </c>
      <c r="AC423" s="37" t="e">
        <f>IF(DaybyDay[[#This Row],[_Space]],DaybyDay[[#This Row],[Ret-Bud-RU]]/DaybyDay[[#This Row],[Serv-Bud-RU]],"")</f>
        <v>#DIV/0!</v>
      </c>
      <c r="AD423" s="37" t="e">
        <f>IF(DaybyDay[[#This Row],[_Space]],DaybyDay[[#This Row],[Ret-LY-RU]]/DaybyDay[[#This Row],[Serv-LY-RU]],"")</f>
        <v>#DIV/0!</v>
      </c>
      <c r="AE423" s="30">
        <f>WEEKDAY(DaybyDay[[#This Row],[LY-Date]])</f>
        <v>4</v>
      </c>
      <c r="AF423" s="38">
        <f>$E$2+_xlfn.DAYS(DaybyDay[[#This Row],[Date]],minDate)</f>
        <v>42788</v>
      </c>
      <c r="AG423" s="39" cm="1">
        <f t="array" ref="AG423">IFERROR(INDEX(DaybyDay[],DaybyDay[[#This Row],[FORM_MATCH_HELPER]],8),"")</f>
        <v>23</v>
      </c>
      <c r="AH423" s="39" cm="1">
        <f t="array" ref="AH423">IFERROR(INDEX(DaybyDay[],DaybyDay[[#This Row],[FORM_MATCH_HELPER]],10),"")</f>
        <v>3890</v>
      </c>
      <c r="AI423" s="39" cm="1">
        <f t="array" ref="AI423">IFERROR(INDEX(DaybyDay[],DaybyDay[[#This Row],[FORM_MATCH_HELPER]],12),"")</f>
        <v>478.5</v>
      </c>
      <c r="AJ423" s="32">
        <f>IFERROR(DaybyDay[[#This Row],[Serv-LY-RU]]+DaybyDay[[#This Row],[Ret-LY-RU]],"")</f>
        <v>0</v>
      </c>
      <c r="AK4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3" s="77"/>
      <c r="AM423" s="40" t="str">
        <f>IF(DaybyDay[[#This Row],[Admin Hours]]&gt;0,DaybyDay[[#This Row],[Admin Hours]]*$AM$2+$AM$3,"")</f>
        <v/>
      </c>
      <c r="AN423" s="40">
        <f>SUMIFS(DaybyDay[Est-Admin-Payroll],DaybyDay[Date],"&gt;="&amp;$C$5,DaybyDay[RowYear],"&gt;="&amp;$C$4,DaybyDay[Date],"&lt;="&amp;DaybyDay[[#This Row],[Date]])</f>
        <v>0</v>
      </c>
      <c r="AO423" s="41" t="str">
        <f>IF(AND(DaybyDay[[#This Row],[_Space]],ISNUMBER(DaybyDay[[#This Row],[Admin Hours]])),DaybyDay[[#This Row],[Est-Admin-Payroll]]/(DaybyDay[[#This Row],[Service-Actuals]]+DaybyDay[[#This Row],[Retail-Actuals]]),"")</f>
        <v/>
      </c>
      <c r="AP423" s="41" t="e">
        <f>DaybyDay[[#This Row],[Estimated-Payroll-Rollup]]/DaybyDay[[#This Row],[Simple-Forecast]]</f>
        <v>#DIV/0!</v>
      </c>
      <c r="AQ4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3" s="77"/>
      <c r="AS423" s="40" t="str">
        <f>IF(DaybyDay[[#This Row],[Retail Hours]]&gt;0,DaybyDay[[#This Row],[Retail Hours]]*$AS$2,"")</f>
        <v/>
      </c>
      <c r="AT423" s="40">
        <f>SUMIFS(DaybyDay[Est-Retail-Payroll],DaybyDay[Date],"&gt;="&amp;$C$5,DaybyDay[RowYear],"&gt;="&amp;$C$4,DaybyDay[Date],"&lt;="&amp;DaybyDay[[#This Row],[Date]])</f>
        <v>0</v>
      </c>
      <c r="AU423" s="82" t="str">
        <f>IF(AND(DaybyDay[[#This Row],[_Space]],ISNUMBER(DaybyDay[[#This Row],[Retail Hours]])),DaybyDay[[#This Row],[Est-Retail-Payroll]]/(DaybyDay[[#This Row],[Retail-Actuals]]),"")</f>
        <v/>
      </c>
      <c r="AV423" s="82" t="e">
        <f>DaybyDay[[#This Row],[Est-Retail-PayrollRU]]/DaybyDay[[#This Row],[Simple-Forecast-Retail]]</f>
        <v>#DIV/0!</v>
      </c>
      <c r="AW423" s="8"/>
    </row>
    <row r="424" spans="3:49" hidden="1" x14ac:dyDescent="0.25">
      <c r="C424" s="26" t="str">
        <f>Tools!$C$1</f>
        <v>Example</v>
      </c>
      <c r="D424" s="27" t="s">
        <v>69</v>
      </c>
      <c r="E424" s="28">
        <v>2018</v>
      </c>
      <c r="F424" s="28">
        <f>MATCH(DaybyDay[[#This Row],[RowMonth]],Table3[SummaryMonth],0)</f>
        <v>2</v>
      </c>
      <c r="G424" s="29">
        <f>MATCH(DaybyDay[[#This Row],[LY-Date]],DaybyDay[Date],0)</f>
        <v>54</v>
      </c>
      <c r="H424" s="30">
        <f>WEEKDAY(DaybyDay[[#This Row],[Date]])</f>
        <v>5</v>
      </c>
      <c r="I424" s="31">
        <v>43153</v>
      </c>
      <c r="J424" s="74">
        <v>19</v>
      </c>
      <c r="K424" s="32">
        <f>SUMIFS(BudgetSeasonality[365 Seasonality],BudgetSeasonality[MonthAdjustment],DaybyDay[[#This Row],[Date]])*SUMIFS(Budgets[Service-Budget],Budgets[BudgetMonth],DaybyDay[[#This Row],[RowMonth]],Budgets[BudgetYear],DaybyDay[[#This Row],[RowYear]])</f>
        <v>3810.5232684445295</v>
      </c>
      <c r="L424" s="75">
        <v>3309</v>
      </c>
      <c r="M424" s="32">
        <f>INDEX(BudgetSeasonality[365 Seasonality],MATCH(DaybyDay[[#This Row],[Date]],BudgetSeasonality[MonthAdjustment],0))*SUMIFS(Budgets[Retail-Budget],Budgets[BudgetMonth],DaybyDay[[#This Row],[RowMonth]],Budgets[BudgetYear],DaybyDay[[#This Row],[RowYear]])</f>
        <v>1144.5992679173273</v>
      </c>
      <c r="N424" s="75">
        <v>405.25</v>
      </c>
      <c r="O424" s="33">
        <f>SUMIFS(DaybyDay[Service-Budgets],DaybyDay[Date],"&gt;="&amp;$C$5,DaybyDay[RowYear],"&gt;="&amp;$C$4,DaybyDay[Date],"&lt;="&amp;DaybyDay[[#This Row],[Date]])</f>
        <v>0</v>
      </c>
      <c r="P424" s="33">
        <f>SUMIFS(DaybyDay[Retail-Budgets],DaybyDay[Date],"&gt;="&amp;$C$5,DaybyDay[RowYear],"&gt;="&amp;$C$4,DaybyDay[Date],"&lt;="&amp;DaybyDay[[#This Row],[Date]])</f>
        <v>0</v>
      </c>
      <c r="Q424" s="34">
        <f>SUMIFS(DaybyDay[Service-Actuals],DaybyDay[Date],"&gt;="&amp;$C$5,DaybyDay[RowYear],"&gt;="&amp;$C$4,DaybyDay[Date],"&lt;="&amp;DaybyDay[[#This Row],[Date]])</f>
        <v>0</v>
      </c>
      <c r="R424" s="34">
        <f>SUMIFS(DaybyDay[Retail-Actuals],DaybyDay[Date],"&gt;="&amp;$C$5,DaybyDay[RowYear],"&gt;="&amp;$C$4,DaybyDay[Date],"&lt;="&amp;DaybyDay[[#This Row],[Date]])</f>
        <v>0</v>
      </c>
      <c r="S424" s="35">
        <f>SUMIFS(DaybyDay[Service-LY],DaybyDay[Date],"&gt;="&amp;$C$5,DaybyDay[RowYear],"&gt;="&amp;$C$4,DaybyDay[Date],"&lt;="&amp;DaybyDay[[#This Row],[Date]])</f>
        <v>0</v>
      </c>
      <c r="T424" s="35">
        <f>SUMIFS(DaybyDay[Retail-LY],DaybyDay[Date],"&gt;="&amp;$C$5,DaybyDay[RowYear],"&gt;="&amp;$C$4,DaybyDay[Date],"&lt;="&amp;DaybyDay[[#This Row],[Date]])</f>
        <v>0</v>
      </c>
      <c r="U424" s="32">
        <f>DaybyDay[[#This Row],[Serv-Bud-RU]]+DaybyDay[[#This Row],[Ret-Bud-RU]]</f>
        <v>0</v>
      </c>
      <c r="V424" s="32">
        <f>DaybyDay[[#This Row],[Serv-Act-RU]]+DaybyDay[[#This Row],[Ret-Act-RU]]</f>
        <v>0</v>
      </c>
      <c r="W424" s="36">
        <f>IF(DaybyDay[[#This Row],[_Space]],IFERROR(
((DaybyDay[[#This Row],[Actual-Rollup]]-DaybyDay[[#This Row],[Budget-Rollup]])/DaybyDay[[#This Row],[Budget-Rollup]]),0),"")</f>
        <v>0</v>
      </c>
      <c r="X424" t="b">
        <f>NOT(AND(ISBLANK(DaybyDay[[#This Row],[Appts]]),ISBLANK(DaybyDay[[#This Row],[Service-Actuals]]),ISBLANK(DaybyDay[[#This Row],[Retail-Actuals]])))</f>
        <v>1</v>
      </c>
      <c r="Y424" s="36">
        <f>IF(DaybyDay[[#This Row],[_Space]],IFERROR(
((DaybyDay[[#This Row],[Actual-Rollup]]-DaybyDay[[#This Row],[LY-Rollup]])/DaybyDay[[#This Row],[LY-Rollup]]),0),"")</f>
        <v>0</v>
      </c>
      <c r="Z424"/>
      <c r="AA424" s="37" t="e">
        <f>IF(DaybyDay[[#This Row],[_Space]],DaybyDay[[#This Row],[Ret-Act-RU]]/DaybyDay[[#This Row],[Serv-Act-RU]],"")</f>
        <v>#DIV/0!</v>
      </c>
      <c r="AB424" s="50" t="e">
        <f>IF(DaybyDay[[#This Row],[_Space]],DaybyDay[[#This Row],[RETPEN-Act]]/DaybyDay[[#This Row],[RETPEN-Bud]],"")</f>
        <v>#DIV/0!</v>
      </c>
      <c r="AC424" s="37" t="e">
        <f>IF(DaybyDay[[#This Row],[_Space]],DaybyDay[[#This Row],[Ret-Bud-RU]]/DaybyDay[[#This Row],[Serv-Bud-RU]],"")</f>
        <v>#DIV/0!</v>
      </c>
      <c r="AD424" s="37" t="e">
        <f>IF(DaybyDay[[#This Row],[_Space]],DaybyDay[[#This Row],[Ret-LY-RU]]/DaybyDay[[#This Row],[Serv-LY-RU]],"")</f>
        <v>#DIV/0!</v>
      </c>
      <c r="AE424" s="30">
        <f>WEEKDAY(DaybyDay[[#This Row],[LY-Date]])</f>
        <v>5</v>
      </c>
      <c r="AF424" s="38">
        <f>$E$2+_xlfn.DAYS(DaybyDay[[#This Row],[Date]],minDate)</f>
        <v>42789</v>
      </c>
      <c r="AG424" s="39" cm="1">
        <f t="array" ref="AG424">IFERROR(INDEX(DaybyDay[],DaybyDay[[#This Row],[FORM_MATCH_HELPER]],8),"")</f>
        <v>30</v>
      </c>
      <c r="AH424" s="39" cm="1">
        <f t="array" ref="AH424">IFERROR(INDEX(DaybyDay[],DaybyDay[[#This Row],[FORM_MATCH_HELPER]],10),"")</f>
        <v>4380.1899999999996</v>
      </c>
      <c r="AI424" s="39" cm="1">
        <f t="array" ref="AI424">IFERROR(INDEX(DaybyDay[],DaybyDay[[#This Row],[FORM_MATCH_HELPER]],12),"")</f>
        <v>508.15</v>
      </c>
      <c r="AJ424" s="32">
        <f>IFERROR(DaybyDay[[#This Row],[Serv-LY-RU]]+DaybyDay[[#This Row],[Ret-LY-RU]],"")</f>
        <v>0</v>
      </c>
      <c r="AK4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4" s="77"/>
      <c r="AM424" s="40" t="str">
        <f>IF(DaybyDay[[#This Row],[Admin Hours]]&gt;0,DaybyDay[[#This Row],[Admin Hours]]*$AM$2+$AM$3,"")</f>
        <v/>
      </c>
      <c r="AN424" s="40">
        <f>SUMIFS(DaybyDay[Est-Admin-Payroll],DaybyDay[Date],"&gt;="&amp;$C$5,DaybyDay[RowYear],"&gt;="&amp;$C$4,DaybyDay[Date],"&lt;="&amp;DaybyDay[[#This Row],[Date]])</f>
        <v>0</v>
      </c>
      <c r="AO424" s="41" t="str">
        <f>IF(AND(DaybyDay[[#This Row],[_Space]],ISNUMBER(DaybyDay[[#This Row],[Admin Hours]])),DaybyDay[[#This Row],[Est-Admin-Payroll]]/(DaybyDay[[#This Row],[Service-Actuals]]+DaybyDay[[#This Row],[Retail-Actuals]]),"")</f>
        <v/>
      </c>
      <c r="AP424" s="41" t="e">
        <f>DaybyDay[[#This Row],[Estimated-Payroll-Rollup]]/DaybyDay[[#This Row],[Simple-Forecast]]</f>
        <v>#DIV/0!</v>
      </c>
      <c r="AQ4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4" s="77"/>
      <c r="AS424" s="40" t="str">
        <f>IF(DaybyDay[[#This Row],[Retail Hours]]&gt;0,DaybyDay[[#This Row],[Retail Hours]]*$AS$2,"")</f>
        <v/>
      </c>
      <c r="AT424" s="40">
        <f>SUMIFS(DaybyDay[Est-Retail-Payroll],DaybyDay[Date],"&gt;="&amp;$C$5,DaybyDay[RowYear],"&gt;="&amp;$C$4,DaybyDay[Date],"&lt;="&amp;DaybyDay[[#This Row],[Date]])</f>
        <v>0</v>
      </c>
      <c r="AU424" s="82" t="str">
        <f>IF(AND(DaybyDay[[#This Row],[_Space]],ISNUMBER(DaybyDay[[#This Row],[Retail Hours]])),DaybyDay[[#This Row],[Est-Retail-Payroll]]/(DaybyDay[[#This Row],[Retail-Actuals]]),"")</f>
        <v/>
      </c>
      <c r="AV424" s="82" t="e">
        <f>DaybyDay[[#This Row],[Est-Retail-PayrollRU]]/DaybyDay[[#This Row],[Simple-Forecast-Retail]]</f>
        <v>#DIV/0!</v>
      </c>
      <c r="AW424" s="8"/>
    </row>
    <row r="425" spans="3:49" hidden="1" x14ac:dyDescent="0.25">
      <c r="C425" s="26" t="str">
        <f>Tools!$C$1</f>
        <v>Example</v>
      </c>
      <c r="D425" s="27" t="s">
        <v>69</v>
      </c>
      <c r="E425" s="28">
        <v>2018</v>
      </c>
      <c r="F425" s="28">
        <f>MATCH(DaybyDay[[#This Row],[RowMonth]],Table3[SummaryMonth],0)</f>
        <v>2</v>
      </c>
      <c r="G425" s="29">
        <f>MATCH(DaybyDay[[#This Row],[LY-Date]],DaybyDay[Date],0)</f>
        <v>55</v>
      </c>
      <c r="H425" s="30">
        <f>WEEKDAY(DaybyDay[[#This Row],[Date]])</f>
        <v>6</v>
      </c>
      <c r="I425" s="31">
        <v>43154</v>
      </c>
      <c r="J425" s="74">
        <v>27</v>
      </c>
      <c r="K425" s="32">
        <f>SUMIFS(BudgetSeasonality[365 Seasonality],BudgetSeasonality[MonthAdjustment],DaybyDay[[#This Row],[Date]])*SUMIFS(Budgets[Service-Budget],Budgets[BudgetMonth],DaybyDay[[#This Row],[RowMonth]],Budgets[BudgetYear],DaybyDay[[#This Row],[RowYear]])</f>
        <v>4666.0012751415252</v>
      </c>
      <c r="L425" s="75">
        <v>5350.7</v>
      </c>
      <c r="M425" s="32">
        <f>INDEX(BudgetSeasonality[365 Seasonality],MATCH(DaybyDay[[#This Row],[Date]],BudgetSeasonality[MonthAdjustment],0))*SUMIFS(Budgets[Retail-Budget],Budgets[BudgetMonth],DaybyDay[[#This Row],[RowMonth]],Budgets[BudgetYear],DaybyDay[[#This Row],[RowYear]])</f>
        <v>1401.5664693233589</v>
      </c>
      <c r="N425" s="75">
        <v>3477.4</v>
      </c>
      <c r="O425" s="33">
        <f>SUMIFS(DaybyDay[Service-Budgets],DaybyDay[Date],"&gt;="&amp;$C$5,DaybyDay[RowYear],"&gt;="&amp;$C$4,DaybyDay[Date],"&lt;="&amp;DaybyDay[[#This Row],[Date]])</f>
        <v>0</v>
      </c>
      <c r="P425" s="33">
        <f>SUMIFS(DaybyDay[Retail-Budgets],DaybyDay[Date],"&gt;="&amp;$C$5,DaybyDay[RowYear],"&gt;="&amp;$C$4,DaybyDay[Date],"&lt;="&amp;DaybyDay[[#This Row],[Date]])</f>
        <v>0</v>
      </c>
      <c r="Q425" s="34">
        <f>SUMIFS(DaybyDay[Service-Actuals],DaybyDay[Date],"&gt;="&amp;$C$5,DaybyDay[RowYear],"&gt;="&amp;$C$4,DaybyDay[Date],"&lt;="&amp;DaybyDay[[#This Row],[Date]])</f>
        <v>0</v>
      </c>
      <c r="R425" s="34">
        <f>SUMIFS(DaybyDay[Retail-Actuals],DaybyDay[Date],"&gt;="&amp;$C$5,DaybyDay[RowYear],"&gt;="&amp;$C$4,DaybyDay[Date],"&lt;="&amp;DaybyDay[[#This Row],[Date]])</f>
        <v>0</v>
      </c>
      <c r="S425" s="35">
        <f>SUMIFS(DaybyDay[Service-LY],DaybyDay[Date],"&gt;="&amp;$C$5,DaybyDay[RowYear],"&gt;="&amp;$C$4,DaybyDay[Date],"&lt;="&amp;DaybyDay[[#This Row],[Date]])</f>
        <v>0</v>
      </c>
      <c r="T425" s="35">
        <f>SUMIFS(DaybyDay[Retail-LY],DaybyDay[Date],"&gt;="&amp;$C$5,DaybyDay[RowYear],"&gt;="&amp;$C$4,DaybyDay[Date],"&lt;="&amp;DaybyDay[[#This Row],[Date]])</f>
        <v>0</v>
      </c>
      <c r="U425" s="32">
        <f>DaybyDay[[#This Row],[Serv-Bud-RU]]+DaybyDay[[#This Row],[Ret-Bud-RU]]</f>
        <v>0</v>
      </c>
      <c r="V425" s="32">
        <f>DaybyDay[[#This Row],[Serv-Act-RU]]+DaybyDay[[#This Row],[Ret-Act-RU]]</f>
        <v>0</v>
      </c>
      <c r="W425" s="36">
        <f>IF(DaybyDay[[#This Row],[_Space]],IFERROR(
((DaybyDay[[#This Row],[Actual-Rollup]]-DaybyDay[[#This Row],[Budget-Rollup]])/DaybyDay[[#This Row],[Budget-Rollup]]),0),"")</f>
        <v>0</v>
      </c>
      <c r="X425" t="b">
        <f>NOT(AND(ISBLANK(DaybyDay[[#This Row],[Appts]]),ISBLANK(DaybyDay[[#This Row],[Service-Actuals]]),ISBLANK(DaybyDay[[#This Row],[Retail-Actuals]])))</f>
        <v>1</v>
      </c>
      <c r="Y425" s="36">
        <f>IF(DaybyDay[[#This Row],[_Space]],IFERROR(
((DaybyDay[[#This Row],[Actual-Rollup]]-DaybyDay[[#This Row],[LY-Rollup]])/DaybyDay[[#This Row],[LY-Rollup]]),0),"")</f>
        <v>0</v>
      </c>
      <c r="Z425"/>
      <c r="AA425" s="37" t="e">
        <f>IF(DaybyDay[[#This Row],[_Space]],DaybyDay[[#This Row],[Ret-Act-RU]]/DaybyDay[[#This Row],[Serv-Act-RU]],"")</f>
        <v>#DIV/0!</v>
      </c>
      <c r="AB425" s="50" t="e">
        <f>IF(DaybyDay[[#This Row],[_Space]],DaybyDay[[#This Row],[RETPEN-Act]]/DaybyDay[[#This Row],[RETPEN-Bud]],"")</f>
        <v>#DIV/0!</v>
      </c>
      <c r="AC425" s="37" t="e">
        <f>IF(DaybyDay[[#This Row],[_Space]],DaybyDay[[#This Row],[Ret-Bud-RU]]/DaybyDay[[#This Row],[Serv-Bud-RU]],"")</f>
        <v>#DIV/0!</v>
      </c>
      <c r="AD425" s="37" t="e">
        <f>IF(DaybyDay[[#This Row],[_Space]],DaybyDay[[#This Row],[Ret-LY-RU]]/DaybyDay[[#This Row],[Serv-LY-RU]],"")</f>
        <v>#DIV/0!</v>
      </c>
      <c r="AE425" s="30">
        <f>WEEKDAY(DaybyDay[[#This Row],[LY-Date]])</f>
        <v>6</v>
      </c>
      <c r="AF425" s="38">
        <f>$E$2+_xlfn.DAYS(DaybyDay[[#This Row],[Date]],minDate)</f>
        <v>42790</v>
      </c>
      <c r="AG425" s="39" cm="1">
        <f t="array" ref="AG425">IFERROR(INDEX(DaybyDay[],DaybyDay[[#This Row],[FORM_MATCH_HELPER]],8),"")</f>
        <v>38</v>
      </c>
      <c r="AH425" s="39" cm="1">
        <f t="array" ref="AH425">IFERROR(INDEX(DaybyDay[],DaybyDay[[#This Row],[FORM_MATCH_HELPER]],10),"")</f>
        <v>6687.7</v>
      </c>
      <c r="AI425" s="39" cm="1">
        <f t="array" ref="AI425">IFERROR(INDEX(DaybyDay[],DaybyDay[[#This Row],[FORM_MATCH_HELPER]],12),"")</f>
        <v>2165.75</v>
      </c>
      <c r="AJ425" s="32">
        <f>IFERROR(DaybyDay[[#This Row],[Serv-LY-RU]]+DaybyDay[[#This Row],[Ret-LY-RU]],"")</f>
        <v>0</v>
      </c>
      <c r="AK4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5" s="77"/>
      <c r="AM425" s="40" t="str">
        <f>IF(DaybyDay[[#This Row],[Admin Hours]]&gt;0,DaybyDay[[#This Row],[Admin Hours]]*$AM$2+$AM$3,"")</f>
        <v/>
      </c>
      <c r="AN425" s="40">
        <f>SUMIFS(DaybyDay[Est-Admin-Payroll],DaybyDay[Date],"&gt;="&amp;$C$5,DaybyDay[RowYear],"&gt;="&amp;$C$4,DaybyDay[Date],"&lt;="&amp;DaybyDay[[#This Row],[Date]])</f>
        <v>0</v>
      </c>
      <c r="AO425" s="41" t="str">
        <f>IF(AND(DaybyDay[[#This Row],[_Space]],ISNUMBER(DaybyDay[[#This Row],[Admin Hours]])),DaybyDay[[#This Row],[Est-Admin-Payroll]]/(DaybyDay[[#This Row],[Service-Actuals]]+DaybyDay[[#This Row],[Retail-Actuals]]),"")</f>
        <v/>
      </c>
      <c r="AP425" s="41" t="e">
        <f>DaybyDay[[#This Row],[Estimated-Payroll-Rollup]]/DaybyDay[[#This Row],[Simple-Forecast]]</f>
        <v>#DIV/0!</v>
      </c>
      <c r="AQ4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5" s="77"/>
      <c r="AS425" s="40" t="str">
        <f>IF(DaybyDay[[#This Row],[Retail Hours]]&gt;0,DaybyDay[[#This Row],[Retail Hours]]*$AS$2,"")</f>
        <v/>
      </c>
      <c r="AT425" s="40">
        <f>SUMIFS(DaybyDay[Est-Retail-Payroll],DaybyDay[Date],"&gt;="&amp;$C$5,DaybyDay[RowYear],"&gt;="&amp;$C$4,DaybyDay[Date],"&lt;="&amp;DaybyDay[[#This Row],[Date]])</f>
        <v>0</v>
      </c>
      <c r="AU425" s="82" t="str">
        <f>IF(AND(DaybyDay[[#This Row],[_Space]],ISNUMBER(DaybyDay[[#This Row],[Retail Hours]])),DaybyDay[[#This Row],[Est-Retail-Payroll]]/(DaybyDay[[#This Row],[Retail-Actuals]]),"")</f>
        <v/>
      </c>
      <c r="AV425" s="82" t="e">
        <f>DaybyDay[[#This Row],[Est-Retail-PayrollRU]]/DaybyDay[[#This Row],[Simple-Forecast-Retail]]</f>
        <v>#DIV/0!</v>
      </c>
      <c r="AW425" s="8"/>
    </row>
    <row r="426" spans="3:49" hidden="1" x14ac:dyDescent="0.25">
      <c r="C426" s="26" t="str">
        <f>Tools!$C$1</f>
        <v>Example</v>
      </c>
      <c r="D426" s="27" t="s">
        <v>69</v>
      </c>
      <c r="E426" s="28">
        <v>2018</v>
      </c>
      <c r="F426" s="28">
        <f>MATCH(DaybyDay[[#This Row],[RowMonth]],Table3[SummaryMonth],0)</f>
        <v>2</v>
      </c>
      <c r="G426" s="29">
        <f>MATCH(DaybyDay[[#This Row],[LY-Date]],DaybyDay[Date],0)</f>
        <v>56</v>
      </c>
      <c r="H426" s="30">
        <f>WEEKDAY(DaybyDay[[#This Row],[Date]])</f>
        <v>7</v>
      </c>
      <c r="I426" s="31">
        <v>43155</v>
      </c>
      <c r="J426" s="74">
        <v>35</v>
      </c>
      <c r="K426" s="32">
        <f>SUMIFS(BudgetSeasonality[365 Seasonality],BudgetSeasonality[MonthAdjustment],DaybyDay[[#This Row],[Date]])*SUMIFS(Budgets[Service-Budget],Budgets[BudgetMonth],DaybyDay[[#This Row],[RowMonth]],Budgets[BudgetYear],DaybyDay[[#This Row],[RowYear]])</f>
        <v>6571.8218071495367</v>
      </c>
      <c r="L426" s="75">
        <v>9215.99</v>
      </c>
      <c r="M426" s="32">
        <f>INDEX(BudgetSeasonality[365 Seasonality],MATCH(DaybyDay[[#This Row],[Date]],BudgetSeasonality[MonthAdjustment],0))*SUMIFS(Budgets[Retail-Budget],Budgets[BudgetMonth],DaybyDay[[#This Row],[RowMonth]],Budgets[BudgetYear],DaybyDay[[#This Row],[RowYear]])</f>
        <v>1974.0339841611931</v>
      </c>
      <c r="N426" s="75">
        <v>3235.5</v>
      </c>
      <c r="O426" s="33">
        <f>SUMIFS(DaybyDay[Service-Budgets],DaybyDay[Date],"&gt;="&amp;$C$5,DaybyDay[RowYear],"&gt;="&amp;$C$4,DaybyDay[Date],"&lt;="&amp;DaybyDay[[#This Row],[Date]])</f>
        <v>0</v>
      </c>
      <c r="P426" s="33">
        <f>SUMIFS(DaybyDay[Retail-Budgets],DaybyDay[Date],"&gt;="&amp;$C$5,DaybyDay[RowYear],"&gt;="&amp;$C$4,DaybyDay[Date],"&lt;="&amp;DaybyDay[[#This Row],[Date]])</f>
        <v>0</v>
      </c>
      <c r="Q426" s="34">
        <f>SUMIFS(DaybyDay[Service-Actuals],DaybyDay[Date],"&gt;="&amp;$C$5,DaybyDay[RowYear],"&gt;="&amp;$C$4,DaybyDay[Date],"&lt;="&amp;DaybyDay[[#This Row],[Date]])</f>
        <v>0</v>
      </c>
      <c r="R426" s="34">
        <f>SUMIFS(DaybyDay[Retail-Actuals],DaybyDay[Date],"&gt;="&amp;$C$5,DaybyDay[RowYear],"&gt;="&amp;$C$4,DaybyDay[Date],"&lt;="&amp;DaybyDay[[#This Row],[Date]])</f>
        <v>0</v>
      </c>
      <c r="S426" s="35">
        <f>SUMIFS(DaybyDay[Service-LY],DaybyDay[Date],"&gt;="&amp;$C$5,DaybyDay[RowYear],"&gt;="&amp;$C$4,DaybyDay[Date],"&lt;="&amp;DaybyDay[[#This Row],[Date]])</f>
        <v>0</v>
      </c>
      <c r="T426" s="35">
        <f>SUMIFS(DaybyDay[Retail-LY],DaybyDay[Date],"&gt;="&amp;$C$5,DaybyDay[RowYear],"&gt;="&amp;$C$4,DaybyDay[Date],"&lt;="&amp;DaybyDay[[#This Row],[Date]])</f>
        <v>0</v>
      </c>
      <c r="U426" s="32">
        <f>DaybyDay[[#This Row],[Serv-Bud-RU]]+DaybyDay[[#This Row],[Ret-Bud-RU]]</f>
        <v>0</v>
      </c>
      <c r="V426" s="32">
        <f>DaybyDay[[#This Row],[Serv-Act-RU]]+DaybyDay[[#This Row],[Ret-Act-RU]]</f>
        <v>0</v>
      </c>
      <c r="W426" s="36">
        <f>IF(DaybyDay[[#This Row],[_Space]],IFERROR(
((DaybyDay[[#This Row],[Actual-Rollup]]-DaybyDay[[#This Row],[Budget-Rollup]])/DaybyDay[[#This Row],[Budget-Rollup]]),0),"")</f>
        <v>0</v>
      </c>
      <c r="X426" t="b">
        <f>NOT(AND(ISBLANK(DaybyDay[[#This Row],[Appts]]),ISBLANK(DaybyDay[[#This Row],[Service-Actuals]]),ISBLANK(DaybyDay[[#This Row],[Retail-Actuals]])))</f>
        <v>1</v>
      </c>
      <c r="Y426" s="36">
        <f>IF(DaybyDay[[#This Row],[_Space]],IFERROR(
((DaybyDay[[#This Row],[Actual-Rollup]]-DaybyDay[[#This Row],[LY-Rollup]])/DaybyDay[[#This Row],[LY-Rollup]]),0),"")</f>
        <v>0</v>
      </c>
      <c r="Z426"/>
      <c r="AA426" s="37" t="e">
        <f>IF(DaybyDay[[#This Row],[_Space]],DaybyDay[[#This Row],[Ret-Act-RU]]/DaybyDay[[#This Row],[Serv-Act-RU]],"")</f>
        <v>#DIV/0!</v>
      </c>
      <c r="AB426" s="50" t="e">
        <f>IF(DaybyDay[[#This Row],[_Space]],DaybyDay[[#This Row],[RETPEN-Act]]/DaybyDay[[#This Row],[RETPEN-Bud]],"")</f>
        <v>#DIV/0!</v>
      </c>
      <c r="AC426" s="37" t="e">
        <f>IF(DaybyDay[[#This Row],[_Space]],DaybyDay[[#This Row],[Ret-Bud-RU]]/DaybyDay[[#This Row],[Serv-Bud-RU]],"")</f>
        <v>#DIV/0!</v>
      </c>
      <c r="AD426" s="37" t="e">
        <f>IF(DaybyDay[[#This Row],[_Space]],DaybyDay[[#This Row],[Ret-LY-RU]]/DaybyDay[[#This Row],[Serv-LY-RU]],"")</f>
        <v>#DIV/0!</v>
      </c>
      <c r="AE426" s="30">
        <f>WEEKDAY(DaybyDay[[#This Row],[LY-Date]])</f>
        <v>7</v>
      </c>
      <c r="AF426" s="38">
        <f>$E$2+_xlfn.DAYS(DaybyDay[[#This Row],[Date]],minDate)</f>
        <v>42791</v>
      </c>
      <c r="AG426" s="39" cm="1">
        <f t="array" ref="AG426">IFERROR(INDEX(DaybyDay[],DaybyDay[[#This Row],[FORM_MATCH_HELPER]],8),"")</f>
        <v>63</v>
      </c>
      <c r="AH426" s="39" cm="1">
        <f t="array" ref="AH426">IFERROR(INDEX(DaybyDay[],DaybyDay[[#This Row],[FORM_MATCH_HELPER]],10),"")</f>
        <v>11396.66</v>
      </c>
      <c r="AI426" s="39" cm="1">
        <f t="array" ref="AI426">IFERROR(INDEX(DaybyDay[],DaybyDay[[#This Row],[FORM_MATCH_HELPER]],12),"")</f>
        <v>1133.49</v>
      </c>
      <c r="AJ426" s="32">
        <f>IFERROR(DaybyDay[[#This Row],[Serv-LY-RU]]+DaybyDay[[#This Row],[Ret-LY-RU]],"")</f>
        <v>0</v>
      </c>
      <c r="AK4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6" s="77"/>
      <c r="AM426" s="40" t="str">
        <f>IF(DaybyDay[[#This Row],[Admin Hours]]&gt;0,DaybyDay[[#This Row],[Admin Hours]]*$AM$2+$AM$3,"")</f>
        <v/>
      </c>
      <c r="AN426" s="40">
        <f>SUMIFS(DaybyDay[Est-Admin-Payroll],DaybyDay[Date],"&gt;="&amp;$C$5,DaybyDay[RowYear],"&gt;="&amp;$C$4,DaybyDay[Date],"&lt;="&amp;DaybyDay[[#This Row],[Date]])</f>
        <v>0</v>
      </c>
      <c r="AO426" s="41" t="str">
        <f>IF(AND(DaybyDay[[#This Row],[_Space]],ISNUMBER(DaybyDay[[#This Row],[Admin Hours]])),DaybyDay[[#This Row],[Est-Admin-Payroll]]/(DaybyDay[[#This Row],[Service-Actuals]]+DaybyDay[[#This Row],[Retail-Actuals]]),"")</f>
        <v/>
      </c>
      <c r="AP426" s="41" t="e">
        <f>DaybyDay[[#This Row],[Estimated-Payroll-Rollup]]/DaybyDay[[#This Row],[Simple-Forecast]]</f>
        <v>#DIV/0!</v>
      </c>
      <c r="AQ4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6" s="77"/>
      <c r="AS426" s="40" t="str">
        <f>IF(DaybyDay[[#This Row],[Retail Hours]]&gt;0,DaybyDay[[#This Row],[Retail Hours]]*$AS$2,"")</f>
        <v/>
      </c>
      <c r="AT426" s="40">
        <f>SUMIFS(DaybyDay[Est-Retail-Payroll],DaybyDay[Date],"&gt;="&amp;$C$5,DaybyDay[RowYear],"&gt;="&amp;$C$4,DaybyDay[Date],"&lt;="&amp;DaybyDay[[#This Row],[Date]])</f>
        <v>0</v>
      </c>
      <c r="AU426" s="82" t="str">
        <f>IF(AND(DaybyDay[[#This Row],[_Space]],ISNUMBER(DaybyDay[[#This Row],[Retail Hours]])),DaybyDay[[#This Row],[Est-Retail-Payroll]]/(DaybyDay[[#This Row],[Retail-Actuals]]),"")</f>
        <v/>
      </c>
      <c r="AV426" s="82" t="e">
        <f>DaybyDay[[#This Row],[Est-Retail-PayrollRU]]/DaybyDay[[#This Row],[Simple-Forecast-Retail]]</f>
        <v>#DIV/0!</v>
      </c>
      <c r="AW426" s="8"/>
    </row>
    <row r="427" spans="3:49" hidden="1" x14ac:dyDescent="0.25">
      <c r="C427" s="26" t="str">
        <f>Tools!$C$1</f>
        <v>Example</v>
      </c>
      <c r="D427" s="27" t="s">
        <v>69</v>
      </c>
      <c r="E427" s="28">
        <v>2018</v>
      </c>
      <c r="F427" s="28">
        <f>MATCH(DaybyDay[[#This Row],[RowMonth]],Table3[SummaryMonth],0)</f>
        <v>2</v>
      </c>
      <c r="G427" s="29">
        <f>MATCH(DaybyDay[[#This Row],[LY-Date]],DaybyDay[Date],0)</f>
        <v>57</v>
      </c>
      <c r="H427" s="30">
        <f>WEEKDAY(DaybyDay[[#This Row],[Date]])</f>
        <v>1</v>
      </c>
      <c r="I427" s="31">
        <v>43156</v>
      </c>
      <c r="J427" s="74">
        <v>24</v>
      </c>
      <c r="K427" s="32">
        <f>SUMIFS(BudgetSeasonality[365 Seasonality],BudgetSeasonality[MonthAdjustment],DaybyDay[[#This Row],[Date]])*SUMIFS(Budgets[Service-Budget],Budgets[BudgetMonth],DaybyDay[[#This Row],[RowMonth]],Budgets[BudgetYear],DaybyDay[[#This Row],[RowYear]])</f>
        <v>5023.7256733124159</v>
      </c>
      <c r="L427" s="75">
        <v>6255</v>
      </c>
      <c r="M427" s="32">
        <f>INDEX(BudgetSeasonality[365 Seasonality],MATCH(DaybyDay[[#This Row],[Date]],BudgetSeasonality[MonthAdjustment],0))*SUMIFS(Budgets[Retail-Budget],Budgets[BudgetMonth],DaybyDay[[#This Row],[RowMonth]],Budgets[BudgetYear],DaybyDay[[#This Row],[RowYear]])</f>
        <v>1509.0191878655312</v>
      </c>
      <c r="N427" s="75">
        <v>199</v>
      </c>
      <c r="O427" s="33">
        <f>SUMIFS(DaybyDay[Service-Budgets],DaybyDay[Date],"&gt;="&amp;$C$5,DaybyDay[RowYear],"&gt;="&amp;$C$4,DaybyDay[Date],"&lt;="&amp;DaybyDay[[#This Row],[Date]])</f>
        <v>0</v>
      </c>
      <c r="P427" s="33">
        <f>SUMIFS(DaybyDay[Retail-Budgets],DaybyDay[Date],"&gt;="&amp;$C$5,DaybyDay[RowYear],"&gt;="&amp;$C$4,DaybyDay[Date],"&lt;="&amp;DaybyDay[[#This Row],[Date]])</f>
        <v>0</v>
      </c>
      <c r="Q427" s="34">
        <f>SUMIFS(DaybyDay[Service-Actuals],DaybyDay[Date],"&gt;="&amp;$C$5,DaybyDay[RowYear],"&gt;="&amp;$C$4,DaybyDay[Date],"&lt;="&amp;DaybyDay[[#This Row],[Date]])</f>
        <v>0</v>
      </c>
      <c r="R427" s="34">
        <f>SUMIFS(DaybyDay[Retail-Actuals],DaybyDay[Date],"&gt;="&amp;$C$5,DaybyDay[RowYear],"&gt;="&amp;$C$4,DaybyDay[Date],"&lt;="&amp;DaybyDay[[#This Row],[Date]])</f>
        <v>0</v>
      </c>
      <c r="S427" s="35">
        <f>SUMIFS(DaybyDay[Service-LY],DaybyDay[Date],"&gt;="&amp;$C$5,DaybyDay[RowYear],"&gt;="&amp;$C$4,DaybyDay[Date],"&lt;="&amp;DaybyDay[[#This Row],[Date]])</f>
        <v>0</v>
      </c>
      <c r="T427" s="35">
        <f>SUMIFS(DaybyDay[Retail-LY],DaybyDay[Date],"&gt;="&amp;$C$5,DaybyDay[RowYear],"&gt;="&amp;$C$4,DaybyDay[Date],"&lt;="&amp;DaybyDay[[#This Row],[Date]])</f>
        <v>0</v>
      </c>
      <c r="U427" s="32">
        <f>DaybyDay[[#This Row],[Serv-Bud-RU]]+DaybyDay[[#This Row],[Ret-Bud-RU]]</f>
        <v>0</v>
      </c>
      <c r="V427" s="32">
        <f>DaybyDay[[#This Row],[Serv-Act-RU]]+DaybyDay[[#This Row],[Ret-Act-RU]]</f>
        <v>0</v>
      </c>
      <c r="W427" s="36">
        <f>IF(DaybyDay[[#This Row],[_Space]],IFERROR(
((DaybyDay[[#This Row],[Actual-Rollup]]-DaybyDay[[#This Row],[Budget-Rollup]])/DaybyDay[[#This Row],[Budget-Rollup]]),0),"")</f>
        <v>0</v>
      </c>
      <c r="X427" t="b">
        <f>NOT(AND(ISBLANK(DaybyDay[[#This Row],[Appts]]),ISBLANK(DaybyDay[[#This Row],[Service-Actuals]]),ISBLANK(DaybyDay[[#This Row],[Retail-Actuals]])))</f>
        <v>1</v>
      </c>
      <c r="Y427" s="36">
        <f>IF(DaybyDay[[#This Row],[_Space]],IFERROR(
((DaybyDay[[#This Row],[Actual-Rollup]]-DaybyDay[[#This Row],[LY-Rollup]])/DaybyDay[[#This Row],[LY-Rollup]]),0),"")</f>
        <v>0</v>
      </c>
      <c r="Z427"/>
      <c r="AA427" s="37" t="e">
        <f>IF(DaybyDay[[#This Row],[_Space]],DaybyDay[[#This Row],[Ret-Act-RU]]/DaybyDay[[#This Row],[Serv-Act-RU]],"")</f>
        <v>#DIV/0!</v>
      </c>
      <c r="AB427" s="50" t="e">
        <f>IF(DaybyDay[[#This Row],[_Space]],DaybyDay[[#This Row],[RETPEN-Act]]/DaybyDay[[#This Row],[RETPEN-Bud]],"")</f>
        <v>#DIV/0!</v>
      </c>
      <c r="AC427" s="37" t="e">
        <f>IF(DaybyDay[[#This Row],[_Space]],DaybyDay[[#This Row],[Ret-Bud-RU]]/DaybyDay[[#This Row],[Serv-Bud-RU]],"")</f>
        <v>#DIV/0!</v>
      </c>
      <c r="AD427" s="37" t="e">
        <f>IF(DaybyDay[[#This Row],[_Space]],DaybyDay[[#This Row],[Ret-LY-RU]]/DaybyDay[[#This Row],[Serv-LY-RU]],"")</f>
        <v>#DIV/0!</v>
      </c>
      <c r="AE427" s="30">
        <f>WEEKDAY(DaybyDay[[#This Row],[LY-Date]])</f>
        <v>1</v>
      </c>
      <c r="AF427" s="38">
        <f>$E$2+_xlfn.DAYS(DaybyDay[[#This Row],[Date]],minDate)</f>
        <v>42792</v>
      </c>
      <c r="AG427" s="39" cm="1">
        <f t="array" ref="AG427">IFERROR(INDEX(DaybyDay[],DaybyDay[[#This Row],[FORM_MATCH_HELPER]],8),"")</f>
        <v>31</v>
      </c>
      <c r="AH427" s="39" cm="1">
        <f t="array" ref="AH427">IFERROR(INDEX(DaybyDay[],DaybyDay[[#This Row],[FORM_MATCH_HELPER]],10),"")</f>
        <v>6564.71</v>
      </c>
      <c r="AI427" s="39" cm="1">
        <f t="array" ref="AI427">IFERROR(INDEX(DaybyDay[],DaybyDay[[#This Row],[FORM_MATCH_HELPER]],12),"")</f>
        <v>560.45000000000005</v>
      </c>
      <c r="AJ427" s="32">
        <f>IFERROR(DaybyDay[[#This Row],[Serv-LY-RU]]+DaybyDay[[#This Row],[Ret-LY-RU]],"")</f>
        <v>0</v>
      </c>
      <c r="AK4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7" s="77"/>
      <c r="AM427" s="40" t="str">
        <f>IF(DaybyDay[[#This Row],[Admin Hours]]&gt;0,DaybyDay[[#This Row],[Admin Hours]]*$AM$2+$AM$3,"")</f>
        <v/>
      </c>
      <c r="AN427" s="40">
        <f>SUMIFS(DaybyDay[Est-Admin-Payroll],DaybyDay[Date],"&gt;="&amp;$C$5,DaybyDay[RowYear],"&gt;="&amp;$C$4,DaybyDay[Date],"&lt;="&amp;DaybyDay[[#This Row],[Date]])</f>
        <v>0</v>
      </c>
      <c r="AO427" s="41" t="str">
        <f>IF(AND(DaybyDay[[#This Row],[_Space]],ISNUMBER(DaybyDay[[#This Row],[Admin Hours]])),DaybyDay[[#This Row],[Est-Admin-Payroll]]/(DaybyDay[[#This Row],[Service-Actuals]]+DaybyDay[[#This Row],[Retail-Actuals]]),"")</f>
        <v/>
      </c>
      <c r="AP427" s="41" t="e">
        <f>DaybyDay[[#This Row],[Estimated-Payroll-Rollup]]/DaybyDay[[#This Row],[Simple-Forecast]]</f>
        <v>#DIV/0!</v>
      </c>
      <c r="AQ4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7" s="77"/>
      <c r="AS427" s="40" t="str">
        <f>IF(DaybyDay[[#This Row],[Retail Hours]]&gt;0,DaybyDay[[#This Row],[Retail Hours]]*$AS$2,"")</f>
        <v/>
      </c>
      <c r="AT427" s="40">
        <f>SUMIFS(DaybyDay[Est-Retail-Payroll],DaybyDay[Date],"&gt;="&amp;$C$5,DaybyDay[RowYear],"&gt;="&amp;$C$4,DaybyDay[Date],"&lt;="&amp;DaybyDay[[#This Row],[Date]])</f>
        <v>0</v>
      </c>
      <c r="AU427" s="82" t="str">
        <f>IF(AND(DaybyDay[[#This Row],[_Space]],ISNUMBER(DaybyDay[[#This Row],[Retail Hours]])),DaybyDay[[#This Row],[Est-Retail-Payroll]]/(DaybyDay[[#This Row],[Retail-Actuals]]),"")</f>
        <v/>
      </c>
      <c r="AV427" s="82" t="e">
        <f>DaybyDay[[#This Row],[Est-Retail-PayrollRU]]/DaybyDay[[#This Row],[Simple-Forecast-Retail]]</f>
        <v>#DIV/0!</v>
      </c>
      <c r="AW427" s="8"/>
    </row>
    <row r="428" spans="3:49" hidden="1" x14ac:dyDescent="0.25">
      <c r="C428" s="26" t="str">
        <f>Tools!$C$1</f>
        <v>Example</v>
      </c>
      <c r="D428" s="27" t="s">
        <v>69</v>
      </c>
      <c r="E428" s="28">
        <v>2018</v>
      </c>
      <c r="F428" s="28">
        <f>MATCH(DaybyDay[[#This Row],[RowMonth]],Table3[SummaryMonth],0)</f>
        <v>2</v>
      </c>
      <c r="G428" s="29">
        <f>MATCH(DaybyDay[[#This Row],[LY-Date]],DaybyDay[Date],0)</f>
        <v>58</v>
      </c>
      <c r="H428" s="30">
        <f>WEEKDAY(DaybyDay[[#This Row],[Date]])</f>
        <v>2</v>
      </c>
      <c r="I428" s="31">
        <v>43157</v>
      </c>
      <c r="J428" s="74">
        <v>18</v>
      </c>
      <c r="K428" s="32">
        <f>SUMIFS(BudgetSeasonality[365 Seasonality],BudgetSeasonality[MonthAdjustment],DaybyDay[[#This Row],[Date]])*SUMIFS(Budgets[Service-Budget],Budgets[BudgetMonth],DaybyDay[[#This Row],[RowMonth]],Budgets[BudgetYear],DaybyDay[[#This Row],[RowYear]])</f>
        <v>2805.9332603140674</v>
      </c>
      <c r="L428" s="75">
        <v>3127.5</v>
      </c>
      <c r="M428" s="32">
        <f>INDEX(BudgetSeasonality[365 Seasonality],MATCH(DaybyDay[[#This Row],[Date]],BudgetSeasonality[MonthAdjustment],0))*SUMIFS(Budgets[Retail-Budget],Budgets[BudgetMonth],DaybyDay[[#This Row],[RowMonth]],Budgets[BudgetYear],DaybyDay[[#This Row],[RowYear]])</f>
        <v>842.8420270193958</v>
      </c>
      <c r="N428" s="75">
        <v>409.5</v>
      </c>
      <c r="O428" s="33">
        <f>SUMIFS(DaybyDay[Service-Budgets],DaybyDay[Date],"&gt;="&amp;$C$5,DaybyDay[RowYear],"&gt;="&amp;$C$4,DaybyDay[Date],"&lt;="&amp;DaybyDay[[#This Row],[Date]])</f>
        <v>0</v>
      </c>
      <c r="P428" s="33">
        <f>SUMIFS(DaybyDay[Retail-Budgets],DaybyDay[Date],"&gt;="&amp;$C$5,DaybyDay[RowYear],"&gt;="&amp;$C$4,DaybyDay[Date],"&lt;="&amp;DaybyDay[[#This Row],[Date]])</f>
        <v>0</v>
      </c>
      <c r="Q428" s="34">
        <f>SUMIFS(DaybyDay[Service-Actuals],DaybyDay[Date],"&gt;="&amp;$C$5,DaybyDay[RowYear],"&gt;="&amp;$C$4,DaybyDay[Date],"&lt;="&amp;DaybyDay[[#This Row],[Date]])</f>
        <v>0</v>
      </c>
      <c r="R428" s="34">
        <f>SUMIFS(DaybyDay[Retail-Actuals],DaybyDay[Date],"&gt;="&amp;$C$5,DaybyDay[RowYear],"&gt;="&amp;$C$4,DaybyDay[Date],"&lt;="&amp;DaybyDay[[#This Row],[Date]])</f>
        <v>0</v>
      </c>
      <c r="S428" s="35">
        <f>SUMIFS(DaybyDay[Service-LY],DaybyDay[Date],"&gt;="&amp;$C$5,DaybyDay[RowYear],"&gt;="&amp;$C$4,DaybyDay[Date],"&lt;="&amp;DaybyDay[[#This Row],[Date]])</f>
        <v>0</v>
      </c>
      <c r="T428" s="35">
        <f>SUMIFS(DaybyDay[Retail-LY],DaybyDay[Date],"&gt;="&amp;$C$5,DaybyDay[RowYear],"&gt;="&amp;$C$4,DaybyDay[Date],"&lt;="&amp;DaybyDay[[#This Row],[Date]])</f>
        <v>0</v>
      </c>
      <c r="U428" s="32">
        <f>DaybyDay[[#This Row],[Serv-Bud-RU]]+DaybyDay[[#This Row],[Ret-Bud-RU]]</f>
        <v>0</v>
      </c>
      <c r="V428" s="32">
        <f>DaybyDay[[#This Row],[Serv-Act-RU]]+DaybyDay[[#This Row],[Ret-Act-RU]]</f>
        <v>0</v>
      </c>
      <c r="W428" s="36">
        <f>IF(DaybyDay[[#This Row],[_Space]],IFERROR(
((DaybyDay[[#This Row],[Actual-Rollup]]-DaybyDay[[#This Row],[Budget-Rollup]])/DaybyDay[[#This Row],[Budget-Rollup]]),0),"")</f>
        <v>0</v>
      </c>
      <c r="X428" t="b">
        <f>NOT(AND(ISBLANK(DaybyDay[[#This Row],[Appts]]),ISBLANK(DaybyDay[[#This Row],[Service-Actuals]]),ISBLANK(DaybyDay[[#This Row],[Retail-Actuals]])))</f>
        <v>1</v>
      </c>
      <c r="Y428" s="36">
        <f>IF(DaybyDay[[#This Row],[_Space]],IFERROR(
((DaybyDay[[#This Row],[Actual-Rollup]]-DaybyDay[[#This Row],[LY-Rollup]])/DaybyDay[[#This Row],[LY-Rollup]]),0),"")</f>
        <v>0</v>
      </c>
      <c r="Z428"/>
      <c r="AA428" s="37" t="e">
        <f>IF(DaybyDay[[#This Row],[_Space]],DaybyDay[[#This Row],[Ret-Act-RU]]/DaybyDay[[#This Row],[Serv-Act-RU]],"")</f>
        <v>#DIV/0!</v>
      </c>
      <c r="AB428" s="50" t="e">
        <f>IF(DaybyDay[[#This Row],[_Space]],DaybyDay[[#This Row],[RETPEN-Act]]/DaybyDay[[#This Row],[RETPEN-Bud]],"")</f>
        <v>#DIV/0!</v>
      </c>
      <c r="AC428" s="37" t="e">
        <f>IF(DaybyDay[[#This Row],[_Space]],DaybyDay[[#This Row],[Ret-Bud-RU]]/DaybyDay[[#This Row],[Serv-Bud-RU]],"")</f>
        <v>#DIV/0!</v>
      </c>
      <c r="AD428" s="37" t="e">
        <f>IF(DaybyDay[[#This Row],[_Space]],DaybyDay[[#This Row],[Ret-LY-RU]]/DaybyDay[[#This Row],[Serv-LY-RU]],"")</f>
        <v>#DIV/0!</v>
      </c>
      <c r="AE428" s="30">
        <f>WEEKDAY(DaybyDay[[#This Row],[LY-Date]])</f>
        <v>2</v>
      </c>
      <c r="AF428" s="38">
        <f>$E$2+_xlfn.DAYS(DaybyDay[[#This Row],[Date]],minDate)</f>
        <v>42793</v>
      </c>
      <c r="AG428" s="39" cm="1">
        <f t="array" ref="AG428">IFERROR(INDEX(DaybyDay[],DaybyDay[[#This Row],[FORM_MATCH_HELPER]],8),"")</f>
        <v>39</v>
      </c>
      <c r="AH428" s="39" cm="1">
        <f t="array" ref="AH428">IFERROR(INDEX(DaybyDay[],DaybyDay[[#This Row],[FORM_MATCH_HELPER]],10),"")</f>
        <v>5207.5</v>
      </c>
      <c r="AI428" s="39" cm="1">
        <f t="array" ref="AI428">IFERROR(INDEX(DaybyDay[],DaybyDay[[#This Row],[FORM_MATCH_HELPER]],12),"")</f>
        <v>0</v>
      </c>
      <c r="AJ428" s="32">
        <f>IFERROR(DaybyDay[[#This Row],[Serv-LY-RU]]+DaybyDay[[#This Row],[Ret-LY-RU]],"")</f>
        <v>0</v>
      </c>
      <c r="AK4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8" s="77"/>
      <c r="AM428" s="40" t="str">
        <f>IF(DaybyDay[[#This Row],[Admin Hours]]&gt;0,DaybyDay[[#This Row],[Admin Hours]]*$AM$2+$AM$3,"")</f>
        <v/>
      </c>
      <c r="AN428" s="40">
        <f>SUMIFS(DaybyDay[Est-Admin-Payroll],DaybyDay[Date],"&gt;="&amp;$C$5,DaybyDay[RowYear],"&gt;="&amp;$C$4,DaybyDay[Date],"&lt;="&amp;DaybyDay[[#This Row],[Date]])</f>
        <v>0</v>
      </c>
      <c r="AO428" s="41" t="str">
        <f>IF(AND(DaybyDay[[#This Row],[_Space]],ISNUMBER(DaybyDay[[#This Row],[Admin Hours]])),DaybyDay[[#This Row],[Est-Admin-Payroll]]/(DaybyDay[[#This Row],[Service-Actuals]]+DaybyDay[[#This Row],[Retail-Actuals]]),"")</f>
        <v/>
      </c>
      <c r="AP428" s="41" t="e">
        <f>DaybyDay[[#This Row],[Estimated-Payroll-Rollup]]/DaybyDay[[#This Row],[Simple-Forecast]]</f>
        <v>#DIV/0!</v>
      </c>
      <c r="AQ4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8" s="77"/>
      <c r="AS428" s="40" t="str">
        <f>IF(DaybyDay[[#This Row],[Retail Hours]]&gt;0,DaybyDay[[#This Row],[Retail Hours]]*$AS$2,"")</f>
        <v/>
      </c>
      <c r="AT428" s="40">
        <f>SUMIFS(DaybyDay[Est-Retail-Payroll],DaybyDay[Date],"&gt;="&amp;$C$5,DaybyDay[RowYear],"&gt;="&amp;$C$4,DaybyDay[Date],"&lt;="&amp;DaybyDay[[#This Row],[Date]])</f>
        <v>0</v>
      </c>
      <c r="AU428" s="82" t="str">
        <f>IF(AND(DaybyDay[[#This Row],[_Space]],ISNUMBER(DaybyDay[[#This Row],[Retail Hours]])),DaybyDay[[#This Row],[Est-Retail-Payroll]]/(DaybyDay[[#This Row],[Retail-Actuals]]),"")</f>
        <v/>
      </c>
      <c r="AV428" s="82" t="e">
        <f>DaybyDay[[#This Row],[Est-Retail-PayrollRU]]/DaybyDay[[#This Row],[Simple-Forecast-Retail]]</f>
        <v>#DIV/0!</v>
      </c>
      <c r="AW428" s="8"/>
    </row>
    <row r="429" spans="3:49" hidden="1" x14ac:dyDescent="0.25">
      <c r="C429" s="26" t="str">
        <f>Tools!$C$1</f>
        <v>Example</v>
      </c>
      <c r="D429" s="27" t="s">
        <v>69</v>
      </c>
      <c r="E429" s="28">
        <v>2018</v>
      </c>
      <c r="F429" s="28">
        <f>MATCH(DaybyDay[[#This Row],[RowMonth]],Table3[SummaryMonth],0)</f>
        <v>2</v>
      </c>
      <c r="G429" s="29">
        <f>MATCH(DaybyDay[[#This Row],[LY-Date]],DaybyDay[Date],0)</f>
        <v>59</v>
      </c>
      <c r="H429" s="30">
        <f>WEEKDAY(DaybyDay[[#This Row],[Date]])</f>
        <v>3</v>
      </c>
      <c r="I429" s="31">
        <v>43158</v>
      </c>
      <c r="J429" s="74">
        <v>11</v>
      </c>
      <c r="K429" s="32">
        <f>SUMIFS(BudgetSeasonality[365 Seasonality],BudgetSeasonality[MonthAdjustment],DaybyDay[[#This Row],[Date]])*SUMIFS(Budgets[Service-Budget],Budgets[BudgetMonth],DaybyDay[[#This Row],[RowMonth]],Budgets[BudgetYear],DaybyDay[[#This Row],[RowYear]])</f>
        <v>2851.4325863675931</v>
      </c>
      <c r="L429" s="75">
        <v>1879.11</v>
      </c>
      <c r="M429" s="32">
        <f>INDEX(BudgetSeasonality[365 Seasonality],MATCH(DaybyDay[[#This Row],[Date]],BudgetSeasonality[MonthAdjustment],0))*SUMIFS(Budgets[Retail-Budget],Budgets[BudgetMonth],DaybyDay[[#This Row],[RowMonth]],Budgets[BudgetYear],DaybyDay[[#This Row],[RowYear]])</f>
        <v>856.5090463820294</v>
      </c>
      <c r="N429" s="75">
        <v>1070.4000000000001</v>
      </c>
      <c r="O429" s="33">
        <f>SUMIFS(DaybyDay[Service-Budgets],DaybyDay[Date],"&gt;="&amp;$C$5,DaybyDay[RowYear],"&gt;="&amp;$C$4,DaybyDay[Date],"&lt;="&amp;DaybyDay[[#This Row],[Date]])</f>
        <v>0</v>
      </c>
      <c r="P429" s="33">
        <f>SUMIFS(DaybyDay[Retail-Budgets],DaybyDay[Date],"&gt;="&amp;$C$5,DaybyDay[RowYear],"&gt;="&amp;$C$4,DaybyDay[Date],"&lt;="&amp;DaybyDay[[#This Row],[Date]])</f>
        <v>0</v>
      </c>
      <c r="Q429" s="34">
        <f>SUMIFS(DaybyDay[Service-Actuals],DaybyDay[Date],"&gt;="&amp;$C$5,DaybyDay[RowYear],"&gt;="&amp;$C$4,DaybyDay[Date],"&lt;="&amp;DaybyDay[[#This Row],[Date]])</f>
        <v>0</v>
      </c>
      <c r="R429" s="34">
        <f>SUMIFS(DaybyDay[Retail-Actuals],DaybyDay[Date],"&gt;="&amp;$C$5,DaybyDay[RowYear],"&gt;="&amp;$C$4,DaybyDay[Date],"&lt;="&amp;DaybyDay[[#This Row],[Date]])</f>
        <v>0</v>
      </c>
      <c r="S429" s="35">
        <f>SUMIFS(DaybyDay[Service-LY],DaybyDay[Date],"&gt;="&amp;$C$5,DaybyDay[RowYear],"&gt;="&amp;$C$4,DaybyDay[Date],"&lt;="&amp;DaybyDay[[#This Row],[Date]])</f>
        <v>0</v>
      </c>
      <c r="T429" s="35">
        <f>SUMIFS(DaybyDay[Retail-LY],DaybyDay[Date],"&gt;="&amp;$C$5,DaybyDay[RowYear],"&gt;="&amp;$C$4,DaybyDay[Date],"&lt;="&amp;DaybyDay[[#This Row],[Date]])</f>
        <v>0</v>
      </c>
      <c r="U429" s="32">
        <f>DaybyDay[[#This Row],[Serv-Bud-RU]]+DaybyDay[[#This Row],[Ret-Bud-RU]]</f>
        <v>0</v>
      </c>
      <c r="V429" s="32">
        <f>DaybyDay[[#This Row],[Serv-Act-RU]]+DaybyDay[[#This Row],[Ret-Act-RU]]</f>
        <v>0</v>
      </c>
      <c r="W429" s="36">
        <f>IF(DaybyDay[[#This Row],[_Space]],IFERROR(
((DaybyDay[[#This Row],[Actual-Rollup]]-DaybyDay[[#This Row],[Budget-Rollup]])/DaybyDay[[#This Row],[Budget-Rollup]]),0),"")</f>
        <v>0</v>
      </c>
      <c r="X429" t="b">
        <f>NOT(AND(ISBLANK(DaybyDay[[#This Row],[Appts]]),ISBLANK(DaybyDay[[#This Row],[Service-Actuals]]),ISBLANK(DaybyDay[[#This Row],[Retail-Actuals]])))</f>
        <v>1</v>
      </c>
      <c r="Y429" s="36">
        <f>IF(DaybyDay[[#This Row],[_Space]],IFERROR(
((DaybyDay[[#This Row],[Actual-Rollup]]-DaybyDay[[#This Row],[LY-Rollup]])/DaybyDay[[#This Row],[LY-Rollup]]),0),"")</f>
        <v>0</v>
      </c>
      <c r="Z429"/>
      <c r="AA429" s="37" t="e">
        <f>IF(DaybyDay[[#This Row],[_Space]],DaybyDay[[#This Row],[Ret-Act-RU]]/DaybyDay[[#This Row],[Serv-Act-RU]],"")</f>
        <v>#DIV/0!</v>
      </c>
      <c r="AB429" s="50" t="e">
        <f>IF(DaybyDay[[#This Row],[_Space]],DaybyDay[[#This Row],[RETPEN-Act]]/DaybyDay[[#This Row],[RETPEN-Bud]],"")</f>
        <v>#DIV/0!</v>
      </c>
      <c r="AC429" s="37" t="e">
        <f>IF(DaybyDay[[#This Row],[_Space]],DaybyDay[[#This Row],[Ret-Bud-RU]]/DaybyDay[[#This Row],[Serv-Bud-RU]],"")</f>
        <v>#DIV/0!</v>
      </c>
      <c r="AD429" s="37" t="e">
        <f>IF(DaybyDay[[#This Row],[_Space]],DaybyDay[[#This Row],[Ret-LY-RU]]/DaybyDay[[#This Row],[Serv-LY-RU]],"")</f>
        <v>#DIV/0!</v>
      </c>
      <c r="AE429" s="30">
        <f>WEEKDAY(DaybyDay[[#This Row],[LY-Date]])</f>
        <v>3</v>
      </c>
      <c r="AF429" s="38">
        <f>$E$2+_xlfn.DAYS(DaybyDay[[#This Row],[Date]],minDate)</f>
        <v>42794</v>
      </c>
      <c r="AG429" s="39" cm="1">
        <f t="array" ref="AG429">IFERROR(INDEX(DaybyDay[],DaybyDay[[#This Row],[FORM_MATCH_HELPER]],8),"")</f>
        <v>39</v>
      </c>
      <c r="AH429" s="39" cm="1">
        <f t="array" ref="AH429">IFERROR(INDEX(DaybyDay[],DaybyDay[[#This Row],[FORM_MATCH_HELPER]],10),"")</f>
        <v>6273.75</v>
      </c>
      <c r="AI429" s="39" cm="1">
        <f t="array" ref="AI429">IFERROR(INDEX(DaybyDay[],DaybyDay[[#This Row],[FORM_MATCH_HELPER]],12),"")</f>
        <v>2627.45</v>
      </c>
      <c r="AJ429" s="32">
        <f>IFERROR(DaybyDay[[#This Row],[Serv-LY-RU]]+DaybyDay[[#This Row],[Ret-LY-RU]],"")</f>
        <v>0</v>
      </c>
      <c r="AK4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29" s="77"/>
      <c r="AM429" s="40" t="str">
        <f>IF(DaybyDay[[#This Row],[Admin Hours]]&gt;0,DaybyDay[[#This Row],[Admin Hours]]*$AM$2+$AM$3,"")</f>
        <v/>
      </c>
      <c r="AN429" s="40">
        <f>SUMIFS(DaybyDay[Est-Admin-Payroll],DaybyDay[Date],"&gt;="&amp;$C$5,DaybyDay[RowYear],"&gt;="&amp;$C$4,DaybyDay[Date],"&lt;="&amp;DaybyDay[[#This Row],[Date]])</f>
        <v>0</v>
      </c>
      <c r="AO429" s="41" t="str">
        <f>IF(AND(DaybyDay[[#This Row],[_Space]],ISNUMBER(DaybyDay[[#This Row],[Admin Hours]])),DaybyDay[[#This Row],[Est-Admin-Payroll]]/(DaybyDay[[#This Row],[Service-Actuals]]+DaybyDay[[#This Row],[Retail-Actuals]]),"")</f>
        <v/>
      </c>
      <c r="AP429" s="41" t="e">
        <f>DaybyDay[[#This Row],[Estimated-Payroll-Rollup]]/DaybyDay[[#This Row],[Simple-Forecast]]</f>
        <v>#DIV/0!</v>
      </c>
      <c r="AQ4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29" s="77"/>
      <c r="AS429" s="40" t="str">
        <f>IF(DaybyDay[[#This Row],[Retail Hours]]&gt;0,DaybyDay[[#This Row],[Retail Hours]]*$AS$2,"")</f>
        <v/>
      </c>
      <c r="AT429" s="40">
        <f>SUMIFS(DaybyDay[Est-Retail-Payroll],DaybyDay[Date],"&gt;="&amp;$C$5,DaybyDay[RowYear],"&gt;="&amp;$C$4,DaybyDay[Date],"&lt;="&amp;DaybyDay[[#This Row],[Date]])</f>
        <v>0</v>
      </c>
      <c r="AU429" s="82" t="str">
        <f>IF(AND(DaybyDay[[#This Row],[_Space]],ISNUMBER(DaybyDay[[#This Row],[Retail Hours]])),DaybyDay[[#This Row],[Est-Retail-Payroll]]/(DaybyDay[[#This Row],[Retail-Actuals]]),"")</f>
        <v/>
      </c>
      <c r="AV429" s="82" t="e">
        <f>DaybyDay[[#This Row],[Est-Retail-PayrollRU]]/DaybyDay[[#This Row],[Simple-Forecast-Retail]]</f>
        <v>#DIV/0!</v>
      </c>
      <c r="AW429" s="8"/>
    </row>
    <row r="430" spans="3:49" hidden="1" x14ac:dyDescent="0.25">
      <c r="C430" s="26" t="str">
        <f>Tools!$C$1</f>
        <v>Example</v>
      </c>
      <c r="D430" s="27" t="s">
        <v>69</v>
      </c>
      <c r="E430" s="28">
        <v>2018</v>
      </c>
      <c r="F430" s="28">
        <f>MATCH(DaybyDay[[#This Row],[RowMonth]],Table3[SummaryMonth],0)</f>
        <v>2</v>
      </c>
      <c r="G430" s="29">
        <f>MATCH(DaybyDay[[#This Row],[LY-Date]],DaybyDay[Date],0)</f>
        <v>60</v>
      </c>
      <c r="H430" s="30">
        <f>WEEKDAY(DaybyDay[[#This Row],[Date]])</f>
        <v>4</v>
      </c>
      <c r="I430" s="31">
        <v>43159</v>
      </c>
      <c r="J430" s="74">
        <v>13</v>
      </c>
      <c r="K430" s="32">
        <f>SUMIFS(BudgetSeasonality[365 Seasonality],BudgetSeasonality[MonthAdjustment],DaybyDay[[#This Row],[Date]])*SUMIFS(Budgets[Service-Budget],Budgets[BudgetMonth],DaybyDay[[#This Row],[RowMonth]],Budgets[BudgetYear],DaybyDay[[#This Row],[RowYear]])</f>
        <v>3299.3607622771847</v>
      </c>
      <c r="L430" s="75">
        <v>2320</v>
      </c>
      <c r="M430" s="32">
        <f>INDEX(BudgetSeasonality[365 Seasonality],MATCH(DaybyDay[[#This Row],[Date]],BudgetSeasonality[MonthAdjustment],0))*SUMIFS(Budgets[Retail-Budget],Budgets[BudgetMonth],DaybyDay[[#This Row],[RowMonth]],Budgets[BudgetYear],DaybyDay[[#This Row],[RowYear]])</f>
        <v>991.05704047811275</v>
      </c>
      <c r="N430" s="75">
        <v>220.95</v>
      </c>
      <c r="O430" s="33">
        <f>SUMIFS(DaybyDay[Service-Budgets],DaybyDay[Date],"&gt;="&amp;$C$5,DaybyDay[RowYear],"&gt;="&amp;$C$4,DaybyDay[Date],"&lt;="&amp;DaybyDay[[#This Row],[Date]])</f>
        <v>0</v>
      </c>
      <c r="P430" s="33">
        <f>SUMIFS(DaybyDay[Retail-Budgets],DaybyDay[Date],"&gt;="&amp;$C$5,DaybyDay[RowYear],"&gt;="&amp;$C$4,DaybyDay[Date],"&lt;="&amp;DaybyDay[[#This Row],[Date]])</f>
        <v>0</v>
      </c>
      <c r="Q430" s="34">
        <f>SUMIFS(DaybyDay[Service-Actuals],DaybyDay[Date],"&gt;="&amp;$C$5,DaybyDay[RowYear],"&gt;="&amp;$C$4,DaybyDay[Date],"&lt;="&amp;DaybyDay[[#This Row],[Date]])</f>
        <v>0</v>
      </c>
      <c r="R430" s="34">
        <f>SUMIFS(DaybyDay[Retail-Actuals],DaybyDay[Date],"&gt;="&amp;$C$5,DaybyDay[RowYear],"&gt;="&amp;$C$4,DaybyDay[Date],"&lt;="&amp;DaybyDay[[#This Row],[Date]])</f>
        <v>0</v>
      </c>
      <c r="S430" s="35">
        <f>SUMIFS(DaybyDay[Service-LY],DaybyDay[Date],"&gt;="&amp;$C$5,DaybyDay[RowYear],"&gt;="&amp;$C$4,DaybyDay[Date],"&lt;="&amp;DaybyDay[[#This Row],[Date]])</f>
        <v>0</v>
      </c>
      <c r="T430" s="35">
        <f>SUMIFS(DaybyDay[Retail-LY],DaybyDay[Date],"&gt;="&amp;$C$5,DaybyDay[RowYear],"&gt;="&amp;$C$4,DaybyDay[Date],"&lt;="&amp;DaybyDay[[#This Row],[Date]])</f>
        <v>0</v>
      </c>
      <c r="U430" s="32">
        <f>DaybyDay[[#This Row],[Serv-Bud-RU]]+DaybyDay[[#This Row],[Ret-Bud-RU]]</f>
        <v>0</v>
      </c>
      <c r="V430" s="32">
        <f>DaybyDay[[#This Row],[Serv-Act-RU]]+DaybyDay[[#This Row],[Ret-Act-RU]]</f>
        <v>0</v>
      </c>
      <c r="W430" s="36">
        <f>IF(DaybyDay[[#This Row],[_Space]],IFERROR(
((DaybyDay[[#This Row],[Actual-Rollup]]-DaybyDay[[#This Row],[Budget-Rollup]])/DaybyDay[[#This Row],[Budget-Rollup]]),0),"")</f>
        <v>0</v>
      </c>
      <c r="X430" t="b">
        <f>NOT(AND(ISBLANK(DaybyDay[[#This Row],[Appts]]),ISBLANK(DaybyDay[[#This Row],[Service-Actuals]]),ISBLANK(DaybyDay[[#This Row],[Retail-Actuals]])))</f>
        <v>1</v>
      </c>
      <c r="Y430" s="36">
        <f>IF(DaybyDay[[#This Row],[_Space]],IFERROR(
((DaybyDay[[#This Row],[Actual-Rollup]]-DaybyDay[[#This Row],[LY-Rollup]])/DaybyDay[[#This Row],[LY-Rollup]]),0),"")</f>
        <v>0</v>
      </c>
      <c r="Z430"/>
      <c r="AA430" s="37" t="e">
        <f>IF(DaybyDay[[#This Row],[_Space]],DaybyDay[[#This Row],[Ret-Act-RU]]/DaybyDay[[#This Row],[Serv-Act-RU]],"")</f>
        <v>#DIV/0!</v>
      </c>
      <c r="AB430" s="50" t="e">
        <f>IF(DaybyDay[[#This Row],[_Space]],DaybyDay[[#This Row],[RETPEN-Act]]/DaybyDay[[#This Row],[RETPEN-Bud]],"")</f>
        <v>#DIV/0!</v>
      </c>
      <c r="AC430" s="37" t="e">
        <f>IF(DaybyDay[[#This Row],[_Space]],DaybyDay[[#This Row],[Ret-Bud-RU]]/DaybyDay[[#This Row],[Serv-Bud-RU]],"")</f>
        <v>#DIV/0!</v>
      </c>
      <c r="AD430" s="37" t="e">
        <f>IF(DaybyDay[[#This Row],[_Space]],DaybyDay[[#This Row],[Ret-LY-RU]]/DaybyDay[[#This Row],[Serv-LY-RU]],"")</f>
        <v>#DIV/0!</v>
      </c>
      <c r="AE430" s="30">
        <f>WEEKDAY(DaybyDay[[#This Row],[LY-Date]])</f>
        <v>4</v>
      </c>
      <c r="AF430" s="38">
        <f>$E$2+_xlfn.DAYS(DaybyDay[[#This Row],[Date]],minDate)</f>
        <v>42795</v>
      </c>
      <c r="AG430" s="39" cm="1">
        <f t="array" ref="AG430">IFERROR(INDEX(DaybyDay[],DaybyDay[[#This Row],[FORM_MATCH_HELPER]],8),"")</f>
        <v>0</v>
      </c>
      <c r="AH430" s="39" cm="1">
        <f t="array" ref="AH430">IFERROR(INDEX(DaybyDay[],DaybyDay[[#This Row],[FORM_MATCH_HELPER]],10),"")</f>
        <v>0</v>
      </c>
      <c r="AI430" s="39" cm="1">
        <f t="array" ref="AI430">IFERROR(INDEX(DaybyDay[],DaybyDay[[#This Row],[FORM_MATCH_HELPER]],12),"")</f>
        <v>0</v>
      </c>
      <c r="AJ430" s="32">
        <f>IFERROR(DaybyDay[[#This Row],[Serv-LY-RU]]+DaybyDay[[#This Row],[Ret-LY-RU]],"")</f>
        <v>0</v>
      </c>
      <c r="AK4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0" s="77"/>
      <c r="AM430" s="40" t="str">
        <f>IF(DaybyDay[[#This Row],[Admin Hours]]&gt;0,DaybyDay[[#This Row],[Admin Hours]]*$AM$2+$AM$3,"")</f>
        <v/>
      </c>
      <c r="AN430" s="40">
        <f>SUMIFS(DaybyDay[Est-Admin-Payroll],DaybyDay[Date],"&gt;="&amp;$C$5,DaybyDay[RowYear],"&gt;="&amp;$C$4,DaybyDay[Date],"&lt;="&amp;DaybyDay[[#This Row],[Date]])</f>
        <v>0</v>
      </c>
      <c r="AO430" s="41" t="str">
        <f>IF(AND(DaybyDay[[#This Row],[_Space]],ISNUMBER(DaybyDay[[#This Row],[Admin Hours]])),DaybyDay[[#This Row],[Est-Admin-Payroll]]/(DaybyDay[[#This Row],[Service-Actuals]]+DaybyDay[[#This Row],[Retail-Actuals]]),"")</f>
        <v/>
      </c>
      <c r="AP430" s="41" t="e">
        <f>DaybyDay[[#This Row],[Estimated-Payroll-Rollup]]/DaybyDay[[#This Row],[Simple-Forecast]]</f>
        <v>#DIV/0!</v>
      </c>
      <c r="AQ4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0" s="77"/>
      <c r="AS430" s="40" t="str">
        <f>IF(DaybyDay[[#This Row],[Retail Hours]]&gt;0,DaybyDay[[#This Row],[Retail Hours]]*$AS$2,"")</f>
        <v/>
      </c>
      <c r="AT430" s="40">
        <f>SUMIFS(DaybyDay[Est-Retail-Payroll],DaybyDay[Date],"&gt;="&amp;$C$5,DaybyDay[RowYear],"&gt;="&amp;$C$4,DaybyDay[Date],"&lt;="&amp;DaybyDay[[#This Row],[Date]])</f>
        <v>0</v>
      </c>
      <c r="AU430" s="82" t="str">
        <f>IF(AND(DaybyDay[[#This Row],[_Space]],ISNUMBER(DaybyDay[[#This Row],[Retail Hours]])),DaybyDay[[#This Row],[Est-Retail-Payroll]]/(DaybyDay[[#This Row],[Retail-Actuals]]),"")</f>
        <v/>
      </c>
      <c r="AV430" s="82" t="e">
        <f>DaybyDay[[#This Row],[Est-Retail-PayrollRU]]/DaybyDay[[#This Row],[Simple-Forecast-Retail]]</f>
        <v>#DIV/0!</v>
      </c>
      <c r="AW430" s="8"/>
    </row>
    <row r="431" spans="3:49" hidden="1" x14ac:dyDescent="0.25">
      <c r="C431" s="26" t="str">
        <f>Tools!$C$1</f>
        <v>Example</v>
      </c>
      <c r="D431" s="27" t="s">
        <v>69</v>
      </c>
      <c r="E431" s="28">
        <v>2018</v>
      </c>
      <c r="F431" s="28">
        <f>MATCH(DaybyDay[[#This Row],[RowMonth]],Table3[SummaryMonth],0)</f>
        <v>2</v>
      </c>
      <c r="G431" s="29">
        <f>MATCH(DaybyDay[[#This Row],[LY-Date]],DaybyDay[Date],0)</f>
        <v>61</v>
      </c>
      <c r="H431" s="30">
        <f>WEEKDAY(DaybyDay[[#This Row],[Date]])</f>
        <v>5</v>
      </c>
      <c r="I431" s="31">
        <v>43160</v>
      </c>
      <c r="J431" s="74">
        <v>18</v>
      </c>
      <c r="K431" s="32">
        <f>SUMIFS(BudgetSeasonality[365 Seasonality],BudgetSeasonality[MonthAdjustment],DaybyDay[[#This Row],[Date]])*SUMIFS(Budgets[Service-Budget],Budgets[BudgetMonth],DaybyDay[[#This Row],[RowMonth]],Budgets[BudgetYear],DaybyDay[[#This Row],[RowYear]])</f>
        <v>3353.1221786828428</v>
      </c>
      <c r="L431" s="75">
        <v>3958</v>
      </c>
      <c r="M431" s="32">
        <f>INDEX(BudgetSeasonality[365 Seasonality],MATCH(DaybyDay[[#This Row],[Date]],BudgetSeasonality[MonthAdjustment],0))*SUMIFS(Budgets[Retail-Budget],Budgets[BudgetMonth],DaybyDay[[#This Row],[RowMonth]],Budgets[BudgetYear],DaybyDay[[#This Row],[RowYear]])</f>
        <v>1007.2058141569659</v>
      </c>
      <c r="N431" s="75">
        <v>1347.74</v>
      </c>
      <c r="O431" s="33">
        <f>SUMIFS(DaybyDay[Service-Budgets],DaybyDay[Date],"&gt;="&amp;$C$5,DaybyDay[RowYear],"&gt;="&amp;$C$4,DaybyDay[Date],"&lt;="&amp;DaybyDay[[#This Row],[Date]])</f>
        <v>0</v>
      </c>
      <c r="P431" s="33">
        <f>SUMIFS(DaybyDay[Retail-Budgets],DaybyDay[Date],"&gt;="&amp;$C$5,DaybyDay[RowYear],"&gt;="&amp;$C$4,DaybyDay[Date],"&lt;="&amp;DaybyDay[[#This Row],[Date]])</f>
        <v>0</v>
      </c>
      <c r="Q431" s="34">
        <f>SUMIFS(DaybyDay[Service-Actuals],DaybyDay[Date],"&gt;="&amp;$C$5,DaybyDay[RowYear],"&gt;="&amp;$C$4,DaybyDay[Date],"&lt;="&amp;DaybyDay[[#This Row],[Date]])</f>
        <v>0</v>
      </c>
      <c r="R431" s="34">
        <f>SUMIFS(DaybyDay[Retail-Actuals],DaybyDay[Date],"&gt;="&amp;$C$5,DaybyDay[RowYear],"&gt;="&amp;$C$4,DaybyDay[Date],"&lt;="&amp;DaybyDay[[#This Row],[Date]])</f>
        <v>0</v>
      </c>
      <c r="S431" s="35">
        <f>SUMIFS(DaybyDay[Service-LY],DaybyDay[Date],"&gt;="&amp;$C$5,DaybyDay[RowYear],"&gt;="&amp;$C$4,DaybyDay[Date],"&lt;="&amp;DaybyDay[[#This Row],[Date]])</f>
        <v>0</v>
      </c>
      <c r="T431" s="35">
        <f>SUMIFS(DaybyDay[Retail-LY],DaybyDay[Date],"&gt;="&amp;$C$5,DaybyDay[RowYear],"&gt;="&amp;$C$4,DaybyDay[Date],"&lt;="&amp;DaybyDay[[#This Row],[Date]])</f>
        <v>0</v>
      </c>
      <c r="U431" s="32">
        <f>DaybyDay[[#This Row],[Serv-Bud-RU]]+DaybyDay[[#This Row],[Ret-Bud-RU]]</f>
        <v>0</v>
      </c>
      <c r="V431" s="32">
        <f>DaybyDay[[#This Row],[Serv-Act-RU]]+DaybyDay[[#This Row],[Ret-Act-RU]]</f>
        <v>0</v>
      </c>
      <c r="W431" s="36">
        <f>IF(DaybyDay[[#This Row],[_Space]],IFERROR(
((DaybyDay[[#This Row],[Actual-Rollup]]-DaybyDay[[#This Row],[Budget-Rollup]])/DaybyDay[[#This Row],[Budget-Rollup]]),0),"")</f>
        <v>0</v>
      </c>
      <c r="X431" t="b">
        <f>NOT(AND(ISBLANK(DaybyDay[[#This Row],[Appts]]),ISBLANK(DaybyDay[[#This Row],[Service-Actuals]]),ISBLANK(DaybyDay[[#This Row],[Retail-Actuals]])))</f>
        <v>1</v>
      </c>
      <c r="Y431" s="36">
        <f>IF(DaybyDay[[#This Row],[_Space]],IFERROR(
((DaybyDay[[#This Row],[Actual-Rollup]]-DaybyDay[[#This Row],[LY-Rollup]])/DaybyDay[[#This Row],[LY-Rollup]]),0),"")</f>
        <v>0</v>
      </c>
      <c r="Z431"/>
      <c r="AA431" s="37" t="e">
        <f>IF(DaybyDay[[#This Row],[_Space]],DaybyDay[[#This Row],[Ret-Act-RU]]/DaybyDay[[#This Row],[Serv-Act-RU]],"")</f>
        <v>#DIV/0!</v>
      </c>
      <c r="AB431" s="50" t="e">
        <f>IF(DaybyDay[[#This Row],[_Space]],DaybyDay[[#This Row],[RETPEN-Act]]/DaybyDay[[#This Row],[RETPEN-Bud]],"")</f>
        <v>#DIV/0!</v>
      </c>
      <c r="AC431" s="37" t="e">
        <f>IF(DaybyDay[[#This Row],[_Space]],DaybyDay[[#This Row],[Ret-Bud-RU]]/DaybyDay[[#This Row],[Serv-Bud-RU]],"")</f>
        <v>#DIV/0!</v>
      </c>
      <c r="AD431" s="37" t="e">
        <f>IF(DaybyDay[[#This Row],[_Space]],DaybyDay[[#This Row],[Ret-LY-RU]]/DaybyDay[[#This Row],[Serv-LY-RU]],"")</f>
        <v>#DIV/0!</v>
      </c>
      <c r="AE431" s="30">
        <f>WEEKDAY(DaybyDay[[#This Row],[LY-Date]])</f>
        <v>5</v>
      </c>
      <c r="AF431" s="38">
        <f>$E$2+_xlfn.DAYS(DaybyDay[[#This Row],[Date]],minDate)</f>
        <v>42796</v>
      </c>
      <c r="AG431" s="39" cm="1">
        <f t="array" ref="AG431">IFERROR(INDEX(DaybyDay[],DaybyDay[[#This Row],[FORM_MATCH_HELPER]],8),"")</f>
        <v>0</v>
      </c>
      <c r="AH431" s="39" cm="1">
        <f t="array" ref="AH431">IFERROR(INDEX(DaybyDay[],DaybyDay[[#This Row],[FORM_MATCH_HELPER]],10),"")</f>
        <v>0</v>
      </c>
      <c r="AI431" s="39" cm="1">
        <f t="array" ref="AI431">IFERROR(INDEX(DaybyDay[],DaybyDay[[#This Row],[FORM_MATCH_HELPER]],12),"")</f>
        <v>0</v>
      </c>
      <c r="AJ431" s="32">
        <f>IFERROR(DaybyDay[[#This Row],[Serv-LY-RU]]+DaybyDay[[#This Row],[Ret-LY-RU]],"")</f>
        <v>0</v>
      </c>
      <c r="AK4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1" s="77"/>
      <c r="AM431" s="40" t="str">
        <f>IF(DaybyDay[[#This Row],[Admin Hours]]&gt;0,DaybyDay[[#This Row],[Admin Hours]]*$AM$2+$AM$3,"")</f>
        <v/>
      </c>
      <c r="AN431" s="40">
        <f>SUMIFS(DaybyDay[Est-Admin-Payroll],DaybyDay[Date],"&gt;="&amp;$C$5,DaybyDay[RowYear],"&gt;="&amp;$C$4,DaybyDay[Date],"&lt;="&amp;DaybyDay[[#This Row],[Date]])</f>
        <v>0</v>
      </c>
      <c r="AO431" s="41" t="str">
        <f>IF(AND(DaybyDay[[#This Row],[_Space]],ISNUMBER(DaybyDay[[#This Row],[Admin Hours]])),DaybyDay[[#This Row],[Est-Admin-Payroll]]/(DaybyDay[[#This Row],[Service-Actuals]]+DaybyDay[[#This Row],[Retail-Actuals]]),"")</f>
        <v/>
      </c>
      <c r="AP431" s="41" t="e">
        <f>DaybyDay[[#This Row],[Estimated-Payroll-Rollup]]/DaybyDay[[#This Row],[Simple-Forecast]]</f>
        <v>#DIV/0!</v>
      </c>
      <c r="AQ4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1" s="77"/>
      <c r="AS431" s="40" t="str">
        <f>IF(DaybyDay[[#This Row],[Retail Hours]]&gt;0,DaybyDay[[#This Row],[Retail Hours]]*$AS$2,"")</f>
        <v/>
      </c>
      <c r="AT431" s="40">
        <f>SUMIFS(DaybyDay[Est-Retail-Payroll],DaybyDay[Date],"&gt;="&amp;$C$5,DaybyDay[RowYear],"&gt;="&amp;$C$4,DaybyDay[Date],"&lt;="&amp;DaybyDay[[#This Row],[Date]])</f>
        <v>0</v>
      </c>
      <c r="AU431" s="82" t="str">
        <f>IF(AND(DaybyDay[[#This Row],[_Space]],ISNUMBER(DaybyDay[[#This Row],[Retail Hours]])),DaybyDay[[#This Row],[Est-Retail-Payroll]]/(DaybyDay[[#This Row],[Retail-Actuals]]),"")</f>
        <v/>
      </c>
      <c r="AV431" s="82" t="e">
        <f>DaybyDay[[#This Row],[Est-Retail-PayrollRU]]/DaybyDay[[#This Row],[Simple-Forecast-Retail]]</f>
        <v>#DIV/0!</v>
      </c>
      <c r="AW431" s="8"/>
    </row>
    <row r="432" spans="3:49" hidden="1" x14ac:dyDescent="0.25">
      <c r="C432" s="26" t="str">
        <f>Tools!$C$1</f>
        <v>Example</v>
      </c>
      <c r="D432" s="27" t="s">
        <v>69</v>
      </c>
      <c r="E432" s="28">
        <v>2018</v>
      </c>
      <c r="F432" s="28">
        <f>MATCH(DaybyDay[[#This Row],[RowMonth]],Table3[SummaryMonth],0)</f>
        <v>2</v>
      </c>
      <c r="G432" s="29">
        <f>MATCH(DaybyDay[[#This Row],[LY-Date]],DaybyDay[Date],0)</f>
        <v>62</v>
      </c>
      <c r="H432" s="30">
        <f>WEEKDAY(DaybyDay[[#This Row],[Date]])</f>
        <v>6</v>
      </c>
      <c r="I432" s="31">
        <v>43161</v>
      </c>
      <c r="J432" s="74">
        <v>20</v>
      </c>
      <c r="K432" s="32">
        <f>SUMIFS(BudgetSeasonality[365 Seasonality],BudgetSeasonality[MonthAdjustment],DaybyDay[[#This Row],[Date]])*SUMIFS(Budgets[Service-Budget],Budgets[BudgetMonth],DaybyDay[[#This Row],[RowMonth]],Budgets[BudgetYear],DaybyDay[[#This Row],[RowYear]])</f>
        <v>4249.6004438378286</v>
      </c>
      <c r="L432" s="75">
        <v>5344</v>
      </c>
      <c r="M432" s="32">
        <f>INDEX(BudgetSeasonality[365 Seasonality],MATCH(DaybyDay[[#This Row],[Date]],BudgetSeasonality[MonthAdjustment],0))*SUMIFS(Budgets[Retail-Budget],Budgets[BudgetMonth],DaybyDay[[#This Row],[RowMonth]],Budgets[BudgetYear],DaybyDay[[#This Row],[RowYear]])</f>
        <v>1276.488611744777</v>
      </c>
      <c r="N432" s="75">
        <v>251.3</v>
      </c>
      <c r="O432" s="33">
        <f>SUMIFS(DaybyDay[Service-Budgets],DaybyDay[Date],"&gt;="&amp;$C$5,DaybyDay[RowYear],"&gt;="&amp;$C$4,DaybyDay[Date],"&lt;="&amp;DaybyDay[[#This Row],[Date]])</f>
        <v>0</v>
      </c>
      <c r="P432" s="33">
        <f>SUMIFS(DaybyDay[Retail-Budgets],DaybyDay[Date],"&gt;="&amp;$C$5,DaybyDay[RowYear],"&gt;="&amp;$C$4,DaybyDay[Date],"&lt;="&amp;DaybyDay[[#This Row],[Date]])</f>
        <v>0</v>
      </c>
      <c r="Q432" s="34">
        <f>SUMIFS(DaybyDay[Service-Actuals],DaybyDay[Date],"&gt;="&amp;$C$5,DaybyDay[RowYear],"&gt;="&amp;$C$4,DaybyDay[Date],"&lt;="&amp;DaybyDay[[#This Row],[Date]])</f>
        <v>0</v>
      </c>
      <c r="R432" s="34">
        <f>SUMIFS(DaybyDay[Retail-Actuals],DaybyDay[Date],"&gt;="&amp;$C$5,DaybyDay[RowYear],"&gt;="&amp;$C$4,DaybyDay[Date],"&lt;="&amp;DaybyDay[[#This Row],[Date]])</f>
        <v>0</v>
      </c>
      <c r="S432" s="35">
        <f>SUMIFS(DaybyDay[Service-LY],DaybyDay[Date],"&gt;="&amp;$C$5,DaybyDay[RowYear],"&gt;="&amp;$C$4,DaybyDay[Date],"&lt;="&amp;DaybyDay[[#This Row],[Date]])</f>
        <v>0</v>
      </c>
      <c r="T432" s="35">
        <f>SUMIFS(DaybyDay[Retail-LY],DaybyDay[Date],"&gt;="&amp;$C$5,DaybyDay[RowYear],"&gt;="&amp;$C$4,DaybyDay[Date],"&lt;="&amp;DaybyDay[[#This Row],[Date]])</f>
        <v>0</v>
      </c>
      <c r="U432" s="32">
        <f>DaybyDay[[#This Row],[Serv-Bud-RU]]+DaybyDay[[#This Row],[Ret-Bud-RU]]</f>
        <v>0</v>
      </c>
      <c r="V432" s="32">
        <f>DaybyDay[[#This Row],[Serv-Act-RU]]+DaybyDay[[#This Row],[Ret-Act-RU]]</f>
        <v>0</v>
      </c>
      <c r="W432" s="36">
        <f>IF(DaybyDay[[#This Row],[_Space]],IFERROR(
((DaybyDay[[#This Row],[Actual-Rollup]]-DaybyDay[[#This Row],[Budget-Rollup]])/DaybyDay[[#This Row],[Budget-Rollup]]),0),"")</f>
        <v>0</v>
      </c>
      <c r="X432" t="b">
        <f>NOT(AND(ISBLANK(DaybyDay[[#This Row],[Appts]]),ISBLANK(DaybyDay[[#This Row],[Service-Actuals]]),ISBLANK(DaybyDay[[#This Row],[Retail-Actuals]])))</f>
        <v>1</v>
      </c>
      <c r="Y432" s="36">
        <f>IF(DaybyDay[[#This Row],[_Space]],IFERROR(
((DaybyDay[[#This Row],[Actual-Rollup]]-DaybyDay[[#This Row],[LY-Rollup]])/DaybyDay[[#This Row],[LY-Rollup]]),0),"")</f>
        <v>0</v>
      </c>
      <c r="Z432"/>
      <c r="AA432" s="37" t="e">
        <f>IF(DaybyDay[[#This Row],[_Space]],DaybyDay[[#This Row],[Ret-Act-RU]]/DaybyDay[[#This Row],[Serv-Act-RU]],"")</f>
        <v>#DIV/0!</v>
      </c>
      <c r="AB432" s="50" t="e">
        <f>IF(DaybyDay[[#This Row],[_Space]],DaybyDay[[#This Row],[RETPEN-Act]]/DaybyDay[[#This Row],[RETPEN-Bud]],"")</f>
        <v>#DIV/0!</v>
      </c>
      <c r="AC432" s="37" t="e">
        <f>IF(DaybyDay[[#This Row],[_Space]],DaybyDay[[#This Row],[Ret-Bud-RU]]/DaybyDay[[#This Row],[Serv-Bud-RU]],"")</f>
        <v>#DIV/0!</v>
      </c>
      <c r="AD432" s="37" t="e">
        <f>IF(DaybyDay[[#This Row],[_Space]],DaybyDay[[#This Row],[Ret-LY-RU]]/DaybyDay[[#This Row],[Serv-LY-RU]],"")</f>
        <v>#DIV/0!</v>
      </c>
      <c r="AE432" s="30">
        <f>WEEKDAY(DaybyDay[[#This Row],[LY-Date]])</f>
        <v>6</v>
      </c>
      <c r="AF432" s="38">
        <f>$E$2+_xlfn.DAYS(DaybyDay[[#This Row],[Date]],minDate)</f>
        <v>42797</v>
      </c>
      <c r="AG432" s="39" cm="1">
        <f t="array" ref="AG432">IFERROR(INDEX(DaybyDay[],DaybyDay[[#This Row],[FORM_MATCH_HELPER]],8),"")</f>
        <v>0</v>
      </c>
      <c r="AH432" s="39" cm="1">
        <f t="array" ref="AH432">IFERROR(INDEX(DaybyDay[],DaybyDay[[#This Row],[FORM_MATCH_HELPER]],10),"")</f>
        <v>0</v>
      </c>
      <c r="AI432" s="39" cm="1">
        <f t="array" ref="AI432">IFERROR(INDEX(DaybyDay[],DaybyDay[[#This Row],[FORM_MATCH_HELPER]],12),"")</f>
        <v>0</v>
      </c>
      <c r="AJ432" s="32">
        <f>IFERROR(DaybyDay[[#This Row],[Serv-LY-RU]]+DaybyDay[[#This Row],[Ret-LY-RU]],"")</f>
        <v>0</v>
      </c>
      <c r="AK4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2" s="77"/>
      <c r="AM432" s="40" t="str">
        <f>IF(DaybyDay[[#This Row],[Admin Hours]]&gt;0,DaybyDay[[#This Row],[Admin Hours]]*$AM$2+$AM$3,"")</f>
        <v/>
      </c>
      <c r="AN432" s="40">
        <f>SUMIFS(DaybyDay[Est-Admin-Payroll],DaybyDay[Date],"&gt;="&amp;$C$5,DaybyDay[RowYear],"&gt;="&amp;$C$4,DaybyDay[Date],"&lt;="&amp;DaybyDay[[#This Row],[Date]])</f>
        <v>0</v>
      </c>
      <c r="AO432" s="41" t="str">
        <f>IF(AND(DaybyDay[[#This Row],[_Space]],ISNUMBER(DaybyDay[[#This Row],[Admin Hours]])),DaybyDay[[#This Row],[Est-Admin-Payroll]]/(DaybyDay[[#This Row],[Service-Actuals]]+DaybyDay[[#This Row],[Retail-Actuals]]),"")</f>
        <v/>
      </c>
      <c r="AP432" s="41" t="e">
        <f>DaybyDay[[#This Row],[Estimated-Payroll-Rollup]]/DaybyDay[[#This Row],[Simple-Forecast]]</f>
        <v>#DIV/0!</v>
      </c>
      <c r="AQ4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2" s="77"/>
      <c r="AS432" s="40" t="str">
        <f>IF(DaybyDay[[#This Row],[Retail Hours]]&gt;0,DaybyDay[[#This Row],[Retail Hours]]*$AS$2,"")</f>
        <v/>
      </c>
      <c r="AT432" s="40">
        <f>SUMIFS(DaybyDay[Est-Retail-Payroll],DaybyDay[Date],"&gt;="&amp;$C$5,DaybyDay[RowYear],"&gt;="&amp;$C$4,DaybyDay[Date],"&lt;="&amp;DaybyDay[[#This Row],[Date]])</f>
        <v>0</v>
      </c>
      <c r="AU432" s="82" t="str">
        <f>IF(AND(DaybyDay[[#This Row],[_Space]],ISNUMBER(DaybyDay[[#This Row],[Retail Hours]])),DaybyDay[[#This Row],[Est-Retail-Payroll]]/(DaybyDay[[#This Row],[Retail-Actuals]]),"")</f>
        <v/>
      </c>
      <c r="AV432" s="82" t="e">
        <f>DaybyDay[[#This Row],[Est-Retail-PayrollRU]]/DaybyDay[[#This Row],[Simple-Forecast-Retail]]</f>
        <v>#DIV/0!</v>
      </c>
      <c r="AW432" s="8"/>
    </row>
    <row r="433" spans="3:49" hidden="1" x14ac:dyDescent="0.25">
      <c r="C433" s="26" t="str">
        <f>Tools!$C$1</f>
        <v>Example</v>
      </c>
      <c r="D433" s="27" t="s">
        <v>69</v>
      </c>
      <c r="E433" s="28">
        <v>2018</v>
      </c>
      <c r="F433" s="28">
        <f>MATCH(DaybyDay[[#This Row],[RowMonth]],Table3[SummaryMonth],0)</f>
        <v>2</v>
      </c>
      <c r="G433" s="29">
        <f>MATCH(DaybyDay[[#This Row],[LY-Date]],DaybyDay[Date],0)</f>
        <v>63</v>
      </c>
      <c r="H433" s="30">
        <f>WEEKDAY(DaybyDay[[#This Row],[Date]])</f>
        <v>7</v>
      </c>
      <c r="I433" s="31">
        <v>43162</v>
      </c>
      <c r="J433" s="74">
        <v>28</v>
      </c>
      <c r="K433" s="32">
        <f>SUMIFS(BudgetSeasonality[365 Seasonality],BudgetSeasonality[MonthAdjustment],DaybyDay[[#This Row],[Date]])*SUMIFS(Budgets[Service-Budget],Budgets[BudgetMonth],DaybyDay[[#This Row],[RowMonth]],Budgets[BudgetYear],DaybyDay[[#This Row],[RowYear]])</f>
        <v>6204.3188756576737</v>
      </c>
      <c r="L433" s="75">
        <v>5535</v>
      </c>
      <c r="M433" s="32">
        <f>INDEX(BudgetSeasonality[365 Seasonality],MATCH(DaybyDay[[#This Row],[Date]],BudgetSeasonality[MonthAdjustment],0))*SUMIFS(Budgets[Retail-Budget],Budgets[BudgetMonth],DaybyDay[[#This Row],[RowMonth]],Budgets[BudgetYear],DaybyDay[[#This Row],[RowYear]])</f>
        <v>1863.6440044367637</v>
      </c>
      <c r="N433" s="75">
        <v>928.25</v>
      </c>
      <c r="O433" s="33">
        <f>SUMIFS(DaybyDay[Service-Budgets],DaybyDay[Date],"&gt;="&amp;$C$5,DaybyDay[RowYear],"&gt;="&amp;$C$4,DaybyDay[Date],"&lt;="&amp;DaybyDay[[#This Row],[Date]])</f>
        <v>0</v>
      </c>
      <c r="P433" s="33">
        <f>SUMIFS(DaybyDay[Retail-Budgets],DaybyDay[Date],"&gt;="&amp;$C$5,DaybyDay[RowYear],"&gt;="&amp;$C$4,DaybyDay[Date],"&lt;="&amp;DaybyDay[[#This Row],[Date]])</f>
        <v>0</v>
      </c>
      <c r="Q433" s="34">
        <f>SUMIFS(DaybyDay[Service-Actuals],DaybyDay[Date],"&gt;="&amp;$C$5,DaybyDay[RowYear],"&gt;="&amp;$C$4,DaybyDay[Date],"&lt;="&amp;DaybyDay[[#This Row],[Date]])</f>
        <v>0</v>
      </c>
      <c r="R433" s="34">
        <f>SUMIFS(DaybyDay[Retail-Actuals],DaybyDay[Date],"&gt;="&amp;$C$5,DaybyDay[RowYear],"&gt;="&amp;$C$4,DaybyDay[Date],"&lt;="&amp;DaybyDay[[#This Row],[Date]])</f>
        <v>0</v>
      </c>
      <c r="S433" s="35">
        <f>SUMIFS(DaybyDay[Service-LY],DaybyDay[Date],"&gt;="&amp;$C$5,DaybyDay[RowYear],"&gt;="&amp;$C$4,DaybyDay[Date],"&lt;="&amp;DaybyDay[[#This Row],[Date]])</f>
        <v>0</v>
      </c>
      <c r="T433" s="35">
        <f>SUMIFS(DaybyDay[Retail-LY],DaybyDay[Date],"&gt;="&amp;$C$5,DaybyDay[RowYear],"&gt;="&amp;$C$4,DaybyDay[Date],"&lt;="&amp;DaybyDay[[#This Row],[Date]])</f>
        <v>0</v>
      </c>
      <c r="U433" s="32">
        <f>DaybyDay[[#This Row],[Serv-Bud-RU]]+DaybyDay[[#This Row],[Ret-Bud-RU]]</f>
        <v>0</v>
      </c>
      <c r="V433" s="32">
        <f>DaybyDay[[#This Row],[Serv-Act-RU]]+DaybyDay[[#This Row],[Ret-Act-RU]]</f>
        <v>0</v>
      </c>
      <c r="W433" s="36">
        <f>IF(DaybyDay[[#This Row],[_Space]],IFERROR(
((DaybyDay[[#This Row],[Actual-Rollup]]-DaybyDay[[#This Row],[Budget-Rollup]])/DaybyDay[[#This Row],[Budget-Rollup]]),0),"")</f>
        <v>0</v>
      </c>
      <c r="X433" t="b">
        <f>NOT(AND(ISBLANK(DaybyDay[[#This Row],[Appts]]),ISBLANK(DaybyDay[[#This Row],[Service-Actuals]]),ISBLANK(DaybyDay[[#This Row],[Retail-Actuals]])))</f>
        <v>1</v>
      </c>
      <c r="Y433" s="36">
        <f>IF(DaybyDay[[#This Row],[_Space]],IFERROR(
((DaybyDay[[#This Row],[Actual-Rollup]]-DaybyDay[[#This Row],[LY-Rollup]])/DaybyDay[[#This Row],[LY-Rollup]]),0),"")</f>
        <v>0</v>
      </c>
      <c r="Z433"/>
      <c r="AA433" s="37" t="e">
        <f>IF(DaybyDay[[#This Row],[_Space]],DaybyDay[[#This Row],[Ret-Act-RU]]/DaybyDay[[#This Row],[Serv-Act-RU]],"")</f>
        <v>#DIV/0!</v>
      </c>
      <c r="AB433" s="50" t="e">
        <f>IF(DaybyDay[[#This Row],[_Space]],DaybyDay[[#This Row],[RETPEN-Act]]/DaybyDay[[#This Row],[RETPEN-Bud]],"")</f>
        <v>#DIV/0!</v>
      </c>
      <c r="AC433" s="37" t="e">
        <f>IF(DaybyDay[[#This Row],[_Space]],DaybyDay[[#This Row],[Ret-Bud-RU]]/DaybyDay[[#This Row],[Serv-Bud-RU]],"")</f>
        <v>#DIV/0!</v>
      </c>
      <c r="AD433" s="37" t="e">
        <f>IF(DaybyDay[[#This Row],[_Space]],DaybyDay[[#This Row],[Ret-LY-RU]]/DaybyDay[[#This Row],[Serv-LY-RU]],"")</f>
        <v>#DIV/0!</v>
      </c>
      <c r="AE433" s="30">
        <f>WEEKDAY(DaybyDay[[#This Row],[LY-Date]])</f>
        <v>7</v>
      </c>
      <c r="AF433" s="38">
        <f>$E$2+_xlfn.DAYS(DaybyDay[[#This Row],[Date]],minDate)</f>
        <v>42798</v>
      </c>
      <c r="AG433" s="39" cm="1">
        <f t="array" ref="AG433">IFERROR(INDEX(DaybyDay[],DaybyDay[[#This Row],[FORM_MATCH_HELPER]],8),"")</f>
        <v>0</v>
      </c>
      <c r="AH433" s="39" cm="1">
        <f t="array" ref="AH433">IFERROR(INDEX(DaybyDay[],DaybyDay[[#This Row],[FORM_MATCH_HELPER]],10),"")</f>
        <v>0</v>
      </c>
      <c r="AI433" s="39" cm="1">
        <f t="array" ref="AI433">IFERROR(INDEX(DaybyDay[],DaybyDay[[#This Row],[FORM_MATCH_HELPER]],12),"")</f>
        <v>0</v>
      </c>
      <c r="AJ433" s="32">
        <f>IFERROR(DaybyDay[[#This Row],[Serv-LY-RU]]+DaybyDay[[#This Row],[Ret-LY-RU]],"")</f>
        <v>0</v>
      </c>
      <c r="AK4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3" s="77"/>
      <c r="AM433" s="40" t="str">
        <f>IF(DaybyDay[[#This Row],[Admin Hours]]&gt;0,DaybyDay[[#This Row],[Admin Hours]]*$AM$2+$AM$3,"")</f>
        <v/>
      </c>
      <c r="AN433" s="40">
        <f>SUMIFS(DaybyDay[Est-Admin-Payroll],DaybyDay[Date],"&gt;="&amp;$C$5,DaybyDay[RowYear],"&gt;="&amp;$C$4,DaybyDay[Date],"&lt;="&amp;DaybyDay[[#This Row],[Date]])</f>
        <v>0</v>
      </c>
      <c r="AO433" s="41" t="str">
        <f>IF(AND(DaybyDay[[#This Row],[_Space]],ISNUMBER(DaybyDay[[#This Row],[Admin Hours]])),DaybyDay[[#This Row],[Est-Admin-Payroll]]/(DaybyDay[[#This Row],[Service-Actuals]]+DaybyDay[[#This Row],[Retail-Actuals]]),"")</f>
        <v/>
      </c>
      <c r="AP433" s="41" t="e">
        <f>DaybyDay[[#This Row],[Estimated-Payroll-Rollup]]/DaybyDay[[#This Row],[Simple-Forecast]]</f>
        <v>#DIV/0!</v>
      </c>
      <c r="AQ4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3" s="77"/>
      <c r="AS433" s="40" t="str">
        <f>IF(DaybyDay[[#This Row],[Retail Hours]]&gt;0,DaybyDay[[#This Row],[Retail Hours]]*$AS$2,"")</f>
        <v/>
      </c>
      <c r="AT433" s="40">
        <f>SUMIFS(DaybyDay[Est-Retail-Payroll],DaybyDay[Date],"&gt;="&amp;$C$5,DaybyDay[RowYear],"&gt;="&amp;$C$4,DaybyDay[Date],"&lt;="&amp;DaybyDay[[#This Row],[Date]])</f>
        <v>0</v>
      </c>
      <c r="AU433" s="82" t="str">
        <f>IF(AND(DaybyDay[[#This Row],[_Space]],ISNUMBER(DaybyDay[[#This Row],[Retail Hours]])),DaybyDay[[#This Row],[Est-Retail-Payroll]]/(DaybyDay[[#This Row],[Retail-Actuals]]),"")</f>
        <v/>
      </c>
      <c r="AV433" s="82" t="e">
        <f>DaybyDay[[#This Row],[Est-Retail-PayrollRU]]/DaybyDay[[#This Row],[Simple-Forecast-Retail]]</f>
        <v>#DIV/0!</v>
      </c>
      <c r="AW433" s="8"/>
    </row>
    <row r="434" spans="3:49" hidden="1" x14ac:dyDescent="0.25">
      <c r="C434" s="26" t="str">
        <f>Tools!$C$1</f>
        <v>Example</v>
      </c>
      <c r="D434" s="27" t="s">
        <v>70</v>
      </c>
      <c r="E434" s="28">
        <v>2018</v>
      </c>
      <c r="F434" s="28">
        <f>MATCH(DaybyDay[[#This Row],[RowMonth]],Table3[SummaryMonth],0)</f>
        <v>3</v>
      </c>
      <c r="G434" s="29">
        <f>MATCH(DaybyDay[[#This Row],[LY-Date]],DaybyDay[Date],0)</f>
        <v>64</v>
      </c>
      <c r="H434" s="30">
        <f>WEEKDAY(DaybyDay[[#This Row],[Date]])</f>
        <v>1</v>
      </c>
      <c r="I434" s="31">
        <v>43163</v>
      </c>
      <c r="J434" s="74">
        <v>23</v>
      </c>
      <c r="K434" s="32">
        <f>SUMIFS(BudgetSeasonality[365 Seasonality],BudgetSeasonality[MonthAdjustment],DaybyDay[[#This Row],[Date]])*SUMIFS(Budgets[Service-Budget],Budgets[BudgetMonth],DaybyDay[[#This Row],[RowMonth]],Budgets[BudgetYear],DaybyDay[[#This Row],[RowYear]])</f>
        <v>5633.6835048688208</v>
      </c>
      <c r="L434" s="75">
        <v>4374</v>
      </c>
      <c r="M434" s="32">
        <f>INDEX(BudgetSeasonality[365 Seasonality],MATCH(DaybyDay[[#This Row],[Date]],BudgetSeasonality[MonthAdjustment],0))*SUMIFS(Budgets[Retail-Budget],Budgets[BudgetMonth],DaybyDay[[#This Row],[RowMonth]],Budgets[BudgetYear],DaybyDay[[#This Row],[RowYear]])</f>
        <v>1691.9549601639374</v>
      </c>
      <c r="N434" s="75">
        <v>331</v>
      </c>
      <c r="O434" s="33">
        <f>SUMIFS(DaybyDay[Service-Budgets],DaybyDay[Date],"&gt;="&amp;$C$5,DaybyDay[RowYear],"&gt;="&amp;$C$4,DaybyDay[Date],"&lt;="&amp;DaybyDay[[#This Row],[Date]])</f>
        <v>0</v>
      </c>
      <c r="P434" s="33">
        <f>SUMIFS(DaybyDay[Retail-Budgets],DaybyDay[Date],"&gt;="&amp;$C$5,DaybyDay[RowYear],"&gt;="&amp;$C$4,DaybyDay[Date],"&lt;="&amp;DaybyDay[[#This Row],[Date]])</f>
        <v>0</v>
      </c>
      <c r="Q434" s="34">
        <f>SUMIFS(DaybyDay[Service-Actuals],DaybyDay[Date],"&gt;="&amp;$C$5,DaybyDay[RowYear],"&gt;="&amp;$C$4,DaybyDay[Date],"&lt;="&amp;DaybyDay[[#This Row],[Date]])</f>
        <v>0</v>
      </c>
      <c r="R434" s="34">
        <f>SUMIFS(DaybyDay[Retail-Actuals],DaybyDay[Date],"&gt;="&amp;$C$5,DaybyDay[RowYear],"&gt;="&amp;$C$4,DaybyDay[Date],"&lt;="&amp;DaybyDay[[#This Row],[Date]])</f>
        <v>0</v>
      </c>
      <c r="S434" s="35">
        <f>SUMIFS(DaybyDay[Service-LY],DaybyDay[Date],"&gt;="&amp;$C$5,DaybyDay[RowYear],"&gt;="&amp;$C$4,DaybyDay[Date],"&lt;="&amp;DaybyDay[[#This Row],[Date]])</f>
        <v>0</v>
      </c>
      <c r="T434" s="35">
        <f>SUMIFS(DaybyDay[Retail-LY],DaybyDay[Date],"&gt;="&amp;$C$5,DaybyDay[RowYear],"&gt;="&amp;$C$4,DaybyDay[Date],"&lt;="&amp;DaybyDay[[#This Row],[Date]])</f>
        <v>0</v>
      </c>
      <c r="U434" s="32">
        <f>DaybyDay[[#This Row],[Serv-Bud-RU]]+DaybyDay[[#This Row],[Ret-Bud-RU]]</f>
        <v>0</v>
      </c>
      <c r="V434" s="32">
        <f>DaybyDay[[#This Row],[Serv-Act-RU]]+DaybyDay[[#This Row],[Ret-Act-RU]]</f>
        <v>0</v>
      </c>
      <c r="W434" s="36">
        <f>IF(DaybyDay[[#This Row],[_Space]],IFERROR(
((DaybyDay[[#This Row],[Actual-Rollup]]-DaybyDay[[#This Row],[Budget-Rollup]])/DaybyDay[[#This Row],[Budget-Rollup]]),0),"")</f>
        <v>0</v>
      </c>
      <c r="X434" t="b">
        <f>NOT(AND(ISBLANK(DaybyDay[[#This Row],[Appts]]),ISBLANK(DaybyDay[[#This Row],[Service-Actuals]]),ISBLANK(DaybyDay[[#This Row],[Retail-Actuals]])))</f>
        <v>1</v>
      </c>
      <c r="Y434" s="36">
        <f>IF(DaybyDay[[#This Row],[_Space]],IFERROR(
((DaybyDay[[#This Row],[Actual-Rollup]]-DaybyDay[[#This Row],[LY-Rollup]])/DaybyDay[[#This Row],[LY-Rollup]]),0),"")</f>
        <v>0</v>
      </c>
      <c r="Z434"/>
      <c r="AA434" s="37" t="e">
        <f>IF(DaybyDay[[#This Row],[_Space]],DaybyDay[[#This Row],[Ret-Act-RU]]/DaybyDay[[#This Row],[Serv-Act-RU]],"")</f>
        <v>#DIV/0!</v>
      </c>
      <c r="AB434" s="50" t="e">
        <f>IF(DaybyDay[[#This Row],[_Space]],DaybyDay[[#This Row],[RETPEN-Act]]/DaybyDay[[#This Row],[RETPEN-Bud]],"")</f>
        <v>#DIV/0!</v>
      </c>
      <c r="AC434" s="37" t="e">
        <f>IF(DaybyDay[[#This Row],[_Space]],DaybyDay[[#This Row],[Ret-Bud-RU]]/DaybyDay[[#This Row],[Serv-Bud-RU]],"")</f>
        <v>#DIV/0!</v>
      </c>
      <c r="AD434" s="37" t="e">
        <f>IF(DaybyDay[[#This Row],[_Space]],DaybyDay[[#This Row],[Ret-LY-RU]]/DaybyDay[[#This Row],[Serv-LY-RU]],"")</f>
        <v>#DIV/0!</v>
      </c>
      <c r="AE434" s="30">
        <f>WEEKDAY(DaybyDay[[#This Row],[LY-Date]])</f>
        <v>1</v>
      </c>
      <c r="AF434" s="38">
        <f>$E$2+_xlfn.DAYS(DaybyDay[[#This Row],[Date]],minDate)</f>
        <v>42799</v>
      </c>
      <c r="AG434" s="39" cm="1">
        <f t="array" ref="AG434">IFERROR(INDEX(DaybyDay[],DaybyDay[[#This Row],[FORM_MATCH_HELPER]],8),"")</f>
        <v>0</v>
      </c>
      <c r="AH434" s="39" cm="1">
        <f t="array" ref="AH434">IFERROR(INDEX(DaybyDay[],DaybyDay[[#This Row],[FORM_MATCH_HELPER]],10),"")</f>
        <v>0</v>
      </c>
      <c r="AI434" s="39" cm="1">
        <f t="array" ref="AI434">IFERROR(INDEX(DaybyDay[],DaybyDay[[#This Row],[FORM_MATCH_HELPER]],12),"")</f>
        <v>0</v>
      </c>
      <c r="AJ434" s="32">
        <f>IFERROR(DaybyDay[[#This Row],[Serv-LY-RU]]+DaybyDay[[#This Row],[Ret-LY-RU]],"")</f>
        <v>0</v>
      </c>
      <c r="AK4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4" s="77"/>
      <c r="AM434" s="40" t="str">
        <f>IF(DaybyDay[[#This Row],[Admin Hours]]&gt;0,DaybyDay[[#This Row],[Admin Hours]]*$AM$2+$AM$3,"")</f>
        <v/>
      </c>
      <c r="AN434" s="40">
        <f>SUMIFS(DaybyDay[Est-Admin-Payroll],DaybyDay[Date],"&gt;="&amp;$C$5,DaybyDay[RowYear],"&gt;="&amp;$C$4,DaybyDay[Date],"&lt;="&amp;DaybyDay[[#This Row],[Date]])</f>
        <v>0</v>
      </c>
      <c r="AO434" s="41" t="str">
        <f>IF(AND(DaybyDay[[#This Row],[_Space]],ISNUMBER(DaybyDay[[#This Row],[Admin Hours]])),DaybyDay[[#This Row],[Est-Admin-Payroll]]/(DaybyDay[[#This Row],[Service-Actuals]]+DaybyDay[[#This Row],[Retail-Actuals]]),"")</f>
        <v/>
      </c>
      <c r="AP434" s="41" t="e">
        <f>DaybyDay[[#This Row],[Estimated-Payroll-Rollup]]/DaybyDay[[#This Row],[Simple-Forecast]]</f>
        <v>#DIV/0!</v>
      </c>
      <c r="AQ4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4" s="77"/>
      <c r="AS434" s="40" t="str">
        <f>IF(DaybyDay[[#This Row],[Retail Hours]]&gt;0,DaybyDay[[#This Row],[Retail Hours]]*$AS$2,"")</f>
        <v/>
      </c>
      <c r="AT434" s="40">
        <f>SUMIFS(DaybyDay[Est-Retail-Payroll],DaybyDay[Date],"&gt;="&amp;$C$5,DaybyDay[RowYear],"&gt;="&amp;$C$4,DaybyDay[Date],"&lt;="&amp;DaybyDay[[#This Row],[Date]])</f>
        <v>0</v>
      </c>
      <c r="AU434" s="82" t="str">
        <f>IF(AND(DaybyDay[[#This Row],[_Space]],ISNUMBER(DaybyDay[[#This Row],[Retail Hours]])),DaybyDay[[#This Row],[Est-Retail-Payroll]]/(DaybyDay[[#This Row],[Retail-Actuals]]),"")</f>
        <v/>
      </c>
      <c r="AV434" s="82" t="e">
        <f>DaybyDay[[#This Row],[Est-Retail-PayrollRU]]/DaybyDay[[#This Row],[Simple-Forecast-Retail]]</f>
        <v>#DIV/0!</v>
      </c>
      <c r="AW434" s="8"/>
    </row>
    <row r="435" spans="3:49" hidden="1" x14ac:dyDescent="0.25">
      <c r="C435" s="26" t="str">
        <f>Tools!$C$1</f>
        <v>Example</v>
      </c>
      <c r="D435" s="27" t="s">
        <v>70</v>
      </c>
      <c r="E435" s="28">
        <v>2018</v>
      </c>
      <c r="F435" s="28">
        <f>MATCH(DaybyDay[[#This Row],[RowMonth]],Table3[SummaryMonth],0)</f>
        <v>3</v>
      </c>
      <c r="G435" s="29">
        <f>MATCH(DaybyDay[[#This Row],[LY-Date]],DaybyDay[Date],0)</f>
        <v>65</v>
      </c>
      <c r="H435" s="30">
        <f>WEEKDAY(DaybyDay[[#This Row],[Date]])</f>
        <v>2</v>
      </c>
      <c r="I435" s="31">
        <v>43164</v>
      </c>
      <c r="J435" s="74">
        <v>19</v>
      </c>
      <c r="K435" s="32">
        <f>SUMIFS(BudgetSeasonality[365 Seasonality],BudgetSeasonality[MonthAdjustment],DaybyDay[[#This Row],[Date]])*SUMIFS(Budgets[Service-Budget],Budgets[BudgetMonth],DaybyDay[[#This Row],[RowMonth]],Budgets[BudgetYear],DaybyDay[[#This Row],[RowYear]])</f>
        <v>3057.6569787948224</v>
      </c>
      <c r="L435" s="75">
        <v>3836</v>
      </c>
      <c r="M435" s="32">
        <f>INDEX(BudgetSeasonality[365 Seasonality],MATCH(DaybyDay[[#This Row],[Date]],BudgetSeasonality[MonthAdjustment],0))*SUMIFS(Budgets[Retail-Budget],Budgets[BudgetMonth],DaybyDay[[#This Row],[RowMonth]],Budgets[BudgetYear],DaybyDay[[#This Row],[RowYear]])</f>
        <v>918.30112346224905</v>
      </c>
      <c r="N435" s="75">
        <v>1287</v>
      </c>
      <c r="O435" s="33">
        <f>SUMIFS(DaybyDay[Service-Budgets],DaybyDay[Date],"&gt;="&amp;$C$5,DaybyDay[RowYear],"&gt;="&amp;$C$4,DaybyDay[Date],"&lt;="&amp;DaybyDay[[#This Row],[Date]])</f>
        <v>0</v>
      </c>
      <c r="P435" s="33">
        <f>SUMIFS(DaybyDay[Retail-Budgets],DaybyDay[Date],"&gt;="&amp;$C$5,DaybyDay[RowYear],"&gt;="&amp;$C$4,DaybyDay[Date],"&lt;="&amp;DaybyDay[[#This Row],[Date]])</f>
        <v>0</v>
      </c>
      <c r="Q435" s="34">
        <f>SUMIFS(DaybyDay[Service-Actuals],DaybyDay[Date],"&gt;="&amp;$C$5,DaybyDay[RowYear],"&gt;="&amp;$C$4,DaybyDay[Date],"&lt;="&amp;DaybyDay[[#This Row],[Date]])</f>
        <v>0</v>
      </c>
      <c r="R435" s="34">
        <f>SUMIFS(DaybyDay[Retail-Actuals],DaybyDay[Date],"&gt;="&amp;$C$5,DaybyDay[RowYear],"&gt;="&amp;$C$4,DaybyDay[Date],"&lt;="&amp;DaybyDay[[#This Row],[Date]])</f>
        <v>0</v>
      </c>
      <c r="S435" s="35">
        <f>SUMIFS(DaybyDay[Service-LY],DaybyDay[Date],"&gt;="&amp;$C$5,DaybyDay[RowYear],"&gt;="&amp;$C$4,DaybyDay[Date],"&lt;="&amp;DaybyDay[[#This Row],[Date]])</f>
        <v>0</v>
      </c>
      <c r="T435" s="35">
        <f>SUMIFS(DaybyDay[Retail-LY],DaybyDay[Date],"&gt;="&amp;$C$5,DaybyDay[RowYear],"&gt;="&amp;$C$4,DaybyDay[Date],"&lt;="&amp;DaybyDay[[#This Row],[Date]])</f>
        <v>0</v>
      </c>
      <c r="U435" s="32">
        <f>DaybyDay[[#This Row],[Serv-Bud-RU]]+DaybyDay[[#This Row],[Ret-Bud-RU]]</f>
        <v>0</v>
      </c>
      <c r="V435" s="32">
        <f>DaybyDay[[#This Row],[Serv-Act-RU]]+DaybyDay[[#This Row],[Ret-Act-RU]]</f>
        <v>0</v>
      </c>
      <c r="W435" s="36">
        <f>IF(DaybyDay[[#This Row],[_Space]],IFERROR(
((DaybyDay[[#This Row],[Actual-Rollup]]-DaybyDay[[#This Row],[Budget-Rollup]])/DaybyDay[[#This Row],[Budget-Rollup]]),0),"")</f>
        <v>0</v>
      </c>
      <c r="X435" t="b">
        <f>NOT(AND(ISBLANK(DaybyDay[[#This Row],[Appts]]),ISBLANK(DaybyDay[[#This Row],[Service-Actuals]]),ISBLANK(DaybyDay[[#This Row],[Retail-Actuals]])))</f>
        <v>1</v>
      </c>
      <c r="Y435" s="36">
        <f>IF(DaybyDay[[#This Row],[_Space]],IFERROR(
((DaybyDay[[#This Row],[Actual-Rollup]]-DaybyDay[[#This Row],[LY-Rollup]])/DaybyDay[[#This Row],[LY-Rollup]]),0),"")</f>
        <v>0</v>
      </c>
      <c r="Z435"/>
      <c r="AA435" s="37" t="e">
        <f>IF(DaybyDay[[#This Row],[_Space]],DaybyDay[[#This Row],[Ret-Act-RU]]/DaybyDay[[#This Row],[Serv-Act-RU]],"")</f>
        <v>#DIV/0!</v>
      </c>
      <c r="AB435" s="50" t="e">
        <f>IF(DaybyDay[[#This Row],[_Space]],DaybyDay[[#This Row],[RETPEN-Act]]/DaybyDay[[#This Row],[RETPEN-Bud]],"")</f>
        <v>#DIV/0!</v>
      </c>
      <c r="AC435" s="37" t="e">
        <f>IF(DaybyDay[[#This Row],[_Space]],DaybyDay[[#This Row],[Ret-Bud-RU]]/DaybyDay[[#This Row],[Serv-Bud-RU]],"")</f>
        <v>#DIV/0!</v>
      </c>
      <c r="AD435" s="37" t="e">
        <f>IF(DaybyDay[[#This Row],[_Space]],DaybyDay[[#This Row],[Ret-LY-RU]]/DaybyDay[[#This Row],[Serv-LY-RU]],"")</f>
        <v>#DIV/0!</v>
      </c>
      <c r="AE435" s="30">
        <f>WEEKDAY(DaybyDay[[#This Row],[LY-Date]])</f>
        <v>2</v>
      </c>
      <c r="AF435" s="38">
        <f>$E$2+_xlfn.DAYS(DaybyDay[[#This Row],[Date]],minDate)</f>
        <v>42800</v>
      </c>
      <c r="AG435" s="39" cm="1">
        <f t="array" ref="AG435">IFERROR(INDEX(DaybyDay[],DaybyDay[[#This Row],[FORM_MATCH_HELPER]],8),"")</f>
        <v>7</v>
      </c>
      <c r="AH435" s="39" cm="1">
        <f t="array" ref="AH435">IFERROR(INDEX(DaybyDay[],DaybyDay[[#This Row],[FORM_MATCH_HELPER]],10),"")</f>
        <v>1291</v>
      </c>
      <c r="AI435" s="39" cm="1">
        <f t="array" ref="AI435">IFERROR(INDEX(DaybyDay[],DaybyDay[[#This Row],[FORM_MATCH_HELPER]],12),"")</f>
        <v>0</v>
      </c>
      <c r="AJ435" s="32">
        <f>IFERROR(DaybyDay[[#This Row],[Serv-LY-RU]]+DaybyDay[[#This Row],[Ret-LY-RU]],"")</f>
        <v>0</v>
      </c>
      <c r="AK4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5" s="77"/>
      <c r="AM435" s="40" t="str">
        <f>IF(DaybyDay[[#This Row],[Admin Hours]]&gt;0,DaybyDay[[#This Row],[Admin Hours]]*$AM$2+$AM$3,"")</f>
        <v/>
      </c>
      <c r="AN435" s="40">
        <f>SUMIFS(DaybyDay[Est-Admin-Payroll],DaybyDay[Date],"&gt;="&amp;$C$5,DaybyDay[RowYear],"&gt;="&amp;$C$4,DaybyDay[Date],"&lt;="&amp;DaybyDay[[#This Row],[Date]])</f>
        <v>0</v>
      </c>
      <c r="AO435" s="41" t="str">
        <f>IF(AND(DaybyDay[[#This Row],[_Space]],ISNUMBER(DaybyDay[[#This Row],[Admin Hours]])),DaybyDay[[#This Row],[Est-Admin-Payroll]]/(DaybyDay[[#This Row],[Service-Actuals]]+DaybyDay[[#This Row],[Retail-Actuals]]),"")</f>
        <v/>
      </c>
      <c r="AP435" s="41" t="e">
        <f>DaybyDay[[#This Row],[Estimated-Payroll-Rollup]]/DaybyDay[[#This Row],[Simple-Forecast]]</f>
        <v>#DIV/0!</v>
      </c>
      <c r="AQ4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5" s="77"/>
      <c r="AS435" s="40" t="str">
        <f>IF(DaybyDay[[#This Row],[Retail Hours]]&gt;0,DaybyDay[[#This Row],[Retail Hours]]*$AS$2,"")</f>
        <v/>
      </c>
      <c r="AT435" s="40">
        <f>SUMIFS(DaybyDay[Est-Retail-Payroll],DaybyDay[Date],"&gt;="&amp;$C$5,DaybyDay[RowYear],"&gt;="&amp;$C$4,DaybyDay[Date],"&lt;="&amp;DaybyDay[[#This Row],[Date]])</f>
        <v>0</v>
      </c>
      <c r="AU435" s="82" t="str">
        <f>IF(AND(DaybyDay[[#This Row],[_Space]],ISNUMBER(DaybyDay[[#This Row],[Retail Hours]])),DaybyDay[[#This Row],[Est-Retail-Payroll]]/(DaybyDay[[#This Row],[Retail-Actuals]]),"")</f>
        <v/>
      </c>
      <c r="AV435" s="82" t="e">
        <f>DaybyDay[[#This Row],[Est-Retail-PayrollRU]]/DaybyDay[[#This Row],[Simple-Forecast-Retail]]</f>
        <v>#DIV/0!</v>
      </c>
      <c r="AW435" s="8"/>
    </row>
    <row r="436" spans="3:49" hidden="1" x14ac:dyDescent="0.25">
      <c r="C436" s="26" t="str">
        <f>Tools!$C$1</f>
        <v>Example</v>
      </c>
      <c r="D436" s="27" t="s">
        <v>70</v>
      </c>
      <c r="E436" s="28">
        <v>2018</v>
      </c>
      <c r="F436" s="28">
        <f>MATCH(DaybyDay[[#This Row],[RowMonth]],Table3[SummaryMonth],0)</f>
        <v>3</v>
      </c>
      <c r="G436" s="29">
        <f>MATCH(DaybyDay[[#This Row],[LY-Date]],DaybyDay[Date],0)</f>
        <v>66</v>
      </c>
      <c r="H436" s="30">
        <f>WEEKDAY(DaybyDay[[#This Row],[Date]])</f>
        <v>3</v>
      </c>
      <c r="I436" s="31">
        <v>43165</v>
      </c>
      <c r="J436" s="74">
        <v>11</v>
      </c>
      <c r="K436" s="32">
        <f>SUMIFS(BudgetSeasonality[365 Seasonality],BudgetSeasonality[MonthAdjustment],DaybyDay[[#This Row],[Date]])*SUMIFS(Budgets[Service-Budget],Budgets[BudgetMonth],DaybyDay[[#This Row],[RowMonth]],Budgets[BudgetYear],DaybyDay[[#This Row],[RowYear]])</f>
        <v>3194.3700580768077</v>
      </c>
      <c r="L436" s="75">
        <v>2423</v>
      </c>
      <c r="M436" s="32">
        <f>INDEX(BudgetSeasonality[365 Seasonality],MATCH(DaybyDay[[#This Row],[Date]],BudgetSeasonality[MonthAdjustment],0))*SUMIFS(Budgets[Retail-Budget],Budgets[BudgetMonth],DaybyDay[[#This Row],[RowMonth]],Budgets[BudgetYear],DaybyDay[[#This Row],[RowYear]])</f>
        <v>959.35993913951108</v>
      </c>
      <c r="N436" s="75">
        <v>353.5</v>
      </c>
      <c r="O436" s="33">
        <f>SUMIFS(DaybyDay[Service-Budgets],DaybyDay[Date],"&gt;="&amp;$C$5,DaybyDay[RowYear],"&gt;="&amp;$C$4,DaybyDay[Date],"&lt;="&amp;DaybyDay[[#This Row],[Date]])</f>
        <v>0</v>
      </c>
      <c r="P436" s="33">
        <f>SUMIFS(DaybyDay[Retail-Budgets],DaybyDay[Date],"&gt;="&amp;$C$5,DaybyDay[RowYear],"&gt;="&amp;$C$4,DaybyDay[Date],"&lt;="&amp;DaybyDay[[#This Row],[Date]])</f>
        <v>0</v>
      </c>
      <c r="Q436" s="34">
        <f>SUMIFS(DaybyDay[Service-Actuals],DaybyDay[Date],"&gt;="&amp;$C$5,DaybyDay[RowYear],"&gt;="&amp;$C$4,DaybyDay[Date],"&lt;="&amp;DaybyDay[[#This Row],[Date]])</f>
        <v>0</v>
      </c>
      <c r="R436" s="34">
        <f>SUMIFS(DaybyDay[Retail-Actuals],DaybyDay[Date],"&gt;="&amp;$C$5,DaybyDay[RowYear],"&gt;="&amp;$C$4,DaybyDay[Date],"&lt;="&amp;DaybyDay[[#This Row],[Date]])</f>
        <v>0</v>
      </c>
      <c r="S436" s="35">
        <f>SUMIFS(DaybyDay[Service-LY],DaybyDay[Date],"&gt;="&amp;$C$5,DaybyDay[RowYear],"&gt;="&amp;$C$4,DaybyDay[Date],"&lt;="&amp;DaybyDay[[#This Row],[Date]])</f>
        <v>0</v>
      </c>
      <c r="T436" s="35">
        <f>SUMIFS(DaybyDay[Retail-LY],DaybyDay[Date],"&gt;="&amp;$C$5,DaybyDay[RowYear],"&gt;="&amp;$C$4,DaybyDay[Date],"&lt;="&amp;DaybyDay[[#This Row],[Date]])</f>
        <v>0</v>
      </c>
      <c r="U436" s="32">
        <f>DaybyDay[[#This Row],[Serv-Bud-RU]]+DaybyDay[[#This Row],[Ret-Bud-RU]]</f>
        <v>0</v>
      </c>
      <c r="V436" s="32">
        <f>DaybyDay[[#This Row],[Serv-Act-RU]]+DaybyDay[[#This Row],[Ret-Act-RU]]</f>
        <v>0</v>
      </c>
      <c r="W436" s="36">
        <f>IF(DaybyDay[[#This Row],[_Space]],IFERROR(
((DaybyDay[[#This Row],[Actual-Rollup]]-DaybyDay[[#This Row],[Budget-Rollup]])/DaybyDay[[#This Row],[Budget-Rollup]]),0),"")</f>
        <v>0</v>
      </c>
      <c r="X436" t="b">
        <f>NOT(AND(ISBLANK(DaybyDay[[#This Row],[Appts]]),ISBLANK(DaybyDay[[#This Row],[Service-Actuals]]),ISBLANK(DaybyDay[[#This Row],[Retail-Actuals]])))</f>
        <v>1</v>
      </c>
      <c r="Y436" s="36">
        <f>IF(DaybyDay[[#This Row],[_Space]],IFERROR(
((DaybyDay[[#This Row],[Actual-Rollup]]-DaybyDay[[#This Row],[LY-Rollup]])/DaybyDay[[#This Row],[LY-Rollup]]),0),"")</f>
        <v>0</v>
      </c>
      <c r="Z436"/>
      <c r="AA436" s="37" t="e">
        <f>IF(DaybyDay[[#This Row],[_Space]],DaybyDay[[#This Row],[Ret-Act-RU]]/DaybyDay[[#This Row],[Serv-Act-RU]],"")</f>
        <v>#DIV/0!</v>
      </c>
      <c r="AB436" s="50" t="e">
        <f>IF(DaybyDay[[#This Row],[_Space]],DaybyDay[[#This Row],[RETPEN-Act]]/DaybyDay[[#This Row],[RETPEN-Bud]],"")</f>
        <v>#DIV/0!</v>
      </c>
      <c r="AC436" s="37" t="e">
        <f>IF(DaybyDay[[#This Row],[_Space]],DaybyDay[[#This Row],[Ret-Bud-RU]]/DaybyDay[[#This Row],[Serv-Bud-RU]],"")</f>
        <v>#DIV/0!</v>
      </c>
      <c r="AD436" s="37" t="e">
        <f>IF(DaybyDay[[#This Row],[_Space]],DaybyDay[[#This Row],[Ret-LY-RU]]/DaybyDay[[#This Row],[Serv-LY-RU]],"")</f>
        <v>#DIV/0!</v>
      </c>
      <c r="AE436" s="30">
        <f>WEEKDAY(DaybyDay[[#This Row],[LY-Date]])</f>
        <v>3</v>
      </c>
      <c r="AF436" s="38">
        <f>$E$2+_xlfn.DAYS(DaybyDay[[#This Row],[Date]],minDate)</f>
        <v>42801</v>
      </c>
      <c r="AG436" s="39" cm="1">
        <f t="array" ref="AG436">IFERROR(INDEX(DaybyDay[],DaybyDay[[#This Row],[FORM_MATCH_HELPER]],8),"")</f>
        <v>17</v>
      </c>
      <c r="AH436" s="39" cm="1">
        <f t="array" ref="AH436">IFERROR(INDEX(DaybyDay[],DaybyDay[[#This Row],[FORM_MATCH_HELPER]],10),"")</f>
        <v>3445.7</v>
      </c>
      <c r="AI436" s="39" cm="1">
        <f t="array" ref="AI436">IFERROR(INDEX(DaybyDay[],DaybyDay[[#This Row],[FORM_MATCH_HELPER]],12),"")</f>
        <v>538.75</v>
      </c>
      <c r="AJ436" s="32">
        <f>IFERROR(DaybyDay[[#This Row],[Serv-LY-RU]]+DaybyDay[[#This Row],[Ret-LY-RU]],"")</f>
        <v>0</v>
      </c>
      <c r="AK4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6" s="77"/>
      <c r="AM436" s="40" t="str">
        <f>IF(DaybyDay[[#This Row],[Admin Hours]]&gt;0,DaybyDay[[#This Row],[Admin Hours]]*$AM$2+$AM$3,"")</f>
        <v/>
      </c>
      <c r="AN436" s="40">
        <f>SUMIFS(DaybyDay[Est-Admin-Payroll],DaybyDay[Date],"&gt;="&amp;$C$5,DaybyDay[RowYear],"&gt;="&amp;$C$4,DaybyDay[Date],"&lt;="&amp;DaybyDay[[#This Row],[Date]])</f>
        <v>0</v>
      </c>
      <c r="AO436" s="41" t="str">
        <f>IF(AND(DaybyDay[[#This Row],[_Space]],ISNUMBER(DaybyDay[[#This Row],[Admin Hours]])),DaybyDay[[#This Row],[Est-Admin-Payroll]]/(DaybyDay[[#This Row],[Service-Actuals]]+DaybyDay[[#This Row],[Retail-Actuals]]),"")</f>
        <v/>
      </c>
      <c r="AP436" s="41" t="e">
        <f>DaybyDay[[#This Row],[Estimated-Payroll-Rollup]]/DaybyDay[[#This Row],[Simple-Forecast]]</f>
        <v>#DIV/0!</v>
      </c>
      <c r="AQ4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6" s="77"/>
      <c r="AS436" s="40" t="str">
        <f>IF(DaybyDay[[#This Row],[Retail Hours]]&gt;0,DaybyDay[[#This Row],[Retail Hours]]*$AS$2,"")</f>
        <v/>
      </c>
      <c r="AT436" s="40">
        <f>SUMIFS(DaybyDay[Est-Retail-Payroll],DaybyDay[Date],"&gt;="&amp;$C$5,DaybyDay[RowYear],"&gt;="&amp;$C$4,DaybyDay[Date],"&lt;="&amp;DaybyDay[[#This Row],[Date]])</f>
        <v>0</v>
      </c>
      <c r="AU436" s="82" t="str">
        <f>IF(AND(DaybyDay[[#This Row],[_Space]],ISNUMBER(DaybyDay[[#This Row],[Retail Hours]])),DaybyDay[[#This Row],[Est-Retail-Payroll]]/(DaybyDay[[#This Row],[Retail-Actuals]]),"")</f>
        <v/>
      </c>
      <c r="AV436" s="82" t="e">
        <f>DaybyDay[[#This Row],[Est-Retail-PayrollRU]]/DaybyDay[[#This Row],[Simple-Forecast-Retail]]</f>
        <v>#DIV/0!</v>
      </c>
      <c r="AW436" s="8"/>
    </row>
    <row r="437" spans="3:49" hidden="1" x14ac:dyDescent="0.25">
      <c r="C437" s="26" t="str">
        <f>Tools!$C$1</f>
        <v>Example</v>
      </c>
      <c r="D437" s="27" t="s">
        <v>70</v>
      </c>
      <c r="E437" s="28">
        <v>2018</v>
      </c>
      <c r="F437" s="28">
        <f>MATCH(DaybyDay[[#This Row],[RowMonth]],Table3[SummaryMonth],0)</f>
        <v>3</v>
      </c>
      <c r="G437" s="29">
        <f>MATCH(DaybyDay[[#This Row],[LY-Date]],DaybyDay[Date],0)</f>
        <v>67</v>
      </c>
      <c r="H437" s="30">
        <f>WEEKDAY(DaybyDay[[#This Row],[Date]])</f>
        <v>4</v>
      </c>
      <c r="I437" s="31">
        <v>43166</v>
      </c>
      <c r="J437" s="74">
        <v>19</v>
      </c>
      <c r="K437" s="32">
        <f>SUMIFS(BudgetSeasonality[365 Seasonality],BudgetSeasonality[MonthAdjustment],DaybyDay[[#This Row],[Date]])*SUMIFS(Budgets[Service-Budget],Budgets[BudgetMonth],DaybyDay[[#This Row],[RowMonth]],Budgets[BudgetYear],DaybyDay[[#This Row],[RowYear]])</f>
        <v>3818.0460351713982</v>
      </c>
      <c r="L437" s="75">
        <v>4433</v>
      </c>
      <c r="M437" s="32">
        <f>INDEX(BudgetSeasonality[365 Seasonality],MATCH(DaybyDay[[#This Row],[Date]],BudgetSeasonality[MonthAdjustment],0))*SUMIFS(Budgets[Retail-Budget],Budgets[BudgetMonth],DaybyDay[[#This Row],[RowMonth]],Budgets[BudgetYear],DaybyDay[[#This Row],[RowYear]])</f>
        <v>1146.6675260971945</v>
      </c>
      <c r="N437" s="75">
        <v>2245.25</v>
      </c>
      <c r="O437" s="33">
        <f>SUMIFS(DaybyDay[Service-Budgets],DaybyDay[Date],"&gt;="&amp;$C$5,DaybyDay[RowYear],"&gt;="&amp;$C$4,DaybyDay[Date],"&lt;="&amp;DaybyDay[[#This Row],[Date]])</f>
        <v>0</v>
      </c>
      <c r="P437" s="33">
        <f>SUMIFS(DaybyDay[Retail-Budgets],DaybyDay[Date],"&gt;="&amp;$C$5,DaybyDay[RowYear],"&gt;="&amp;$C$4,DaybyDay[Date],"&lt;="&amp;DaybyDay[[#This Row],[Date]])</f>
        <v>0</v>
      </c>
      <c r="Q437" s="34">
        <f>SUMIFS(DaybyDay[Service-Actuals],DaybyDay[Date],"&gt;="&amp;$C$5,DaybyDay[RowYear],"&gt;="&amp;$C$4,DaybyDay[Date],"&lt;="&amp;DaybyDay[[#This Row],[Date]])</f>
        <v>0</v>
      </c>
      <c r="R437" s="34">
        <f>SUMIFS(DaybyDay[Retail-Actuals],DaybyDay[Date],"&gt;="&amp;$C$5,DaybyDay[RowYear],"&gt;="&amp;$C$4,DaybyDay[Date],"&lt;="&amp;DaybyDay[[#This Row],[Date]])</f>
        <v>0</v>
      </c>
      <c r="S437" s="35">
        <f>SUMIFS(DaybyDay[Service-LY],DaybyDay[Date],"&gt;="&amp;$C$5,DaybyDay[RowYear],"&gt;="&amp;$C$4,DaybyDay[Date],"&lt;="&amp;DaybyDay[[#This Row],[Date]])</f>
        <v>0</v>
      </c>
      <c r="T437" s="35">
        <f>SUMIFS(DaybyDay[Retail-LY],DaybyDay[Date],"&gt;="&amp;$C$5,DaybyDay[RowYear],"&gt;="&amp;$C$4,DaybyDay[Date],"&lt;="&amp;DaybyDay[[#This Row],[Date]])</f>
        <v>0</v>
      </c>
      <c r="U437" s="32">
        <f>DaybyDay[[#This Row],[Serv-Bud-RU]]+DaybyDay[[#This Row],[Ret-Bud-RU]]</f>
        <v>0</v>
      </c>
      <c r="V437" s="32">
        <f>DaybyDay[[#This Row],[Serv-Act-RU]]+DaybyDay[[#This Row],[Ret-Act-RU]]</f>
        <v>0</v>
      </c>
      <c r="W437" s="36">
        <f>IF(DaybyDay[[#This Row],[_Space]],IFERROR(
((DaybyDay[[#This Row],[Actual-Rollup]]-DaybyDay[[#This Row],[Budget-Rollup]])/DaybyDay[[#This Row],[Budget-Rollup]]),0),"")</f>
        <v>0</v>
      </c>
      <c r="X437" t="b">
        <f>NOT(AND(ISBLANK(DaybyDay[[#This Row],[Appts]]),ISBLANK(DaybyDay[[#This Row],[Service-Actuals]]),ISBLANK(DaybyDay[[#This Row],[Retail-Actuals]])))</f>
        <v>1</v>
      </c>
      <c r="Y437" s="36">
        <f>IF(DaybyDay[[#This Row],[_Space]],IFERROR(
((DaybyDay[[#This Row],[Actual-Rollup]]-DaybyDay[[#This Row],[LY-Rollup]])/DaybyDay[[#This Row],[LY-Rollup]]),0),"")</f>
        <v>0</v>
      </c>
      <c r="Z437"/>
      <c r="AA437" s="37" t="e">
        <f>IF(DaybyDay[[#This Row],[_Space]],DaybyDay[[#This Row],[Ret-Act-RU]]/DaybyDay[[#This Row],[Serv-Act-RU]],"")</f>
        <v>#DIV/0!</v>
      </c>
      <c r="AB437" s="50" t="e">
        <f>IF(DaybyDay[[#This Row],[_Space]],DaybyDay[[#This Row],[RETPEN-Act]]/DaybyDay[[#This Row],[RETPEN-Bud]],"")</f>
        <v>#DIV/0!</v>
      </c>
      <c r="AC437" s="37" t="e">
        <f>IF(DaybyDay[[#This Row],[_Space]],DaybyDay[[#This Row],[Ret-Bud-RU]]/DaybyDay[[#This Row],[Serv-Bud-RU]],"")</f>
        <v>#DIV/0!</v>
      </c>
      <c r="AD437" s="37" t="e">
        <f>IF(DaybyDay[[#This Row],[_Space]],DaybyDay[[#This Row],[Ret-LY-RU]]/DaybyDay[[#This Row],[Serv-LY-RU]],"")</f>
        <v>#DIV/0!</v>
      </c>
      <c r="AE437" s="30">
        <f>WEEKDAY(DaybyDay[[#This Row],[LY-Date]])</f>
        <v>4</v>
      </c>
      <c r="AF437" s="38">
        <f>$E$2+_xlfn.DAYS(DaybyDay[[#This Row],[Date]],minDate)</f>
        <v>42802</v>
      </c>
      <c r="AG437" s="39" cm="1">
        <f t="array" ref="AG437">IFERROR(INDEX(DaybyDay[],DaybyDay[[#This Row],[FORM_MATCH_HELPER]],8),"")</f>
        <v>16</v>
      </c>
      <c r="AH437" s="39" cm="1">
        <f t="array" ref="AH437">IFERROR(INDEX(DaybyDay[],DaybyDay[[#This Row],[FORM_MATCH_HELPER]],10),"")</f>
        <v>3075.8</v>
      </c>
      <c r="AI437" s="39" cm="1">
        <f t="array" ref="AI437">IFERROR(INDEX(DaybyDay[],DaybyDay[[#This Row],[FORM_MATCH_HELPER]],12),"")</f>
        <v>250</v>
      </c>
      <c r="AJ437" s="32">
        <f>IFERROR(DaybyDay[[#This Row],[Serv-LY-RU]]+DaybyDay[[#This Row],[Ret-LY-RU]],"")</f>
        <v>0</v>
      </c>
      <c r="AK4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7" s="77"/>
      <c r="AM437" s="40" t="str">
        <f>IF(DaybyDay[[#This Row],[Admin Hours]]&gt;0,DaybyDay[[#This Row],[Admin Hours]]*$AM$2+$AM$3,"")</f>
        <v/>
      </c>
      <c r="AN437" s="40">
        <f>SUMIFS(DaybyDay[Est-Admin-Payroll],DaybyDay[Date],"&gt;="&amp;$C$5,DaybyDay[RowYear],"&gt;="&amp;$C$4,DaybyDay[Date],"&lt;="&amp;DaybyDay[[#This Row],[Date]])</f>
        <v>0</v>
      </c>
      <c r="AO437" s="41" t="str">
        <f>IF(AND(DaybyDay[[#This Row],[_Space]],ISNUMBER(DaybyDay[[#This Row],[Admin Hours]])),DaybyDay[[#This Row],[Est-Admin-Payroll]]/(DaybyDay[[#This Row],[Service-Actuals]]+DaybyDay[[#This Row],[Retail-Actuals]]),"")</f>
        <v/>
      </c>
      <c r="AP437" s="41" t="e">
        <f>DaybyDay[[#This Row],[Estimated-Payroll-Rollup]]/DaybyDay[[#This Row],[Simple-Forecast]]</f>
        <v>#DIV/0!</v>
      </c>
      <c r="AQ4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7" s="77"/>
      <c r="AS437" s="40" t="str">
        <f>IF(DaybyDay[[#This Row],[Retail Hours]]&gt;0,DaybyDay[[#This Row],[Retail Hours]]*$AS$2,"")</f>
        <v/>
      </c>
      <c r="AT437" s="40">
        <f>SUMIFS(DaybyDay[Est-Retail-Payroll],DaybyDay[Date],"&gt;="&amp;$C$5,DaybyDay[RowYear],"&gt;="&amp;$C$4,DaybyDay[Date],"&lt;="&amp;DaybyDay[[#This Row],[Date]])</f>
        <v>0</v>
      </c>
      <c r="AU437" s="82" t="str">
        <f>IF(AND(DaybyDay[[#This Row],[_Space]],ISNUMBER(DaybyDay[[#This Row],[Retail Hours]])),DaybyDay[[#This Row],[Est-Retail-Payroll]]/(DaybyDay[[#This Row],[Retail-Actuals]]),"")</f>
        <v/>
      </c>
      <c r="AV437" s="82" t="e">
        <f>DaybyDay[[#This Row],[Est-Retail-PayrollRU]]/DaybyDay[[#This Row],[Simple-Forecast-Retail]]</f>
        <v>#DIV/0!</v>
      </c>
      <c r="AW437" s="8"/>
    </row>
    <row r="438" spans="3:49" hidden="1" x14ac:dyDescent="0.25">
      <c r="C438" s="26" t="str">
        <f>Tools!$C$1</f>
        <v>Example</v>
      </c>
      <c r="D438" s="27" t="s">
        <v>70</v>
      </c>
      <c r="E438" s="28">
        <v>2018</v>
      </c>
      <c r="F438" s="28">
        <f>MATCH(DaybyDay[[#This Row],[RowMonth]],Table3[SummaryMonth],0)</f>
        <v>3</v>
      </c>
      <c r="G438" s="29">
        <f>MATCH(DaybyDay[[#This Row],[LY-Date]],DaybyDay[Date],0)</f>
        <v>68</v>
      </c>
      <c r="H438" s="30">
        <f>WEEKDAY(DaybyDay[[#This Row],[Date]])</f>
        <v>5</v>
      </c>
      <c r="I438" s="31">
        <v>43167</v>
      </c>
      <c r="J438" s="74">
        <v>30</v>
      </c>
      <c r="K438" s="32">
        <f>SUMIFS(BudgetSeasonality[365 Seasonality],BudgetSeasonality[MonthAdjustment],DaybyDay[[#This Row],[Date]])*SUMIFS(Budgets[Service-Budget],Budgets[BudgetMonth],DaybyDay[[#This Row],[RowMonth]],Budgets[BudgetYear],DaybyDay[[#This Row],[RowYear]])</f>
        <v>3975.0581543916369</v>
      </c>
      <c r="L438" s="75">
        <v>7504.11</v>
      </c>
      <c r="M438" s="32">
        <f>INDEX(BudgetSeasonality[365 Seasonality],MATCH(DaybyDay[[#This Row],[Date]],BudgetSeasonality[MonthAdjustment],0))*SUMIFS(Budgets[Retail-Budget],Budgets[BudgetMonth],DaybyDay[[#This Row],[RowMonth]],Budgets[BudgetYear],DaybyDay[[#This Row],[RowYear]])</f>
        <v>1193.8227192653842</v>
      </c>
      <c r="N438" s="75">
        <v>1059.3</v>
      </c>
      <c r="O438" s="33">
        <f>SUMIFS(DaybyDay[Service-Budgets],DaybyDay[Date],"&gt;="&amp;$C$5,DaybyDay[RowYear],"&gt;="&amp;$C$4,DaybyDay[Date],"&lt;="&amp;DaybyDay[[#This Row],[Date]])</f>
        <v>0</v>
      </c>
      <c r="P438" s="33">
        <f>SUMIFS(DaybyDay[Retail-Budgets],DaybyDay[Date],"&gt;="&amp;$C$5,DaybyDay[RowYear],"&gt;="&amp;$C$4,DaybyDay[Date],"&lt;="&amp;DaybyDay[[#This Row],[Date]])</f>
        <v>0</v>
      </c>
      <c r="Q438" s="34">
        <f>SUMIFS(DaybyDay[Service-Actuals],DaybyDay[Date],"&gt;="&amp;$C$5,DaybyDay[RowYear],"&gt;="&amp;$C$4,DaybyDay[Date],"&lt;="&amp;DaybyDay[[#This Row],[Date]])</f>
        <v>0</v>
      </c>
      <c r="R438" s="34">
        <f>SUMIFS(DaybyDay[Retail-Actuals],DaybyDay[Date],"&gt;="&amp;$C$5,DaybyDay[RowYear],"&gt;="&amp;$C$4,DaybyDay[Date],"&lt;="&amp;DaybyDay[[#This Row],[Date]])</f>
        <v>0</v>
      </c>
      <c r="S438" s="35">
        <f>SUMIFS(DaybyDay[Service-LY],DaybyDay[Date],"&gt;="&amp;$C$5,DaybyDay[RowYear],"&gt;="&amp;$C$4,DaybyDay[Date],"&lt;="&amp;DaybyDay[[#This Row],[Date]])</f>
        <v>0</v>
      </c>
      <c r="T438" s="35">
        <f>SUMIFS(DaybyDay[Retail-LY],DaybyDay[Date],"&gt;="&amp;$C$5,DaybyDay[RowYear],"&gt;="&amp;$C$4,DaybyDay[Date],"&lt;="&amp;DaybyDay[[#This Row],[Date]])</f>
        <v>0</v>
      </c>
      <c r="U438" s="32">
        <f>DaybyDay[[#This Row],[Serv-Bud-RU]]+DaybyDay[[#This Row],[Ret-Bud-RU]]</f>
        <v>0</v>
      </c>
      <c r="V438" s="32">
        <f>DaybyDay[[#This Row],[Serv-Act-RU]]+DaybyDay[[#This Row],[Ret-Act-RU]]</f>
        <v>0</v>
      </c>
      <c r="W438" s="36">
        <f>IF(DaybyDay[[#This Row],[_Space]],IFERROR(
((DaybyDay[[#This Row],[Actual-Rollup]]-DaybyDay[[#This Row],[Budget-Rollup]])/DaybyDay[[#This Row],[Budget-Rollup]]),0),"")</f>
        <v>0</v>
      </c>
      <c r="X438" t="b">
        <f>NOT(AND(ISBLANK(DaybyDay[[#This Row],[Appts]]),ISBLANK(DaybyDay[[#This Row],[Service-Actuals]]),ISBLANK(DaybyDay[[#This Row],[Retail-Actuals]])))</f>
        <v>1</v>
      </c>
      <c r="Y438" s="36">
        <f>IF(DaybyDay[[#This Row],[_Space]],IFERROR(
((DaybyDay[[#This Row],[Actual-Rollup]]-DaybyDay[[#This Row],[LY-Rollup]])/DaybyDay[[#This Row],[LY-Rollup]]),0),"")</f>
        <v>0</v>
      </c>
      <c r="Z438"/>
      <c r="AA438" s="37" t="e">
        <f>IF(DaybyDay[[#This Row],[_Space]],DaybyDay[[#This Row],[Ret-Act-RU]]/DaybyDay[[#This Row],[Serv-Act-RU]],"")</f>
        <v>#DIV/0!</v>
      </c>
      <c r="AB438" s="50" t="e">
        <f>IF(DaybyDay[[#This Row],[_Space]],DaybyDay[[#This Row],[RETPEN-Act]]/DaybyDay[[#This Row],[RETPEN-Bud]],"")</f>
        <v>#DIV/0!</v>
      </c>
      <c r="AC438" s="37" t="e">
        <f>IF(DaybyDay[[#This Row],[_Space]],DaybyDay[[#This Row],[Ret-Bud-RU]]/DaybyDay[[#This Row],[Serv-Bud-RU]],"")</f>
        <v>#DIV/0!</v>
      </c>
      <c r="AD438" s="37" t="e">
        <f>IF(DaybyDay[[#This Row],[_Space]],DaybyDay[[#This Row],[Ret-LY-RU]]/DaybyDay[[#This Row],[Serv-LY-RU]],"")</f>
        <v>#DIV/0!</v>
      </c>
      <c r="AE438" s="30">
        <f>WEEKDAY(DaybyDay[[#This Row],[LY-Date]])</f>
        <v>5</v>
      </c>
      <c r="AF438" s="38">
        <f>$E$2+_xlfn.DAYS(DaybyDay[[#This Row],[Date]],minDate)</f>
        <v>42803</v>
      </c>
      <c r="AG438" s="39" cm="1">
        <f t="array" ref="AG438">IFERROR(INDEX(DaybyDay[],DaybyDay[[#This Row],[FORM_MATCH_HELPER]],8),"")</f>
        <v>16</v>
      </c>
      <c r="AH438" s="39" cm="1">
        <f t="array" ref="AH438">IFERROR(INDEX(DaybyDay[],DaybyDay[[#This Row],[FORM_MATCH_HELPER]],10),"")</f>
        <v>2481</v>
      </c>
      <c r="AI438" s="39" cm="1">
        <f t="array" ref="AI438">IFERROR(INDEX(DaybyDay[],DaybyDay[[#This Row],[FORM_MATCH_HELPER]],12),"")</f>
        <v>7</v>
      </c>
      <c r="AJ438" s="32">
        <f>IFERROR(DaybyDay[[#This Row],[Serv-LY-RU]]+DaybyDay[[#This Row],[Ret-LY-RU]],"")</f>
        <v>0</v>
      </c>
      <c r="AK4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8" s="77"/>
      <c r="AM438" s="40" t="str">
        <f>IF(DaybyDay[[#This Row],[Admin Hours]]&gt;0,DaybyDay[[#This Row],[Admin Hours]]*$AM$2+$AM$3,"")</f>
        <v/>
      </c>
      <c r="AN438" s="40">
        <f>SUMIFS(DaybyDay[Est-Admin-Payroll],DaybyDay[Date],"&gt;="&amp;$C$5,DaybyDay[RowYear],"&gt;="&amp;$C$4,DaybyDay[Date],"&lt;="&amp;DaybyDay[[#This Row],[Date]])</f>
        <v>0</v>
      </c>
      <c r="AO438" s="41" t="str">
        <f>IF(AND(DaybyDay[[#This Row],[_Space]],ISNUMBER(DaybyDay[[#This Row],[Admin Hours]])),DaybyDay[[#This Row],[Est-Admin-Payroll]]/(DaybyDay[[#This Row],[Service-Actuals]]+DaybyDay[[#This Row],[Retail-Actuals]]),"")</f>
        <v/>
      </c>
      <c r="AP438" s="41" t="e">
        <f>DaybyDay[[#This Row],[Estimated-Payroll-Rollup]]/DaybyDay[[#This Row],[Simple-Forecast]]</f>
        <v>#DIV/0!</v>
      </c>
      <c r="AQ4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8" s="77"/>
      <c r="AS438" s="40" t="str">
        <f>IF(DaybyDay[[#This Row],[Retail Hours]]&gt;0,DaybyDay[[#This Row],[Retail Hours]]*$AS$2,"")</f>
        <v/>
      </c>
      <c r="AT438" s="40">
        <f>SUMIFS(DaybyDay[Est-Retail-Payroll],DaybyDay[Date],"&gt;="&amp;$C$5,DaybyDay[RowYear],"&gt;="&amp;$C$4,DaybyDay[Date],"&lt;="&amp;DaybyDay[[#This Row],[Date]])</f>
        <v>0</v>
      </c>
      <c r="AU438" s="82" t="str">
        <f>IF(AND(DaybyDay[[#This Row],[_Space]],ISNUMBER(DaybyDay[[#This Row],[Retail Hours]])),DaybyDay[[#This Row],[Est-Retail-Payroll]]/(DaybyDay[[#This Row],[Retail-Actuals]]),"")</f>
        <v/>
      </c>
      <c r="AV438" s="82" t="e">
        <f>DaybyDay[[#This Row],[Est-Retail-PayrollRU]]/DaybyDay[[#This Row],[Simple-Forecast-Retail]]</f>
        <v>#DIV/0!</v>
      </c>
      <c r="AW438" s="8"/>
    </row>
    <row r="439" spans="3:49" hidden="1" x14ac:dyDescent="0.25">
      <c r="C439" s="26" t="str">
        <f>Tools!$C$1</f>
        <v>Example</v>
      </c>
      <c r="D439" s="27" t="s">
        <v>70</v>
      </c>
      <c r="E439" s="28">
        <v>2018</v>
      </c>
      <c r="F439" s="28">
        <f>MATCH(DaybyDay[[#This Row],[RowMonth]],Table3[SummaryMonth],0)</f>
        <v>3</v>
      </c>
      <c r="G439" s="29">
        <f>MATCH(DaybyDay[[#This Row],[LY-Date]],DaybyDay[Date],0)</f>
        <v>69</v>
      </c>
      <c r="H439" s="30">
        <f>WEEKDAY(DaybyDay[[#This Row],[Date]])</f>
        <v>6</v>
      </c>
      <c r="I439" s="31">
        <v>43168</v>
      </c>
      <c r="J439" s="74">
        <v>32</v>
      </c>
      <c r="K439" s="32">
        <f>SUMIFS(BudgetSeasonality[365 Seasonality],BudgetSeasonality[MonthAdjustment],DaybyDay[[#This Row],[Date]])*SUMIFS(Budgets[Service-Budget],Budgets[BudgetMonth],DaybyDay[[#This Row],[RowMonth]],Budgets[BudgetYear],DaybyDay[[#This Row],[RowYear]])</f>
        <v>5142.6180501189847</v>
      </c>
      <c r="L439" s="75">
        <v>4593</v>
      </c>
      <c r="M439" s="32">
        <f>INDEX(BudgetSeasonality[365 Seasonality],MATCH(DaybyDay[[#This Row],[Date]],BudgetSeasonality[MonthAdjustment],0))*SUMIFS(Budgets[Retail-Budget],Budgets[BudgetMonth],DaybyDay[[#This Row],[RowMonth]],Budgets[BudgetYear],DaybyDay[[#This Row],[RowYear]])</f>
        <v>1544.4740746631658</v>
      </c>
      <c r="N439" s="75">
        <v>2218.9</v>
      </c>
      <c r="O439" s="33">
        <f>SUMIFS(DaybyDay[Service-Budgets],DaybyDay[Date],"&gt;="&amp;$C$5,DaybyDay[RowYear],"&gt;="&amp;$C$4,DaybyDay[Date],"&lt;="&amp;DaybyDay[[#This Row],[Date]])</f>
        <v>0</v>
      </c>
      <c r="P439" s="33">
        <f>SUMIFS(DaybyDay[Retail-Budgets],DaybyDay[Date],"&gt;="&amp;$C$5,DaybyDay[RowYear],"&gt;="&amp;$C$4,DaybyDay[Date],"&lt;="&amp;DaybyDay[[#This Row],[Date]])</f>
        <v>0</v>
      </c>
      <c r="Q439" s="34">
        <f>SUMIFS(DaybyDay[Service-Actuals],DaybyDay[Date],"&gt;="&amp;$C$5,DaybyDay[RowYear],"&gt;="&amp;$C$4,DaybyDay[Date],"&lt;="&amp;DaybyDay[[#This Row],[Date]])</f>
        <v>0</v>
      </c>
      <c r="R439" s="34">
        <f>SUMIFS(DaybyDay[Retail-Actuals],DaybyDay[Date],"&gt;="&amp;$C$5,DaybyDay[RowYear],"&gt;="&amp;$C$4,DaybyDay[Date],"&lt;="&amp;DaybyDay[[#This Row],[Date]])</f>
        <v>0</v>
      </c>
      <c r="S439" s="35">
        <f>SUMIFS(DaybyDay[Service-LY],DaybyDay[Date],"&gt;="&amp;$C$5,DaybyDay[RowYear],"&gt;="&amp;$C$4,DaybyDay[Date],"&lt;="&amp;DaybyDay[[#This Row],[Date]])</f>
        <v>0</v>
      </c>
      <c r="T439" s="35">
        <f>SUMIFS(DaybyDay[Retail-LY],DaybyDay[Date],"&gt;="&amp;$C$5,DaybyDay[RowYear],"&gt;="&amp;$C$4,DaybyDay[Date],"&lt;="&amp;DaybyDay[[#This Row],[Date]])</f>
        <v>0</v>
      </c>
      <c r="U439" s="32">
        <f>DaybyDay[[#This Row],[Serv-Bud-RU]]+DaybyDay[[#This Row],[Ret-Bud-RU]]</f>
        <v>0</v>
      </c>
      <c r="V439" s="32">
        <f>DaybyDay[[#This Row],[Serv-Act-RU]]+DaybyDay[[#This Row],[Ret-Act-RU]]</f>
        <v>0</v>
      </c>
      <c r="W439" s="36">
        <f>IF(DaybyDay[[#This Row],[_Space]],IFERROR(
((DaybyDay[[#This Row],[Actual-Rollup]]-DaybyDay[[#This Row],[Budget-Rollup]])/DaybyDay[[#This Row],[Budget-Rollup]]),0),"")</f>
        <v>0</v>
      </c>
      <c r="X439" t="b">
        <f>NOT(AND(ISBLANK(DaybyDay[[#This Row],[Appts]]),ISBLANK(DaybyDay[[#This Row],[Service-Actuals]]),ISBLANK(DaybyDay[[#This Row],[Retail-Actuals]])))</f>
        <v>1</v>
      </c>
      <c r="Y439" s="36">
        <f>IF(DaybyDay[[#This Row],[_Space]],IFERROR(
((DaybyDay[[#This Row],[Actual-Rollup]]-DaybyDay[[#This Row],[LY-Rollup]])/DaybyDay[[#This Row],[LY-Rollup]]),0),"")</f>
        <v>0</v>
      </c>
      <c r="Z439"/>
      <c r="AA439" s="37" t="e">
        <f>IF(DaybyDay[[#This Row],[_Space]],DaybyDay[[#This Row],[Ret-Act-RU]]/DaybyDay[[#This Row],[Serv-Act-RU]],"")</f>
        <v>#DIV/0!</v>
      </c>
      <c r="AB439" s="50" t="e">
        <f>IF(DaybyDay[[#This Row],[_Space]],DaybyDay[[#This Row],[RETPEN-Act]]/DaybyDay[[#This Row],[RETPEN-Bud]],"")</f>
        <v>#DIV/0!</v>
      </c>
      <c r="AC439" s="37" t="e">
        <f>IF(DaybyDay[[#This Row],[_Space]],DaybyDay[[#This Row],[Ret-Bud-RU]]/DaybyDay[[#This Row],[Serv-Bud-RU]],"")</f>
        <v>#DIV/0!</v>
      </c>
      <c r="AD439" s="37" t="e">
        <f>IF(DaybyDay[[#This Row],[_Space]],DaybyDay[[#This Row],[Ret-LY-RU]]/DaybyDay[[#This Row],[Serv-LY-RU]],"")</f>
        <v>#DIV/0!</v>
      </c>
      <c r="AE439" s="30">
        <f>WEEKDAY(DaybyDay[[#This Row],[LY-Date]])</f>
        <v>6</v>
      </c>
      <c r="AF439" s="38">
        <f>$E$2+_xlfn.DAYS(DaybyDay[[#This Row],[Date]],minDate)</f>
        <v>42804</v>
      </c>
      <c r="AG439" s="39" cm="1">
        <f t="array" ref="AG439">IFERROR(INDEX(DaybyDay[],DaybyDay[[#This Row],[FORM_MATCH_HELPER]],8),"")</f>
        <v>6</v>
      </c>
      <c r="AH439" s="39" cm="1">
        <f t="array" ref="AH439">IFERROR(INDEX(DaybyDay[],DaybyDay[[#This Row],[FORM_MATCH_HELPER]],10),"")</f>
        <v>1492.75</v>
      </c>
      <c r="AI439" s="39" cm="1">
        <f t="array" ref="AI439">IFERROR(INDEX(DaybyDay[],DaybyDay[[#This Row],[FORM_MATCH_HELPER]],12),"")</f>
        <v>0</v>
      </c>
      <c r="AJ439" s="32">
        <f>IFERROR(DaybyDay[[#This Row],[Serv-LY-RU]]+DaybyDay[[#This Row],[Ret-LY-RU]],"")</f>
        <v>0</v>
      </c>
      <c r="AK4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39" s="77"/>
      <c r="AM439" s="40" t="str">
        <f>IF(DaybyDay[[#This Row],[Admin Hours]]&gt;0,DaybyDay[[#This Row],[Admin Hours]]*$AM$2+$AM$3,"")</f>
        <v/>
      </c>
      <c r="AN439" s="40">
        <f>SUMIFS(DaybyDay[Est-Admin-Payroll],DaybyDay[Date],"&gt;="&amp;$C$5,DaybyDay[RowYear],"&gt;="&amp;$C$4,DaybyDay[Date],"&lt;="&amp;DaybyDay[[#This Row],[Date]])</f>
        <v>0</v>
      </c>
      <c r="AO439" s="41" t="str">
        <f>IF(AND(DaybyDay[[#This Row],[_Space]],ISNUMBER(DaybyDay[[#This Row],[Admin Hours]])),DaybyDay[[#This Row],[Est-Admin-Payroll]]/(DaybyDay[[#This Row],[Service-Actuals]]+DaybyDay[[#This Row],[Retail-Actuals]]),"")</f>
        <v/>
      </c>
      <c r="AP439" s="41" t="e">
        <f>DaybyDay[[#This Row],[Estimated-Payroll-Rollup]]/DaybyDay[[#This Row],[Simple-Forecast]]</f>
        <v>#DIV/0!</v>
      </c>
      <c r="AQ4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39" s="77"/>
      <c r="AS439" s="40" t="str">
        <f>IF(DaybyDay[[#This Row],[Retail Hours]]&gt;0,DaybyDay[[#This Row],[Retail Hours]]*$AS$2,"")</f>
        <v/>
      </c>
      <c r="AT439" s="40">
        <f>SUMIFS(DaybyDay[Est-Retail-Payroll],DaybyDay[Date],"&gt;="&amp;$C$5,DaybyDay[RowYear],"&gt;="&amp;$C$4,DaybyDay[Date],"&lt;="&amp;DaybyDay[[#This Row],[Date]])</f>
        <v>0</v>
      </c>
      <c r="AU439" s="82" t="str">
        <f>IF(AND(DaybyDay[[#This Row],[_Space]],ISNUMBER(DaybyDay[[#This Row],[Retail Hours]])),DaybyDay[[#This Row],[Est-Retail-Payroll]]/(DaybyDay[[#This Row],[Retail-Actuals]]),"")</f>
        <v/>
      </c>
      <c r="AV439" s="82" t="e">
        <f>DaybyDay[[#This Row],[Est-Retail-PayrollRU]]/DaybyDay[[#This Row],[Simple-Forecast-Retail]]</f>
        <v>#DIV/0!</v>
      </c>
      <c r="AW439" s="8"/>
    </row>
    <row r="440" spans="3:49" hidden="1" x14ac:dyDescent="0.25">
      <c r="C440" s="26" t="str">
        <f>Tools!$C$1</f>
        <v>Example</v>
      </c>
      <c r="D440" s="27" t="s">
        <v>70</v>
      </c>
      <c r="E440" s="28">
        <v>2018</v>
      </c>
      <c r="F440" s="28">
        <f>MATCH(DaybyDay[[#This Row],[RowMonth]],Table3[SummaryMonth],0)</f>
        <v>3</v>
      </c>
      <c r="G440" s="29">
        <f>MATCH(DaybyDay[[#This Row],[LY-Date]],DaybyDay[Date],0)</f>
        <v>70</v>
      </c>
      <c r="H440" s="30">
        <f>WEEKDAY(DaybyDay[[#This Row],[Date]])</f>
        <v>7</v>
      </c>
      <c r="I440" s="31">
        <v>43169</v>
      </c>
      <c r="J440" s="74">
        <v>35</v>
      </c>
      <c r="K440" s="32">
        <f>SUMIFS(BudgetSeasonality[365 Seasonality],BudgetSeasonality[MonthAdjustment],DaybyDay[[#This Row],[Date]])*SUMIFS(Budgets[Service-Budget],Budgets[BudgetMonth],DaybyDay[[#This Row],[RowMonth]],Budgets[BudgetYear],DaybyDay[[#This Row],[RowYear]])</f>
        <v>7576.8083699039535</v>
      </c>
      <c r="L440" s="75">
        <v>6489</v>
      </c>
      <c r="M440" s="32">
        <f>INDEX(BudgetSeasonality[365 Seasonality],MATCH(DaybyDay[[#This Row],[Date]],BudgetSeasonality[MonthAdjustment],0))*SUMIFS(Budgets[Retail-Budget],Budgets[BudgetMonth],DaybyDay[[#This Row],[RowMonth]],Budgets[BudgetYear],DaybyDay[[#This Row],[RowYear]])</f>
        <v>2275.5304753260421</v>
      </c>
      <c r="N440" s="75">
        <v>3338</v>
      </c>
      <c r="O440" s="33">
        <f>SUMIFS(DaybyDay[Service-Budgets],DaybyDay[Date],"&gt;="&amp;$C$5,DaybyDay[RowYear],"&gt;="&amp;$C$4,DaybyDay[Date],"&lt;="&amp;DaybyDay[[#This Row],[Date]])</f>
        <v>0</v>
      </c>
      <c r="P440" s="33">
        <f>SUMIFS(DaybyDay[Retail-Budgets],DaybyDay[Date],"&gt;="&amp;$C$5,DaybyDay[RowYear],"&gt;="&amp;$C$4,DaybyDay[Date],"&lt;="&amp;DaybyDay[[#This Row],[Date]])</f>
        <v>0</v>
      </c>
      <c r="Q440" s="34">
        <f>SUMIFS(DaybyDay[Service-Actuals],DaybyDay[Date],"&gt;="&amp;$C$5,DaybyDay[RowYear],"&gt;="&amp;$C$4,DaybyDay[Date],"&lt;="&amp;DaybyDay[[#This Row],[Date]])</f>
        <v>0</v>
      </c>
      <c r="R440" s="34">
        <f>SUMIFS(DaybyDay[Retail-Actuals],DaybyDay[Date],"&gt;="&amp;$C$5,DaybyDay[RowYear],"&gt;="&amp;$C$4,DaybyDay[Date],"&lt;="&amp;DaybyDay[[#This Row],[Date]])</f>
        <v>0</v>
      </c>
      <c r="S440" s="35">
        <f>SUMIFS(DaybyDay[Service-LY],DaybyDay[Date],"&gt;="&amp;$C$5,DaybyDay[RowYear],"&gt;="&amp;$C$4,DaybyDay[Date],"&lt;="&amp;DaybyDay[[#This Row],[Date]])</f>
        <v>0</v>
      </c>
      <c r="T440" s="35">
        <f>SUMIFS(DaybyDay[Retail-LY],DaybyDay[Date],"&gt;="&amp;$C$5,DaybyDay[RowYear],"&gt;="&amp;$C$4,DaybyDay[Date],"&lt;="&amp;DaybyDay[[#This Row],[Date]])</f>
        <v>0</v>
      </c>
      <c r="U440" s="32">
        <f>DaybyDay[[#This Row],[Serv-Bud-RU]]+DaybyDay[[#This Row],[Ret-Bud-RU]]</f>
        <v>0</v>
      </c>
      <c r="V440" s="32">
        <f>DaybyDay[[#This Row],[Serv-Act-RU]]+DaybyDay[[#This Row],[Ret-Act-RU]]</f>
        <v>0</v>
      </c>
      <c r="W440" s="36">
        <f>IF(DaybyDay[[#This Row],[_Space]],IFERROR(
((DaybyDay[[#This Row],[Actual-Rollup]]-DaybyDay[[#This Row],[Budget-Rollup]])/DaybyDay[[#This Row],[Budget-Rollup]]),0),"")</f>
        <v>0</v>
      </c>
      <c r="X440" t="b">
        <f>NOT(AND(ISBLANK(DaybyDay[[#This Row],[Appts]]),ISBLANK(DaybyDay[[#This Row],[Service-Actuals]]),ISBLANK(DaybyDay[[#This Row],[Retail-Actuals]])))</f>
        <v>1</v>
      </c>
      <c r="Y440" s="36">
        <f>IF(DaybyDay[[#This Row],[_Space]],IFERROR(
((DaybyDay[[#This Row],[Actual-Rollup]]-DaybyDay[[#This Row],[LY-Rollup]])/DaybyDay[[#This Row],[LY-Rollup]]),0),"")</f>
        <v>0</v>
      </c>
      <c r="Z440"/>
      <c r="AA440" s="37" t="e">
        <f>IF(DaybyDay[[#This Row],[_Space]],DaybyDay[[#This Row],[Ret-Act-RU]]/DaybyDay[[#This Row],[Serv-Act-RU]],"")</f>
        <v>#DIV/0!</v>
      </c>
      <c r="AB440" s="50" t="e">
        <f>IF(DaybyDay[[#This Row],[_Space]],DaybyDay[[#This Row],[RETPEN-Act]]/DaybyDay[[#This Row],[RETPEN-Bud]],"")</f>
        <v>#DIV/0!</v>
      </c>
      <c r="AC440" s="37" t="e">
        <f>IF(DaybyDay[[#This Row],[_Space]],DaybyDay[[#This Row],[Ret-Bud-RU]]/DaybyDay[[#This Row],[Serv-Bud-RU]],"")</f>
        <v>#DIV/0!</v>
      </c>
      <c r="AD440" s="37" t="e">
        <f>IF(DaybyDay[[#This Row],[_Space]],DaybyDay[[#This Row],[Ret-LY-RU]]/DaybyDay[[#This Row],[Serv-LY-RU]],"")</f>
        <v>#DIV/0!</v>
      </c>
      <c r="AE440" s="30">
        <f>WEEKDAY(DaybyDay[[#This Row],[LY-Date]])</f>
        <v>7</v>
      </c>
      <c r="AF440" s="38">
        <f>$E$2+_xlfn.DAYS(DaybyDay[[#This Row],[Date]],minDate)</f>
        <v>42805</v>
      </c>
      <c r="AG440" s="39" cm="1">
        <f t="array" ref="AG440">IFERROR(INDEX(DaybyDay[],DaybyDay[[#This Row],[FORM_MATCH_HELPER]],8),"")</f>
        <v>33</v>
      </c>
      <c r="AH440" s="39" cm="1">
        <f t="array" ref="AH440">IFERROR(INDEX(DaybyDay[],DaybyDay[[#This Row],[FORM_MATCH_HELPER]],10),"")</f>
        <v>7819</v>
      </c>
      <c r="AI440" s="39" cm="1">
        <f t="array" ref="AI440">IFERROR(INDEX(DaybyDay[],DaybyDay[[#This Row],[FORM_MATCH_HELPER]],12),"")</f>
        <v>510</v>
      </c>
      <c r="AJ440" s="32">
        <f>IFERROR(DaybyDay[[#This Row],[Serv-LY-RU]]+DaybyDay[[#This Row],[Ret-LY-RU]],"")</f>
        <v>0</v>
      </c>
      <c r="AK4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0" s="77"/>
      <c r="AM440" s="40" t="str">
        <f>IF(DaybyDay[[#This Row],[Admin Hours]]&gt;0,DaybyDay[[#This Row],[Admin Hours]]*$AM$2+$AM$3,"")</f>
        <v/>
      </c>
      <c r="AN440" s="40">
        <f>SUMIFS(DaybyDay[Est-Admin-Payroll],DaybyDay[Date],"&gt;="&amp;$C$5,DaybyDay[RowYear],"&gt;="&amp;$C$4,DaybyDay[Date],"&lt;="&amp;DaybyDay[[#This Row],[Date]])</f>
        <v>0</v>
      </c>
      <c r="AO440" s="41" t="str">
        <f>IF(AND(DaybyDay[[#This Row],[_Space]],ISNUMBER(DaybyDay[[#This Row],[Admin Hours]])),DaybyDay[[#This Row],[Est-Admin-Payroll]]/(DaybyDay[[#This Row],[Service-Actuals]]+DaybyDay[[#This Row],[Retail-Actuals]]),"")</f>
        <v/>
      </c>
      <c r="AP440" s="41" t="e">
        <f>DaybyDay[[#This Row],[Estimated-Payroll-Rollup]]/DaybyDay[[#This Row],[Simple-Forecast]]</f>
        <v>#DIV/0!</v>
      </c>
      <c r="AQ4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0" s="77"/>
      <c r="AS440" s="40" t="str">
        <f>IF(DaybyDay[[#This Row],[Retail Hours]]&gt;0,DaybyDay[[#This Row],[Retail Hours]]*$AS$2,"")</f>
        <v/>
      </c>
      <c r="AT440" s="40">
        <f>SUMIFS(DaybyDay[Est-Retail-Payroll],DaybyDay[Date],"&gt;="&amp;$C$5,DaybyDay[RowYear],"&gt;="&amp;$C$4,DaybyDay[Date],"&lt;="&amp;DaybyDay[[#This Row],[Date]])</f>
        <v>0</v>
      </c>
      <c r="AU440" s="82" t="str">
        <f>IF(AND(DaybyDay[[#This Row],[_Space]],ISNUMBER(DaybyDay[[#This Row],[Retail Hours]])),DaybyDay[[#This Row],[Est-Retail-Payroll]]/(DaybyDay[[#This Row],[Retail-Actuals]]),"")</f>
        <v/>
      </c>
      <c r="AV440" s="82" t="e">
        <f>DaybyDay[[#This Row],[Est-Retail-PayrollRU]]/DaybyDay[[#This Row],[Simple-Forecast-Retail]]</f>
        <v>#DIV/0!</v>
      </c>
      <c r="AW440" s="8"/>
    </row>
    <row r="441" spans="3:49" hidden="1" x14ac:dyDescent="0.25">
      <c r="C441" s="26" t="str">
        <f>Tools!$C$1</f>
        <v>Example</v>
      </c>
      <c r="D441" s="27" t="s">
        <v>70</v>
      </c>
      <c r="E441" s="28">
        <v>2018</v>
      </c>
      <c r="F441" s="28">
        <f>MATCH(DaybyDay[[#This Row],[RowMonth]],Table3[SummaryMonth],0)</f>
        <v>3</v>
      </c>
      <c r="G441" s="29">
        <f>MATCH(DaybyDay[[#This Row],[LY-Date]],DaybyDay[Date],0)</f>
        <v>71</v>
      </c>
      <c r="H441" s="30">
        <f>WEEKDAY(DaybyDay[[#This Row],[Date]])</f>
        <v>1</v>
      </c>
      <c r="I441" s="31">
        <v>43170</v>
      </c>
      <c r="J441" s="74">
        <v>28</v>
      </c>
      <c r="K441" s="32">
        <f>SUMIFS(BudgetSeasonality[365 Seasonality],BudgetSeasonality[MonthAdjustment],DaybyDay[[#This Row],[Date]])*SUMIFS(Budgets[Service-Budget],Budgets[BudgetMonth],DaybyDay[[#This Row],[RowMonth]],Budgets[BudgetYear],DaybyDay[[#This Row],[RowYear]])</f>
        <v>5890.6109447654098</v>
      </c>
      <c r="L441" s="75">
        <v>5623</v>
      </c>
      <c r="M441" s="32">
        <f>INDEX(BudgetSeasonality[365 Seasonality],MATCH(DaybyDay[[#This Row],[Date]],BudgetSeasonality[MonthAdjustment],0))*SUMIFS(Budgets[Retail-Budget],Budgets[BudgetMonth],DaybyDay[[#This Row],[RowMonth]],Budgets[BudgetYear],DaybyDay[[#This Row],[RowYear]])</f>
        <v>1769.1175583041356</v>
      </c>
      <c r="N441" s="75">
        <v>1235</v>
      </c>
      <c r="O441" s="33">
        <f>SUMIFS(DaybyDay[Service-Budgets],DaybyDay[Date],"&gt;="&amp;$C$5,DaybyDay[RowYear],"&gt;="&amp;$C$4,DaybyDay[Date],"&lt;="&amp;DaybyDay[[#This Row],[Date]])</f>
        <v>0</v>
      </c>
      <c r="P441" s="33">
        <f>SUMIFS(DaybyDay[Retail-Budgets],DaybyDay[Date],"&gt;="&amp;$C$5,DaybyDay[RowYear],"&gt;="&amp;$C$4,DaybyDay[Date],"&lt;="&amp;DaybyDay[[#This Row],[Date]])</f>
        <v>0</v>
      </c>
      <c r="Q441" s="34">
        <f>SUMIFS(DaybyDay[Service-Actuals],DaybyDay[Date],"&gt;="&amp;$C$5,DaybyDay[RowYear],"&gt;="&amp;$C$4,DaybyDay[Date],"&lt;="&amp;DaybyDay[[#This Row],[Date]])</f>
        <v>0</v>
      </c>
      <c r="R441" s="34">
        <f>SUMIFS(DaybyDay[Retail-Actuals],DaybyDay[Date],"&gt;="&amp;$C$5,DaybyDay[RowYear],"&gt;="&amp;$C$4,DaybyDay[Date],"&lt;="&amp;DaybyDay[[#This Row],[Date]])</f>
        <v>0</v>
      </c>
      <c r="S441" s="35">
        <f>SUMIFS(DaybyDay[Service-LY],DaybyDay[Date],"&gt;="&amp;$C$5,DaybyDay[RowYear],"&gt;="&amp;$C$4,DaybyDay[Date],"&lt;="&amp;DaybyDay[[#This Row],[Date]])</f>
        <v>0</v>
      </c>
      <c r="T441" s="35">
        <f>SUMIFS(DaybyDay[Retail-LY],DaybyDay[Date],"&gt;="&amp;$C$5,DaybyDay[RowYear],"&gt;="&amp;$C$4,DaybyDay[Date],"&lt;="&amp;DaybyDay[[#This Row],[Date]])</f>
        <v>0</v>
      </c>
      <c r="U441" s="32">
        <f>DaybyDay[[#This Row],[Serv-Bud-RU]]+DaybyDay[[#This Row],[Ret-Bud-RU]]</f>
        <v>0</v>
      </c>
      <c r="V441" s="32">
        <f>DaybyDay[[#This Row],[Serv-Act-RU]]+DaybyDay[[#This Row],[Ret-Act-RU]]</f>
        <v>0</v>
      </c>
      <c r="W441" s="36">
        <f>IF(DaybyDay[[#This Row],[_Space]],IFERROR(
((DaybyDay[[#This Row],[Actual-Rollup]]-DaybyDay[[#This Row],[Budget-Rollup]])/DaybyDay[[#This Row],[Budget-Rollup]]),0),"")</f>
        <v>0</v>
      </c>
      <c r="X441" t="b">
        <f>NOT(AND(ISBLANK(DaybyDay[[#This Row],[Appts]]),ISBLANK(DaybyDay[[#This Row],[Service-Actuals]]),ISBLANK(DaybyDay[[#This Row],[Retail-Actuals]])))</f>
        <v>1</v>
      </c>
      <c r="Y441" s="36">
        <f>IF(DaybyDay[[#This Row],[_Space]],IFERROR(
((DaybyDay[[#This Row],[Actual-Rollup]]-DaybyDay[[#This Row],[LY-Rollup]])/DaybyDay[[#This Row],[LY-Rollup]]),0),"")</f>
        <v>0</v>
      </c>
      <c r="Z441"/>
      <c r="AA441" s="37" t="e">
        <f>IF(DaybyDay[[#This Row],[_Space]],DaybyDay[[#This Row],[Ret-Act-RU]]/DaybyDay[[#This Row],[Serv-Act-RU]],"")</f>
        <v>#DIV/0!</v>
      </c>
      <c r="AB441" s="50" t="e">
        <f>IF(DaybyDay[[#This Row],[_Space]],DaybyDay[[#This Row],[RETPEN-Act]]/DaybyDay[[#This Row],[RETPEN-Bud]],"")</f>
        <v>#DIV/0!</v>
      </c>
      <c r="AC441" s="37" t="e">
        <f>IF(DaybyDay[[#This Row],[_Space]],DaybyDay[[#This Row],[Ret-Bud-RU]]/DaybyDay[[#This Row],[Serv-Bud-RU]],"")</f>
        <v>#DIV/0!</v>
      </c>
      <c r="AD441" s="37" t="e">
        <f>IF(DaybyDay[[#This Row],[_Space]],DaybyDay[[#This Row],[Ret-LY-RU]]/DaybyDay[[#This Row],[Serv-LY-RU]],"")</f>
        <v>#DIV/0!</v>
      </c>
      <c r="AE441" s="30">
        <f>WEEKDAY(DaybyDay[[#This Row],[LY-Date]])</f>
        <v>1</v>
      </c>
      <c r="AF441" s="38">
        <f>$E$2+_xlfn.DAYS(DaybyDay[[#This Row],[Date]],minDate)</f>
        <v>42806</v>
      </c>
      <c r="AG441" s="39" cm="1">
        <f t="array" ref="AG441">IFERROR(INDEX(DaybyDay[],DaybyDay[[#This Row],[FORM_MATCH_HELPER]],8),"")</f>
        <v>26</v>
      </c>
      <c r="AH441" s="39" cm="1">
        <f t="array" ref="AH441">IFERROR(INDEX(DaybyDay[],DaybyDay[[#This Row],[FORM_MATCH_HELPER]],10),"")</f>
        <v>5243.2</v>
      </c>
      <c r="AI441" s="39" cm="1">
        <f t="array" ref="AI441">IFERROR(INDEX(DaybyDay[],DaybyDay[[#This Row],[FORM_MATCH_HELPER]],12),"")</f>
        <v>120.4</v>
      </c>
      <c r="AJ441" s="32">
        <f>IFERROR(DaybyDay[[#This Row],[Serv-LY-RU]]+DaybyDay[[#This Row],[Ret-LY-RU]],"")</f>
        <v>0</v>
      </c>
      <c r="AK4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1" s="77"/>
      <c r="AM441" s="40" t="str">
        <f>IF(DaybyDay[[#This Row],[Admin Hours]]&gt;0,DaybyDay[[#This Row],[Admin Hours]]*$AM$2+$AM$3,"")</f>
        <v/>
      </c>
      <c r="AN441" s="40">
        <f>SUMIFS(DaybyDay[Est-Admin-Payroll],DaybyDay[Date],"&gt;="&amp;$C$5,DaybyDay[RowYear],"&gt;="&amp;$C$4,DaybyDay[Date],"&lt;="&amp;DaybyDay[[#This Row],[Date]])</f>
        <v>0</v>
      </c>
      <c r="AO441" s="41" t="str">
        <f>IF(AND(DaybyDay[[#This Row],[_Space]],ISNUMBER(DaybyDay[[#This Row],[Admin Hours]])),DaybyDay[[#This Row],[Est-Admin-Payroll]]/(DaybyDay[[#This Row],[Service-Actuals]]+DaybyDay[[#This Row],[Retail-Actuals]]),"")</f>
        <v/>
      </c>
      <c r="AP441" s="41" t="e">
        <f>DaybyDay[[#This Row],[Estimated-Payroll-Rollup]]/DaybyDay[[#This Row],[Simple-Forecast]]</f>
        <v>#DIV/0!</v>
      </c>
      <c r="AQ4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1" s="77"/>
      <c r="AS441" s="40" t="str">
        <f>IF(DaybyDay[[#This Row],[Retail Hours]]&gt;0,DaybyDay[[#This Row],[Retail Hours]]*$AS$2,"")</f>
        <v/>
      </c>
      <c r="AT441" s="40">
        <f>SUMIFS(DaybyDay[Est-Retail-Payroll],DaybyDay[Date],"&gt;="&amp;$C$5,DaybyDay[RowYear],"&gt;="&amp;$C$4,DaybyDay[Date],"&lt;="&amp;DaybyDay[[#This Row],[Date]])</f>
        <v>0</v>
      </c>
      <c r="AU441" s="82" t="str">
        <f>IF(AND(DaybyDay[[#This Row],[_Space]],ISNUMBER(DaybyDay[[#This Row],[Retail Hours]])),DaybyDay[[#This Row],[Est-Retail-Payroll]]/(DaybyDay[[#This Row],[Retail-Actuals]]),"")</f>
        <v/>
      </c>
      <c r="AV441" s="82" t="e">
        <f>DaybyDay[[#This Row],[Est-Retail-PayrollRU]]/DaybyDay[[#This Row],[Simple-Forecast-Retail]]</f>
        <v>#DIV/0!</v>
      </c>
      <c r="AW441" s="8"/>
    </row>
    <row r="442" spans="3:49" hidden="1" x14ac:dyDescent="0.25">
      <c r="C442" s="26" t="str">
        <f>Tools!$C$1</f>
        <v>Example</v>
      </c>
      <c r="D442" s="27" t="s">
        <v>70</v>
      </c>
      <c r="E442" s="28">
        <v>2018</v>
      </c>
      <c r="F442" s="28">
        <f>MATCH(DaybyDay[[#This Row],[RowMonth]],Table3[SummaryMonth],0)</f>
        <v>3</v>
      </c>
      <c r="G442" s="29">
        <f>MATCH(DaybyDay[[#This Row],[LY-Date]],DaybyDay[Date],0)</f>
        <v>72</v>
      </c>
      <c r="H442" s="30">
        <f>WEEKDAY(DaybyDay[[#This Row],[Date]])</f>
        <v>2</v>
      </c>
      <c r="I442" s="31">
        <v>43171</v>
      </c>
      <c r="J442" s="74">
        <v>12</v>
      </c>
      <c r="K442" s="32">
        <f>SUMIFS(BudgetSeasonality[365 Seasonality],BudgetSeasonality[MonthAdjustment],DaybyDay[[#This Row],[Date]])*SUMIFS(Budgets[Service-Budget],Budgets[BudgetMonth],DaybyDay[[#This Row],[RowMonth]],Budgets[BudgetYear],DaybyDay[[#This Row],[RowYear]])</f>
        <v>3409.9659209877518</v>
      </c>
      <c r="L442" s="75">
        <v>2120.4899999999998</v>
      </c>
      <c r="M442" s="32">
        <f>INDEX(BudgetSeasonality[365 Seasonality],MATCH(DaybyDay[[#This Row],[Date]],BudgetSeasonality[MonthAdjustment],0))*SUMIFS(Budgets[Retail-Budget],Budgets[BudgetMonth],DaybyDay[[#This Row],[RowMonth]],Budgets[BudgetYear],DaybyDay[[#This Row],[RowYear]])</f>
        <v>1024.1094923097844</v>
      </c>
      <c r="N442" s="75">
        <v>1017</v>
      </c>
      <c r="O442" s="33">
        <f>SUMIFS(DaybyDay[Service-Budgets],DaybyDay[Date],"&gt;="&amp;$C$5,DaybyDay[RowYear],"&gt;="&amp;$C$4,DaybyDay[Date],"&lt;="&amp;DaybyDay[[#This Row],[Date]])</f>
        <v>0</v>
      </c>
      <c r="P442" s="33">
        <f>SUMIFS(DaybyDay[Retail-Budgets],DaybyDay[Date],"&gt;="&amp;$C$5,DaybyDay[RowYear],"&gt;="&amp;$C$4,DaybyDay[Date],"&lt;="&amp;DaybyDay[[#This Row],[Date]])</f>
        <v>0</v>
      </c>
      <c r="Q442" s="34">
        <f>SUMIFS(DaybyDay[Service-Actuals],DaybyDay[Date],"&gt;="&amp;$C$5,DaybyDay[RowYear],"&gt;="&amp;$C$4,DaybyDay[Date],"&lt;="&amp;DaybyDay[[#This Row],[Date]])</f>
        <v>0</v>
      </c>
      <c r="R442" s="34">
        <f>SUMIFS(DaybyDay[Retail-Actuals],DaybyDay[Date],"&gt;="&amp;$C$5,DaybyDay[RowYear],"&gt;="&amp;$C$4,DaybyDay[Date],"&lt;="&amp;DaybyDay[[#This Row],[Date]])</f>
        <v>0</v>
      </c>
      <c r="S442" s="35">
        <f>SUMIFS(DaybyDay[Service-LY],DaybyDay[Date],"&gt;="&amp;$C$5,DaybyDay[RowYear],"&gt;="&amp;$C$4,DaybyDay[Date],"&lt;="&amp;DaybyDay[[#This Row],[Date]])</f>
        <v>0</v>
      </c>
      <c r="T442" s="35">
        <f>SUMIFS(DaybyDay[Retail-LY],DaybyDay[Date],"&gt;="&amp;$C$5,DaybyDay[RowYear],"&gt;="&amp;$C$4,DaybyDay[Date],"&lt;="&amp;DaybyDay[[#This Row],[Date]])</f>
        <v>0</v>
      </c>
      <c r="U442" s="32">
        <f>DaybyDay[[#This Row],[Serv-Bud-RU]]+DaybyDay[[#This Row],[Ret-Bud-RU]]</f>
        <v>0</v>
      </c>
      <c r="V442" s="32">
        <f>DaybyDay[[#This Row],[Serv-Act-RU]]+DaybyDay[[#This Row],[Ret-Act-RU]]</f>
        <v>0</v>
      </c>
      <c r="W442" s="36">
        <f>IF(DaybyDay[[#This Row],[_Space]],IFERROR(
((DaybyDay[[#This Row],[Actual-Rollup]]-DaybyDay[[#This Row],[Budget-Rollup]])/DaybyDay[[#This Row],[Budget-Rollup]]),0),"")</f>
        <v>0</v>
      </c>
      <c r="X442" t="b">
        <f>NOT(AND(ISBLANK(DaybyDay[[#This Row],[Appts]]),ISBLANK(DaybyDay[[#This Row],[Service-Actuals]]),ISBLANK(DaybyDay[[#This Row],[Retail-Actuals]])))</f>
        <v>1</v>
      </c>
      <c r="Y442" s="36">
        <f>IF(DaybyDay[[#This Row],[_Space]],IFERROR(
((DaybyDay[[#This Row],[Actual-Rollup]]-DaybyDay[[#This Row],[LY-Rollup]])/DaybyDay[[#This Row],[LY-Rollup]]),0),"")</f>
        <v>0</v>
      </c>
      <c r="Z442"/>
      <c r="AA442" s="37" t="e">
        <f>IF(DaybyDay[[#This Row],[_Space]],DaybyDay[[#This Row],[Ret-Act-RU]]/DaybyDay[[#This Row],[Serv-Act-RU]],"")</f>
        <v>#DIV/0!</v>
      </c>
      <c r="AB442" s="50" t="e">
        <f>IF(DaybyDay[[#This Row],[_Space]],DaybyDay[[#This Row],[RETPEN-Act]]/DaybyDay[[#This Row],[RETPEN-Bud]],"")</f>
        <v>#DIV/0!</v>
      </c>
      <c r="AC442" s="37" t="e">
        <f>IF(DaybyDay[[#This Row],[_Space]],DaybyDay[[#This Row],[Ret-Bud-RU]]/DaybyDay[[#This Row],[Serv-Bud-RU]],"")</f>
        <v>#DIV/0!</v>
      </c>
      <c r="AD442" s="37" t="e">
        <f>IF(DaybyDay[[#This Row],[_Space]],DaybyDay[[#This Row],[Ret-LY-RU]]/DaybyDay[[#This Row],[Serv-LY-RU]],"")</f>
        <v>#DIV/0!</v>
      </c>
      <c r="AE442" s="30">
        <f>WEEKDAY(DaybyDay[[#This Row],[LY-Date]])</f>
        <v>2</v>
      </c>
      <c r="AF442" s="38">
        <f>$E$2+_xlfn.DAYS(DaybyDay[[#This Row],[Date]],minDate)</f>
        <v>42807</v>
      </c>
      <c r="AG442" s="39" cm="1">
        <f t="array" ref="AG442">IFERROR(INDEX(DaybyDay[],DaybyDay[[#This Row],[FORM_MATCH_HELPER]],8),"")</f>
        <v>11</v>
      </c>
      <c r="AH442" s="39" cm="1">
        <f t="array" ref="AH442">IFERROR(INDEX(DaybyDay[],DaybyDay[[#This Row],[FORM_MATCH_HELPER]],10),"")</f>
        <v>3261.2</v>
      </c>
      <c r="AI442" s="39" cm="1">
        <f t="array" ref="AI442">IFERROR(INDEX(DaybyDay[],DaybyDay[[#This Row],[FORM_MATCH_HELPER]],12),"")</f>
        <v>69</v>
      </c>
      <c r="AJ442" s="32">
        <f>IFERROR(DaybyDay[[#This Row],[Serv-LY-RU]]+DaybyDay[[#This Row],[Ret-LY-RU]],"")</f>
        <v>0</v>
      </c>
      <c r="AK4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2" s="77"/>
      <c r="AM442" s="40" t="str">
        <f>IF(DaybyDay[[#This Row],[Admin Hours]]&gt;0,DaybyDay[[#This Row],[Admin Hours]]*$AM$2+$AM$3,"")</f>
        <v/>
      </c>
      <c r="AN442" s="40">
        <f>SUMIFS(DaybyDay[Est-Admin-Payroll],DaybyDay[Date],"&gt;="&amp;$C$5,DaybyDay[RowYear],"&gt;="&amp;$C$4,DaybyDay[Date],"&lt;="&amp;DaybyDay[[#This Row],[Date]])</f>
        <v>0</v>
      </c>
      <c r="AO442" s="41" t="str">
        <f>IF(AND(DaybyDay[[#This Row],[_Space]],ISNUMBER(DaybyDay[[#This Row],[Admin Hours]])),DaybyDay[[#This Row],[Est-Admin-Payroll]]/(DaybyDay[[#This Row],[Service-Actuals]]+DaybyDay[[#This Row],[Retail-Actuals]]),"")</f>
        <v/>
      </c>
      <c r="AP442" s="41" t="e">
        <f>DaybyDay[[#This Row],[Estimated-Payroll-Rollup]]/DaybyDay[[#This Row],[Simple-Forecast]]</f>
        <v>#DIV/0!</v>
      </c>
      <c r="AQ4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2" s="77"/>
      <c r="AS442" s="40" t="str">
        <f>IF(DaybyDay[[#This Row],[Retail Hours]]&gt;0,DaybyDay[[#This Row],[Retail Hours]]*$AS$2,"")</f>
        <v/>
      </c>
      <c r="AT442" s="40">
        <f>SUMIFS(DaybyDay[Est-Retail-Payroll],DaybyDay[Date],"&gt;="&amp;$C$5,DaybyDay[RowYear],"&gt;="&amp;$C$4,DaybyDay[Date],"&lt;="&amp;DaybyDay[[#This Row],[Date]])</f>
        <v>0</v>
      </c>
      <c r="AU442" s="82" t="str">
        <f>IF(AND(DaybyDay[[#This Row],[_Space]],ISNUMBER(DaybyDay[[#This Row],[Retail Hours]])),DaybyDay[[#This Row],[Est-Retail-Payroll]]/(DaybyDay[[#This Row],[Retail-Actuals]]),"")</f>
        <v/>
      </c>
      <c r="AV442" s="82" t="e">
        <f>DaybyDay[[#This Row],[Est-Retail-PayrollRU]]/DaybyDay[[#This Row],[Simple-Forecast-Retail]]</f>
        <v>#DIV/0!</v>
      </c>
      <c r="AW442" s="8"/>
    </row>
    <row r="443" spans="3:49" hidden="1" x14ac:dyDescent="0.25">
      <c r="C443" s="26" t="str">
        <f>Tools!$C$1</f>
        <v>Example</v>
      </c>
      <c r="D443" s="27" t="s">
        <v>70</v>
      </c>
      <c r="E443" s="28">
        <v>2018</v>
      </c>
      <c r="F443" s="28">
        <f>MATCH(DaybyDay[[#This Row],[RowMonth]],Table3[SummaryMonth],0)</f>
        <v>3</v>
      </c>
      <c r="G443" s="29">
        <f>MATCH(DaybyDay[[#This Row],[LY-Date]],DaybyDay[Date],0)</f>
        <v>73</v>
      </c>
      <c r="H443" s="30">
        <f>WEEKDAY(DaybyDay[[#This Row],[Date]])</f>
        <v>3</v>
      </c>
      <c r="I443" s="31">
        <v>43172</v>
      </c>
      <c r="J443" s="74">
        <v>19</v>
      </c>
      <c r="K443" s="32">
        <f>SUMIFS(BudgetSeasonality[365 Seasonality],BudgetSeasonality[MonthAdjustment],DaybyDay[[#This Row],[Date]])*SUMIFS(Budgets[Service-Budget],Budgets[BudgetMonth],DaybyDay[[#This Row],[RowMonth]],Budgets[BudgetYear],DaybyDay[[#This Row],[RowYear]])</f>
        <v>3638.4500424743978</v>
      </c>
      <c r="L443" s="75">
        <v>4720</v>
      </c>
      <c r="M443" s="32">
        <f>INDEX(BudgetSeasonality[365 Seasonality],MATCH(DaybyDay[[#This Row],[Date]],BudgetSeasonality[MonthAdjustment],0))*SUMIFS(Budgets[Retail-Budget],Budgets[BudgetMonth],DaybyDay[[#This Row],[RowMonth]],Budgets[BudgetYear],DaybyDay[[#This Row],[RowYear]])</f>
        <v>1092.7297551154481</v>
      </c>
      <c r="N443" s="75">
        <v>406</v>
      </c>
      <c r="O443" s="33">
        <f>SUMIFS(DaybyDay[Service-Budgets],DaybyDay[Date],"&gt;="&amp;$C$5,DaybyDay[RowYear],"&gt;="&amp;$C$4,DaybyDay[Date],"&lt;="&amp;DaybyDay[[#This Row],[Date]])</f>
        <v>0</v>
      </c>
      <c r="P443" s="33">
        <f>SUMIFS(DaybyDay[Retail-Budgets],DaybyDay[Date],"&gt;="&amp;$C$5,DaybyDay[RowYear],"&gt;="&amp;$C$4,DaybyDay[Date],"&lt;="&amp;DaybyDay[[#This Row],[Date]])</f>
        <v>0</v>
      </c>
      <c r="Q443" s="34">
        <f>SUMIFS(DaybyDay[Service-Actuals],DaybyDay[Date],"&gt;="&amp;$C$5,DaybyDay[RowYear],"&gt;="&amp;$C$4,DaybyDay[Date],"&lt;="&amp;DaybyDay[[#This Row],[Date]])</f>
        <v>0</v>
      </c>
      <c r="R443" s="34">
        <f>SUMIFS(DaybyDay[Retail-Actuals],DaybyDay[Date],"&gt;="&amp;$C$5,DaybyDay[RowYear],"&gt;="&amp;$C$4,DaybyDay[Date],"&lt;="&amp;DaybyDay[[#This Row],[Date]])</f>
        <v>0</v>
      </c>
      <c r="S443" s="35">
        <f>SUMIFS(DaybyDay[Service-LY],DaybyDay[Date],"&gt;="&amp;$C$5,DaybyDay[RowYear],"&gt;="&amp;$C$4,DaybyDay[Date],"&lt;="&amp;DaybyDay[[#This Row],[Date]])</f>
        <v>0</v>
      </c>
      <c r="T443" s="35">
        <f>SUMIFS(DaybyDay[Retail-LY],DaybyDay[Date],"&gt;="&amp;$C$5,DaybyDay[RowYear],"&gt;="&amp;$C$4,DaybyDay[Date],"&lt;="&amp;DaybyDay[[#This Row],[Date]])</f>
        <v>0</v>
      </c>
      <c r="U443" s="32">
        <f>DaybyDay[[#This Row],[Serv-Bud-RU]]+DaybyDay[[#This Row],[Ret-Bud-RU]]</f>
        <v>0</v>
      </c>
      <c r="V443" s="32">
        <f>DaybyDay[[#This Row],[Serv-Act-RU]]+DaybyDay[[#This Row],[Ret-Act-RU]]</f>
        <v>0</v>
      </c>
      <c r="W443" s="36">
        <f>IF(DaybyDay[[#This Row],[_Space]],IFERROR(
((DaybyDay[[#This Row],[Actual-Rollup]]-DaybyDay[[#This Row],[Budget-Rollup]])/DaybyDay[[#This Row],[Budget-Rollup]]),0),"")</f>
        <v>0</v>
      </c>
      <c r="X443" t="b">
        <f>NOT(AND(ISBLANK(DaybyDay[[#This Row],[Appts]]),ISBLANK(DaybyDay[[#This Row],[Service-Actuals]]),ISBLANK(DaybyDay[[#This Row],[Retail-Actuals]])))</f>
        <v>1</v>
      </c>
      <c r="Y443" s="36">
        <f>IF(DaybyDay[[#This Row],[_Space]],IFERROR(
((DaybyDay[[#This Row],[Actual-Rollup]]-DaybyDay[[#This Row],[LY-Rollup]])/DaybyDay[[#This Row],[LY-Rollup]]),0),"")</f>
        <v>0</v>
      </c>
      <c r="Z443"/>
      <c r="AA443" s="37" t="e">
        <f>IF(DaybyDay[[#This Row],[_Space]],DaybyDay[[#This Row],[Ret-Act-RU]]/DaybyDay[[#This Row],[Serv-Act-RU]],"")</f>
        <v>#DIV/0!</v>
      </c>
      <c r="AB443" s="50" t="e">
        <f>IF(DaybyDay[[#This Row],[_Space]],DaybyDay[[#This Row],[RETPEN-Act]]/DaybyDay[[#This Row],[RETPEN-Bud]],"")</f>
        <v>#DIV/0!</v>
      </c>
      <c r="AC443" s="37" t="e">
        <f>IF(DaybyDay[[#This Row],[_Space]],DaybyDay[[#This Row],[Ret-Bud-RU]]/DaybyDay[[#This Row],[Serv-Bud-RU]],"")</f>
        <v>#DIV/0!</v>
      </c>
      <c r="AD443" s="37" t="e">
        <f>IF(DaybyDay[[#This Row],[_Space]],DaybyDay[[#This Row],[Ret-LY-RU]]/DaybyDay[[#This Row],[Serv-LY-RU]],"")</f>
        <v>#DIV/0!</v>
      </c>
      <c r="AE443" s="30">
        <f>WEEKDAY(DaybyDay[[#This Row],[LY-Date]])</f>
        <v>3</v>
      </c>
      <c r="AF443" s="38">
        <f>$E$2+_xlfn.DAYS(DaybyDay[[#This Row],[Date]],minDate)</f>
        <v>42808</v>
      </c>
      <c r="AG443" s="39" cm="1">
        <f t="array" ref="AG443">IFERROR(INDEX(DaybyDay[],DaybyDay[[#This Row],[FORM_MATCH_HELPER]],8),"")</f>
        <v>17</v>
      </c>
      <c r="AH443" s="39" cm="1">
        <f t="array" ref="AH443">IFERROR(INDEX(DaybyDay[],DaybyDay[[#This Row],[FORM_MATCH_HELPER]],10),"")</f>
        <v>4430</v>
      </c>
      <c r="AI443" s="39" cm="1">
        <f t="array" ref="AI443">IFERROR(INDEX(DaybyDay[],DaybyDay[[#This Row],[FORM_MATCH_HELPER]],12),"")</f>
        <v>1890</v>
      </c>
      <c r="AJ443" s="32">
        <f>IFERROR(DaybyDay[[#This Row],[Serv-LY-RU]]+DaybyDay[[#This Row],[Ret-LY-RU]],"")</f>
        <v>0</v>
      </c>
      <c r="AK4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3" s="77"/>
      <c r="AM443" s="40" t="str">
        <f>IF(DaybyDay[[#This Row],[Admin Hours]]&gt;0,DaybyDay[[#This Row],[Admin Hours]]*$AM$2+$AM$3,"")</f>
        <v/>
      </c>
      <c r="AN443" s="40">
        <f>SUMIFS(DaybyDay[Est-Admin-Payroll],DaybyDay[Date],"&gt;="&amp;$C$5,DaybyDay[RowYear],"&gt;="&amp;$C$4,DaybyDay[Date],"&lt;="&amp;DaybyDay[[#This Row],[Date]])</f>
        <v>0</v>
      </c>
      <c r="AO443" s="41" t="str">
        <f>IF(AND(DaybyDay[[#This Row],[_Space]],ISNUMBER(DaybyDay[[#This Row],[Admin Hours]])),DaybyDay[[#This Row],[Est-Admin-Payroll]]/(DaybyDay[[#This Row],[Service-Actuals]]+DaybyDay[[#This Row],[Retail-Actuals]]),"")</f>
        <v/>
      </c>
      <c r="AP443" s="41" t="e">
        <f>DaybyDay[[#This Row],[Estimated-Payroll-Rollup]]/DaybyDay[[#This Row],[Simple-Forecast]]</f>
        <v>#DIV/0!</v>
      </c>
      <c r="AQ4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3" s="77"/>
      <c r="AS443" s="40" t="str">
        <f>IF(DaybyDay[[#This Row],[Retail Hours]]&gt;0,DaybyDay[[#This Row],[Retail Hours]]*$AS$2,"")</f>
        <v/>
      </c>
      <c r="AT443" s="40">
        <f>SUMIFS(DaybyDay[Est-Retail-Payroll],DaybyDay[Date],"&gt;="&amp;$C$5,DaybyDay[RowYear],"&gt;="&amp;$C$4,DaybyDay[Date],"&lt;="&amp;DaybyDay[[#This Row],[Date]])</f>
        <v>0</v>
      </c>
      <c r="AU443" s="82" t="str">
        <f>IF(AND(DaybyDay[[#This Row],[_Space]],ISNUMBER(DaybyDay[[#This Row],[Retail Hours]])),DaybyDay[[#This Row],[Est-Retail-Payroll]]/(DaybyDay[[#This Row],[Retail-Actuals]]),"")</f>
        <v/>
      </c>
      <c r="AV443" s="82" t="e">
        <f>DaybyDay[[#This Row],[Est-Retail-PayrollRU]]/DaybyDay[[#This Row],[Simple-Forecast-Retail]]</f>
        <v>#DIV/0!</v>
      </c>
      <c r="AW443" s="8"/>
    </row>
    <row r="444" spans="3:49" hidden="1" x14ac:dyDescent="0.25">
      <c r="C444" s="26" t="str">
        <f>Tools!$C$1</f>
        <v>Example</v>
      </c>
      <c r="D444" s="27" t="s">
        <v>70</v>
      </c>
      <c r="E444" s="28">
        <v>2018</v>
      </c>
      <c r="F444" s="28">
        <f>MATCH(DaybyDay[[#This Row],[RowMonth]],Table3[SummaryMonth],0)</f>
        <v>3</v>
      </c>
      <c r="G444" s="29">
        <f>MATCH(DaybyDay[[#This Row],[LY-Date]],DaybyDay[Date],0)</f>
        <v>74</v>
      </c>
      <c r="H444" s="30">
        <f>WEEKDAY(DaybyDay[[#This Row],[Date]])</f>
        <v>4</v>
      </c>
      <c r="I444" s="31">
        <v>43173</v>
      </c>
      <c r="J444" s="74">
        <v>29</v>
      </c>
      <c r="K444" s="32">
        <f>SUMIFS(BudgetSeasonality[365 Seasonality],BudgetSeasonality[MonthAdjustment],DaybyDay[[#This Row],[Date]])*SUMIFS(Budgets[Service-Budget],Budgets[BudgetMonth],DaybyDay[[#This Row],[RowMonth]],Budgets[BudgetYear],DaybyDay[[#This Row],[RowYear]])</f>
        <v>4348.5350556489248</v>
      </c>
      <c r="L444" s="75">
        <v>6076</v>
      </c>
      <c r="M444" s="32">
        <f>INDEX(BudgetSeasonality[365 Seasonality],MATCH(DaybyDay[[#This Row],[Date]],BudgetSeasonality[MonthAdjustment],0))*SUMIFS(Budgets[Retail-Budget],Budgets[BudgetMonth],DaybyDay[[#This Row],[RowMonth]],Budgets[BudgetYear],DaybyDay[[#This Row],[RowYear]])</f>
        <v>1305.9884266649588</v>
      </c>
      <c r="N444" s="75">
        <v>1420.17</v>
      </c>
      <c r="O444" s="33">
        <f>SUMIFS(DaybyDay[Service-Budgets],DaybyDay[Date],"&gt;="&amp;$C$5,DaybyDay[RowYear],"&gt;="&amp;$C$4,DaybyDay[Date],"&lt;="&amp;DaybyDay[[#This Row],[Date]])</f>
        <v>0</v>
      </c>
      <c r="P444" s="33">
        <f>SUMIFS(DaybyDay[Retail-Budgets],DaybyDay[Date],"&gt;="&amp;$C$5,DaybyDay[RowYear],"&gt;="&amp;$C$4,DaybyDay[Date],"&lt;="&amp;DaybyDay[[#This Row],[Date]])</f>
        <v>0</v>
      </c>
      <c r="Q444" s="34">
        <f>SUMIFS(DaybyDay[Service-Actuals],DaybyDay[Date],"&gt;="&amp;$C$5,DaybyDay[RowYear],"&gt;="&amp;$C$4,DaybyDay[Date],"&lt;="&amp;DaybyDay[[#This Row],[Date]])</f>
        <v>0</v>
      </c>
      <c r="R444" s="34">
        <f>SUMIFS(DaybyDay[Retail-Actuals],DaybyDay[Date],"&gt;="&amp;$C$5,DaybyDay[RowYear],"&gt;="&amp;$C$4,DaybyDay[Date],"&lt;="&amp;DaybyDay[[#This Row],[Date]])</f>
        <v>0</v>
      </c>
      <c r="S444" s="35">
        <f>SUMIFS(DaybyDay[Service-LY],DaybyDay[Date],"&gt;="&amp;$C$5,DaybyDay[RowYear],"&gt;="&amp;$C$4,DaybyDay[Date],"&lt;="&amp;DaybyDay[[#This Row],[Date]])</f>
        <v>0</v>
      </c>
      <c r="T444" s="35">
        <f>SUMIFS(DaybyDay[Retail-LY],DaybyDay[Date],"&gt;="&amp;$C$5,DaybyDay[RowYear],"&gt;="&amp;$C$4,DaybyDay[Date],"&lt;="&amp;DaybyDay[[#This Row],[Date]])</f>
        <v>0</v>
      </c>
      <c r="U444" s="32">
        <f>DaybyDay[[#This Row],[Serv-Bud-RU]]+DaybyDay[[#This Row],[Ret-Bud-RU]]</f>
        <v>0</v>
      </c>
      <c r="V444" s="32">
        <f>DaybyDay[[#This Row],[Serv-Act-RU]]+DaybyDay[[#This Row],[Ret-Act-RU]]</f>
        <v>0</v>
      </c>
      <c r="W444" s="36">
        <f>IF(DaybyDay[[#This Row],[_Space]],IFERROR(
((DaybyDay[[#This Row],[Actual-Rollup]]-DaybyDay[[#This Row],[Budget-Rollup]])/DaybyDay[[#This Row],[Budget-Rollup]]),0),"")</f>
        <v>0</v>
      </c>
      <c r="X444" t="b">
        <f>NOT(AND(ISBLANK(DaybyDay[[#This Row],[Appts]]),ISBLANK(DaybyDay[[#This Row],[Service-Actuals]]),ISBLANK(DaybyDay[[#This Row],[Retail-Actuals]])))</f>
        <v>1</v>
      </c>
      <c r="Y444" s="36">
        <f>IF(DaybyDay[[#This Row],[_Space]],IFERROR(
((DaybyDay[[#This Row],[Actual-Rollup]]-DaybyDay[[#This Row],[LY-Rollup]])/DaybyDay[[#This Row],[LY-Rollup]]),0),"")</f>
        <v>0</v>
      </c>
      <c r="Z444"/>
      <c r="AA444" s="37" t="e">
        <f>IF(DaybyDay[[#This Row],[_Space]],DaybyDay[[#This Row],[Ret-Act-RU]]/DaybyDay[[#This Row],[Serv-Act-RU]],"")</f>
        <v>#DIV/0!</v>
      </c>
      <c r="AB444" s="50" t="e">
        <f>IF(DaybyDay[[#This Row],[_Space]],DaybyDay[[#This Row],[RETPEN-Act]]/DaybyDay[[#This Row],[RETPEN-Bud]],"")</f>
        <v>#DIV/0!</v>
      </c>
      <c r="AC444" s="37" t="e">
        <f>IF(DaybyDay[[#This Row],[_Space]],DaybyDay[[#This Row],[Ret-Bud-RU]]/DaybyDay[[#This Row],[Serv-Bud-RU]],"")</f>
        <v>#DIV/0!</v>
      </c>
      <c r="AD444" s="37" t="e">
        <f>IF(DaybyDay[[#This Row],[_Space]],DaybyDay[[#This Row],[Ret-LY-RU]]/DaybyDay[[#This Row],[Serv-LY-RU]],"")</f>
        <v>#DIV/0!</v>
      </c>
      <c r="AE444" s="30">
        <f>WEEKDAY(DaybyDay[[#This Row],[LY-Date]])</f>
        <v>4</v>
      </c>
      <c r="AF444" s="38">
        <f>$E$2+_xlfn.DAYS(DaybyDay[[#This Row],[Date]],minDate)</f>
        <v>42809</v>
      </c>
      <c r="AG444" s="39" cm="1">
        <f t="array" ref="AG444">IFERROR(INDEX(DaybyDay[],DaybyDay[[#This Row],[FORM_MATCH_HELPER]],8),"")</f>
        <v>18</v>
      </c>
      <c r="AH444" s="39" cm="1">
        <f t="array" ref="AH444">IFERROR(INDEX(DaybyDay[],DaybyDay[[#This Row],[FORM_MATCH_HELPER]],10),"")</f>
        <v>2418.4</v>
      </c>
      <c r="AI444" s="39" cm="1">
        <f t="array" ref="AI444">IFERROR(INDEX(DaybyDay[],DaybyDay[[#This Row],[FORM_MATCH_HELPER]],12),"")</f>
        <v>69</v>
      </c>
      <c r="AJ444" s="32">
        <f>IFERROR(DaybyDay[[#This Row],[Serv-LY-RU]]+DaybyDay[[#This Row],[Ret-LY-RU]],"")</f>
        <v>0</v>
      </c>
      <c r="AK4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4" s="77"/>
      <c r="AM444" s="40" t="str">
        <f>IF(DaybyDay[[#This Row],[Admin Hours]]&gt;0,DaybyDay[[#This Row],[Admin Hours]]*$AM$2+$AM$3,"")</f>
        <v/>
      </c>
      <c r="AN444" s="40">
        <f>SUMIFS(DaybyDay[Est-Admin-Payroll],DaybyDay[Date],"&gt;="&amp;$C$5,DaybyDay[RowYear],"&gt;="&amp;$C$4,DaybyDay[Date],"&lt;="&amp;DaybyDay[[#This Row],[Date]])</f>
        <v>0</v>
      </c>
      <c r="AO444" s="41" t="str">
        <f>IF(AND(DaybyDay[[#This Row],[_Space]],ISNUMBER(DaybyDay[[#This Row],[Admin Hours]])),DaybyDay[[#This Row],[Est-Admin-Payroll]]/(DaybyDay[[#This Row],[Service-Actuals]]+DaybyDay[[#This Row],[Retail-Actuals]]),"")</f>
        <v/>
      </c>
      <c r="AP444" s="41" t="e">
        <f>DaybyDay[[#This Row],[Estimated-Payroll-Rollup]]/DaybyDay[[#This Row],[Simple-Forecast]]</f>
        <v>#DIV/0!</v>
      </c>
      <c r="AQ4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4" s="77"/>
      <c r="AS444" s="40" t="str">
        <f>IF(DaybyDay[[#This Row],[Retail Hours]]&gt;0,DaybyDay[[#This Row],[Retail Hours]]*$AS$2,"")</f>
        <v/>
      </c>
      <c r="AT444" s="40">
        <f>SUMIFS(DaybyDay[Est-Retail-Payroll],DaybyDay[Date],"&gt;="&amp;$C$5,DaybyDay[RowYear],"&gt;="&amp;$C$4,DaybyDay[Date],"&lt;="&amp;DaybyDay[[#This Row],[Date]])</f>
        <v>0</v>
      </c>
      <c r="AU444" s="82" t="str">
        <f>IF(AND(DaybyDay[[#This Row],[_Space]],ISNUMBER(DaybyDay[[#This Row],[Retail Hours]])),DaybyDay[[#This Row],[Est-Retail-Payroll]]/(DaybyDay[[#This Row],[Retail-Actuals]]),"")</f>
        <v/>
      </c>
      <c r="AV444" s="82" t="e">
        <f>DaybyDay[[#This Row],[Est-Retail-PayrollRU]]/DaybyDay[[#This Row],[Simple-Forecast-Retail]]</f>
        <v>#DIV/0!</v>
      </c>
      <c r="AW444" s="8"/>
    </row>
    <row r="445" spans="3:49" hidden="1" x14ac:dyDescent="0.25">
      <c r="C445" s="26" t="str">
        <f>Tools!$C$1</f>
        <v>Example</v>
      </c>
      <c r="D445" s="27" t="s">
        <v>70</v>
      </c>
      <c r="E445" s="28">
        <v>2018</v>
      </c>
      <c r="F445" s="28">
        <f>MATCH(DaybyDay[[#This Row],[RowMonth]],Table3[SummaryMonth],0)</f>
        <v>3</v>
      </c>
      <c r="G445" s="29">
        <f>MATCH(DaybyDay[[#This Row],[LY-Date]],DaybyDay[Date],0)</f>
        <v>75</v>
      </c>
      <c r="H445" s="30">
        <f>WEEKDAY(DaybyDay[[#This Row],[Date]])</f>
        <v>5</v>
      </c>
      <c r="I445" s="31">
        <v>43174</v>
      </c>
      <c r="J445" s="74">
        <v>23</v>
      </c>
      <c r="K445" s="32">
        <f>SUMIFS(BudgetSeasonality[365 Seasonality],BudgetSeasonality[MonthAdjustment],DaybyDay[[#This Row],[Date]])*SUMIFS(Budgets[Service-Budget],Budgets[BudgetMonth],DaybyDay[[#This Row],[RowMonth]],Budgets[BudgetYear],DaybyDay[[#This Row],[RowYear]])</f>
        <v>4584.8805074671354</v>
      </c>
      <c r="L445" s="75">
        <v>3973</v>
      </c>
      <c r="M445" s="32">
        <f>INDEX(BudgetSeasonality[365 Seasonality],MATCH(DaybyDay[[#This Row],[Date]],BudgetSeasonality[MonthAdjustment],0))*SUMIFS(Budgets[Retail-Budget],Budgets[BudgetMonth],DaybyDay[[#This Row],[RowMonth]],Budgets[BudgetYear],DaybyDay[[#This Row],[RowYear]])</f>
        <v>1376.9696699617136</v>
      </c>
      <c r="N445" s="75">
        <v>2489.5</v>
      </c>
      <c r="O445" s="33">
        <f>SUMIFS(DaybyDay[Service-Budgets],DaybyDay[Date],"&gt;="&amp;$C$5,DaybyDay[RowYear],"&gt;="&amp;$C$4,DaybyDay[Date],"&lt;="&amp;DaybyDay[[#This Row],[Date]])</f>
        <v>0</v>
      </c>
      <c r="P445" s="33">
        <f>SUMIFS(DaybyDay[Retail-Budgets],DaybyDay[Date],"&gt;="&amp;$C$5,DaybyDay[RowYear],"&gt;="&amp;$C$4,DaybyDay[Date],"&lt;="&amp;DaybyDay[[#This Row],[Date]])</f>
        <v>0</v>
      </c>
      <c r="Q445" s="34">
        <f>SUMIFS(DaybyDay[Service-Actuals],DaybyDay[Date],"&gt;="&amp;$C$5,DaybyDay[RowYear],"&gt;="&amp;$C$4,DaybyDay[Date],"&lt;="&amp;DaybyDay[[#This Row],[Date]])</f>
        <v>0</v>
      </c>
      <c r="R445" s="34">
        <f>SUMIFS(DaybyDay[Retail-Actuals],DaybyDay[Date],"&gt;="&amp;$C$5,DaybyDay[RowYear],"&gt;="&amp;$C$4,DaybyDay[Date],"&lt;="&amp;DaybyDay[[#This Row],[Date]])</f>
        <v>0</v>
      </c>
      <c r="S445" s="35">
        <f>SUMIFS(DaybyDay[Service-LY],DaybyDay[Date],"&gt;="&amp;$C$5,DaybyDay[RowYear],"&gt;="&amp;$C$4,DaybyDay[Date],"&lt;="&amp;DaybyDay[[#This Row],[Date]])</f>
        <v>0</v>
      </c>
      <c r="T445" s="35">
        <f>SUMIFS(DaybyDay[Retail-LY],DaybyDay[Date],"&gt;="&amp;$C$5,DaybyDay[RowYear],"&gt;="&amp;$C$4,DaybyDay[Date],"&lt;="&amp;DaybyDay[[#This Row],[Date]])</f>
        <v>0</v>
      </c>
      <c r="U445" s="32">
        <f>DaybyDay[[#This Row],[Serv-Bud-RU]]+DaybyDay[[#This Row],[Ret-Bud-RU]]</f>
        <v>0</v>
      </c>
      <c r="V445" s="32">
        <f>DaybyDay[[#This Row],[Serv-Act-RU]]+DaybyDay[[#This Row],[Ret-Act-RU]]</f>
        <v>0</v>
      </c>
      <c r="W445" s="36">
        <f>IF(DaybyDay[[#This Row],[_Space]],IFERROR(
((DaybyDay[[#This Row],[Actual-Rollup]]-DaybyDay[[#This Row],[Budget-Rollup]])/DaybyDay[[#This Row],[Budget-Rollup]]),0),"")</f>
        <v>0</v>
      </c>
      <c r="X445" t="b">
        <f>NOT(AND(ISBLANK(DaybyDay[[#This Row],[Appts]]),ISBLANK(DaybyDay[[#This Row],[Service-Actuals]]),ISBLANK(DaybyDay[[#This Row],[Retail-Actuals]])))</f>
        <v>1</v>
      </c>
      <c r="Y445" s="36">
        <f>IF(DaybyDay[[#This Row],[_Space]],IFERROR(
((DaybyDay[[#This Row],[Actual-Rollup]]-DaybyDay[[#This Row],[LY-Rollup]])/DaybyDay[[#This Row],[LY-Rollup]]),0),"")</f>
        <v>0</v>
      </c>
      <c r="Z445"/>
      <c r="AA445" s="37" t="e">
        <f>IF(DaybyDay[[#This Row],[_Space]],DaybyDay[[#This Row],[Ret-Act-RU]]/DaybyDay[[#This Row],[Serv-Act-RU]],"")</f>
        <v>#DIV/0!</v>
      </c>
      <c r="AB445" s="50" t="e">
        <f>IF(DaybyDay[[#This Row],[_Space]],DaybyDay[[#This Row],[RETPEN-Act]]/DaybyDay[[#This Row],[RETPEN-Bud]],"")</f>
        <v>#DIV/0!</v>
      </c>
      <c r="AC445" s="37" t="e">
        <f>IF(DaybyDay[[#This Row],[_Space]],DaybyDay[[#This Row],[Ret-Bud-RU]]/DaybyDay[[#This Row],[Serv-Bud-RU]],"")</f>
        <v>#DIV/0!</v>
      </c>
      <c r="AD445" s="37" t="e">
        <f>IF(DaybyDay[[#This Row],[_Space]],DaybyDay[[#This Row],[Ret-LY-RU]]/DaybyDay[[#This Row],[Serv-LY-RU]],"")</f>
        <v>#DIV/0!</v>
      </c>
      <c r="AE445" s="30">
        <f>WEEKDAY(DaybyDay[[#This Row],[LY-Date]])</f>
        <v>5</v>
      </c>
      <c r="AF445" s="38">
        <f>$E$2+_xlfn.DAYS(DaybyDay[[#This Row],[Date]],minDate)</f>
        <v>42810</v>
      </c>
      <c r="AG445" s="39" cm="1">
        <f t="array" ref="AG445">IFERROR(INDEX(DaybyDay[],DaybyDay[[#This Row],[FORM_MATCH_HELPER]],8),"")</f>
        <v>15</v>
      </c>
      <c r="AH445" s="39" cm="1">
        <f t="array" ref="AH445">IFERROR(INDEX(DaybyDay[],DaybyDay[[#This Row],[FORM_MATCH_HELPER]],10),"")</f>
        <v>3231</v>
      </c>
      <c r="AI445" s="39" cm="1">
        <f t="array" ref="AI445">IFERROR(INDEX(DaybyDay[],DaybyDay[[#This Row],[FORM_MATCH_HELPER]],12),"")</f>
        <v>77.75</v>
      </c>
      <c r="AJ445" s="32">
        <f>IFERROR(DaybyDay[[#This Row],[Serv-LY-RU]]+DaybyDay[[#This Row],[Ret-LY-RU]],"")</f>
        <v>0</v>
      </c>
      <c r="AK4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5" s="77"/>
      <c r="AM445" s="40" t="str">
        <f>IF(DaybyDay[[#This Row],[Admin Hours]]&gt;0,DaybyDay[[#This Row],[Admin Hours]]*$AM$2+$AM$3,"")</f>
        <v/>
      </c>
      <c r="AN445" s="40">
        <f>SUMIFS(DaybyDay[Est-Admin-Payroll],DaybyDay[Date],"&gt;="&amp;$C$5,DaybyDay[RowYear],"&gt;="&amp;$C$4,DaybyDay[Date],"&lt;="&amp;DaybyDay[[#This Row],[Date]])</f>
        <v>0</v>
      </c>
      <c r="AO445" s="41" t="str">
        <f>IF(AND(DaybyDay[[#This Row],[_Space]],ISNUMBER(DaybyDay[[#This Row],[Admin Hours]])),DaybyDay[[#This Row],[Est-Admin-Payroll]]/(DaybyDay[[#This Row],[Service-Actuals]]+DaybyDay[[#This Row],[Retail-Actuals]]),"")</f>
        <v/>
      </c>
      <c r="AP445" s="41" t="e">
        <f>DaybyDay[[#This Row],[Estimated-Payroll-Rollup]]/DaybyDay[[#This Row],[Simple-Forecast]]</f>
        <v>#DIV/0!</v>
      </c>
      <c r="AQ4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5" s="77"/>
      <c r="AS445" s="40" t="str">
        <f>IF(DaybyDay[[#This Row],[Retail Hours]]&gt;0,DaybyDay[[#This Row],[Retail Hours]]*$AS$2,"")</f>
        <v/>
      </c>
      <c r="AT445" s="40">
        <f>SUMIFS(DaybyDay[Est-Retail-Payroll],DaybyDay[Date],"&gt;="&amp;$C$5,DaybyDay[RowYear],"&gt;="&amp;$C$4,DaybyDay[Date],"&lt;="&amp;DaybyDay[[#This Row],[Date]])</f>
        <v>0</v>
      </c>
      <c r="AU445" s="82" t="str">
        <f>IF(AND(DaybyDay[[#This Row],[_Space]],ISNUMBER(DaybyDay[[#This Row],[Retail Hours]])),DaybyDay[[#This Row],[Est-Retail-Payroll]]/(DaybyDay[[#This Row],[Retail-Actuals]]),"")</f>
        <v/>
      </c>
      <c r="AV445" s="82" t="e">
        <f>DaybyDay[[#This Row],[Est-Retail-PayrollRU]]/DaybyDay[[#This Row],[Simple-Forecast-Retail]]</f>
        <v>#DIV/0!</v>
      </c>
      <c r="AW445" s="8"/>
    </row>
    <row r="446" spans="3:49" hidden="1" x14ac:dyDescent="0.25">
      <c r="C446" s="26" t="str">
        <f>Tools!$C$1</f>
        <v>Example</v>
      </c>
      <c r="D446" s="27" t="s">
        <v>70</v>
      </c>
      <c r="E446" s="28">
        <v>2018</v>
      </c>
      <c r="F446" s="28">
        <f>MATCH(DaybyDay[[#This Row],[RowMonth]],Table3[SummaryMonth],0)</f>
        <v>3</v>
      </c>
      <c r="G446" s="29">
        <f>MATCH(DaybyDay[[#This Row],[LY-Date]],DaybyDay[Date],0)</f>
        <v>76</v>
      </c>
      <c r="H446" s="30">
        <f>WEEKDAY(DaybyDay[[#This Row],[Date]])</f>
        <v>6</v>
      </c>
      <c r="I446" s="31">
        <v>43175</v>
      </c>
      <c r="J446" s="74">
        <v>31</v>
      </c>
      <c r="K446" s="32">
        <f>SUMIFS(BudgetSeasonality[365 Seasonality],BudgetSeasonality[MonthAdjustment],DaybyDay[[#This Row],[Date]])*SUMIFS(Budgets[Service-Budget],Budgets[BudgetMonth],DaybyDay[[#This Row],[RowMonth]],Budgets[BudgetYear],DaybyDay[[#This Row],[RowYear]])</f>
        <v>5823.0579226638092</v>
      </c>
      <c r="L446" s="75">
        <v>5900.5</v>
      </c>
      <c r="M446" s="32">
        <f>INDEX(BudgetSeasonality[365 Seasonality],MATCH(DaybyDay[[#This Row],[Date]],BudgetSeasonality[MonthAdjustment],0))*SUMIFS(Budgets[Retail-Budget],Budgets[BudgetMonth],DaybyDay[[#This Row],[RowMonth]],Budgets[BudgetYear],DaybyDay[[#This Row],[RowYear]])</f>
        <v>1748.8294695749607</v>
      </c>
      <c r="N446" s="75">
        <v>704.2</v>
      </c>
      <c r="O446" s="33">
        <f>SUMIFS(DaybyDay[Service-Budgets],DaybyDay[Date],"&gt;="&amp;$C$5,DaybyDay[RowYear],"&gt;="&amp;$C$4,DaybyDay[Date],"&lt;="&amp;DaybyDay[[#This Row],[Date]])</f>
        <v>0</v>
      </c>
      <c r="P446" s="33">
        <f>SUMIFS(DaybyDay[Retail-Budgets],DaybyDay[Date],"&gt;="&amp;$C$5,DaybyDay[RowYear],"&gt;="&amp;$C$4,DaybyDay[Date],"&lt;="&amp;DaybyDay[[#This Row],[Date]])</f>
        <v>0</v>
      </c>
      <c r="Q446" s="34">
        <f>SUMIFS(DaybyDay[Service-Actuals],DaybyDay[Date],"&gt;="&amp;$C$5,DaybyDay[RowYear],"&gt;="&amp;$C$4,DaybyDay[Date],"&lt;="&amp;DaybyDay[[#This Row],[Date]])</f>
        <v>0</v>
      </c>
      <c r="R446" s="34">
        <f>SUMIFS(DaybyDay[Retail-Actuals],DaybyDay[Date],"&gt;="&amp;$C$5,DaybyDay[RowYear],"&gt;="&amp;$C$4,DaybyDay[Date],"&lt;="&amp;DaybyDay[[#This Row],[Date]])</f>
        <v>0</v>
      </c>
      <c r="S446" s="35">
        <f>SUMIFS(DaybyDay[Service-LY],DaybyDay[Date],"&gt;="&amp;$C$5,DaybyDay[RowYear],"&gt;="&amp;$C$4,DaybyDay[Date],"&lt;="&amp;DaybyDay[[#This Row],[Date]])</f>
        <v>0</v>
      </c>
      <c r="T446" s="35">
        <f>SUMIFS(DaybyDay[Retail-LY],DaybyDay[Date],"&gt;="&amp;$C$5,DaybyDay[RowYear],"&gt;="&amp;$C$4,DaybyDay[Date],"&lt;="&amp;DaybyDay[[#This Row],[Date]])</f>
        <v>0</v>
      </c>
      <c r="U446" s="32">
        <f>DaybyDay[[#This Row],[Serv-Bud-RU]]+DaybyDay[[#This Row],[Ret-Bud-RU]]</f>
        <v>0</v>
      </c>
      <c r="V446" s="32">
        <f>DaybyDay[[#This Row],[Serv-Act-RU]]+DaybyDay[[#This Row],[Ret-Act-RU]]</f>
        <v>0</v>
      </c>
      <c r="W446" s="36">
        <f>IF(DaybyDay[[#This Row],[_Space]],IFERROR(
((DaybyDay[[#This Row],[Actual-Rollup]]-DaybyDay[[#This Row],[Budget-Rollup]])/DaybyDay[[#This Row],[Budget-Rollup]]),0),"")</f>
        <v>0</v>
      </c>
      <c r="X446" t="b">
        <f>NOT(AND(ISBLANK(DaybyDay[[#This Row],[Appts]]),ISBLANK(DaybyDay[[#This Row],[Service-Actuals]]),ISBLANK(DaybyDay[[#This Row],[Retail-Actuals]])))</f>
        <v>1</v>
      </c>
      <c r="Y446" s="36">
        <f>IF(DaybyDay[[#This Row],[_Space]],IFERROR(
((DaybyDay[[#This Row],[Actual-Rollup]]-DaybyDay[[#This Row],[LY-Rollup]])/DaybyDay[[#This Row],[LY-Rollup]]),0),"")</f>
        <v>0</v>
      </c>
      <c r="Z446"/>
      <c r="AA446" s="37" t="e">
        <f>IF(DaybyDay[[#This Row],[_Space]],DaybyDay[[#This Row],[Ret-Act-RU]]/DaybyDay[[#This Row],[Serv-Act-RU]],"")</f>
        <v>#DIV/0!</v>
      </c>
      <c r="AB446" s="50" t="e">
        <f>IF(DaybyDay[[#This Row],[_Space]],DaybyDay[[#This Row],[RETPEN-Act]]/DaybyDay[[#This Row],[RETPEN-Bud]],"")</f>
        <v>#DIV/0!</v>
      </c>
      <c r="AC446" s="37" t="e">
        <f>IF(DaybyDay[[#This Row],[_Space]],DaybyDay[[#This Row],[Ret-Bud-RU]]/DaybyDay[[#This Row],[Serv-Bud-RU]],"")</f>
        <v>#DIV/0!</v>
      </c>
      <c r="AD446" s="37" t="e">
        <f>IF(DaybyDay[[#This Row],[_Space]],DaybyDay[[#This Row],[Ret-LY-RU]]/DaybyDay[[#This Row],[Serv-LY-RU]],"")</f>
        <v>#DIV/0!</v>
      </c>
      <c r="AE446" s="30">
        <f>WEEKDAY(DaybyDay[[#This Row],[LY-Date]])</f>
        <v>6</v>
      </c>
      <c r="AF446" s="38">
        <f>$E$2+_xlfn.DAYS(DaybyDay[[#This Row],[Date]],minDate)</f>
        <v>42811</v>
      </c>
      <c r="AG446" s="39" cm="1">
        <f t="array" ref="AG446">IFERROR(INDEX(DaybyDay[],DaybyDay[[#This Row],[FORM_MATCH_HELPER]],8),"")</f>
        <v>9</v>
      </c>
      <c r="AH446" s="39" cm="1">
        <f t="array" ref="AH446">IFERROR(INDEX(DaybyDay[],DaybyDay[[#This Row],[FORM_MATCH_HELPER]],10),"")</f>
        <v>2879.99</v>
      </c>
      <c r="AI446" s="39" cm="1">
        <f t="array" ref="AI446">IFERROR(INDEX(DaybyDay[],DaybyDay[[#This Row],[FORM_MATCH_HELPER]],12),"")</f>
        <v>2012.35</v>
      </c>
      <c r="AJ446" s="32">
        <f>IFERROR(DaybyDay[[#This Row],[Serv-LY-RU]]+DaybyDay[[#This Row],[Ret-LY-RU]],"")</f>
        <v>0</v>
      </c>
      <c r="AK4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6" s="77"/>
      <c r="AM446" s="40" t="str">
        <f>IF(DaybyDay[[#This Row],[Admin Hours]]&gt;0,DaybyDay[[#This Row],[Admin Hours]]*$AM$2+$AM$3,"")</f>
        <v/>
      </c>
      <c r="AN446" s="40">
        <f>SUMIFS(DaybyDay[Est-Admin-Payroll],DaybyDay[Date],"&gt;="&amp;$C$5,DaybyDay[RowYear],"&gt;="&amp;$C$4,DaybyDay[Date],"&lt;="&amp;DaybyDay[[#This Row],[Date]])</f>
        <v>0</v>
      </c>
      <c r="AO446" s="41" t="str">
        <f>IF(AND(DaybyDay[[#This Row],[_Space]],ISNUMBER(DaybyDay[[#This Row],[Admin Hours]])),DaybyDay[[#This Row],[Est-Admin-Payroll]]/(DaybyDay[[#This Row],[Service-Actuals]]+DaybyDay[[#This Row],[Retail-Actuals]]),"")</f>
        <v/>
      </c>
      <c r="AP446" s="41" t="e">
        <f>DaybyDay[[#This Row],[Estimated-Payroll-Rollup]]/DaybyDay[[#This Row],[Simple-Forecast]]</f>
        <v>#DIV/0!</v>
      </c>
      <c r="AQ4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6" s="77"/>
      <c r="AS446" s="40" t="str">
        <f>IF(DaybyDay[[#This Row],[Retail Hours]]&gt;0,DaybyDay[[#This Row],[Retail Hours]]*$AS$2,"")</f>
        <v/>
      </c>
      <c r="AT446" s="40">
        <f>SUMIFS(DaybyDay[Est-Retail-Payroll],DaybyDay[Date],"&gt;="&amp;$C$5,DaybyDay[RowYear],"&gt;="&amp;$C$4,DaybyDay[Date],"&lt;="&amp;DaybyDay[[#This Row],[Date]])</f>
        <v>0</v>
      </c>
      <c r="AU446" s="82" t="str">
        <f>IF(AND(DaybyDay[[#This Row],[_Space]],ISNUMBER(DaybyDay[[#This Row],[Retail Hours]])),DaybyDay[[#This Row],[Est-Retail-Payroll]]/(DaybyDay[[#This Row],[Retail-Actuals]]),"")</f>
        <v/>
      </c>
      <c r="AV446" s="82" t="e">
        <f>DaybyDay[[#This Row],[Est-Retail-PayrollRU]]/DaybyDay[[#This Row],[Simple-Forecast-Retail]]</f>
        <v>#DIV/0!</v>
      </c>
      <c r="AW446" s="8"/>
    </row>
    <row r="447" spans="3:49" hidden="1" x14ac:dyDescent="0.25">
      <c r="C447" s="26" t="str">
        <f>Tools!$C$1</f>
        <v>Example</v>
      </c>
      <c r="D447" s="27" t="s">
        <v>70</v>
      </c>
      <c r="E447" s="28">
        <v>2018</v>
      </c>
      <c r="F447" s="28">
        <f>MATCH(DaybyDay[[#This Row],[RowMonth]],Table3[SummaryMonth],0)</f>
        <v>3</v>
      </c>
      <c r="G447" s="29">
        <f>MATCH(DaybyDay[[#This Row],[LY-Date]],DaybyDay[Date],0)</f>
        <v>77</v>
      </c>
      <c r="H447" s="30">
        <f>WEEKDAY(DaybyDay[[#This Row],[Date]])</f>
        <v>7</v>
      </c>
      <c r="I447" s="31">
        <v>43176</v>
      </c>
      <c r="J447" s="74">
        <v>47</v>
      </c>
      <c r="K447" s="32">
        <f>SUMIFS(BudgetSeasonality[365 Seasonality],BudgetSeasonality[MonthAdjustment],DaybyDay[[#This Row],[Date]])*SUMIFS(Budgets[Service-Budget],Budgets[BudgetMonth],DaybyDay[[#This Row],[RowMonth]],Budgets[BudgetYear],DaybyDay[[#This Row],[RowYear]])</f>
        <v>8317.6190801126795</v>
      </c>
      <c r="L447" s="75">
        <v>8106</v>
      </c>
      <c r="M447" s="32">
        <f>INDEX(BudgetSeasonality[365 Seasonality],MATCH(DaybyDay[[#This Row],[Date]],BudgetSeasonality[MonthAdjustment],0))*SUMIFS(Budgets[Retail-Budget],Budgets[BudgetMonth],DaybyDay[[#This Row],[RowMonth]],Budgets[BudgetYear],DaybyDay[[#This Row],[RowYear]])</f>
        <v>2498.0169452523305</v>
      </c>
      <c r="N447" s="75">
        <v>113</v>
      </c>
      <c r="O447" s="33">
        <f>SUMIFS(DaybyDay[Service-Budgets],DaybyDay[Date],"&gt;="&amp;$C$5,DaybyDay[RowYear],"&gt;="&amp;$C$4,DaybyDay[Date],"&lt;="&amp;DaybyDay[[#This Row],[Date]])</f>
        <v>0</v>
      </c>
      <c r="P447" s="33">
        <f>SUMIFS(DaybyDay[Retail-Budgets],DaybyDay[Date],"&gt;="&amp;$C$5,DaybyDay[RowYear],"&gt;="&amp;$C$4,DaybyDay[Date],"&lt;="&amp;DaybyDay[[#This Row],[Date]])</f>
        <v>0</v>
      </c>
      <c r="Q447" s="34">
        <f>SUMIFS(DaybyDay[Service-Actuals],DaybyDay[Date],"&gt;="&amp;$C$5,DaybyDay[RowYear],"&gt;="&amp;$C$4,DaybyDay[Date],"&lt;="&amp;DaybyDay[[#This Row],[Date]])</f>
        <v>0</v>
      </c>
      <c r="R447" s="34">
        <f>SUMIFS(DaybyDay[Retail-Actuals],DaybyDay[Date],"&gt;="&amp;$C$5,DaybyDay[RowYear],"&gt;="&amp;$C$4,DaybyDay[Date],"&lt;="&amp;DaybyDay[[#This Row],[Date]])</f>
        <v>0</v>
      </c>
      <c r="S447" s="35">
        <f>SUMIFS(DaybyDay[Service-LY],DaybyDay[Date],"&gt;="&amp;$C$5,DaybyDay[RowYear],"&gt;="&amp;$C$4,DaybyDay[Date],"&lt;="&amp;DaybyDay[[#This Row],[Date]])</f>
        <v>0</v>
      </c>
      <c r="T447" s="35">
        <f>SUMIFS(DaybyDay[Retail-LY],DaybyDay[Date],"&gt;="&amp;$C$5,DaybyDay[RowYear],"&gt;="&amp;$C$4,DaybyDay[Date],"&lt;="&amp;DaybyDay[[#This Row],[Date]])</f>
        <v>0</v>
      </c>
      <c r="U447" s="32">
        <f>DaybyDay[[#This Row],[Serv-Bud-RU]]+DaybyDay[[#This Row],[Ret-Bud-RU]]</f>
        <v>0</v>
      </c>
      <c r="V447" s="32">
        <f>DaybyDay[[#This Row],[Serv-Act-RU]]+DaybyDay[[#This Row],[Ret-Act-RU]]</f>
        <v>0</v>
      </c>
      <c r="W447" s="36">
        <f>IF(DaybyDay[[#This Row],[_Space]],IFERROR(
((DaybyDay[[#This Row],[Actual-Rollup]]-DaybyDay[[#This Row],[Budget-Rollup]])/DaybyDay[[#This Row],[Budget-Rollup]]),0),"")</f>
        <v>0</v>
      </c>
      <c r="X447" t="b">
        <f>NOT(AND(ISBLANK(DaybyDay[[#This Row],[Appts]]),ISBLANK(DaybyDay[[#This Row],[Service-Actuals]]),ISBLANK(DaybyDay[[#This Row],[Retail-Actuals]])))</f>
        <v>1</v>
      </c>
      <c r="Y447" s="36">
        <f>IF(DaybyDay[[#This Row],[_Space]],IFERROR(
((DaybyDay[[#This Row],[Actual-Rollup]]-DaybyDay[[#This Row],[LY-Rollup]])/DaybyDay[[#This Row],[LY-Rollup]]),0),"")</f>
        <v>0</v>
      </c>
      <c r="Z447"/>
      <c r="AA447" s="37" t="e">
        <f>IF(DaybyDay[[#This Row],[_Space]],DaybyDay[[#This Row],[Ret-Act-RU]]/DaybyDay[[#This Row],[Serv-Act-RU]],"")</f>
        <v>#DIV/0!</v>
      </c>
      <c r="AB447" s="50" t="e">
        <f>IF(DaybyDay[[#This Row],[_Space]],DaybyDay[[#This Row],[RETPEN-Act]]/DaybyDay[[#This Row],[RETPEN-Bud]],"")</f>
        <v>#DIV/0!</v>
      </c>
      <c r="AC447" s="37" t="e">
        <f>IF(DaybyDay[[#This Row],[_Space]],DaybyDay[[#This Row],[Ret-Bud-RU]]/DaybyDay[[#This Row],[Serv-Bud-RU]],"")</f>
        <v>#DIV/0!</v>
      </c>
      <c r="AD447" s="37" t="e">
        <f>IF(DaybyDay[[#This Row],[_Space]],DaybyDay[[#This Row],[Ret-LY-RU]]/DaybyDay[[#This Row],[Serv-LY-RU]],"")</f>
        <v>#DIV/0!</v>
      </c>
      <c r="AE447" s="30">
        <f>WEEKDAY(DaybyDay[[#This Row],[LY-Date]])</f>
        <v>7</v>
      </c>
      <c r="AF447" s="38">
        <f>$E$2+_xlfn.DAYS(DaybyDay[[#This Row],[Date]],minDate)</f>
        <v>42812</v>
      </c>
      <c r="AG447" s="39" cm="1">
        <f t="array" ref="AG447">IFERROR(INDEX(DaybyDay[],DaybyDay[[#This Row],[FORM_MATCH_HELPER]],8),"")</f>
        <v>34</v>
      </c>
      <c r="AH447" s="39" cm="1">
        <f t="array" ref="AH447">IFERROR(INDEX(DaybyDay[],DaybyDay[[#This Row],[FORM_MATCH_HELPER]],10),"")</f>
        <v>6730.2</v>
      </c>
      <c r="AI447" s="39" cm="1">
        <f t="array" ref="AI447">IFERROR(INDEX(DaybyDay[],DaybyDay[[#This Row],[FORM_MATCH_HELPER]],12),"")</f>
        <v>1092.5999999999999</v>
      </c>
      <c r="AJ447" s="32">
        <f>IFERROR(DaybyDay[[#This Row],[Serv-LY-RU]]+DaybyDay[[#This Row],[Ret-LY-RU]],"")</f>
        <v>0</v>
      </c>
      <c r="AK4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7" s="77"/>
      <c r="AM447" s="40" t="str">
        <f>IF(DaybyDay[[#This Row],[Admin Hours]]&gt;0,DaybyDay[[#This Row],[Admin Hours]]*$AM$2+$AM$3,"")</f>
        <v/>
      </c>
      <c r="AN447" s="40">
        <f>SUMIFS(DaybyDay[Est-Admin-Payroll],DaybyDay[Date],"&gt;="&amp;$C$5,DaybyDay[RowYear],"&gt;="&amp;$C$4,DaybyDay[Date],"&lt;="&amp;DaybyDay[[#This Row],[Date]])</f>
        <v>0</v>
      </c>
      <c r="AO447" s="41" t="str">
        <f>IF(AND(DaybyDay[[#This Row],[_Space]],ISNUMBER(DaybyDay[[#This Row],[Admin Hours]])),DaybyDay[[#This Row],[Est-Admin-Payroll]]/(DaybyDay[[#This Row],[Service-Actuals]]+DaybyDay[[#This Row],[Retail-Actuals]]),"")</f>
        <v/>
      </c>
      <c r="AP447" s="41" t="e">
        <f>DaybyDay[[#This Row],[Estimated-Payroll-Rollup]]/DaybyDay[[#This Row],[Simple-Forecast]]</f>
        <v>#DIV/0!</v>
      </c>
      <c r="AQ4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7" s="77"/>
      <c r="AS447" s="40" t="str">
        <f>IF(DaybyDay[[#This Row],[Retail Hours]]&gt;0,DaybyDay[[#This Row],[Retail Hours]]*$AS$2,"")</f>
        <v/>
      </c>
      <c r="AT447" s="40">
        <f>SUMIFS(DaybyDay[Est-Retail-Payroll],DaybyDay[Date],"&gt;="&amp;$C$5,DaybyDay[RowYear],"&gt;="&amp;$C$4,DaybyDay[Date],"&lt;="&amp;DaybyDay[[#This Row],[Date]])</f>
        <v>0</v>
      </c>
      <c r="AU447" s="82" t="str">
        <f>IF(AND(DaybyDay[[#This Row],[_Space]],ISNUMBER(DaybyDay[[#This Row],[Retail Hours]])),DaybyDay[[#This Row],[Est-Retail-Payroll]]/(DaybyDay[[#This Row],[Retail-Actuals]]),"")</f>
        <v/>
      </c>
      <c r="AV447" s="82" t="e">
        <f>DaybyDay[[#This Row],[Est-Retail-PayrollRU]]/DaybyDay[[#This Row],[Simple-Forecast-Retail]]</f>
        <v>#DIV/0!</v>
      </c>
      <c r="AW447" s="8"/>
    </row>
    <row r="448" spans="3:49" hidden="1" x14ac:dyDescent="0.25">
      <c r="C448" s="26" t="str">
        <f>Tools!$C$1</f>
        <v>Example</v>
      </c>
      <c r="D448" s="27" t="s">
        <v>70</v>
      </c>
      <c r="E448" s="28">
        <v>2018</v>
      </c>
      <c r="F448" s="28">
        <f>MATCH(DaybyDay[[#This Row],[RowMonth]],Table3[SummaryMonth],0)</f>
        <v>3</v>
      </c>
      <c r="G448" s="29">
        <f>MATCH(DaybyDay[[#This Row],[LY-Date]],DaybyDay[Date],0)</f>
        <v>78</v>
      </c>
      <c r="H448" s="30">
        <f>WEEKDAY(DaybyDay[[#This Row],[Date]])</f>
        <v>1</v>
      </c>
      <c r="I448" s="31">
        <v>43177</v>
      </c>
      <c r="J448" s="74">
        <v>32</v>
      </c>
      <c r="K448" s="32">
        <f>SUMIFS(BudgetSeasonality[365 Seasonality],BudgetSeasonality[MonthAdjustment],DaybyDay[[#This Row],[Date]])*SUMIFS(Budgets[Service-Budget],Budgets[BudgetMonth],DaybyDay[[#This Row],[RowMonth]],Budgets[BudgetYear],DaybyDay[[#This Row],[RowYear]])</f>
        <v>6680.1589493152178</v>
      </c>
      <c r="L448" s="75">
        <v>6948.9</v>
      </c>
      <c r="M448" s="32">
        <f>INDEX(BudgetSeasonality[365 Seasonality],MATCH(DaybyDay[[#This Row],[Date]],BudgetSeasonality[MonthAdjustment],0))*SUMIFS(Budgets[Retail-Budget],Budgets[BudgetMonth],DaybyDay[[#This Row],[RowMonth]],Budgets[BudgetYear],DaybyDay[[#This Row],[RowYear]])</f>
        <v>2006.2412201909053</v>
      </c>
      <c r="N448" s="75">
        <v>2029</v>
      </c>
      <c r="O448" s="33">
        <f>SUMIFS(DaybyDay[Service-Budgets],DaybyDay[Date],"&gt;="&amp;$C$5,DaybyDay[RowYear],"&gt;="&amp;$C$4,DaybyDay[Date],"&lt;="&amp;DaybyDay[[#This Row],[Date]])</f>
        <v>0</v>
      </c>
      <c r="P448" s="33">
        <f>SUMIFS(DaybyDay[Retail-Budgets],DaybyDay[Date],"&gt;="&amp;$C$5,DaybyDay[RowYear],"&gt;="&amp;$C$4,DaybyDay[Date],"&lt;="&amp;DaybyDay[[#This Row],[Date]])</f>
        <v>0</v>
      </c>
      <c r="Q448" s="34">
        <f>SUMIFS(DaybyDay[Service-Actuals],DaybyDay[Date],"&gt;="&amp;$C$5,DaybyDay[RowYear],"&gt;="&amp;$C$4,DaybyDay[Date],"&lt;="&amp;DaybyDay[[#This Row],[Date]])</f>
        <v>0</v>
      </c>
      <c r="R448" s="34">
        <f>SUMIFS(DaybyDay[Retail-Actuals],DaybyDay[Date],"&gt;="&amp;$C$5,DaybyDay[RowYear],"&gt;="&amp;$C$4,DaybyDay[Date],"&lt;="&amp;DaybyDay[[#This Row],[Date]])</f>
        <v>0</v>
      </c>
      <c r="S448" s="35">
        <f>SUMIFS(DaybyDay[Service-LY],DaybyDay[Date],"&gt;="&amp;$C$5,DaybyDay[RowYear],"&gt;="&amp;$C$4,DaybyDay[Date],"&lt;="&amp;DaybyDay[[#This Row],[Date]])</f>
        <v>0</v>
      </c>
      <c r="T448" s="35">
        <f>SUMIFS(DaybyDay[Retail-LY],DaybyDay[Date],"&gt;="&amp;$C$5,DaybyDay[RowYear],"&gt;="&amp;$C$4,DaybyDay[Date],"&lt;="&amp;DaybyDay[[#This Row],[Date]])</f>
        <v>0</v>
      </c>
      <c r="U448" s="32">
        <f>DaybyDay[[#This Row],[Serv-Bud-RU]]+DaybyDay[[#This Row],[Ret-Bud-RU]]</f>
        <v>0</v>
      </c>
      <c r="V448" s="32">
        <f>DaybyDay[[#This Row],[Serv-Act-RU]]+DaybyDay[[#This Row],[Ret-Act-RU]]</f>
        <v>0</v>
      </c>
      <c r="W448" s="36">
        <f>IF(DaybyDay[[#This Row],[_Space]],IFERROR(
((DaybyDay[[#This Row],[Actual-Rollup]]-DaybyDay[[#This Row],[Budget-Rollup]])/DaybyDay[[#This Row],[Budget-Rollup]]),0),"")</f>
        <v>0</v>
      </c>
      <c r="X448" t="b">
        <f>NOT(AND(ISBLANK(DaybyDay[[#This Row],[Appts]]),ISBLANK(DaybyDay[[#This Row],[Service-Actuals]]),ISBLANK(DaybyDay[[#This Row],[Retail-Actuals]])))</f>
        <v>1</v>
      </c>
      <c r="Y448" s="36">
        <f>IF(DaybyDay[[#This Row],[_Space]],IFERROR(
((DaybyDay[[#This Row],[Actual-Rollup]]-DaybyDay[[#This Row],[LY-Rollup]])/DaybyDay[[#This Row],[LY-Rollup]]),0),"")</f>
        <v>0</v>
      </c>
      <c r="Z448"/>
      <c r="AA448" s="37" t="e">
        <f>IF(DaybyDay[[#This Row],[_Space]],DaybyDay[[#This Row],[Ret-Act-RU]]/DaybyDay[[#This Row],[Serv-Act-RU]],"")</f>
        <v>#DIV/0!</v>
      </c>
      <c r="AB448" s="50" t="e">
        <f>IF(DaybyDay[[#This Row],[_Space]],DaybyDay[[#This Row],[RETPEN-Act]]/DaybyDay[[#This Row],[RETPEN-Bud]],"")</f>
        <v>#DIV/0!</v>
      </c>
      <c r="AC448" s="37" t="e">
        <f>IF(DaybyDay[[#This Row],[_Space]],DaybyDay[[#This Row],[Ret-Bud-RU]]/DaybyDay[[#This Row],[Serv-Bud-RU]],"")</f>
        <v>#DIV/0!</v>
      </c>
      <c r="AD448" s="37" t="e">
        <f>IF(DaybyDay[[#This Row],[_Space]],DaybyDay[[#This Row],[Ret-LY-RU]]/DaybyDay[[#This Row],[Serv-LY-RU]],"")</f>
        <v>#DIV/0!</v>
      </c>
      <c r="AE448" s="30">
        <f>WEEKDAY(DaybyDay[[#This Row],[LY-Date]])</f>
        <v>1</v>
      </c>
      <c r="AF448" s="38">
        <f>$E$2+_xlfn.DAYS(DaybyDay[[#This Row],[Date]],minDate)</f>
        <v>42813</v>
      </c>
      <c r="AG448" s="39" cm="1">
        <f t="array" ref="AG448">IFERROR(INDEX(DaybyDay[],DaybyDay[[#This Row],[FORM_MATCH_HELPER]],8),"")</f>
        <v>38</v>
      </c>
      <c r="AH448" s="39" cm="1">
        <f t="array" ref="AH448">IFERROR(INDEX(DaybyDay[],DaybyDay[[#This Row],[FORM_MATCH_HELPER]],10),"")</f>
        <v>6763.2</v>
      </c>
      <c r="AI448" s="39" cm="1">
        <f t="array" ref="AI448">IFERROR(INDEX(DaybyDay[],DaybyDay[[#This Row],[FORM_MATCH_HELPER]],12),"")</f>
        <v>1338</v>
      </c>
      <c r="AJ448" s="32">
        <f>IFERROR(DaybyDay[[#This Row],[Serv-LY-RU]]+DaybyDay[[#This Row],[Ret-LY-RU]],"")</f>
        <v>0</v>
      </c>
      <c r="AK4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8" s="77"/>
      <c r="AM448" s="40" t="str">
        <f>IF(DaybyDay[[#This Row],[Admin Hours]]&gt;0,DaybyDay[[#This Row],[Admin Hours]]*$AM$2+$AM$3,"")</f>
        <v/>
      </c>
      <c r="AN448" s="40">
        <f>SUMIFS(DaybyDay[Est-Admin-Payroll],DaybyDay[Date],"&gt;="&amp;$C$5,DaybyDay[RowYear],"&gt;="&amp;$C$4,DaybyDay[Date],"&lt;="&amp;DaybyDay[[#This Row],[Date]])</f>
        <v>0</v>
      </c>
      <c r="AO448" s="41" t="str">
        <f>IF(AND(DaybyDay[[#This Row],[_Space]],ISNUMBER(DaybyDay[[#This Row],[Admin Hours]])),DaybyDay[[#This Row],[Est-Admin-Payroll]]/(DaybyDay[[#This Row],[Service-Actuals]]+DaybyDay[[#This Row],[Retail-Actuals]]),"")</f>
        <v/>
      </c>
      <c r="AP448" s="41" t="e">
        <f>DaybyDay[[#This Row],[Estimated-Payroll-Rollup]]/DaybyDay[[#This Row],[Simple-Forecast]]</f>
        <v>#DIV/0!</v>
      </c>
      <c r="AQ4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8" s="77"/>
      <c r="AS448" s="40" t="str">
        <f>IF(DaybyDay[[#This Row],[Retail Hours]]&gt;0,DaybyDay[[#This Row],[Retail Hours]]*$AS$2,"")</f>
        <v/>
      </c>
      <c r="AT448" s="40">
        <f>SUMIFS(DaybyDay[Est-Retail-Payroll],DaybyDay[Date],"&gt;="&amp;$C$5,DaybyDay[RowYear],"&gt;="&amp;$C$4,DaybyDay[Date],"&lt;="&amp;DaybyDay[[#This Row],[Date]])</f>
        <v>0</v>
      </c>
      <c r="AU448" s="82" t="str">
        <f>IF(AND(DaybyDay[[#This Row],[_Space]],ISNUMBER(DaybyDay[[#This Row],[Retail Hours]])),DaybyDay[[#This Row],[Est-Retail-Payroll]]/(DaybyDay[[#This Row],[Retail-Actuals]]),"")</f>
        <v/>
      </c>
      <c r="AV448" s="82" t="e">
        <f>DaybyDay[[#This Row],[Est-Retail-PayrollRU]]/DaybyDay[[#This Row],[Simple-Forecast-Retail]]</f>
        <v>#DIV/0!</v>
      </c>
      <c r="AW448" s="8"/>
    </row>
    <row r="449" spans="3:49" hidden="1" x14ac:dyDescent="0.25">
      <c r="C449" s="26" t="str">
        <f>Tools!$C$1</f>
        <v>Example</v>
      </c>
      <c r="D449" s="27" t="s">
        <v>70</v>
      </c>
      <c r="E449" s="28">
        <v>2018</v>
      </c>
      <c r="F449" s="28">
        <f>MATCH(DaybyDay[[#This Row],[RowMonth]],Table3[SummaryMonth],0)</f>
        <v>3</v>
      </c>
      <c r="G449" s="29">
        <f>MATCH(DaybyDay[[#This Row],[LY-Date]],DaybyDay[Date],0)</f>
        <v>79</v>
      </c>
      <c r="H449" s="30">
        <f>WEEKDAY(DaybyDay[[#This Row],[Date]])</f>
        <v>2</v>
      </c>
      <c r="I449" s="31">
        <v>43178</v>
      </c>
      <c r="J449" s="74">
        <v>15</v>
      </c>
      <c r="K449" s="32">
        <f>SUMIFS(BudgetSeasonality[365 Seasonality],BudgetSeasonality[MonthAdjustment],DaybyDay[[#This Row],[Date]])*SUMIFS(Budgets[Service-Budget],Budgets[BudgetMonth],DaybyDay[[#This Row],[RowMonth]],Budgets[BudgetYear],DaybyDay[[#This Row],[RowYear]])</f>
        <v>4235.4078696215929</v>
      </c>
      <c r="L449" s="75">
        <v>2802</v>
      </c>
      <c r="M449" s="32">
        <f>INDEX(BudgetSeasonality[365 Seasonality],MATCH(DaybyDay[[#This Row],[Date]],BudgetSeasonality[MonthAdjustment],0))*SUMIFS(Budgets[Retail-Budget],Budgets[BudgetMonth],DaybyDay[[#This Row],[RowMonth]],Budgets[BudgetYear],DaybyDay[[#This Row],[RowYear]])</f>
        <v>1272.0131237635953</v>
      </c>
      <c r="N449" s="75">
        <v>314</v>
      </c>
      <c r="O449" s="33">
        <f>SUMIFS(DaybyDay[Service-Budgets],DaybyDay[Date],"&gt;="&amp;$C$5,DaybyDay[RowYear],"&gt;="&amp;$C$4,DaybyDay[Date],"&lt;="&amp;DaybyDay[[#This Row],[Date]])</f>
        <v>0</v>
      </c>
      <c r="P449" s="33">
        <f>SUMIFS(DaybyDay[Retail-Budgets],DaybyDay[Date],"&gt;="&amp;$C$5,DaybyDay[RowYear],"&gt;="&amp;$C$4,DaybyDay[Date],"&lt;="&amp;DaybyDay[[#This Row],[Date]])</f>
        <v>0</v>
      </c>
      <c r="Q449" s="34">
        <f>SUMIFS(DaybyDay[Service-Actuals],DaybyDay[Date],"&gt;="&amp;$C$5,DaybyDay[RowYear],"&gt;="&amp;$C$4,DaybyDay[Date],"&lt;="&amp;DaybyDay[[#This Row],[Date]])</f>
        <v>0</v>
      </c>
      <c r="R449" s="34">
        <f>SUMIFS(DaybyDay[Retail-Actuals],DaybyDay[Date],"&gt;="&amp;$C$5,DaybyDay[RowYear],"&gt;="&amp;$C$4,DaybyDay[Date],"&lt;="&amp;DaybyDay[[#This Row],[Date]])</f>
        <v>0</v>
      </c>
      <c r="S449" s="35">
        <f>SUMIFS(DaybyDay[Service-LY],DaybyDay[Date],"&gt;="&amp;$C$5,DaybyDay[RowYear],"&gt;="&amp;$C$4,DaybyDay[Date],"&lt;="&amp;DaybyDay[[#This Row],[Date]])</f>
        <v>0</v>
      </c>
      <c r="T449" s="35">
        <f>SUMIFS(DaybyDay[Retail-LY],DaybyDay[Date],"&gt;="&amp;$C$5,DaybyDay[RowYear],"&gt;="&amp;$C$4,DaybyDay[Date],"&lt;="&amp;DaybyDay[[#This Row],[Date]])</f>
        <v>0</v>
      </c>
      <c r="U449" s="32">
        <f>DaybyDay[[#This Row],[Serv-Bud-RU]]+DaybyDay[[#This Row],[Ret-Bud-RU]]</f>
        <v>0</v>
      </c>
      <c r="V449" s="32">
        <f>DaybyDay[[#This Row],[Serv-Act-RU]]+DaybyDay[[#This Row],[Ret-Act-RU]]</f>
        <v>0</v>
      </c>
      <c r="W449" s="36">
        <f>IF(DaybyDay[[#This Row],[_Space]],IFERROR(
((DaybyDay[[#This Row],[Actual-Rollup]]-DaybyDay[[#This Row],[Budget-Rollup]])/DaybyDay[[#This Row],[Budget-Rollup]]),0),"")</f>
        <v>0</v>
      </c>
      <c r="X449" t="b">
        <f>NOT(AND(ISBLANK(DaybyDay[[#This Row],[Appts]]),ISBLANK(DaybyDay[[#This Row],[Service-Actuals]]),ISBLANK(DaybyDay[[#This Row],[Retail-Actuals]])))</f>
        <v>1</v>
      </c>
      <c r="Y449" s="36">
        <f>IF(DaybyDay[[#This Row],[_Space]],IFERROR(
((DaybyDay[[#This Row],[Actual-Rollup]]-DaybyDay[[#This Row],[LY-Rollup]])/DaybyDay[[#This Row],[LY-Rollup]]),0),"")</f>
        <v>0</v>
      </c>
      <c r="Z449"/>
      <c r="AA449" s="37" t="e">
        <f>IF(DaybyDay[[#This Row],[_Space]],DaybyDay[[#This Row],[Ret-Act-RU]]/DaybyDay[[#This Row],[Serv-Act-RU]],"")</f>
        <v>#DIV/0!</v>
      </c>
      <c r="AB449" s="50" t="e">
        <f>IF(DaybyDay[[#This Row],[_Space]],DaybyDay[[#This Row],[RETPEN-Act]]/DaybyDay[[#This Row],[RETPEN-Bud]],"")</f>
        <v>#DIV/0!</v>
      </c>
      <c r="AC449" s="37" t="e">
        <f>IF(DaybyDay[[#This Row],[_Space]],DaybyDay[[#This Row],[Ret-Bud-RU]]/DaybyDay[[#This Row],[Serv-Bud-RU]],"")</f>
        <v>#DIV/0!</v>
      </c>
      <c r="AD449" s="37" t="e">
        <f>IF(DaybyDay[[#This Row],[_Space]],DaybyDay[[#This Row],[Ret-LY-RU]]/DaybyDay[[#This Row],[Serv-LY-RU]],"")</f>
        <v>#DIV/0!</v>
      </c>
      <c r="AE449" s="30">
        <f>WEEKDAY(DaybyDay[[#This Row],[LY-Date]])</f>
        <v>2</v>
      </c>
      <c r="AF449" s="38">
        <f>$E$2+_xlfn.DAYS(DaybyDay[[#This Row],[Date]],minDate)</f>
        <v>42814</v>
      </c>
      <c r="AG449" s="39" cm="1">
        <f t="array" ref="AG449">IFERROR(INDEX(DaybyDay[],DaybyDay[[#This Row],[FORM_MATCH_HELPER]],8),"")</f>
        <v>15</v>
      </c>
      <c r="AH449" s="39" cm="1">
        <f t="array" ref="AH449">IFERROR(INDEX(DaybyDay[],DaybyDay[[#This Row],[FORM_MATCH_HELPER]],10),"")</f>
        <v>3130</v>
      </c>
      <c r="AI449" s="39" cm="1">
        <f t="array" ref="AI449">IFERROR(INDEX(DaybyDay[],DaybyDay[[#This Row],[FORM_MATCH_HELPER]],12),"")</f>
        <v>0</v>
      </c>
      <c r="AJ449" s="32">
        <f>IFERROR(DaybyDay[[#This Row],[Serv-LY-RU]]+DaybyDay[[#This Row],[Ret-LY-RU]],"")</f>
        <v>0</v>
      </c>
      <c r="AK4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49" s="77"/>
      <c r="AM449" s="40" t="str">
        <f>IF(DaybyDay[[#This Row],[Admin Hours]]&gt;0,DaybyDay[[#This Row],[Admin Hours]]*$AM$2+$AM$3,"")</f>
        <v/>
      </c>
      <c r="AN449" s="40">
        <f>SUMIFS(DaybyDay[Est-Admin-Payroll],DaybyDay[Date],"&gt;="&amp;$C$5,DaybyDay[RowYear],"&gt;="&amp;$C$4,DaybyDay[Date],"&lt;="&amp;DaybyDay[[#This Row],[Date]])</f>
        <v>0</v>
      </c>
      <c r="AO449" s="41" t="str">
        <f>IF(AND(DaybyDay[[#This Row],[_Space]],ISNUMBER(DaybyDay[[#This Row],[Admin Hours]])),DaybyDay[[#This Row],[Est-Admin-Payroll]]/(DaybyDay[[#This Row],[Service-Actuals]]+DaybyDay[[#This Row],[Retail-Actuals]]),"")</f>
        <v/>
      </c>
      <c r="AP449" s="41" t="e">
        <f>DaybyDay[[#This Row],[Estimated-Payroll-Rollup]]/DaybyDay[[#This Row],[Simple-Forecast]]</f>
        <v>#DIV/0!</v>
      </c>
      <c r="AQ4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49" s="77"/>
      <c r="AS449" s="40" t="str">
        <f>IF(DaybyDay[[#This Row],[Retail Hours]]&gt;0,DaybyDay[[#This Row],[Retail Hours]]*$AS$2,"")</f>
        <v/>
      </c>
      <c r="AT449" s="40">
        <f>SUMIFS(DaybyDay[Est-Retail-Payroll],DaybyDay[Date],"&gt;="&amp;$C$5,DaybyDay[RowYear],"&gt;="&amp;$C$4,DaybyDay[Date],"&lt;="&amp;DaybyDay[[#This Row],[Date]])</f>
        <v>0</v>
      </c>
      <c r="AU449" s="82" t="str">
        <f>IF(AND(DaybyDay[[#This Row],[_Space]],ISNUMBER(DaybyDay[[#This Row],[Retail Hours]])),DaybyDay[[#This Row],[Est-Retail-Payroll]]/(DaybyDay[[#This Row],[Retail-Actuals]]),"")</f>
        <v/>
      </c>
      <c r="AV449" s="82" t="e">
        <f>DaybyDay[[#This Row],[Est-Retail-PayrollRU]]/DaybyDay[[#This Row],[Simple-Forecast-Retail]]</f>
        <v>#DIV/0!</v>
      </c>
      <c r="AW449" s="8"/>
    </row>
    <row r="450" spans="3:49" hidden="1" x14ac:dyDescent="0.25">
      <c r="C450" s="26" t="str">
        <f>Tools!$C$1</f>
        <v>Example</v>
      </c>
      <c r="D450" s="27" t="s">
        <v>70</v>
      </c>
      <c r="E450" s="28">
        <v>2018</v>
      </c>
      <c r="F450" s="28">
        <f>MATCH(DaybyDay[[#This Row],[RowMonth]],Table3[SummaryMonth],0)</f>
        <v>3</v>
      </c>
      <c r="G450" s="29">
        <f>MATCH(DaybyDay[[#This Row],[LY-Date]],DaybyDay[Date],0)</f>
        <v>80</v>
      </c>
      <c r="H450" s="30">
        <f>WEEKDAY(DaybyDay[[#This Row],[Date]])</f>
        <v>3</v>
      </c>
      <c r="I450" s="31">
        <v>43179</v>
      </c>
      <c r="J450" s="74">
        <v>18</v>
      </c>
      <c r="K450" s="32">
        <f>SUMIFS(BudgetSeasonality[365 Seasonality],BudgetSeasonality[MonthAdjustment],DaybyDay[[#This Row],[Date]])*SUMIFS(Budgets[Service-Budget],Budgets[BudgetMonth],DaybyDay[[#This Row],[RowMonth]],Budgets[BudgetYear],DaybyDay[[#This Row],[RowYear]])</f>
        <v>4485.9403176029482</v>
      </c>
      <c r="L450" s="75">
        <v>4059</v>
      </c>
      <c r="M450" s="32">
        <f>INDEX(BudgetSeasonality[365 Seasonality],MATCH(DaybyDay[[#This Row],[Date]],BudgetSeasonality[MonthAdjustment],0))*SUMIFS(Budgets[Retail-Budget],Budgets[BudgetMonth],DaybyDay[[#This Row],[RowMonth]],Budgets[BudgetYear],DaybyDay[[#This Row],[RowYear]])</f>
        <v>1347.2551244329138</v>
      </c>
      <c r="N450" s="75">
        <v>214</v>
      </c>
      <c r="O450" s="33">
        <f>SUMIFS(DaybyDay[Service-Budgets],DaybyDay[Date],"&gt;="&amp;$C$5,DaybyDay[RowYear],"&gt;="&amp;$C$4,DaybyDay[Date],"&lt;="&amp;DaybyDay[[#This Row],[Date]])</f>
        <v>0</v>
      </c>
      <c r="P450" s="33">
        <f>SUMIFS(DaybyDay[Retail-Budgets],DaybyDay[Date],"&gt;="&amp;$C$5,DaybyDay[RowYear],"&gt;="&amp;$C$4,DaybyDay[Date],"&lt;="&amp;DaybyDay[[#This Row],[Date]])</f>
        <v>0</v>
      </c>
      <c r="Q450" s="34">
        <f>SUMIFS(DaybyDay[Service-Actuals],DaybyDay[Date],"&gt;="&amp;$C$5,DaybyDay[RowYear],"&gt;="&amp;$C$4,DaybyDay[Date],"&lt;="&amp;DaybyDay[[#This Row],[Date]])</f>
        <v>0</v>
      </c>
      <c r="R450" s="34">
        <f>SUMIFS(DaybyDay[Retail-Actuals],DaybyDay[Date],"&gt;="&amp;$C$5,DaybyDay[RowYear],"&gt;="&amp;$C$4,DaybyDay[Date],"&lt;="&amp;DaybyDay[[#This Row],[Date]])</f>
        <v>0</v>
      </c>
      <c r="S450" s="35">
        <f>SUMIFS(DaybyDay[Service-LY],DaybyDay[Date],"&gt;="&amp;$C$5,DaybyDay[RowYear],"&gt;="&amp;$C$4,DaybyDay[Date],"&lt;="&amp;DaybyDay[[#This Row],[Date]])</f>
        <v>0</v>
      </c>
      <c r="T450" s="35">
        <f>SUMIFS(DaybyDay[Retail-LY],DaybyDay[Date],"&gt;="&amp;$C$5,DaybyDay[RowYear],"&gt;="&amp;$C$4,DaybyDay[Date],"&lt;="&amp;DaybyDay[[#This Row],[Date]])</f>
        <v>0</v>
      </c>
      <c r="U450" s="32">
        <f>DaybyDay[[#This Row],[Serv-Bud-RU]]+DaybyDay[[#This Row],[Ret-Bud-RU]]</f>
        <v>0</v>
      </c>
      <c r="V450" s="32">
        <f>DaybyDay[[#This Row],[Serv-Act-RU]]+DaybyDay[[#This Row],[Ret-Act-RU]]</f>
        <v>0</v>
      </c>
      <c r="W450" s="36">
        <f>IF(DaybyDay[[#This Row],[_Space]],IFERROR(
((DaybyDay[[#This Row],[Actual-Rollup]]-DaybyDay[[#This Row],[Budget-Rollup]])/DaybyDay[[#This Row],[Budget-Rollup]]),0),"")</f>
        <v>0</v>
      </c>
      <c r="X450" t="b">
        <f>NOT(AND(ISBLANK(DaybyDay[[#This Row],[Appts]]),ISBLANK(DaybyDay[[#This Row],[Service-Actuals]]),ISBLANK(DaybyDay[[#This Row],[Retail-Actuals]])))</f>
        <v>1</v>
      </c>
      <c r="Y450" s="36">
        <f>IF(DaybyDay[[#This Row],[_Space]],IFERROR(
((DaybyDay[[#This Row],[Actual-Rollup]]-DaybyDay[[#This Row],[LY-Rollup]])/DaybyDay[[#This Row],[LY-Rollup]]),0),"")</f>
        <v>0</v>
      </c>
      <c r="Z450"/>
      <c r="AA450" s="37" t="e">
        <f>IF(DaybyDay[[#This Row],[_Space]],DaybyDay[[#This Row],[Ret-Act-RU]]/DaybyDay[[#This Row],[Serv-Act-RU]],"")</f>
        <v>#DIV/0!</v>
      </c>
      <c r="AB450" s="50" t="e">
        <f>IF(DaybyDay[[#This Row],[_Space]],DaybyDay[[#This Row],[RETPEN-Act]]/DaybyDay[[#This Row],[RETPEN-Bud]],"")</f>
        <v>#DIV/0!</v>
      </c>
      <c r="AC450" s="37" t="e">
        <f>IF(DaybyDay[[#This Row],[_Space]],DaybyDay[[#This Row],[Ret-Bud-RU]]/DaybyDay[[#This Row],[Serv-Bud-RU]],"")</f>
        <v>#DIV/0!</v>
      </c>
      <c r="AD450" s="37" t="e">
        <f>IF(DaybyDay[[#This Row],[_Space]],DaybyDay[[#This Row],[Ret-LY-RU]]/DaybyDay[[#This Row],[Serv-LY-RU]],"")</f>
        <v>#DIV/0!</v>
      </c>
      <c r="AE450" s="30">
        <f>WEEKDAY(DaybyDay[[#This Row],[LY-Date]])</f>
        <v>3</v>
      </c>
      <c r="AF450" s="38">
        <f>$E$2+_xlfn.DAYS(DaybyDay[[#This Row],[Date]],minDate)</f>
        <v>42815</v>
      </c>
      <c r="AG450" s="39" cm="1">
        <f t="array" ref="AG450">IFERROR(INDEX(DaybyDay[],DaybyDay[[#This Row],[FORM_MATCH_HELPER]],8),"")</f>
        <v>15</v>
      </c>
      <c r="AH450" s="39" cm="1">
        <f t="array" ref="AH450">IFERROR(INDEX(DaybyDay[],DaybyDay[[#This Row],[FORM_MATCH_HELPER]],10),"")</f>
        <v>2884.6</v>
      </c>
      <c r="AI450" s="39" cm="1">
        <f t="array" ref="AI450">IFERROR(INDEX(DaybyDay[],DaybyDay[[#This Row],[FORM_MATCH_HELPER]],12),"")</f>
        <v>271</v>
      </c>
      <c r="AJ450" s="32">
        <f>IFERROR(DaybyDay[[#This Row],[Serv-LY-RU]]+DaybyDay[[#This Row],[Ret-LY-RU]],"")</f>
        <v>0</v>
      </c>
      <c r="AK4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0" s="77"/>
      <c r="AM450" s="40" t="str">
        <f>IF(DaybyDay[[#This Row],[Admin Hours]]&gt;0,DaybyDay[[#This Row],[Admin Hours]]*$AM$2+$AM$3,"")</f>
        <v/>
      </c>
      <c r="AN450" s="40">
        <f>SUMIFS(DaybyDay[Est-Admin-Payroll],DaybyDay[Date],"&gt;="&amp;$C$5,DaybyDay[RowYear],"&gt;="&amp;$C$4,DaybyDay[Date],"&lt;="&amp;DaybyDay[[#This Row],[Date]])</f>
        <v>0</v>
      </c>
      <c r="AO450" s="41" t="str">
        <f>IF(AND(DaybyDay[[#This Row],[_Space]],ISNUMBER(DaybyDay[[#This Row],[Admin Hours]])),DaybyDay[[#This Row],[Est-Admin-Payroll]]/(DaybyDay[[#This Row],[Service-Actuals]]+DaybyDay[[#This Row],[Retail-Actuals]]),"")</f>
        <v/>
      </c>
      <c r="AP450" s="41" t="e">
        <f>DaybyDay[[#This Row],[Estimated-Payroll-Rollup]]/DaybyDay[[#This Row],[Simple-Forecast]]</f>
        <v>#DIV/0!</v>
      </c>
      <c r="AQ4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0" s="77"/>
      <c r="AS450" s="40" t="str">
        <f>IF(DaybyDay[[#This Row],[Retail Hours]]&gt;0,DaybyDay[[#This Row],[Retail Hours]]*$AS$2,"")</f>
        <v/>
      </c>
      <c r="AT450" s="40">
        <f>SUMIFS(DaybyDay[Est-Retail-Payroll],DaybyDay[Date],"&gt;="&amp;$C$5,DaybyDay[RowYear],"&gt;="&amp;$C$4,DaybyDay[Date],"&lt;="&amp;DaybyDay[[#This Row],[Date]])</f>
        <v>0</v>
      </c>
      <c r="AU450" s="82" t="str">
        <f>IF(AND(DaybyDay[[#This Row],[_Space]],ISNUMBER(DaybyDay[[#This Row],[Retail Hours]])),DaybyDay[[#This Row],[Est-Retail-Payroll]]/(DaybyDay[[#This Row],[Retail-Actuals]]),"")</f>
        <v/>
      </c>
      <c r="AV450" s="82" t="e">
        <f>DaybyDay[[#This Row],[Est-Retail-PayrollRU]]/DaybyDay[[#This Row],[Simple-Forecast-Retail]]</f>
        <v>#DIV/0!</v>
      </c>
      <c r="AW450" s="8"/>
    </row>
    <row r="451" spans="3:49" hidden="1" x14ac:dyDescent="0.25">
      <c r="C451" s="26" t="str">
        <f>Tools!$C$1</f>
        <v>Example</v>
      </c>
      <c r="D451" s="27" t="s">
        <v>70</v>
      </c>
      <c r="E451" s="28">
        <v>2018</v>
      </c>
      <c r="F451" s="28">
        <f>MATCH(DaybyDay[[#This Row],[RowMonth]],Table3[SummaryMonth],0)</f>
        <v>3</v>
      </c>
      <c r="G451" s="29">
        <f>MATCH(DaybyDay[[#This Row],[LY-Date]],DaybyDay[Date],0)</f>
        <v>81</v>
      </c>
      <c r="H451" s="30">
        <f>WEEKDAY(DaybyDay[[#This Row],[Date]])</f>
        <v>4</v>
      </c>
      <c r="I451" s="31">
        <v>43180</v>
      </c>
      <c r="J451" s="74">
        <v>0</v>
      </c>
      <c r="K451" s="32">
        <f>SUMIFS(BudgetSeasonality[365 Seasonality],BudgetSeasonality[MonthAdjustment],DaybyDay[[#This Row],[Date]])*SUMIFS(Budgets[Service-Budget],Budgets[BudgetMonth],DaybyDay[[#This Row],[RowMonth]],Budgets[BudgetYear],DaybyDay[[#This Row],[RowYear]])</f>
        <v>5203.4604517299585</v>
      </c>
      <c r="L451" s="75">
        <v>10500</v>
      </c>
      <c r="M451" s="32">
        <f>INDEX(BudgetSeasonality[365 Seasonality],MATCH(DaybyDay[[#This Row],[Date]],BudgetSeasonality[MonthAdjustment],0))*SUMIFS(Budgets[Retail-Budget],Budgets[BudgetMonth],DaybyDay[[#This Row],[RowMonth]],Budgets[BudgetYear],DaybyDay[[#This Row],[RowYear]])</f>
        <v>1562.7467737072293</v>
      </c>
      <c r="N451" s="75">
        <v>0</v>
      </c>
      <c r="O451" s="33">
        <f>SUMIFS(DaybyDay[Service-Budgets],DaybyDay[Date],"&gt;="&amp;$C$5,DaybyDay[RowYear],"&gt;="&amp;$C$4,DaybyDay[Date],"&lt;="&amp;DaybyDay[[#This Row],[Date]])</f>
        <v>0</v>
      </c>
      <c r="P451" s="33">
        <f>SUMIFS(DaybyDay[Retail-Budgets],DaybyDay[Date],"&gt;="&amp;$C$5,DaybyDay[RowYear],"&gt;="&amp;$C$4,DaybyDay[Date],"&lt;="&amp;DaybyDay[[#This Row],[Date]])</f>
        <v>0</v>
      </c>
      <c r="Q451" s="34">
        <f>SUMIFS(DaybyDay[Service-Actuals],DaybyDay[Date],"&gt;="&amp;$C$5,DaybyDay[RowYear],"&gt;="&amp;$C$4,DaybyDay[Date],"&lt;="&amp;DaybyDay[[#This Row],[Date]])</f>
        <v>0</v>
      </c>
      <c r="R451" s="34">
        <f>SUMIFS(DaybyDay[Retail-Actuals],DaybyDay[Date],"&gt;="&amp;$C$5,DaybyDay[RowYear],"&gt;="&amp;$C$4,DaybyDay[Date],"&lt;="&amp;DaybyDay[[#This Row],[Date]])</f>
        <v>0</v>
      </c>
      <c r="S451" s="35">
        <f>SUMIFS(DaybyDay[Service-LY],DaybyDay[Date],"&gt;="&amp;$C$5,DaybyDay[RowYear],"&gt;="&amp;$C$4,DaybyDay[Date],"&lt;="&amp;DaybyDay[[#This Row],[Date]])</f>
        <v>0</v>
      </c>
      <c r="T451" s="35">
        <f>SUMIFS(DaybyDay[Retail-LY],DaybyDay[Date],"&gt;="&amp;$C$5,DaybyDay[RowYear],"&gt;="&amp;$C$4,DaybyDay[Date],"&lt;="&amp;DaybyDay[[#This Row],[Date]])</f>
        <v>0</v>
      </c>
      <c r="U451" s="32">
        <f>DaybyDay[[#This Row],[Serv-Bud-RU]]+DaybyDay[[#This Row],[Ret-Bud-RU]]</f>
        <v>0</v>
      </c>
      <c r="V451" s="32">
        <f>DaybyDay[[#This Row],[Serv-Act-RU]]+DaybyDay[[#This Row],[Ret-Act-RU]]</f>
        <v>0</v>
      </c>
      <c r="W451" s="36">
        <f>IF(DaybyDay[[#This Row],[_Space]],IFERROR(
((DaybyDay[[#This Row],[Actual-Rollup]]-DaybyDay[[#This Row],[Budget-Rollup]])/DaybyDay[[#This Row],[Budget-Rollup]]),0),"")</f>
        <v>0</v>
      </c>
      <c r="X451" t="b">
        <f>NOT(AND(ISBLANK(DaybyDay[[#This Row],[Appts]]),ISBLANK(DaybyDay[[#This Row],[Service-Actuals]]),ISBLANK(DaybyDay[[#This Row],[Retail-Actuals]])))</f>
        <v>1</v>
      </c>
      <c r="Y451" s="36">
        <f>IF(DaybyDay[[#This Row],[_Space]],IFERROR(
((DaybyDay[[#This Row],[Actual-Rollup]]-DaybyDay[[#This Row],[LY-Rollup]])/DaybyDay[[#This Row],[LY-Rollup]]),0),"")</f>
        <v>0</v>
      </c>
      <c r="Z451"/>
      <c r="AA451" s="37" t="e">
        <f>IF(DaybyDay[[#This Row],[_Space]],DaybyDay[[#This Row],[Ret-Act-RU]]/DaybyDay[[#This Row],[Serv-Act-RU]],"")</f>
        <v>#DIV/0!</v>
      </c>
      <c r="AB451" s="50" t="e">
        <f>IF(DaybyDay[[#This Row],[_Space]],DaybyDay[[#This Row],[RETPEN-Act]]/DaybyDay[[#This Row],[RETPEN-Bud]],"")</f>
        <v>#DIV/0!</v>
      </c>
      <c r="AC451" s="37" t="e">
        <f>IF(DaybyDay[[#This Row],[_Space]],DaybyDay[[#This Row],[Ret-Bud-RU]]/DaybyDay[[#This Row],[Serv-Bud-RU]],"")</f>
        <v>#DIV/0!</v>
      </c>
      <c r="AD451" s="37" t="e">
        <f>IF(DaybyDay[[#This Row],[_Space]],DaybyDay[[#This Row],[Ret-LY-RU]]/DaybyDay[[#This Row],[Serv-LY-RU]],"")</f>
        <v>#DIV/0!</v>
      </c>
      <c r="AE451" s="30">
        <f>WEEKDAY(DaybyDay[[#This Row],[LY-Date]])</f>
        <v>4</v>
      </c>
      <c r="AF451" s="38">
        <f>$E$2+_xlfn.DAYS(DaybyDay[[#This Row],[Date]],minDate)</f>
        <v>42816</v>
      </c>
      <c r="AG451" s="39" cm="1">
        <f t="array" ref="AG451">IFERROR(INDEX(DaybyDay[],DaybyDay[[#This Row],[FORM_MATCH_HELPER]],8),"")</f>
        <v>15</v>
      </c>
      <c r="AH451" s="39" cm="1">
        <f t="array" ref="AH451">IFERROR(INDEX(DaybyDay[],DaybyDay[[#This Row],[FORM_MATCH_HELPER]],10),"")</f>
        <v>4015</v>
      </c>
      <c r="AI451" s="39" cm="1">
        <f t="array" ref="AI451">IFERROR(INDEX(DaybyDay[],DaybyDay[[#This Row],[FORM_MATCH_HELPER]],12),"")</f>
        <v>362.5</v>
      </c>
      <c r="AJ451" s="32">
        <f>IFERROR(DaybyDay[[#This Row],[Serv-LY-RU]]+DaybyDay[[#This Row],[Ret-LY-RU]],"")</f>
        <v>0</v>
      </c>
      <c r="AK4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1" s="77"/>
      <c r="AM451" s="40" t="str">
        <f>IF(DaybyDay[[#This Row],[Admin Hours]]&gt;0,DaybyDay[[#This Row],[Admin Hours]]*$AM$2+$AM$3,"")</f>
        <v/>
      </c>
      <c r="AN451" s="40">
        <f>SUMIFS(DaybyDay[Est-Admin-Payroll],DaybyDay[Date],"&gt;="&amp;$C$5,DaybyDay[RowYear],"&gt;="&amp;$C$4,DaybyDay[Date],"&lt;="&amp;DaybyDay[[#This Row],[Date]])</f>
        <v>0</v>
      </c>
      <c r="AO451" s="41" t="str">
        <f>IF(AND(DaybyDay[[#This Row],[_Space]],ISNUMBER(DaybyDay[[#This Row],[Admin Hours]])),DaybyDay[[#This Row],[Est-Admin-Payroll]]/(DaybyDay[[#This Row],[Service-Actuals]]+DaybyDay[[#This Row],[Retail-Actuals]]),"")</f>
        <v/>
      </c>
      <c r="AP451" s="41" t="e">
        <f>DaybyDay[[#This Row],[Estimated-Payroll-Rollup]]/DaybyDay[[#This Row],[Simple-Forecast]]</f>
        <v>#DIV/0!</v>
      </c>
      <c r="AQ4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1" s="77"/>
      <c r="AS451" s="40" t="str">
        <f>IF(DaybyDay[[#This Row],[Retail Hours]]&gt;0,DaybyDay[[#This Row],[Retail Hours]]*$AS$2,"")</f>
        <v/>
      </c>
      <c r="AT451" s="40">
        <f>SUMIFS(DaybyDay[Est-Retail-Payroll],DaybyDay[Date],"&gt;="&amp;$C$5,DaybyDay[RowYear],"&gt;="&amp;$C$4,DaybyDay[Date],"&lt;="&amp;DaybyDay[[#This Row],[Date]])</f>
        <v>0</v>
      </c>
      <c r="AU451" s="82" t="str">
        <f>IF(AND(DaybyDay[[#This Row],[_Space]],ISNUMBER(DaybyDay[[#This Row],[Retail Hours]])),DaybyDay[[#This Row],[Est-Retail-Payroll]]/(DaybyDay[[#This Row],[Retail-Actuals]]),"")</f>
        <v/>
      </c>
      <c r="AV451" s="82" t="e">
        <f>DaybyDay[[#This Row],[Est-Retail-PayrollRU]]/DaybyDay[[#This Row],[Simple-Forecast-Retail]]</f>
        <v>#DIV/0!</v>
      </c>
      <c r="AW451" s="8"/>
    </row>
    <row r="452" spans="3:49" hidden="1" x14ac:dyDescent="0.25">
      <c r="C452" s="26" t="str">
        <f>Tools!$C$1</f>
        <v>Example</v>
      </c>
      <c r="D452" s="27" t="s">
        <v>70</v>
      </c>
      <c r="E452" s="28">
        <v>2018</v>
      </c>
      <c r="F452" s="28">
        <f>MATCH(DaybyDay[[#This Row],[RowMonth]],Table3[SummaryMonth],0)</f>
        <v>3</v>
      </c>
      <c r="G452" s="29">
        <f>MATCH(DaybyDay[[#This Row],[LY-Date]],DaybyDay[Date],0)</f>
        <v>82</v>
      </c>
      <c r="H452" s="30">
        <f>WEEKDAY(DaybyDay[[#This Row],[Date]])</f>
        <v>5</v>
      </c>
      <c r="I452" s="31">
        <v>43181</v>
      </c>
      <c r="J452" s="74">
        <v>0</v>
      </c>
      <c r="K452" s="32">
        <f>SUMIFS(BudgetSeasonality[365 Seasonality],BudgetSeasonality[MonthAdjustment],DaybyDay[[#This Row],[Date]])*SUMIFS(Budgets[Service-Budget],Budgets[BudgetMonth],DaybyDay[[#This Row],[RowMonth]],Budgets[BudgetYear],DaybyDay[[#This Row],[RowYear]])</f>
        <v>5432.1179524858553</v>
      </c>
      <c r="L452" s="75">
        <v>10500</v>
      </c>
      <c r="M452" s="32">
        <f>INDEX(BudgetSeasonality[365 Seasonality],MATCH(DaybyDay[[#This Row],[Date]],BudgetSeasonality[MonthAdjustment],0))*SUMIFS(Budgets[Retail-Budget],Budgets[BudgetMonth],DaybyDay[[#This Row],[RowMonth]],Budgets[BudgetYear],DaybyDay[[#This Row],[RowYear]])</f>
        <v>1631.4191072254816</v>
      </c>
      <c r="N452" s="75">
        <v>0</v>
      </c>
      <c r="O452" s="33">
        <f>SUMIFS(DaybyDay[Service-Budgets],DaybyDay[Date],"&gt;="&amp;$C$5,DaybyDay[RowYear],"&gt;="&amp;$C$4,DaybyDay[Date],"&lt;="&amp;DaybyDay[[#This Row],[Date]])</f>
        <v>0</v>
      </c>
      <c r="P452" s="33">
        <f>SUMIFS(DaybyDay[Retail-Budgets],DaybyDay[Date],"&gt;="&amp;$C$5,DaybyDay[RowYear],"&gt;="&amp;$C$4,DaybyDay[Date],"&lt;="&amp;DaybyDay[[#This Row],[Date]])</f>
        <v>0</v>
      </c>
      <c r="Q452" s="34">
        <f>SUMIFS(DaybyDay[Service-Actuals],DaybyDay[Date],"&gt;="&amp;$C$5,DaybyDay[RowYear],"&gt;="&amp;$C$4,DaybyDay[Date],"&lt;="&amp;DaybyDay[[#This Row],[Date]])</f>
        <v>0</v>
      </c>
      <c r="R452" s="34">
        <f>SUMIFS(DaybyDay[Retail-Actuals],DaybyDay[Date],"&gt;="&amp;$C$5,DaybyDay[RowYear],"&gt;="&amp;$C$4,DaybyDay[Date],"&lt;="&amp;DaybyDay[[#This Row],[Date]])</f>
        <v>0</v>
      </c>
      <c r="S452" s="35">
        <f>SUMIFS(DaybyDay[Service-LY],DaybyDay[Date],"&gt;="&amp;$C$5,DaybyDay[RowYear],"&gt;="&amp;$C$4,DaybyDay[Date],"&lt;="&amp;DaybyDay[[#This Row],[Date]])</f>
        <v>0</v>
      </c>
      <c r="T452" s="35">
        <f>SUMIFS(DaybyDay[Retail-LY],DaybyDay[Date],"&gt;="&amp;$C$5,DaybyDay[RowYear],"&gt;="&amp;$C$4,DaybyDay[Date],"&lt;="&amp;DaybyDay[[#This Row],[Date]])</f>
        <v>0</v>
      </c>
      <c r="U452" s="32">
        <f>DaybyDay[[#This Row],[Serv-Bud-RU]]+DaybyDay[[#This Row],[Ret-Bud-RU]]</f>
        <v>0</v>
      </c>
      <c r="V452" s="32">
        <f>DaybyDay[[#This Row],[Serv-Act-RU]]+DaybyDay[[#This Row],[Ret-Act-RU]]</f>
        <v>0</v>
      </c>
      <c r="W452" s="36">
        <f>IF(DaybyDay[[#This Row],[_Space]],IFERROR(
((DaybyDay[[#This Row],[Actual-Rollup]]-DaybyDay[[#This Row],[Budget-Rollup]])/DaybyDay[[#This Row],[Budget-Rollup]]),0),"")</f>
        <v>0</v>
      </c>
      <c r="X452" t="b">
        <f>NOT(AND(ISBLANK(DaybyDay[[#This Row],[Appts]]),ISBLANK(DaybyDay[[#This Row],[Service-Actuals]]),ISBLANK(DaybyDay[[#This Row],[Retail-Actuals]])))</f>
        <v>1</v>
      </c>
      <c r="Y452" s="36">
        <f>IF(DaybyDay[[#This Row],[_Space]],IFERROR(
((DaybyDay[[#This Row],[Actual-Rollup]]-DaybyDay[[#This Row],[LY-Rollup]])/DaybyDay[[#This Row],[LY-Rollup]]),0),"")</f>
        <v>0</v>
      </c>
      <c r="Z452"/>
      <c r="AA452" s="37" t="e">
        <f>IF(DaybyDay[[#This Row],[_Space]],DaybyDay[[#This Row],[Ret-Act-RU]]/DaybyDay[[#This Row],[Serv-Act-RU]],"")</f>
        <v>#DIV/0!</v>
      </c>
      <c r="AB452" s="50" t="e">
        <f>IF(DaybyDay[[#This Row],[_Space]],DaybyDay[[#This Row],[RETPEN-Act]]/DaybyDay[[#This Row],[RETPEN-Bud]],"")</f>
        <v>#DIV/0!</v>
      </c>
      <c r="AC452" s="37" t="e">
        <f>IF(DaybyDay[[#This Row],[_Space]],DaybyDay[[#This Row],[Ret-Bud-RU]]/DaybyDay[[#This Row],[Serv-Bud-RU]],"")</f>
        <v>#DIV/0!</v>
      </c>
      <c r="AD452" s="37" t="e">
        <f>IF(DaybyDay[[#This Row],[_Space]],DaybyDay[[#This Row],[Ret-LY-RU]]/DaybyDay[[#This Row],[Serv-LY-RU]],"")</f>
        <v>#DIV/0!</v>
      </c>
      <c r="AE452" s="30">
        <f>WEEKDAY(DaybyDay[[#This Row],[LY-Date]])</f>
        <v>5</v>
      </c>
      <c r="AF452" s="38">
        <f>$E$2+_xlfn.DAYS(DaybyDay[[#This Row],[Date]],minDate)</f>
        <v>42817</v>
      </c>
      <c r="AG452" s="39" cm="1">
        <f t="array" ref="AG452">IFERROR(INDEX(DaybyDay[],DaybyDay[[#This Row],[FORM_MATCH_HELPER]],8),"")</f>
        <v>9</v>
      </c>
      <c r="AH452" s="39" cm="1">
        <f t="array" ref="AH452">IFERROR(INDEX(DaybyDay[],DaybyDay[[#This Row],[FORM_MATCH_HELPER]],10),"")</f>
        <v>1820</v>
      </c>
      <c r="AI452" s="39" cm="1">
        <f t="array" ref="AI452">IFERROR(INDEX(DaybyDay[],DaybyDay[[#This Row],[FORM_MATCH_HELPER]],12),"")</f>
        <v>0</v>
      </c>
      <c r="AJ452" s="32">
        <f>IFERROR(DaybyDay[[#This Row],[Serv-LY-RU]]+DaybyDay[[#This Row],[Ret-LY-RU]],"")</f>
        <v>0</v>
      </c>
      <c r="AK4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2" s="77"/>
      <c r="AM452" s="40" t="str">
        <f>IF(DaybyDay[[#This Row],[Admin Hours]]&gt;0,DaybyDay[[#This Row],[Admin Hours]]*$AM$2+$AM$3,"")</f>
        <v/>
      </c>
      <c r="AN452" s="40">
        <f>SUMIFS(DaybyDay[Est-Admin-Payroll],DaybyDay[Date],"&gt;="&amp;$C$5,DaybyDay[RowYear],"&gt;="&amp;$C$4,DaybyDay[Date],"&lt;="&amp;DaybyDay[[#This Row],[Date]])</f>
        <v>0</v>
      </c>
      <c r="AO452" s="41" t="str">
        <f>IF(AND(DaybyDay[[#This Row],[_Space]],ISNUMBER(DaybyDay[[#This Row],[Admin Hours]])),DaybyDay[[#This Row],[Est-Admin-Payroll]]/(DaybyDay[[#This Row],[Service-Actuals]]+DaybyDay[[#This Row],[Retail-Actuals]]),"")</f>
        <v/>
      </c>
      <c r="AP452" s="41" t="e">
        <f>DaybyDay[[#This Row],[Estimated-Payroll-Rollup]]/DaybyDay[[#This Row],[Simple-Forecast]]</f>
        <v>#DIV/0!</v>
      </c>
      <c r="AQ4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2" s="77"/>
      <c r="AS452" s="40" t="str">
        <f>IF(DaybyDay[[#This Row],[Retail Hours]]&gt;0,DaybyDay[[#This Row],[Retail Hours]]*$AS$2,"")</f>
        <v/>
      </c>
      <c r="AT452" s="40">
        <f>SUMIFS(DaybyDay[Est-Retail-Payroll],DaybyDay[Date],"&gt;="&amp;$C$5,DaybyDay[RowYear],"&gt;="&amp;$C$4,DaybyDay[Date],"&lt;="&amp;DaybyDay[[#This Row],[Date]])</f>
        <v>0</v>
      </c>
      <c r="AU452" s="82" t="str">
        <f>IF(AND(DaybyDay[[#This Row],[_Space]],ISNUMBER(DaybyDay[[#This Row],[Retail Hours]])),DaybyDay[[#This Row],[Est-Retail-Payroll]]/(DaybyDay[[#This Row],[Retail-Actuals]]),"")</f>
        <v/>
      </c>
      <c r="AV452" s="82" t="e">
        <f>DaybyDay[[#This Row],[Est-Retail-PayrollRU]]/DaybyDay[[#This Row],[Simple-Forecast-Retail]]</f>
        <v>#DIV/0!</v>
      </c>
      <c r="AW452" s="8"/>
    </row>
    <row r="453" spans="3:49" hidden="1" x14ac:dyDescent="0.25">
      <c r="C453" s="26" t="str">
        <f>Tools!$C$1</f>
        <v>Example</v>
      </c>
      <c r="D453" s="27" t="s">
        <v>70</v>
      </c>
      <c r="E453" s="28">
        <v>2018</v>
      </c>
      <c r="F453" s="28">
        <f>MATCH(DaybyDay[[#This Row],[RowMonth]],Table3[SummaryMonth],0)</f>
        <v>3</v>
      </c>
      <c r="G453" s="29">
        <f>MATCH(DaybyDay[[#This Row],[LY-Date]],DaybyDay[Date],0)</f>
        <v>83</v>
      </c>
      <c r="H453" s="30">
        <f>WEEKDAY(DaybyDay[[#This Row],[Date]])</f>
        <v>6</v>
      </c>
      <c r="I453" s="31">
        <v>43182</v>
      </c>
      <c r="J453" s="74">
        <v>0</v>
      </c>
      <c r="K453" s="32">
        <f>SUMIFS(BudgetSeasonality[365 Seasonality],BudgetSeasonality[MonthAdjustment],DaybyDay[[#This Row],[Date]])*SUMIFS(Budgets[Service-Budget],Budgets[BudgetMonth],DaybyDay[[#This Row],[RowMonth]],Budgets[BudgetYear],DaybyDay[[#This Row],[RowYear]])</f>
        <v>6647.250444805195</v>
      </c>
      <c r="L453" s="75">
        <v>10500</v>
      </c>
      <c r="M453" s="32">
        <f>INDEX(BudgetSeasonality[365 Seasonality],MATCH(DaybyDay[[#This Row],[Date]],BudgetSeasonality[MonthAdjustment],0))*SUMIFS(Budgets[Retail-Budget],Budgets[BudgetMonth],DaybyDay[[#This Row],[RowMonth]],Budgets[BudgetYear],DaybyDay[[#This Row],[RowYear]])</f>
        <v>1996.3578628121688</v>
      </c>
      <c r="N453" s="75">
        <v>0</v>
      </c>
      <c r="O453" s="33">
        <f>SUMIFS(DaybyDay[Service-Budgets],DaybyDay[Date],"&gt;="&amp;$C$5,DaybyDay[RowYear],"&gt;="&amp;$C$4,DaybyDay[Date],"&lt;="&amp;DaybyDay[[#This Row],[Date]])</f>
        <v>0</v>
      </c>
      <c r="P453" s="33">
        <f>SUMIFS(DaybyDay[Retail-Budgets],DaybyDay[Date],"&gt;="&amp;$C$5,DaybyDay[RowYear],"&gt;="&amp;$C$4,DaybyDay[Date],"&lt;="&amp;DaybyDay[[#This Row],[Date]])</f>
        <v>0</v>
      </c>
      <c r="Q453" s="34">
        <f>SUMIFS(DaybyDay[Service-Actuals],DaybyDay[Date],"&gt;="&amp;$C$5,DaybyDay[RowYear],"&gt;="&amp;$C$4,DaybyDay[Date],"&lt;="&amp;DaybyDay[[#This Row],[Date]])</f>
        <v>0</v>
      </c>
      <c r="R453" s="34">
        <f>SUMIFS(DaybyDay[Retail-Actuals],DaybyDay[Date],"&gt;="&amp;$C$5,DaybyDay[RowYear],"&gt;="&amp;$C$4,DaybyDay[Date],"&lt;="&amp;DaybyDay[[#This Row],[Date]])</f>
        <v>0</v>
      </c>
      <c r="S453" s="35">
        <f>SUMIFS(DaybyDay[Service-LY],DaybyDay[Date],"&gt;="&amp;$C$5,DaybyDay[RowYear],"&gt;="&amp;$C$4,DaybyDay[Date],"&lt;="&amp;DaybyDay[[#This Row],[Date]])</f>
        <v>0</v>
      </c>
      <c r="T453" s="35">
        <f>SUMIFS(DaybyDay[Retail-LY],DaybyDay[Date],"&gt;="&amp;$C$5,DaybyDay[RowYear],"&gt;="&amp;$C$4,DaybyDay[Date],"&lt;="&amp;DaybyDay[[#This Row],[Date]])</f>
        <v>0</v>
      </c>
      <c r="U453" s="32">
        <f>DaybyDay[[#This Row],[Serv-Bud-RU]]+DaybyDay[[#This Row],[Ret-Bud-RU]]</f>
        <v>0</v>
      </c>
      <c r="V453" s="32">
        <f>DaybyDay[[#This Row],[Serv-Act-RU]]+DaybyDay[[#This Row],[Ret-Act-RU]]</f>
        <v>0</v>
      </c>
      <c r="W453" s="36">
        <f>IF(DaybyDay[[#This Row],[_Space]],IFERROR(
((DaybyDay[[#This Row],[Actual-Rollup]]-DaybyDay[[#This Row],[Budget-Rollup]])/DaybyDay[[#This Row],[Budget-Rollup]]),0),"")</f>
        <v>0</v>
      </c>
      <c r="X453" t="b">
        <f>NOT(AND(ISBLANK(DaybyDay[[#This Row],[Appts]]),ISBLANK(DaybyDay[[#This Row],[Service-Actuals]]),ISBLANK(DaybyDay[[#This Row],[Retail-Actuals]])))</f>
        <v>1</v>
      </c>
      <c r="Y453" s="36">
        <f>IF(DaybyDay[[#This Row],[_Space]],IFERROR(
((DaybyDay[[#This Row],[Actual-Rollup]]-DaybyDay[[#This Row],[LY-Rollup]])/DaybyDay[[#This Row],[LY-Rollup]]),0),"")</f>
        <v>0</v>
      </c>
      <c r="Z453"/>
      <c r="AA453" s="37" t="e">
        <f>IF(DaybyDay[[#This Row],[_Space]],DaybyDay[[#This Row],[Ret-Act-RU]]/DaybyDay[[#This Row],[Serv-Act-RU]],"")</f>
        <v>#DIV/0!</v>
      </c>
      <c r="AB453" s="50" t="e">
        <f>IF(DaybyDay[[#This Row],[_Space]],DaybyDay[[#This Row],[RETPEN-Act]]/DaybyDay[[#This Row],[RETPEN-Bud]],"")</f>
        <v>#DIV/0!</v>
      </c>
      <c r="AC453" s="37" t="e">
        <f>IF(DaybyDay[[#This Row],[_Space]],DaybyDay[[#This Row],[Ret-Bud-RU]]/DaybyDay[[#This Row],[Serv-Bud-RU]],"")</f>
        <v>#DIV/0!</v>
      </c>
      <c r="AD453" s="37" t="e">
        <f>IF(DaybyDay[[#This Row],[_Space]],DaybyDay[[#This Row],[Ret-LY-RU]]/DaybyDay[[#This Row],[Serv-LY-RU]],"")</f>
        <v>#DIV/0!</v>
      </c>
      <c r="AE453" s="30">
        <f>WEEKDAY(DaybyDay[[#This Row],[LY-Date]])</f>
        <v>6</v>
      </c>
      <c r="AF453" s="38">
        <f>$E$2+_xlfn.DAYS(DaybyDay[[#This Row],[Date]],minDate)</f>
        <v>42818</v>
      </c>
      <c r="AG453" s="39" cm="1">
        <f t="array" ref="AG453">IFERROR(INDEX(DaybyDay[],DaybyDay[[#This Row],[FORM_MATCH_HELPER]],8),"")</f>
        <v>23</v>
      </c>
      <c r="AH453" s="39" cm="1">
        <f t="array" ref="AH453">IFERROR(INDEX(DaybyDay[],DaybyDay[[#This Row],[FORM_MATCH_HELPER]],10),"")</f>
        <v>5708</v>
      </c>
      <c r="AI453" s="39" cm="1">
        <f t="array" ref="AI453">IFERROR(INDEX(DaybyDay[],DaybyDay[[#This Row],[FORM_MATCH_HELPER]],12),"")</f>
        <v>505</v>
      </c>
      <c r="AJ453" s="32">
        <f>IFERROR(DaybyDay[[#This Row],[Serv-LY-RU]]+DaybyDay[[#This Row],[Ret-LY-RU]],"")</f>
        <v>0</v>
      </c>
      <c r="AK4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3" s="77"/>
      <c r="AM453" s="40" t="str">
        <f>IF(DaybyDay[[#This Row],[Admin Hours]]&gt;0,DaybyDay[[#This Row],[Admin Hours]]*$AM$2+$AM$3,"")</f>
        <v/>
      </c>
      <c r="AN453" s="40">
        <f>SUMIFS(DaybyDay[Est-Admin-Payroll],DaybyDay[Date],"&gt;="&amp;$C$5,DaybyDay[RowYear],"&gt;="&amp;$C$4,DaybyDay[Date],"&lt;="&amp;DaybyDay[[#This Row],[Date]])</f>
        <v>0</v>
      </c>
      <c r="AO453" s="41" t="str">
        <f>IF(AND(DaybyDay[[#This Row],[_Space]],ISNUMBER(DaybyDay[[#This Row],[Admin Hours]])),DaybyDay[[#This Row],[Est-Admin-Payroll]]/(DaybyDay[[#This Row],[Service-Actuals]]+DaybyDay[[#This Row],[Retail-Actuals]]),"")</f>
        <v/>
      </c>
      <c r="AP453" s="41" t="e">
        <f>DaybyDay[[#This Row],[Estimated-Payroll-Rollup]]/DaybyDay[[#This Row],[Simple-Forecast]]</f>
        <v>#DIV/0!</v>
      </c>
      <c r="AQ4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3" s="77"/>
      <c r="AS453" s="40" t="str">
        <f>IF(DaybyDay[[#This Row],[Retail Hours]]&gt;0,DaybyDay[[#This Row],[Retail Hours]]*$AS$2,"")</f>
        <v/>
      </c>
      <c r="AT453" s="40">
        <f>SUMIFS(DaybyDay[Est-Retail-Payroll],DaybyDay[Date],"&gt;="&amp;$C$5,DaybyDay[RowYear],"&gt;="&amp;$C$4,DaybyDay[Date],"&lt;="&amp;DaybyDay[[#This Row],[Date]])</f>
        <v>0</v>
      </c>
      <c r="AU453" s="82" t="str">
        <f>IF(AND(DaybyDay[[#This Row],[_Space]],ISNUMBER(DaybyDay[[#This Row],[Retail Hours]])),DaybyDay[[#This Row],[Est-Retail-Payroll]]/(DaybyDay[[#This Row],[Retail-Actuals]]),"")</f>
        <v/>
      </c>
      <c r="AV453" s="82" t="e">
        <f>DaybyDay[[#This Row],[Est-Retail-PayrollRU]]/DaybyDay[[#This Row],[Simple-Forecast-Retail]]</f>
        <v>#DIV/0!</v>
      </c>
      <c r="AW453" s="8"/>
    </row>
    <row r="454" spans="3:49" hidden="1" x14ac:dyDescent="0.25">
      <c r="C454" s="26" t="str">
        <f>Tools!$C$1</f>
        <v>Example</v>
      </c>
      <c r="D454" s="27" t="s">
        <v>70</v>
      </c>
      <c r="E454" s="28">
        <v>2018</v>
      </c>
      <c r="F454" s="28">
        <f>MATCH(DaybyDay[[#This Row],[RowMonth]],Table3[SummaryMonth],0)</f>
        <v>3</v>
      </c>
      <c r="G454" s="29">
        <f>MATCH(DaybyDay[[#This Row],[LY-Date]],DaybyDay[Date],0)</f>
        <v>84</v>
      </c>
      <c r="H454" s="30">
        <f>WEEKDAY(DaybyDay[[#This Row],[Date]])</f>
        <v>7</v>
      </c>
      <c r="I454" s="31">
        <v>43183</v>
      </c>
      <c r="J454" s="74">
        <v>0</v>
      </c>
      <c r="K454" s="32">
        <f>SUMIFS(BudgetSeasonality[365 Seasonality],BudgetSeasonality[MonthAdjustment],DaybyDay[[#This Row],[Date]])*SUMIFS(Budgets[Service-Budget],Budgets[BudgetMonth],DaybyDay[[#This Row],[RowMonth]],Budgets[BudgetYear],DaybyDay[[#This Row],[RowYear]])</f>
        <v>9103.4646798344656</v>
      </c>
      <c r="L454" s="75">
        <v>10500</v>
      </c>
      <c r="M454" s="32">
        <f>INDEX(BudgetSeasonality[365 Seasonality],MATCH(DaybyDay[[#This Row],[Date]],BudgetSeasonality[MonthAdjustment],0))*SUMIFS(Budgets[Retail-Budget],Budgets[BudgetMonth],DaybyDay[[#This Row],[RowMonth]],Budgets[BudgetYear],DaybyDay[[#This Row],[RowYear]])</f>
        <v>2734.0286699477592</v>
      </c>
      <c r="N454" s="75">
        <v>0</v>
      </c>
      <c r="O454" s="33">
        <f>SUMIFS(DaybyDay[Service-Budgets],DaybyDay[Date],"&gt;="&amp;$C$5,DaybyDay[RowYear],"&gt;="&amp;$C$4,DaybyDay[Date],"&lt;="&amp;DaybyDay[[#This Row],[Date]])</f>
        <v>0</v>
      </c>
      <c r="P454" s="33">
        <f>SUMIFS(DaybyDay[Retail-Budgets],DaybyDay[Date],"&gt;="&amp;$C$5,DaybyDay[RowYear],"&gt;="&amp;$C$4,DaybyDay[Date],"&lt;="&amp;DaybyDay[[#This Row],[Date]])</f>
        <v>0</v>
      </c>
      <c r="Q454" s="34">
        <f>SUMIFS(DaybyDay[Service-Actuals],DaybyDay[Date],"&gt;="&amp;$C$5,DaybyDay[RowYear],"&gt;="&amp;$C$4,DaybyDay[Date],"&lt;="&amp;DaybyDay[[#This Row],[Date]])</f>
        <v>0</v>
      </c>
      <c r="R454" s="34">
        <f>SUMIFS(DaybyDay[Retail-Actuals],DaybyDay[Date],"&gt;="&amp;$C$5,DaybyDay[RowYear],"&gt;="&amp;$C$4,DaybyDay[Date],"&lt;="&amp;DaybyDay[[#This Row],[Date]])</f>
        <v>0</v>
      </c>
      <c r="S454" s="35">
        <f>SUMIFS(DaybyDay[Service-LY],DaybyDay[Date],"&gt;="&amp;$C$5,DaybyDay[RowYear],"&gt;="&amp;$C$4,DaybyDay[Date],"&lt;="&amp;DaybyDay[[#This Row],[Date]])</f>
        <v>0</v>
      </c>
      <c r="T454" s="35">
        <f>SUMIFS(DaybyDay[Retail-LY],DaybyDay[Date],"&gt;="&amp;$C$5,DaybyDay[RowYear],"&gt;="&amp;$C$4,DaybyDay[Date],"&lt;="&amp;DaybyDay[[#This Row],[Date]])</f>
        <v>0</v>
      </c>
      <c r="U454" s="32">
        <f>DaybyDay[[#This Row],[Serv-Bud-RU]]+DaybyDay[[#This Row],[Ret-Bud-RU]]</f>
        <v>0</v>
      </c>
      <c r="V454" s="32">
        <f>DaybyDay[[#This Row],[Serv-Act-RU]]+DaybyDay[[#This Row],[Ret-Act-RU]]</f>
        <v>0</v>
      </c>
      <c r="W454" s="36">
        <f>IF(DaybyDay[[#This Row],[_Space]],IFERROR(
((DaybyDay[[#This Row],[Actual-Rollup]]-DaybyDay[[#This Row],[Budget-Rollup]])/DaybyDay[[#This Row],[Budget-Rollup]]),0),"")</f>
        <v>0</v>
      </c>
      <c r="X454" t="b">
        <f>NOT(AND(ISBLANK(DaybyDay[[#This Row],[Appts]]),ISBLANK(DaybyDay[[#This Row],[Service-Actuals]]),ISBLANK(DaybyDay[[#This Row],[Retail-Actuals]])))</f>
        <v>1</v>
      </c>
      <c r="Y454" s="36">
        <f>IF(DaybyDay[[#This Row],[_Space]],IFERROR(
((DaybyDay[[#This Row],[Actual-Rollup]]-DaybyDay[[#This Row],[LY-Rollup]])/DaybyDay[[#This Row],[LY-Rollup]]),0),"")</f>
        <v>0</v>
      </c>
      <c r="Z454"/>
      <c r="AA454" s="37" t="e">
        <f>IF(DaybyDay[[#This Row],[_Space]],DaybyDay[[#This Row],[Ret-Act-RU]]/DaybyDay[[#This Row],[Serv-Act-RU]],"")</f>
        <v>#DIV/0!</v>
      </c>
      <c r="AB454" s="50" t="e">
        <f>IF(DaybyDay[[#This Row],[_Space]],DaybyDay[[#This Row],[RETPEN-Act]]/DaybyDay[[#This Row],[RETPEN-Bud]],"")</f>
        <v>#DIV/0!</v>
      </c>
      <c r="AC454" s="37" t="e">
        <f>IF(DaybyDay[[#This Row],[_Space]],DaybyDay[[#This Row],[Ret-Bud-RU]]/DaybyDay[[#This Row],[Serv-Bud-RU]],"")</f>
        <v>#DIV/0!</v>
      </c>
      <c r="AD454" s="37" t="e">
        <f>IF(DaybyDay[[#This Row],[_Space]],DaybyDay[[#This Row],[Ret-LY-RU]]/DaybyDay[[#This Row],[Serv-LY-RU]],"")</f>
        <v>#DIV/0!</v>
      </c>
      <c r="AE454" s="30">
        <f>WEEKDAY(DaybyDay[[#This Row],[LY-Date]])</f>
        <v>7</v>
      </c>
      <c r="AF454" s="38">
        <f>$E$2+_xlfn.DAYS(DaybyDay[[#This Row],[Date]],minDate)</f>
        <v>42819</v>
      </c>
      <c r="AG454" s="39" cm="1">
        <f t="array" ref="AG454">IFERROR(INDEX(DaybyDay[],DaybyDay[[#This Row],[FORM_MATCH_HELPER]],8),"")</f>
        <v>28</v>
      </c>
      <c r="AH454" s="39" cm="1">
        <f t="array" ref="AH454">IFERROR(INDEX(DaybyDay[],DaybyDay[[#This Row],[FORM_MATCH_HELPER]],10),"")</f>
        <v>6509.2</v>
      </c>
      <c r="AI454" s="39" cm="1">
        <f t="array" ref="AI454">IFERROR(INDEX(DaybyDay[],DaybyDay[[#This Row],[FORM_MATCH_HELPER]],12),"")</f>
        <v>-761.5</v>
      </c>
      <c r="AJ454" s="32">
        <f>IFERROR(DaybyDay[[#This Row],[Serv-LY-RU]]+DaybyDay[[#This Row],[Ret-LY-RU]],"")</f>
        <v>0</v>
      </c>
      <c r="AK4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4" s="77"/>
      <c r="AM454" s="40" t="str">
        <f>IF(DaybyDay[[#This Row],[Admin Hours]]&gt;0,DaybyDay[[#This Row],[Admin Hours]]*$AM$2+$AM$3,"")</f>
        <v/>
      </c>
      <c r="AN454" s="40">
        <f>SUMIFS(DaybyDay[Est-Admin-Payroll],DaybyDay[Date],"&gt;="&amp;$C$5,DaybyDay[RowYear],"&gt;="&amp;$C$4,DaybyDay[Date],"&lt;="&amp;DaybyDay[[#This Row],[Date]])</f>
        <v>0</v>
      </c>
      <c r="AO454" s="41" t="str">
        <f>IF(AND(DaybyDay[[#This Row],[_Space]],ISNUMBER(DaybyDay[[#This Row],[Admin Hours]])),DaybyDay[[#This Row],[Est-Admin-Payroll]]/(DaybyDay[[#This Row],[Service-Actuals]]+DaybyDay[[#This Row],[Retail-Actuals]]),"")</f>
        <v/>
      </c>
      <c r="AP454" s="41" t="e">
        <f>DaybyDay[[#This Row],[Estimated-Payroll-Rollup]]/DaybyDay[[#This Row],[Simple-Forecast]]</f>
        <v>#DIV/0!</v>
      </c>
      <c r="AQ4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4" s="77"/>
      <c r="AS454" s="40" t="str">
        <f>IF(DaybyDay[[#This Row],[Retail Hours]]&gt;0,DaybyDay[[#This Row],[Retail Hours]]*$AS$2,"")</f>
        <v/>
      </c>
      <c r="AT454" s="40">
        <f>SUMIFS(DaybyDay[Est-Retail-Payroll],DaybyDay[Date],"&gt;="&amp;$C$5,DaybyDay[RowYear],"&gt;="&amp;$C$4,DaybyDay[Date],"&lt;="&amp;DaybyDay[[#This Row],[Date]])</f>
        <v>0</v>
      </c>
      <c r="AU454" s="82" t="str">
        <f>IF(AND(DaybyDay[[#This Row],[_Space]],ISNUMBER(DaybyDay[[#This Row],[Retail Hours]])),DaybyDay[[#This Row],[Est-Retail-Payroll]]/(DaybyDay[[#This Row],[Retail-Actuals]]),"")</f>
        <v/>
      </c>
      <c r="AV454" s="82" t="e">
        <f>DaybyDay[[#This Row],[Est-Retail-PayrollRU]]/DaybyDay[[#This Row],[Simple-Forecast-Retail]]</f>
        <v>#DIV/0!</v>
      </c>
      <c r="AW454" s="8"/>
    </row>
    <row r="455" spans="3:49" hidden="1" x14ac:dyDescent="0.25">
      <c r="C455" s="26" t="str">
        <f>Tools!$C$1</f>
        <v>Example</v>
      </c>
      <c r="D455" s="27" t="s">
        <v>70</v>
      </c>
      <c r="E455" s="28">
        <v>2018</v>
      </c>
      <c r="F455" s="28">
        <f>MATCH(DaybyDay[[#This Row],[RowMonth]],Table3[SummaryMonth],0)</f>
        <v>3</v>
      </c>
      <c r="G455" s="29">
        <f>MATCH(DaybyDay[[#This Row],[LY-Date]],DaybyDay[Date],0)</f>
        <v>85</v>
      </c>
      <c r="H455" s="30">
        <f>WEEKDAY(DaybyDay[[#This Row],[Date]])</f>
        <v>1</v>
      </c>
      <c r="I455" s="31">
        <v>43184</v>
      </c>
      <c r="J455" s="74">
        <v>0</v>
      </c>
      <c r="K455" s="32">
        <f>SUMIFS(BudgetSeasonality[365 Seasonality],BudgetSeasonality[MonthAdjustment],DaybyDay[[#This Row],[Date]])*SUMIFS(Budgets[Service-Budget],Budgets[BudgetMonth],DaybyDay[[#This Row],[RowMonth]],Budgets[BudgetYear],DaybyDay[[#This Row],[RowYear]])</f>
        <v>7412.70650174806</v>
      </c>
      <c r="L455" s="75">
        <v>10500</v>
      </c>
      <c r="M455" s="32">
        <f>INDEX(BudgetSeasonality[365 Seasonality],MATCH(DaybyDay[[#This Row],[Date]],BudgetSeasonality[MonthAdjustment],0))*SUMIFS(Budgets[Retail-Budget],Budgets[BudgetMonth],DaybyDay[[#This Row],[RowMonth]],Budgets[BudgetYear],DaybyDay[[#This Row],[RowYear]])</f>
        <v>2226.2460294464368</v>
      </c>
      <c r="N455" s="75">
        <v>0</v>
      </c>
      <c r="O455" s="33">
        <f>SUMIFS(DaybyDay[Service-Budgets],DaybyDay[Date],"&gt;="&amp;$C$5,DaybyDay[RowYear],"&gt;="&amp;$C$4,DaybyDay[Date],"&lt;="&amp;DaybyDay[[#This Row],[Date]])</f>
        <v>0</v>
      </c>
      <c r="P455" s="33">
        <f>SUMIFS(DaybyDay[Retail-Budgets],DaybyDay[Date],"&gt;="&amp;$C$5,DaybyDay[RowYear],"&gt;="&amp;$C$4,DaybyDay[Date],"&lt;="&amp;DaybyDay[[#This Row],[Date]])</f>
        <v>0</v>
      </c>
      <c r="Q455" s="34">
        <f>SUMIFS(DaybyDay[Service-Actuals],DaybyDay[Date],"&gt;="&amp;$C$5,DaybyDay[RowYear],"&gt;="&amp;$C$4,DaybyDay[Date],"&lt;="&amp;DaybyDay[[#This Row],[Date]])</f>
        <v>0</v>
      </c>
      <c r="R455" s="34">
        <f>SUMIFS(DaybyDay[Retail-Actuals],DaybyDay[Date],"&gt;="&amp;$C$5,DaybyDay[RowYear],"&gt;="&amp;$C$4,DaybyDay[Date],"&lt;="&amp;DaybyDay[[#This Row],[Date]])</f>
        <v>0</v>
      </c>
      <c r="S455" s="35">
        <f>SUMIFS(DaybyDay[Service-LY],DaybyDay[Date],"&gt;="&amp;$C$5,DaybyDay[RowYear],"&gt;="&amp;$C$4,DaybyDay[Date],"&lt;="&amp;DaybyDay[[#This Row],[Date]])</f>
        <v>0</v>
      </c>
      <c r="T455" s="35">
        <f>SUMIFS(DaybyDay[Retail-LY],DaybyDay[Date],"&gt;="&amp;$C$5,DaybyDay[RowYear],"&gt;="&amp;$C$4,DaybyDay[Date],"&lt;="&amp;DaybyDay[[#This Row],[Date]])</f>
        <v>0</v>
      </c>
      <c r="U455" s="32">
        <f>DaybyDay[[#This Row],[Serv-Bud-RU]]+DaybyDay[[#This Row],[Ret-Bud-RU]]</f>
        <v>0</v>
      </c>
      <c r="V455" s="32">
        <f>DaybyDay[[#This Row],[Serv-Act-RU]]+DaybyDay[[#This Row],[Ret-Act-RU]]</f>
        <v>0</v>
      </c>
      <c r="W455" s="36">
        <f>IF(DaybyDay[[#This Row],[_Space]],IFERROR(
((DaybyDay[[#This Row],[Actual-Rollup]]-DaybyDay[[#This Row],[Budget-Rollup]])/DaybyDay[[#This Row],[Budget-Rollup]]),0),"")</f>
        <v>0</v>
      </c>
      <c r="X455" t="b">
        <f>NOT(AND(ISBLANK(DaybyDay[[#This Row],[Appts]]),ISBLANK(DaybyDay[[#This Row],[Service-Actuals]]),ISBLANK(DaybyDay[[#This Row],[Retail-Actuals]])))</f>
        <v>1</v>
      </c>
      <c r="Y455" s="36">
        <f>IF(DaybyDay[[#This Row],[_Space]],IFERROR(
((DaybyDay[[#This Row],[Actual-Rollup]]-DaybyDay[[#This Row],[LY-Rollup]])/DaybyDay[[#This Row],[LY-Rollup]]),0),"")</f>
        <v>0</v>
      </c>
      <c r="Z455"/>
      <c r="AA455" s="37" t="e">
        <f>IF(DaybyDay[[#This Row],[_Space]],DaybyDay[[#This Row],[Ret-Act-RU]]/DaybyDay[[#This Row],[Serv-Act-RU]],"")</f>
        <v>#DIV/0!</v>
      </c>
      <c r="AB455" s="50" t="e">
        <f>IF(DaybyDay[[#This Row],[_Space]],DaybyDay[[#This Row],[RETPEN-Act]]/DaybyDay[[#This Row],[RETPEN-Bud]],"")</f>
        <v>#DIV/0!</v>
      </c>
      <c r="AC455" s="37" t="e">
        <f>IF(DaybyDay[[#This Row],[_Space]],DaybyDay[[#This Row],[Ret-Bud-RU]]/DaybyDay[[#This Row],[Serv-Bud-RU]],"")</f>
        <v>#DIV/0!</v>
      </c>
      <c r="AD455" s="37" t="e">
        <f>IF(DaybyDay[[#This Row],[_Space]],DaybyDay[[#This Row],[Ret-LY-RU]]/DaybyDay[[#This Row],[Serv-LY-RU]],"")</f>
        <v>#DIV/0!</v>
      </c>
      <c r="AE455" s="30">
        <f>WEEKDAY(DaybyDay[[#This Row],[LY-Date]])</f>
        <v>1</v>
      </c>
      <c r="AF455" s="38">
        <f>$E$2+_xlfn.DAYS(DaybyDay[[#This Row],[Date]],minDate)</f>
        <v>42820</v>
      </c>
      <c r="AG455" s="39" cm="1">
        <f t="array" ref="AG455">IFERROR(INDEX(DaybyDay[],DaybyDay[[#This Row],[FORM_MATCH_HELPER]],8),"")</f>
        <v>36</v>
      </c>
      <c r="AH455" s="39" cm="1">
        <f t="array" ref="AH455">IFERROR(INDEX(DaybyDay[],DaybyDay[[#This Row],[FORM_MATCH_HELPER]],10),"")</f>
        <v>4885.5</v>
      </c>
      <c r="AI455" s="39" cm="1">
        <f t="array" ref="AI455">IFERROR(INDEX(DaybyDay[],DaybyDay[[#This Row],[FORM_MATCH_HELPER]],12),"")</f>
        <v>266</v>
      </c>
      <c r="AJ455" s="32">
        <f>IFERROR(DaybyDay[[#This Row],[Serv-LY-RU]]+DaybyDay[[#This Row],[Ret-LY-RU]],"")</f>
        <v>0</v>
      </c>
      <c r="AK4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5" s="77"/>
      <c r="AM455" s="40" t="str">
        <f>IF(DaybyDay[[#This Row],[Admin Hours]]&gt;0,DaybyDay[[#This Row],[Admin Hours]]*$AM$2+$AM$3,"")</f>
        <v/>
      </c>
      <c r="AN455" s="40">
        <f>SUMIFS(DaybyDay[Est-Admin-Payroll],DaybyDay[Date],"&gt;="&amp;$C$5,DaybyDay[RowYear],"&gt;="&amp;$C$4,DaybyDay[Date],"&lt;="&amp;DaybyDay[[#This Row],[Date]])</f>
        <v>0</v>
      </c>
      <c r="AO455" s="41" t="str">
        <f>IF(AND(DaybyDay[[#This Row],[_Space]],ISNUMBER(DaybyDay[[#This Row],[Admin Hours]])),DaybyDay[[#This Row],[Est-Admin-Payroll]]/(DaybyDay[[#This Row],[Service-Actuals]]+DaybyDay[[#This Row],[Retail-Actuals]]),"")</f>
        <v/>
      </c>
      <c r="AP455" s="41" t="e">
        <f>DaybyDay[[#This Row],[Estimated-Payroll-Rollup]]/DaybyDay[[#This Row],[Simple-Forecast]]</f>
        <v>#DIV/0!</v>
      </c>
      <c r="AQ4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5" s="77"/>
      <c r="AS455" s="40" t="str">
        <f>IF(DaybyDay[[#This Row],[Retail Hours]]&gt;0,DaybyDay[[#This Row],[Retail Hours]]*$AS$2,"")</f>
        <v/>
      </c>
      <c r="AT455" s="40">
        <f>SUMIFS(DaybyDay[Est-Retail-Payroll],DaybyDay[Date],"&gt;="&amp;$C$5,DaybyDay[RowYear],"&gt;="&amp;$C$4,DaybyDay[Date],"&lt;="&amp;DaybyDay[[#This Row],[Date]])</f>
        <v>0</v>
      </c>
      <c r="AU455" s="82" t="str">
        <f>IF(AND(DaybyDay[[#This Row],[_Space]],ISNUMBER(DaybyDay[[#This Row],[Retail Hours]])),DaybyDay[[#This Row],[Est-Retail-Payroll]]/(DaybyDay[[#This Row],[Retail-Actuals]]),"")</f>
        <v/>
      </c>
      <c r="AV455" s="82" t="e">
        <f>DaybyDay[[#This Row],[Est-Retail-PayrollRU]]/DaybyDay[[#This Row],[Simple-Forecast-Retail]]</f>
        <v>#DIV/0!</v>
      </c>
      <c r="AW455" s="8"/>
    </row>
    <row r="456" spans="3:49" hidden="1" x14ac:dyDescent="0.25">
      <c r="C456" s="26" t="str">
        <f>Tools!$C$1</f>
        <v>Example</v>
      </c>
      <c r="D456" s="27" t="s">
        <v>70</v>
      </c>
      <c r="E456" s="28">
        <v>2018</v>
      </c>
      <c r="F456" s="28">
        <f>MATCH(DaybyDay[[#This Row],[RowMonth]],Table3[SummaryMonth],0)</f>
        <v>3</v>
      </c>
      <c r="G456" s="29">
        <f>MATCH(DaybyDay[[#This Row],[LY-Date]],DaybyDay[Date],0)</f>
        <v>86</v>
      </c>
      <c r="H456" s="30">
        <f>WEEKDAY(DaybyDay[[#This Row],[Date]])</f>
        <v>2</v>
      </c>
      <c r="I456" s="31">
        <v>43185</v>
      </c>
      <c r="J456" s="74">
        <v>0</v>
      </c>
      <c r="K456" s="32">
        <f>SUMIFS(BudgetSeasonality[365 Seasonality],BudgetSeasonality[MonthAdjustment],DaybyDay[[#This Row],[Date]])*SUMIFS(Budgets[Service-Budget],Budgets[BudgetMonth],DaybyDay[[#This Row],[RowMonth]],Budgets[BudgetYear],DaybyDay[[#This Row],[RowYear]])</f>
        <v>4900.3538760373376</v>
      </c>
      <c r="L456" s="75">
        <v>10280</v>
      </c>
      <c r="M456" s="32">
        <f>INDEX(BudgetSeasonality[365 Seasonality],MATCH(DaybyDay[[#This Row],[Date]],BudgetSeasonality[MonthAdjustment],0))*SUMIFS(Budgets[Retail-Budget],Budgets[BudgetMonth],DaybyDay[[#This Row],[RowMonth]],Budgets[BudgetYear],DaybyDay[[#This Row],[RowYear]])</f>
        <v>1471.7152711817109</v>
      </c>
      <c r="N456" s="75">
        <v>0</v>
      </c>
      <c r="O456" s="33">
        <f>SUMIFS(DaybyDay[Service-Budgets],DaybyDay[Date],"&gt;="&amp;$C$5,DaybyDay[RowYear],"&gt;="&amp;$C$4,DaybyDay[Date],"&lt;="&amp;DaybyDay[[#This Row],[Date]])</f>
        <v>0</v>
      </c>
      <c r="P456" s="33">
        <f>SUMIFS(DaybyDay[Retail-Budgets],DaybyDay[Date],"&gt;="&amp;$C$5,DaybyDay[RowYear],"&gt;="&amp;$C$4,DaybyDay[Date],"&lt;="&amp;DaybyDay[[#This Row],[Date]])</f>
        <v>0</v>
      </c>
      <c r="Q456" s="34">
        <f>SUMIFS(DaybyDay[Service-Actuals],DaybyDay[Date],"&gt;="&amp;$C$5,DaybyDay[RowYear],"&gt;="&amp;$C$4,DaybyDay[Date],"&lt;="&amp;DaybyDay[[#This Row],[Date]])</f>
        <v>0</v>
      </c>
      <c r="R456" s="34">
        <f>SUMIFS(DaybyDay[Retail-Actuals],DaybyDay[Date],"&gt;="&amp;$C$5,DaybyDay[RowYear],"&gt;="&amp;$C$4,DaybyDay[Date],"&lt;="&amp;DaybyDay[[#This Row],[Date]])</f>
        <v>0</v>
      </c>
      <c r="S456" s="35">
        <f>SUMIFS(DaybyDay[Service-LY],DaybyDay[Date],"&gt;="&amp;$C$5,DaybyDay[RowYear],"&gt;="&amp;$C$4,DaybyDay[Date],"&lt;="&amp;DaybyDay[[#This Row],[Date]])</f>
        <v>0</v>
      </c>
      <c r="T456" s="35">
        <f>SUMIFS(DaybyDay[Retail-LY],DaybyDay[Date],"&gt;="&amp;$C$5,DaybyDay[RowYear],"&gt;="&amp;$C$4,DaybyDay[Date],"&lt;="&amp;DaybyDay[[#This Row],[Date]])</f>
        <v>0</v>
      </c>
      <c r="U456" s="32">
        <f>DaybyDay[[#This Row],[Serv-Bud-RU]]+DaybyDay[[#This Row],[Ret-Bud-RU]]</f>
        <v>0</v>
      </c>
      <c r="V456" s="32">
        <f>DaybyDay[[#This Row],[Serv-Act-RU]]+DaybyDay[[#This Row],[Ret-Act-RU]]</f>
        <v>0</v>
      </c>
      <c r="W456" s="36">
        <f>IF(DaybyDay[[#This Row],[_Space]],IFERROR(
((DaybyDay[[#This Row],[Actual-Rollup]]-DaybyDay[[#This Row],[Budget-Rollup]])/DaybyDay[[#This Row],[Budget-Rollup]]),0),"")</f>
        <v>0</v>
      </c>
      <c r="X456" t="b">
        <f>NOT(AND(ISBLANK(DaybyDay[[#This Row],[Appts]]),ISBLANK(DaybyDay[[#This Row],[Service-Actuals]]),ISBLANK(DaybyDay[[#This Row],[Retail-Actuals]])))</f>
        <v>1</v>
      </c>
      <c r="Y456" s="36">
        <f>IF(DaybyDay[[#This Row],[_Space]],IFERROR(
((DaybyDay[[#This Row],[Actual-Rollup]]-DaybyDay[[#This Row],[LY-Rollup]])/DaybyDay[[#This Row],[LY-Rollup]]),0),"")</f>
        <v>0</v>
      </c>
      <c r="Z456"/>
      <c r="AA456" s="37" t="e">
        <f>IF(DaybyDay[[#This Row],[_Space]],DaybyDay[[#This Row],[Ret-Act-RU]]/DaybyDay[[#This Row],[Serv-Act-RU]],"")</f>
        <v>#DIV/0!</v>
      </c>
      <c r="AB456" s="50" t="e">
        <f>IF(DaybyDay[[#This Row],[_Space]],DaybyDay[[#This Row],[RETPEN-Act]]/DaybyDay[[#This Row],[RETPEN-Bud]],"")</f>
        <v>#DIV/0!</v>
      </c>
      <c r="AC456" s="37" t="e">
        <f>IF(DaybyDay[[#This Row],[_Space]],DaybyDay[[#This Row],[Ret-Bud-RU]]/DaybyDay[[#This Row],[Serv-Bud-RU]],"")</f>
        <v>#DIV/0!</v>
      </c>
      <c r="AD456" s="37" t="e">
        <f>IF(DaybyDay[[#This Row],[_Space]],DaybyDay[[#This Row],[Ret-LY-RU]]/DaybyDay[[#This Row],[Serv-LY-RU]],"")</f>
        <v>#DIV/0!</v>
      </c>
      <c r="AE456" s="30">
        <f>WEEKDAY(DaybyDay[[#This Row],[LY-Date]])</f>
        <v>2</v>
      </c>
      <c r="AF456" s="38">
        <f>$E$2+_xlfn.DAYS(DaybyDay[[#This Row],[Date]],minDate)</f>
        <v>42821</v>
      </c>
      <c r="AG456" s="39" cm="1">
        <f t="array" ref="AG456">IFERROR(INDEX(DaybyDay[],DaybyDay[[#This Row],[FORM_MATCH_HELPER]],8),"")</f>
        <v>10</v>
      </c>
      <c r="AH456" s="39" cm="1">
        <f t="array" ref="AH456">IFERROR(INDEX(DaybyDay[],DaybyDay[[#This Row],[FORM_MATCH_HELPER]],10),"")</f>
        <v>1470.8</v>
      </c>
      <c r="AI456" s="39" cm="1">
        <f t="array" ref="AI456">IFERROR(INDEX(DaybyDay[],DaybyDay[[#This Row],[FORM_MATCH_HELPER]],12),"")</f>
        <v>569.90000000000009</v>
      </c>
      <c r="AJ456" s="32">
        <f>IFERROR(DaybyDay[[#This Row],[Serv-LY-RU]]+DaybyDay[[#This Row],[Ret-LY-RU]],"")</f>
        <v>0</v>
      </c>
      <c r="AK4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6" s="77"/>
      <c r="AM456" s="40" t="str">
        <f>IF(DaybyDay[[#This Row],[Admin Hours]]&gt;0,DaybyDay[[#This Row],[Admin Hours]]*$AM$2+$AM$3,"")</f>
        <v/>
      </c>
      <c r="AN456" s="40">
        <f>SUMIFS(DaybyDay[Est-Admin-Payroll],DaybyDay[Date],"&gt;="&amp;$C$5,DaybyDay[RowYear],"&gt;="&amp;$C$4,DaybyDay[Date],"&lt;="&amp;DaybyDay[[#This Row],[Date]])</f>
        <v>0</v>
      </c>
      <c r="AO456" s="41" t="str">
        <f>IF(AND(DaybyDay[[#This Row],[_Space]],ISNUMBER(DaybyDay[[#This Row],[Admin Hours]])),DaybyDay[[#This Row],[Est-Admin-Payroll]]/(DaybyDay[[#This Row],[Service-Actuals]]+DaybyDay[[#This Row],[Retail-Actuals]]),"")</f>
        <v/>
      </c>
      <c r="AP456" s="41" t="e">
        <f>DaybyDay[[#This Row],[Estimated-Payroll-Rollup]]/DaybyDay[[#This Row],[Simple-Forecast]]</f>
        <v>#DIV/0!</v>
      </c>
      <c r="AQ4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6" s="77"/>
      <c r="AS456" s="40" t="str">
        <f>IF(DaybyDay[[#This Row],[Retail Hours]]&gt;0,DaybyDay[[#This Row],[Retail Hours]]*$AS$2,"")</f>
        <v/>
      </c>
      <c r="AT456" s="40">
        <f>SUMIFS(DaybyDay[Est-Retail-Payroll],DaybyDay[Date],"&gt;="&amp;$C$5,DaybyDay[RowYear],"&gt;="&amp;$C$4,DaybyDay[Date],"&lt;="&amp;DaybyDay[[#This Row],[Date]])</f>
        <v>0</v>
      </c>
      <c r="AU456" s="82" t="str">
        <f>IF(AND(DaybyDay[[#This Row],[_Space]],ISNUMBER(DaybyDay[[#This Row],[Retail Hours]])),DaybyDay[[#This Row],[Est-Retail-Payroll]]/(DaybyDay[[#This Row],[Retail-Actuals]]),"")</f>
        <v/>
      </c>
      <c r="AV456" s="82" t="e">
        <f>DaybyDay[[#This Row],[Est-Retail-PayrollRU]]/DaybyDay[[#This Row],[Simple-Forecast-Retail]]</f>
        <v>#DIV/0!</v>
      </c>
      <c r="AW456" s="8"/>
    </row>
    <row r="457" spans="3:49" hidden="1" x14ac:dyDescent="0.25">
      <c r="C457" s="26" t="str">
        <f>Tools!$C$1</f>
        <v>Example</v>
      </c>
      <c r="D457" s="27" t="s">
        <v>70</v>
      </c>
      <c r="E457" s="28">
        <v>2018</v>
      </c>
      <c r="F457" s="28">
        <f>MATCH(DaybyDay[[#This Row],[RowMonth]],Table3[SummaryMonth],0)</f>
        <v>3</v>
      </c>
      <c r="G457" s="29">
        <f>MATCH(DaybyDay[[#This Row],[LY-Date]],DaybyDay[Date],0)</f>
        <v>87</v>
      </c>
      <c r="H457" s="30">
        <f>WEEKDAY(DaybyDay[[#This Row],[Date]])</f>
        <v>3</v>
      </c>
      <c r="I457" s="31">
        <v>43186</v>
      </c>
      <c r="J457" s="74">
        <v>0</v>
      </c>
      <c r="K457" s="32">
        <f>SUMIFS(BudgetSeasonality[365 Seasonality],BudgetSeasonality[MonthAdjustment],DaybyDay[[#This Row],[Date]])*SUMIFS(Budgets[Service-Budget],Budgets[BudgetMonth],DaybyDay[[#This Row],[RowMonth]],Budgets[BudgetYear],DaybyDay[[#This Row],[RowYear]])</f>
        <v>5069.9200814805527</v>
      </c>
      <c r="L457" s="75">
        <v>10500</v>
      </c>
      <c r="M457" s="32">
        <f>INDEX(BudgetSeasonality[365 Seasonality],MATCH(DaybyDay[[#This Row],[Date]],BudgetSeasonality[MonthAdjustment],0))*SUMIFS(Budgets[Retail-Budget],Budgets[BudgetMonth],DaybyDay[[#This Row],[RowMonth]],Budgets[BudgetYear],DaybyDay[[#This Row],[RowYear]])</f>
        <v>1522.6408125487187</v>
      </c>
      <c r="N457" s="75">
        <v>0</v>
      </c>
      <c r="O457" s="33">
        <f>SUMIFS(DaybyDay[Service-Budgets],DaybyDay[Date],"&gt;="&amp;$C$5,DaybyDay[RowYear],"&gt;="&amp;$C$4,DaybyDay[Date],"&lt;="&amp;DaybyDay[[#This Row],[Date]])</f>
        <v>0</v>
      </c>
      <c r="P457" s="33">
        <f>SUMIFS(DaybyDay[Retail-Budgets],DaybyDay[Date],"&gt;="&amp;$C$5,DaybyDay[RowYear],"&gt;="&amp;$C$4,DaybyDay[Date],"&lt;="&amp;DaybyDay[[#This Row],[Date]])</f>
        <v>0</v>
      </c>
      <c r="Q457" s="34">
        <f>SUMIFS(DaybyDay[Service-Actuals],DaybyDay[Date],"&gt;="&amp;$C$5,DaybyDay[RowYear],"&gt;="&amp;$C$4,DaybyDay[Date],"&lt;="&amp;DaybyDay[[#This Row],[Date]])</f>
        <v>0</v>
      </c>
      <c r="R457" s="34">
        <f>SUMIFS(DaybyDay[Retail-Actuals],DaybyDay[Date],"&gt;="&amp;$C$5,DaybyDay[RowYear],"&gt;="&amp;$C$4,DaybyDay[Date],"&lt;="&amp;DaybyDay[[#This Row],[Date]])</f>
        <v>0</v>
      </c>
      <c r="S457" s="35">
        <f>SUMIFS(DaybyDay[Service-LY],DaybyDay[Date],"&gt;="&amp;$C$5,DaybyDay[RowYear],"&gt;="&amp;$C$4,DaybyDay[Date],"&lt;="&amp;DaybyDay[[#This Row],[Date]])</f>
        <v>0</v>
      </c>
      <c r="T457" s="35">
        <f>SUMIFS(DaybyDay[Retail-LY],DaybyDay[Date],"&gt;="&amp;$C$5,DaybyDay[RowYear],"&gt;="&amp;$C$4,DaybyDay[Date],"&lt;="&amp;DaybyDay[[#This Row],[Date]])</f>
        <v>0</v>
      </c>
      <c r="U457" s="32">
        <f>DaybyDay[[#This Row],[Serv-Bud-RU]]+DaybyDay[[#This Row],[Ret-Bud-RU]]</f>
        <v>0</v>
      </c>
      <c r="V457" s="32">
        <f>DaybyDay[[#This Row],[Serv-Act-RU]]+DaybyDay[[#This Row],[Ret-Act-RU]]</f>
        <v>0</v>
      </c>
      <c r="W457" s="36">
        <f>IF(DaybyDay[[#This Row],[_Space]],IFERROR(
((DaybyDay[[#This Row],[Actual-Rollup]]-DaybyDay[[#This Row],[Budget-Rollup]])/DaybyDay[[#This Row],[Budget-Rollup]]),0),"")</f>
        <v>0</v>
      </c>
      <c r="X457" t="b">
        <f>NOT(AND(ISBLANK(DaybyDay[[#This Row],[Appts]]),ISBLANK(DaybyDay[[#This Row],[Service-Actuals]]),ISBLANK(DaybyDay[[#This Row],[Retail-Actuals]])))</f>
        <v>1</v>
      </c>
      <c r="Y457" s="36">
        <f>IF(DaybyDay[[#This Row],[_Space]],IFERROR(
((DaybyDay[[#This Row],[Actual-Rollup]]-DaybyDay[[#This Row],[LY-Rollup]])/DaybyDay[[#This Row],[LY-Rollup]]),0),"")</f>
        <v>0</v>
      </c>
      <c r="Z457"/>
      <c r="AA457" s="37" t="e">
        <f>IF(DaybyDay[[#This Row],[_Space]],DaybyDay[[#This Row],[Ret-Act-RU]]/DaybyDay[[#This Row],[Serv-Act-RU]],"")</f>
        <v>#DIV/0!</v>
      </c>
      <c r="AB457" s="50" t="e">
        <f>IF(DaybyDay[[#This Row],[_Space]],DaybyDay[[#This Row],[RETPEN-Act]]/DaybyDay[[#This Row],[RETPEN-Bud]],"")</f>
        <v>#DIV/0!</v>
      </c>
      <c r="AC457" s="37" t="e">
        <f>IF(DaybyDay[[#This Row],[_Space]],DaybyDay[[#This Row],[Ret-Bud-RU]]/DaybyDay[[#This Row],[Serv-Bud-RU]],"")</f>
        <v>#DIV/0!</v>
      </c>
      <c r="AD457" s="37" t="e">
        <f>IF(DaybyDay[[#This Row],[_Space]],DaybyDay[[#This Row],[Ret-LY-RU]]/DaybyDay[[#This Row],[Serv-LY-RU]],"")</f>
        <v>#DIV/0!</v>
      </c>
      <c r="AE457" s="30">
        <f>WEEKDAY(DaybyDay[[#This Row],[LY-Date]])</f>
        <v>3</v>
      </c>
      <c r="AF457" s="38">
        <f>$E$2+_xlfn.DAYS(DaybyDay[[#This Row],[Date]],minDate)</f>
        <v>42822</v>
      </c>
      <c r="AG457" s="39" cm="1">
        <f t="array" ref="AG457">IFERROR(INDEX(DaybyDay[],DaybyDay[[#This Row],[FORM_MATCH_HELPER]],8),"")</f>
        <v>20</v>
      </c>
      <c r="AH457" s="39" cm="1">
        <f t="array" ref="AH457">IFERROR(INDEX(DaybyDay[],DaybyDay[[#This Row],[FORM_MATCH_HELPER]],10),"")</f>
        <v>3603.3999999999996</v>
      </c>
      <c r="AI457" s="39" cm="1">
        <f t="array" ref="AI457">IFERROR(INDEX(DaybyDay[],DaybyDay[[#This Row],[FORM_MATCH_HELPER]],12),"")</f>
        <v>987</v>
      </c>
      <c r="AJ457" s="32">
        <f>IFERROR(DaybyDay[[#This Row],[Serv-LY-RU]]+DaybyDay[[#This Row],[Ret-LY-RU]],"")</f>
        <v>0</v>
      </c>
      <c r="AK4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7" s="77"/>
      <c r="AM457" s="40" t="str">
        <f>IF(DaybyDay[[#This Row],[Admin Hours]]&gt;0,DaybyDay[[#This Row],[Admin Hours]]*$AM$2+$AM$3,"")</f>
        <v/>
      </c>
      <c r="AN457" s="40">
        <f>SUMIFS(DaybyDay[Est-Admin-Payroll],DaybyDay[Date],"&gt;="&amp;$C$5,DaybyDay[RowYear],"&gt;="&amp;$C$4,DaybyDay[Date],"&lt;="&amp;DaybyDay[[#This Row],[Date]])</f>
        <v>0</v>
      </c>
      <c r="AO457" s="41" t="str">
        <f>IF(AND(DaybyDay[[#This Row],[_Space]],ISNUMBER(DaybyDay[[#This Row],[Admin Hours]])),DaybyDay[[#This Row],[Est-Admin-Payroll]]/(DaybyDay[[#This Row],[Service-Actuals]]+DaybyDay[[#This Row],[Retail-Actuals]]),"")</f>
        <v/>
      </c>
      <c r="AP457" s="41" t="e">
        <f>DaybyDay[[#This Row],[Estimated-Payroll-Rollup]]/DaybyDay[[#This Row],[Simple-Forecast]]</f>
        <v>#DIV/0!</v>
      </c>
      <c r="AQ4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7" s="77"/>
      <c r="AS457" s="40" t="str">
        <f>IF(DaybyDay[[#This Row],[Retail Hours]]&gt;0,DaybyDay[[#This Row],[Retail Hours]]*$AS$2,"")</f>
        <v/>
      </c>
      <c r="AT457" s="40">
        <f>SUMIFS(DaybyDay[Est-Retail-Payroll],DaybyDay[Date],"&gt;="&amp;$C$5,DaybyDay[RowYear],"&gt;="&amp;$C$4,DaybyDay[Date],"&lt;="&amp;DaybyDay[[#This Row],[Date]])</f>
        <v>0</v>
      </c>
      <c r="AU457" s="82" t="str">
        <f>IF(AND(DaybyDay[[#This Row],[_Space]],ISNUMBER(DaybyDay[[#This Row],[Retail Hours]])),DaybyDay[[#This Row],[Est-Retail-Payroll]]/(DaybyDay[[#This Row],[Retail-Actuals]]),"")</f>
        <v/>
      </c>
      <c r="AV457" s="82" t="e">
        <f>DaybyDay[[#This Row],[Est-Retail-PayrollRU]]/DaybyDay[[#This Row],[Simple-Forecast-Retail]]</f>
        <v>#DIV/0!</v>
      </c>
      <c r="AW457" s="8"/>
    </row>
    <row r="458" spans="3:49" hidden="1" x14ac:dyDescent="0.25">
      <c r="C458" s="26" t="str">
        <f>Tools!$C$1</f>
        <v>Example</v>
      </c>
      <c r="D458" s="27" t="s">
        <v>70</v>
      </c>
      <c r="E458" s="28">
        <v>2018</v>
      </c>
      <c r="F458" s="28">
        <f>MATCH(DaybyDay[[#This Row],[RowMonth]],Table3[SummaryMonth],0)</f>
        <v>3</v>
      </c>
      <c r="G458" s="29">
        <f>MATCH(DaybyDay[[#This Row],[LY-Date]],DaybyDay[Date],0)</f>
        <v>88</v>
      </c>
      <c r="H458" s="30">
        <f>WEEKDAY(DaybyDay[[#This Row],[Date]])</f>
        <v>4</v>
      </c>
      <c r="I458" s="31">
        <v>43187</v>
      </c>
      <c r="J458" s="74">
        <v>0</v>
      </c>
      <c r="K458" s="32">
        <f>SUMIFS(BudgetSeasonality[365 Seasonality],BudgetSeasonality[MonthAdjustment],DaybyDay[[#This Row],[Date]])*SUMIFS(Budgets[Service-Budget],Budgets[BudgetMonth],DaybyDay[[#This Row],[RowMonth]],Budgets[BudgetYear],DaybyDay[[#This Row],[RowYear]])</f>
        <v>5694.3271952315672</v>
      </c>
      <c r="L458" s="75">
        <v>10500</v>
      </c>
      <c r="M458" s="32">
        <f>INDEX(BudgetSeasonality[365 Seasonality],MATCH(DaybyDay[[#This Row],[Date]],BudgetSeasonality[MonthAdjustment],0))*SUMIFS(Budgets[Retail-Budget],Budgets[BudgetMonth],DaybyDay[[#This Row],[RowMonth]],Budgets[BudgetYear],DaybyDay[[#This Row],[RowYear]])</f>
        <v>1710.1679805835649</v>
      </c>
      <c r="N458" s="75">
        <v>0</v>
      </c>
      <c r="O458" s="33">
        <f>SUMIFS(DaybyDay[Service-Budgets],DaybyDay[Date],"&gt;="&amp;$C$5,DaybyDay[RowYear],"&gt;="&amp;$C$4,DaybyDay[Date],"&lt;="&amp;DaybyDay[[#This Row],[Date]])</f>
        <v>0</v>
      </c>
      <c r="P458" s="33">
        <f>SUMIFS(DaybyDay[Retail-Budgets],DaybyDay[Date],"&gt;="&amp;$C$5,DaybyDay[RowYear],"&gt;="&amp;$C$4,DaybyDay[Date],"&lt;="&amp;DaybyDay[[#This Row],[Date]])</f>
        <v>0</v>
      </c>
      <c r="Q458" s="34">
        <f>SUMIFS(DaybyDay[Service-Actuals],DaybyDay[Date],"&gt;="&amp;$C$5,DaybyDay[RowYear],"&gt;="&amp;$C$4,DaybyDay[Date],"&lt;="&amp;DaybyDay[[#This Row],[Date]])</f>
        <v>0</v>
      </c>
      <c r="R458" s="34">
        <f>SUMIFS(DaybyDay[Retail-Actuals],DaybyDay[Date],"&gt;="&amp;$C$5,DaybyDay[RowYear],"&gt;="&amp;$C$4,DaybyDay[Date],"&lt;="&amp;DaybyDay[[#This Row],[Date]])</f>
        <v>0</v>
      </c>
      <c r="S458" s="35">
        <f>SUMIFS(DaybyDay[Service-LY],DaybyDay[Date],"&gt;="&amp;$C$5,DaybyDay[RowYear],"&gt;="&amp;$C$4,DaybyDay[Date],"&lt;="&amp;DaybyDay[[#This Row],[Date]])</f>
        <v>0</v>
      </c>
      <c r="T458" s="35">
        <f>SUMIFS(DaybyDay[Retail-LY],DaybyDay[Date],"&gt;="&amp;$C$5,DaybyDay[RowYear],"&gt;="&amp;$C$4,DaybyDay[Date],"&lt;="&amp;DaybyDay[[#This Row],[Date]])</f>
        <v>0</v>
      </c>
      <c r="U458" s="32">
        <f>DaybyDay[[#This Row],[Serv-Bud-RU]]+DaybyDay[[#This Row],[Ret-Bud-RU]]</f>
        <v>0</v>
      </c>
      <c r="V458" s="32">
        <f>DaybyDay[[#This Row],[Serv-Act-RU]]+DaybyDay[[#This Row],[Ret-Act-RU]]</f>
        <v>0</v>
      </c>
      <c r="W458" s="36">
        <f>IF(DaybyDay[[#This Row],[_Space]],IFERROR(
((DaybyDay[[#This Row],[Actual-Rollup]]-DaybyDay[[#This Row],[Budget-Rollup]])/DaybyDay[[#This Row],[Budget-Rollup]]),0),"")</f>
        <v>0</v>
      </c>
      <c r="X458" t="b">
        <f>NOT(AND(ISBLANK(DaybyDay[[#This Row],[Appts]]),ISBLANK(DaybyDay[[#This Row],[Service-Actuals]]),ISBLANK(DaybyDay[[#This Row],[Retail-Actuals]])))</f>
        <v>1</v>
      </c>
      <c r="Y458" s="36">
        <f>IF(DaybyDay[[#This Row],[_Space]],IFERROR(
((DaybyDay[[#This Row],[Actual-Rollup]]-DaybyDay[[#This Row],[LY-Rollup]])/DaybyDay[[#This Row],[LY-Rollup]]),0),"")</f>
        <v>0</v>
      </c>
      <c r="Z458"/>
      <c r="AA458" s="37" t="e">
        <f>IF(DaybyDay[[#This Row],[_Space]],DaybyDay[[#This Row],[Ret-Act-RU]]/DaybyDay[[#This Row],[Serv-Act-RU]],"")</f>
        <v>#DIV/0!</v>
      </c>
      <c r="AB458" s="50" t="e">
        <f>IF(DaybyDay[[#This Row],[_Space]],DaybyDay[[#This Row],[RETPEN-Act]]/DaybyDay[[#This Row],[RETPEN-Bud]],"")</f>
        <v>#DIV/0!</v>
      </c>
      <c r="AC458" s="37" t="e">
        <f>IF(DaybyDay[[#This Row],[_Space]],DaybyDay[[#This Row],[Ret-Bud-RU]]/DaybyDay[[#This Row],[Serv-Bud-RU]],"")</f>
        <v>#DIV/0!</v>
      </c>
      <c r="AD458" s="37" t="e">
        <f>IF(DaybyDay[[#This Row],[_Space]],DaybyDay[[#This Row],[Ret-LY-RU]]/DaybyDay[[#This Row],[Serv-LY-RU]],"")</f>
        <v>#DIV/0!</v>
      </c>
      <c r="AE458" s="30">
        <f>WEEKDAY(DaybyDay[[#This Row],[LY-Date]])</f>
        <v>4</v>
      </c>
      <c r="AF458" s="38">
        <f>$E$2+_xlfn.DAYS(DaybyDay[[#This Row],[Date]],minDate)</f>
        <v>42823</v>
      </c>
      <c r="AG458" s="39" cm="1">
        <f t="array" ref="AG458">IFERROR(INDEX(DaybyDay[],DaybyDay[[#This Row],[FORM_MATCH_HELPER]],8),"")</f>
        <v>18</v>
      </c>
      <c r="AH458" s="39" cm="1">
        <f t="array" ref="AH458">IFERROR(INDEX(DaybyDay[],DaybyDay[[#This Row],[FORM_MATCH_HELPER]],10),"")</f>
        <v>3080.09</v>
      </c>
      <c r="AI458" s="39" cm="1">
        <f t="array" ref="AI458">IFERROR(INDEX(DaybyDay[],DaybyDay[[#This Row],[FORM_MATCH_HELPER]],12),"")</f>
        <v>135</v>
      </c>
      <c r="AJ458" s="32">
        <f>IFERROR(DaybyDay[[#This Row],[Serv-LY-RU]]+DaybyDay[[#This Row],[Ret-LY-RU]],"")</f>
        <v>0</v>
      </c>
      <c r="AK4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8" s="77"/>
      <c r="AM458" s="40" t="str">
        <f>IF(DaybyDay[[#This Row],[Admin Hours]]&gt;0,DaybyDay[[#This Row],[Admin Hours]]*$AM$2+$AM$3,"")</f>
        <v/>
      </c>
      <c r="AN458" s="40">
        <f>SUMIFS(DaybyDay[Est-Admin-Payroll],DaybyDay[Date],"&gt;="&amp;$C$5,DaybyDay[RowYear],"&gt;="&amp;$C$4,DaybyDay[Date],"&lt;="&amp;DaybyDay[[#This Row],[Date]])</f>
        <v>0</v>
      </c>
      <c r="AO458" s="41" t="str">
        <f>IF(AND(DaybyDay[[#This Row],[_Space]],ISNUMBER(DaybyDay[[#This Row],[Admin Hours]])),DaybyDay[[#This Row],[Est-Admin-Payroll]]/(DaybyDay[[#This Row],[Service-Actuals]]+DaybyDay[[#This Row],[Retail-Actuals]]),"")</f>
        <v/>
      </c>
      <c r="AP458" s="41" t="e">
        <f>DaybyDay[[#This Row],[Estimated-Payroll-Rollup]]/DaybyDay[[#This Row],[Simple-Forecast]]</f>
        <v>#DIV/0!</v>
      </c>
      <c r="AQ4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8" s="77"/>
      <c r="AS458" s="40" t="str">
        <f>IF(DaybyDay[[#This Row],[Retail Hours]]&gt;0,DaybyDay[[#This Row],[Retail Hours]]*$AS$2,"")</f>
        <v/>
      </c>
      <c r="AT458" s="40">
        <f>SUMIFS(DaybyDay[Est-Retail-Payroll],DaybyDay[Date],"&gt;="&amp;$C$5,DaybyDay[RowYear],"&gt;="&amp;$C$4,DaybyDay[Date],"&lt;="&amp;DaybyDay[[#This Row],[Date]])</f>
        <v>0</v>
      </c>
      <c r="AU458" s="82" t="str">
        <f>IF(AND(DaybyDay[[#This Row],[_Space]],ISNUMBER(DaybyDay[[#This Row],[Retail Hours]])),DaybyDay[[#This Row],[Est-Retail-Payroll]]/(DaybyDay[[#This Row],[Retail-Actuals]]),"")</f>
        <v/>
      </c>
      <c r="AV458" s="82" t="e">
        <f>DaybyDay[[#This Row],[Est-Retail-PayrollRU]]/DaybyDay[[#This Row],[Simple-Forecast-Retail]]</f>
        <v>#DIV/0!</v>
      </c>
      <c r="AW458" s="8"/>
    </row>
    <row r="459" spans="3:49" hidden="1" x14ac:dyDescent="0.25">
      <c r="C459" s="26" t="str">
        <f>Tools!$C$1</f>
        <v>Example</v>
      </c>
      <c r="D459" s="27" t="s">
        <v>70</v>
      </c>
      <c r="E459" s="28">
        <v>2018</v>
      </c>
      <c r="F459" s="28">
        <f>MATCH(DaybyDay[[#This Row],[RowMonth]],Table3[SummaryMonth],0)</f>
        <v>3</v>
      </c>
      <c r="G459" s="29">
        <f>MATCH(DaybyDay[[#This Row],[LY-Date]],DaybyDay[Date],0)</f>
        <v>89</v>
      </c>
      <c r="H459" s="30">
        <f>WEEKDAY(DaybyDay[[#This Row],[Date]])</f>
        <v>5</v>
      </c>
      <c r="I459" s="31">
        <v>43188</v>
      </c>
      <c r="J459" s="74">
        <v>0</v>
      </c>
      <c r="K459" s="32">
        <f>SUMIFS(BudgetSeasonality[365 Seasonality],BudgetSeasonality[MonthAdjustment],DaybyDay[[#This Row],[Date]])*SUMIFS(Budgets[Service-Budget],Budgets[BudgetMonth],DaybyDay[[#This Row],[RowMonth]],Budgets[BudgetYear],DaybyDay[[#This Row],[RowYear]])</f>
        <v>5819.1750572083893</v>
      </c>
      <c r="L459" s="75">
        <v>10500</v>
      </c>
      <c r="M459" s="32">
        <f>INDEX(BudgetSeasonality[365 Seasonality],MATCH(DaybyDay[[#This Row],[Date]],BudgetSeasonality[MonthAdjustment],0))*SUMIFS(Budgets[Retail-Budget],Budgets[BudgetMonth],DaybyDay[[#This Row],[RowMonth]],Budgets[BudgetYear],DaybyDay[[#This Row],[RowYear]])</f>
        <v>1747.6633349383114</v>
      </c>
      <c r="N459" s="75">
        <v>0</v>
      </c>
      <c r="O459" s="33">
        <f>SUMIFS(DaybyDay[Service-Budgets],DaybyDay[Date],"&gt;="&amp;$C$5,DaybyDay[RowYear],"&gt;="&amp;$C$4,DaybyDay[Date],"&lt;="&amp;DaybyDay[[#This Row],[Date]])</f>
        <v>0</v>
      </c>
      <c r="P459" s="33">
        <f>SUMIFS(DaybyDay[Retail-Budgets],DaybyDay[Date],"&gt;="&amp;$C$5,DaybyDay[RowYear],"&gt;="&amp;$C$4,DaybyDay[Date],"&lt;="&amp;DaybyDay[[#This Row],[Date]])</f>
        <v>0</v>
      </c>
      <c r="Q459" s="34">
        <f>SUMIFS(DaybyDay[Service-Actuals],DaybyDay[Date],"&gt;="&amp;$C$5,DaybyDay[RowYear],"&gt;="&amp;$C$4,DaybyDay[Date],"&lt;="&amp;DaybyDay[[#This Row],[Date]])</f>
        <v>0</v>
      </c>
      <c r="R459" s="34">
        <f>SUMIFS(DaybyDay[Retail-Actuals],DaybyDay[Date],"&gt;="&amp;$C$5,DaybyDay[RowYear],"&gt;="&amp;$C$4,DaybyDay[Date],"&lt;="&amp;DaybyDay[[#This Row],[Date]])</f>
        <v>0</v>
      </c>
      <c r="S459" s="35">
        <f>SUMIFS(DaybyDay[Service-LY],DaybyDay[Date],"&gt;="&amp;$C$5,DaybyDay[RowYear],"&gt;="&amp;$C$4,DaybyDay[Date],"&lt;="&amp;DaybyDay[[#This Row],[Date]])</f>
        <v>0</v>
      </c>
      <c r="T459" s="35">
        <f>SUMIFS(DaybyDay[Retail-LY],DaybyDay[Date],"&gt;="&amp;$C$5,DaybyDay[RowYear],"&gt;="&amp;$C$4,DaybyDay[Date],"&lt;="&amp;DaybyDay[[#This Row],[Date]])</f>
        <v>0</v>
      </c>
      <c r="U459" s="32">
        <f>DaybyDay[[#This Row],[Serv-Bud-RU]]+DaybyDay[[#This Row],[Ret-Bud-RU]]</f>
        <v>0</v>
      </c>
      <c r="V459" s="32">
        <f>DaybyDay[[#This Row],[Serv-Act-RU]]+DaybyDay[[#This Row],[Ret-Act-RU]]</f>
        <v>0</v>
      </c>
      <c r="W459" s="36">
        <f>IF(DaybyDay[[#This Row],[_Space]],IFERROR(
((DaybyDay[[#This Row],[Actual-Rollup]]-DaybyDay[[#This Row],[Budget-Rollup]])/DaybyDay[[#This Row],[Budget-Rollup]]),0),"")</f>
        <v>0</v>
      </c>
      <c r="X459" t="b">
        <f>NOT(AND(ISBLANK(DaybyDay[[#This Row],[Appts]]),ISBLANK(DaybyDay[[#This Row],[Service-Actuals]]),ISBLANK(DaybyDay[[#This Row],[Retail-Actuals]])))</f>
        <v>1</v>
      </c>
      <c r="Y459" s="36">
        <f>IF(DaybyDay[[#This Row],[_Space]],IFERROR(
((DaybyDay[[#This Row],[Actual-Rollup]]-DaybyDay[[#This Row],[LY-Rollup]])/DaybyDay[[#This Row],[LY-Rollup]]),0),"")</f>
        <v>0</v>
      </c>
      <c r="Z459"/>
      <c r="AA459" s="37" t="e">
        <f>IF(DaybyDay[[#This Row],[_Space]],DaybyDay[[#This Row],[Ret-Act-RU]]/DaybyDay[[#This Row],[Serv-Act-RU]],"")</f>
        <v>#DIV/0!</v>
      </c>
      <c r="AB459" s="50" t="e">
        <f>IF(DaybyDay[[#This Row],[_Space]],DaybyDay[[#This Row],[RETPEN-Act]]/DaybyDay[[#This Row],[RETPEN-Bud]],"")</f>
        <v>#DIV/0!</v>
      </c>
      <c r="AC459" s="37" t="e">
        <f>IF(DaybyDay[[#This Row],[_Space]],DaybyDay[[#This Row],[Ret-Bud-RU]]/DaybyDay[[#This Row],[Serv-Bud-RU]],"")</f>
        <v>#DIV/0!</v>
      </c>
      <c r="AD459" s="37" t="e">
        <f>IF(DaybyDay[[#This Row],[_Space]],DaybyDay[[#This Row],[Ret-LY-RU]]/DaybyDay[[#This Row],[Serv-LY-RU]],"")</f>
        <v>#DIV/0!</v>
      </c>
      <c r="AE459" s="30">
        <f>WEEKDAY(DaybyDay[[#This Row],[LY-Date]])</f>
        <v>5</v>
      </c>
      <c r="AF459" s="38">
        <f>$E$2+_xlfn.DAYS(DaybyDay[[#This Row],[Date]],minDate)</f>
        <v>42824</v>
      </c>
      <c r="AG459" s="39" cm="1">
        <f t="array" ref="AG459">IFERROR(INDEX(DaybyDay[],DaybyDay[[#This Row],[FORM_MATCH_HELPER]],8),"")</f>
        <v>22</v>
      </c>
      <c r="AH459" s="39" cm="1">
        <f t="array" ref="AH459">IFERROR(INDEX(DaybyDay[],DaybyDay[[#This Row],[FORM_MATCH_HELPER]],10),"")</f>
        <v>4030.8</v>
      </c>
      <c r="AI459" s="39" cm="1">
        <f t="array" ref="AI459">IFERROR(INDEX(DaybyDay[],DaybyDay[[#This Row],[FORM_MATCH_HELPER]],12),"")</f>
        <v>356.5</v>
      </c>
      <c r="AJ459" s="32">
        <f>IFERROR(DaybyDay[[#This Row],[Serv-LY-RU]]+DaybyDay[[#This Row],[Ret-LY-RU]],"")</f>
        <v>0</v>
      </c>
      <c r="AK4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59" s="77"/>
      <c r="AM459" s="40" t="str">
        <f>IF(DaybyDay[[#This Row],[Admin Hours]]&gt;0,DaybyDay[[#This Row],[Admin Hours]]*$AM$2+$AM$3,"")</f>
        <v/>
      </c>
      <c r="AN459" s="40">
        <f>SUMIFS(DaybyDay[Est-Admin-Payroll],DaybyDay[Date],"&gt;="&amp;$C$5,DaybyDay[RowYear],"&gt;="&amp;$C$4,DaybyDay[Date],"&lt;="&amp;DaybyDay[[#This Row],[Date]])</f>
        <v>0</v>
      </c>
      <c r="AO459" s="41" t="str">
        <f>IF(AND(DaybyDay[[#This Row],[_Space]],ISNUMBER(DaybyDay[[#This Row],[Admin Hours]])),DaybyDay[[#This Row],[Est-Admin-Payroll]]/(DaybyDay[[#This Row],[Service-Actuals]]+DaybyDay[[#This Row],[Retail-Actuals]]),"")</f>
        <v/>
      </c>
      <c r="AP459" s="41" t="e">
        <f>DaybyDay[[#This Row],[Estimated-Payroll-Rollup]]/DaybyDay[[#This Row],[Simple-Forecast]]</f>
        <v>#DIV/0!</v>
      </c>
      <c r="AQ4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59" s="77"/>
      <c r="AS459" s="40" t="str">
        <f>IF(DaybyDay[[#This Row],[Retail Hours]]&gt;0,DaybyDay[[#This Row],[Retail Hours]]*$AS$2,"")</f>
        <v/>
      </c>
      <c r="AT459" s="40">
        <f>SUMIFS(DaybyDay[Est-Retail-Payroll],DaybyDay[Date],"&gt;="&amp;$C$5,DaybyDay[RowYear],"&gt;="&amp;$C$4,DaybyDay[Date],"&lt;="&amp;DaybyDay[[#This Row],[Date]])</f>
        <v>0</v>
      </c>
      <c r="AU459" s="82" t="str">
        <f>IF(AND(DaybyDay[[#This Row],[_Space]],ISNUMBER(DaybyDay[[#This Row],[Retail Hours]])),DaybyDay[[#This Row],[Est-Retail-Payroll]]/(DaybyDay[[#This Row],[Retail-Actuals]]),"")</f>
        <v/>
      </c>
      <c r="AV459" s="82" t="e">
        <f>DaybyDay[[#This Row],[Est-Retail-PayrollRU]]/DaybyDay[[#This Row],[Simple-Forecast-Retail]]</f>
        <v>#DIV/0!</v>
      </c>
      <c r="AW459" s="8"/>
    </row>
    <row r="460" spans="3:49" hidden="1" x14ac:dyDescent="0.25">
      <c r="C460" s="26" t="str">
        <f>Tools!$C$1</f>
        <v>Example</v>
      </c>
      <c r="D460" s="27" t="s">
        <v>70</v>
      </c>
      <c r="E460" s="28">
        <v>2018</v>
      </c>
      <c r="F460" s="28">
        <f>MATCH(DaybyDay[[#This Row],[RowMonth]],Table3[SummaryMonth],0)</f>
        <v>3</v>
      </c>
      <c r="G460" s="29">
        <f>MATCH(DaybyDay[[#This Row],[LY-Date]],DaybyDay[Date],0)</f>
        <v>90</v>
      </c>
      <c r="H460" s="30">
        <f>WEEKDAY(DaybyDay[[#This Row],[Date]])</f>
        <v>6</v>
      </c>
      <c r="I460" s="31">
        <v>43189</v>
      </c>
      <c r="J460" s="74">
        <v>0</v>
      </c>
      <c r="K460" s="32">
        <f>SUMIFS(BudgetSeasonality[365 Seasonality],BudgetSeasonality[MonthAdjustment],DaybyDay[[#This Row],[Date]])*SUMIFS(Budgets[Service-Budget],Budgets[BudgetMonth],DaybyDay[[#This Row],[RowMonth]],Budgets[BudgetYear],DaybyDay[[#This Row],[RowYear]])</f>
        <v>6921.5443531265628</v>
      </c>
      <c r="L460" s="75">
        <v>10500</v>
      </c>
      <c r="M460" s="32">
        <f>INDEX(BudgetSeasonality[365 Seasonality],MATCH(DaybyDay[[#This Row],[Date]],BudgetSeasonality[MonthAdjustment],0))*SUMIFS(Budgets[Retail-Budget],Budgets[BudgetMonth],DaybyDay[[#This Row],[RowMonth]],Budgets[BudgetYear],DaybyDay[[#This Row],[RowYear]])</f>
        <v>2078.7361040332112</v>
      </c>
      <c r="N460" s="75">
        <v>0</v>
      </c>
      <c r="O460" s="33">
        <f>SUMIFS(DaybyDay[Service-Budgets],DaybyDay[Date],"&gt;="&amp;$C$5,DaybyDay[RowYear],"&gt;="&amp;$C$4,DaybyDay[Date],"&lt;="&amp;DaybyDay[[#This Row],[Date]])</f>
        <v>0</v>
      </c>
      <c r="P460" s="33">
        <f>SUMIFS(DaybyDay[Retail-Budgets],DaybyDay[Date],"&gt;="&amp;$C$5,DaybyDay[RowYear],"&gt;="&amp;$C$4,DaybyDay[Date],"&lt;="&amp;DaybyDay[[#This Row],[Date]])</f>
        <v>0</v>
      </c>
      <c r="Q460" s="34">
        <f>SUMIFS(DaybyDay[Service-Actuals],DaybyDay[Date],"&gt;="&amp;$C$5,DaybyDay[RowYear],"&gt;="&amp;$C$4,DaybyDay[Date],"&lt;="&amp;DaybyDay[[#This Row],[Date]])</f>
        <v>0</v>
      </c>
      <c r="R460" s="34">
        <f>SUMIFS(DaybyDay[Retail-Actuals],DaybyDay[Date],"&gt;="&amp;$C$5,DaybyDay[RowYear],"&gt;="&amp;$C$4,DaybyDay[Date],"&lt;="&amp;DaybyDay[[#This Row],[Date]])</f>
        <v>0</v>
      </c>
      <c r="S460" s="35">
        <f>SUMIFS(DaybyDay[Service-LY],DaybyDay[Date],"&gt;="&amp;$C$5,DaybyDay[RowYear],"&gt;="&amp;$C$4,DaybyDay[Date],"&lt;="&amp;DaybyDay[[#This Row],[Date]])</f>
        <v>0</v>
      </c>
      <c r="T460" s="35">
        <f>SUMIFS(DaybyDay[Retail-LY],DaybyDay[Date],"&gt;="&amp;$C$5,DaybyDay[RowYear],"&gt;="&amp;$C$4,DaybyDay[Date],"&lt;="&amp;DaybyDay[[#This Row],[Date]])</f>
        <v>0</v>
      </c>
      <c r="U460" s="32">
        <f>DaybyDay[[#This Row],[Serv-Bud-RU]]+DaybyDay[[#This Row],[Ret-Bud-RU]]</f>
        <v>0</v>
      </c>
      <c r="V460" s="32">
        <f>DaybyDay[[#This Row],[Serv-Act-RU]]+DaybyDay[[#This Row],[Ret-Act-RU]]</f>
        <v>0</v>
      </c>
      <c r="W460" s="36">
        <f>IF(DaybyDay[[#This Row],[_Space]],IFERROR(
((DaybyDay[[#This Row],[Actual-Rollup]]-DaybyDay[[#This Row],[Budget-Rollup]])/DaybyDay[[#This Row],[Budget-Rollup]]),0),"")</f>
        <v>0</v>
      </c>
      <c r="X460" t="b">
        <f>NOT(AND(ISBLANK(DaybyDay[[#This Row],[Appts]]),ISBLANK(DaybyDay[[#This Row],[Service-Actuals]]),ISBLANK(DaybyDay[[#This Row],[Retail-Actuals]])))</f>
        <v>1</v>
      </c>
      <c r="Y460" s="36">
        <f>IF(DaybyDay[[#This Row],[_Space]],IFERROR(
((DaybyDay[[#This Row],[Actual-Rollup]]-DaybyDay[[#This Row],[LY-Rollup]])/DaybyDay[[#This Row],[LY-Rollup]]),0),"")</f>
        <v>0</v>
      </c>
      <c r="Z460"/>
      <c r="AA460" s="37" t="e">
        <f>IF(DaybyDay[[#This Row],[_Space]],DaybyDay[[#This Row],[Ret-Act-RU]]/DaybyDay[[#This Row],[Serv-Act-RU]],"")</f>
        <v>#DIV/0!</v>
      </c>
      <c r="AB460" s="50" t="e">
        <f>IF(DaybyDay[[#This Row],[_Space]],DaybyDay[[#This Row],[RETPEN-Act]]/DaybyDay[[#This Row],[RETPEN-Bud]],"")</f>
        <v>#DIV/0!</v>
      </c>
      <c r="AC460" s="37" t="e">
        <f>IF(DaybyDay[[#This Row],[_Space]],DaybyDay[[#This Row],[Ret-Bud-RU]]/DaybyDay[[#This Row],[Serv-Bud-RU]],"")</f>
        <v>#DIV/0!</v>
      </c>
      <c r="AD460" s="37" t="e">
        <f>IF(DaybyDay[[#This Row],[_Space]],DaybyDay[[#This Row],[Ret-LY-RU]]/DaybyDay[[#This Row],[Serv-LY-RU]],"")</f>
        <v>#DIV/0!</v>
      </c>
      <c r="AE460" s="30">
        <f>WEEKDAY(DaybyDay[[#This Row],[LY-Date]])</f>
        <v>6</v>
      </c>
      <c r="AF460" s="38">
        <f>$E$2+_xlfn.DAYS(DaybyDay[[#This Row],[Date]],minDate)</f>
        <v>42825</v>
      </c>
      <c r="AG460" s="39" cm="1">
        <f t="array" ref="AG460">IFERROR(INDEX(DaybyDay[],DaybyDay[[#This Row],[FORM_MATCH_HELPER]],8),"")</f>
        <v>30</v>
      </c>
      <c r="AH460" s="39" cm="1">
        <f t="array" ref="AH460">IFERROR(INDEX(DaybyDay[],DaybyDay[[#This Row],[FORM_MATCH_HELPER]],10),"")</f>
        <v>5833.17</v>
      </c>
      <c r="AI460" s="39" cm="1">
        <f t="array" ref="AI460">IFERROR(INDEX(DaybyDay[],DaybyDay[[#This Row],[FORM_MATCH_HELPER]],12),"")</f>
        <v>1476.6</v>
      </c>
      <c r="AJ460" s="32">
        <f>IFERROR(DaybyDay[[#This Row],[Serv-LY-RU]]+DaybyDay[[#This Row],[Ret-LY-RU]],"")</f>
        <v>0</v>
      </c>
      <c r="AK4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0" s="77"/>
      <c r="AM460" s="40" t="str">
        <f>IF(DaybyDay[[#This Row],[Admin Hours]]&gt;0,DaybyDay[[#This Row],[Admin Hours]]*$AM$2+$AM$3,"")</f>
        <v/>
      </c>
      <c r="AN460" s="40">
        <f>SUMIFS(DaybyDay[Est-Admin-Payroll],DaybyDay[Date],"&gt;="&amp;$C$5,DaybyDay[RowYear],"&gt;="&amp;$C$4,DaybyDay[Date],"&lt;="&amp;DaybyDay[[#This Row],[Date]])</f>
        <v>0</v>
      </c>
      <c r="AO460" s="41" t="str">
        <f>IF(AND(DaybyDay[[#This Row],[_Space]],ISNUMBER(DaybyDay[[#This Row],[Admin Hours]])),DaybyDay[[#This Row],[Est-Admin-Payroll]]/(DaybyDay[[#This Row],[Service-Actuals]]+DaybyDay[[#This Row],[Retail-Actuals]]),"")</f>
        <v/>
      </c>
      <c r="AP460" s="41" t="e">
        <f>DaybyDay[[#This Row],[Estimated-Payroll-Rollup]]/DaybyDay[[#This Row],[Simple-Forecast]]</f>
        <v>#DIV/0!</v>
      </c>
      <c r="AQ4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0" s="77"/>
      <c r="AS460" s="40" t="str">
        <f>IF(DaybyDay[[#This Row],[Retail Hours]]&gt;0,DaybyDay[[#This Row],[Retail Hours]]*$AS$2,"")</f>
        <v/>
      </c>
      <c r="AT460" s="40">
        <f>SUMIFS(DaybyDay[Est-Retail-Payroll],DaybyDay[Date],"&gt;="&amp;$C$5,DaybyDay[RowYear],"&gt;="&amp;$C$4,DaybyDay[Date],"&lt;="&amp;DaybyDay[[#This Row],[Date]])</f>
        <v>0</v>
      </c>
      <c r="AU460" s="82" t="str">
        <f>IF(AND(DaybyDay[[#This Row],[_Space]],ISNUMBER(DaybyDay[[#This Row],[Retail Hours]])),DaybyDay[[#This Row],[Est-Retail-Payroll]]/(DaybyDay[[#This Row],[Retail-Actuals]]),"")</f>
        <v/>
      </c>
      <c r="AV460" s="82" t="e">
        <f>DaybyDay[[#This Row],[Est-Retail-PayrollRU]]/DaybyDay[[#This Row],[Simple-Forecast-Retail]]</f>
        <v>#DIV/0!</v>
      </c>
      <c r="AW460" s="8"/>
    </row>
    <row r="461" spans="3:49" hidden="1" x14ac:dyDescent="0.25">
      <c r="C461" s="26" t="str">
        <f>Tools!$C$1</f>
        <v>Example</v>
      </c>
      <c r="D461" s="27" t="s">
        <v>70</v>
      </c>
      <c r="E461" s="28">
        <v>2018</v>
      </c>
      <c r="F461" s="28">
        <f>MATCH(DaybyDay[[#This Row],[RowMonth]],Table3[SummaryMonth],0)</f>
        <v>3</v>
      </c>
      <c r="G461" s="29">
        <f>MATCH(DaybyDay[[#This Row],[LY-Date]],DaybyDay[Date],0)</f>
        <v>91</v>
      </c>
      <c r="H461" s="30">
        <f>WEEKDAY(DaybyDay[[#This Row],[Date]])</f>
        <v>7</v>
      </c>
      <c r="I461" s="31">
        <v>43190</v>
      </c>
      <c r="J461" s="74">
        <v>31</v>
      </c>
      <c r="K461" s="32">
        <f>SUMIFS(BudgetSeasonality[365 Seasonality],BudgetSeasonality[MonthAdjustment],DaybyDay[[#This Row],[Date]])*SUMIFS(Budgets[Service-Budget],Budgets[BudgetMonth],DaybyDay[[#This Row],[RowMonth]],Budgets[BudgetYear],DaybyDay[[#This Row],[RowYear]])</f>
        <v>9257.9621677354535</v>
      </c>
      <c r="L461" s="75">
        <v>5480</v>
      </c>
      <c r="M461" s="32">
        <f>INDEX(BudgetSeasonality[365 Seasonality],MATCH(DaybyDay[[#This Row],[Date]],BudgetSeasonality[MonthAdjustment],0))*SUMIFS(Budgets[Retail-Budget],Budgets[BudgetMonth],DaybyDay[[#This Row],[RowMonth]],Budgets[BudgetYear],DaybyDay[[#This Row],[RowYear]])</f>
        <v>2780.428648001378</v>
      </c>
      <c r="N461" s="75">
        <v>389</v>
      </c>
      <c r="O461" s="33">
        <f>SUMIFS(DaybyDay[Service-Budgets],DaybyDay[Date],"&gt;="&amp;$C$5,DaybyDay[RowYear],"&gt;="&amp;$C$4,DaybyDay[Date],"&lt;="&amp;DaybyDay[[#This Row],[Date]])</f>
        <v>0</v>
      </c>
      <c r="P461" s="33">
        <f>SUMIFS(DaybyDay[Retail-Budgets],DaybyDay[Date],"&gt;="&amp;$C$5,DaybyDay[RowYear],"&gt;="&amp;$C$4,DaybyDay[Date],"&lt;="&amp;DaybyDay[[#This Row],[Date]])</f>
        <v>0</v>
      </c>
      <c r="Q461" s="34">
        <f>SUMIFS(DaybyDay[Service-Actuals],DaybyDay[Date],"&gt;="&amp;$C$5,DaybyDay[RowYear],"&gt;="&amp;$C$4,DaybyDay[Date],"&lt;="&amp;DaybyDay[[#This Row],[Date]])</f>
        <v>0</v>
      </c>
      <c r="R461" s="34">
        <f>SUMIFS(DaybyDay[Retail-Actuals],DaybyDay[Date],"&gt;="&amp;$C$5,DaybyDay[RowYear],"&gt;="&amp;$C$4,DaybyDay[Date],"&lt;="&amp;DaybyDay[[#This Row],[Date]])</f>
        <v>0</v>
      </c>
      <c r="S461" s="35">
        <f>SUMIFS(DaybyDay[Service-LY],DaybyDay[Date],"&gt;="&amp;$C$5,DaybyDay[RowYear],"&gt;="&amp;$C$4,DaybyDay[Date],"&lt;="&amp;DaybyDay[[#This Row],[Date]])</f>
        <v>0</v>
      </c>
      <c r="T461" s="35">
        <f>SUMIFS(DaybyDay[Retail-LY],DaybyDay[Date],"&gt;="&amp;$C$5,DaybyDay[RowYear],"&gt;="&amp;$C$4,DaybyDay[Date],"&lt;="&amp;DaybyDay[[#This Row],[Date]])</f>
        <v>0</v>
      </c>
      <c r="U461" s="32">
        <f>DaybyDay[[#This Row],[Serv-Bud-RU]]+DaybyDay[[#This Row],[Ret-Bud-RU]]</f>
        <v>0</v>
      </c>
      <c r="V461" s="32">
        <f>DaybyDay[[#This Row],[Serv-Act-RU]]+DaybyDay[[#This Row],[Ret-Act-RU]]</f>
        <v>0</v>
      </c>
      <c r="W461" s="36">
        <f>IF(DaybyDay[[#This Row],[_Space]],IFERROR(
((DaybyDay[[#This Row],[Actual-Rollup]]-DaybyDay[[#This Row],[Budget-Rollup]])/DaybyDay[[#This Row],[Budget-Rollup]]),0),"")</f>
        <v>0</v>
      </c>
      <c r="X461" t="b">
        <f>NOT(AND(ISBLANK(DaybyDay[[#This Row],[Appts]]),ISBLANK(DaybyDay[[#This Row],[Service-Actuals]]),ISBLANK(DaybyDay[[#This Row],[Retail-Actuals]])))</f>
        <v>1</v>
      </c>
      <c r="Y461" s="36">
        <f>IF(DaybyDay[[#This Row],[_Space]],IFERROR(
((DaybyDay[[#This Row],[Actual-Rollup]]-DaybyDay[[#This Row],[LY-Rollup]])/DaybyDay[[#This Row],[LY-Rollup]]),0),"")</f>
        <v>0</v>
      </c>
      <c r="Z461"/>
      <c r="AA461" s="37" t="e">
        <f>IF(DaybyDay[[#This Row],[_Space]],DaybyDay[[#This Row],[Ret-Act-RU]]/DaybyDay[[#This Row],[Serv-Act-RU]],"")</f>
        <v>#DIV/0!</v>
      </c>
      <c r="AB461" s="50" t="e">
        <f>IF(DaybyDay[[#This Row],[_Space]],DaybyDay[[#This Row],[RETPEN-Act]]/DaybyDay[[#This Row],[RETPEN-Bud]],"")</f>
        <v>#DIV/0!</v>
      </c>
      <c r="AC461" s="37" t="e">
        <f>IF(DaybyDay[[#This Row],[_Space]],DaybyDay[[#This Row],[Ret-Bud-RU]]/DaybyDay[[#This Row],[Serv-Bud-RU]],"")</f>
        <v>#DIV/0!</v>
      </c>
      <c r="AD461" s="37" t="e">
        <f>IF(DaybyDay[[#This Row],[_Space]],DaybyDay[[#This Row],[Ret-LY-RU]]/DaybyDay[[#This Row],[Serv-LY-RU]],"")</f>
        <v>#DIV/0!</v>
      </c>
      <c r="AE461" s="30">
        <f>WEEKDAY(DaybyDay[[#This Row],[LY-Date]])</f>
        <v>7</v>
      </c>
      <c r="AF461" s="38">
        <f>$E$2+_xlfn.DAYS(DaybyDay[[#This Row],[Date]],minDate)</f>
        <v>42826</v>
      </c>
      <c r="AG461" s="39" cm="1">
        <f t="array" ref="AG461">IFERROR(INDEX(DaybyDay[],DaybyDay[[#This Row],[FORM_MATCH_HELPER]],8),"")</f>
        <v>42</v>
      </c>
      <c r="AH461" s="39" cm="1">
        <f t="array" ref="AH461">IFERROR(INDEX(DaybyDay[],DaybyDay[[#This Row],[FORM_MATCH_HELPER]],10),"")</f>
        <v>7774.5</v>
      </c>
      <c r="AI461" s="39" cm="1">
        <f t="array" ref="AI461">IFERROR(INDEX(DaybyDay[],DaybyDay[[#This Row],[FORM_MATCH_HELPER]],12),"")</f>
        <v>163.5</v>
      </c>
      <c r="AJ461" s="32">
        <f>IFERROR(DaybyDay[[#This Row],[Serv-LY-RU]]+DaybyDay[[#This Row],[Ret-LY-RU]],"")</f>
        <v>0</v>
      </c>
      <c r="AK4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1" s="77"/>
      <c r="AM461" s="40" t="str">
        <f>IF(DaybyDay[[#This Row],[Admin Hours]]&gt;0,DaybyDay[[#This Row],[Admin Hours]]*$AM$2+$AM$3,"")</f>
        <v/>
      </c>
      <c r="AN461" s="40">
        <f>SUMIFS(DaybyDay[Est-Admin-Payroll],DaybyDay[Date],"&gt;="&amp;$C$5,DaybyDay[RowYear],"&gt;="&amp;$C$4,DaybyDay[Date],"&lt;="&amp;DaybyDay[[#This Row],[Date]])</f>
        <v>0</v>
      </c>
      <c r="AO461" s="41" t="str">
        <f>IF(AND(DaybyDay[[#This Row],[_Space]],ISNUMBER(DaybyDay[[#This Row],[Admin Hours]])),DaybyDay[[#This Row],[Est-Admin-Payroll]]/(DaybyDay[[#This Row],[Service-Actuals]]+DaybyDay[[#This Row],[Retail-Actuals]]),"")</f>
        <v/>
      </c>
      <c r="AP461" s="41" t="e">
        <f>DaybyDay[[#This Row],[Estimated-Payroll-Rollup]]/DaybyDay[[#This Row],[Simple-Forecast]]</f>
        <v>#DIV/0!</v>
      </c>
      <c r="AQ4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1" s="77"/>
      <c r="AS461" s="40" t="str">
        <f>IF(DaybyDay[[#This Row],[Retail Hours]]&gt;0,DaybyDay[[#This Row],[Retail Hours]]*$AS$2,"")</f>
        <v/>
      </c>
      <c r="AT461" s="40">
        <f>SUMIFS(DaybyDay[Est-Retail-Payroll],DaybyDay[Date],"&gt;="&amp;$C$5,DaybyDay[RowYear],"&gt;="&amp;$C$4,DaybyDay[Date],"&lt;="&amp;DaybyDay[[#This Row],[Date]])</f>
        <v>0</v>
      </c>
      <c r="AU461" s="82" t="str">
        <f>IF(AND(DaybyDay[[#This Row],[_Space]],ISNUMBER(DaybyDay[[#This Row],[Retail Hours]])),DaybyDay[[#This Row],[Est-Retail-Payroll]]/(DaybyDay[[#This Row],[Retail-Actuals]]),"")</f>
        <v/>
      </c>
      <c r="AV461" s="82" t="e">
        <f>DaybyDay[[#This Row],[Est-Retail-PayrollRU]]/DaybyDay[[#This Row],[Simple-Forecast-Retail]]</f>
        <v>#DIV/0!</v>
      </c>
      <c r="AW461" s="8"/>
    </row>
    <row r="462" spans="3:49" hidden="1" x14ac:dyDescent="0.25">
      <c r="C462" s="26" t="str">
        <f>Tools!$C$1</f>
        <v>Example</v>
      </c>
      <c r="D462" s="27" t="s">
        <v>70</v>
      </c>
      <c r="E462" s="28">
        <v>2018</v>
      </c>
      <c r="F462" s="28">
        <f>MATCH(DaybyDay[[#This Row],[RowMonth]],Table3[SummaryMonth],0)</f>
        <v>3</v>
      </c>
      <c r="G462" s="29">
        <f>MATCH(DaybyDay[[#This Row],[LY-Date]],DaybyDay[Date],0)</f>
        <v>92</v>
      </c>
      <c r="H462" s="30">
        <f>WEEKDAY(DaybyDay[[#This Row],[Date]])</f>
        <v>1</v>
      </c>
      <c r="I462" s="31">
        <v>43191</v>
      </c>
      <c r="J462" s="74">
        <v>11</v>
      </c>
      <c r="K462" s="32">
        <f>SUMIFS(BudgetSeasonality[365 Seasonality],BudgetSeasonality[MonthAdjustment],DaybyDay[[#This Row],[Date]])*SUMIFS(Budgets[Service-Budget],Budgets[BudgetMonth],DaybyDay[[#This Row],[RowMonth]],Budgets[BudgetYear],DaybyDay[[#This Row],[RowYear]])</f>
        <v>7442.4648192451314</v>
      </c>
      <c r="L462" s="75">
        <v>2027</v>
      </c>
      <c r="M462" s="32">
        <f>INDEX(BudgetSeasonality[365 Seasonality],MATCH(DaybyDay[[#This Row],[Date]],BudgetSeasonality[MonthAdjustment],0))*SUMIFS(Budgets[Retail-Budget],Budgets[BudgetMonth],DaybyDay[[#This Row],[RowMonth]],Budgets[BudgetYear],DaybyDay[[#This Row],[RowYear]])</f>
        <v>2235.18329630777</v>
      </c>
      <c r="N462" s="75">
        <v>461.8</v>
      </c>
      <c r="O462" s="33">
        <f>SUMIFS(DaybyDay[Service-Budgets],DaybyDay[Date],"&gt;="&amp;$C$5,DaybyDay[RowYear],"&gt;="&amp;$C$4,DaybyDay[Date],"&lt;="&amp;DaybyDay[[#This Row],[Date]])</f>
        <v>0</v>
      </c>
      <c r="P462" s="33">
        <f>SUMIFS(DaybyDay[Retail-Budgets],DaybyDay[Date],"&gt;="&amp;$C$5,DaybyDay[RowYear],"&gt;="&amp;$C$4,DaybyDay[Date],"&lt;="&amp;DaybyDay[[#This Row],[Date]])</f>
        <v>0</v>
      </c>
      <c r="Q462" s="34">
        <f>SUMIFS(DaybyDay[Service-Actuals],DaybyDay[Date],"&gt;="&amp;$C$5,DaybyDay[RowYear],"&gt;="&amp;$C$4,DaybyDay[Date],"&lt;="&amp;DaybyDay[[#This Row],[Date]])</f>
        <v>0</v>
      </c>
      <c r="R462" s="34">
        <f>SUMIFS(DaybyDay[Retail-Actuals],DaybyDay[Date],"&gt;="&amp;$C$5,DaybyDay[RowYear],"&gt;="&amp;$C$4,DaybyDay[Date],"&lt;="&amp;DaybyDay[[#This Row],[Date]])</f>
        <v>0</v>
      </c>
      <c r="S462" s="35">
        <f>SUMIFS(DaybyDay[Service-LY],DaybyDay[Date],"&gt;="&amp;$C$5,DaybyDay[RowYear],"&gt;="&amp;$C$4,DaybyDay[Date],"&lt;="&amp;DaybyDay[[#This Row],[Date]])</f>
        <v>0</v>
      </c>
      <c r="T462" s="35">
        <f>SUMIFS(DaybyDay[Retail-LY],DaybyDay[Date],"&gt;="&amp;$C$5,DaybyDay[RowYear],"&gt;="&amp;$C$4,DaybyDay[Date],"&lt;="&amp;DaybyDay[[#This Row],[Date]])</f>
        <v>0</v>
      </c>
      <c r="U462" s="32">
        <f>DaybyDay[[#This Row],[Serv-Bud-RU]]+DaybyDay[[#This Row],[Ret-Bud-RU]]</f>
        <v>0</v>
      </c>
      <c r="V462" s="32">
        <f>DaybyDay[[#This Row],[Serv-Act-RU]]+DaybyDay[[#This Row],[Ret-Act-RU]]</f>
        <v>0</v>
      </c>
      <c r="W462" s="36">
        <f>IF(DaybyDay[[#This Row],[_Space]],IFERROR(
((DaybyDay[[#This Row],[Actual-Rollup]]-DaybyDay[[#This Row],[Budget-Rollup]])/DaybyDay[[#This Row],[Budget-Rollup]]),0),"")</f>
        <v>0</v>
      </c>
      <c r="X462" t="b">
        <f>NOT(AND(ISBLANK(DaybyDay[[#This Row],[Appts]]),ISBLANK(DaybyDay[[#This Row],[Service-Actuals]]),ISBLANK(DaybyDay[[#This Row],[Retail-Actuals]])))</f>
        <v>1</v>
      </c>
      <c r="Y462" s="36">
        <f>IF(DaybyDay[[#This Row],[_Space]],IFERROR(
((DaybyDay[[#This Row],[Actual-Rollup]]-DaybyDay[[#This Row],[LY-Rollup]])/DaybyDay[[#This Row],[LY-Rollup]]),0),"")</f>
        <v>0</v>
      </c>
      <c r="Z462"/>
      <c r="AA462" s="37" t="e">
        <f>IF(DaybyDay[[#This Row],[_Space]],DaybyDay[[#This Row],[Ret-Act-RU]]/DaybyDay[[#This Row],[Serv-Act-RU]],"")</f>
        <v>#DIV/0!</v>
      </c>
      <c r="AB462" s="50" t="e">
        <f>IF(DaybyDay[[#This Row],[_Space]],DaybyDay[[#This Row],[RETPEN-Act]]/DaybyDay[[#This Row],[RETPEN-Bud]],"")</f>
        <v>#DIV/0!</v>
      </c>
      <c r="AC462" s="37" t="e">
        <f>IF(DaybyDay[[#This Row],[_Space]],DaybyDay[[#This Row],[Ret-Bud-RU]]/DaybyDay[[#This Row],[Serv-Bud-RU]],"")</f>
        <v>#DIV/0!</v>
      </c>
      <c r="AD462" s="37" t="e">
        <f>IF(DaybyDay[[#This Row],[_Space]],DaybyDay[[#This Row],[Ret-LY-RU]]/DaybyDay[[#This Row],[Serv-LY-RU]],"")</f>
        <v>#DIV/0!</v>
      </c>
      <c r="AE462" s="30">
        <f>WEEKDAY(DaybyDay[[#This Row],[LY-Date]])</f>
        <v>1</v>
      </c>
      <c r="AF462" s="38">
        <f>$E$2+_xlfn.DAYS(DaybyDay[[#This Row],[Date]],minDate)</f>
        <v>42827</v>
      </c>
      <c r="AG462" s="39" cm="1">
        <f t="array" ref="AG462">IFERROR(INDEX(DaybyDay[],DaybyDay[[#This Row],[FORM_MATCH_HELPER]],8),"")</f>
        <v>35</v>
      </c>
      <c r="AH462" s="39" cm="1">
        <f t="array" ref="AH462">IFERROR(INDEX(DaybyDay[],DaybyDay[[#This Row],[FORM_MATCH_HELPER]],10),"")</f>
        <v>6481.8</v>
      </c>
      <c r="AI462" s="39" cm="1">
        <f t="array" ref="AI462">IFERROR(INDEX(DaybyDay[],DaybyDay[[#This Row],[FORM_MATCH_HELPER]],12),"")</f>
        <v>3061</v>
      </c>
      <c r="AJ462" s="32">
        <f>IFERROR(DaybyDay[[#This Row],[Serv-LY-RU]]+DaybyDay[[#This Row],[Ret-LY-RU]],"")</f>
        <v>0</v>
      </c>
      <c r="AK4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2" s="77"/>
      <c r="AM462" s="40" t="str">
        <f>IF(DaybyDay[[#This Row],[Admin Hours]]&gt;0,DaybyDay[[#This Row],[Admin Hours]]*$AM$2+$AM$3,"")</f>
        <v/>
      </c>
      <c r="AN462" s="40">
        <f>SUMIFS(DaybyDay[Est-Admin-Payroll],DaybyDay[Date],"&gt;="&amp;$C$5,DaybyDay[RowYear],"&gt;="&amp;$C$4,DaybyDay[Date],"&lt;="&amp;DaybyDay[[#This Row],[Date]])</f>
        <v>0</v>
      </c>
      <c r="AO462" s="41" t="str">
        <f>IF(AND(DaybyDay[[#This Row],[_Space]],ISNUMBER(DaybyDay[[#This Row],[Admin Hours]])),DaybyDay[[#This Row],[Est-Admin-Payroll]]/(DaybyDay[[#This Row],[Service-Actuals]]+DaybyDay[[#This Row],[Retail-Actuals]]),"")</f>
        <v/>
      </c>
      <c r="AP462" s="41" t="e">
        <f>DaybyDay[[#This Row],[Estimated-Payroll-Rollup]]/DaybyDay[[#This Row],[Simple-Forecast]]</f>
        <v>#DIV/0!</v>
      </c>
      <c r="AQ4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2" s="77"/>
      <c r="AS462" s="40" t="str">
        <f>IF(DaybyDay[[#This Row],[Retail Hours]]&gt;0,DaybyDay[[#This Row],[Retail Hours]]*$AS$2,"")</f>
        <v/>
      </c>
      <c r="AT462" s="40">
        <f>SUMIFS(DaybyDay[Est-Retail-Payroll],DaybyDay[Date],"&gt;="&amp;$C$5,DaybyDay[RowYear],"&gt;="&amp;$C$4,DaybyDay[Date],"&lt;="&amp;DaybyDay[[#This Row],[Date]])</f>
        <v>0</v>
      </c>
      <c r="AU462" s="82" t="str">
        <f>IF(AND(DaybyDay[[#This Row],[_Space]],ISNUMBER(DaybyDay[[#This Row],[Retail Hours]])),DaybyDay[[#This Row],[Est-Retail-Payroll]]/(DaybyDay[[#This Row],[Retail-Actuals]]),"")</f>
        <v/>
      </c>
      <c r="AV462" s="82" t="e">
        <f>DaybyDay[[#This Row],[Est-Retail-PayrollRU]]/DaybyDay[[#This Row],[Simple-Forecast-Retail]]</f>
        <v>#DIV/0!</v>
      </c>
      <c r="AW462" s="8"/>
    </row>
    <row r="463" spans="3:49" hidden="1" x14ac:dyDescent="0.25">
      <c r="C463" s="26" t="str">
        <f>Tools!$C$1</f>
        <v>Example</v>
      </c>
      <c r="D463" s="27" t="s">
        <v>70</v>
      </c>
      <c r="E463" s="28">
        <v>2018</v>
      </c>
      <c r="F463" s="28">
        <f>MATCH(DaybyDay[[#This Row],[RowMonth]],Table3[SummaryMonth],0)</f>
        <v>3</v>
      </c>
      <c r="G463" s="29">
        <f>MATCH(DaybyDay[[#This Row],[LY-Date]],DaybyDay[Date],0)</f>
        <v>93</v>
      </c>
      <c r="H463" s="30">
        <f>WEEKDAY(DaybyDay[[#This Row],[Date]])</f>
        <v>2</v>
      </c>
      <c r="I463" s="31">
        <v>43192</v>
      </c>
      <c r="J463" s="74">
        <v>20</v>
      </c>
      <c r="K463" s="32">
        <f>SUMIFS(BudgetSeasonality[365 Seasonality],BudgetSeasonality[MonthAdjustment],DaybyDay[[#This Row],[Date]])*SUMIFS(Budgets[Service-Budget],Budgets[BudgetMonth],DaybyDay[[#This Row],[RowMonth]],Budgets[BudgetYear],DaybyDay[[#This Row],[RowYear]])</f>
        <v>4802.6508087786842</v>
      </c>
      <c r="L463" s="75">
        <v>3904.99</v>
      </c>
      <c r="M463" s="32">
        <f>INDEX(BudgetSeasonality[365 Seasonality],MATCH(DaybyDay[[#This Row],[Date]],BudgetSeasonality[MonthAdjustment],0))*SUMIFS(Budgets[Retail-Budget],Budgets[BudgetMonth],DaybyDay[[#This Row],[RowMonth]],Budgets[BudgetYear],DaybyDay[[#This Row],[RowYear]])</f>
        <v>1442.3722686632623</v>
      </c>
      <c r="N463" s="75">
        <v>2519.1</v>
      </c>
      <c r="O463" s="33">
        <f>SUMIFS(DaybyDay[Service-Budgets],DaybyDay[Date],"&gt;="&amp;$C$5,DaybyDay[RowYear],"&gt;="&amp;$C$4,DaybyDay[Date],"&lt;="&amp;DaybyDay[[#This Row],[Date]])</f>
        <v>0</v>
      </c>
      <c r="P463" s="33">
        <f>SUMIFS(DaybyDay[Retail-Budgets],DaybyDay[Date],"&gt;="&amp;$C$5,DaybyDay[RowYear],"&gt;="&amp;$C$4,DaybyDay[Date],"&lt;="&amp;DaybyDay[[#This Row],[Date]])</f>
        <v>0</v>
      </c>
      <c r="Q463" s="34">
        <f>SUMIFS(DaybyDay[Service-Actuals],DaybyDay[Date],"&gt;="&amp;$C$5,DaybyDay[RowYear],"&gt;="&amp;$C$4,DaybyDay[Date],"&lt;="&amp;DaybyDay[[#This Row],[Date]])</f>
        <v>0</v>
      </c>
      <c r="R463" s="34">
        <f>SUMIFS(DaybyDay[Retail-Actuals],DaybyDay[Date],"&gt;="&amp;$C$5,DaybyDay[RowYear],"&gt;="&amp;$C$4,DaybyDay[Date],"&lt;="&amp;DaybyDay[[#This Row],[Date]])</f>
        <v>0</v>
      </c>
      <c r="S463" s="35">
        <f>SUMIFS(DaybyDay[Service-LY],DaybyDay[Date],"&gt;="&amp;$C$5,DaybyDay[RowYear],"&gt;="&amp;$C$4,DaybyDay[Date],"&lt;="&amp;DaybyDay[[#This Row],[Date]])</f>
        <v>0</v>
      </c>
      <c r="T463" s="35">
        <f>SUMIFS(DaybyDay[Retail-LY],DaybyDay[Date],"&gt;="&amp;$C$5,DaybyDay[RowYear],"&gt;="&amp;$C$4,DaybyDay[Date],"&lt;="&amp;DaybyDay[[#This Row],[Date]])</f>
        <v>0</v>
      </c>
      <c r="U463" s="32">
        <f>DaybyDay[[#This Row],[Serv-Bud-RU]]+DaybyDay[[#This Row],[Ret-Bud-RU]]</f>
        <v>0</v>
      </c>
      <c r="V463" s="32">
        <f>DaybyDay[[#This Row],[Serv-Act-RU]]+DaybyDay[[#This Row],[Ret-Act-RU]]</f>
        <v>0</v>
      </c>
      <c r="W463" s="36">
        <f>IF(DaybyDay[[#This Row],[_Space]],IFERROR(
((DaybyDay[[#This Row],[Actual-Rollup]]-DaybyDay[[#This Row],[Budget-Rollup]])/DaybyDay[[#This Row],[Budget-Rollup]]),0),"")</f>
        <v>0</v>
      </c>
      <c r="X463" t="b">
        <f>NOT(AND(ISBLANK(DaybyDay[[#This Row],[Appts]]),ISBLANK(DaybyDay[[#This Row],[Service-Actuals]]),ISBLANK(DaybyDay[[#This Row],[Retail-Actuals]])))</f>
        <v>1</v>
      </c>
      <c r="Y463" s="36">
        <f>IF(DaybyDay[[#This Row],[_Space]],IFERROR(
((DaybyDay[[#This Row],[Actual-Rollup]]-DaybyDay[[#This Row],[LY-Rollup]])/DaybyDay[[#This Row],[LY-Rollup]]),0),"")</f>
        <v>0</v>
      </c>
      <c r="Z463"/>
      <c r="AA463" s="37" t="e">
        <f>IF(DaybyDay[[#This Row],[_Space]],DaybyDay[[#This Row],[Ret-Act-RU]]/DaybyDay[[#This Row],[Serv-Act-RU]],"")</f>
        <v>#DIV/0!</v>
      </c>
      <c r="AB463" s="50" t="e">
        <f>IF(DaybyDay[[#This Row],[_Space]],DaybyDay[[#This Row],[RETPEN-Act]]/DaybyDay[[#This Row],[RETPEN-Bud]],"")</f>
        <v>#DIV/0!</v>
      </c>
      <c r="AC463" s="37" t="e">
        <f>IF(DaybyDay[[#This Row],[_Space]],DaybyDay[[#This Row],[Ret-Bud-RU]]/DaybyDay[[#This Row],[Serv-Bud-RU]],"")</f>
        <v>#DIV/0!</v>
      </c>
      <c r="AD463" s="37" t="e">
        <f>IF(DaybyDay[[#This Row],[_Space]],DaybyDay[[#This Row],[Ret-LY-RU]]/DaybyDay[[#This Row],[Serv-LY-RU]],"")</f>
        <v>#DIV/0!</v>
      </c>
      <c r="AE463" s="30">
        <f>WEEKDAY(DaybyDay[[#This Row],[LY-Date]])</f>
        <v>2</v>
      </c>
      <c r="AF463" s="38">
        <f>$E$2+_xlfn.DAYS(DaybyDay[[#This Row],[Date]],minDate)</f>
        <v>42828</v>
      </c>
      <c r="AG463" s="39" cm="1">
        <f t="array" ref="AG463">IFERROR(INDEX(DaybyDay[],DaybyDay[[#This Row],[FORM_MATCH_HELPER]],8),"")</f>
        <v>20</v>
      </c>
      <c r="AH463" s="39" cm="1">
        <f t="array" ref="AH463">IFERROR(INDEX(DaybyDay[],DaybyDay[[#This Row],[FORM_MATCH_HELPER]],10),"")</f>
        <v>4357.1000000000004</v>
      </c>
      <c r="AI463" s="39" cm="1">
        <f t="array" ref="AI463">IFERROR(INDEX(DaybyDay[],DaybyDay[[#This Row],[FORM_MATCH_HELPER]],12),"")</f>
        <v>0</v>
      </c>
      <c r="AJ463" s="32">
        <f>IFERROR(DaybyDay[[#This Row],[Serv-LY-RU]]+DaybyDay[[#This Row],[Ret-LY-RU]],"")</f>
        <v>0</v>
      </c>
      <c r="AK4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3" s="77"/>
      <c r="AM463" s="40" t="str">
        <f>IF(DaybyDay[[#This Row],[Admin Hours]]&gt;0,DaybyDay[[#This Row],[Admin Hours]]*$AM$2+$AM$3,"")</f>
        <v/>
      </c>
      <c r="AN463" s="40">
        <f>SUMIFS(DaybyDay[Est-Admin-Payroll],DaybyDay[Date],"&gt;="&amp;$C$5,DaybyDay[RowYear],"&gt;="&amp;$C$4,DaybyDay[Date],"&lt;="&amp;DaybyDay[[#This Row],[Date]])</f>
        <v>0</v>
      </c>
      <c r="AO463" s="41" t="str">
        <f>IF(AND(DaybyDay[[#This Row],[_Space]],ISNUMBER(DaybyDay[[#This Row],[Admin Hours]])),DaybyDay[[#This Row],[Est-Admin-Payroll]]/(DaybyDay[[#This Row],[Service-Actuals]]+DaybyDay[[#This Row],[Retail-Actuals]]),"")</f>
        <v/>
      </c>
      <c r="AP463" s="41" t="e">
        <f>DaybyDay[[#This Row],[Estimated-Payroll-Rollup]]/DaybyDay[[#This Row],[Simple-Forecast]]</f>
        <v>#DIV/0!</v>
      </c>
      <c r="AQ4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3" s="77"/>
      <c r="AS463" s="40" t="str">
        <f>IF(DaybyDay[[#This Row],[Retail Hours]]&gt;0,DaybyDay[[#This Row],[Retail Hours]]*$AS$2,"")</f>
        <v/>
      </c>
      <c r="AT463" s="40">
        <f>SUMIFS(DaybyDay[Est-Retail-Payroll],DaybyDay[Date],"&gt;="&amp;$C$5,DaybyDay[RowYear],"&gt;="&amp;$C$4,DaybyDay[Date],"&lt;="&amp;DaybyDay[[#This Row],[Date]])</f>
        <v>0</v>
      </c>
      <c r="AU463" s="82" t="str">
        <f>IF(AND(DaybyDay[[#This Row],[_Space]],ISNUMBER(DaybyDay[[#This Row],[Retail Hours]])),DaybyDay[[#This Row],[Est-Retail-Payroll]]/(DaybyDay[[#This Row],[Retail-Actuals]]),"")</f>
        <v/>
      </c>
      <c r="AV463" s="82" t="e">
        <f>DaybyDay[[#This Row],[Est-Retail-PayrollRU]]/DaybyDay[[#This Row],[Simple-Forecast-Retail]]</f>
        <v>#DIV/0!</v>
      </c>
      <c r="AW463" s="8"/>
    </row>
    <row r="464" spans="3:49" hidden="1" x14ac:dyDescent="0.25">
      <c r="C464" s="26" t="str">
        <f>Tools!$C$1</f>
        <v>Example</v>
      </c>
      <c r="D464" s="27" t="s">
        <v>70</v>
      </c>
      <c r="E464" s="28">
        <v>2018</v>
      </c>
      <c r="F464" s="28">
        <f>MATCH(DaybyDay[[#This Row],[RowMonth]],Table3[SummaryMonth],0)</f>
        <v>3</v>
      </c>
      <c r="G464" s="29">
        <f>MATCH(DaybyDay[[#This Row],[LY-Date]],DaybyDay[Date],0)</f>
        <v>94</v>
      </c>
      <c r="H464" s="30">
        <f>WEEKDAY(DaybyDay[[#This Row],[Date]])</f>
        <v>3</v>
      </c>
      <c r="I464" s="31">
        <v>43193</v>
      </c>
      <c r="J464" s="74">
        <v>27</v>
      </c>
      <c r="K464" s="32">
        <f>SUMIFS(BudgetSeasonality[365 Seasonality],BudgetSeasonality[MonthAdjustment],DaybyDay[[#This Row],[Date]])*SUMIFS(Budgets[Service-Budget],Budgets[BudgetMonth],DaybyDay[[#This Row],[RowMonth]],Budgets[BudgetYear],DaybyDay[[#This Row],[RowYear]])</f>
        <v>4844.3402451623324</v>
      </c>
      <c r="L464" s="75">
        <v>5715</v>
      </c>
      <c r="M464" s="32">
        <f>INDEX(BudgetSeasonality[365 Seasonality],MATCH(DaybyDay[[#This Row],[Date]],BudgetSeasonality[MonthAdjustment],0))*SUMIFS(Budgets[Retail-Budget],Budgets[BudgetMonth],DaybyDay[[#This Row],[RowMonth]],Budgets[BudgetYear],DaybyDay[[#This Row],[RowYear]])</f>
        <v>1454.8927889613574</v>
      </c>
      <c r="N464" s="75">
        <v>842</v>
      </c>
      <c r="O464" s="33">
        <f>SUMIFS(DaybyDay[Service-Budgets],DaybyDay[Date],"&gt;="&amp;$C$5,DaybyDay[RowYear],"&gt;="&amp;$C$4,DaybyDay[Date],"&lt;="&amp;DaybyDay[[#This Row],[Date]])</f>
        <v>0</v>
      </c>
      <c r="P464" s="33">
        <f>SUMIFS(DaybyDay[Retail-Budgets],DaybyDay[Date],"&gt;="&amp;$C$5,DaybyDay[RowYear],"&gt;="&amp;$C$4,DaybyDay[Date],"&lt;="&amp;DaybyDay[[#This Row],[Date]])</f>
        <v>0</v>
      </c>
      <c r="Q464" s="34">
        <f>SUMIFS(DaybyDay[Service-Actuals],DaybyDay[Date],"&gt;="&amp;$C$5,DaybyDay[RowYear],"&gt;="&amp;$C$4,DaybyDay[Date],"&lt;="&amp;DaybyDay[[#This Row],[Date]])</f>
        <v>0</v>
      </c>
      <c r="R464" s="34">
        <f>SUMIFS(DaybyDay[Retail-Actuals],DaybyDay[Date],"&gt;="&amp;$C$5,DaybyDay[RowYear],"&gt;="&amp;$C$4,DaybyDay[Date],"&lt;="&amp;DaybyDay[[#This Row],[Date]])</f>
        <v>0</v>
      </c>
      <c r="S464" s="35">
        <f>SUMIFS(DaybyDay[Service-LY],DaybyDay[Date],"&gt;="&amp;$C$5,DaybyDay[RowYear],"&gt;="&amp;$C$4,DaybyDay[Date],"&lt;="&amp;DaybyDay[[#This Row],[Date]])</f>
        <v>0</v>
      </c>
      <c r="T464" s="35">
        <f>SUMIFS(DaybyDay[Retail-LY],DaybyDay[Date],"&gt;="&amp;$C$5,DaybyDay[RowYear],"&gt;="&amp;$C$4,DaybyDay[Date],"&lt;="&amp;DaybyDay[[#This Row],[Date]])</f>
        <v>0</v>
      </c>
      <c r="U464" s="32">
        <f>DaybyDay[[#This Row],[Serv-Bud-RU]]+DaybyDay[[#This Row],[Ret-Bud-RU]]</f>
        <v>0</v>
      </c>
      <c r="V464" s="32">
        <f>DaybyDay[[#This Row],[Serv-Act-RU]]+DaybyDay[[#This Row],[Ret-Act-RU]]</f>
        <v>0</v>
      </c>
      <c r="W464" s="36">
        <f>IF(DaybyDay[[#This Row],[_Space]],IFERROR(
((DaybyDay[[#This Row],[Actual-Rollup]]-DaybyDay[[#This Row],[Budget-Rollup]])/DaybyDay[[#This Row],[Budget-Rollup]]),0),"")</f>
        <v>0</v>
      </c>
      <c r="X464" t="b">
        <f>NOT(AND(ISBLANK(DaybyDay[[#This Row],[Appts]]),ISBLANK(DaybyDay[[#This Row],[Service-Actuals]]),ISBLANK(DaybyDay[[#This Row],[Retail-Actuals]])))</f>
        <v>1</v>
      </c>
      <c r="Y464" s="36">
        <f>IF(DaybyDay[[#This Row],[_Space]],IFERROR(
((DaybyDay[[#This Row],[Actual-Rollup]]-DaybyDay[[#This Row],[LY-Rollup]])/DaybyDay[[#This Row],[LY-Rollup]]),0),"")</f>
        <v>0</v>
      </c>
      <c r="Z464"/>
      <c r="AA464" s="37" t="e">
        <f>IF(DaybyDay[[#This Row],[_Space]],DaybyDay[[#This Row],[Ret-Act-RU]]/DaybyDay[[#This Row],[Serv-Act-RU]],"")</f>
        <v>#DIV/0!</v>
      </c>
      <c r="AB464" s="50" t="e">
        <f>IF(DaybyDay[[#This Row],[_Space]],DaybyDay[[#This Row],[RETPEN-Act]]/DaybyDay[[#This Row],[RETPEN-Bud]],"")</f>
        <v>#DIV/0!</v>
      </c>
      <c r="AC464" s="37" t="e">
        <f>IF(DaybyDay[[#This Row],[_Space]],DaybyDay[[#This Row],[Ret-Bud-RU]]/DaybyDay[[#This Row],[Serv-Bud-RU]],"")</f>
        <v>#DIV/0!</v>
      </c>
      <c r="AD464" s="37" t="e">
        <f>IF(DaybyDay[[#This Row],[_Space]],DaybyDay[[#This Row],[Ret-LY-RU]]/DaybyDay[[#This Row],[Serv-LY-RU]],"")</f>
        <v>#DIV/0!</v>
      </c>
      <c r="AE464" s="30">
        <f>WEEKDAY(DaybyDay[[#This Row],[LY-Date]])</f>
        <v>3</v>
      </c>
      <c r="AF464" s="38">
        <f>$E$2+_xlfn.DAYS(DaybyDay[[#This Row],[Date]],minDate)</f>
        <v>42829</v>
      </c>
      <c r="AG464" s="39" cm="1">
        <f t="array" ref="AG464">IFERROR(INDEX(DaybyDay[],DaybyDay[[#This Row],[FORM_MATCH_HELPER]],8),"")</f>
        <v>23</v>
      </c>
      <c r="AH464" s="39" cm="1">
        <f t="array" ref="AH464">IFERROR(INDEX(DaybyDay[],DaybyDay[[#This Row],[FORM_MATCH_HELPER]],10),"")</f>
        <v>4872.6499999999996</v>
      </c>
      <c r="AI464" s="39" cm="1">
        <f t="array" ref="AI464">IFERROR(INDEX(DaybyDay[],DaybyDay[[#This Row],[FORM_MATCH_HELPER]],12),"")</f>
        <v>1698.25</v>
      </c>
      <c r="AJ464" s="32">
        <f>IFERROR(DaybyDay[[#This Row],[Serv-LY-RU]]+DaybyDay[[#This Row],[Ret-LY-RU]],"")</f>
        <v>0</v>
      </c>
      <c r="AK4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4" s="77"/>
      <c r="AM464" s="40" t="str">
        <f>IF(DaybyDay[[#This Row],[Admin Hours]]&gt;0,DaybyDay[[#This Row],[Admin Hours]]*$AM$2+$AM$3,"")</f>
        <v/>
      </c>
      <c r="AN464" s="40">
        <f>SUMIFS(DaybyDay[Est-Admin-Payroll],DaybyDay[Date],"&gt;="&amp;$C$5,DaybyDay[RowYear],"&gt;="&amp;$C$4,DaybyDay[Date],"&lt;="&amp;DaybyDay[[#This Row],[Date]])</f>
        <v>0</v>
      </c>
      <c r="AO464" s="41" t="str">
        <f>IF(AND(DaybyDay[[#This Row],[_Space]],ISNUMBER(DaybyDay[[#This Row],[Admin Hours]])),DaybyDay[[#This Row],[Est-Admin-Payroll]]/(DaybyDay[[#This Row],[Service-Actuals]]+DaybyDay[[#This Row],[Retail-Actuals]]),"")</f>
        <v/>
      </c>
      <c r="AP464" s="41" t="e">
        <f>DaybyDay[[#This Row],[Estimated-Payroll-Rollup]]/DaybyDay[[#This Row],[Simple-Forecast]]</f>
        <v>#DIV/0!</v>
      </c>
      <c r="AQ4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4" s="77"/>
      <c r="AS464" s="40" t="str">
        <f>IF(DaybyDay[[#This Row],[Retail Hours]]&gt;0,DaybyDay[[#This Row],[Retail Hours]]*$AS$2,"")</f>
        <v/>
      </c>
      <c r="AT464" s="40">
        <f>SUMIFS(DaybyDay[Est-Retail-Payroll],DaybyDay[Date],"&gt;="&amp;$C$5,DaybyDay[RowYear],"&gt;="&amp;$C$4,DaybyDay[Date],"&lt;="&amp;DaybyDay[[#This Row],[Date]])</f>
        <v>0</v>
      </c>
      <c r="AU464" s="82" t="str">
        <f>IF(AND(DaybyDay[[#This Row],[_Space]],ISNUMBER(DaybyDay[[#This Row],[Retail Hours]])),DaybyDay[[#This Row],[Est-Retail-Payroll]]/(DaybyDay[[#This Row],[Retail-Actuals]]),"")</f>
        <v/>
      </c>
      <c r="AV464" s="82" t="e">
        <f>DaybyDay[[#This Row],[Est-Retail-PayrollRU]]/DaybyDay[[#This Row],[Simple-Forecast-Retail]]</f>
        <v>#DIV/0!</v>
      </c>
      <c r="AW464" s="8"/>
    </row>
    <row r="465" spans="3:49" hidden="1" x14ac:dyDescent="0.25">
      <c r="C465" s="26" t="str">
        <f>Tools!$C$1</f>
        <v>Example</v>
      </c>
      <c r="D465" s="27" t="s">
        <v>70</v>
      </c>
      <c r="E465" s="28">
        <v>2018</v>
      </c>
      <c r="F465" s="28">
        <f>MATCH(DaybyDay[[#This Row],[RowMonth]],Table3[SummaryMonth],0)</f>
        <v>3</v>
      </c>
      <c r="G465" s="29">
        <f>MATCH(DaybyDay[[#This Row],[LY-Date]],DaybyDay[Date],0)</f>
        <v>95</v>
      </c>
      <c r="H465" s="30">
        <f>WEEKDAY(DaybyDay[[#This Row],[Date]])</f>
        <v>4</v>
      </c>
      <c r="I465" s="31">
        <v>43194</v>
      </c>
      <c r="J465" s="74">
        <v>16</v>
      </c>
      <c r="K465" s="32">
        <f>SUMIFS(BudgetSeasonality[365 Seasonality],BudgetSeasonality[MonthAdjustment],DaybyDay[[#This Row],[Date]])*SUMIFS(Budgets[Service-Budget],Budgets[BudgetMonth],DaybyDay[[#This Row],[RowMonth]],Budgets[BudgetYear],DaybyDay[[#This Row],[RowYear]])</f>
        <v>5342.8017952197852</v>
      </c>
      <c r="L465" s="75">
        <v>3515</v>
      </c>
      <c r="M465" s="32">
        <f>INDEX(BudgetSeasonality[365 Seasonality],MATCH(DaybyDay[[#This Row],[Date]],BudgetSeasonality[MonthAdjustment],0))*SUMIFS(Budgets[Retail-Budget],Budgets[BudgetMonth],DaybyDay[[#This Row],[RowMonth]],Budgets[BudgetYear],DaybyDay[[#This Row],[RowYear]])</f>
        <v>1604.5949316787887</v>
      </c>
      <c r="N465" s="75">
        <v>916</v>
      </c>
      <c r="O465" s="33">
        <f>SUMIFS(DaybyDay[Service-Budgets],DaybyDay[Date],"&gt;="&amp;$C$5,DaybyDay[RowYear],"&gt;="&amp;$C$4,DaybyDay[Date],"&lt;="&amp;DaybyDay[[#This Row],[Date]])</f>
        <v>0</v>
      </c>
      <c r="P465" s="33">
        <f>SUMIFS(DaybyDay[Retail-Budgets],DaybyDay[Date],"&gt;="&amp;$C$5,DaybyDay[RowYear],"&gt;="&amp;$C$4,DaybyDay[Date],"&lt;="&amp;DaybyDay[[#This Row],[Date]])</f>
        <v>0</v>
      </c>
      <c r="Q465" s="34">
        <f>SUMIFS(DaybyDay[Service-Actuals],DaybyDay[Date],"&gt;="&amp;$C$5,DaybyDay[RowYear],"&gt;="&amp;$C$4,DaybyDay[Date],"&lt;="&amp;DaybyDay[[#This Row],[Date]])</f>
        <v>0</v>
      </c>
      <c r="R465" s="34">
        <f>SUMIFS(DaybyDay[Retail-Actuals],DaybyDay[Date],"&gt;="&amp;$C$5,DaybyDay[RowYear],"&gt;="&amp;$C$4,DaybyDay[Date],"&lt;="&amp;DaybyDay[[#This Row],[Date]])</f>
        <v>0</v>
      </c>
      <c r="S465" s="35">
        <f>SUMIFS(DaybyDay[Service-LY],DaybyDay[Date],"&gt;="&amp;$C$5,DaybyDay[RowYear],"&gt;="&amp;$C$4,DaybyDay[Date],"&lt;="&amp;DaybyDay[[#This Row],[Date]])</f>
        <v>0</v>
      </c>
      <c r="T465" s="35">
        <f>SUMIFS(DaybyDay[Retail-LY],DaybyDay[Date],"&gt;="&amp;$C$5,DaybyDay[RowYear],"&gt;="&amp;$C$4,DaybyDay[Date],"&lt;="&amp;DaybyDay[[#This Row],[Date]])</f>
        <v>0</v>
      </c>
      <c r="U465" s="32">
        <f>DaybyDay[[#This Row],[Serv-Bud-RU]]+DaybyDay[[#This Row],[Ret-Bud-RU]]</f>
        <v>0</v>
      </c>
      <c r="V465" s="32">
        <f>DaybyDay[[#This Row],[Serv-Act-RU]]+DaybyDay[[#This Row],[Ret-Act-RU]]</f>
        <v>0</v>
      </c>
      <c r="W465" s="36">
        <f>IF(DaybyDay[[#This Row],[_Space]],IFERROR(
((DaybyDay[[#This Row],[Actual-Rollup]]-DaybyDay[[#This Row],[Budget-Rollup]])/DaybyDay[[#This Row],[Budget-Rollup]]),0),"")</f>
        <v>0</v>
      </c>
      <c r="X465" t="b">
        <f>NOT(AND(ISBLANK(DaybyDay[[#This Row],[Appts]]),ISBLANK(DaybyDay[[#This Row],[Service-Actuals]]),ISBLANK(DaybyDay[[#This Row],[Retail-Actuals]])))</f>
        <v>1</v>
      </c>
      <c r="Y465" s="36">
        <f>IF(DaybyDay[[#This Row],[_Space]],IFERROR(
((DaybyDay[[#This Row],[Actual-Rollup]]-DaybyDay[[#This Row],[LY-Rollup]])/DaybyDay[[#This Row],[LY-Rollup]]),0),"")</f>
        <v>0</v>
      </c>
      <c r="Z465"/>
      <c r="AA465" s="37" t="e">
        <f>IF(DaybyDay[[#This Row],[_Space]],DaybyDay[[#This Row],[Ret-Act-RU]]/DaybyDay[[#This Row],[Serv-Act-RU]],"")</f>
        <v>#DIV/0!</v>
      </c>
      <c r="AB465" s="50" t="e">
        <f>IF(DaybyDay[[#This Row],[_Space]],DaybyDay[[#This Row],[RETPEN-Act]]/DaybyDay[[#This Row],[RETPEN-Bud]],"")</f>
        <v>#DIV/0!</v>
      </c>
      <c r="AC465" s="37" t="e">
        <f>IF(DaybyDay[[#This Row],[_Space]],DaybyDay[[#This Row],[Ret-Bud-RU]]/DaybyDay[[#This Row],[Serv-Bud-RU]],"")</f>
        <v>#DIV/0!</v>
      </c>
      <c r="AD465" s="37" t="e">
        <f>IF(DaybyDay[[#This Row],[_Space]],DaybyDay[[#This Row],[Ret-LY-RU]]/DaybyDay[[#This Row],[Serv-LY-RU]],"")</f>
        <v>#DIV/0!</v>
      </c>
      <c r="AE465" s="30">
        <f>WEEKDAY(DaybyDay[[#This Row],[LY-Date]])</f>
        <v>4</v>
      </c>
      <c r="AF465" s="38">
        <f>$E$2+_xlfn.DAYS(DaybyDay[[#This Row],[Date]],minDate)</f>
        <v>42830</v>
      </c>
      <c r="AG465" s="39" cm="1">
        <f t="array" ref="AG465">IFERROR(INDEX(DaybyDay[],DaybyDay[[#This Row],[FORM_MATCH_HELPER]],8),"")</f>
        <v>25</v>
      </c>
      <c r="AH465" s="39" cm="1">
        <f t="array" ref="AH465">IFERROR(INDEX(DaybyDay[],DaybyDay[[#This Row],[FORM_MATCH_HELPER]],10),"")</f>
        <v>4846.3999999999996</v>
      </c>
      <c r="AI465" s="39" cm="1">
        <f t="array" ref="AI465">IFERROR(INDEX(DaybyDay[],DaybyDay[[#This Row],[FORM_MATCH_HELPER]],12),"")</f>
        <v>1998.7</v>
      </c>
      <c r="AJ465" s="32">
        <f>IFERROR(DaybyDay[[#This Row],[Serv-LY-RU]]+DaybyDay[[#This Row],[Ret-LY-RU]],"")</f>
        <v>0</v>
      </c>
      <c r="AK4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5" s="77"/>
      <c r="AM465" s="40" t="str">
        <f>IF(DaybyDay[[#This Row],[Admin Hours]]&gt;0,DaybyDay[[#This Row],[Admin Hours]]*$AM$2+$AM$3,"")</f>
        <v/>
      </c>
      <c r="AN465" s="40">
        <f>SUMIFS(DaybyDay[Est-Admin-Payroll],DaybyDay[Date],"&gt;="&amp;$C$5,DaybyDay[RowYear],"&gt;="&amp;$C$4,DaybyDay[Date],"&lt;="&amp;DaybyDay[[#This Row],[Date]])</f>
        <v>0</v>
      </c>
      <c r="AO465" s="41" t="str">
        <f>IF(AND(DaybyDay[[#This Row],[_Space]],ISNUMBER(DaybyDay[[#This Row],[Admin Hours]])),DaybyDay[[#This Row],[Est-Admin-Payroll]]/(DaybyDay[[#This Row],[Service-Actuals]]+DaybyDay[[#This Row],[Retail-Actuals]]),"")</f>
        <v/>
      </c>
      <c r="AP465" s="41" t="e">
        <f>DaybyDay[[#This Row],[Estimated-Payroll-Rollup]]/DaybyDay[[#This Row],[Simple-Forecast]]</f>
        <v>#DIV/0!</v>
      </c>
      <c r="AQ4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5" s="77"/>
      <c r="AS465" s="40" t="str">
        <f>IF(DaybyDay[[#This Row],[Retail Hours]]&gt;0,DaybyDay[[#This Row],[Retail Hours]]*$AS$2,"")</f>
        <v/>
      </c>
      <c r="AT465" s="40">
        <f>SUMIFS(DaybyDay[Est-Retail-Payroll],DaybyDay[Date],"&gt;="&amp;$C$5,DaybyDay[RowYear],"&gt;="&amp;$C$4,DaybyDay[Date],"&lt;="&amp;DaybyDay[[#This Row],[Date]])</f>
        <v>0</v>
      </c>
      <c r="AU465" s="82" t="str">
        <f>IF(AND(DaybyDay[[#This Row],[_Space]],ISNUMBER(DaybyDay[[#This Row],[Retail Hours]])),DaybyDay[[#This Row],[Est-Retail-Payroll]]/(DaybyDay[[#This Row],[Retail-Actuals]]),"")</f>
        <v/>
      </c>
      <c r="AV465" s="82" t="e">
        <f>DaybyDay[[#This Row],[Est-Retail-PayrollRU]]/DaybyDay[[#This Row],[Simple-Forecast-Retail]]</f>
        <v>#DIV/0!</v>
      </c>
      <c r="AW465" s="8"/>
    </row>
    <row r="466" spans="3:49" hidden="1" x14ac:dyDescent="0.25">
      <c r="C466" s="26" t="str">
        <f>Tools!$C$1</f>
        <v>Example</v>
      </c>
      <c r="D466" s="27" t="s">
        <v>70</v>
      </c>
      <c r="E466" s="28">
        <v>2018</v>
      </c>
      <c r="F466" s="28">
        <f>MATCH(DaybyDay[[#This Row],[RowMonth]],Table3[SummaryMonth],0)</f>
        <v>3</v>
      </c>
      <c r="G466" s="29">
        <f>MATCH(DaybyDay[[#This Row],[LY-Date]],DaybyDay[Date],0)</f>
        <v>96</v>
      </c>
      <c r="H466" s="30">
        <f>WEEKDAY(DaybyDay[[#This Row],[Date]])</f>
        <v>5</v>
      </c>
      <c r="I466" s="31">
        <v>43195</v>
      </c>
      <c r="J466" s="74">
        <v>16</v>
      </c>
      <c r="K466" s="32">
        <f>SUMIFS(BudgetSeasonality[365 Seasonality],BudgetSeasonality[MonthAdjustment],DaybyDay[[#This Row],[Date]])*SUMIFS(Budgets[Service-Budget],Budgets[BudgetMonth],DaybyDay[[#This Row],[RowMonth]],Budgets[BudgetYear],DaybyDay[[#This Row],[RowYear]])</f>
        <v>5346.0017721500117</v>
      </c>
      <c r="L466" s="75">
        <v>3276</v>
      </c>
      <c r="M466" s="32">
        <f>INDEX(BudgetSeasonality[365 Seasonality],MATCH(DaybyDay[[#This Row],[Date]],BudgetSeasonality[MonthAdjustment],0))*SUMIFS(Budgets[Retail-Budget],Budgets[BudgetMonth],DaybyDay[[#This Row],[RowMonth]],Budgets[BudgetYear],DaybyDay[[#This Row],[RowYear]])</f>
        <v>1605.555975520678</v>
      </c>
      <c r="N466" s="75">
        <v>0</v>
      </c>
      <c r="O466" s="33">
        <f>SUMIFS(DaybyDay[Service-Budgets],DaybyDay[Date],"&gt;="&amp;$C$5,DaybyDay[RowYear],"&gt;="&amp;$C$4,DaybyDay[Date],"&lt;="&amp;DaybyDay[[#This Row],[Date]])</f>
        <v>0</v>
      </c>
      <c r="P466" s="33">
        <f>SUMIFS(DaybyDay[Retail-Budgets],DaybyDay[Date],"&gt;="&amp;$C$5,DaybyDay[RowYear],"&gt;="&amp;$C$4,DaybyDay[Date],"&lt;="&amp;DaybyDay[[#This Row],[Date]])</f>
        <v>0</v>
      </c>
      <c r="Q466" s="34">
        <f>SUMIFS(DaybyDay[Service-Actuals],DaybyDay[Date],"&gt;="&amp;$C$5,DaybyDay[RowYear],"&gt;="&amp;$C$4,DaybyDay[Date],"&lt;="&amp;DaybyDay[[#This Row],[Date]])</f>
        <v>0</v>
      </c>
      <c r="R466" s="34">
        <f>SUMIFS(DaybyDay[Retail-Actuals],DaybyDay[Date],"&gt;="&amp;$C$5,DaybyDay[RowYear],"&gt;="&amp;$C$4,DaybyDay[Date],"&lt;="&amp;DaybyDay[[#This Row],[Date]])</f>
        <v>0</v>
      </c>
      <c r="S466" s="35">
        <f>SUMIFS(DaybyDay[Service-LY],DaybyDay[Date],"&gt;="&amp;$C$5,DaybyDay[RowYear],"&gt;="&amp;$C$4,DaybyDay[Date],"&lt;="&amp;DaybyDay[[#This Row],[Date]])</f>
        <v>0</v>
      </c>
      <c r="T466" s="35">
        <f>SUMIFS(DaybyDay[Retail-LY],DaybyDay[Date],"&gt;="&amp;$C$5,DaybyDay[RowYear],"&gt;="&amp;$C$4,DaybyDay[Date],"&lt;="&amp;DaybyDay[[#This Row],[Date]])</f>
        <v>0</v>
      </c>
      <c r="U466" s="32">
        <f>DaybyDay[[#This Row],[Serv-Bud-RU]]+DaybyDay[[#This Row],[Ret-Bud-RU]]</f>
        <v>0</v>
      </c>
      <c r="V466" s="32">
        <f>DaybyDay[[#This Row],[Serv-Act-RU]]+DaybyDay[[#This Row],[Ret-Act-RU]]</f>
        <v>0</v>
      </c>
      <c r="W466" s="36">
        <f>IF(DaybyDay[[#This Row],[_Space]],IFERROR(
((DaybyDay[[#This Row],[Actual-Rollup]]-DaybyDay[[#This Row],[Budget-Rollup]])/DaybyDay[[#This Row],[Budget-Rollup]]),0),"")</f>
        <v>0</v>
      </c>
      <c r="X466" t="b">
        <f>NOT(AND(ISBLANK(DaybyDay[[#This Row],[Appts]]),ISBLANK(DaybyDay[[#This Row],[Service-Actuals]]),ISBLANK(DaybyDay[[#This Row],[Retail-Actuals]])))</f>
        <v>1</v>
      </c>
      <c r="Y466" s="36">
        <f>IF(DaybyDay[[#This Row],[_Space]],IFERROR(
((DaybyDay[[#This Row],[Actual-Rollup]]-DaybyDay[[#This Row],[LY-Rollup]])/DaybyDay[[#This Row],[LY-Rollup]]),0),"")</f>
        <v>0</v>
      </c>
      <c r="Z466"/>
      <c r="AA466" s="37" t="e">
        <f>IF(DaybyDay[[#This Row],[_Space]],DaybyDay[[#This Row],[Ret-Act-RU]]/DaybyDay[[#This Row],[Serv-Act-RU]],"")</f>
        <v>#DIV/0!</v>
      </c>
      <c r="AB466" s="50" t="e">
        <f>IF(DaybyDay[[#This Row],[_Space]],DaybyDay[[#This Row],[RETPEN-Act]]/DaybyDay[[#This Row],[RETPEN-Bud]],"")</f>
        <v>#DIV/0!</v>
      </c>
      <c r="AC466" s="37" t="e">
        <f>IF(DaybyDay[[#This Row],[_Space]],DaybyDay[[#This Row],[Ret-Bud-RU]]/DaybyDay[[#This Row],[Serv-Bud-RU]],"")</f>
        <v>#DIV/0!</v>
      </c>
      <c r="AD466" s="37" t="e">
        <f>IF(DaybyDay[[#This Row],[_Space]],DaybyDay[[#This Row],[Ret-LY-RU]]/DaybyDay[[#This Row],[Serv-LY-RU]],"")</f>
        <v>#DIV/0!</v>
      </c>
      <c r="AE466" s="30">
        <f>WEEKDAY(DaybyDay[[#This Row],[LY-Date]])</f>
        <v>5</v>
      </c>
      <c r="AF466" s="38">
        <f>$E$2+_xlfn.DAYS(DaybyDay[[#This Row],[Date]],minDate)</f>
        <v>42831</v>
      </c>
      <c r="AG466" s="39" cm="1">
        <f t="array" ref="AG466">IFERROR(INDEX(DaybyDay[],DaybyDay[[#This Row],[FORM_MATCH_HELPER]],8),"")</f>
        <v>21</v>
      </c>
      <c r="AH466" s="39" cm="1">
        <f t="array" ref="AH466">IFERROR(INDEX(DaybyDay[],DaybyDay[[#This Row],[FORM_MATCH_HELPER]],10),"")</f>
        <v>3962.6974999999998</v>
      </c>
      <c r="AI466" s="39" cm="1">
        <f t="array" ref="AI466">IFERROR(INDEX(DaybyDay[],DaybyDay[[#This Row],[FORM_MATCH_HELPER]],12),"")</f>
        <v>1814.0025000000001</v>
      </c>
      <c r="AJ466" s="32">
        <f>IFERROR(DaybyDay[[#This Row],[Serv-LY-RU]]+DaybyDay[[#This Row],[Ret-LY-RU]],"")</f>
        <v>0</v>
      </c>
      <c r="AK4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6" s="77"/>
      <c r="AM466" s="40" t="str">
        <f>IF(DaybyDay[[#This Row],[Admin Hours]]&gt;0,DaybyDay[[#This Row],[Admin Hours]]*$AM$2+$AM$3,"")</f>
        <v/>
      </c>
      <c r="AN466" s="40">
        <f>SUMIFS(DaybyDay[Est-Admin-Payroll],DaybyDay[Date],"&gt;="&amp;$C$5,DaybyDay[RowYear],"&gt;="&amp;$C$4,DaybyDay[Date],"&lt;="&amp;DaybyDay[[#This Row],[Date]])</f>
        <v>0</v>
      </c>
      <c r="AO466" s="41" t="str">
        <f>IF(AND(DaybyDay[[#This Row],[_Space]],ISNUMBER(DaybyDay[[#This Row],[Admin Hours]])),DaybyDay[[#This Row],[Est-Admin-Payroll]]/(DaybyDay[[#This Row],[Service-Actuals]]+DaybyDay[[#This Row],[Retail-Actuals]]),"")</f>
        <v/>
      </c>
      <c r="AP466" s="41" t="e">
        <f>DaybyDay[[#This Row],[Estimated-Payroll-Rollup]]/DaybyDay[[#This Row],[Simple-Forecast]]</f>
        <v>#DIV/0!</v>
      </c>
      <c r="AQ4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6" s="77"/>
      <c r="AS466" s="40" t="str">
        <f>IF(DaybyDay[[#This Row],[Retail Hours]]&gt;0,DaybyDay[[#This Row],[Retail Hours]]*$AS$2,"")</f>
        <v/>
      </c>
      <c r="AT466" s="40">
        <f>SUMIFS(DaybyDay[Est-Retail-Payroll],DaybyDay[Date],"&gt;="&amp;$C$5,DaybyDay[RowYear],"&gt;="&amp;$C$4,DaybyDay[Date],"&lt;="&amp;DaybyDay[[#This Row],[Date]])</f>
        <v>0</v>
      </c>
      <c r="AU466" s="82" t="str">
        <f>IF(AND(DaybyDay[[#This Row],[_Space]],ISNUMBER(DaybyDay[[#This Row],[Retail Hours]])),DaybyDay[[#This Row],[Est-Retail-Payroll]]/(DaybyDay[[#This Row],[Retail-Actuals]]),"")</f>
        <v/>
      </c>
      <c r="AV466" s="82" t="e">
        <f>DaybyDay[[#This Row],[Est-Retail-PayrollRU]]/DaybyDay[[#This Row],[Simple-Forecast-Retail]]</f>
        <v>#DIV/0!</v>
      </c>
      <c r="AW466" s="8"/>
    </row>
    <row r="467" spans="3:49" hidden="1" x14ac:dyDescent="0.25">
      <c r="C467" s="26" t="str">
        <f>Tools!$C$1</f>
        <v>Example</v>
      </c>
      <c r="D467" s="27" t="s">
        <v>70</v>
      </c>
      <c r="E467" s="28">
        <v>2018</v>
      </c>
      <c r="F467" s="28">
        <f>MATCH(DaybyDay[[#This Row],[RowMonth]],Table3[SummaryMonth],0)</f>
        <v>3</v>
      </c>
      <c r="G467" s="29">
        <f>MATCH(DaybyDay[[#This Row],[LY-Date]],DaybyDay[Date],0)</f>
        <v>97</v>
      </c>
      <c r="H467" s="30">
        <f>WEEKDAY(DaybyDay[[#This Row],[Date]])</f>
        <v>6</v>
      </c>
      <c r="I467" s="31">
        <v>43196</v>
      </c>
      <c r="J467" s="74">
        <v>19</v>
      </c>
      <c r="K467" s="32">
        <f>SUMIFS(BudgetSeasonality[365 Seasonality],BudgetSeasonality[MonthAdjustment],DaybyDay[[#This Row],[Date]])*SUMIFS(Budgets[Service-Budget],Budgets[BudgetMonth],DaybyDay[[#This Row],[RowMonth]],Budgets[BudgetYear],DaybyDay[[#This Row],[RowYear]])</f>
        <v>6333.2729887134465</v>
      </c>
      <c r="L467" s="75">
        <v>4448</v>
      </c>
      <c r="M467" s="32">
        <f>INDEX(BudgetSeasonality[365 Seasonality],MATCH(DaybyDay[[#This Row],[Date]],BudgetSeasonality[MonthAdjustment],0))*SUMIFS(Budgets[Retail-Budget],Budgets[BudgetMonth],DaybyDay[[#This Row],[RowMonth]],Budgets[BudgetYear],DaybyDay[[#This Row],[RowYear]])</f>
        <v>1902.0615265421286</v>
      </c>
      <c r="N467" s="75">
        <v>106</v>
      </c>
      <c r="O467" s="33">
        <f>SUMIFS(DaybyDay[Service-Budgets],DaybyDay[Date],"&gt;="&amp;$C$5,DaybyDay[RowYear],"&gt;="&amp;$C$4,DaybyDay[Date],"&lt;="&amp;DaybyDay[[#This Row],[Date]])</f>
        <v>0</v>
      </c>
      <c r="P467" s="33">
        <f>SUMIFS(DaybyDay[Retail-Budgets],DaybyDay[Date],"&gt;="&amp;$C$5,DaybyDay[RowYear],"&gt;="&amp;$C$4,DaybyDay[Date],"&lt;="&amp;DaybyDay[[#This Row],[Date]])</f>
        <v>0</v>
      </c>
      <c r="Q467" s="34">
        <f>SUMIFS(DaybyDay[Service-Actuals],DaybyDay[Date],"&gt;="&amp;$C$5,DaybyDay[RowYear],"&gt;="&amp;$C$4,DaybyDay[Date],"&lt;="&amp;DaybyDay[[#This Row],[Date]])</f>
        <v>0</v>
      </c>
      <c r="R467" s="34">
        <f>SUMIFS(DaybyDay[Retail-Actuals],DaybyDay[Date],"&gt;="&amp;$C$5,DaybyDay[RowYear],"&gt;="&amp;$C$4,DaybyDay[Date],"&lt;="&amp;DaybyDay[[#This Row],[Date]])</f>
        <v>0</v>
      </c>
      <c r="S467" s="35">
        <f>SUMIFS(DaybyDay[Service-LY],DaybyDay[Date],"&gt;="&amp;$C$5,DaybyDay[RowYear],"&gt;="&amp;$C$4,DaybyDay[Date],"&lt;="&amp;DaybyDay[[#This Row],[Date]])</f>
        <v>0</v>
      </c>
      <c r="T467" s="35">
        <f>SUMIFS(DaybyDay[Retail-LY],DaybyDay[Date],"&gt;="&amp;$C$5,DaybyDay[RowYear],"&gt;="&amp;$C$4,DaybyDay[Date],"&lt;="&amp;DaybyDay[[#This Row],[Date]])</f>
        <v>0</v>
      </c>
      <c r="U467" s="32">
        <f>DaybyDay[[#This Row],[Serv-Bud-RU]]+DaybyDay[[#This Row],[Ret-Bud-RU]]</f>
        <v>0</v>
      </c>
      <c r="V467" s="32">
        <f>DaybyDay[[#This Row],[Serv-Act-RU]]+DaybyDay[[#This Row],[Ret-Act-RU]]</f>
        <v>0</v>
      </c>
      <c r="W467" s="36">
        <f>IF(DaybyDay[[#This Row],[_Space]],IFERROR(
((DaybyDay[[#This Row],[Actual-Rollup]]-DaybyDay[[#This Row],[Budget-Rollup]])/DaybyDay[[#This Row],[Budget-Rollup]]),0),"")</f>
        <v>0</v>
      </c>
      <c r="X467" t="b">
        <f>NOT(AND(ISBLANK(DaybyDay[[#This Row],[Appts]]),ISBLANK(DaybyDay[[#This Row],[Service-Actuals]]),ISBLANK(DaybyDay[[#This Row],[Retail-Actuals]])))</f>
        <v>1</v>
      </c>
      <c r="Y467" s="36">
        <f>IF(DaybyDay[[#This Row],[_Space]],IFERROR(
((DaybyDay[[#This Row],[Actual-Rollup]]-DaybyDay[[#This Row],[LY-Rollup]])/DaybyDay[[#This Row],[LY-Rollup]]),0),"")</f>
        <v>0</v>
      </c>
      <c r="Z467"/>
      <c r="AA467" s="37" t="e">
        <f>IF(DaybyDay[[#This Row],[_Space]],DaybyDay[[#This Row],[Ret-Act-RU]]/DaybyDay[[#This Row],[Serv-Act-RU]],"")</f>
        <v>#DIV/0!</v>
      </c>
      <c r="AB467" s="50" t="e">
        <f>IF(DaybyDay[[#This Row],[_Space]],DaybyDay[[#This Row],[RETPEN-Act]]/DaybyDay[[#This Row],[RETPEN-Bud]],"")</f>
        <v>#DIV/0!</v>
      </c>
      <c r="AC467" s="37" t="e">
        <f>IF(DaybyDay[[#This Row],[_Space]],DaybyDay[[#This Row],[Ret-Bud-RU]]/DaybyDay[[#This Row],[Serv-Bud-RU]],"")</f>
        <v>#DIV/0!</v>
      </c>
      <c r="AD467" s="37" t="e">
        <f>IF(DaybyDay[[#This Row],[_Space]],DaybyDay[[#This Row],[Ret-LY-RU]]/DaybyDay[[#This Row],[Serv-LY-RU]],"")</f>
        <v>#DIV/0!</v>
      </c>
      <c r="AE467" s="30">
        <f>WEEKDAY(DaybyDay[[#This Row],[LY-Date]])</f>
        <v>6</v>
      </c>
      <c r="AF467" s="38">
        <f>$E$2+_xlfn.DAYS(DaybyDay[[#This Row],[Date]],minDate)</f>
        <v>42832</v>
      </c>
      <c r="AG467" s="39" cm="1">
        <f t="array" ref="AG467">IFERROR(INDEX(DaybyDay[],DaybyDay[[#This Row],[FORM_MATCH_HELPER]],8),"")</f>
        <v>38</v>
      </c>
      <c r="AH467" s="39" cm="1">
        <f t="array" ref="AH467">IFERROR(INDEX(DaybyDay[],DaybyDay[[#This Row],[FORM_MATCH_HELPER]],10),"")</f>
        <v>7289.65</v>
      </c>
      <c r="AI467" s="39" cm="1">
        <f t="array" ref="AI467">IFERROR(INDEX(DaybyDay[],DaybyDay[[#This Row],[FORM_MATCH_HELPER]],12),"")</f>
        <v>1735</v>
      </c>
      <c r="AJ467" s="32">
        <f>IFERROR(DaybyDay[[#This Row],[Serv-LY-RU]]+DaybyDay[[#This Row],[Ret-LY-RU]],"")</f>
        <v>0</v>
      </c>
      <c r="AK4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7" s="77"/>
      <c r="AM467" s="40" t="str">
        <f>IF(DaybyDay[[#This Row],[Admin Hours]]&gt;0,DaybyDay[[#This Row],[Admin Hours]]*$AM$2+$AM$3,"")</f>
        <v/>
      </c>
      <c r="AN467" s="40">
        <f>SUMIFS(DaybyDay[Est-Admin-Payroll],DaybyDay[Date],"&gt;="&amp;$C$5,DaybyDay[RowYear],"&gt;="&amp;$C$4,DaybyDay[Date],"&lt;="&amp;DaybyDay[[#This Row],[Date]])</f>
        <v>0</v>
      </c>
      <c r="AO467" s="41" t="str">
        <f>IF(AND(DaybyDay[[#This Row],[_Space]],ISNUMBER(DaybyDay[[#This Row],[Admin Hours]])),DaybyDay[[#This Row],[Est-Admin-Payroll]]/(DaybyDay[[#This Row],[Service-Actuals]]+DaybyDay[[#This Row],[Retail-Actuals]]),"")</f>
        <v/>
      </c>
      <c r="AP467" s="41" t="e">
        <f>DaybyDay[[#This Row],[Estimated-Payroll-Rollup]]/DaybyDay[[#This Row],[Simple-Forecast]]</f>
        <v>#DIV/0!</v>
      </c>
      <c r="AQ4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7" s="77"/>
      <c r="AS467" s="40" t="str">
        <f>IF(DaybyDay[[#This Row],[Retail Hours]]&gt;0,DaybyDay[[#This Row],[Retail Hours]]*$AS$2,"")</f>
        <v/>
      </c>
      <c r="AT467" s="40">
        <f>SUMIFS(DaybyDay[Est-Retail-Payroll],DaybyDay[Date],"&gt;="&amp;$C$5,DaybyDay[RowYear],"&gt;="&amp;$C$4,DaybyDay[Date],"&lt;="&amp;DaybyDay[[#This Row],[Date]])</f>
        <v>0</v>
      </c>
      <c r="AU467" s="82" t="str">
        <f>IF(AND(DaybyDay[[#This Row],[_Space]],ISNUMBER(DaybyDay[[#This Row],[Retail Hours]])),DaybyDay[[#This Row],[Est-Retail-Payroll]]/(DaybyDay[[#This Row],[Retail-Actuals]]),"")</f>
        <v/>
      </c>
      <c r="AV467" s="82" t="e">
        <f>DaybyDay[[#This Row],[Est-Retail-PayrollRU]]/DaybyDay[[#This Row],[Simple-Forecast-Retail]]</f>
        <v>#DIV/0!</v>
      </c>
      <c r="AW467" s="8"/>
    </row>
    <row r="468" spans="3:49" hidden="1" x14ac:dyDescent="0.25">
      <c r="C468" s="26" t="str">
        <f>Tools!$C$1</f>
        <v>Example</v>
      </c>
      <c r="D468" s="27" t="s">
        <v>70</v>
      </c>
      <c r="E468" s="28">
        <v>2018</v>
      </c>
      <c r="F468" s="28">
        <f>MATCH(DaybyDay[[#This Row],[RowMonth]],Table3[SummaryMonth],0)</f>
        <v>3</v>
      </c>
      <c r="G468" s="29">
        <f>MATCH(DaybyDay[[#This Row],[LY-Date]],DaybyDay[Date],0)</f>
        <v>98</v>
      </c>
      <c r="H468" s="30">
        <f>WEEKDAY(DaybyDay[[#This Row],[Date]])</f>
        <v>7</v>
      </c>
      <c r="I468" s="31">
        <v>43197</v>
      </c>
      <c r="J468" s="74">
        <v>31</v>
      </c>
      <c r="K468" s="32">
        <f>SUMIFS(BudgetSeasonality[365 Seasonality],BudgetSeasonality[MonthAdjustment],DaybyDay[[#This Row],[Date]])*SUMIFS(Budgets[Service-Budget],Budgets[BudgetMonth],DaybyDay[[#This Row],[RowMonth]],Budgets[BudgetYear],DaybyDay[[#This Row],[RowYear]])</f>
        <v>8563.3170473208866</v>
      </c>
      <c r="L468" s="75">
        <v>7063.56</v>
      </c>
      <c r="M468" s="32">
        <f>INDEX(BudgetSeasonality[365 Seasonality],MATCH(DaybyDay[[#This Row],[Date]],BudgetSeasonality[MonthAdjustment],0))*SUMIFS(Budgets[Retail-Budget],Budgets[BudgetMonth],DaybyDay[[#This Row],[RowMonth]],Budgets[BudgetYear],DaybyDay[[#This Row],[RowYear]])</f>
        <v>2571.8070142118045</v>
      </c>
      <c r="N468" s="75">
        <v>1203</v>
      </c>
      <c r="O468" s="33">
        <f>SUMIFS(DaybyDay[Service-Budgets],DaybyDay[Date],"&gt;="&amp;$C$5,DaybyDay[RowYear],"&gt;="&amp;$C$4,DaybyDay[Date],"&lt;="&amp;DaybyDay[[#This Row],[Date]])</f>
        <v>0</v>
      </c>
      <c r="P468" s="33">
        <f>SUMIFS(DaybyDay[Retail-Budgets],DaybyDay[Date],"&gt;="&amp;$C$5,DaybyDay[RowYear],"&gt;="&amp;$C$4,DaybyDay[Date],"&lt;="&amp;DaybyDay[[#This Row],[Date]])</f>
        <v>0</v>
      </c>
      <c r="Q468" s="34">
        <f>SUMIFS(DaybyDay[Service-Actuals],DaybyDay[Date],"&gt;="&amp;$C$5,DaybyDay[RowYear],"&gt;="&amp;$C$4,DaybyDay[Date],"&lt;="&amp;DaybyDay[[#This Row],[Date]])</f>
        <v>0</v>
      </c>
      <c r="R468" s="34">
        <f>SUMIFS(DaybyDay[Retail-Actuals],DaybyDay[Date],"&gt;="&amp;$C$5,DaybyDay[RowYear],"&gt;="&amp;$C$4,DaybyDay[Date],"&lt;="&amp;DaybyDay[[#This Row],[Date]])</f>
        <v>0</v>
      </c>
      <c r="S468" s="35">
        <f>SUMIFS(DaybyDay[Service-LY],DaybyDay[Date],"&gt;="&amp;$C$5,DaybyDay[RowYear],"&gt;="&amp;$C$4,DaybyDay[Date],"&lt;="&amp;DaybyDay[[#This Row],[Date]])</f>
        <v>0</v>
      </c>
      <c r="T468" s="35">
        <f>SUMIFS(DaybyDay[Retail-LY],DaybyDay[Date],"&gt;="&amp;$C$5,DaybyDay[RowYear],"&gt;="&amp;$C$4,DaybyDay[Date],"&lt;="&amp;DaybyDay[[#This Row],[Date]])</f>
        <v>0</v>
      </c>
      <c r="U468" s="32">
        <f>DaybyDay[[#This Row],[Serv-Bud-RU]]+DaybyDay[[#This Row],[Ret-Bud-RU]]</f>
        <v>0</v>
      </c>
      <c r="V468" s="32">
        <f>DaybyDay[[#This Row],[Serv-Act-RU]]+DaybyDay[[#This Row],[Ret-Act-RU]]</f>
        <v>0</v>
      </c>
      <c r="W468" s="36">
        <f>IF(DaybyDay[[#This Row],[_Space]],IFERROR(
((DaybyDay[[#This Row],[Actual-Rollup]]-DaybyDay[[#This Row],[Budget-Rollup]])/DaybyDay[[#This Row],[Budget-Rollup]]),0),"")</f>
        <v>0</v>
      </c>
      <c r="X468" t="b">
        <f>NOT(AND(ISBLANK(DaybyDay[[#This Row],[Appts]]),ISBLANK(DaybyDay[[#This Row],[Service-Actuals]]),ISBLANK(DaybyDay[[#This Row],[Retail-Actuals]])))</f>
        <v>1</v>
      </c>
      <c r="Y468" s="36">
        <f>IF(DaybyDay[[#This Row],[_Space]],IFERROR(
((DaybyDay[[#This Row],[Actual-Rollup]]-DaybyDay[[#This Row],[LY-Rollup]])/DaybyDay[[#This Row],[LY-Rollup]]),0),"")</f>
        <v>0</v>
      </c>
      <c r="Z468"/>
      <c r="AA468" s="37" t="e">
        <f>IF(DaybyDay[[#This Row],[_Space]],DaybyDay[[#This Row],[Ret-Act-RU]]/DaybyDay[[#This Row],[Serv-Act-RU]],"")</f>
        <v>#DIV/0!</v>
      </c>
      <c r="AB468" s="50" t="e">
        <f>IF(DaybyDay[[#This Row],[_Space]],DaybyDay[[#This Row],[RETPEN-Act]]/DaybyDay[[#This Row],[RETPEN-Bud]],"")</f>
        <v>#DIV/0!</v>
      </c>
      <c r="AC468" s="37" t="e">
        <f>IF(DaybyDay[[#This Row],[_Space]],DaybyDay[[#This Row],[Ret-Bud-RU]]/DaybyDay[[#This Row],[Serv-Bud-RU]],"")</f>
        <v>#DIV/0!</v>
      </c>
      <c r="AD468" s="37" t="e">
        <f>IF(DaybyDay[[#This Row],[_Space]],DaybyDay[[#This Row],[Ret-LY-RU]]/DaybyDay[[#This Row],[Serv-LY-RU]],"")</f>
        <v>#DIV/0!</v>
      </c>
      <c r="AE468" s="30">
        <f>WEEKDAY(DaybyDay[[#This Row],[LY-Date]])</f>
        <v>7</v>
      </c>
      <c r="AF468" s="38">
        <f>$E$2+_xlfn.DAYS(DaybyDay[[#This Row],[Date]],minDate)</f>
        <v>42833</v>
      </c>
      <c r="AG468" s="39" cm="1">
        <f t="array" ref="AG468">IFERROR(INDEX(DaybyDay[],DaybyDay[[#This Row],[FORM_MATCH_HELPER]],8),"")</f>
        <v>31</v>
      </c>
      <c r="AH468" s="39" cm="1">
        <f t="array" ref="AH468">IFERROR(INDEX(DaybyDay[],DaybyDay[[#This Row],[FORM_MATCH_HELPER]],10),"")</f>
        <v>7020.79</v>
      </c>
      <c r="AI468" s="39" cm="1">
        <f t="array" ref="AI468">IFERROR(INDEX(DaybyDay[],DaybyDay[[#This Row],[FORM_MATCH_HELPER]],12),"")</f>
        <v>946</v>
      </c>
      <c r="AJ468" s="32">
        <f>IFERROR(DaybyDay[[#This Row],[Serv-LY-RU]]+DaybyDay[[#This Row],[Ret-LY-RU]],"")</f>
        <v>0</v>
      </c>
      <c r="AK4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8" s="77"/>
      <c r="AM468" s="40" t="str">
        <f>IF(DaybyDay[[#This Row],[Admin Hours]]&gt;0,DaybyDay[[#This Row],[Admin Hours]]*$AM$2+$AM$3,"")</f>
        <v/>
      </c>
      <c r="AN468" s="40">
        <f>SUMIFS(DaybyDay[Est-Admin-Payroll],DaybyDay[Date],"&gt;="&amp;$C$5,DaybyDay[RowYear],"&gt;="&amp;$C$4,DaybyDay[Date],"&lt;="&amp;DaybyDay[[#This Row],[Date]])</f>
        <v>0</v>
      </c>
      <c r="AO468" s="41" t="str">
        <f>IF(AND(DaybyDay[[#This Row],[_Space]],ISNUMBER(DaybyDay[[#This Row],[Admin Hours]])),DaybyDay[[#This Row],[Est-Admin-Payroll]]/(DaybyDay[[#This Row],[Service-Actuals]]+DaybyDay[[#This Row],[Retail-Actuals]]),"")</f>
        <v/>
      </c>
      <c r="AP468" s="41" t="e">
        <f>DaybyDay[[#This Row],[Estimated-Payroll-Rollup]]/DaybyDay[[#This Row],[Simple-Forecast]]</f>
        <v>#DIV/0!</v>
      </c>
      <c r="AQ4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8" s="77"/>
      <c r="AS468" s="40" t="str">
        <f>IF(DaybyDay[[#This Row],[Retail Hours]]&gt;0,DaybyDay[[#This Row],[Retail Hours]]*$AS$2,"")</f>
        <v/>
      </c>
      <c r="AT468" s="40">
        <f>SUMIFS(DaybyDay[Est-Retail-Payroll],DaybyDay[Date],"&gt;="&amp;$C$5,DaybyDay[RowYear],"&gt;="&amp;$C$4,DaybyDay[Date],"&lt;="&amp;DaybyDay[[#This Row],[Date]])</f>
        <v>0</v>
      </c>
      <c r="AU468" s="82" t="str">
        <f>IF(AND(DaybyDay[[#This Row],[_Space]],ISNUMBER(DaybyDay[[#This Row],[Retail Hours]])),DaybyDay[[#This Row],[Est-Retail-Payroll]]/(DaybyDay[[#This Row],[Retail-Actuals]]),"")</f>
        <v/>
      </c>
      <c r="AV468" s="82" t="e">
        <f>DaybyDay[[#This Row],[Est-Retail-PayrollRU]]/DaybyDay[[#This Row],[Simple-Forecast-Retail]]</f>
        <v>#DIV/0!</v>
      </c>
      <c r="AW468" s="8"/>
    </row>
    <row r="469" spans="3:49" hidden="1" x14ac:dyDescent="0.25">
      <c r="C469" s="26" t="str">
        <f>Tools!$C$1</f>
        <v>Example</v>
      </c>
      <c r="D469" s="27" t="s">
        <v>71</v>
      </c>
      <c r="E469" s="28">
        <v>2018</v>
      </c>
      <c r="F469" s="28">
        <f>MATCH(DaybyDay[[#This Row],[RowMonth]],Table3[SummaryMonth],0)</f>
        <v>4</v>
      </c>
      <c r="G469" s="29">
        <f>MATCH(DaybyDay[[#This Row],[LY-Date]],DaybyDay[Date],0)</f>
        <v>99</v>
      </c>
      <c r="H469" s="30">
        <f>WEEKDAY(DaybyDay[[#This Row],[Date]])</f>
        <v>1</v>
      </c>
      <c r="I469" s="31">
        <v>43198</v>
      </c>
      <c r="J469" s="74">
        <v>18</v>
      </c>
      <c r="K469" s="32">
        <f>SUMIFS(BudgetSeasonality[365 Seasonality],BudgetSeasonality[MonthAdjustment],DaybyDay[[#This Row],[Date]])*SUMIFS(Budgets[Service-Budget],Budgets[BudgetMonth],DaybyDay[[#This Row],[RowMonth]],Budgets[BudgetYear],DaybyDay[[#This Row],[RowYear]])</f>
        <v>8446.1100010236096</v>
      </c>
      <c r="L469" s="75">
        <v>3944</v>
      </c>
      <c r="M469" s="32">
        <f>INDEX(BudgetSeasonality[365 Seasonality],MATCH(DaybyDay[[#This Row],[Date]],BudgetSeasonality[MonthAdjustment],0))*SUMIFS(Budgets[Retail-Budget],Budgets[BudgetMonth],DaybyDay[[#This Row],[RowMonth]],Budgets[BudgetYear],DaybyDay[[#This Row],[RowYear]])</f>
        <v>2539.2881949419511</v>
      </c>
      <c r="N469" s="75">
        <v>1079</v>
      </c>
      <c r="O469" s="33">
        <f>SUMIFS(DaybyDay[Service-Budgets],DaybyDay[Date],"&gt;="&amp;$C$5,DaybyDay[RowYear],"&gt;="&amp;$C$4,DaybyDay[Date],"&lt;="&amp;DaybyDay[[#This Row],[Date]])</f>
        <v>0</v>
      </c>
      <c r="P469" s="33">
        <f>SUMIFS(DaybyDay[Retail-Budgets],DaybyDay[Date],"&gt;="&amp;$C$5,DaybyDay[RowYear],"&gt;="&amp;$C$4,DaybyDay[Date],"&lt;="&amp;DaybyDay[[#This Row],[Date]])</f>
        <v>0</v>
      </c>
      <c r="Q469" s="34">
        <f>SUMIFS(DaybyDay[Service-Actuals],DaybyDay[Date],"&gt;="&amp;$C$5,DaybyDay[RowYear],"&gt;="&amp;$C$4,DaybyDay[Date],"&lt;="&amp;DaybyDay[[#This Row],[Date]])</f>
        <v>0</v>
      </c>
      <c r="R469" s="34">
        <f>SUMIFS(DaybyDay[Retail-Actuals],DaybyDay[Date],"&gt;="&amp;$C$5,DaybyDay[RowYear],"&gt;="&amp;$C$4,DaybyDay[Date],"&lt;="&amp;DaybyDay[[#This Row],[Date]])</f>
        <v>0</v>
      </c>
      <c r="S469" s="35">
        <f>SUMIFS(DaybyDay[Service-LY],DaybyDay[Date],"&gt;="&amp;$C$5,DaybyDay[RowYear],"&gt;="&amp;$C$4,DaybyDay[Date],"&lt;="&amp;DaybyDay[[#This Row],[Date]])</f>
        <v>0</v>
      </c>
      <c r="T469" s="35">
        <f>SUMIFS(DaybyDay[Retail-LY],DaybyDay[Date],"&gt;="&amp;$C$5,DaybyDay[RowYear],"&gt;="&amp;$C$4,DaybyDay[Date],"&lt;="&amp;DaybyDay[[#This Row],[Date]])</f>
        <v>0</v>
      </c>
      <c r="U469" s="32">
        <f>DaybyDay[[#This Row],[Serv-Bud-RU]]+DaybyDay[[#This Row],[Ret-Bud-RU]]</f>
        <v>0</v>
      </c>
      <c r="V469" s="32">
        <f>DaybyDay[[#This Row],[Serv-Act-RU]]+DaybyDay[[#This Row],[Ret-Act-RU]]</f>
        <v>0</v>
      </c>
      <c r="W469" s="36">
        <f>IF(DaybyDay[[#This Row],[_Space]],IFERROR(
((DaybyDay[[#This Row],[Actual-Rollup]]-DaybyDay[[#This Row],[Budget-Rollup]])/DaybyDay[[#This Row],[Budget-Rollup]]),0),"")</f>
        <v>0</v>
      </c>
      <c r="X469" t="b">
        <f>NOT(AND(ISBLANK(DaybyDay[[#This Row],[Appts]]),ISBLANK(DaybyDay[[#This Row],[Service-Actuals]]),ISBLANK(DaybyDay[[#This Row],[Retail-Actuals]])))</f>
        <v>1</v>
      </c>
      <c r="Y469" s="36">
        <f>IF(DaybyDay[[#This Row],[_Space]],IFERROR(
((DaybyDay[[#This Row],[Actual-Rollup]]-DaybyDay[[#This Row],[LY-Rollup]])/DaybyDay[[#This Row],[LY-Rollup]]),0),"")</f>
        <v>0</v>
      </c>
      <c r="Z469"/>
      <c r="AA469" s="37" t="e">
        <f>IF(DaybyDay[[#This Row],[_Space]],DaybyDay[[#This Row],[Ret-Act-RU]]/DaybyDay[[#This Row],[Serv-Act-RU]],"")</f>
        <v>#DIV/0!</v>
      </c>
      <c r="AB469" s="50" t="e">
        <f>IF(DaybyDay[[#This Row],[_Space]],DaybyDay[[#This Row],[RETPEN-Act]]/DaybyDay[[#This Row],[RETPEN-Bud]],"")</f>
        <v>#DIV/0!</v>
      </c>
      <c r="AC469" s="37" t="e">
        <f>IF(DaybyDay[[#This Row],[_Space]],DaybyDay[[#This Row],[Ret-Bud-RU]]/DaybyDay[[#This Row],[Serv-Bud-RU]],"")</f>
        <v>#DIV/0!</v>
      </c>
      <c r="AD469" s="37" t="e">
        <f>IF(DaybyDay[[#This Row],[_Space]],DaybyDay[[#This Row],[Ret-LY-RU]]/DaybyDay[[#This Row],[Serv-LY-RU]],"")</f>
        <v>#DIV/0!</v>
      </c>
      <c r="AE469" s="30">
        <f>WEEKDAY(DaybyDay[[#This Row],[LY-Date]])</f>
        <v>1</v>
      </c>
      <c r="AF469" s="38">
        <f>$E$2+_xlfn.DAYS(DaybyDay[[#This Row],[Date]],minDate)</f>
        <v>42834</v>
      </c>
      <c r="AG469" s="39" cm="1">
        <f t="array" ref="AG469">IFERROR(INDEX(DaybyDay[],DaybyDay[[#This Row],[FORM_MATCH_HELPER]],8),"")</f>
        <v>30</v>
      </c>
      <c r="AH469" s="39" cm="1">
        <f t="array" ref="AH469">IFERROR(INDEX(DaybyDay[],DaybyDay[[#This Row],[FORM_MATCH_HELPER]],10),"")</f>
        <v>5017.6000000000004</v>
      </c>
      <c r="AI469" s="39" cm="1">
        <f t="array" ref="AI469">IFERROR(INDEX(DaybyDay[],DaybyDay[[#This Row],[FORM_MATCH_HELPER]],12),"")</f>
        <v>746.6</v>
      </c>
      <c r="AJ469" s="32">
        <f>IFERROR(DaybyDay[[#This Row],[Serv-LY-RU]]+DaybyDay[[#This Row],[Ret-LY-RU]],"")</f>
        <v>0</v>
      </c>
      <c r="AK4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69" s="77"/>
      <c r="AM469" s="40" t="str">
        <f>IF(DaybyDay[[#This Row],[Admin Hours]]&gt;0,DaybyDay[[#This Row],[Admin Hours]]*$AM$2+$AM$3,"")</f>
        <v/>
      </c>
      <c r="AN469" s="40">
        <f>SUMIFS(DaybyDay[Est-Admin-Payroll],DaybyDay[Date],"&gt;="&amp;$C$5,DaybyDay[RowYear],"&gt;="&amp;$C$4,DaybyDay[Date],"&lt;="&amp;DaybyDay[[#This Row],[Date]])</f>
        <v>0</v>
      </c>
      <c r="AO469" s="41" t="str">
        <f>IF(AND(DaybyDay[[#This Row],[_Space]],ISNUMBER(DaybyDay[[#This Row],[Admin Hours]])),DaybyDay[[#This Row],[Est-Admin-Payroll]]/(DaybyDay[[#This Row],[Service-Actuals]]+DaybyDay[[#This Row],[Retail-Actuals]]),"")</f>
        <v/>
      </c>
      <c r="AP469" s="41" t="e">
        <f>DaybyDay[[#This Row],[Estimated-Payroll-Rollup]]/DaybyDay[[#This Row],[Simple-Forecast]]</f>
        <v>#DIV/0!</v>
      </c>
      <c r="AQ4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69" s="77"/>
      <c r="AS469" s="40" t="str">
        <f>IF(DaybyDay[[#This Row],[Retail Hours]]&gt;0,DaybyDay[[#This Row],[Retail Hours]]*$AS$2,"")</f>
        <v/>
      </c>
      <c r="AT469" s="40">
        <f>SUMIFS(DaybyDay[Est-Retail-Payroll],DaybyDay[Date],"&gt;="&amp;$C$5,DaybyDay[RowYear],"&gt;="&amp;$C$4,DaybyDay[Date],"&lt;="&amp;DaybyDay[[#This Row],[Date]])</f>
        <v>0</v>
      </c>
      <c r="AU469" s="82" t="str">
        <f>IF(AND(DaybyDay[[#This Row],[_Space]],ISNUMBER(DaybyDay[[#This Row],[Retail Hours]])),DaybyDay[[#This Row],[Est-Retail-Payroll]]/(DaybyDay[[#This Row],[Retail-Actuals]]),"")</f>
        <v/>
      </c>
      <c r="AV469" s="82" t="e">
        <f>DaybyDay[[#This Row],[Est-Retail-PayrollRU]]/DaybyDay[[#This Row],[Simple-Forecast-Retail]]</f>
        <v>#DIV/0!</v>
      </c>
      <c r="AW469" s="8"/>
    </row>
    <row r="470" spans="3:49" hidden="1" x14ac:dyDescent="0.25">
      <c r="C470" s="26" t="str">
        <f>Tools!$C$1</f>
        <v>Example</v>
      </c>
      <c r="D470" s="27" t="s">
        <v>71</v>
      </c>
      <c r="E470" s="28">
        <v>2018</v>
      </c>
      <c r="F470" s="28">
        <f>MATCH(DaybyDay[[#This Row],[RowMonth]],Table3[SummaryMonth],0)</f>
        <v>4</v>
      </c>
      <c r="G470" s="29">
        <f>MATCH(DaybyDay[[#This Row],[LY-Date]],DaybyDay[Date],0)</f>
        <v>100</v>
      </c>
      <c r="H470" s="30">
        <f>WEEKDAY(DaybyDay[[#This Row],[Date]])</f>
        <v>2</v>
      </c>
      <c r="I470" s="31">
        <v>43199</v>
      </c>
      <c r="J470" s="74">
        <v>10</v>
      </c>
      <c r="K470" s="32">
        <f>SUMIFS(BudgetSeasonality[365 Seasonality],BudgetSeasonality[MonthAdjustment],DaybyDay[[#This Row],[Date]])*SUMIFS(Budgets[Service-Budget],Budgets[BudgetMonth],DaybyDay[[#This Row],[RowMonth]],Budgets[BudgetYear],DaybyDay[[#This Row],[RowYear]])</f>
        <v>4988.952595784398</v>
      </c>
      <c r="L470" s="75">
        <v>2267</v>
      </c>
      <c r="M470" s="32">
        <f>INDEX(BudgetSeasonality[365 Seasonality],MATCH(DaybyDay[[#This Row],[Date]],BudgetSeasonality[MonthAdjustment],0))*SUMIFS(Budgets[Retail-Budget],Budgets[BudgetMonth],DaybyDay[[#This Row],[RowMonth]],Budgets[BudgetYear],DaybyDay[[#This Row],[RowYear]])</f>
        <v>1499.9080559056185</v>
      </c>
      <c r="N470" s="75">
        <v>883</v>
      </c>
      <c r="O470" s="33">
        <f>SUMIFS(DaybyDay[Service-Budgets],DaybyDay[Date],"&gt;="&amp;$C$5,DaybyDay[RowYear],"&gt;="&amp;$C$4,DaybyDay[Date],"&lt;="&amp;DaybyDay[[#This Row],[Date]])</f>
        <v>0</v>
      </c>
      <c r="P470" s="33">
        <f>SUMIFS(DaybyDay[Retail-Budgets],DaybyDay[Date],"&gt;="&amp;$C$5,DaybyDay[RowYear],"&gt;="&amp;$C$4,DaybyDay[Date],"&lt;="&amp;DaybyDay[[#This Row],[Date]])</f>
        <v>0</v>
      </c>
      <c r="Q470" s="34">
        <f>SUMIFS(DaybyDay[Service-Actuals],DaybyDay[Date],"&gt;="&amp;$C$5,DaybyDay[RowYear],"&gt;="&amp;$C$4,DaybyDay[Date],"&lt;="&amp;DaybyDay[[#This Row],[Date]])</f>
        <v>0</v>
      </c>
      <c r="R470" s="34">
        <f>SUMIFS(DaybyDay[Retail-Actuals],DaybyDay[Date],"&gt;="&amp;$C$5,DaybyDay[RowYear],"&gt;="&amp;$C$4,DaybyDay[Date],"&lt;="&amp;DaybyDay[[#This Row],[Date]])</f>
        <v>0</v>
      </c>
      <c r="S470" s="35">
        <f>SUMIFS(DaybyDay[Service-LY],DaybyDay[Date],"&gt;="&amp;$C$5,DaybyDay[RowYear],"&gt;="&amp;$C$4,DaybyDay[Date],"&lt;="&amp;DaybyDay[[#This Row],[Date]])</f>
        <v>0</v>
      </c>
      <c r="T470" s="35">
        <f>SUMIFS(DaybyDay[Retail-LY],DaybyDay[Date],"&gt;="&amp;$C$5,DaybyDay[RowYear],"&gt;="&amp;$C$4,DaybyDay[Date],"&lt;="&amp;DaybyDay[[#This Row],[Date]])</f>
        <v>0</v>
      </c>
      <c r="U470" s="32">
        <f>DaybyDay[[#This Row],[Serv-Bud-RU]]+DaybyDay[[#This Row],[Ret-Bud-RU]]</f>
        <v>0</v>
      </c>
      <c r="V470" s="32">
        <f>DaybyDay[[#This Row],[Serv-Act-RU]]+DaybyDay[[#This Row],[Ret-Act-RU]]</f>
        <v>0</v>
      </c>
      <c r="W470" s="36">
        <f>IF(DaybyDay[[#This Row],[_Space]],IFERROR(
((DaybyDay[[#This Row],[Actual-Rollup]]-DaybyDay[[#This Row],[Budget-Rollup]])/DaybyDay[[#This Row],[Budget-Rollup]]),0),"")</f>
        <v>0</v>
      </c>
      <c r="X470" t="b">
        <f>NOT(AND(ISBLANK(DaybyDay[[#This Row],[Appts]]),ISBLANK(DaybyDay[[#This Row],[Service-Actuals]]),ISBLANK(DaybyDay[[#This Row],[Retail-Actuals]])))</f>
        <v>1</v>
      </c>
      <c r="Y470" s="36">
        <f>IF(DaybyDay[[#This Row],[_Space]],IFERROR(
((DaybyDay[[#This Row],[Actual-Rollup]]-DaybyDay[[#This Row],[LY-Rollup]])/DaybyDay[[#This Row],[LY-Rollup]]),0),"")</f>
        <v>0</v>
      </c>
      <c r="Z470"/>
      <c r="AA470" s="37" t="e">
        <f>IF(DaybyDay[[#This Row],[_Space]],DaybyDay[[#This Row],[Ret-Act-RU]]/DaybyDay[[#This Row],[Serv-Act-RU]],"")</f>
        <v>#DIV/0!</v>
      </c>
      <c r="AB470" s="50" t="e">
        <f>IF(DaybyDay[[#This Row],[_Space]],DaybyDay[[#This Row],[RETPEN-Act]]/DaybyDay[[#This Row],[RETPEN-Bud]],"")</f>
        <v>#DIV/0!</v>
      </c>
      <c r="AC470" s="37" t="e">
        <f>IF(DaybyDay[[#This Row],[_Space]],DaybyDay[[#This Row],[Ret-Bud-RU]]/DaybyDay[[#This Row],[Serv-Bud-RU]],"")</f>
        <v>#DIV/0!</v>
      </c>
      <c r="AD470" s="37" t="e">
        <f>IF(DaybyDay[[#This Row],[_Space]],DaybyDay[[#This Row],[Ret-LY-RU]]/DaybyDay[[#This Row],[Serv-LY-RU]],"")</f>
        <v>#DIV/0!</v>
      </c>
      <c r="AE470" s="30">
        <f>WEEKDAY(DaybyDay[[#This Row],[LY-Date]])</f>
        <v>2</v>
      </c>
      <c r="AF470" s="38">
        <f>$E$2+_xlfn.DAYS(DaybyDay[[#This Row],[Date]],minDate)</f>
        <v>42835</v>
      </c>
      <c r="AG470" s="39" cm="1">
        <f t="array" ref="AG470">IFERROR(INDEX(DaybyDay[],DaybyDay[[#This Row],[FORM_MATCH_HELPER]],8),"")</f>
        <v>12</v>
      </c>
      <c r="AH470" s="39" cm="1">
        <f t="array" ref="AH470">IFERROR(INDEX(DaybyDay[],DaybyDay[[#This Row],[FORM_MATCH_HELPER]],10),"")</f>
        <v>3110.2</v>
      </c>
      <c r="AI470" s="39" cm="1">
        <f t="array" ref="AI470">IFERROR(INDEX(DaybyDay[],DaybyDay[[#This Row],[FORM_MATCH_HELPER]],12),"")</f>
        <v>558.4</v>
      </c>
      <c r="AJ470" s="32">
        <f>IFERROR(DaybyDay[[#This Row],[Serv-LY-RU]]+DaybyDay[[#This Row],[Ret-LY-RU]],"")</f>
        <v>0</v>
      </c>
      <c r="AK4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0" s="77"/>
      <c r="AM470" s="40" t="str">
        <f>IF(DaybyDay[[#This Row],[Admin Hours]]&gt;0,DaybyDay[[#This Row],[Admin Hours]]*$AM$2+$AM$3,"")</f>
        <v/>
      </c>
      <c r="AN470" s="40">
        <f>SUMIFS(DaybyDay[Est-Admin-Payroll],DaybyDay[Date],"&gt;="&amp;$C$5,DaybyDay[RowYear],"&gt;="&amp;$C$4,DaybyDay[Date],"&lt;="&amp;DaybyDay[[#This Row],[Date]])</f>
        <v>0</v>
      </c>
      <c r="AO470" s="41" t="str">
        <f>IF(AND(DaybyDay[[#This Row],[_Space]],ISNUMBER(DaybyDay[[#This Row],[Admin Hours]])),DaybyDay[[#This Row],[Est-Admin-Payroll]]/(DaybyDay[[#This Row],[Service-Actuals]]+DaybyDay[[#This Row],[Retail-Actuals]]),"")</f>
        <v/>
      </c>
      <c r="AP470" s="41" t="e">
        <f>DaybyDay[[#This Row],[Estimated-Payroll-Rollup]]/DaybyDay[[#This Row],[Simple-Forecast]]</f>
        <v>#DIV/0!</v>
      </c>
      <c r="AQ4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0" s="77"/>
      <c r="AS470" s="40" t="str">
        <f>IF(DaybyDay[[#This Row],[Retail Hours]]&gt;0,DaybyDay[[#This Row],[Retail Hours]]*$AS$2,"")</f>
        <v/>
      </c>
      <c r="AT470" s="40">
        <f>SUMIFS(DaybyDay[Est-Retail-Payroll],DaybyDay[Date],"&gt;="&amp;$C$5,DaybyDay[RowYear],"&gt;="&amp;$C$4,DaybyDay[Date],"&lt;="&amp;DaybyDay[[#This Row],[Date]])</f>
        <v>0</v>
      </c>
      <c r="AU470" s="82" t="str">
        <f>IF(AND(DaybyDay[[#This Row],[_Space]],ISNUMBER(DaybyDay[[#This Row],[Retail Hours]])),DaybyDay[[#This Row],[Est-Retail-Payroll]]/(DaybyDay[[#This Row],[Retail-Actuals]]),"")</f>
        <v/>
      </c>
      <c r="AV470" s="82" t="e">
        <f>DaybyDay[[#This Row],[Est-Retail-PayrollRU]]/DaybyDay[[#This Row],[Simple-Forecast-Retail]]</f>
        <v>#DIV/0!</v>
      </c>
      <c r="AW470" s="8"/>
    </row>
    <row r="471" spans="3:49" hidden="1" x14ac:dyDescent="0.25">
      <c r="C471" s="26" t="str">
        <f>Tools!$C$1</f>
        <v>Example</v>
      </c>
      <c r="D471" s="27" t="s">
        <v>71</v>
      </c>
      <c r="E471" s="28">
        <v>2018</v>
      </c>
      <c r="F471" s="28">
        <f>MATCH(DaybyDay[[#This Row],[RowMonth]],Table3[SummaryMonth],0)</f>
        <v>4</v>
      </c>
      <c r="G471" s="29">
        <f>MATCH(DaybyDay[[#This Row],[LY-Date]],DaybyDay[Date],0)</f>
        <v>101</v>
      </c>
      <c r="H471" s="30">
        <f>WEEKDAY(DaybyDay[[#This Row],[Date]])</f>
        <v>3</v>
      </c>
      <c r="I471" s="31">
        <v>43200</v>
      </c>
      <c r="J471" s="74">
        <v>13</v>
      </c>
      <c r="K471" s="32">
        <f>SUMIFS(BudgetSeasonality[365 Seasonality],BudgetSeasonality[MonthAdjustment],DaybyDay[[#This Row],[Date]])*SUMIFS(Budgets[Service-Budget],Budgets[BudgetMonth],DaybyDay[[#This Row],[RowMonth]],Budgets[BudgetYear],DaybyDay[[#This Row],[RowYear]])</f>
        <v>4954.4028286420717</v>
      </c>
      <c r="L471" s="75">
        <v>3316</v>
      </c>
      <c r="M471" s="32">
        <f>INDEX(BudgetSeasonality[365 Seasonality],MATCH(DaybyDay[[#This Row],[Date]],BudgetSeasonality[MonthAdjustment],0))*SUMIFS(Budgets[Retail-Budget],Budgets[BudgetMonth],DaybyDay[[#This Row],[RowMonth]],Budgets[BudgetYear],DaybyDay[[#This Row],[RowYear]])</f>
        <v>1489.5208106729765</v>
      </c>
      <c r="N471" s="75">
        <v>714</v>
      </c>
      <c r="O471" s="33">
        <f>SUMIFS(DaybyDay[Service-Budgets],DaybyDay[Date],"&gt;="&amp;$C$5,DaybyDay[RowYear],"&gt;="&amp;$C$4,DaybyDay[Date],"&lt;="&amp;DaybyDay[[#This Row],[Date]])</f>
        <v>0</v>
      </c>
      <c r="P471" s="33">
        <f>SUMIFS(DaybyDay[Retail-Budgets],DaybyDay[Date],"&gt;="&amp;$C$5,DaybyDay[RowYear],"&gt;="&amp;$C$4,DaybyDay[Date],"&lt;="&amp;DaybyDay[[#This Row],[Date]])</f>
        <v>0</v>
      </c>
      <c r="Q471" s="34">
        <f>SUMIFS(DaybyDay[Service-Actuals],DaybyDay[Date],"&gt;="&amp;$C$5,DaybyDay[RowYear],"&gt;="&amp;$C$4,DaybyDay[Date],"&lt;="&amp;DaybyDay[[#This Row],[Date]])</f>
        <v>0</v>
      </c>
      <c r="R471" s="34">
        <f>SUMIFS(DaybyDay[Retail-Actuals],DaybyDay[Date],"&gt;="&amp;$C$5,DaybyDay[RowYear],"&gt;="&amp;$C$4,DaybyDay[Date],"&lt;="&amp;DaybyDay[[#This Row],[Date]])</f>
        <v>0</v>
      </c>
      <c r="S471" s="35">
        <f>SUMIFS(DaybyDay[Service-LY],DaybyDay[Date],"&gt;="&amp;$C$5,DaybyDay[RowYear],"&gt;="&amp;$C$4,DaybyDay[Date],"&lt;="&amp;DaybyDay[[#This Row],[Date]])</f>
        <v>0</v>
      </c>
      <c r="T471" s="35">
        <f>SUMIFS(DaybyDay[Retail-LY],DaybyDay[Date],"&gt;="&amp;$C$5,DaybyDay[RowYear],"&gt;="&amp;$C$4,DaybyDay[Date],"&lt;="&amp;DaybyDay[[#This Row],[Date]])</f>
        <v>0</v>
      </c>
      <c r="U471" s="32">
        <f>DaybyDay[[#This Row],[Serv-Bud-RU]]+DaybyDay[[#This Row],[Ret-Bud-RU]]</f>
        <v>0</v>
      </c>
      <c r="V471" s="32">
        <f>DaybyDay[[#This Row],[Serv-Act-RU]]+DaybyDay[[#This Row],[Ret-Act-RU]]</f>
        <v>0</v>
      </c>
      <c r="W471" s="36">
        <f>IF(DaybyDay[[#This Row],[_Space]],IFERROR(
((DaybyDay[[#This Row],[Actual-Rollup]]-DaybyDay[[#This Row],[Budget-Rollup]])/DaybyDay[[#This Row],[Budget-Rollup]]),0),"")</f>
        <v>0</v>
      </c>
      <c r="X471" t="b">
        <f>NOT(AND(ISBLANK(DaybyDay[[#This Row],[Appts]]),ISBLANK(DaybyDay[[#This Row],[Service-Actuals]]),ISBLANK(DaybyDay[[#This Row],[Retail-Actuals]])))</f>
        <v>1</v>
      </c>
      <c r="Y471" s="36">
        <f>IF(DaybyDay[[#This Row],[_Space]],IFERROR(
((DaybyDay[[#This Row],[Actual-Rollup]]-DaybyDay[[#This Row],[LY-Rollup]])/DaybyDay[[#This Row],[LY-Rollup]]),0),"")</f>
        <v>0</v>
      </c>
      <c r="Z471"/>
      <c r="AA471" s="37" t="e">
        <f>IF(DaybyDay[[#This Row],[_Space]],DaybyDay[[#This Row],[Ret-Act-RU]]/DaybyDay[[#This Row],[Serv-Act-RU]],"")</f>
        <v>#DIV/0!</v>
      </c>
      <c r="AB471" s="50" t="e">
        <f>IF(DaybyDay[[#This Row],[_Space]],DaybyDay[[#This Row],[RETPEN-Act]]/DaybyDay[[#This Row],[RETPEN-Bud]],"")</f>
        <v>#DIV/0!</v>
      </c>
      <c r="AC471" s="37" t="e">
        <f>IF(DaybyDay[[#This Row],[_Space]],DaybyDay[[#This Row],[Ret-Bud-RU]]/DaybyDay[[#This Row],[Serv-Bud-RU]],"")</f>
        <v>#DIV/0!</v>
      </c>
      <c r="AD471" s="37" t="e">
        <f>IF(DaybyDay[[#This Row],[_Space]],DaybyDay[[#This Row],[Ret-LY-RU]]/DaybyDay[[#This Row],[Serv-LY-RU]],"")</f>
        <v>#DIV/0!</v>
      </c>
      <c r="AE471" s="30">
        <f>WEEKDAY(DaybyDay[[#This Row],[LY-Date]])</f>
        <v>3</v>
      </c>
      <c r="AF471" s="38">
        <f>$E$2+_xlfn.DAYS(DaybyDay[[#This Row],[Date]],minDate)</f>
        <v>42836</v>
      </c>
      <c r="AG471" s="39" cm="1">
        <f t="array" ref="AG471">IFERROR(INDEX(DaybyDay[],DaybyDay[[#This Row],[FORM_MATCH_HELPER]],8),"")</f>
        <v>22</v>
      </c>
      <c r="AH471" s="39" cm="1">
        <f t="array" ref="AH471">IFERROR(INDEX(DaybyDay[],DaybyDay[[#This Row],[FORM_MATCH_HELPER]],10),"")</f>
        <v>4115.8999999999996</v>
      </c>
      <c r="AI471" s="39" cm="1">
        <f t="array" ref="AI471">IFERROR(INDEX(DaybyDay[],DaybyDay[[#This Row],[FORM_MATCH_HELPER]],12),"")</f>
        <v>357.75</v>
      </c>
      <c r="AJ471" s="32">
        <f>IFERROR(DaybyDay[[#This Row],[Serv-LY-RU]]+DaybyDay[[#This Row],[Ret-LY-RU]],"")</f>
        <v>0</v>
      </c>
      <c r="AK4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1" s="77"/>
      <c r="AM471" s="40" t="str">
        <f>IF(DaybyDay[[#This Row],[Admin Hours]]&gt;0,DaybyDay[[#This Row],[Admin Hours]]*$AM$2+$AM$3,"")</f>
        <v/>
      </c>
      <c r="AN471" s="40">
        <f>SUMIFS(DaybyDay[Est-Admin-Payroll],DaybyDay[Date],"&gt;="&amp;$C$5,DaybyDay[RowYear],"&gt;="&amp;$C$4,DaybyDay[Date],"&lt;="&amp;DaybyDay[[#This Row],[Date]])</f>
        <v>0</v>
      </c>
      <c r="AO471" s="41" t="str">
        <f>IF(AND(DaybyDay[[#This Row],[_Space]],ISNUMBER(DaybyDay[[#This Row],[Admin Hours]])),DaybyDay[[#This Row],[Est-Admin-Payroll]]/(DaybyDay[[#This Row],[Service-Actuals]]+DaybyDay[[#This Row],[Retail-Actuals]]),"")</f>
        <v/>
      </c>
      <c r="AP471" s="41" t="e">
        <f>DaybyDay[[#This Row],[Estimated-Payroll-Rollup]]/DaybyDay[[#This Row],[Simple-Forecast]]</f>
        <v>#DIV/0!</v>
      </c>
      <c r="AQ4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1" s="77"/>
      <c r="AS471" s="40" t="str">
        <f>IF(DaybyDay[[#This Row],[Retail Hours]]&gt;0,DaybyDay[[#This Row],[Retail Hours]]*$AS$2,"")</f>
        <v/>
      </c>
      <c r="AT471" s="40">
        <f>SUMIFS(DaybyDay[Est-Retail-Payroll],DaybyDay[Date],"&gt;="&amp;$C$5,DaybyDay[RowYear],"&gt;="&amp;$C$4,DaybyDay[Date],"&lt;="&amp;DaybyDay[[#This Row],[Date]])</f>
        <v>0</v>
      </c>
      <c r="AU471" s="82" t="str">
        <f>IF(AND(DaybyDay[[#This Row],[_Space]],ISNUMBER(DaybyDay[[#This Row],[Retail Hours]])),DaybyDay[[#This Row],[Est-Retail-Payroll]]/(DaybyDay[[#This Row],[Retail-Actuals]]),"")</f>
        <v/>
      </c>
      <c r="AV471" s="82" t="e">
        <f>DaybyDay[[#This Row],[Est-Retail-PayrollRU]]/DaybyDay[[#This Row],[Simple-Forecast-Retail]]</f>
        <v>#DIV/0!</v>
      </c>
      <c r="AW471" s="8"/>
    </row>
    <row r="472" spans="3:49" hidden="1" x14ac:dyDescent="0.25">
      <c r="C472" s="26" t="str">
        <f>Tools!$C$1</f>
        <v>Example</v>
      </c>
      <c r="D472" s="27" t="s">
        <v>71</v>
      </c>
      <c r="E472" s="28">
        <v>2018</v>
      </c>
      <c r="F472" s="28">
        <f>MATCH(DaybyDay[[#This Row],[RowMonth]],Table3[SummaryMonth],0)</f>
        <v>4</v>
      </c>
      <c r="G472" s="29">
        <f>MATCH(DaybyDay[[#This Row],[LY-Date]],DaybyDay[Date],0)</f>
        <v>102</v>
      </c>
      <c r="H472" s="30">
        <f>WEEKDAY(DaybyDay[[#This Row],[Date]])</f>
        <v>4</v>
      </c>
      <c r="I472" s="31">
        <v>43201</v>
      </c>
      <c r="J472" s="74">
        <v>22</v>
      </c>
      <c r="K472" s="32">
        <f>SUMIFS(BudgetSeasonality[365 Seasonality],BudgetSeasonality[MonthAdjustment],DaybyDay[[#This Row],[Date]])*SUMIFS(Budgets[Service-Budget],Budgets[BudgetMonth],DaybyDay[[#This Row],[RowMonth]],Budgets[BudgetYear],DaybyDay[[#This Row],[RowYear]])</f>
        <v>5519.446059280448</v>
      </c>
      <c r="L472" s="75">
        <v>4446</v>
      </c>
      <c r="M472" s="32">
        <f>INDEX(BudgetSeasonality[365 Seasonality],MATCH(DaybyDay[[#This Row],[Date]],BudgetSeasonality[MonthAdjustment],0))*SUMIFS(Budgets[Retail-Budget],Budgets[BudgetMonth],DaybyDay[[#This Row],[RowMonth]],Budgets[BudgetYear],DaybyDay[[#This Row],[RowYear]])</f>
        <v>1659.398731398376</v>
      </c>
      <c r="N472" s="75">
        <v>3046</v>
      </c>
      <c r="O472" s="33">
        <f>SUMIFS(DaybyDay[Service-Budgets],DaybyDay[Date],"&gt;="&amp;$C$5,DaybyDay[RowYear],"&gt;="&amp;$C$4,DaybyDay[Date],"&lt;="&amp;DaybyDay[[#This Row],[Date]])</f>
        <v>0</v>
      </c>
      <c r="P472" s="33">
        <f>SUMIFS(DaybyDay[Retail-Budgets],DaybyDay[Date],"&gt;="&amp;$C$5,DaybyDay[RowYear],"&gt;="&amp;$C$4,DaybyDay[Date],"&lt;="&amp;DaybyDay[[#This Row],[Date]])</f>
        <v>0</v>
      </c>
      <c r="Q472" s="34">
        <f>SUMIFS(DaybyDay[Service-Actuals],DaybyDay[Date],"&gt;="&amp;$C$5,DaybyDay[RowYear],"&gt;="&amp;$C$4,DaybyDay[Date],"&lt;="&amp;DaybyDay[[#This Row],[Date]])</f>
        <v>0</v>
      </c>
      <c r="R472" s="34">
        <f>SUMIFS(DaybyDay[Retail-Actuals],DaybyDay[Date],"&gt;="&amp;$C$5,DaybyDay[RowYear],"&gt;="&amp;$C$4,DaybyDay[Date],"&lt;="&amp;DaybyDay[[#This Row],[Date]])</f>
        <v>0</v>
      </c>
      <c r="S472" s="35">
        <f>SUMIFS(DaybyDay[Service-LY],DaybyDay[Date],"&gt;="&amp;$C$5,DaybyDay[RowYear],"&gt;="&amp;$C$4,DaybyDay[Date],"&lt;="&amp;DaybyDay[[#This Row],[Date]])</f>
        <v>0</v>
      </c>
      <c r="T472" s="35">
        <f>SUMIFS(DaybyDay[Retail-LY],DaybyDay[Date],"&gt;="&amp;$C$5,DaybyDay[RowYear],"&gt;="&amp;$C$4,DaybyDay[Date],"&lt;="&amp;DaybyDay[[#This Row],[Date]])</f>
        <v>0</v>
      </c>
      <c r="U472" s="32">
        <f>DaybyDay[[#This Row],[Serv-Bud-RU]]+DaybyDay[[#This Row],[Ret-Bud-RU]]</f>
        <v>0</v>
      </c>
      <c r="V472" s="32">
        <f>DaybyDay[[#This Row],[Serv-Act-RU]]+DaybyDay[[#This Row],[Ret-Act-RU]]</f>
        <v>0</v>
      </c>
      <c r="W472" s="36">
        <f>IF(DaybyDay[[#This Row],[_Space]],IFERROR(
((DaybyDay[[#This Row],[Actual-Rollup]]-DaybyDay[[#This Row],[Budget-Rollup]])/DaybyDay[[#This Row],[Budget-Rollup]]),0),"")</f>
        <v>0</v>
      </c>
      <c r="X472" t="b">
        <f>NOT(AND(ISBLANK(DaybyDay[[#This Row],[Appts]]),ISBLANK(DaybyDay[[#This Row],[Service-Actuals]]),ISBLANK(DaybyDay[[#This Row],[Retail-Actuals]])))</f>
        <v>1</v>
      </c>
      <c r="Y472" s="36">
        <f>IF(DaybyDay[[#This Row],[_Space]],IFERROR(
((DaybyDay[[#This Row],[Actual-Rollup]]-DaybyDay[[#This Row],[LY-Rollup]])/DaybyDay[[#This Row],[LY-Rollup]]),0),"")</f>
        <v>0</v>
      </c>
      <c r="Z472"/>
      <c r="AA472" s="37" t="e">
        <f>IF(DaybyDay[[#This Row],[_Space]],DaybyDay[[#This Row],[Ret-Act-RU]]/DaybyDay[[#This Row],[Serv-Act-RU]],"")</f>
        <v>#DIV/0!</v>
      </c>
      <c r="AB472" s="50" t="e">
        <f>IF(DaybyDay[[#This Row],[_Space]],DaybyDay[[#This Row],[RETPEN-Act]]/DaybyDay[[#This Row],[RETPEN-Bud]],"")</f>
        <v>#DIV/0!</v>
      </c>
      <c r="AC472" s="37" t="e">
        <f>IF(DaybyDay[[#This Row],[_Space]],DaybyDay[[#This Row],[Ret-Bud-RU]]/DaybyDay[[#This Row],[Serv-Bud-RU]],"")</f>
        <v>#DIV/0!</v>
      </c>
      <c r="AD472" s="37" t="e">
        <f>IF(DaybyDay[[#This Row],[_Space]],DaybyDay[[#This Row],[Ret-LY-RU]]/DaybyDay[[#This Row],[Serv-LY-RU]],"")</f>
        <v>#DIV/0!</v>
      </c>
      <c r="AE472" s="30">
        <f>WEEKDAY(DaybyDay[[#This Row],[LY-Date]])</f>
        <v>4</v>
      </c>
      <c r="AF472" s="38">
        <f>$E$2+_xlfn.DAYS(DaybyDay[[#This Row],[Date]],minDate)</f>
        <v>42837</v>
      </c>
      <c r="AG472" s="39" cm="1">
        <f t="array" ref="AG472">IFERROR(INDEX(DaybyDay[],DaybyDay[[#This Row],[FORM_MATCH_HELPER]],8),"")</f>
        <v>18</v>
      </c>
      <c r="AH472" s="39" cm="1">
        <f t="array" ref="AH472">IFERROR(INDEX(DaybyDay[],DaybyDay[[#This Row],[FORM_MATCH_HELPER]],10),"")</f>
        <v>3669.2</v>
      </c>
      <c r="AI472" s="39" cm="1">
        <f t="array" ref="AI472">IFERROR(INDEX(DaybyDay[],DaybyDay[[#This Row],[FORM_MATCH_HELPER]],12),"")</f>
        <v>1196</v>
      </c>
      <c r="AJ472" s="32">
        <f>IFERROR(DaybyDay[[#This Row],[Serv-LY-RU]]+DaybyDay[[#This Row],[Ret-LY-RU]],"")</f>
        <v>0</v>
      </c>
      <c r="AK4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2" s="77"/>
      <c r="AM472" s="40" t="str">
        <f>IF(DaybyDay[[#This Row],[Admin Hours]]&gt;0,DaybyDay[[#This Row],[Admin Hours]]*$AM$2+$AM$3,"")</f>
        <v/>
      </c>
      <c r="AN472" s="40">
        <f>SUMIFS(DaybyDay[Est-Admin-Payroll],DaybyDay[Date],"&gt;="&amp;$C$5,DaybyDay[RowYear],"&gt;="&amp;$C$4,DaybyDay[Date],"&lt;="&amp;DaybyDay[[#This Row],[Date]])</f>
        <v>0</v>
      </c>
      <c r="AO472" s="41" t="str">
        <f>IF(AND(DaybyDay[[#This Row],[_Space]],ISNUMBER(DaybyDay[[#This Row],[Admin Hours]])),DaybyDay[[#This Row],[Est-Admin-Payroll]]/(DaybyDay[[#This Row],[Service-Actuals]]+DaybyDay[[#This Row],[Retail-Actuals]]),"")</f>
        <v/>
      </c>
      <c r="AP472" s="41" t="e">
        <f>DaybyDay[[#This Row],[Estimated-Payroll-Rollup]]/DaybyDay[[#This Row],[Simple-Forecast]]</f>
        <v>#DIV/0!</v>
      </c>
      <c r="AQ4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2" s="77"/>
      <c r="AS472" s="40" t="str">
        <f>IF(DaybyDay[[#This Row],[Retail Hours]]&gt;0,DaybyDay[[#This Row],[Retail Hours]]*$AS$2,"")</f>
        <v/>
      </c>
      <c r="AT472" s="40">
        <f>SUMIFS(DaybyDay[Est-Retail-Payroll],DaybyDay[Date],"&gt;="&amp;$C$5,DaybyDay[RowYear],"&gt;="&amp;$C$4,DaybyDay[Date],"&lt;="&amp;DaybyDay[[#This Row],[Date]])</f>
        <v>0</v>
      </c>
      <c r="AU472" s="82" t="str">
        <f>IF(AND(DaybyDay[[#This Row],[_Space]],ISNUMBER(DaybyDay[[#This Row],[Retail Hours]])),DaybyDay[[#This Row],[Est-Retail-Payroll]]/(DaybyDay[[#This Row],[Retail-Actuals]]),"")</f>
        <v/>
      </c>
      <c r="AV472" s="82" t="e">
        <f>DaybyDay[[#This Row],[Est-Retail-PayrollRU]]/DaybyDay[[#This Row],[Simple-Forecast-Retail]]</f>
        <v>#DIV/0!</v>
      </c>
      <c r="AW472" s="8"/>
    </row>
    <row r="473" spans="3:49" hidden="1" x14ac:dyDescent="0.25">
      <c r="C473" s="26" t="str">
        <f>Tools!$C$1</f>
        <v>Example</v>
      </c>
      <c r="D473" s="27" t="s">
        <v>71</v>
      </c>
      <c r="E473" s="28">
        <v>2018</v>
      </c>
      <c r="F473" s="28">
        <f>MATCH(DaybyDay[[#This Row],[RowMonth]],Table3[SummaryMonth],0)</f>
        <v>4</v>
      </c>
      <c r="G473" s="29">
        <f>MATCH(DaybyDay[[#This Row],[LY-Date]],DaybyDay[Date],0)</f>
        <v>103</v>
      </c>
      <c r="H473" s="30">
        <f>WEEKDAY(DaybyDay[[#This Row],[Date]])</f>
        <v>5</v>
      </c>
      <c r="I473" s="31">
        <v>43202</v>
      </c>
      <c r="J473" s="74">
        <v>18</v>
      </c>
      <c r="K473" s="32">
        <f>SUMIFS(BudgetSeasonality[365 Seasonality],BudgetSeasonality[MonthAdjustment],DaybyDay[[#This Row],[Date]])*SUMIFS(Budgets[Service-Budget],Budgets[BudgetMonth],DaybyDay[[#This Row],[RowMonth]],Budgets[BudgetYear],DaybyDay[[#This Row],[RowYear]])</f>
        <v>5476.592427614175</v>
      </c>
      <c r="L473" s="75">
        <v>3566</v>
      </c>
      <c r="M473" s="32">
        <f>INDEX(BudgetSeasonality[365 Seasonality],MATCH(DaybyDay[[#This Row],[Date]],BudgetSeasonality[MonthAdjustment],0))*SUMIFS(Budgets[Retail-Budget],Budgets[BudgetMonth],DaybyDay[[#This Row],[RowMonth]],Budgets[BudgetYear],DaybyDay[[#This Row],[RowYear]])</f>
        <v>1646.5149634877794</v>
      </c>
      <c r="N473" s="75">
        <v>31</v>
      </c>
      <c r="O473" s="33">
        <f>SUMIFS(DaybyDay[Service-Budgets],DaybyDay[Date],"&gt;="&amp;$C$5,DaybyDay[RowYear],"&gt;="&amp;$C$4,DaybyDay[Date],"&lt;="&amp;DaybyDay[[#This Row],[Date]])</f>
        <v>0</v>
      </c>
      <c r="P473" s="33">
        <f>SUMIFS(DaybyDay[Retail-Budgets],DaybyDay[Date],"&gt;="&amp;$C$5,DaybyDay[RowYear],"&gt;="&amp;$C$4,DaybyDay[Date],"&lt;="&amp;DaybyDay[[#This Row],[Date]])</f>
        <v>0</v>
      </c>
      <c r="Q473" s="34">
        <f>SUMIFS(DaybyDay[Service-Actuals],DaybyDay[Date],"&gt;="&amp;$C$5,DaybyDay[RowYear],"&gt;="&amp;$C$4,DaybyDay[Date],"&lt;="&amp;DaybyDay[[#This Row],[Date]])</f>
        <v>0</v>
      </c>
      <c r="R473" s="34">
        <f>SUMIFS(DaybyDay[Retail-Actuals],DaybyDay[Date],"&gt;="&amp;$C$5,DaybyDay[RowYear],"&gt;="&amp;$C$4,DaybyDay[Date],"&lt;="&amp;DaybyDay[[#This Row],[Date]])</f>
        <v>0</v>
      </c>
      <c r="S473" s="35">
        <f>SUMIFS(DaybyDay[Service-LY],DaybyDay[Date],"&gt;="&amp;$C$5,DaybyDay[RowYear],"&gt;="&amp;$C$4,DaybyDay[Date],"&lt;="&amp;DaybyDay[[#This Row],[Date]])</f>
        <v>0</v>
      </c>
      <c r="T473" s="35">
        <f>SUMIFS(DaybyDay[Retail-LY],DaybyDay[Date],"&gt;="&amp;$C$5,DaybyDay[RowYear],"&gt;="&amp;$C$4,DaybyDay[Date],"&lt;="&amp;DaybyDay[[#This Row],[Date]])</f>
        <v>0</v>
      </c>
      <c r="U473" s="32">
        <f>DaybyDay[[#This Row],[Serv-Bud-RU]]+DaybyDay[[#This Row],[Ret-Bud-RU]]</f>
        <v>0</v>
      </c>
      <c r="V473" s="32">
        <f>DaybyDay[[#This Row],[Serv-Act-RU]]+DaybyDay[[#This Row],[Ret-Act-RU]]</f>
        <v>0</v>
      </c>
      <c r="W473" s="36">
        <f>IF(DaybyDay[[#This Row],[_Space]],IFERROR(
((DaybyDay[[#This Row],[Actual-Rollup]]-DaybyDay[[#This Row],[Budget-Rollup]])/DaybyDay[[#This Row],[Budget-Rollup]]),0),"")</f>
        <v>0</v>
      </c>
      <c r="X473" t="b">
        <f>NOT(AND(ISBLANK(DaybyDay[[#This Row],[Appts]]),ISBLANK(DaybyDay[[#This Row],[Service-Actuals]]),ISBLANK(DaybyDay[[#This Row],[Retail-Actuals]])))</f>
        <v>1</v>
      </c>
      <c r="Y473" s="36">
        <f>IF(DaybyDay[[#This Row],[_Space]],IFERROR(
((DaybyDay[[#This Row],[Actual-Rollup]]-DaybyDay[[#This Row],[LY-Rollup]])/DaybyDay[[#This Row],[LY-Rollup]]),0),"")</f>
        <v>0</v>
      </c>
      <c r="Z473"/>
      <c r="AA473" s="37" t="e">
        <f>IF(DaybyDay[[#This Row],[_Space]],DaybyDay[[#This Row],[Ret-Act-RU]]/DaybyDay[[#This Row],[Serv-Act-RU]],"")</f>
        <v>#DIV/0!</v>
      </c>
      <c r="AB473" s="50" t="e">
        <f>IF(DaybyDay[[#This Row],[_Space]],DaybyDay[[#This Row],[RETPEN-Act]]/DaybyDay[[#This Row],[RETPEN-Bud]],"")</f>
        <v>#DIV/0!</v>
      </c>
      <c r="AC473" s="37" t="e">
        <f>IF(DaybyDay[[#This Row],[_Space]],DaybyDay[[#This Row],[Ret-Bud-RU]]/DaybyDay[[#This Row],[Serv-Bud-RU]],"")</f>
        <v>#DIV/0!</v>
      </c>
      <c r="AD473" s="37" t="e">
        <f>IF(DaybyDay[[#This Row],[_Space]],DaybyDay[[#This Row],[Ret-LY-RU]]/DaybyDay[[#This Row],[Serv-LY-RU]],"")</f>
        <v>#DIV/0!</v>
      </c>
      <c r="AE473" s="30">
        <f>WEEKDAY(DaybyDay[[#This Row],[LY-Date]])</f>
        <v>5</v>
      </c>
      <c r="AF473" s="38">
        <f>$E$2+_xlfn.DAYS(DaybyDay[[#This Row],[Date]],minDate)</f>
        <v>42838</v>
      </c>
      <c r="AG473" s="39" cm="1">
        <f t="array" ref="AG473">IFERROR(INDEX(DaybyDay[],DaybyDay[[#This Row],[FORM_MATCH_HELPER]],8),"")</f>
        <v>33</v>
      </c>
      <c r="AH473" s="39" cm="1">
        <f t="array" ref="AH473">IFERROR(INDEX(DaybyDay[],DaybyDay[[#This Row],[FORM_MATCH_HELPER]],10),"")</f>
        <v>9675.4</v>
      </c>
      <c r="AI473" s="39" cm="1">
        <f t="array" ref="AI473">IFERROR(INDEX(DaybyDay[],DaybyDay[[#This Row],[FORM_MATCH_HELPER]],12),"")</f>
        <v>1678.75</v>
      </c>
      <c r="AJ473" s="32">
        <f>IFERROR(DaybyDay[[#This Row],[Serv-LY-RU]]+DaybyDay[[#This Row],[Ret-LY-RU]],"")</f>
        <v>0</v>
      </c>
      <c r="AK4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3" s="77"/>
      <c r="AM473" s="40" t="str">
        <f>IF(DaybyDay[[#This Row],[Admin Hours]]&gt;0,DaybyDay[[#This Row],[Admin Hours]]*$AM$2+$AM$3,"")</f>
        <v/>
      </c>
      <c r="AN473" s="40">
        <f>SUMIFS(DaybyDay[Est-Admin-Payroll],DaybyDay[Date],"&gt;="&amp;$C$5,DaybyDay[RowYear],"&gt;="&amp;$C$4,DaybyDay[Date],"&lt;="&amp;DaybyDay[[#This Row],[Date]])</f>
        <v>0</v>
      </c>
      <c r="AO473" s="41" t="str">
        <f>IF(AND(DaybyDay[[#This Row],[_Space]],ISNUMBER(DaybyDay[[#This Row],[Admin Hours]])),DaybyDay[[#This Row],[Est-Admin-Payroll]]/(DaybyDay[[#This Row],[Service-Actuals]]+DaybyDay[[#This Row],[Retail-Actuals]]),"")</f>
        <v/>
      </c>
      <c r="AP473" s="41" t="e">
        <f>DaybyDay[[#This Row],[Estimated-Payroll-Rollup]]/DaybyDay[[#This Row],[Simple-Forecast]]</f>
        <v>#DIV/0!</v>
      </c>
      <c r="AQ4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3" s="77"/>
      <c r="AS473" s="40" t="str">
        <f>IF(DaybyDay[[#This Row],[Retail Hours]]&gt;0,DaybyDay[[#This Row],[Retail Hours]]*$AS$2,"")</f>
        <v/>
      </c>
      <c r="AT473" s="40">
        <f>SUMIFS(DaybyDay[Est-Retail-Payroll],DaybyDay[Date],"&gt;="&amp;$C$5,DaybyDay[RowYear],"&gt;="&amp;$C$4,DaybyDay[Date],"&lt;="&amp;DaybyDay[[#This Row],[Date]])</f>
        <v>0</v>
      </c>
      <c r="AU473" s="82" t="str">
        <f>IF(AND(DaybyDay[[#This Row],[_Space]],ISNUMBER(DaybyDay[[#This Row],[Retail Hours]])),DaybyDay[[#This Row],[Est-Retail-Payroll]]/(DaybyDay[[#This Row],[Retail-Actuals]]),"")</f>
        <v/>
      </c>
      <c r="AV473" s="82" t="e">
        <f>DaybyDay[[#This Row],[Est-Retail-PayrollRU]]/DaybyDay[[#This Row],[Simple-Forecast-Retail]]</f>
        <v>#DIV/0!</v>
      </c>
      <c r="AW473" s="8"/>
    </row>
    <row r="474" spans="3:49" hidden="1" x14ac:dyDescent="0.25">
      <c r="C474" s="26" t="str">
        <f>Tools!$C$1</f>
        <v>Example</v>
      </c>
      <c r="D474" s="27" t="s">
        <v>71</v>
      </c>
      <c r="E474" s="28">
        <v>2018</v>
      </c>
      <c r="F474" s="28">
        <f>MATCH(DaybyDay[[#This Row],[RowMonth]],Table3[SummaryMonth],0)</f>
        <v>4</v>
      </c>
      <c r="G474" s="29">
        <f>MATCH(DaybyDay[[#This Row],[LY-Date]],DaybyDay[Date],0)</f>
        <v>104</v>
      </c>
      <c r="H474" s="30">
        <f>WEEKDAY(DaybyDay[[#This Row],[Date]])</f>
        <v>6</v>
      </c>
      <c r="I474" s="31">
        <v>43203</v>
      </c>
      <c r="J474" s="74">
        <v>9</v>
      </c>
      <c r="K474" s="32">
        <f>SUMIFS(BudgetSeasonality[365 Seasonality],BudgetSeasonality[MonthAdjustment],DaybyDay[[#This Row],[Date]])*SUMIFS(Budgets[Service-Budget],Budgets[BudgetMonth],DaybyDay[[#This Row],[RowMonth]],Budgets[BudgetYear],DaybyDay[[#This Row],[RowYear]])</f>
        <v>6704.977719892906</v>
      </c>
      <c r="L474" s="75">
        <v>1745</v>
      </c>
      <c r="M474" s="32">
        <f>INDEX(BudgetSeasonality[365 Seasonality],MATCH(DaybyDay[[#This Row],[Date]],BudgetSeasonality[MonthAdjustment],0))*SUMIFS(Budgets[Retail-Budget],Budgets[BudgetMonth],DaybyDay[[#This Row],[RowMonth]],Budgets[BudgetYear],DaybyDay[[#This Row],[RowYear]])</f>
        <v>2015.8239437337943</v>
      </c>
      <c r="N474" s="75">
        <v>1546.5</v>
      </c>
      <c r="O474" s="33">
        <f>SUMIFS(DaybyDay[Service-Budgets],DaybyDay[Date],"&gt;="&amp;$C$5,DaybyDay[RowYear],"&gt;="&amp;$C$4,DaybyDay[Date],"&lt;="&amp;DaybyDay[[#This Row],[Date]])</f>
        <v>0</v>
      </c>
      <c r="P474" s="33">
        <f>SUMIFS(DaybyDay[Retail-Budgets],DaybyDay[Date],"&gt;="&amp;$C$5,DaybyDay[RowYear],"&gt;="&amp;$C$4,DaybyDay[Date],"&lt;="&amp;DaybyDay[[#This Row],[Date]])</f>
        <v>0</v>
      </c>
      <c r="Q474" s="34">
        <f>SUMIFS(DaybyDay[Service-Actuals],DaybyDay[Date],"&gt;="&amp;$C$5,DaybyDay[RowYear],"&gt;="&amp;$C$4,DaybyDay[Date],"&lt;="&amp;DaybyDay[[#This Row],[Date]])</f>
        <v>0</v>
      </c>
      <c r="R474" s="34">
        <f>SUMIFS(DaybyDay[Retail-Actuals],DaybyDay[Date],"&gt;="&amp;$C$5,DaybyDay[RowYear],"&gt;="&amp;$C$4,DaybyDay[Date],"&lt;="&amp;DaybyDay[[#This Row],[Date]])</f>
        <v>0</v>
      </c>
      <c r="S474" s="35">
        <f>SUMIFS(DaybyDay[Service-LY],DaybyDay[Date],"&gt;="&amp;$C$5,DaybyDay[RowYear],"&gt;="&amp;$C$4,DaybyDay[Date],"&lt;="&amp;DaybyDay[[#This Row],[Date]])</f>
        <v>0</v>
      </c>
      <c r="T474" s="35">
        <f>SUMIFS(DaybyDay[Retail-LY],DaybyDay[Date],"&gt;="&amp;$C$5,DaybyDay[RowYear],"&gt;="&amp;$C$4,DaybyDay[Date],"&lt;="&amp;DaybyDay[[#This Row],[Date]])</f>
        <v>0</v>
      </c>
      <c r="U474" s="32">
        <f>DaybyDay[[#This Row],[Serv-Bud-RU]]+DaybyDay[[#This Row],[Ret-Bud-RU]]</f>
        <v>0</v>
      </c>
      <c r="V474" s="32">
        <f>DaybyDay[[#This Row],[Serv-Act-RU]]+DaybyDay[[#This Row],[Ret-Act-RU]]</f>
        <v>0</v>
      </c>
      <c r="W474" s="36">
        <f>IF(DaybyDay[[#This Row],[_Space]],IFERROR(
((DaybyDay[[#This Row],[Actual-Rollup]]-DaybyDay[[#This Row],[Budget-Rollup]])/DaybyDay[[#This Row],[Budget-Rollup]]),0),"")</f>
        <v>0</v>
      </c>
      <c r="X474" t="b">
        <f>NOT(AND(ISBLANK(DaybyDay[[#This Row],[Appts]]),ISBLANK(DaybyDay[[#This Row],[Service-Actuals]]),ISBLANK(DaybyDay[[#This Row],[Retail-Actuals]])))</f>
        <v>1</v>
      </c>
      <c r="Y474" s="36">
        <f>IF(DaybyDay[[#This Row],[_Space]],IFERROR(
((DaybyDay[[#This Row],[Actual-Rollup]]-DaybyDay[[#This Row],[LY-Rollup]])/DaybyDay[[#This Row],[LY-Rollup]]),0),"")</f>
        <v>0</v>
      </c>
      <c r="Z474"/>
      <c r="AA474" s="37" t="e">
        <f>IF(DaybyDay[[#This Row],[_Space]],DaybyDay[[#This Row],[Ret-Act-RU]]/DaybyDay[[#This Row],[Serv-Act-RU]],"")</f>
        <v>#DIV/0!</v>
      </c>
      <c r="AB474" s="50" t="e">
        <f>IF(DaybyDay[[#This Row],[_Space]],DaybyDay[[#This Row],[RETPEN-Act]]/DaybyDay[[#This Row],[RETPEN-Bud]],"")</f>
        <v>#DIV/0!</v>
      </c>
      <c r="AC474" s="37" t="e">
        <f>IF(DaybyDay[[#This Row],[_Space]],DaybyDay[[#This Row],[Ret-Bud-RU]]/DaybyDay[[#This Row],[Serv-Bud-RU]],"")</f>
        <v>#DIV/0!</v>
      </c>
      <c r="AD474" s="37" t="e">
        <f>IF(DaybyDay[[#This Row],[_Space]],DaybyDay[[#This Row],[Ret-LY-RU]]/DaybyDay[[#This Row],[Serv-LY-RU]],"")</f>
        <v>#DIV/0!</v>
      </c>
      <c r="AE474" s="30">
        <f>WEEKDAY(DaybyDay[[#This Row],[LY-Date]])</f>
        <v>6</v>
      </c>
      <c r="AF474" s="38">
        <f>$E$2+_xlfn.DAYS(DaybyDay[[#This Row],[Date]],minDate)</f>
        <v>42839</v>
      </c>
      <c r="AG474" s="39" cm="1">
        <f t="array" ref="AG474">IFERROR(INDEX(DaybyDay[],DaybyDay[[#This Row],[FORM_MATCH_HELPER]],8),"")</f>
        <v>40</v>
      </c>
      <c r="AH474" s="39" cm="1">
        <f t="array" ref="AH474">IFERROR(INDEX(DaybyDay[],DaybyDay[[#This Row],[FORM_MATCH_HELPER]],10),"")</f>
        <v>6714.89</v>
      </c>
      <c r="AI474" s="39" cm="1">
        <f t="array" ref="AI474">IFERROR(INDEX(DaybyDay[],DaybyDay[[#This Row],[FORM_MATCH_HELPER]],12),"")</f>
        <v>2543.75</v>
      </c>
      <c r="AJ474" s="32">
        <f>IFERROR(DaybyDay[[#This Row],[Serv-LY-RU]]+DaybyDay[[#This Row],[Ret-LY-RU]],"")</f>
        <v>0</v>
      </c>
      <c r="AK4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4" s="77"/>
      <c r="AM474" s="40" t="str">
        <f>IF(DaybyDay[[#This Row],[Admin Hours]]&gt;0,DaybyDay[[#This Row],[Admin Hours]]*$AM$2+$AM$3,"")</f>
        <v/>
      </c>
      <c r="AN474" s="40">
        <f>SUMIFS(DaybyDay[Est-Admin-Payroll],DaybyDay[Date],"&gt;="&amp;$C$5,DaybyDay[RowYear],"&gt;="&amp;$C$4,DaybyDay[Date],"&lt;="&amp;DaybyDay[[#This Row],[Date]])</f>
        <v>0</v>
      </c>
      <c r="AO474" s="41" t="str">
        <f>IF(AND(DaybyDay[[#This Row],[_Space]],ISNUMBER(DaybyDay[[#This Row],[Admin Hours]])),DaybyDay[[#This Row],[Est-Admin-Payroll]]/(DaybyDay[[#This Row],[Service-Actuals]]+DaybyDay[[#This Row],[Retail-Actuals]]),"")</f>
        <v/>
      </c>
      <c r="AP474" s="41" t="e">
        <f>DaybyDay[[#This Row],[Estimated-Payroll-Rollup]]/DaybyDay[[#This Row],[Simple-Forecast]]</f>
        <v>#DIV/0!</v>
      </c>
      <c r="AQ4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4" s="77"/>
      <c r="AS474" s="40" t="str">
        <f>IF(DaybyDay[[#This Row],[Retail Hours]]&gt;0,DaybyDay[[#This Row],[Retail Hours]]*$AS$2,"")</f>
        <v/>
      </c>
      <c r="AT474" s="40">
        <f>SUMIFS(DaybyDay[Est-Retail-Payroll],DaybyDay[Date],"&gt;="&amp;$C$5,DaybyDay[RowYear],"&gt;="&amp;$C$4,DaybyDay[Date],"&lt;="&amp;DaybyDay[[#This Row],[Date]])</f>
        <v>0</v>
      </c>
      <c r="AU474" s="82" t="str">
        <f>IF(AND(DaybyDay[[#This Row],[_Space]],ISNUMBER(DaybyDay[[#This Row],[Retail Hours]])),DaybyDay[[#This Row],[Est-Retail-Payroll]]/(DaybyDay[[#This Row],[Retail-Actuals]]),"")</f>
        <v/>
      </c>
      <c r="AV474" s="82" t="e">
        <f>DaybyDay[[#This Row],[Est-Retail-PayrollRU]]/DaybyDay[[#This Row],[Simple-Forecast-Retail]]</f>
        <v>#DIV/0!</v>
      </c>
      <c r="AW474" s="8"/>
    </row>
    <row r="475" spans="3:49" hidden="1" x14ac:dyDescent="0.25">
      <c r="C475" s="26" t="str">
        <f>Tools!$C$1</f>
        <v>Example</v>
      </c>
      <c r="D475" s="27" t="s">
        <v>71</v>
      </c>
      <c r="E475" s="28">
        <v>2018</v>
      </c>
      <c r="F475" s="28">
        <f>MATCH(DaybyDay[[#This Row],[RowMonth]],Table3[SummaryMonth],0)</f>
        <v>4</v>
      </c>
      <c r="G475" s="29">
        <f>MATCH(DaybyDay[[#This Row],[LY-Date]],DaybyDay[Date],0)</f>
        <v>105</v>
      </c>
      <c r="H475" s="30">
        <f>WEEKDAY(DaybyDay[[#This Row],[Date]])</f>
        <v>7</v>
      </c>
      <c r="I475" s="31">
        <v>43204</v>
      </c>
      <c r="J475" s="74">
        <v>28</v>
      </c>
      <c r="K475" s="32">
        <f>SUMIFS(BudgetSeasonality[365 Seasonality],BudgetSeasonality[MonthAdjustment],DaybyDay[[#This Row],[Date]])*SUMIFS(Budgets[Service-Budget],Budgets[BudgetMonth],DaybyDay[[#This Row],[RowMonth]],Budgets[BudgetYear],DaybyDay[[#This Row],[RowYear]])</f>
        <v>9533.4985535112337</v>
      </c>
      <c r="L475" s="75">
        <v>6729.5</v>
      </c>
      <c r="M475" s="32">
        <f>INDEX(BudgetSeasonality[365 Seasonality],MATCH(DaybyDay[[#This Row],[Date]],BudgetSeasonality[MonthAdjustment],0))*SUMIFS(Budgets[Retail-Budget],Budgets[BudgetMonth],DaybyDay[[#This Row],[RowMonth]],Budgets[BudgetYear],DaybyDay[[#This Row],[RowYear]])</f>
        <v>2866.207085923977</v>
      </c>
      <c r="N475" s="75">
        <v>2618.8000000000002</v>
      </c>
      <c r="O475" s="33">
        <f>SUMIFS(DaybyDay[Service-Budgets],DaybyDay[Date],"&gt;="&amp;$C$5,DaybyDay[RowYear],"&gt;="&amp;$C$4,DaybyDay[Date],"&lt;="&amp;DaybyDay[[#This Row],[Date]])</f>
        <v>0</v>
      </c>
      <c r="P475" s="33">
        <f>SUMIFS(DaybyDay[Retail-Budgets],DaybyDay[Date],"&gt;="&amp;$C$5,DaybyDay[RowYear],"&gt;="&amp;$C$4,DaybyDay[Date],"&lt;="&amp;DaybyDay[[#This Row],[Date]])</f>
        <v>0</v>
      </c>
      <c r="Q475" s="34">
        <f>SUMIFS(DaybyDay[Service-Actuals],DaybyDay[Date],"&gt;="&amp;$C$5,DaybyDay[RowYear],"&gt;="&amp;$C$4,DaybyDay[Date],"&lt;="&amp;DaybyDay[[#This Row],[Date]])</f>
        <v>0</v>
      </c>
      <c r="R475" s="34">
        <f>SUMIFS(DaybyDay[Retail-Actuals],DaybyDay[Date],"&gt;="&amp;$C$5,DaybyDay[RowYear],"&gt;="&amp;$C$4,DaybyDay[Date],"&lt;="&amp;DaybyDay[[#This Row],[Date]])</f>
        <v>0</v>
      </c>
      <c r="S475" s="35">
        <f>SUMIFS(DaybyDay[Service-LY],DaybyDay[Date],"&gt;="&amp;$C$5,DaybyDay[RowYear],"&gt;="&amp;$C$4,DaybyDay[Date],"&lt;="&amp;DaybyDay[[#This Row],[Date]])</f>
        <v>0</v>
      </c>
      <c r="T475" s="35">
        <f>SUMIFS(DaybyDay[Retail-LY],DaybyDay[Date],"&gt;="&amp;$C$5,DaybyDay[RowYear],"&gt;="&amp;$C$4,DaybyDay[Date],"&lt;="&amp;DaybyDay[[#This Row],[Date]])</f>
        <v>0</v>
      </c>
      <c r="U475" s="32">
        <f>DaybyDay[[#This Row],[Serv-Bud-RU]]+DaybyDay[[#This Row],[Ret-Bud-RU]]</f>
        <v>0</v>
      </c>
      <c r="V475" s="32">
        <f>DaybyDay[[#This Row],[Serv-Act-RU]]+DaybyDay[[#This Row],[Ret-Act-RU]]</f>
        <v>0</v>
      </c>
      <c r="W475" s="36">
        <f>IF(DaybyDay[[#This Row],[_Space]],IFERROR(
((DaybyDay[[#This Row],[Actual-Rollup]]-DaybyDay[[#This Row],[Budget-Rollup]])/DaybyDay[[#This Row],[Budget-Rollup]]),0),"")</f>
        <v>0</v>
      </c>
      <c r="X475" t="b">
        <f>NOT(AND(ISBLANK(DaybyDay[[#This Row],[Appts]]),ISBLANK(DaybyDay[[#This Row],[Service-Actuals]]),ISBLANK(DaybyDay[[#This Row],[Retail-Actuals]])))</f>
        <v>1</v>
      </c>
      <c r="Y475" s="36">
        <f>IF(DaybyDay[[#This Row],[_Space]],IFERROR(
((DaybyDay[[#This Row],[Actual-Rollup]]-DaybyDay[[#This Row],[LY-Rollup]])/DaybyDay[[#This Row],[LY-Rollup]]),0),"")</f>
        <v>0</v>
      </c>
      <c r="Z475"/>
      <c r="AA475" s="37" t="e">
        <f>IF(DaybyDay[[#This Row],[_Space]],DaybyDay[[#This Row],[Ret-Act-RU]]/DaybyDay[[#This Row],[Serv-Act-RU]],"")</f>
        <v>#DIV/0!</v>
      </c>
      <c r="AB475" s="50" t="e">
        <f>IF(DaybyDay[[#This Row],[_Space]],DaybyDay[[#This Row],[RETPEN-Act]]/DaybyDay[[#This Row],[RETPEN-Bud]],"")</f>
        <v>#DIV/0!</v>
      </c>
      <c r="AC475" s="37" t="e">
        <f>IF(DaybyDay[[#This Row],[_Space]],DaybyDay[[#This Row],[Ret-Bud-RU]]/DaybyDay[[#This Row],[Serv-Bud-RU]],"")</f>
        <v>#DIV/0!</v>
      </c>
      <c r="AD475" s="37" t="e">
        <f>IF(DaybyDay[[#This Row],[_Space]],DaybyDay[[#This Row],[Ret-LY-RU]]/DaybyDay[[#This Row],[Serv-LY-RU]],"")</f>
        <v>#DIV/0!</v>
      </c>
      <c r="AE475" s="30">
        <f>WEEKDAY(DaybyDay[[#This Row],[LY-Date]])</f>
        <v>7</v>
      </c>
      <c r="AF475" s="38">
        <f>$E$2+_xlfn.DAYS(DaybyDay[[#This Row],[Date]],minDate)</f>
        <v>42840</v>
      </c>
      <c r="AG475" s="39" cm="1">
        <f t="array" ref="AG475">IFERROR(INDEX(DaybyDay[],DaybyDay[[#This Row],[FORM_MATCH_HELPER]],8),"")</f>
        <v>31</v>
      </c>
      <c r="AH475" s="39" cm="1">
        <f t="array" ref="AH475">IFERROR(INDEX(DaybyDay[],DaybyDay[[#This Row],[FORM_MATCH_HELPER]],10),"")</f>
        <v>6304.5</v>
      </c>
      <c r="AI475" s="39" cm="1">
        <f t="array" ref="AI475">IFERROR(INDEX(DaybyDay[],DaybyDay[[#This Row],[FORM_MATCH_HELPER]],12),"")</f>
        <v>523</v>
      </c>
      <c r="AJ475" s="32">
        <f>IFERROR(DaybyDay[[#This Row],[Serv-LY-RU]]+DaybyDay[[#This Row],[Ret-LY-RU]],"")</f>
        <v>0</v>
      </c>
      <c r="AK4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5" s="77"/>
      <c r="AM475" s="40" t="str">
        <f>IF(DaybyDay[[#This Row],[Admin Hours]]&gt;0,DaybyDay[[#This Row],[Admin Hours]]*$AM$2+$AM$3,"")</f>
        <v/>
      </c>
      <c r="AN475" s="40">
        <f>SUMIFS(DaybyDay[Est-Admin-Payroll],DaybyDay[Date],"&gt;="&amp;$C$5,DaybyDay[RowYear],"&gt;="&amp;$C$4,DaybyDay[Date],"&lt;="&amp;DaybyDay[[#This Row],[Date]])</f>
        <v>0</v>
      </c>
      <c r="AO475" s="41" t="str">
        <f>IF(AND(DaybyDay[[#This Row],[_Space]],ISNUMBER(DaybyDay[[#This Row],[Admin Hours]])),DaybyDay[[#This Row],[Est-Admin-Payroll]]/(DaybyDay[[#This Row],[Service-Actuals]]+DaybyDay[[#This Row],[Retail-Actuals]]),"")</f>
        <v/>
      </c>
      <c r="AP475" s="41" t="e">
        <f>DaybyDay[[#This Row],[Estimated-Payroll-Rollup]]/DaybyDay[[#This Row],[Simple-Forecast]]</f>
        <v>#DIV/0!</v>
      </c>
      <c r="AQ4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5" s="77"/>
      <c r="AS475" s="40" t="str">
        <f>IF(DaybyDay[[#This Row],[Retail Hours]]&gt;0,DaybyDay[[#This Row],[Retail Hours]]*$AS$2,"")</f>
        <v/>
      </c>
      <c r="AT475" s="40">
        <f>SUMIFS(DaybyDay[Est-Retail-Payroll],DaybyDay[Date],"&gt;="&amp;$C$5,DaybyDay[RowYear],"&gt;="&amp;$C$4,DaybyDay[Date],"&lt;="&amp;DaybyDay[[#This Row],[Date]])</f>
        <v>0</v>
      </c>
      <c r="AU475" s="82" t="str">
        <f>IF(AND(DaybyDay[[#This Row],[_Space]],ISNUMBER(DaybyDay[[#This Row],[Retail Hours]])),DaybyDay[[#This Row],[Est-Retail-Payroll]]/(DaybyDay[[#This Row],[Retail-Actuals]]),"")</f>
        <v/>
      </c>
      <c r="AV475" s="82" t="e">
        <f>DaybyDay[[#This Row],[Est-Retail-PayrollRU]]/DaybyDay[[#This Row],[Simple-Forecast-Retail]]</f>
        <v>#DIV/0!</v>
      </c>
      <c r="AW475" s="8"/>
    </row>
    <row r="476" spans="3:49" hidden="1" x14ac:dyDescent="0.25">
      <c r="C476" s="26" t="str">
        <f>Tools!$C$1</f>
        <v>Example</v>
      </c>
      <c r="D476" s="27" t="s">
        <v>71</v>
      </c>
      <c r="E476" s="28">
        <v>2018</v>
      </c>
      <c r="F476" s="28">
        <f>MATCH(DaybyDay[[#This Row],[RowMonth]],Table3[SummaryMonth],0)</f>
        <v>4</v>
      </c>
      <c r="G476" s="29">
        <f>MATCH(DaybyDay[[#This Row],[LY-Date]],DaybyDay[Date],0)</f>
        <v>106</v>
      </c>
      <c r="H476" s="30">
        <f>WEEKDAY(DaybyDay[[#This Row],[Date]])</f>
        <v>1</v>
      </c>
      <c r="I476" s="31">
        <v>43205</v>
      </c>
      <c r="J476" s="74">
        <v>26</v>
      </c>
      <c r="K476" s="32">
        <f>SUMIFS(BudgetSeasonality[365 Seasonality],BudgetSeasonality[MonthAdjustment],DaybyDay[[#This Row],[Date]])*SUMIFS(Budgets[Service-Budget],Budgets[BudgetMonth],DaybyDay[[#This Row],[RowMonth]],Budgets[BudgetYear],DaybyDay[[#This Row],[RowYear]])</f>
        <v>7126.2899439295679</v>
      </c>
      <c r="L476" s="75">
        <v>5842</v>
      </c>
      <c r="M476" s="32">
        <f>INDEX(BudgetSeasonality[365 Seasonality],MATCH(DaybyDay[[#This Row],[Date]],BudgetSeasonality[MonthAdjustment],0))*SUMIFS(Budgets[Retail-Budget],Budgets[BudgetMonth],DaybyDay[[#This Row],[RowMonth]],Budgets[BudgetYear],DaybyDay[[#This Row],[RowYear]])</f>
        <v>2142.4897291369416</v>
      </c>
      <c r="N476" s="75">
        <v>446</v>
      </c>
      <c r="O476" s="33">
        <f>SUMIFS(DaybyDay[Service-Budgets],DaybyDay[Date],"&gt;="&amp;$C$5,DaybyDay[RowYear],"&gt;="&amp;$C$4,DaybyDay[Date],"&lt;="&amp;DaybyDay[[#This Row],[Date]])</f>
        <v>0</v>
      </c>
      <c r="P476" s="33">
        <f>SUMIFS(DaybyDay[Retail-Budgets],DaybyDay[Date],"&gt;="&amp;$C$5,DaybyDay[RowYear],"&gt;="&amp;$C$4,DaybyDay[Date],"&lt;="&amp;DaybyDay[[#This Row],[Date]])</f>
        <v>0</v>
      </c>
      <c r="Q476" s="34">
        <f>SUMIFS(DaybyDay[Service-Actuals],DaybyDay[Date],"&gt;="&amp;$C$5,DaybyDay[RowYear],"&gt;="&amp;$C$4,DaybyDay[Date],"&lt;="&amp;DaybyDay[[#This Row],[Date]])</f>
        <v>0</v>
      </c>
      <c r="R476" s="34">
        <f>SUMIFS(DaybyDay[Retail-Actuals],DaybyDay[Date],"&gt;="&amp;$C$5,DaybyDay[RowYear],"&gt;="&amp;$C$4,DaybyDay[Date],"&lt;="&amp;DaybyDay[[#This Row],[Date]])</f>
        <v>0</v>
      </c>
      <c r="S476" s="35">
        <f>SUMIFS(DaybyDay[Service-LY],DaybyDay[Date],"&gt;="&amp;$C$5,DaybyDay[RowYear],"&gt;="&amp;$C$4,DaybyDay[Date],"&lt;="&amp;DaybyDay[[#This Row],[Date]])</f>
        <v>0</v>
      </c>
      <c r="T476" s="35">
        <f>SUMIFS(DaybyDay[Retail-LY],DaybyDay[Date],"&gt;="&amp;$C$5,DaybyDay[RowYear],"&gt;="&amp;$C$4,DaybyDay[Date],"&lt;="&amp;DaybyDay[[#This Row],[Date]])</f>
        <v>0</v>
      </c>
      <c r="U476" s="32">
        <f>DaybyDay[[#This Row],[Serv-Bud-RU]]+DaybyDay[[#This Row],[Ret-Bud-RU]]</f>
        <v>0</v>
      </c>
      <c r="V476" s="32">
        <f>DaybyDay[[#This Row],[Serv-Act-RU]]+DaybyDay[[#This Row],[Ret-Act-RU]]</f>
        <v>0</v>
      </c>
      <c r="W476" s="36">
        <f>IF(DaybyDay[[#This Row],[_Space]],IFERROR(
((DaybyDay[[#This Row],[Actual-Rollup]]-DaybyDay[[#This Row],[Budget-Rollup]])/DaybyDay[[#This Row],[Budget-Rollup]]),0),"")</f>
        <v>0</v>
      </c>
      <c r="X476" t="b">
        <f>NOT(AND(ISBLANK(DaybyDay[[#This Row],[Appts]]),ISBLANK(DaybyDay[[#This Row],[Service-Actuals]]),ISBLANK(DaybyDay[[#This Row],[Retail-Actuals]])))</f>
        <v>1</v>
      </c>
      <c r="Y476" s="36">
        <f>IF(DaybyDay[[#This Row],[_Space]],IFERROR(
((DaybyDay[[#This Row],[Actual-Rollup]]-DaybyDay[[#This Row],[LY-Rollup]])/DaybyDay[[#This Row],[LY-Rollup]]),0),"")</f>
        <v>0</v>
      </c>
      <c r="Z476"/>
      <c r="AA476" s="37" t="e">
        <f>IF(DaybyDay[[#This Row],[_Space]],DaybyDay[[#This Row],[Ret-Act-RU]]/DaybyDay[[#This Row],[Serv-Act-RU]],"")</f>
        <v>#DIV/0!</v>
      </c>
      <c r="AB476" s="50" t="e">
        <f>IF(DaybyDay[[#This Row],[_Space]],DaybyDay[[#This Row],[RETPEN-Act]]/DaybyDay[[#This Row],[RETPEN-Bud]],"")</f>
        <v>#DIV/0!</v>
      </c>
      <c r="AC476" s="37" t="e">
        <f>IF(DaybyDay[[#This Row],[_Space]],DaybyDay[[#This Row],[Ret-Bud-RU]]/DaybyDay[[#This Row],[Serv-Bud-RU]],"")</f>
        <v>#DIV/0!</v>
      </c>
      <c r="AD476" s="37" t="e">
        <f>IF(DaybyDay[[#This Row],[_Space]],DaybyDay[[#This Row],[Ret-LY-RU]]/DaybyDay[[#This Row],[Serv-LY-RU]],"")</f>
        <v>#DIV/0!</v>
      </c>
      <c r="AE476" s="30">
        <f>WEEKDAY(DaybyDay[[#This Row],[LY-Date]])</f>
        <v>1</v>
      </c>
      <c r="AF476" s="38">
        <f>$E$2+_xlfn.DAYS(DaybyDay[[#This Row],[Date]],minDate)</f>
        <v>42841</v>
      </c>
      <c r="AG476" s="39" cm="1">
        <f t="array" ref="AG476">IFERROR(INDEX(DaybyDay[],DaybyDay[[#This Row],[FORM_MATCH_HELPER]],8),"")</f>
        <v>7</v>
      </c>
      <c r="AH476" s="39" cm="1">
        <f t="array" ref="AH476">IFERROR(INDEX(DaybyDay[],DaybyDay[[#This Row],[FORM_MATCH_HELPER]],10),"")</f>
        <v>1953.5</v>
      </c>
      <c r="AI476" s="39" cm="1">
        <f t="array" ref="AI476">IFERROR(INDEX(DaybyDay[],DaybyDay[[#This Row],[FORM_MATCH_HELPER]],12),"")</f>
        <v>314</v>
      </c>
      <c r="AJ476" s="32">
        <f>IFERROR(DaybyDay[[#This Row],[Serv-LY-RU]]+DaybyDay[[#This Row],[Ret-LY-RU]],"")</f>
        <v>0</v>
      </c>
      <c r="AK4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6" s="77"/>
      <c r="AM476" s="40" t="str">
        <f>IF(DaybyDay[[#This Row],[Admin Hours]]&gt;0,DaybyDay[[#This Row],[Admin Hours]]*$AM$2+$AM$3,"")</f>
        <v/>
      </c>
      <c r="AN476" s="40">
        <f>SUMIFS(DaybyDay[Est-Admin-Payroll],DaybyDay[Date],"&gt;="&amp;$C$5,DaybyDay[RowYear],"&gt;="&amp;$C$4,DaybyDay[Date],"&lt;="&amp;DaybyDay[[#This Row],[Date]])</f>
        <v>0</v>
      </c>
      <c r="AO476" s="41" t="str">
        <f>IF(AND(DaybyDay[[#This Row],[_Space]],ISNUMBER(DaybyDay[[#This Row],[Admin Hours]])),DaybyDay[[#This Row],[Est-Admin-Payroll]]/(DaybyDay[[#This Row],[Service-Actuals]]+DaybyDay[[#This Row],[Retail-Actuals]]),"")</f>
        <v/>
      </c>
      <c r="AP476" s="41" t="e">
        <f>DaybyDay[[#This Row],[Estimated-Payroll-Rollup]]/DaybyDay[[#This Row],[Simple-Forecast]]</f>
        <v>#DIV/0!</v>
      </c>
      <c r="AQ4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6" s="77"/>
      <c r="AS476" s="40" t="str">
        <f>IF(DaybyDay[[#This Row],[Retail Hours]]&gt;0,DaybyDay[[#This Row],[Retail Hours]]*$AS$2,"")</f>
        <v/>
      </c>
      <c r="AT476" s="40">
        <f>SUMIFS(DaybyDay[Est-Retail-Payroll],DaybyDay[Date],"&gt;="&amp;$C$5,DaybyDay[RowYear],"&gt;="&amp;$C$4,DaybyDay[Date],"&lt;="&amp;DaybyDay[[#This Row],[Date]])</f>
        <v>0</v>
      </c>
      <c r="AU476" s="82" t="str">
        <f>IF(AND(DaybyDay[[#This Row],[_Space]],ISNUMBER(DaybyDay[[#This Row],[Retail Hours]])),DaybyDay[[#This Row],[Est-Retail-Payroll]]/(DaybyDay[[#This Row],[Retail-Actuals]]),"")</f>
        <v/>
      </c>
      <c r="AV476" s="82" t="e">
        <f>DaybyDay[[#This Row],[Est-Retail-PayrollRU]]/DaybyDay[[#This Row],[Simple-Forecast-Retail]]</f>
        <v>#DIV/0!</v>
      </c>
      <c r="AW476" s="8"/>
    </row>
    <row r="477" spans="3:49" hidden="1" x14ac:dyDescent="0.25">
      <c r="C477" s="26" t="str">
        <f>Tools!$C$1</f>
        <v>Example</v>
      </c>
      <c r="D477" s="27" t="s">
        <v>71</v>
      </c>
      <c r="E477" s="28">
        <v>2018</v>
      </c>
      <c r="F477" s="28">
        <f>MATCH(DaybyDay[[#This Row],[RowMonth]],Table3[SummaryMonth],0)</f>
        <v>4</v>
      </c>
      <c r="G477" s="29">
        <f>MATCH(DaybyDay[[#This Row],[LY-Date]],DaybyDay[Date],0)</f>
        <v>107</v>
      </c>
      <c r="H477" s="30">
        <f>WEEKDAY(DaybyDay[[#This Row],[Date]])</f>
        <v>2</v>
      </c>
      <c r="I477" s="31">
        <v>43206</v>
      </c>
      <c r="J477" s="74">
        <v>19</v>
      </c>
      <c r="K477" s="32">
        <f>SUMIFS(BudgetSeasonality[365 Seasonality],BudgetSeasonality[MonthAdjustment],DaybyDay[[#This Row],[Date]])*SUMIFS(Budgets[Service-Budget],Budgets[BudgetMonth],DaybyDay[[#This Row],[RowMonth]],Budgets[BudgetYear],DaybyDay[[#This Row],[RowYear]])</f>
        <v>3710.164088623048</v>
      </c>
      <c r="L477" s="75">
        <v>4794.5</v>
      </c>
      <c r="M477" s="32">
        <f>INDEX(BudgetSeasonality[365 Seasonality],MATCH(DaybyDay[[#This Row],[Date]],BudgetSeasonality[MonthAdjustment],0))*SUMIFS(Budgets[Retail-Budget],Budgets[BudgetMonth],DaybyDay[[#This Row],[RowMonth]],Budgets[BudgetYear],DaybyDay[[#This Row],[RowYear]])</f>
        <v>1115.4455566404281</v>
      </c>
      <c r="N477" s="75">
        <v>463</v>
      </c>
      <c r="O477" s="33">
        <f>SUMIFS(DaybyDay[Service-Budgets],DaybyDay[Date],"&gt;="&amp;$C$5,DaybyDay[RowYear],"&gt;="&amp;$C$4,DaybyDay[Date],"&lt;="&amp;DaybyDay[[#This Row],[Date]])</f>
        <v>0</v>
      </c>
      <c r="P477" s="33">
        <f>SUMIFS(DaybyDay[Retail-Budgets],DaybyDay[Date],"&gt;="&amp;$C$5,DaybyDay[RowYear],"&gt;="&amp;$C$4,DaybyDay[Date],"&lt;="&amp;DaybyDay[[#This Row],[Date]])</f>
        <v>0</v>
      </c>
      <c r="Q477" s="34">
        <f>SUMIFS(DaybyDay[Service-Actuals],DaybyDay[Date],"&gt;="&amp;$C$5,DaybyDay[RowYear],"&gt;="&amp;$C$4,DaybyDay[Date],"&lt;="&amp;DaybyDay[[#This Row],[Date]])</f>
        <v>0</v>
      </c>
      <c r="R477" s="34">
        <f>SUMIFS(DaybyDay[Retail-Actuals],DaybyDay[Date],"&gt;="&amp;$C$5,DaybyDay[RowYear],"&gt;="&amp;$C$4,DaybyDay[Date],"&lt;="&amp;DaybyDay[[#This Row],[Date]])</f>
        <v>0</v>
      </c>
      <c r="S477" s="35">
        <f>SUMIFS(DaybyDay[Service-LY],DaybyDay[Date],"&gt;="&amp;$C$5,DaybyDay[RowYear],"&gt;="&amp;$C$4,DaybyDay[Date],"&lt;="&amp;DaybyDay[[#This Row],[Date]])</f>
        <v>0</v>
      </c>
      <c r="T477" s="35">
        <f>SUMIFS(DaybyDay[Retail-LY],DaybyDay[Date],"&gt;="&amp;$C$5,DaybyDay[RowYear],"&gt;="&amp;$C$4,DaybyDay[Date],"&lt;="&amp;DaybyDay[[#This Row],[Date]])</f>
        <v>0</v>
      </c>
      <c r="U477" s="32">
        <f>DaybyDay[[#This Row],[Serv-Bud-RU]]+DaybyDay[[#This Row],[Ret-Bud-RU]]</f>
        <v>0</v>
      </c>
      <c r="V477" s="32">
        <f>DaybyDay[[#This Row],[Serv-Act-RU]]+DaybyDay[[#This Row],[Ret-Act-RU]]</f>
        <v>0</v>
      </c>
      <c r="W477" s="36">
        <f>IF(DaybyDay[[#This Row],[_Space]],IFERROR(
((DaybyDay[[#This Row],[Actual-Rollup]]-DaybyDay[[#This Row],[Budget-Rollup]])/DaybyDay[[#This Row],[Budget-Rollup]]),0),"")</f>
        <v>0</v>
      </c>
      <c r="X477" t="b">
        <f>NOT(AND(ISBLANK(DaybyDay[[#This Row],[Appts]]),ISBLANK(DaybyDay[[#This Row],[Service-Actuals]]),ISBLANK(DaybyDay[[#This Row],[Retail-Actuals]])))</f>
        <v>1</v>
      </c>
      <c r="Y477" s="36">
        <f>IF(DaybyDay[[#This Row],[_Space]],IFERROR(
((DaybyDay[[#This Row],[Actual-Rollup]]-DaybyDay[[#This Row],[LY-Rollup]])/DaybyDay[[#This Row],[LY-Rollup]]),0),"")</f>
        <v>0</v>
      </c>
      <c r="Z477"/>
      <c r="AA477" s="37" t="e">
        <f>IF(DaybyDay[[#This Row],[_Space]],DaybyDay[[#This Row],[Ret-Act-RU]]/DaybyDay[[#This Row],[Serv-Act-RU]],"")</f>
        <v>#DIV/0!</v>
      </c>
      <c r="AB477" s="50" t="e">
        <f>IF(DaybyDay[[#This Row],[_Space]],DaybyDay[[#This Row],[RETPEN-Act]]/DaybyDay[[#This Row],[RETPEN-Bud]],"")</f>
        <v>#DIV/0!</v>
      </c>
      <c r="AC477" s="37" t="e">
        <f>IF(DaybyDay[[#This Row],[_Space]],DaybyDay[[#This Row],[Ret-Bud-RU]]/DaybyDay[[#This Row],[Serv-Bud-RU]],"")</f>
        <v>#DIV/0!</v>
      </c>
      <c r="AD477" s="37" t="e">
        <f>IF(DaybyDay[[#This Row],[_Space]],DaybyDay[[#This Row],[Ret-LY-RU]]/DaybyDay[[#This Row],[Serv-LY-RU]],"")</f>
        <v>#DIV/0!</v>
      </c>
      <c r="AE477" s="30">
        <f>WEEKDAY(DaybyDay[[#This Row],[LY-Date]])</f>
        <v>2</v>
      </c>
      <c r="AF477" s="38">
        <f>$E$2+_xlfn.DAYS(DaybyDay[[#This Row],[Date]],minDate)</f>
        <v>42842</v>
      </c>
      <c r="AG477" s="39" cm="1">
        <f t="array" ref="AG477">IFERROR(INDEX(DaybyDay[],DaybyDay[[#This Row],[FORM_MATCH_HELPER]],8),"")</f>
        <v>16</v>
      </c>
      <c r="AH477" s="39" cm="1">
        <f t="array" ref="AH477">IFERROR(INDEX(DaybyDay[],DaybyDay[[#This Row],[FORM_MATCH_HELPER]],10),"")</f>
        <v>2615.9899999999998</v>
      </c>
      <c r="AI477" s="39" cm="1">
        <f t="array" ref="AI477">IFERROR(INDEX(DaybyDay[],DaybyDay[[#This Row],[FORM_MATCH_HELPER]],12),"")</f>
        <v>130</v>
      </c>
      <c r="AJ477" s="32">
        <f>IFERROR(DaybyDay[[#This Row],[Serv-LY-RU]]+DaybyDay[[#This Row],[Ret-LY-RU]],"")</f>
        <v>0</v>
      </c>
      <c r="AK4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7" s="77"/>
      <c r="AM477" s="40" t="str">
        <f>IF(DaybyDay[[#This Row],[Admin Hours]]&gt;0,DaybyDay[[#This Row],[Admin Hours]]*$AM$2+$AM$3,"")</f>
        <v/>
      </c>
      <c r="AN477" s="40">
        <f>SUMIFS(DaybyDay[Est-Admin-Payroll],DaybyDay[Date],"&gt;="&amp;$C$5,DaybyDay[RowYear],"&gt;="&amp;$C$4,DaybyDay[Date],"&lt;="&amp;DaybyDay[[#This Row],[Date]])</f>
        <v>0</v>
      </c>
      <c r="AO477" s="41" t="str">
        <f>IF(AND(DaybyDay[[#This Row],[_Space]],ISNUMBER(DaybyDay[[#This Row],[Admin Hours]])),DaybyDay[[#This Row],[Est-Admin-Payroll]]/(DaybyDay[[#This Row],[Service-Actuals]]+DaybyDay[[#This Row],[Retail-Actuals]]),"")</f>
        <v/>
      </c>
      <c r="AP477" s="41" t="e">
        <f>DaybyDay[[#This Row],[Estimated-Payroll-Rollup]]/DaybyDay[[#This Row],[Simple-Forecast]]</f>
        <v>#DIV/0!</v>
      </c>
      <c r="AQ4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7" s="77"/>
      <c r="AS477" s="40" t="str">
        <f>IF(DaybyDay[[#This Row],[Retail Hours]]&gt;0,DaybyDay[[#This Row],[Retail Hours]]*$AS$2,"")</f>
        <v/>
      </c>
      <c r="AT477" s="40">
        <f>SUMIFS(DaybyDay[Est-Retail-Payroll],DaybyDay[Date],"&gt;="&amp;$C$5,DaybyDay[RowYear],"&gt;="&amp;$C$4,DaybyDay[Date],"&lt;="&amp;DaybyDay[[#This Row],[Date]])</f>
        <v>0</v>
      </c>
      <c r="AU477" s="82" t="str">
        <f>IF(AND(DaybyDay[[#This Row],[_Space]],ISNUMBER(DaybyDay[[#This Row],[Retail Hours]])),DaybyDay[[#This Row],[Est-Retail-Payroll]]/(DaybyDay[[#This Row],[Retail-Actuals]]),"")</f>
        <v/>
      </c>
      <c r="AV477" s="82" t="e">
        <f>DaybyDay[[#This Row],[Est-Retail-PayrollRU]]/DaybyDay[[#This Row],[Simple-Forecast-Retail]]</f>
        <v>#DIV/0!</v>
      </c>
      <c r="AW477" s="8"/>
    </row>
    <row r="478" spans="3:49" hidden="1" x14ac:dyDescent="0.25">
      <c r="C478" s="26" t="str">
        <f>Tools!$C$1</f>
        <v>Example</v>
      </c>
      <c r="D478" s="27" t="s">
        <v>71</v>
      </c>
      <c r="E478" s="28">
        <v>2018</v>
      </c>
      <c r="F478" s="28">
        <f>MATCH(DaybyDay[[#This Row],[RowMonth]],Table3[SummaryMonth],0)</f>
        <v>4</v>
      </c>
      <c r="G478" s="29">
        <f>MATCH(DaybyDay[[#This Row],[LY-Date]],DaybyDay[Date],0)</f>
        <v>108</v>
      </c>
      <c r="H478" s="30">
        <f>WEEKDAY(DaybyDay[[#This Row],[Date]])</f>
        <v>3</v>
      </c>
      <c r="I478" s="31">
        <v>43207</v>
      </c>
      <c r="J478" s="74">
        <v>20</v>
      </c>
      <c r="K478" s="32">
        <f>SUMIFS(BudgetSeasonality[365 Seasonality],BudgetSeasonality[MonthAdjustment],DaybyDay[[#This Row],[Date]])*SUMIFS(Budgets[Service-Budget],Budgets[BudgetMonth],DaybyDay[[#This Row],[RowMonth]],Budgets[BudgetYear],DaybyDay[[#This Row],[RowYear]])</f>
        <v>3737.4739950951366</v>
      </c>
      <c r="L478" s="75">
        <v>4122</v>
      </c>
      <c r="M478" s="32">
        <f>INDEX(BudgetSeasonality[365 Seasonality],MATCH(DaybyDay[[#This Row],[Date]],BudgetSeasonality[MonthAdjustment],0))*SUMIFS(Budgets[Retail-Budget],Budgets[BudgetMonth],DaybyDay[[#This Row],[RowMonth]],Budgets[BudgetYear],DaybyDay[[#This Row],[RowYear]])</f>
        <v>1123.6561675726964</v>
      </c>
      <c r="N478" s="75">
        <v>436.97</v>
      </c>
      <c r="O478" s="33">
        <f>SUMIFS(DaybyDay[Service-Budgets],DaybyDay[Date],"&gt;="&amp;$C$5,DaybyDay[RowYear],"&gt;="&amp;$C$4,DaybyDay[Date],"&lt;="&amp;DaybyDay[[#This Row],[Date]])</f>
        <v>0</v>
      </c>
      <c r="P478" s="33">
        <f>SUMIFS(DaybyDay[Retail-Budgets],DaybyDay[Date],"&gt;="&amp;$C$5,DaybyDay[RowYear],"&gt;="&amp;$C$4,DaybyDay[Date],"&lt;="&amp;DaybyDay[[#This Row],[Date]])</f>
        <v>0</v>
      </c>
      <c r="Q478" s="34">
        <f>SUMIFS(DaybyDay[Service-Actuals],DaybyDay[Date],"&gt;="&amp;$C$5,DaybyDay[RowYear],"&gt;="&amp;$C$4,DaybyDay[Date],"&lt;="&amp;DaybyDay[[#This Row],[Date]])</f>
        <v>0</v>
      </c>
      <c r="R478" s="34">
        <f>SUMIFS(DaybyDay[Retail-Actuals],DaybyDay[Date],"&gt;="&amp;$C$5,DaybyDay[RowYear],"&gt;="&amp;$C$4,DaybyDay[Date],"&lt;="&amp;DaybyDay[[#This Row],[Date]])</f>
        <v>0</v>
      </c>
      <c r="S478" s="35">
        <f>SUMIFS(DaybyDay[Service-LY],DaybyDay[Date],"&gt;="&amp;$C$5,DaybyDay[RowYear],"&gt;="&amp;$C$4,DaybyDay[Date],"&lt;="&amp;DaybyDay[[#This Row],[Date]])</f>
        <v>0</v>
      </c>
      <c r="T478" s="35">
        <f>SUMIFS(DaybyDay[Retail-LY],DaybyDay[Date],"&gt;="&amp;$C$5,DaybyDay[RowYear],"&gt;="&amp;$C$4,DaybyDay[Date],"&lt;="&amp;DaybyDay[[#This Row],[Date]])</f>
        <v>0</v>
      </c>
      <c r="U478" s="32">
        <f>DaybyDay[[#This Row],[Serv-Bud-RU]]+DaybyDay[[#This Row],[Ret-Bud-RU]]</f>
        <v>0</v>
      </c>
      <c r="V478" s="32">
        <f>DaybyDay[[#This Row],[Serv-Act-RU]]+DaybyDay[[#This Row],[Ret-Act-RU]]</f>
        <v>0</v>
      </c>
      <c r="W478" s="36">
        <f>IF(DaybyDay[[#This Row],[_Space]],IFERROR(
((DaybyDay[[#This Row],[Actual-Rollup]]-DaybyDay[[#This Row],[Budget-Rollup]])/DaybyDay[[#This Row],[Budget-Rollup]]),0),"")</f>
        <v>0</v>
      </c>
      <c r="X478" t="b">
        <f>NOT(AND(ISBLANK(DaybyDay[[#This Row],[Appts]]),ISBLANK(DaybyDay[[#This Row],[Service-Actuals]]),ISBLANK(DaybyDay[[#This Row],[Retail-Actuals]])))</f>
        <v>1</v>
      </c>
      <c r="Y478" s="36">
        <f>IF(DaybyDay[[#This Row],[_Space]],IFERROR(
((DaybyDay[[#This Row],[Actual-Rollup]]-DaybyDay[[#This Row],[LY-Rollup]])/DaybyDay[[#This Row],[LY-Rollup]]),0),"")</f>
        <v>0</v>
      </c>
      <c r="Z478"/>
      <c r="AA478" s="37" t="e">
        <f>IF(DaybyDay[[#This Row],[_Space]],DaybyDay[[#This Row],[Ret-Act-RU]]/DaybyDay[[#This Row],[Serv-Act-RU]],"")</f>
        <v>#DIV/0!</v>
      </c>
      <c r="AB478" s="50" t="e">
        <f>IF(DaybyDay[[#This Row],[_Space]],DaybyDay[[#This Row],[RETPEN-Act]]/DaybyDay[[#This Row],[RETPEN-Bud]],"")</f>
        <v>#DIV/0!</v>
      </c>
      <c r="AC478" s="37" t="e">
        <f>IF(DaybyDay[[#This Row],[_Space]],DaybyDay[[#This Row],[Ret-Bud-RU]]/DaybyDay[[#This Row],[Serv-Bud-RU]],"")</f>
        <v>#DIV/0!</v>
      </c>
      <c r="AD478" s="37" t="e">
        <f>IF(DaybyDay[[#This Row],[_Space]],DaybyDay[[#This Row],[Ret-LY-RU]]/DaybyDay[[#This Row],[Serv-LY-RU]],"")</f>
        <v>#DIV/0!</v>
      </c>
      <c r="AE478" s="30">
        <f>WEEKDAY(DaybyDay[[#This Row],[LY-Date]])</f>
        <v>3</v>
      </c>
      <c r="AF478" s="38">
        <f>$E$2+_xlfn.DAYS(DaybyDay[[#This Row],[Date]],minDate)</f>
        <v>42843</v>
      </c>
      <c r="AG478" s="39" cm="1">
        <f t="array" ref="AG478">IFERROR(INDEX(DaybyDay[],DaybyDay[[#This Row],[FORM_MATCH_HELPER]],8),"")</f>
        <v>15</v>
      </c>
      <c r="AH478" s="39" cm="1">
        <f t="array" ref="AH478">IFERROR(INDEX(DaybyDay[],DaybyDay[[#This Row],[FORM_MATCH_HELPER]],10),"")</f>
        <v>2437</v>
      </c>
      <c r="AI478" s="39" cm="1">
        <f t="array" ref="AI478">IFERROR(INDEX(DaybyDay[],DaybyDay[[#This Row],[FORM_MATCH_HELPER]],12),"")</f>
        <v>0</v>
      </c>
      <c r="AJ478" s="32">
        <f>IFERROR(DaybyDay[[#This Row],[Serv-LY-RU]]+DaybyDay[[#This Row],[Ret-LY-RU]],"")</f>
        <v>0</v>
      </c>
      <c r="AK4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8" s="77"/>
      <c r="AM478" s="40" t="str">
        <f>IF(DaybyDay[[#This Row],[Admin Hours]]&gt;0,DaybyDay[[#This Row],[Admin Hours]]*$AM$2+$AM$3,"")</f>
        <v/>
      </c>
      <c r="AN478" s="40">
        <f>SUMIFS(DaybyDay[Est-Admin-Payroll],DaybyDay[Date],"&gt;="&amp;$C$5,DaybyDay[RowYear],"&gt;="&amp;$C$4,DaybyDay[Date],"&lt;="&amp;DaybyDay[[#This Row],[Date]])</f>
        <v>0</v>
      </c>
      <c r="AO478" s="41" t="str">
        <f>IF(AND(DaybyDay[[#This Row],[_Space]],ISNUMBER(DaybyDay[[#This Row],[Admin Hours]])),DaybyDay[[#This Row],[Est-Admin-Payroll]]/(DaybyDay[[#This Row],[Service-Actuals]]+DaybyDay[[#This Row],[Retail-Actuals]]),"")</f>
        <v/>
      </c>
      <c r="AP478" s="41" t="e">
        <f>DaybyDay[[#This Row],[Estimated-Payroll-Rollup]]/DaybyDay[[#This Row],[Simple-Forecast]]</f>
        <v>#DIV/0!</v>
      </c>
      <c r="AQ4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8" s="77"/>
      <c r="AS478" s="40" t="str">
        <f>IF(DaybyDay[[#This Row],[Retail Hours]]&gt;0,DaybyDay[[#This Row],[Retail Hours]]*$AS$2,"")</f>
        <v/>
      </c>
      <c r="AT478" s="40">
        <f>SUMIFS(DaybyDay[Est-Retail-Payroll],DaybyDay[Date],"&gt;="&amp;$C$5,DaybyDay[RowYear],"&gt;="&amp;$C$4,DaybyDay[Date],"&lt;="&amp;DaybyDay[[#This Row],[Date]])</f>
        <v>0</v>
      </c>
      <c r="AU478" s="82" t="str">
        <f>IF(AND(DaybyDay[[#This Row],[_Space]],ISNUMBER(DaybyDay[[#This Row],[Retail Hours]])),DaybyDay[[#This Row],[Est-Retail-Payroll]]/(DaybyDay[[#This Row],[Retail-Actuals]]),"")</f>
        <v/>
      </c>
      <c r="AV478" s="82" t="e">
        <f>DaybyDay[[#This Row],[Est-Retail-PayrollRU]]/DaybyDay[[#This Row],[Simple-Forecast-Retail]]</f>
        <v>#DIV/0!</v>
      </c>
      <c r="AW478" s="8"/>
    </row>
    <row r="479" spans="3:49" hidden="1" x14ac:dyDescent="0.25">
      <c r="C479" s="26" t="str">
        <f>Tools!$C$1</f>
        <v>Example</v>
      </c>
      <c r="D479" s="27" t="s">
        <v>71</v>
      </c>
      <c r="E479" s="28">
        <v>2018</v>
      </c>
      <c r="F479" s="28">
        <f>MATCH(DaybyDay[[#This Row],[RowMonth]],Table3[SummaryMonth],0)</f>
        <v>4</v>
      </c>
      <c r="G479" s="29">
        <f>MATCH(DaybyDay[[#This Row],[LY-Date]],DaybyDay[Date],0)</f>
        <v>109</v>
      </c>
      <c r="H479" s="30">
        <f>WEEKDAY(DaybyDay[[#This Row],[Date]])</f>
        <v>4</v>
      </c>
      <c r="I479" s="31">
        <v>43208</v>
      </c>
      <c r="J479" s="74">
        <v>13</v>
      </c>
      <c r="K479" s="32">
        <f>SUMIFS(BudgetSeasonality[365 Seasonality],BudgetSeasonality[MonthAdjustment],DaybyDay[[#This Row],[Date]])*SUMIFS(Budgets[Service-Budget],Budgets[BudgetMonth],DaybyDay[[#This Row],[RowMonth]],Budgets[BudgetYear],DaybyDay[[#This Row],[RowYear]])</f>
        <v>4383.8756850940817</v>
      </c>
      <c r="L479" s="75">
        <v>2707</v>
      </c>
      <c r="M479" s="32">
        <f>INDEX(BudgetSeasonality[365 Seasonality],MATCH(DaybyDay[[#This Row],[Date]],BudgetSeasonality[MonthAdjustment],0))*SUMIFS(Budgets[Retail-Budget],Budgets[BudgetMonth],DaybyDay[[#This Row],[RowMonth]],Budgets[BudgetYear],DaybyDay[[#This Row],[RowYear]])</f>
        <v>1317.9941741113182</v>
      </c>
      <c r="N479" s="75">
        <v>1787</v>
      </c>
      <c r="O479" s="33">
        <f>SUMIFS(DaybyDay[Service-Budgets],DaybyDay[Date],"&gt;="&amp;$C$5,DaybyDay[RowYear],"&gt;="&amp;$C$4,DaybyDay[Date],"&lt;="&amp;DaybyDay[[#This Row],[Date]])</f>
        <v>0</v>
      </c>
      <c r="P479" s="33">
        <f>SUMIFS(DaybyDay[Retail-Budgets],DaybyDay[Date],"&gt;="&amp;$C$5,DaybyDay[RowYear],"&gt;="&amp;$C$4,DaybyDay[Date],"&lt;="&amp;DaybyDay[[#This Row],[Date]])</f>
        <v>0</v>
      </c>
      <c r="Q479" s="34">
        <f>SUMIFS(DaybyDay[Service-Actuals],DaybyDay[Date],"&gt;="&amp;$C$5,DaybyDay[RowYear],"&gt;="&amp;$C$4,DaybyDay[Date],"&lt;="&amp;DaybyDay[[#This Row],[Date]])</f>
        <v>0</v>
      </c>
      <c r="R479" s="34">
        <f>SUMIFS(DaybyDay[Retail-Actuals],DaybyDay[Date],"&gt;="&amp;$C$5,DaybyDay[RowYear],"&gt;="&amp;$C$4,DaybyDay[Date],"&lt;="&amp;DaybyDay[[#This Row],[Date]])</f>
        <v>0</v>
      </c>
      <c r="S479" s="35">
        <f>SUMIFS(DaybyDay[Service-LY],DaybyDay[Date],"&gt;="&amp;$C$5,DaybyDay[RowYear],"&gt;="&amp;$C$4,DaybyDay[Date],"&lt;="&amp;DaybyDay[[#This Row],[Date]])</f>
        <v>0</v>
      </c>
      <c r="T479" s="35">
        <f>SUMIFS(DaybyDay[Retail-LY],DaybyDay[Date],"&gt;="&amp;$C$5,DaybyDay[RowYear],"&gt;="&amp;$C$4,DaybyDay[Date],"&lt;="&amp;DaybyDay[[#This Row],[Date]])</f>
        <v>0</v>
      </c>
      <c r="U479" s="32">
        <f>DaybyDay[[#This Row],[Serv-Bud-RU]]+DaybyDay[[#This Row],[Ret-Bud-RU]]</f>
        <v>0</v>
      </c>
      <c r="V479" s="32">
        <f>DaybyDay[[#This Row],[Serv-Act-RU]]+DaybyDay[[#This Row],[Ret-Act-RU]]</f>
        <v>0</v>
      </c>
      <c r="W479" s="36">
        <f>IF(DaybyDay[[#This Row],[_Space]],IFERROR(
((DaybyDay[[#This Row],[Actual-Rollup]]-DaybyDay[[#This Row],[Budget-Rollup]])/DaybyDay[[#This Row],[Budget-Rollup]]),0),"")</f>
        <v>0</v>
      </c>
      <c r="X479" t="b">
        <f>NOT(AND(ISBLANK(DaybyDay[[#This Row],[Appts]]),ISBLANK(DaybyDay[[#This Row],[Service-Actuals]]),ISBLANK(DaybyDay[[#This Row],[Retail-Actuals]])))</f>
        <v>1</v>
      </c>
      <c r="Y479" s="36">
        <f>IF(DaybyDay[[#This Row],[_Space]],IFERROR(
((DaybyDay[[#This Row],[Actual-Rollup]]-DaybyDay[[#This Row],[LY-Rollup]])/DaybyDay[[#This Row],[LY-Rollup]]),0),"")</f>
        <v>0</v>
      </c>
      <c r="Z479"/>
      <c r="AA479" s="37" t="e">
        <f>IF(DaybyDay[[#This Row],[_Space]],DaybyDay[[#This Row],[Ret-Act-RU]]/DaybyDay[[#This Row],[Serv-Act-RU]],"")</f>
        <v>#DIV/0!</v>
      </c>
      <c r="AB479" s="50" t="e">
        <f>IF(DaybyDay[[#This Row],[_Space]],DaybyDay[[#This Row],[RETPEN-Act]]/DaybyDay[[#This Row],[RETPEN-Bud]],"")</f>
        <v>#DIV/0!</v>
      </c>
      <c r="AC479" s="37" t="e">
        <f>IF(DaybyDay[[#This Row],[_Space]],DaybyDay[[#This Row],[Ret-Bud-RU]]/DaybyDay[[#This Row],[Serv-Bud-RU]],"")</f>
        <v>#DIV/0!</v>
      </c>
      <c r="AD479" s="37" t="e">
        <f>IF(DaybyDay[[#This Row],[_Space]],DaybyDay[[#This Row],[Ret-LY-RU]]/DaybyDay[[#This Row],[Serv-LY-RU]],"")</f>
        <v>#DIV/0!</v>
      </c>
      <c r="AE479" s="30">
        <f>WEEKDAY(DaybyDay[[#This Row],[LY-Date]])</f>
        <v>4</v>
      </c>
      <c r="AF479" s="38">
        <f>$E$2+_xlfn.DAYS(DaybyDay[[#This Row],[Date]],minDate)</f>
        <v>42844</v>
      </c>
      <c r="AG479" s="39" cm="1">
        <f t="array" ref="AG479">IFERROR(INDEX(DaybyDay[],DaybyDay[[#This Row],[FORM_MATCH_HELPER]],8),"")</f>
        <v>28</v>
      </c>
      <c r="AH479" s="39" cm="1">
        <f t="array" ref="AH479">IFERROR(INDEX(DaybyDay[],DaybyDay[[#This Row],[FORM_MATCH_HELPER]],10),"")</f>
        <v>4023.6</v>
      </c>
      <c r="AI479" s="39" cm="1">
        <f t="array" ref="AI479">IFERROR(INDEX(DaybyDay[],DaybyDay[[#This Row],[FORM_MATCH_HELPER]],12),"")</f>
        <v>1226</v>
      </c>
      <c r="AJ479" s="32">
        <f>IFERROR(DaybyDay[[#This Row],[Serv-LY-RU]]+DaybyDay[[#This Row],[Ret-LY-RU]],"")</f>
        <v>0</v>
      </c>
      <c r="AK4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79" s="77"/>
      <c r="AM479" s="40" t="str">
        <f>IF(DaybyDay[[#This Row],[Admin Hours]]&gt;0,DaybyDay[[#This Row],[Admin Hours]]*$AM$2+$AM$3,"")</f>
        <v/>
      </c>
      <c r="AN479" s="40">
        <f>SUMIFS(DaybyDay[Est-Admin-Payroll],DaybyDay[Date],"&gt;="&amp;$C$5,DaybyDay[RowYear],"&gt;="&amp;$C$4,DaybyDay[Date],"&lt;="&amp;DaybyDay[[#This Row],[Date]])</f>
        <v>0</v>
      </c>
      <c r="AO479" s="41" t="str">
        <f>IF(AND(DaybyDay[[#This Row],[_Space]],ISNUMBER(DaybyDay[[#This Row],[Admin Hours]])),DaybyDay[[#This Row],[Est-Admin-Payroll]]/(DaybyDay[[#This Row],[Service-Actuals]]+DaybyDay[[#This Row],[Retail-Actuals]]),"")</f>
        <v/>
      </c>
      <c r="AP479" s="41" t="e">
        <f>DaybyDay[[#This Row],[Estimated-Payroll-Rollup]]/DaybyDay[[#This Row],[Simple-Forecast]]</f>
        <v>#DIV/0!</v>
      </c>
      <c r="AQ4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79" s="77"/>
      <c r="AS479" s="40" t="str">
        <f>IF(DaybyDay[[#This Row],[Retail Hours]]&gt;0,DaybyDay[[#This Row],[Retail Hours]]*$AS$2,"")</f>
        <v/>
      </c>
      <c r="AT479" s="40">
        <f>SUMIFS(DaybyDay[Est-Retail-Payroll],DaybyDay[Date],"&gt;="&amp;$C$5,DaybyDay[RowYear],"&gt;="&amp;$C$4,DaybyDay[Date],"&lt;="&amp;DaybyDay[[#This Row],[Date]])</f>
        <v>0</v>
      </c>
      <c r="AU479" s="82" t="str">
        <f>IF(AND(DaybyDay[[#This Row],[_Space]],ISNUMBER(DaybyDay[[#This Row],[Retail Hours]])),DaybyDay[[#This Row],[Est-Retail-Payroll]]/(DaybyDay[[#This Row],[Retail-Actuals]]),"")</f>
        <v/>
      </c>
      <c r="AV479" s="82" t="e">
        <f>DaybyDay[[#This Row],[Est-Retail-PayrollRU]]/DaybyDay[[#This Row],[Simple-Forecast-Retail]]</f>
        <v>#DIV/0!</v>
      </c>
      <c r="AW479" s="8"/>
    </row>
    <row r="480" spans="3:49" hidden="1" x14ac:dyDescent="0.25">
      <c r="C480" s="26" t="str">
        <f>Tools!$C$1</f>
        <v>Example</v>
      </c>
      <c r="D480" s="27" t="s">
        <v>71</v>
      </c>
      <c r="E480" s="28">
        <v>2018</v>
      </c>
      <c r="F480" s="28">
        <f>MATCH(DaybyDay[[#This Row],[RowMonth]],Table3[SummaryMonth],0)</f>
        <v>4</v>
      </c>
      <c r="G480" s="29">
        <f>MATCH(DaybyDay[[#This Row],[LY-Date]],DaybyDay[Date],0)</f>
        <v>110</v>
      </c>
      <c r="H480" s="30">
        <f>WEEKDAY(DaybyDay[[#This Row],[Date]])</f>
        <v>5</v>
      </c>
      <c r="I480" s="31">
        <v>43209</v>
      </c>
      <c r="J480" s="74">
        <v>21</v>
      </c>
      <c r="K480" s="32">
        <f>SUMIFS(BudgetSeasonality[365 Seasonality],BudgetSeasonality[MonthAdjustment],DaybyDay[[#This Row],[Date]])*SUMIFS(Budgets[Service-Budget],Budgets[BudgetMonth],DaybyDay[[#This Row],[RowMonth]],Budgets[BudgetYear],DaybyDay[[#This Row],[RowYear]])</f>
        <v>4440.1563701998384</v>
      </c>
      <c r="L480" s="75">
        <v>3830.92</v>
      </c>
      <c r="M480" s="32">
        <f>INDEX(BudgetSeasonality[365 Seasonality],MATCH(DaybyDay[[#This Row],[Date]],BudgetSeasonality[MonthAdjustment],0))*SUMIFS(Budgets[Retail-Budget],Budgets[BudgetMonth],DaybyDay[[#This Row],[RowMonth]],Budgets[BudgetYear],DaybyDay[[#This Row],[RowYear]])</f>
        <v>1334.9147303525908</v>
      </c>
      <c r="N480" s="75">
        <v>1004.1</v>
      </c>
      <c r="O480" s="33">
        <f>SUMIFS(DaybyDay[Service-Budgets],DaybyDay[Date],"&gt;="&amp;$C$5,DaybyDay[RowYear],"&gt;="&amp;$C$4,DaybyDay[Date],"&lt;="&amp;DaybyDay[[#This Row],[Date]])</f>
        <v>0</v>
      </c>
      <c r="P480" s="33">
        <f>SUMIFS(DaybyDay[Retail-Budgets],DaybyDay[Date],"&gt;="&amp;$C$5,DaybyDay[RowYear],"&gt;="&amp;$C$4,DaybyDay[Date],"&lt;="&amp;DaybyDay[[#This Row],[Date]])</f>
        <v>0</v>
      </c>
      <c r="Q480" s="34">
        <f>SUMIFS(DaybyDay[Service-Actuals],DaybyDay[Date],"&gt;="&amp;$C$5,DaybyDay[RowYear],"&gt;="&amp;$C$4,DaybyDay[Date],"&lt;="&amp;DaybyDay[[#This Row],[Date]])</f>
        <v>0</v>
      </c>
      <c r="R480" s="34">
        <f>SUMIFS(DaybyDay[Retail-Actuals],DaybyDay[Date],"&gt;="&amp;$C$5,DaybyDay[RowYear],"&gt;="&amp;$C$4,DaybyDay[Date],"&lt;="&amp;DaybyDay[[#This Row],[Date]])</f>
        <v>0</v>
      </c>
      <c r="S480" s="35">
        <f>SUMIFS(DaybyDay[Service-LY],DaybyDay[Date],"&gt;="&amp;$C$5,DaybyDay[RowYear],"&gt;="&amp;$C$4,DaybyDay[Date],"&lt;="&amp;DaybyDay[[#This Row],[Date]])</f>
        <v>0</v>
      </c>
      <c r="T480" s="35">
        <f>SUMIFS(DaybyDay[Retail-LY],DaybyDay[Date],"&gt;="&amp;$C$5,DaybyDay[RowYear],"&gt;="&amp;$C$4,DaybyDay[Date],"&lt;="&amp;DaybyDay[[#This Row],[Date]])</f>
        <v>0</v>
      </c>
      <c r="U480" s="32">
        <f>DaybyDay[[#This Row],[Serv-Bud-RU]]+DaybyDay[[#This Row],[Ret-Bud-RU]]</f>
        <v>0</v>
      </c>
      <c r="V480" s="32">
        <f>DaybyDay[[#This Row],[Serv-Act-RU]]+DaybyDay[[#This Row],[Ret-Act-RU]]</f>
        <v>0</v>
      </c>
      <c r="W480" s="36">
        <f>IF(DaybyDay[[#This Row],[_Space]],IFERROR(
((DaybyDay[[#This Row],[Actual-Rollup]]-DaybyDay[[#This Row],[Budget-Rollup]])/DaybyDay[[#This Row],[Budget-Rollup]]),0),"")</f>
        <v>0</v>
      </c>
      <c r="X480" t="b">
        <f>NOT(AND(ISBLANK(DaybyDay[[#This Row],[Appts]]),ISBLANK(DaybyDay[[#This Row],[Service-Actuals]]),ISBLANK(DaybyDay[[#This Row],[Retail-Actuals]])))</f>
        <v>1</v>
      </c>
      <c r="Y480" s="36">
        <f>IF(DaybyDay[[#This Row],[_Space]],IFERROR(
((DaybyDay[[#This Row],[Actual-Rollup]]-DaybyDay[[#This Row],[LY-Rollup]])/DaybyDay[[#This Row],[LY-Rollup]]),0),"")</f>
        <v>0</v>
      </c>
      <c r="Z480"/>
      <c r="AA480" s="37" t="e">
        <f>IF(DaybyDay[[#This Row],[_Space]],DaybyDay[[#This Row],[Ret-Act-RU]]/DaybyDay[[#This Row],[Serv-Act-RU]],"")</f>
        <v>#DIV/0!</v>
      </c>
      <c r="AB480" s="50" t="e">
        <f>IF(DaybyDay[[#This Row],[_Space]],DaybyDay[[#This Row],[RETPEN-Act]]/DaybyDay[[#This Row],[RETPEN-Bud]],"")</f>
        <v>#DIV/0!</v>
      </c>
      <c r="AC480" s="37" t="e">
        <f>IF(DaybyDay[[#This Row],[_Space]],DaybyDay[[#This Row],[Ret-Bud-RU]]/DaybyDay[[#This Row],[Serv-Bud-RU]],"")</f>
        <v>#DIV/0!</v>
      </c>
      <c r="AD480" s="37" t="e">
        <f>IF(DaybyDay[[#This Row],[_Space]],DaybyDay[[#This Row],[Ret-LY-RU]]/DaybyDay[[#This Row],[Serv-LY-RU]],"")</f>
        <v>#DIV/0!</v>
      </c>
      <c r="AE480" s="30">
        <f>WEEKDAY(DaybyDay[[#This Row],[LY-Date]])</f>
        <v>5</v>
      </c>
      <c r="AF480" s="38">
        <f>$E$2+_xlfn.DAYS(DaybyDay[[#This Row],[Date]],minDate)</f>
        <v>42845</v>
      </c>
      <c r="AG480" s="39" cm="1">
        <f t="array" ref="AG480">IFERROR(INDEX(DaybyDay[],DaybyDay[[#This Row],[FORM_MATCH_HELPER]],8),"")</f>
        <v>23</v>
      </c>
      <c r="AH480" s="39" cm="1">
        <f t="array" ref="AH480">IFERROR(INDEX(DaybyDay[],DaybyDay[[#This Row],[FORM_MATCH_HELPER]],10),"")</f>
        <v>4348</v>
      </c>
      <c r="AI480" s="39" cm="1">
        <f t="array" ref="AI480">IFERROR(INDEX(DaybyDay[],DaybyDay[[#This Row],[FORM_MATCH_HELPER]],12),"")</f>
        <v>695</v>
      </c>
      <c r="AJ480" s="32">
        <f>IFERROR(DaybyDay[[#This Row],[Serv-LY-RU]]+DaybyDay[[#This Row],[Ret-LY-RU]],"")</f>
        <v>0</v>
      </c>
      <c r="AK4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0" s="77"/>
      <c r="AM480" s="40" t="str">
        <f>IF(DaybyDay[[#This Row],[Admin Hours]]&gt;0,DaybyDay[[#This Row],[Admin Hours]]*$AM$2+$AM$3,"")</f>
        <v/>
      </c>
      <c r="AN480" s="40">
        <f>SUMIFS(DaybyDay[Est-Admin-Payroll],DaybyDay[Date],"&gt;="&amp;$C$5,DaybyDay[RowYear],"&gt;="&amp;$C$4,DaybyDay[Date],"&lt;="&amp;DaybyDay[[#This Row],[Date]])</f>
        <v>0</v>
      </c>
      <c r="AO480" s="41" t="str">
        <f>IF(AND(DaybyDay[[#This Row],[_Space]],ISNUMBER(DaybyDay[[#This Row],[Admin Hours]])),DaybyDay[[#This Row],[Est-Admin-Payroll]]/(DaybyDay[[#This Row],[Service-Actuals]]+DaybyDay[[#This Row],[Retail-Actuals]]),"")</f>
        <v/>
      </c>
      <c r="AP480" s="41" t="e">
        <f>DaybyDay[[#This Row],[Estimated-Payroll-Rollup]]/DaybyDay[[#This Row],[Simple-Forecast]]</f>
        <v>#DIV/0!</v>
      </c>
      <c r="AQ4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0" s="77"/>
      <c r="AS480" s="40" t="str">
        <f>IF(DaybyDay[[#This Row],[Retail Hours]]&gt;0,DaybyDay[[#This Row],[Retail Hours]]*$AS$2,"")</f>
        <v/>
      </c>
      <c r="AT480" s="40">
        <f>SUMIFS(DaybyDay[Est-Retail-Payroll],DaybyDay[Date],"&gt;="&amp;$C$5,DaybyDay[RowYear],"&gt;="&amp;$C$4,DaybyDay[Date],"&lt;="&amp;DaybyDay[[#This Row],[Date]])</f>
        <v>0</v>
      </c>
      <c r="AU480" s="82" t="str">
        <f>IF(AND(DaybyDay[[#This Row],[_Space]],ISNUMBER(DaybyDay[[#This Row],[Retail Hours]])),DaybyDay[[#This Row],[Est-Retail-Payroll]]/(DaybyDay[[#This Row],[Retail-Actuals]]),"")</f>
        <v/>
      </c>
      <c r="AV480" s="82" t="e">
        <f>DaybyDay[[#This Row],[Est-Retail-PayrollRU]]/DaybyDay[[#This Row],[Simple-Forecast-Retail]]</f>
        <v>#DIV/0!</v>
      </c>
      <c r="AW480" s="8"/>
    </row>
    <row r="481" spans="3:49" hidden="1" x14ac:dyDescent="0.25">
      <c r="C481" s="26" t="str">
        <f>Tools!$C$1</f>
        <v>Example</v>
      </c>
      <c r="D481" s="27" t="s">
        <v>71</v>
      </c>
      <c r="E481" s="28">
        <v>2018</v>
      </c>
      <c r="F481" s="28">
        <f>MATCH(DaybyDay[[#This Row],[RowMonth]],Table3[SummaryMonth],0)</f>
        <v>4</v>
      </c>
      <c r="G481" s="29">
        <f>MATCH(DaybyDay[[#This Row],[LY-Date]],DaybyDay[Date],0)</f>
        <v>111</v>
      </c>
      <c r="H481" s="30">
        <f>WEEKDAY(DaybyDay[[#This Row],[Date]])</f>
        <v>6</v>
      </c>
      <c r="I481" s="31">
        <v>43210</v>
      </c>
      <c r="J481" s="74">
        <v>31</v>
      </c>
      <c r="K481" s="32">
        <f>SUMIFS(BudgetSeasonality[365 Seasonality],BudgetSeasonality[MonthAdjustment],DaybyDay[[#This Row],[Date]])*SUMIFS(Budgets[Service-Budget],Budgets[BudgetMonth],DaybyDay[[#This Row],[RowMonth]],Budgets[BudgetYear],DaybyDay[[#This Row],[RowYear]])</f>
        <v>5783.3726784602368</v>
      </c>
      <c r="L481" s="75">
        <v>6768.5</v>
      </c>
      <c r="M481" s="32">
        <f>INDEX(BudgetSeasonality[365 Seasonality],MATCH(DaybyDay[[#This Row],[Date]],BudgetSeasonality[MonthAdjustment],0))*SUMIFS(Budgets[Retail-Budget],Budgets[BudgetMonth],DaybyDay[[#This Row],[RowMonth]],Budgets[BudgetYear],DaybyDay[[#This Row],[RowYear]])</f>
        <v>1738.7471827366792</v>
      </c>
      <c r="N481" s="75">
        <v>613</v>
      </c>
      <c r="O481" s="33">
        <f>SUMIFS(DaybyDay[Service-Budgets],DaybyDay[Date],"&gt;="&amp;$C$5,DaybyDay[RowYear],"&gt;="&amp;$C$4,DaybyDay[Date],"&lt;="&amp;DaybyDay[[#This Row],[Date]])</f>
        <v>0</v>
      </c>
      <c r="P481" s="33">
        <f>SUMIFS(DaybyDay[Retail-Budgets],DaybyDay[Date],"&gt;="&amp;$C$5,DaybyDay[RowYear],"&gt;="&amp;$C$4,DaybyDay[Date],"&lt;="&amp;DaybyDay[[#This Row],[Date]])</f>
        <v>0</v>
      </c>
      <c r="Q481" s="34">
        <f>SUMIFS(DaybyDay[Service-Actuals],DaybyDay[Date],"&gt;="&amp;$C$5,DaybyDay[RowYear],"&gt;="&amp;$C$4,DaybyDay[Date],"&lt;="&amp;DaybyDay[[#This Row],[Date]])</f>
        <v>0</v>
      </c>
      <c r="R481" s="34">
        <f>SUMIFS(DaybyDay[Retail-Actuals],DaybyDay[Date],"&gt;="&amp;$C$5,DaybyDay[RowYear],"&gt;="&amp;$C$4,DaybyDay[Date],"&lt;="&amp;DaybyDay[[#This Row],[Date]])</f>
        <v>0</v>
      </c>
      <c r="S481" s="35">
        <f>SUMIFS(DaybyDay[Service-LY],DaybyDay[Date],"&gt;="&amp;$C$5,DaybyDay[RowYear],"&gt;="&amp;$C$4,DaybyDay[Date],"&lt;="&amp;DaybyDay[[#This Row],[Date]])</f>
        <v>0</v>
      </c>
      <c r="T481" s="35">
        <f>SUMIFS(DaybyDay[Retail-LY],DaybyDay[Date],"&gt;="&amp;$C$5,DaybyDay[RowYear],"&gt;="&amp;$C$4,DaybyDay[Date],"&lt;="&amp;DaybyDay[[#This Row],[Date]])</f>
        <v>0</v>
      </c>
      <c r="U481" s="32">
        <f>DaybyDay[[#This Row],[Serv-Bud-RU]]+DaybyDay[[#This Row],[Ret-Bud-RU]]</f>
        <v>0</v>
      </c>
      <c r="V481" s="32">
        <f>DaybyDay[[#This Row],[Serv-Act-RU]]+DaybyDay[[#This Row],[Ret-Act-RU]]</f>
        <v>0</v>
      </c>
      <c r="W481" s="36">
        <f>IF(DaybyDay[[#This Row],[_Space]],IFERROR(
((DaybyDay[[#This Row],[Actual-Rollup]]-DaybyDay[[#This Row],[Budget-Rollup]])/DaybyDay[[#This Row],[Budget-Rollup]]),0),"")</f>
        <v>0</v>
      </c>
      <c r="X481" t="b">
        <f>NOT(AND(ISBLANK(DaybyDay[[#This Row],[Appts]]),ISBLANK(DaybyDay[[#This Row],[Service-Actuals]]),ISBLANK(DaybyDay[[#This Row],[Retail-Actuals]])))</f>
        <v>1</v>
      </c>
      <c r="Y481" s="36">
        <f>IF(DaybyDay[[#This Row],[_Space]],IFERROR(
((DaybyDay[[#This Row],[Actual-Rollup]]-DaybyDay[[#This Row],[LY-Rollup]])/DaybyDay[[#This Row],[LY-Rollup]]),0),"")</f>
        <v>0</v>
      </c>
      <c r="Z481"/>
      <c r="AA481" s="37" t="e">
        <f>IF(DaybyDay[[#This Row],[_Space]],DaybyDay[[#This Row],[Ret-Act-RU]]/DaybyDay[[#This Row],[Serv-Act-RU]],"")</f>
        <v>#DIV/0!</v>
      </c>
      <c r="AB481" s="50" t="e">
        <f>IF(DaybyDay[[#This Row],[_Space]],DaybyDay[[#This Row],[RETPEN-Act]]/DaybyDay[[#This Row],[RETPEN-Bud]],"")</f>
        <v>#DIV/0!</v>
      </c>
      <c r="AC481" s="37" t="e">
        <f>IF(DaybyDay[[#This Row],[_Space]],DaybyDay[[#This Row],[Ret-Bud-RU]]/DaybyDay[[#This Row],[Serv-Bud-RU]],"")</f>
        <v>#DIV/0!</v>
      </c>
      <c r="AD481" s="37" t="e">
        <f>IF(DaybyDay[[#This Row],[_Space]],DaybyDay[[#This Row],[Ret-LY-RU]]/DaybyDay[[#This Row],[Serv-LY-RU]],"")</f>
        <v>#DIV/0!</v>
      </c>
      <c r="AE481" s="30">
        <f>WEEKDAY(DaybyDay[[#This Row],[LY-Date]])</f>
        <v>6</v>
      </c>
      <c r="AF481" s="38">
        <f>$E$2+_xlfn.DAYS(DaybyDay[[#This Row],[Date]],minDate)</f>
        <v>42846</v>
      </c>
      <c r="AG481" s="39" cm="1">
        <f t="array" ref="AG481">IFERROR(INDEX(DaybyDay[],DaybyDay[[#This Row],[FORM_MATCH_HELPER]],8),"")</f>
        <v>27</v>
      </c>
      <c r="AH481" s="39" cm="1">
        <f t="array" ref="AH481">IFERROR(INDEX(DaybyDay[],DaybyDay[[#This Row],[FORM_MATCH_HELPER]],10),"")</f>
        <v>5853.89</v>
      </c>
      <c r="AI481" s="39" cm="1">
        <f t="array" ref="AI481">IFERROR(INDEX(DaybyDay[],DaybyDay[[#This Row],[FORM_MATCH_HELPER]],12),"")</f>
        <v>1589.5</v>
      </c>
      <c r="AJ481" s="32">
        <f>IFERROR(DaybyDay[[#This Row],[Serv-LY-RU]]+DaybyDay[[#This Row],[Ret-LY-RU]],"")</f>
        <v>0</v>
      </c>
      <c r="AK4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1" s="77"/>
      <c r="AM481" s="40" t="str">
        <f>IF(DaybyDay[[#This Row],[Admin Hours]]&gt;0,DaybyDay[[#This Row],[Admin Hours]]*$AM$2+$AM$3,"")</f>
        <v/>
      </c>
      <c r="AN481" s="40">
        <f>SUMIFS(DaybyDay[Est-Admin-Payroll],DaybyDay[Date],"&gt;="&amp;$C$5,DaybyDay[RowYear],"&gt;="&amp;$C$4,DaybyDay[Date],"&lt;="&amp;DaybyDay[[#This Row],[Date]])</f>
        <v>0</v>
      </c>
      <c r="AO481" s="41" t="str">
        <f>IF(AND(DaybyDay[[#This Row],[_Space]],ISNUMBER(DaybyDay[[#This Row],[Admin Hours]])),DaybyDay[[#This Row],[Est-Admin-Payroll]]/(DaybyDay[[#This Row],[Service-Actuals]]+DaybyDay[[#This Row],[Retail-Actuals]]),"")</f>
        <v/>
      </c>
      <c r="AP481" s="41" t="e">
        <f>DaybyDay[[#This Row],[Estimated-Payroll-Rollup]]/DaybyDay[[#This Row],[Simple-Forecast]]</f>
        <v>#DIV/0!</v>
      </c>
      <c r="AQ4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1" s="77"/>
      <c r="AS481" s="40" t="str">
        <f>IF(DaybyDay[[#This Row],[Retail Hours]]&gt;0,DaybyDay[[#This Row],[Retail Hours]]*$AS$2,"")</f>
        <v/>
      </c>
      <c r="AT481" s="40">
        <f>SUMIFS(DaybyDay[Est-Retail-Payroll],DaybyDay[Date],"&gt;="&amp;$C$5,DaybyDay[RowYear],"&gt;="&amp;$C$4,DaybyDay[Date],"&lt;="&amp;DaybyDay[[#This Row],[Date]])</f>
        <v>0</v>
      </c>
      <c r="AU481" s="82" t="str">
        <f>IF(AND(DaybyDay[[#This Row],[_Space]],ISNUMBER(DaybyDay[[#This Row],[Retail Hours]])),DaybyDay[[#This Row],[Est-Retail-Payroll]]/(DaybyDay[[#This Row],[Retail-Actuals]]),"")</f>
        <v/>
      </c>
      <c r="AV481" s="82" t="e">
        <f>DaybyDay[[#This Row],[Est-Retail-PayrollRU]]/DaybyDay[[#This Row],[Simple-Forecast-Retail]]</f>
        <v>#DIV/0!</v>
      </c>
      <c r="AW481" s="8"/>
    </row>
    <row r="482" spans="3:49" hidden="1" x14ac:dyDescent="0.25">
      <c r="C482" s="26" t="str">
        <f>Tools!$C$1</f>
        <v>Example</v>
      </c>
      <c r="D482" s="27" t="s">
        <v>71</v>
      </c>
      <c r="E482" s="28">
        <v>2018</v>
      </c>
      <c r="F482" s="28">
        <f>MATCH(DaybyDay[[#This Row],[RowMonth]],Table3[SummaryMonth],0)</f>
        <v>4</v>
      </c>
      <c r="G482" s="29">
        <f>MATCH(DaybyDay[[#This Row],[LY-Date]],DaybyDay[Date],0)</f>
        <v>112</v>
      </c>
      <c r="H482" s="30">
        <f>WEEKDAY(DaybyDay[[#This Row],[Date]])</f>
        <v>7</v>
      </c>
      <c r="I482" s="31">
        <v>43211</v>
      </c>
      <c r="J482" s="74">
        <v>28</v>
      </c>
      <c r="K482" s="32">
        <f>SUMIFS(BudgetSeasonality[365 Seasonality],BudgetSeasonality[MonthAdjustment],DaybyDay[[#This Row],[Date]])*SUMIFS(Budgets[Service-Budget],Budgets[BudgetMonth],DaybyDay[[#This Row],[RowMonth]],Budgets[BudgetYear],DaybyDay[[#This Row],[RowYear]])</f>
        <v>8740.0314559679446</v>
      </c>
      <c r="L482" s="75">
        <v>6195.6</v>
      </c>
      <c r="M482" s="32">
        <f>INDEX(BudgetSeasonality[365 Seasonality],MATCH(DaybyDay[[#This Row],[Date]],BudgetSeasonality[MonthAdjustment],0))*SUMIFS(Budgets[Retail-Budget],Budgets[BudgetMonth],DaybyDay[[#This Row],[RowMonth]],Budgets[BudgetYear],DaybyDay[[#This Row],[RowYear]])</f>
        <v>2627.6544701491007</v>
      </c>
      <c r="N482" s="75">
        <v>1853.25</v>
      </c>
      <c r="O482" s="33">
        <f>SUMIFS(DaybyDay[Service-Budgets],DaybyDay[Date],"&gt;="&amp;$C$5,DaybyDay[RowYear],"&gt;="&amp;$C$4,DaybyDay[Date],"&lt;="&amp;DaybyDay[[#This Row],[Date]])</f>
        <v>0</v>
      </c>
      <c r="P482" s="33">
        <f>SUMIFS(DaybyDay[Retail-Budgets],DaybyDay[Date],"&gt;="&amp;$C$5,DaybyDay[RowYear],"&gt;="&amp;$C$4,DaybyDay[Date],"&lt;="&amp;DaybyDay[[#This Row],[Date]])</f>
        <v>0</v>
      </c>
      <c r="Q482" s="34">
        <f>SUMIFS(DaybyDay[Service-Actuals],DaybyDay[Date],"&gt;="&amp;$C$5,DaybyDay[RowYear],"&gt;="&amp;$C$4,DaybyDay[Date],"&lt;="&amp;DaybyDay[[#This Row],[Date]])</f>
        <v>0</v>
      </c>
      <c r="R482" s="34">
        <f>SUMIFS(DaybyDay[Retail-Actuals],DaybyDay[Date],"&gt;="&amp;$C$5,DaybyDay[RowYear],"&gt;="&amp;$C$4,DaybyDay[Date],"&lt;="&amp;DaybyDay[[#This Row],[Date]])</f>
        <v>0</v>
      </c>
      <c r="S482" s="35">
        <f>SUMIFS(DaybyDay[Service-LY],DaybyDay[Date],"&gt;="&amp;$C$5,DaybyDay[RowYear],"&gt;="&amp;$C$4,DaybyDay[Date],"&lt;="&amp;DaybyDay[[#This Row],[Date]])</f>
        <v>0</v>
      </c>
      <c r="T482" s="35">
        <f>SUMIFS(DaybyDay[Retail-LY],DaybyDay[Date],"&gt;="&amp;$C$5,DaybyDay[RowYear],"&gt;="&amp;$C$4,DaybyDay[Date],"&lt;="&amp;DaybyDay[[#This Row],[Date]])</f>
        <v>0</v>
      </c>
      <c r="U482" s="32">
        <f>DaybyDay[[#This Row],[Serv-Bud-RU]]+DaybyDay[[#This Row],[Ret-Bud-RU]]</f>
        <v>0</v>
      </c>
      <c r="V482" s="32">
        <f>DaybyDay[[#This Row],[Serv-Act-RU]]+DaybyDay[[#This Row],[Ret-Act-RU]]</f>
        <v>0</v>
      </c>
      <c r="W482" s="36">
        <f>IF(DaybyDay[[#This Row],[_Space]],IFERROR(
((DaybyDay[[#This Row],[Actual-Rollup]]-DaybyDay[[#This Row],[Budget-Rollup]])/DaybyDay[[#This Row],[Budget-Rollup]]),0),"")</f>
        <v>0</v>
      </c>
      <c r="X482" t="b">
        <f>NOT(AND(ISBLANK(DaybyDay[[#This Row],[Appts]]),ISBLANK(DaybyDay[[#This Row],[Service-Actuals]]),ISBLANK(DaybyDay[[#This Row],[Retail-Actuals]])))</f>
        <v>1</v>
      </c>
      <c r="Y482" s="36">
        <f>IF(DaybyDay[[#This Row],[_Space]],IFERROR(
((DaybyDay[[#This Row],[Actual-Rollup]]-DaybyDay[[#This Row],[LY-Rollup]])/DaybyDay[[#This Row],[LY-Rollup]]),0),"")</f>
        <v>0</v>
      </c>
      <c r="Z482"/>
      <c r="AA482" s="37" t="e">
        <f>IF(DaybyDay[[#This Row],[_Space]],DaybyDay[[#This Row],[Ret-Act-RU]]/DaybyDay[[#This Row],[Serv-Act-RU]],"")</f>
        <v>#DIV/0!</v>
      </c>
      <c r="AB482" s="50" t="e">
        <f>IF(DaybyDay[[#This Row],[_Space]],DaybyDay[[#This Row],[RETPEN-Act]]/DaybyDay[[#This Row],[RETPEN-Bud]],"")</f>
        <v>#DIV/0!</v>
      </c>
      <c r="AC482" s="37" t="e">
        <f>IF(DaybyDay[[#This Row],[_Space]],DaybyDay[[#This Row],[Ret-Bud-RU]]/DaybyDay[[#This Row],[Serv-Bud-RU]],"")</f>
        <v>#DIV/0!</v>
      </c>
      <c r="AD482" s="37" t="e">
        <f>IF(DaybyDay[[#This Row],[_Space]],DaybyDay[[#This Row],[Ret-LY-RU]]/DaybyDay[[#This Row],[Serv-LY-RU]],"")</f>
        <v>#DIV/0!</v>
      </c>
      <c r="AE482" s="30">
        <f>WEEKDAY(DaybyDay[[#This Row],[LY-Date]])</f>
        <v>7</v>
      </c>
      <c r="AF482" s="38">
        <f>$E$2+_xlfn.DAYS(DaybyDay[[#This Row],[Date]],minDate)</f>
        <v>42847</v>
      </c>
      <c r="AG482" s="39" cm="1">
        <f t="array" ref="AG482">IFERROR(INDEX(DaybyDay[],DaybyDay[[#This Row],[FORM_MATCH_HELPER]],8),"")</f>
        <v>39</v>
      </c>
      <c r="AH482" s="39" cm="1">
        <f t="array" ref="AH482">IFERROR(INDEX(DaybyDay[],DaybyDay[[#This Row],[FORM_MATCH_HELPER]],10),"")</f>
        <v>6230.65</v>
      </c>
      <c r="AI482" s="39" cm="1">
        <f t="array" ref="AI482">IFERROR(INDEX(DaybyDay[],DaybyDay[[#This Row],[FORM_MATCH_HELPER]],12),"")</f>
        <v>958.75</v>
      </c>
      <c r="AJ482" s="32">
        <f>IFERROR(DaybyDay[[#This Row],[Serv-LY-RU]]+DaybyDay[[#This Row],[Ret-LY-RU]],"")</f>
        <v>0</v>
      </c>
      <c r="AK4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2" s="77"/>
      <c r="AM482" s="40" t="str">
        <f>IF(DaybyDay[[#This Row],[Admin Hours]]&gt;0,DaybyDay[[#This Row],[Admin Hours]]*$AM$2+$AM$3,"")</f>
        <v/>
      </c>
      <c r="AN482" s="40">
        <f>SUMIFS(DaybyDay[Est-Admin-Payroll],DaybyDay[Date],"&gt;="&amp;$C$5,DaybyDay[RowYear],"&gt;="&amp;$C$4,DaybyDay[Date],"&lt;="&amp;DaybyDay[[#This Row],[Date]])</f>
        <v>0</v>
      </c>
      <c r="AO482" s="41" t="str">
        <f>IF(AND(DaybyDay[[#This Row],[_Space]],ISNUMBER(DaybyDay[[#This Row],[Admin Hours]])),DaybyDay[[#This Row],[Est-Admin-Payroll]]/(DaybyDay[[#This Row],[Service-Actuals]]+DaybyDay[[#This Row],[Retail-Actuals]]),"")</f>
        <v/>
      </c>
      <c r="AP482" s="41" t="e">
        <f>DaybyDay[[#This Row],[Estimated-Payroll-Rollup]]/DaybyDay[[#This Row],[Simple-Forecast]]</f>
        <v>#DIV/0!</v>
      </c>
      <c r="AQ4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2" s="77"/>
      <c r="AS482" s="40" t="str">
        <f>IF(DaybyDay[[#This Row],[Retail Hours]]&gt;0,DaybyDay[[#This Row],[Retail Hours]]*$AS$2,"")</f>
        <v/>
      </c>
      <c r="AT482" s="40">
        <f>SUMIFS(DaybyDay[Est-Retail-Payroll],DaybyDay[Date],"&gt;="&amp;$C$5,DaybyDay[RowYear],"&gt;="&amp;$C$4,DaybyDay[Date],"&lt;="&amp;DaybyDay[[#This Row],[Date]])</f>
        <v>0</v>
      </c>
      <c r="AU482" s="82" t="str">
        <f>IF(AND(DaybyDay[[#This Row],[_Space]],ISNUMBER(DaybyDay[[#This Row],[Retail Hours]])),DaybyDay[[#This Row],[Est-Retail-Payroll]]/(DaybyDay[[#This Row],[Retail-Actuals]]),"")</f>
        <v/>
      </c>
      <c r="AV482" s="82" t="e">
        <f>DaybyDay[[#This Row],[Est-Retail-PayrollRU]]/DaybyDay[[#This Row],[Simple-Forecast-Retail]]</f>
        <v>#DIV/0!</v>
      </c>
      <c r="AW482" s="8"/>
    </row>
    <row r="483" spans="3:49" hidden="1" x14ac:dyDescent="0.25">
      <c r="C483" s="26" t="str">
        <f>Tools!$C$1</f>
        <v>Example</v>
      </c>
      <c r="D483" s="27" t="s">
        <v>71</v>
      </c>
      <c r="E483" s="28">
        <v>2018</v>
      </c>
      <c r="F483" s="28">
        <f>MATCH(DaybyDay[[#This Row],[RowMonth]],Table3[SummaryMonth],0)</f>
        <v>4</v>
      </c>
      <c r="G483" s="29">
        <f>MATCH(DaybyDay[[#This Row],[LY-Date]],DaybyDay[Date],0)</f>
        <v>113</v>
      </c>
      <c r="H483" s="30">
        <f>WEEKDAY(DaybyDay[[#This Row],[Date]])</f>
        <v>1</v>
      </c>
      <c r="I483" s="31">
        <v>43212</v>
      </c>
      <c r="J483" s="74">
        <v>18</v>
      </c>
      <c r="K483" s="32">
        <f>SUMIFS(BudgetSeasonality[365 Seasonality],BudgetSeasonality[MonthAdjustment],DaybyDay[[#This Row],[Date]])*SUMIFS(Budgets[Service-Budget],Budgets[BudgetMonth],DaybyDay[[#This Row],[RowMonth]],Budgets[BudgetYear],DaybyDay[[#This Row],[RowYear]])</f>
        <v>6471.6201494229035</v>
      </c>
      <c r="L483" s="75">
        <v>4016.9</v>
      </c>
      <c r="M483" s="32">
        <f>INDEX(BudgetSeasonality[365 Seasonality],MATCH(DaybyDay[[#This Row],[Date]],BudgetSeasonality[MonthAdjustment],0))*SUMIFS(Budgets[Retail-Budget],Budgets[BudgetMonth],DaybyDay[[#This Row],[RowMonth]],Budgets[BudgetYear],DaybyDay[[#This Row],[RowYear]])</f>
        <v>1945.665951022002</v>
      </c>
      <c r="N483" s="75">
        <v>395.3</v>
      </c>
      <c r="O483" s="33">
        <f>SUMIFS(DaybyDay[Service-Budgets],DaybyDay[Date],"&gt;="&amp;$C$5,DaybyDay[RowYear],"&gt;="&amp;$C$4,DaybyDay[Date],"&lt;="&amp;DaybyDay[[#This Row],[Date]])</f>
        <v>0</v>
      </c>
      <c r="P483" s="33">
        <f>SUMIFS(DaybyDay[Retail-Budgets],DaybyDay[Date],"&gt;="&amp;$C$5,DaybyDay[RowYear],"&gt;="&amp;$C$4,DaybyDay[Date],"&lt;="&amp;DaybyDay[[#This Row],[Date]])</f>
        <v>0</v>
      </c>
      <c r="Q483" s="34">
        <f>SUMIFS(DaybyDay[Service-Actuals],DaybyDay[Date],"&gt;="&amp;$C$5,DaybyDay[RowYear],"&gt;="&amp;$C$4,DaybyDay[Date],"&lt;="&amp;DaybyDay[[#This Row],[Date]])</f>
        <v>0</v>
      </c>
      <c r="R483" s="34">
        <f>SUMIFS(DaybyDay[Retail-Actuals],DaybyDay[Date],"&gt;="&amp;$C$5,DaybyDay[RowYear],"&gt;="&amp;$C$4,DaybyDay[Date],"&lt;="&amp;DaybyDay[[#This Row],[Date]])</f>
        <v>0</v>
      </c>
      <c r="S483" s="35">
        <f>SUMIFS(DaybyDay[Service-LY],DaybyDay[Date],"&gt;="&amp;$C$5,DaybyDay[RowYear],"&gt;="&amp;$C$4,DaybyDay[Date],"&lt;="&amp;DaybyDay[[#This Row],[Date]])</f>
        <v>0</v>
      </c>
      <c r="T483" s="35">
        <f>SUMIFS(DaybyDay[Retail-LY],DaybyDay[Date],"&gt;="&amp;$C$5,DaybyDay[RowYear],"&gt;="&amp;$C$4,DaybyDay[Date],"&lt;="&amp;DaybyDay[[#This Row],[Date]])</f>
        <v>0</v>
      </c>
      <c r="U483" s="32">
        <f>DaybyDay[[#This Row],[Serv-Bud-RU]]+DaybyDay[[#This Row],[Ret-Bud-RU]]</f>
        <v>0</v>
      </c>
      <c r="V483" s="32">
        <f>DaybyDay[[#This Row],[Serv-Act-RU]]+DaybyDay[[#This Row],[Ret-Act-RU]]</f>
        <v>0</v>
      </c>
      <c r="W483" s="36">
        <f>IF(DaybyDay[[#This Row],[_Space]],IFERROR(
((DaybyDay[[#This Row],[Actual-Rollup]]-DaybyDay[[#This Row],[Budget-Rollup]])/DaybyDay[[#This Row],[Budget-Rollup]]),0),"")</f>
        <v>0</v>
      </c>
      <c r="X483" t="b">
        <f>NOT(AND(ISBLANK(DaybyDay[[#This Row],[Appts]]),ISBLANK(DaybyDay[[#This Row],[Service-Actuals]]),ISBLANK(DaybyDay[[#This Row],[Retail-Actuals]])))</f>
        <v>1</v>
      </c>
      <c r="Y483" s="36">
        <f>IF(DaybyDay[[#This Row],[_Space]],IFERROR(
((DaybyDay[[#This Row],[Actual-Rollup]]-DaybyDay[[#This Row],[LY-Rollup]])/DaybyDay[[#This Row],[LY-Rollup]]),0),"")</f>
        <v>0</v>
      </c>
      <c r="Z483"/>
      <c r="AA483" s="37" t="e">
        <f>IF(DaybyDay[[#This Row],[_Space]],DaybyDay[[#This Row],[Ret-Act-RU]]/DaybyDay[[#This Row],[Serv-Act-RU]],"")</f>
        <v>#DIV/0!</v>
      </c>
      <c r="AB483" s="50" t="e">
        <f>IF(DaybyDay[[#This Row],[_Space]],DaybyDay[[#This Row],[RETPEN-Act]]/DaybyDay[[#This Row],[RETPEN-Bud]],"")</f>
        <v>#DIV/0!</v>
      </c>
      <c r="AC483" s="37" t="e">
        <f>IF(DaybyDay[[#This Row],[_Space]],DaybyDay[[#This Row],[Ret-Bud-RU]]/DaybyDay[[#This Row],[Serv-Bud-RU]],"")</f>
        <v>#DIV/0!</v>
      </c>
      <c r="AD483" s="37" t="e">
        <f>IF(DaybyDay[[#This Row],[_Space]],DaybyDay[[#This Row],[Ret-LY-RU]]/DaybyDay[[#This Row],[Serv-LY-RU]],"")</f>
        <v>#DIV/0!</v>
      </c>
      <c r="AE483" s="30">
        <f>WEEKDAY(DaybyDay[[#This Row],[LY-Date]])</f>
        <v>1</v>
      </c>
      <c r="AF483" s="38">
        <f>$E$2+_xlfn.DAYS(DaybyDay[[#This Row],[Date]],minDate)</f>
        <v>42848</v>
      </c>
      <c r="AG483" s="39" cm="1">
        <f t="array" ref="AG483">IFERROR(INDEX(DaybyDay[],DaybyDay[[#This Row],[FORM_MATCH_HELPER]],8),"")</f>
        <v>42</v>
      </c>
      <c r="AH483" s="39" cm="1">
        <f t="array" ref="AH483">IFERROR(INDEX(DaybyDay[],DaybyDay[[#This Row],[FORM_MATCH_HELPER]],10),"")</f>
        <v>6696.35</v>
      </c>
      <c r="AI483" s="39" cm="1">
        <f t="array" ref="AI483">IFERROR(INDEX(DaybyDay[],DaybyDay[[#This Row],[FORM_MATCH_HELPER]],12),"")</f>
        <v>1927.5</v>
      </c>
      <c r="AJ483" s="32">
        <f>IFERROR(DaybyDay[[#This Row],[Serv-LY-RU]]+DaybyDay[[#This Row],[Ret-LY-RU]],"")</f>
        <v>0</v>
      </c>
      <c r="AK4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3" s="77"/>
      <c r="AM483" s="40" t="str">
        <f>IF(DaybyDay[[#This Row],[Admin Hours]]&gt;0,DaybyDay[[#This Row],[Admin Hours]]*$AM$2+$AM$3,"")</f>
        <v/>
      </c>
      <c r="AN483" s="40">
        <f>SUMIFS(DaybyDay[Est-Admin-Payroll],DaybyDay[Date],"&gt;="&amp;$C$5,DaybyDay[RowYear],"&gt;="&amp;$C$4,DaybyDay[Date],"&lt;="&amp;DaybyDay[[#This Row],[Date]])</f>
        <v>0</v>
      </c>
      <c r="AO483" s="41" t="str">
        <f>IF(AND(DaybyDay[[#This Row],[_Space]],ISNUMBER(DaybyDay[[#This Row],[Admin Hours]])),DaybyDay[[#This Row],[Est-Admin-Payroll]]/(DaybyDay[[#This Row],[Service-Actuals]]+DaybyDay[[#This Row],[Retail-Actuals]]),"")</f>
        <v/>
      </c>
      <c r="AP483" s="41" t="e">
        <f>DaybyDay[[#This Row],[Estimated-Payroll-Rollup]]/DaybyDay[[#This Row],[Simple-Forecast]]</f>
        <v>#DIV/0!</v>
      </c>
      <c r="AQ4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3" s="77"/>
      <c r="AS483" s="40" t="str">
        <f>IF(DaybyDay[[#This Row],[Retail Hours]]&gt;0,DaybyDay[[#This Row],[Retail Hours]]*$AS$2,"")</f>
        <v/>
      </c>
      <c r="AT483" s="40">
        <f>SUMIFS(DaybyDay[Est-Retail-Payroll],DaybyDay[Date],"&gt;="&amp;$C$5,DaybyDay[RowYear],"&gt;="&amp;$C$4,DaybyDay[Date],"&lt;="&amp;DaybyDay[[#This Row],[Date]])</f>
        <v>0</v>
      </c>
      <c r="AU483" s="82" t="str">
        <f>IF(AND(DaybyDay[[#This Row],[_Space]],ISNUMBER(DaybyDay[[#This Row],[Retail Hours]])),DaybyDay[[#This Row],[Est-Retail-Payroll]]/(DaybyDay[[#This Row],[Retail-Actuals]]),"")</f>
        <v/>
      </c>
      <c r="AV483" s="82" t="e">
        <f>DaybyDay[[#This Row],[Est-Retail-PayrollRU]]/DaybyDay[[#This Row],[Simple-Forecast-Retail]]</f>
        <v>#DIV/0!</v>
      </c>
      <c r="AW483" s="8"/>
    </row>
    <row r="484" spans="3:49" hidden="1" x14ac:dyDescent="0.25">
      <c r="C484" s="26" t="str">
        <f>Tools!$C$1</f>
        <v>Example</v>
      </c>
      <c r="D484" s="27" t="s">
        <v>71</v>
      </c>
      <c r="E484" s="28">
        <v>2018</v>
      </c>
      <c r="F484" s="28">
        <f>MATCH(DaybyDay[[#This Row],[RowMonth]],Table3[SummaryMonth],0)</f>
        <v>4</v>
      </c>
      <c r="G484" s="29">
        <f>MATCH(DaybyDay[[#This Row],[LY-Date]],DaybyDay[Date],0)</f>
        <v>114</v>
      </c>
      <c r="H484" s="30">
        <f>WEEKDAY(DaybyDay[[#This Row],[Date]])</f>
        <v>2</v>
      </c>
      <c r="I484" s="31">
        <v>43213</v>
      </c>
      <c r="J484" s="74">
        <v>6</v>
      </c>
      <c r="K484" s="32">
        <f>SUMIFS(BudgetSeasonality[365 Seasonality],BudgetSeasonality[MonthAdjustment],DaybyDay[[#This Row],[Date]])*SUMIFS(Budgets[Service-Budget],Budgets[BudgetMonth],DaybyDay[[#This Row],[RowMonth]],Budgets[BudgetYear],DaybyDay[[#This Row],[RowYear]])</f>
        <v>3202.1044190300618</v>
      </c>
      <c r="L484" s="75">
        <v>1612</v>
      </c>
      <c r="M484" s="32">
        <f>INDEX(BudgetSeasonality[365 Seasonality],MATCH(DaybyDay[[#This Row],[Date]],BudgetSeasonality[MonthAdjustment],0))*SUMIFS(Budgets[Retail-Budget],Budgets[BudgetMonth],DaybyDay[[#This Row],[RowMonth]],Budgets[BudgetYear],DaybyDay[[#This Row],[RowYear]])</f>
        <v>962.69950891345979</v>
      </c>
      <c r="N484" s="75">
        <v>232</v>
      </c>
      <c r="O484" s="33">
        <f>SUMIFS(DaybyDay[Service-Budgets],DaybyDay[Date],"&gt;="&amp;$C$5,DaybyDay[RowYear],"&gt;="&amp;$C$4,DaybyDay[Date],"&lt;="&amp;DaybyDay[[#This Row],[Date]])</f>
        <v>0</v>
      </c>
      <c r="P484" s="33">
        <f>SUMIFS(DaybyDay[Retail-Budgets],DaybyDay[Date],"&gt;="&amp;$C$5,DaybyDay[RowYear],"&gt;="&amp;$C$4,DaybyDay[Date],"&lt;="&amp;DaybyDay[[#This Row],[Date]])</f>
        <v>0</v>
      </c>
      <c r="Q484" s="34">
        <f>SUMIFS(DaybyDay[Service-Actuals],DaybyDay[Date],"&gt;="&amp;$C$5,DaybyDay[RowYear],"&gt;="&amp;$C$4,DaybyDay[Date],"&lt;="&amp;DaybyDay[[#This Row],[Date]])</f>
        <v>0</v>
      </c>
      <c r="R484" s="34">
        <f>SUMIFS(DaybyDay[Retail-Actuals],DaybyDay[Date],"&gt;="&amp;$C$5,DaybyDay[RowYear],"&gt;="&amp;$C$4,DaybyDay[Date],"&lt;="&amp;DaybyDay[[#This Row],[Date]])</f>
        <v>0</v>
      </c>
      <c r="S484" s="35">
        <f>SUMIFS(DaybyDay[Service-LY],DaybyDay[Date],"&gt;="&amp;$C$5,DaybyDay[RowYear],"&gt;="&amp;$C$4,DaybyDay[Date],"&lt;="&amp;DaybyDay[[#This Row],[Date]])</f>
        <v>0</v>
      </c>
      <c r="T484" s="35">
        <f>SUMIFS(DaybyDay[Retail-LY],DaybyDay[Date],"&gt;="&amp;$C$5,DaybyDay[RowYear],"&gt;="&amp;$C$4,DaybyDay[Date],"&lt;="&amp;DaybyDay[[#This Row],[Date]])</f>
        <v>0</v>
      </c>
      <c r="U484" s="32">
        <f>DaybyDay[[#This Row],[Serv-Bud-RU]]+DaybyDay[[#This Row],[Ret-Bud-RU]]</f>
        <v>0</v>
      </c>
      <c r="V484" s="32">
        <f>DaybyDay[[#This Row],[Serv-Act-RU]]+DaybyDay[[#This Row],[Ret-Act-RU]]</f>
        <v>0</v>
      </c>
      <c r="W484" s="36">
        <f>IF(DaybyDay[[#This Row],[_Space]],IFERROR(
((DaybyDay[[#This Row],[Actual-Rollup]]-DaybyDay[[#This Row],[Budget-Rollup]])/DaybyDay[[#This Row],[Budget-Rollup]]),0),"")</f>
        <v>0</v>
      </c>
      <c r="X484" t="b">
        <f>NOT(AND(ISBLANK(DaybyDay[[#This Row],[Appts]]),ISBLANK(DaybyDay[[#This Row],[Service-Actuals]]),ISBLANK(DaybyDay[[#This Row],[Retail-Actuals]])))</f>
        <v>1</v>
      </c>
      <c r="Y484" s="36">
        <f>IF(DaybyDay[[#This Row],[_Space]],IFERROR(
((DaybyDay[[#This Row],[Actual-Rollup]]-DaybyDay[[#This Row],[LY-Rollup]])/DaybyDay[[#This Row],[LY-Rollup]]),0),"")</f>
        <v>0</v>
      </c>
      <c r="Z484"/>
      <c r="AA484" s="37" t="e">
        <f>IF(DaybyDay[[#This Row],[_Space]],DaybyDay[[#This Row],[Ret-Act-RU]]/DaybyDay[[#This Row],[Serv-Act-RU]],"")</f>
        <v>#DIV/0!</v>
      </c>
      <c r="AB484" s="50" t="e">
        <f>IF(DaybyDay[[#This Row],[_Space]],DaybyDay[[#This Row],[RETPEN-Act]]/DaybyDay[[#This Row],[RETPEN-Bud]],"")</f>
        <v>#DIV/0!</v>
      </c>
      <c r="AC484" s="37" t="e">
        <f>IF(DaybyDay[[#This Row],[_Space]],DaybyDay[[#This Row],[Ret-Bud-RU]]/DaybyDay[[#This Row],[Serv-Bud-RU]],"")</f>
        <v>#DIV/0!</v>
      </c>
      <c r="AD484" s="37" t="e">
        <f>IF(DaybyDay[[#This Row],[_Space]],DaybyDay[[#This Row],[Ret-LY-RU]]/DaybyDay[[#This Row],[Serv-LY-RU]],"")</f>
        <v>#DIV/0!</v>
      </c>
      <c r="AE484" s="30">
        <f>WEEKDAY(DaybyDay[[#This Row],[LY-Date]])</f>
        <v>2</v>
      </c>
      <c r="AF484" s="38">
        <f>$E$2+_xlfn.DAYS(DaybyDay[[#This Row],[Date]],minDate)</f>
        <v>42849</v>
      </c>
      <c r="AG484" s="39" cm="1">
        <f t="array" ref="AG484">IFERROR(INDEX(DaybyDay[],DaybyDay[[#This Row],[FORM_MATCH_HELPER]],8),"")</f>
        <v>15</v>
      </c>
      <c r="AH484" s="39" cm="1">
        <f t="array" ref="AH484">IFERROR(INDEX(DaybyDay[],DaybyDay[[#This Row],[FORM_MATCH_HELPER]],10),"")</f>
        <v>2540.89</v>
      </c>
      <c r="AI484" s="39" cm="1">
        <f t="array" ref="AI484">IFERROR(INDEX(DaybyDay[],DaybyDay[[#This Row],[FORM_MATCH_HELPER]],12),"")</f>
        <v>65</v>
      </c>
      <c r="AJ484" s="32">
        <f>IFERROR(DaybyDay[[#This Row],[Serv-LY-RU]]+DaybyDay[[#This Row],[Ret-LY-RU]],"")</f>
        <v>0</v>
      </c>
      <c r="AK4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4" s="77"/>
      <c r="AM484" s="40" t="str">
        <f>IF(DaybyDay[[#This Row],[Admin Hours]]&gt;0,DaybyDay[[#This Row],[Admin Hours]]*$AM$2+$AM$3,"")</f>
        <v/>
      </c>
      <c r="AN484" s="40">
        <f>SUMIFS(DaybyDay[Est-Admin-Payroll],DaybyDay[Date],"&gt;="&amp;$C$5,DaybyDay[RowYear],"&gt;="&amp;$C$4,DaybyDay[Date],"&lt;="&amp;DaybyDay[[#This Row],[Date]])</f>
        <v>0</v>
      </c>
      <c r="AO484" s="41" t="str">
        <f>IF(AND(DaybyDay[[#This Row],[_Space]],ISNUMBER(DaybyDay[[#This Row],[Admin Hours]])),DaybyDay[[#This Row],[Est-Admin-Payroll]]/(DaybyDay[[#This Row],[Service-Actuals]]+DaybyDay[[#This Row],[Retail-Actuals]]),"")</f>
        <v/>
      </c>
      <c r="AP484" s="41" t="e">
        <f>DaybyDay[[#This Row],[Estimated-Payroll-Rollup]]/DaybyDay[[#This Row],[Simple-Forecast]]</f>
        <v>#DIV/0!</v>
      </c>
      <c r="AQ4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4" s="77"/>
      <c r="AS484" s="40" t="str">
        <f>IF(DaybyDay[[#This Row],[Retail Hours]]&gt;0,DaybyDay[[#This Row],[Retail Hours]]*$AS$2,"")</f>
        <v/>
      </c>
      <c r="AT484" s="40">
        <f>SUMIFS(DaybyDay[Est-Retail-Payroll],DaybyDay[Date],"&gt;="&amp;$C$5,DaybyDay[RowYear],"&gt;="&amp;$C$4,DaybyDay[Date],"&lt;="&amp;DaybyDay[[#This Row],[Date]])</f>
        <v>0</v>
      </c>
      <c r="AU484" s="82" t="str">
        <f>IF(AND(DaybyDay[[#This Row],[_Space]],ISNUMBER(DaybyDay[[#This Row],[Retail Hours]])),DaybyDay[[#This Row],[Est-Retail-Payroll]]/(DaybyDay[[#This Row],[Retail-Actuals]]),"")</f>
        <v/>
      </c>
      <c r="AV484" s="82" t="e">
        <f>DaybyDay[[#This Row],[Est-Retail-PayrollRU]]/DaybyDay[[#This Row],[Simple-Forecast-Retail]]</f>
        <v>#DIV/0!</v>
      </c>
      <c r="AW484" s="8"/>
    </row>
    <row r="485" spans="3:49" hidden="1" x14ac:dyDescent="0.25">
      <c r="C485" s="26" t="str">
        <f>Tools!$C$1</f>
        <v>Example</v>
      </c>
      <c r="D485" s="27" t="s">
        <v>71</v>
      </c>
      <c r="E485" s="28">
        <v>2018</v>
      </c>
      <c r="F485" s="28">
        <f>MATCH(DaybyDay[[#This Row],[RowMonth]],Table3[SummaryMonth],0)</f>
        <v>4</v>
      </c>
      <c r="G485" s="29">
        <f>MATCH(DaybyDay[[#This Row],[LY-Date]],DaybyDay[Date],0)</f>
        <v>115</v>
      </c>
      <c r="H485" s="30">
        <f>WEEKDAY(DaybyDay[[#This Row],[Date]])</f>
        <v>3</v>
      </c>
      <c r="I485" s="31">
        <v>43214</v>
      </c>
      <c r="J485" s="74">
        <v>17</v>
      </c>
      <c r="K485" s="32">
        <f>SUMIFS(BudgetSeasonality[365 Seasonality],BudgetSeasonality[MonthAdjustment],DaybyDay[[#This Row],[Date]])*SUMIFS(Budgets[Service-Budget],Budgets[BudgetMonth],DaybyDay[[#This Row],[RowMonth]],Budgets[BudgetYear],DaybyDay[[#This Row],[RowYear]])</f>
        <v>3380.8552260668221</v>
      </c>
      <c r="L485" s="75">
        <v>3509</v>
      </c>
      <c r="M485" s="32">
        <f>INDEX(BudgetSeasonality[365 Seasonality],MATCH(DaybyDay[[#This Row],[Date]],BudgetSeasonality[MonthAdjustment],0))*SUMIFS(Budgets[Retail-Budget],Budgets[BudgetMonth],DaybyDay[[#This Row],[RowMonth]],Budgets[BudgetYear],DaybyDay[[#This Row],[RowYear]])</f>
        <v>1016.4402030424474</v>
      </c>
      <c r="N485" s="75">
        <v>51.75</v>
      </c>
      <c r="O485" s="33">
        <f>SUMIFS(DaybyDay[Service-Budgets],DaybyDay[Date],"&gt;="&amp;$C$5,DaybyDay[RowYear],"&gt;="&amp;$C$4,DaybyDay[Date],"&lt;="&amp;DaybyDay[[#This Row],[Date]])</f>
        <v>0</v>
      </c>
      <c r="P485" s="33">
        <f>SUMIFS(DaybyDay[Retail-Budgets],DaybyDay[Date],"&gt;="&amp;$C$5,DaybyDay[RowYear],"&gt;="&amp;$C$4,DaybyDay[Date],"&lt;="&amp;DaybyDay[[#This Row],[Date]])</f>
        <v>0</v>
      </c>
      <c r="Q485" s="34">
        <f>SUMIFS(DaybyDay[Service-Actuals],DaybyDay[Date],"&gt;="&amp;$C$5,DaybyDay[RowYear],"&gt;="&amp;$C$4,DaybyDay[Date],"&lt;="&amp;DaybyDay[[#This Row],[Date]])</f>
        <v>0</v>
      </c>
      <c r="R485" s="34">
        <f>SUMIFS(DaybyDay[Retail-Actuals],DaybyDay[Date],"&gt;="&amp;$C$5,DaybyDay[RowYear],"&gt;="&amp;$C$4,DaybyDay[Date],"&lt;="&amp;DaybyDay[[#This Row],[Date]])</f>
        <v>0</v>
      </c>
      <c r="S485" s="35">
        <f>SUMIFS(DaybyDay[Service-LY],DaybyDay[Date],"&gt;="&amp;$C$5,DaybyDay[RowYear],"&gt;="&amp;$C$4,DaybyDay[Date],"&lt;="&amp;DaybyDay[[#This Row],[Date]])</f>
        <v>0</v>
      </c>
      <c r="T485" s="35">
        <f>SUMIFS(DaybyDay[Retail-LY],DaybyDay[Date],"&gt;="&amp;$C$5,DaybyDay[RowYear],"&gt;="&amp;$C$4,DaybyDay[Date],"&lt;="&amp;DaybyDay[[#This Row],[Date]])</f>
        <v>0</v>
      </c>
      <c r="U485" s="32">
        <f>DaybyDay[[#This Row],[Serv-Bud-RU]]+DaybyDay[[#This Row],[Ret-Bud-RU]]</f>
        <v>0</v>
      </c>
      <c r="V485" s="32">
        <f>DaybyDay[[#This Row],[Serv-Act-RU]]+DaybyDay[[#This Row],[Ret-Act-RU]]</f>
        <v>0</v>
      </c>
      <c r="W485" s="36">
        <f>IF(DaybyDay[[#This Row],[_Space]],IFERROR(
((DaybyDay[[#This Row],[Actual-Rollup]]-DaybyDay[[#This Row],[Budget-Rollup]])/DaybyDay[[#This Row],[Budget-Rollup]]),0),"")</f>
        <v>0</v>
      </c>
      <c r="X485" t="b">
        <f>NOT(AND(ISBLANK(DaybyDay[[#This Row],[Appts]]),ISBLANK(DaybyDay[[#This Row],[Service-Actuals]]),ISBLANK(DaybyDay[[#This Row],[Retail-Actuals]])))</f>
        <v>1</v>
      </c>
      <c r="Y485" s="36">
        <f>IF(DaybyDay[[#This Row],[_Space]],IFERROR(
((DaybyDay[[#This Row],[Actual-Rollup]]-DaybyDay[[#This Row],[LY-Rollup]])/DaybyDay[[#This Row],[LY-Rollup]]),0),"")</f>
        <v>0</v>
      </c>
      <c r="Z485"/>
      <c r="AA485" s="37" t="e">
        <f>IF(DaybyDay[[#This Row],[_Space]],DaybyDay[[#This Row],[Ret-Act-RU]]/DaybyDay[[#This Row],[Serv-Act-RU]],"")</f>
        <v>#DIV/0!</v>
      </c>
      <c r="AB485" s="50" t="e">
        <f>IF(DaybyDay[[#This Row],[_Space]],DaybyDay[[#This Row],[RETPEN-Act]]/DaybyDay[[#This Row],[RETPEN-Bud]],"")</f>
        <v>#DIV/0!</v>
      </c>
      <c r="AC485" s="37" t="e">
        <f>IF(DaybyDay[[#This Row],[_Space]],DaybyDay[[#This Row],[Ret-Bud-RU]]/DaybyDay[[#This Row],[Serv-Bud-RU]],"")</f>
        <v>#DIV/0!</v>
      </c>
      <c r="AD485" s="37" t="e">
        <f>IF(DaybyDay[[#This Row],[_Space]],DaybyDay[[#This Row],[Ret-LY-RU]]/DaybyDay[[#This Row],[Serv-LY-RU]],"")</f>
        <v>#DIV/0!</v>
      </c>
      <c r="AE485" s="30">
        <f>WEEKDAY(DaybyDay[[#This Row],[LY-Date]])</f>
        <v>3</v>
      </c>
      <c r="AF485" s="38">
        <f>$E$2+_xlfn.DAYS(DaybyDay[[#This Row],[Date]],minDate)</f>
        <v>42850</v>
      </c>
      <c r="AG485" s="39" cm="1">
        <f t="array" ref="AG485">IFERROR(INDEX(DaybyDay[],DaybyDay[[#This Row],[FORM_MATCH_HELPER]],8),"")</f>
        <v>15</v>
      </c>
      <c r="AH485" s="39" cm="1">
        <f t="array" ref="AH485">IFERROR(INDEX(DaybyDay[],DaybyDay[[#This Row],[FORM_MATCH_HELPER]],10),"")</f>
        <v>2789.1</v>
      </c>
      <c r="AI485" s="39" cm="1">
        <f t="array" ref="AI485">IFERROR(INDEX(DaybyDay[],DaybyDay[[#This Row],[FORM_MATCH_HELPER]],12),"")</f>
        <v>257</v>
      </c>
      <c r="AJ485" s="32">
        <f>IFERROR(DaybyDay[[#This Row],[Serv-LY-RU]]+DaybyDay[[#This Row],[Ret-LY-RU]],"")</f>
        <v>0</v>
      </c>
      <c r="AK4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5" s="77"/>
      <c r="AM485" s="40" t="str">
        <f>IF(DaybyDay[[#This Row],[Admin Hours]]&gt;0,DaybyDay[[#This Row],[Admin Hours]]*$AM$2+$AM$3,"")</f>
        <v/>
      </c>
      <c r="AN485" s="40">
        <f>SUMIFS(DaybyDay[Est-Admin-Payroll],DaybyDay[Date],"&gt;="&amp;$C$5,DaybyDay[RowYear],"&gt;="&amp;$C$4,DaybyDay[Date],"&lt;="&amp;DaybyDay[[#This Row],[Date]])</f>
        <v>0</v>
      </c>
      <c r="AO485" s="41" t="str">
        <f>IF(AND(DaybyDay[[#This Row],[_Space]],ISNUMBER(DaybyDay[[#This Row],[Admin Hours]])),DaybyDay[[#This Row],[Est-Admin-Payroll]]/(DaybyDay[[#This Row],[Service-Actuals]]+DaybyDay[[#This Row],[Retail-Actuals]]),"")</f>
        <v/>
      </c>
      <c r="AP485" s="41" t="e">
        <f>DaybyDay[[#This Row],[Estimated-Payroll-Rollup]]/DaybyDay[[#This Row],[Simple-Forecast]]</f>
        <v>#DIV/0!</v>
      </c>
      <c r="AQ4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5" s="77"/>
      <c r="AS485" s="40" t="str">
        <f>IF(DaybyDay[[#This Row],[Retail Hours]]&gt;0,DaybyDay[[#This Row],[Retail Hours]]*$AS$2,"")</f>
        <v/>
      </c>
      <c r="AT485" s="40">
        <f>SUMIFS(DaybyDay[Est-Retail-Payroll],DaybyDay[Date],"&gt;="&amp;$C$5,DaybyDay[RowYear],"&gt;="&amp;$C$4,DaybyDay[Date],"&lt;="&amp;DaybyDay[[#This Row],[Date]])</f>
        <v>0</v>
      </c>
      <c r="AU485" s="82" t="str">
        <f>IF(AND(DaybyDay[[#This Row],[_Space]],ISNUMBER(DaybyDay[[#This Row],[Retail Hours]])),DaybyDay[[#This Row],[Est-Retail-Payroll]]/(DaybyDay[[#This Row],[Retail-Actuals]]),"")</f>
        <v/>
      </c>
      <c r="AV485" s="82" t="e">
        <f>DaybyDay[[#This Row],[Est-Retail-PayrollRU]]/DaybyDay[[#This Row],[Simple-Forecast-Retail]]</f>
        <v>#DIV/0!</v>
      </c>
      <c r="AW485" s="8"/>
    </row>
    <row r="486" spans="3:49" hidden="1" x14ac:dyDescent="0.25">
      <c r="C486" s="26" t="str">
        <f>Tools!$C$1</f>
        <v>Example</v>
      </c>
      <c r="D486" s="27" t="s">
        <v>71</v>
      </c>
      <c r="E486" s="28">
        <v>2018</v>
      </c>
      <c r="F486" s="28">
        <f>MATCH(DaybyDay[[#This Row],[RowMonth]],Table3[SummaryMonth],0)</f>
        <v>4</v>
      </c>
      <c r="G486" s="29">
        <f>MATCH(DaybyDay[[#This Row],[LY-Date]],DaybyDay[Date],0)</f>
        <v>116</v>
      </c>
      <c r="H486" s="30">
        <f>WEEKDAY(DaybyDay[[#This Row],[Date]])</f>
        <v>4</v>
      </c>
      <c r="I486" s="31">
        <v>43215</v>
      </c>
      <c r="J486" s="74">
        <v>11</v>
      </c>
      <c r="K486" s="32">
        <f>SUMIFS(BudgetSeasonality[365 Seasonality],BudgetSeasonality[MonthAdjustment],DaybyDay[[#This Row],[Date]])*SUMIFS(Budgets[Service-Budget],Budgets[BudgetMonth],DaybyDay[[#This Row],[RowMonth]],Budgets[BudgetYear],DaybyDay[[#This Row],[RowYear]])</f>
        <v>4180.4776342708255</v>
      </c>
      <c r="L486" s="75">
        <v>2335.6</v>
      </c>
      <c r="M486" s="32">
        <f>INDEX(BudgetSeasonality[365 Seasonality],MATCH(DaybyDay[[#This Row],[Date]],BudgetSeasonality[MonthAdjustment],0))*SUMIFS(Budgets[Retail-Budget],Budgets[BudgetMonth],DaybyDay[[#This Row],[RowMonth]],Budgets[BudgetYear],DaybyDay[[#This Row],[RowYear]])</f>
        <v>1256.8433876229701</v>
      </c>
      <c r="N486" s="75">
        <v>1803.25</v>
      </c>
      <c r="O486" s="33">
        <f>SUMIFS(DaybyDay[Service-Budgets],DaybyDay[Date],"&gt;="&amp;$C$5,DaybyDay[RowYear],"&gt;="&amp;$C$4,DaybyDay[Date],"&lt;="&amp;DaybyDay[[#This Row],[Date]])</f>
        <v>0</v>
      </c>
      <c r="P486" s="33">
        <f>SUMIFS(DaybyDay[Retail-Budgets],DaybyDay[Date],"&gt;="&amp;$C$5,DaybyDay[RowYear],"&gt;="&amp;$C$4,DaybyDay[Date],"&lt;="&amp;DaybyDay[[#This Row],[Date]])</f>
        <v>0</v>
      </c>
      <c r="Q486" s="34">
        <f>SUMIFS(DaybyDay[Service-Actuals],DaybyDay[Date],"&gt;="&amp;$C$5,DaybyDay[RowYear],"&gt;="&amp;$C$4,DaybyDay[Date],"&lt;="&amp;DaybyDay[[#This Row],[Date]])</f>
        <v>0</v>
      </c>
      <c r="R486" s="34">
        <f>SUMIFS(DaybyDay[Retail-Actuals],DaybyDay[Date],"&gt;="&amp;$C$5,DaybyDay[RowYear],"&gt;="&amp;$C$4,DaybyDay[Date],"&lt;="&amp;DaybyDay[[#This Row],[Date]])</f>
        <v>0</v>
      </c>
      <c r="S486" s="35">
        <f>SUMIFS(DaybyDay[Service-LY],DaybyDay[Date],"&gt;="&amp;$C$5,DaybyDay[RowYear],"&gt;="&amp;$C$4,DaybyDay[Date],"&lt;="&amp;DaybyDay[[#This Row],[Date]])</f>
        <v>0</v>
      </c>
      <c r="T486" s="35">
        <f>SUMIFS(DaybyDay[Retail-LY],DaybyDay[Date],"&gt;="&amp;$C$5,DaybyDay[RowYear],"&gt;="&amp;$C$4,DaybyDay[Date],"&lt;="&amp;DaybyDay[[#This Row],[Date]])</f>
        <v>0</v>
      </c>
      <c r="U486" s="32">
        <f>DaybyDay[[#This Row],[Serv-Bud-RU]]+DaybyDay[[#This Row],[Ret-Bud-RU]]</f>
        <v>0</v>
      </c>
      <c r="V486" s="32">
        <f>DaybyDay[[#This Row],[Serv-Act-RU]]+DaybyDay[[#This Row],[Ret-Act-RU]]</f>
        <v>0</v>
      </c>
      <c r="W486" s="36">
        <f>IF(DaybyDay[[#This Row],[_Space]],IFERROR(
((DaybyDay[[#This Row],[Actual-Rollup]]-DaybyDay[[#This Row],[Budget-Rollup]])/DaybyDay[[#This Row],[Budget-Rollup]]),0),"")</f>
        <v>0</v>
      </c>
      <c r="X486" t="b">
        <f>NOT(AND(ISBLANK(DaybyDay[[#This Row],[Appts]]),ISBLANK(DaybyDay[[#This Row],[Service-Actuals]]),ISBLANK(DaybyDay[[#This Row],[Retail-Actuals]])))</f>
        <v>1</v>
      </c>
      <c r="Y486" s="36">
        <f>IF(DaybyDay[[#This Row],[_Space]],IFERROR(
((DaybyDay[[#This Row],[Actual-Rollup]]-DaybyDay[[#This Row],[LY-Rollup]])/DaybyDay[[#This Row],[LY-Rollup]]),0),"")</f>
        <v>0</v>
      </c>
      <c r="Z486"/>
      <c r="AA486" s="37" t="e">
        <f>IF(DaybyDay[[#This Row],[_Space]],DaybyDay[[#This Row],[Ret-Act-RU]]/DaybyDay[[#This Row],[Serv-Act-RU]],"")</f>
        <v>#DIV/0!</v>
      </c>
      <c r="AB486" s="50" t="e">
        <f>IF(DaybyDay[[#This Row],[_Space]],DaybyDay[[#This Row],[RETPEN-Act]]/DaybyDay[[#This Row],[RETPEN-Bud]],"")</f>
        <v>#DIV/0!</v>
      </c>
      <c r="AC486" s="37" t="e">
        <f>IF(DaybyDay[[#This Row],[_Space]],DaybyDay[[#This Row],[Ret-Bud-RU]]/DaybyDay[[#This Row],[Serv-Bud-RU]],"")</f>
        <v>#DIV/0!</v>
      </c>
      <c r="AD486" s="37" t="e">
        <f>IF(DaybyDay[[#This Row],[_Space]],DaybyDay[[#This Row],[Ret-LY-RU]]/DaybyDay[[#This Row],[Serv-LY-RU]],"")</f>
        <v>#DIV/0!</v>
      </c>
      <c r="AE486" s="30">
        <f>WEEKDAY(DaybyDay[[#This Row],[LY-Date]])</f>
        <v>4</v>
      </c>
      <c r="AF486" s="38">
        <f>$E$2+_xlfn.DAYS(DaybyDay[[#This Row],[Date]],minDate)</f>
        <v>42851</v>
      </c>
      <c r="AG486" s="39" cm="1">
        <f t="array" ref="AG486">IFERROR(INDEX(DaybyDay[],DaybyDay[[#This Row],[FORM_MATCH_HELPER]],8),"")</f>
        <v>25</v>
      </c>
      <c r="AH486" s="39" cm="1">
        <f t="array" ref="AH486">IFERROR(INDEX(DaybyDay[],DaybyDay[[#This Row],[FORM_MATCH_HELPER]],10),"")</f>
        <v>3144.36</v>
      </c>
      <c r="AI486" s="39" cm="1">
        <f t="array" ref="AI486">IFERROR(INDEX(DaybyDay[],DaybyDay[[#This Row],[FORM_MATCH_HELPER]],12),"")</f>
        <v>967.45</v>
      </c>
      <c r="AJ486" s="32">
        <f>IFERROR(DaybyDay[[#This Row],[Serv-LY-RU]]+DaybyDay[[#This Row],[Ret-LY-RU]],"")</f>
        <v>0</v>
      </c>
      <c r="AK4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6" s="77"/>
      <c r="AM486" s="40" t="str">
        <f>IF(DaybyDay[[#This Row],[Admin Hours]]&gt;0,DaybyDay[[#This Row],[Admin Hours]]*$AM$2+$AM$3,"")</f>
        <v/>
      </c>
      <c r="AN486" s="40">
        <f>SUMIFS(DaybyDay[Est-Admin-Payroll],DaybyDay[Date],"&gt;="&amp;$C$5,DaybyDay[RowYear],"&gt;="&amp;$C$4,DaybyDay[Date],"&lt;="&amp;DaybyDay[[#This Row],[Date]])</f>
        <v>0</v>
      </c>
      <c r="AO486" s="41" t="str">
        <f>IF(AND(DaybyDay[[#This Row],[_Space]],ISNUMBER(DaybyDay[[#This Row],[Admin Hours]])),DaybyDay[[#This Row],[Est-Admin-Payroll]]/(DaybyDay[[#This Row],[Service-Actuals]]+DaybyDay[[#This Row],[Retail-Actuals]]),"")</f>
        <v/>
      </c>
      <c r="AP486" s="41" t="e">
        <f>DaybyDay[[#This Row],[Estimated-Payroll-Rollup]]/DaybyDay[[#This Row],[Simple-Forecast]]</f>
        <v>#DIV/0!</v>
      </c>
      <c r="AQ4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6" s="77"/>
      <c r="AS486" s="40" t="str">
        <f>IF(DaybyDay[[#This Row],[Retail Hours]]&gt;0,DaybyDay[[#This Row],[Retail Hours]]*$AS$2,"")</f>
        <v/>
      </c>
      <c r="AT486" s="40">
        <f>SUMIFS(DaybyDay[Est-Retail-Payroll],DaybyDay[Date],"&gt;="&amp;$C$5,DaybyDay[RowYear],"&gt;="&amp;$C$4,DaybyDay[Date],"&lt;="&amp;DaybyDay[[#This Row],[Date]])</f>
        <v>0</v>
      </c>
      <c r="AU486" s="82" t="str">
        <f>IF(AND(DaybyDay[[#This Row],[_Space]],ISNUMBER(DaybyDay[[#This Row],[Retail Hours]])),DaybyDay[[#This Row],[Est-Retail-Payroll]]/(DaybyDay[[#This Row],[Retail-Actuals]]),"")</f>
        <v/>
      </c>
      <c r="AV486" s="82" t="e">
        <f>DaybyDay[[#This Row],[Est-Retail-PayrollRU]]/DaybyDay[[#This Row],[Simple-Forecast-Retail]]</f>
        <v>#DIV/0!</v>
      </c>
      <c r="AW486" s="8"/>
    </row>
    <row r="487" spans="3:49" hidden="1" x14ac:dyDescent="0.25">
      <c r="C487" s="26" t="str">
        <f>Tools!$C$1</f>
        <v>Example</v>
      </c>
      <c r="D487" s="27" t="s">
        <v>71</v>
      </c>
      <c r="E487" s="28">
        <v>2018</v>
      </c>
      <c r="F487" s="28">
        <f>MATCH(DaybyDay[[#This Row],[RowMonth]],Table3[SummaryMonth],0)</f>
        <v>4</v>
      </c>
      <c r="G487" s="29">
        <f>MATCH(DaybyDay[[#This Row],[LY-Date]],DaybyDay[Date],0)</f>
        <v>117</v>
      </c>
      <c r="H487" s="30">
        <f>WEEKDAY(DaybyDay[[#This Row],[Date]])</f>
        <v>5</v>
      </c>
      <c r="I487" s="31">
        <v>43216</v>
      </c>
      <c r="J487" s="74">
        <v>15</v>
      </c>
      <c r="K487" s="32">
        <f>SUMIFS(BudgetSeasonality[365 Seasonality],BudgetSeasonality[MonthAdjustment],DaybyDay[[#This Row],[Date]])*SUMIFS(Budgets[Service-Budget],Budgets[BudgetMonth],DaybyDay[[#This Row],[RowMonth]],Budgets[BudgetYear],DaybyDay[[#This Row],[RowYear]])</f>
        <v>4388.7071569211812</v>
      </c>
      <c r="L487" s="75">
        <v>2711</v>
      </c>
      <c r="M487" s="32">
        <f>INDEX(BudgetSeasonality[365 Seasonality],MATCH(DaybyDay[[#This Row],[Date]],BudgetSeasonality[MonthAdjustment],0))*SUMIFS(Budgets[Retail-Budget],Budgets[BudgetMonth],DaybyDay[[#This Row],[RowMonth]],Budgets[BudgetYear],DaybyDay[[#This Row],[RowYear]])</f>
        <v>1319.4467362225462</v>
      </c>
      <c r="N487" s="75">
        <v>2256</v>
      </c>
      <c r="O487" s="33">
        <f>SUMIFS(DaybyDay[Service-Budgets],DaybyDay[Date],"&gt;="&amp;$C$5,DaybyDay[RowYear],"&gt;="&amp;$C$4,DaybyDay[Date],"&lt;="&amp;DaybyDay[[#This Row],[Date]])</f>
        <v>0</v>
      </c>
      <c r="P487" s="33">
        <f>SUMIFS(DaybyDay[Retail-Budgets],DaybyDay[Date],"&gt;="&amp;$C$5,DaybyDay[RowYear],"&gt;="&amp;$C$4,DaybyDay[Date],"&lt;="&amp;DaybyDay[[#This Row],[Date]])</f>
        <v>0</v>
      </c>
      <c r="Q487" s="34">
        <f>SUMIFS(DaybyDay[Service-Actuals],DaybyDay[Date],"&gt;="&amp;$C$5,DaybyDay[RowYear],"&gt;="&amp;$C$4,DaybyDay[Date],"&lt;="&amp;DaybyDay[[#This Row],[Date]])</f>
        <v>0</v>
      </c>
      <c r="R487" s="34">
        <f>SUMIFS(DaybyDay[Retail-Actuals],DaybyDay[Date],"&gt;="&amp;$C$5,DaybyDay[RowYear],"&gt;="&amp;$C$4,DaybyDay[Date],"&lt;="&amp;DaybyDay[[#This Row],[Date]])</f>
        <v>0</v>
      </c>
      <c r="S487" s="35">
        <f>SUMIFS(DaybyDay[Service-LY],DaybyDay[Date],"&gt;="&amp;$C$5,DaybyDay[RowYear],"&gt;="&amp;$C$4,DaybyDay[Date],"&lt;="&amp;DaybyDay[[#This Row],[Date]])</f>
        <v>0</v>
      </c>
      <c r="T487" s="35">
        <f>SUMIFS(DaybyDay[Retail-LY],DaybyDay[Date],"&gt;="&amp;$C$5,DaybyDay[RowYear],"&gt;="&amp;$C$4,DaybyDay[Date],"&lt;="&amp;DaybyDay[[#This Row],[Date]])</f>
        <v>0</v>
      </c>
      <c r="U487" s="32">
        <f>DaybyDay[[#This Row],[Serv-Bud-RU]]+DaybyDay[[#This Row],[Ret-Bud-RU]]</f>
        <v>0</v>
      </c>
      <c r="V487" s="32">
        <f>DaybyDay[[#This Row],[Serv-Act-RU]]+DaybyDay[[#This Row],[Ret-Act-RU]]</f>
        <v>0</v>
      </c>
      <c r="W487" s="36">
        <f>IF(DaybyDay[[#This Row],[_Space]],IFERROR(
((DaybyDay[[#This Row],[Actual-Rollup]]-DaybyDay[[#This Row],[Budget-Rollup]])/DaybyDay[[#This Row],[Budget-Rollup]]),0),"")</f>
        <v>0</v>
      </c>
      <c r="X487" t="b">
        <f>NOT(AND(ISBLANK(DaybyDay[[#This Row],[Appts]]),ISBLANK(DaybyDay[[#This Row],[Service-Actuals]]),ISBLANK(DaybyDay[[#This Row],[Retail-Actuals]])))</f>
        <v>1</v>
      </c>
      <c r="Y487" s="36">
        <f>IF(DaybyDay[[#This Row],[_Space]],IFERROR(
((DaybyDay[[#This Row],[Actual-Rollup]]-DaybyDay[[#This Row],[LY-Rollup]])/DaybyDay[[#This Row],[LY-Rollup]]),0),"")</f>
        <v>0</v>
      </c>
      <c r="Z487"/>
      <c r="AA487" s="37" t="e">
        <f>IF(DaybyDay[[#This Row],[_Space]],DaybyDay[[#This Row],[Ret-Act-RU]]/DaybyDay[[#This Row],[Serv-Act-RU]],"")</f>
        <v>#DIV/0!</v>
      </c>
      <c r="AB487" s="50" t="e">
        <f>IF(DaybyDay[[#This Row],[_Space]],DaybyDay[[#This Row],[RETPEN-Act]]/DaybyDay[[#This Row],[RETPEN-Bud]],"")</f>
        <v>#DIV/0!</v>
      </c>
      <c r="AC487" s="37" t="e">
        <f>IF(DaybyDay[[#This Row],[_Space]],DaybyDay[[#This Row],[Ret-Bud-RU]]/DaybyDay[[#This Row],[Serv-Bud-RU]],"")</f>
        <v>#DIV/0!</v>
      </c>
      <c r="AD487" s="37" t="e">
        <f>IF(DaybyDay[[#This Row],[_Space]],DaybyDay[[#This Row],[Ret-LY-RU]]/DaybyDay[[#This Row],[Serv-LY-RU]],"")</f>
        <v>#DIV/0!</v>
      </c>
      <c r="AE487" s="30">
        <f>WEEKDAY(DaybyDay[[#This Row],[LY-Date]])</f>
        <v>5</v>
      </c>
      <c r="AF487" s="38">
        <f>$E$2+_xlfn.DAYS(DaybyDay[[#This Row],[Date]],minDate)</f>
        <v>42852</v>
      </c>
      <c r="AG487" s="39" cm="1">
        <f t="array" ref="AG487">IFERROR(INDEX(DaybyDay[],DaybyDay[[#This Row],[FORM_MATCH_HELPER]],8),"")</f>
        <v>15</v>
      </c>
      <c r="AH487" s="39" cm="1">
        <f t="array" ref="AH487">IFERROR(INDEX(DaybyDay[],DaybyDay[[#This Row],[FORM_MATCH_HELPER]],10),"")</f>
        <v>2803</v>
      </c>
      <c r="AI487" s="39" cm="1">
        <f t="array" ref="AI487">IFERROR(INDEX(DaybyDay[],DaybyDay[[#This Row],[FORM_MATCH_HELPER]],12),"")</f>
        <v>2088.25</v>
      </c>
      <c r="AJ487" s="32">
        <f>IFERROR(DaybyDay[[#This Row],[Serv-LY-RU]]+DaybyDay[[#This Row],[Ret-LY-RU]],"")</f>
        <v>0</v>
      </c>
      <c r="AK4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7" s="77"/>
      <c r="AM487" s="40" t="str">
        <f>IF(DaybyDay[[#This Row],[Admin Hours]]&gt;0,DaybyDay[[#This Row],[Admin Hours]]*$AM$2+$AM$3,"")</f>
        <v/>
      </c>
      <c r="AN487" s="40">
        <f>SUMIFS(DaybyDay[Est-Admin-Payroll],DaybyDay[Date],"&gt;="&amp;$C$5,DaybyDay[RowYear],"&gt;="&amp;$C$4,DaybyDay[Date],"&lt;="&amp;DaybyDay[[#This Row],[Date]])</f>
        <v>0</v>
      </c>
      <c r="AO487" s="41" t="str">
        <f>IF(AND(DaybyDay[[#This Row],[_Space]],ISNUMBER(DaybyDay[[#This Row],[Admin Hours]])),DaybyDay[[#This Row],[Est-Admin-Payroll]]/(DaybyDay[[#This Row],[Service-Actuals]]+DaybyDay[[#This Row],[Retail-Actuals]]),"")</f>
        <v/>
      </c>
      <c r="AP487" s="41" t="e">
        <f>DaybyDay[[#This Row],[Estimated-Payroll-Rollup]]/DaybyDay[[#This Row],[Simple-Forecast]]</f>
        <v>#DIV/0!</v>
      </c>
      <c r="AQ4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7" s="77"/>
      <c r="AS487" s="40" t="str">
        <f>IF(DaybyDay[[#This Row],[Retail Hours]]&gt;0,DaybyDay[[#This Row],[Retail Hours]]*$AS$2,"")</f>
        <v/>
      </c>
      <c r="AT487" s="40">
        <f>SUMIFS(DaybyDay[Est-Retail-Payroll],DaybyDay[Date],"&gt;="&amp;$C$5,DaybyDay[RowYear],"&gt;="&amp;$C$4,DaybyDay[Date],"&lt;="&amp;DaybyDay[[#This Row],[Date]])</f>
        <v>0</v>
      </c>
      <c r="AU487" s="82" t="str">
        <f>IF(AND(DaybyDay[[#This Row],[_Space]],ISNUMBER(DaybyDay[[#This Row],[Retail Hours]])),DaybyDay[[#This Row],[Est-Retail-Payroll]]/(DaybyDay[[#This Row],[Retail-Actuals]]),"")</f>
        <v/>
      </c>
      <c r="AV487" s="82" t="e">
        <f>DaybyDay[[#This Row],[Est-Retail-PayrollRU]]/DaybyDay[[#This Row],[Simple-Forecast-Retail]]</f>
        <v>#DIV/0!</v>
      </c>
      <c r="AW487" s="8"/>
    </row>
    <row r="488" spans="3:49" hidden="1" x14ac:dyDescent="0.25">
      <c r="C488" s="26" t="str">
        <f>Tools!$C$1</f>
        <v>Example</v>
      </c>
      <c r="D488" s="27" t="s">
        <v>71</v>
      </c>
      <c r="E488" s="28">
        <v>2018</v>
      </c>
      <c r="F488" s="28">
        <f>MATCH(DaybyDay[[#This Row],[RowMonth]],Table3[SummaryMonth],0)</f>
        <v>4</v>
      </c>
      <c r="G488" s="29">
        <f>MATCH(DaybyDay[[#This Row],[LY-Date]],DaybyDay[Date],0)</f>
        <v>118</v>
      </c>
      <c r="H488" s="30">
        <f>WEEKDAY(DaybyDay[[#This Row],[Date]])</f>
        <v>6</v>
      </c>
      <c r="I488" s="31">
        <v>43217</v>
      </c>
      <c r="J488" s="74">
        <v>23</v>
      </c>
      <c r="K488" s="32">
        <f>SUMIFS(BudgetSeasonality[365 Seasonality],BudgetSeasonality[MonthAdjustment],DaybyDay[[#This Row],[Date]])*SUMIFS(Budgets[Service-Budget],Budgets[BudgetMonth],DaybyDay[[#This Row],[RowMonth]],Budgets[BudgetYear],DaybyDay[[#This Row],[RowYear]])</f>
        <v>5879.6160639835634</v>
      </c>
      <c r="L488" s="75">
        <v>5570</v>
      </c>
      <c r="M488" s="32">
        <f>INDEX(BudgetSeasonality[365 Seasonality],MATCH(DaybyDay[[#This Row],[Date]],BudgetSeasonality[MonthAdjustment],0))*SUMIFS(Budgets[Retail-Budget],Budgets[BudgetMonth],DaybyDay[[#This Row],[RowMonth]],Budgets[BudgetYear],DaybyDay[[#This Row],[RowYear]])</f>
        <v>1767.6823603120376</v>
      </c>
      <c r="N488" s="75">
        <v>624</v>
      </c>
      <c r="O488" s="33">
        <f>SUMIFS(DaybyDay[Service-Budgets],DaybyDay[Date],"&gt;="&amp;$C$5,DaybyDay[RowYear],"&gt;="&amp;$C$4,DaybyDay[Date],"&lt;="&amp;DaybyDay[[#This Row],[Date]])</f>
        <v>0</v>
      </c>
      <c r="P488" s="33">
        <f>SUMIFS(DaybyDay[Retail-Budgets],DaybyDay[Date],"&gt;="&amp;$C$5,DaybyDay[RowYear],"&gt;="&amp;$C$4,DaybyDay[Date],"&lt;="&amp;DaybyDay[[#This Row],[Date]])</f>
        <v>0</v>
      </c>
      <c r="Q488" s="34">
        <f>SUMIFS(DaybyDay[Service-Actuals],DaybyDay[Date],"&gt;="&amp;$C$5,DaybyDay[RowYear],"&gt;="&amp;$C$4,DaybyDay[Date],"&lt;="&amp;DaybyDay[[#This Row],[Date]])</f>
        <v>0</v>
      </c>
      <c r="R488" s="34">
        <f>SUMIFS(DaybyDay[Retail-Actuals],DaybyDay[Date],"&gt;="&amp;$C$5,DaybyDay[RowYear],"&gt;="&amp;$C$4,DaybyDay[Date],"&lt;="&amp;DaybyDay[[#This Row],[Date]])</f>
        <v>0</v>
      </c>
      <c r="S488" s="35">
        <f>SUMIFS(DaybyDay[Service-LY],DaybyDay[Date],"&gt;="&amp;$C$5,DaybyDay[RowYear],"&gt;="&amp;$C$4,DaybyDay[Date],"&lt;="&amp;DaybyDay[[#This Row],[Date]])</f>
        <v>0</v>
      </c>
      <c r="T488" s="35">
        <f>SUMIFS(DaybyDay[Retail-LY],DaybyDay[Date],"&gt;="&amp;$C$5,DaybyDay[RowYear],"&gt;="&amp;$C$4,DaybyDay[Date],"&lt;="&amp;DaybyDay[[#This Row],[Date]])</f>
        <v>0</v>
      </c>
      <c r="U488" s="32">
        <f>DaybyDay[[#This Row],[Serv-Bud-RU]]+DaybyDay[[#This Row],[Ret-Bud-RU]]</f>
        <v>0</v>
      </c>
      <c r="V488" s="32">
        <f>DaybyDay[[#This Row],[Serv-Act-RU]]+DaybyDay[[#This Row],[Ret-Act-RU]]</f>
        <v>0</v>
      </c>
      <c r="W488" s="36">
        <f>IF(DaybyDay[[#This Row],[_Space]],IFERROR(
((DaybyDay[[#This Row],[Actual-Rollup]]-DaybyDay[[#This Row],[Budget-Rollup]])/DaybyDay[[#This Row],[Budget-Rollup]]),0),"")</f>
        <v>0</v>
      </c>
      <c r="X488" t="b">
        <f>NOT(AND(ISBLANK(DaybyDay[[#This Row],[Appts]]),ISBLANK(DaybyDay[[#This Row],[Service-Actuals]]),ISBLANK(DaybyDay[[#This Row],[Retail-Actuals]])))</f>
        <v>1</v>
      </c>
      <c r="Y488" s="36">
        <f>IF(DaybyDay[[#This Row],[_Space]],IFERROR(
((DaybyDay[[#This Row],[Actual-Rollup]]-DaybyDay[[#This Row],[LY-Rollup]])/DaybyDay[[#This Row],[LY-Rollup]]),0),"")</f>
        <v>0</v>
      </c>
      <c r="Z488"/>
      <c r="AA488" s="37" t="e">
        <f>IF(DaybyDay[[#This Row],[_Space]],DaybyDay[[#This Row],[Ret-Act-RU]]/DaybyDay[[#This Row],[Serv-Act-RU]],"")</f>
        <v>#DIV/0!</v>
      </c>
      <c r="AB488" s="50" t="e">
        <f>IF(DaybyDay[[#This Row],[_Space]],DaybyDay[[#This Row],[RETPEN-Act]]/DaybyDay[[#This Row],[RETPEN-Bud]],"")</f>
        <v>#DIV/0!</v>
      </c>
      <c r="AC488" s="37" t="e">
        <f>IF(DaybyDay[[#This Row],[_Space]],DaybyDay[[#This Row],[Ret-Bud-RU]]/DaybyDay[[#This Row],[Serv-Bud-RU]],"")</f>
        <v>#DIV/0!</v>
      </c>
      <c r="AD488" s="37" t="e">
        <f>IF(DaybyDay[[#This Row],[_Space]],DaybyDay[[#This Row],[Ret-LY-RU]]/DaybyDay[[#This Row],[Serv-LY-RU]],"")</f>
        <v>#DIV/0!</v>
      </c>
      <c r="AE488" s="30">
        <f>WEEKDAY(DaybyDay[[#This Row],[LY-Date]])</f>
        <v>6</v>
      </c>
      <c r="AF488" s="38">
        <f>$E$2+_xlfn.DAYS(DaybyDay[[#This Row],[Date]],minDate)</f>
        <v>42853</v>
      </c>
      <c r="AG488" s="39" cm="1">
        <f t="array" ref="AG488">IFERROR(INDEX(DaybyDay[],DaybyDay[[#This Row],[FORM_MATCH_HELPER]],8),"")</f>
        <v>19</v>
      </c>
      <c r="AH488" s="39" cm="1">
        <f t="array" ref="AH488">IFERROR(INDEX(DaybyDay[],DaybyDay[[#This Row],[FORM_MATCH_HELPER]],10),"")</f>
        <v>3623.9</v>
      </c>
      <c r="AI488" s="39" cm="1">
        <f t="array" ref="AI488">IFERROR(INDEX(DaybyDay[],DaybyDay[[#This Row],[FORM_MATCH_HELPER]],12),"")</f>
        <v>861.1</v>
      </c>
      <c r="AJ488" s="32">
        <f>IFERROR(DaybyDay[[#This Row],[Serv-LY-RU]]+DaybyDay[[#This Row],[Ret-LY-RU]],"")</f>
        <v>0</v>
      </c>
      <c r="AK4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8" s="77"/>
      <c r="AM488" s="40" t="str">
        <f>IF(DaybyDay[[#This Row],[Admin Hours]]&gt;0,DaybyDay[[#This Row],[Admin Hours]]*$AM$2+$AM$3,"")</f>
        <v/>
      </c>
      <c r="AN488" s="40">
        <f>SUMIFS(DaybyDay[Est-Admin-Payroll],DaybyDay[Date],"&gt;="&amp;$C$5,DaybyDay[RowYear],"&gt;="&amp;$C$4,DaybyDay[Date],"&lt;="&amp;DaybyDay[[#This Row],[Date]])</f>
        <v>0</v>
      </c>
      <c r="AO488" s="41" t="str">
        <f>IF(AND(DaybyDay[[#This Row],[_Space]],ISNUMBER(DaybyDay[[#This Row],[Admin Hours]])),DaybyDay[[#This Row],[Est-Admin-Payroll]]/(DaybyDay[[#This Row],[Service-Actuals]]+DaybyDay[[#This Row],[Retail-Actuals]]),"")</f>
        <v/>
      </c>
      <c r="AP488" s="41" t="e">
        <f>DaybyDay[[#This Row],[Estimated-Payroll-Rollup]]/DaybyDay[[#This Row],[Simple-Forecast]]</f>
        <v>#DIV/0!</v>
      </c>
      <c r="AQ4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8" s="77"/>
      <c r="AS488" s="40" t="str">
        <f>IF(DaybyDay[[#This Row],[Retail Hours]]&gt;0,DaybyDay[[#This Row],[Retail Hours]]*$AS$2,"")</f>
        <v/>
      </c>
      <c r="AT488" s="40">
        <f>SUMIFS(DaybyDay[Est-Retail-Payroll],DaybyDay[Date],"&gt;="&amp;$C$5,DaybyDay[RowYear],"&gt;="&amp;$C$4,DaybyDay[Date],"&lt;="&amp;DaybyDay[[#This Row],[Date]])</f>
        <v>0</v>
      </c>
      <c r="AU488" s="82" t="str">
        <f>IF(AND(DaybyDay[[#This Row],[_Space]],ISNUMBER(DaybyDay[[#This Row],[Retail Hours]])),DaybyDay[[#This Row],[Est-Retail-Payroll]]/(DaybyDay[[#This Row],[Retail-Actuals]]),"")</f>
        <v/>
      </c>
      <c r="AV488" s="82" t="e">
        <f>DaybyDay[[#This Row],[Est-Retail-PayrollRU]]/DaybyDay[[#This Row],[Simple-Forecast-Retail]]</f>
        <v>#DIV/0!</v>
      </c>
      <c r="AW488" s="8"/>
    </row>
    <row r="489" spans="3:49" hidden="1" x14ac:dyDescent="0.25">
      <c r="C489" s="26" t="str">
        <f>Tools!$C$1</f>
        <v>Example</v>
      </c>
      <c r="D489" s="27" t="s">
        <v>71</v>
      </c>
      <c r="E489" s="28">
        <v>2018</v>
      </c>
      <c r="F489" s="28">
        <f>MATCH(DaybyDay[[#This Row],[RowMonth]],Table3[SummaryMonth],0)</f>
        <v>4</v>
      </c>
      <c r="G489" s="29">
        <f>MATCH(DaybyDay[[#This Row],[LY-Date]],DaybyDay[Date],0)</f>
        <v>119</v>
      </c>
      <c r="H489" s="30">
        <f>WEEKDAY(DaybyDay[[#This Row],[Date]])</f>
        <v>7</v>
      </c>
      <c r="I489" s="31">
        <v>43218</v>
      </c>
      <c r="J489" s="74">
        <v>35</v>
      </c>
      <c r="K489" s="32">
        <f>SUMIFS(BudgetSeasonality[365 Seasonality],BudgetSeasonality[MonthAdjustment],DaybyDay[[#This Row],[Date]])*SUMIFS(Budgets[Service-Budget],Budgets[BudgetMonth],DaybyDay[[#This Row],[RowMonth]],Budgets[BudgetYear],DaybyDay[[#This Row],[RowYear]])</f>
        <v>8976.860580966335</v>
      </c>
      <c r="L489" s="75">
        <v>6556.05</v>
      </c>
      <c r="M489" s="32">
        <f>INDEX(BudgetSeasonality[365 Seasonality],MATCH(DaybyDay[[#This Row],[Date]],BudgetSeasonality[MonthAdjustment],0))*SUMIFS(Budgets[Retail-Budget],Budgets[BudgetMonth],DaybyDay[[#This Row],[RowMonth]],Budgets[BudgetYear],DaybyDay[[#This Row],[RowYear]])</f>
        <v>2698.8561714357238</v>
      </c>
      <c r="N489" s="75">
        <v>2882.25</v>
      </c>
      <c r="O489" s="33">
        <f>SUMIFS(DaybyDay[Service-Budgets],DaybyDay[Date],"&gt;="&amp;$C$5,DaybyDay[RowYear],"&gt;="&amp;$C$4,DaybyDay[Date],"&lt;="&amp;DaybyDay[[#This Row],[Date]])</f>
        <v>0</v>
      </c>
      <c r="P489" s="33">
        <f>SUMIFS(DaybyDay[Retail-Budgets],DaybyDay[Date],"&gt;="&amp;$C$5,DaybyDay[RowYear],"&gt;="&amp;$C$4,DaybyDay[Date],"&lt;="&amp;DaybyDay[[#This Row],[Date]])</f>
        <v>0</v>
      </c>
      <c r="Q489" s="34">
        <f>SUMIFS(DaybyDay[Service-Actuals],DaybyDay[Date],"&gt;="&amp;$C$5,DaybyDay[RowYear],"&gt;="&amp;$C$4,DaybyDay[Date],"&lt;="&amp;DaybyDay[[#This Row],[Date]])</f>
        <v>0</v>
      </c>
      <c r="R489" s="34">
        <f>SUMIFS(DaybyDay[Retail-Actuals],DaybyDay[Date],"&gt;="&amp;$C$5,DaybyDay[RowYear],"&gt;="&amp;$C$4,DaybyDay[Date],"&lt;="&amp;DaybyDay[[#This Row],[Date]])</f>
        <v>0</v>
      </c>
      <c r="S489" s="35">
        <f>SUMIFS(DaybyDay[Service-LY],DaybyDay[Date],"&gt;="&amp;$C$5,DaybyDay[RowYear],"&gt;="&amp;$C$4,DaybyDay[Date],"&lt;="&amp;DaybyDay[[#This Row],[Date]])</f>
        <v>0</v>
      </c>
      <c r="T489" s="35">
        <f>SUMIFS(DaybyDay[Retail-LY],DaybyDay[Date],"&gt;="&amp;$C$5,DaybyDay[RowYear],"&gt;="&amp;$C$4,DaybyDay[Date],"&lt;="&amp;DaybyDay[[#This Row],[Date]])</f>
        <v>0</v>
      </c>
      <c r="U489" s="32">
        <f>DaybyDay[[#This Row],[Serv-Bud-RU]]+DaybyDay[[#This Row],[Ret-Bud-RU]]</f>
        <v>0</v>
      </c>
      <c r="V489" s="32">
        <f>DaybyDay[[#This Row],[Serv-Act-RU]]+DaybyDay[[#This Row],[Ret-Act-RU]]</f>
        <v>0</v>
      </c>
      <c r="W489" s="36">
        <f>IF(DaybyDay[[#This Row],[_Space]],IFERROR(
((DaybyDay[[#This Row],[Actual-Rollup]]-DaybyDay[[#This Row],[Budget-Rollup]])/DaybyDay[[#This Row],[Budget-Rollup]]),0),"")</f>
        <v>0</v>
      </c>
      <c r="X489" t="b">
        <f>NOT(AND(ISBLANK(DaybyDay[[#This Row],[Appts]]),ISBLANK(DaybyDay[[#This Row],[Service-Actuals]]),ISBLANK(DaybyDay[[#This Row],[Retail-Actuals]])))</f>
        <v>1</v>
      </c>
      <c r="Y489" s="36">
        <f>IF(DaybyDay[[#This Row],[_Space]],IFERROR(
((DaybyDay[[#This Row],[Actual-Rollup]]-DaybyDay[[#This Row],[LY-Rollup]])/DaybyDay[[#This Row],[LY-Rollup]]),0),"")</f>
        <v>0</v>
      </c>
      <c r="Z489"/>
      <c r="AA489" s="37" t="e">
        <f>IF(DaybyDay[[#This Row],[_Space]],DaybyDay[[#This Row],[Ret-Act-RU]]/DaybyDay[[#This Row],[Serv-Act-RU]],"")</f>
        <v>#DIV/0!</v>
      </c>
      <c r="AB489" s="50" t="e">
        <f>IF(DaybyDay[[#This Row],[_Space]],DaybyDay[[#This Row],[RETPEN-Act]]/DaybyDay[[#This Row],[RETPEN-Bud]],"")</f>
        <v>#DIV/0!</v>
      </c>
      <c r="AC489" s="37" t="e">
        <f>IF(DaybyDay[[#This Row],[_Space]],DaybyDay[[#This Row],[Ret-Bud-RU]]/DaybyDay[[#This Row],[Serv-Bud-RU]],"")</f>
        <v>#DIV/0!</v>
      </c>
      <c r="AD489" s="37" t="e">
        <f>IF(DaybyDay[[#This Row],[_Space]],DaybyDay[[#This Row],[Ret-LY-RU]]/DaybyDay[[#This Row],[Serv-LY-RU]],"")</f>
        <v>#DIV/0!</v>
      </c>
      <c r="AE489" s="30">
        <f>WEEKDAY(DaybyDay[[#This Row],[LY-Date]])</f>
        <v>7</v>
      </c>
      <c r="AF489" s="38">
        <f>$E$2+_xlfn.DAYS(DaybyDay[[#This Row],[Date]],minDate)</f>
        <v>42854</v>
      </c>
      <c r="AG489" s="39" cm="1">
        <f t="array" ref="AG489">IFERROR(INDEX(DaybyDay[],DaybyDay[[#This Row],[FORM_MATCH_HELPER]],8),"")</f>
        <v>31</v>
      </c>
      <c r="AH489" s="39" cm="1">
        <f t="array" ref="AH489">IFERROR(INDEX(DaybyDay[],DaybyDay[[#This Row],[FORM_MATCH_HELPER]],10),"")</f>
        <v>8205</v>
      </c>
      <c r="AI489" s="39" cm="1">
        <f t="array" ref="AI489">IFERROR(INDEX(DaybyDay[],DaybyDay[[#This Row],[FORM_MATCH_HELPER]],12),"")</f>
        <v>522</v>
      </c>
      <c r="AJ489" s="32">
        <f>IFERROR(DaybyDay[[#This Row],[Serv-LY-RU]]+DaybyDay[[#This Row],[Ret-LY-RU]],"")</f>
        <v>0</v>
      </c>
      <c r="AK4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89" s="77"/>
      <c r="AM489" s="40" t="str">
        <f>IF(DaybyDay[[#This Row],[Admin Hours]]&gt;0,DaybyDay[[#This Row],[Admin Hours]]*$AM$2+$AM$3,"")</f>
        <v/>
      </c>
      <c r="AN489" s="40">
        <f>SUMIFS(DaybyDay[Est-Admin-Payroll],DaybyDay[Date],"&gt;="&amp;$C$5,DaybyDay[RowYear],"&gt;="&amp;$C$4,DaybyDay[Date],"&lt;="&amp;DaybyDay[[#This Row],[Date]])</f>
        <v>0</v>
      </c>
      <c r="AO489" s="41" t="str">
        <f>IF(AND(DaybyDay[[#This Row],[_Space]],ISNUMBER(DaybyDay[[#This Row],[Admin Hours]])),DaybyDay[[#This Row],[Est-Admin-Payroll]]/(DaybyDay[[#This Row],[Service-Actuals]]+DaybyDay[[#This Row],[Retail-Actuals]]),"")</f>
        <v/>
      </c>
      <c r="AP489" s="41" t="e">
        <f>DaybyDay[[#This Row],[Estimated-Payroll-Rollup]]/DaybyDay[[#This Row],[Simple-Forecast]]</f>
        <v>#DIV/0!</v>
      </c>
      <c r="AQ4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89" s="77"/>
      <c r="AS489" s="40" t="str">
        <f>IF(DaybyDay[[#This Row],[Retail Hours]]&gt;0,DaybyDay[[#This Row],[Retail Hours]]*$AS$2,"")</f>
        <v/>
      </c>
      <c r="AT489" s="40">
        <f>SUMIFS(DaybyDay[Est-Retail-Payroll],DaybyDay[Date],"&gt;="&amp;$C$5,DaybyDay[RowYear],"&gt;="&amp;$C$4,DaybyDay[Date],"&lt;="&amp;DaybyDay[[#This Row],[Date]])</f>
        <v>0</v>
      </c>
      <c r="AU489" s="82" t="str">
        <f>IF(AND(DaybyDay[[#This Row],[_Space]],ISNUMBER(DaybyDay[[#This Row],[Retail Hours]])),DaybyDay[[#This Row],[Est-Retail-Payroll]]/(DaybyDay[[#This Row],[Retail-Actuals]]),"")</f>
        <v/>
      </c>
      <c r="AV489" s="82" t="e">
        <f>DaybyDay[[#This Row],[Est-Retail-PayrollRU]]/DaybyDay[[#This Row],[Simple-Forecast-Retail]]</f>
        <v>#DIV/0!</v>
      </c>
      <c r="AW489" s="8"/>
    </row>
    <row r="490" spans="3:49" hidden="1" x14ac:dyDescent="0.25">
      <c r="C490" s="26" t="str">
        <f>Tools!$C$1</f>
        <v>Example</v>
      </c>
      <c r="D490" s="27" t="s">
        <v>71</v>
      </c>
      <c r="E490" s="28">
        <v>2018</v>
      </c>
      <c r="F490" s="28">
        <f>MATCH(DaybyDay[[#This Row],[RowMonth]],Table3[SummaryMonth],0)</f>
        <v>4</v>
      </c>
      <c r="G490" s="29">
        <f>MATCH(DaybyDay[[#This Row],[LY-Date]],DaybyDay[Date],0)</f>
        <v>120</v>
      </c>
      <c r="H490" s="30">
        <f>WEEKDAY(DaybyDay[[#This Row],[Date]])</f>
        <v>1</v>
      </c>
      <c r="I490" s="31">
        <v>43219</v>
      </c>
      <c r="J490" s="74">
        <v>18</v>
      </c>
      <c r="K490" s="32">
        <f>SUMIFS(BudgetSeasonality[365 Seasonality],BudgetSeasonality[MonthAdjustment],DaybyDay[[#This Row],[Date]])*SUMIFS(Budgets[Service-Budget],Budgets[BudgetMonth],DaybyDay[[#This Row],[RowMonth]],Budgets[BudgetYear],DaybyDay[[#This Row],[RowYear]])</f>
        <v>6839.2743450382077</v>
      </c>
      <c r="L490" s="75">
        <v>3525</v>
      </c>
      <c r="M490" s="32">
        <f>INDEX(BudgetSeasonality[365 Seasonality],MATCH(DaybyDay[[#This Row],[Date]],BudgetSeasonality[MonthAdjustment],0))*SUMIFS(Budgets[Retail-Budget],Budgets[BudgetMonth],DaybyDay[[#This Row],[RowMonth]],Budgets[BudgetYear],DaybyDay[[#This Row],[RowYear]])</f>
        <v>2056.1996711172505</v>
      </c>
      <c r="N490" s="75">
        <v>880</v>
      </c>
      <c r="O490" s="33">
        <f>SUMIFS(DaybyDay[Service-Budgets],DaybyDay[Date],"&gt;="&amp;$C$5,DaybyDay[RowYear],"&gt;="&amp;$C$4,DaybyDay[Date],"&lt;="&amp;DaybyDay[[#This Row],[Date]])</f>
        <v>0</v>
      </c>
      <c r="P490" s="33">
        <f>SUMIFS(DaybyDay[Retail-Budgets],DaybyDay[Date],"&gt;="&amp;$C$5,DaybyDay[RowYear],"&gt;="&amp;$C$4,DaybyDay[Date],"&lt;="&amp;DaybyDay[[#This Row],[Date]])</f>
        <v>0</v>
      </c>
      <c r="Q490" s="34">
        <f>SUMIFS(DaybyDay[Service-Actuals],DaybyDay[Date],"&gt;="&amp;$C$5,DaybyDay[RowYear],"&gt;="&amp;$C$4,DaybyDay[Date],"&lt;="&amp;DaybyDay[[#This Row],[Date]])</f>
        <v>0</v>
      </c>
      <c r="R490" s="34">
        <f>SUMIFS(DaybyDay[Retail-Actuals],DaybyDay[Date],"&gt;="&amp;$C$5,DaybyDay[RowYear],"&gt;="&amp;$C$4,DaybyDay[Date],"&lt;="&amp;DaybyDay[[#This Row],[Date]])</f>
        <v>0</v>
      </c>
      <c r="S490" s="35">
        <f>SUMIFS(DaybyDay[Service-LY],DaybyDay[Date],"&gt;="&amp;$C$5,DaybyDay[RowYear],"&gt;="&amp;$C$4,DaybyDay[Date],"&lt;="&amp;DaybyDay[[#This Row],[Date]])</f>
        <v>0</v>
      </c>
      <c r="T490" s="35">
        <f>SUMIFS(DaybyDay[Retail-LY],DaybyDay[Date],"&gt;="&amp;$C$5,DaybyDay[RowYear],"&gt;="&amp;$C$4,DaybyDay[Date],"&lt;="&amp;DaybyDay[[#This Row],[Date]])</f>
        <v>0</v>
      </c>
      <c r="U490" s="32">
        <f>DaybyDay[[#This Row],[Serv-Bud-RU]]+DaybyDay[[#This Row],[Ret-Bud-RU]]</f>
        <v>0</v>
      </c>
      <c r="V490" s="32">
        <f>DaybyDay[[#This Row],[Serv-Act-RU]]+DaybyDay[[#This Row],[Ret-Act-RU]]</f>
        <v>0</v>
      </c>
      <c r="W490" s="36">
        <f>IF(DaybyDay[[#This Row],[_Space]],IFERROR(
((DaybyDay[[#This Row],[Actual-Rollup]]-DaybyDay[[#This Row],[Budget-Rollup]])/DaybyDay[[#This Row],[Budget-Rollup]]),0),"")</f>
        <v>0</v>
      </c>
      <c r="X490" t="b">
        <f>NOT(AND(ISBLANK(DaybyDay[[#This Row],[Appts]]),ISBLANK(DaybyDay[[#This Row],[Service-Actuals]]),ISBLANK(DaybyDay[[#This Row],[Retail-Actuals]])))</f>
        <v>1</v>
      </c>
      <c r="Y490" s="36">
        <f>IF(DaybyDay[[#This Row],[_Space]],IFERROR(
((DaybyDay[[#This Row],[Actual-Rollup]]-DaybyDay[[#This Row],[LY-Rollup]])/DaybyDay[[#This Row],[LY-Rollup]]),0),"")</f>
        <v>0</v>
      </c>
      <c r="Z490"/>
      <c r="AA490" s="37" t="e">
        <f>IF(DaybyDay[[#This Row],[_Space]],DaybyDay[[#This Row],[Ret-Act-RU]]/DaybyDay[[#This Row],[Serv-Act-RU]],"")</f>
        <v>#DIV/0!</v>
      </c>
      <c r="AB490" s="50" t="e">
        <f>IF(DaybyDay[[#This Row],[_Space]],DaybyDay[[#This Row],[RETPEN-Act]]/DaybyDay[[#This Row],[RETPEN-Bud]],"")</f>
        <v>#DIV/0!</v>
      </c>
      <c r="AC490" s="37" t="e">
        <f>IF(DaybyDay[[#This Row],[_Space]],DaybyDay[[#This Row],[Ret-Bud-RU]]/DaybyDay[[#This Row],[Serv-Bud-RU]],"")</f>
        <v>#DIV/0!</v>
      </c>
      <c r="AD490" s="37" t="e">
        <f>IF(DaybyDay[[#This Row],[_Space]],DaybyDay[[#This Row],[Ret-LY-RU]]/DaybyDay[[#This Row],[Serv-LY-RU]],"")</f>
        <v>#DIV/0!</v>
      </c>
      <c r="AE490" s="30">
        <f>WEEKDAY(DaybyDay[[#This Row],[LY-Date]])</f>
        <v>1</v>
      </c>
      <c r="AF490" s="38">
        <f>$E$2+_xlfn.DAYS(DaybyDay[[#This Row],[Date]],minDate)</f>
        <v>42855</v>
      </c>
      <c r="AG490" s="39" cm="1">
        <f t="array" ref="AG490">IFERROR(INDEX(DaybyDay[],DaybyDay[[#This Row],[FORM_MATCH_HELPER]],8),"")</f>
        <v>27</v>
      </c>
      <c r="AH490" s="39" cm="1">
        <f t="array" ref="AH490">IFERROR(INDEX(DaybyDay[],DaybyDay[[#This Row],[FORM_MATCH_HELPER]],10),"")</f>
        <v>4811</v>
      </c>
      <c r="AI490" s="39" cm="1">
        <f t="array" ref="AI490">IFERROR(INDEX(DaybyDay[],DaybyDay[[#This Row],[FORM_MATCH_HELPER]],12),"")</f>
        <v>0</v>
      </c>
      <c r="AJ490" s="32">
        <f>IFERROR(DaybyDay[[#This Row],[Serv-LY-RU]]+DaybyDay[[#This Row],[Ret-LY-RU]],"")</f>
        <v>0</v>
      </c>
      <c r="AK4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0" s="77"/>
      <c r="AM490" s="40" t="str">
        <f>IF(DaybyDay[[#This Row],[Admin Hours]]&gt;0,DaybyDay[[#This Row],[Admin Hours]]*$AM$2+$AM$3,"")</f>
        <v/>
      </c>
      <c r="AN490" s="40">
        <f>SUMIFS(DaybyDay[Est-Admin-Payroll],DaybyDay[Date],"&gt;="&amp;$C$5,DaybyDay[RowYear],"&gt;="&amp;$C$4,DaybyDay[Date],"&lt;="&amp;DaybyDay[[#This Row],[Date]])</f>
        <v>0</v>
      </c>
      <c r="AO490" s="41" t="str">
        <f>IF(AND(DaybyDay[[#This Row],[_Space]],ISNUMBER(DaybyDay[[#This Row],[Admin Hours]])),DaybyDay[[#This Row],[Est-Admin-Payroll]]/(DaybyDay[[#This Row],[Service-Actuals]]+DaybyDay[[#This Row],[Retail-Actuals]]),"")</f>
        <v/>
      </c>
      <c r="AP490" s="41" t="e">
        <f>DaybyDay[[#This Row],[Estimated-Payroll-Rollup]]/DaybyDay[[#This Row],[Simple-Forecast]]</f>
        <v>#DIV/0!</v>
      </c>
      <c r="AQ4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0" s="77"/>
      <c r="AS490" s="40" t="str">
        <f>IF(DaybyDay[[#This Row],[Retail Hours]]&gt;0,DaybyDay[[#This Row],[Retail Hours]]*$AS$2,"")</f>
        <v/>
      </c>
      <c r="AT490" s="40">
        <f>SUMIFS(DaybyDay[Est-Retail-Payroll],DaybyDay[Date],"&gt;="&amp;$C$5,DaybyDay[RowYear],"&gt;="&amp;$C$4,DaybyDay[Date],"&lt;="&amp;DaybyDay[[#This Row],[Date]])</f>
        <v>0</v>
      </c>
      <c r="AU490" s="82" t="str">
        <f>IF(AND(DaybyDay[[#This Row],[_Space]],ISNUMBER(DaybyDay[[#This Row],[Retail Hours]])),DaybyDay[[#This Row],[Est-Retail-Payroll]]/(DaybyDay[[#This Row],[Retail-Actuals]]),"")</f>
        <v/>
      </c>
      <c r="AV490" s="82" t="e">
        <f>DaybyDay[[#This Row],[Est-Retail-PayrollRU]]/DaybyDay[[#This Row],[Simple-Forecast-Retail]]</f>
        <v>#DIV/0!</v>
      </c>
      <c r="AW490" s="8"/>
    </row>
    <row r="491" spans="3:49" hidden="1" x14ac:dyDescent="0.25">
      <c r="C491" s="26" t="str">
        <f>Tools!$C$1</f>
        <v>Example</v>
      </c>
      <c r="D491" s="27" t="s">
        <v>71</v>
      </c>
      <c r="E491" s="28">
        <v>2018</v>
      </c>
      <c r="F491" s="28">
        <f>MATCH(DaybyDay[[#This Row],[RowMonth]],Table3[SummaryMonth],0)</f>
        <v>4</v>
      </c>
      <c r="G491" s="29">
        <f>MATCH(DaybyDay[[#This Row],[LY-Date]],DaybyDay[Date],0)</f>
        <v>121</v>
      </c>
      <c r="H491" s="30">
        <f>WEEKDAY(DaybyDay[[#This Row],[Date]])</f>
        <v>2</v>
      </c>
      <c r="I491" s="31">
        <v>43220</v>
      </c>
      <c r="J491" s="74">
        <v>6</v>
      </c>
      <c r="K491" s="32">
        <f>SUMIFS(BudgetSeasonality[365 Seasonality],BudgetSeasonality[MonthAdjustment],DaybyDay[[#This Row],[Date]])*SUMIFS(Budgets[Service-Budget],Budgets[BudgetMonth],DaybyDay[[#This Row],[RowMonth]],Budgets[BudgetYear],DaybyDay[[#This Row],[RowYear]])</f>
        <v>3688.4242609840244</v>
      </c>
      <c r="L491" s="75">
        <v>1241.24</v>
      </c>
      <c r="M491" s="32">
        <f>INDEX(BudgetSeasonality[365 Seasonality],MATCH(DaybyDay[[#This Row],[Date]],BudgetSeasonality[MonthAdjustment],0))*SUMIFS(Budgets[Retail-Budget],Budgets[BudgetMonth],DaybyDay[[#This Row],[RowMonth]],Budgets[BudgetYear],DaybyDay[[#This Row],[RowYear]])</f>
        <v>1108.9095669745163</v>
      </c>
      <c r="N491" s="75">
        <v>208</v>
      </c>
      <c r="O491" s="33">
        <f>SUMIFS(DaybyDay[Service-Budgets],DaybyDay[Date],"&gt;="&amp;$C$5,DaybyDay[RowYear],"&gt;="&amp;$C$4,DaybyDay[Date],"&lt;="&amp;DaybyDay[[#This Row],[Date]])</f>
        <v>0</v>
      </c>
      <c r="P491" s="33">
        <f>SUMIFS(DaybyDay[Retail-Budgets],DaybyDay[Date],"&gt;="&amp;$C$5,DaybyDay[RowYear],"&gt;="&amp;$C$4,DaybyDay[Date],"&lt;="&amp;DaybyDay[[#This Row],[Date]])</f>
        <v>0</v>
      </c>
      <c r="Q491" s="34">
        <f>SUMIFS(DaybyDay[Service-Actuals],DaybyDay[Date],"&gt;="&amp;$C$5,DaybyDay[RowYear],"&gt;="&amp;$C$4,DaybyDay[Date],"&lt;="&amp;DaybyDay[[#This Row],[Date]])</f>
        <v>0</v>
      </c>
      <c r="R491" s="34">
        <f>SUMIFS(DaybyDay[Retail-Actuals],DaybyDay[Date],"&gt;="&amp;$C$5,DaybyDay[RowYear],"&gt;="&amp;$C$4,DaybyDay[Date],"&lt;="&amp;DaybyDay[[#This Row],[Date]])</f>
        <v>0</v>
      </c>
      <c r="S491" s="35">
        <f>SUMIFS(DaybyDay[Service-LY],DaybyDay[Date],"&gt;="&amp;$C$5,DaybyDay[RowYear],"&gt;="&amp;$C$4,DaybyDay[Date],"&lt;="&amp;DaybyDay[[#This Row],[Date]])</f>
        <v>0</v>
      </c>
      <c r="T491" s="35">
        <f>SUMIFS(DaybyDay[Retail-LY],DaybyDay[Date],"&gt;="&amp;$C$5,DaybyDay[RowYear],"&gt;="&amp;$C$4,DaybyDay[Date],"&lt;="&amp;DaybyDay[[#This Row],[Date]])</f>
        <v>0</v>
      </c>
      <c r="U491" s="32">
        <f>DaybyDay[[#This Row],[Serv-Bud-RU]]+DaybyDay[[#This Row],[Ret-Bud-RU]]</f>
        <v>0</v>
      </c>
      <c r="V491" s="32">
        <f>DaybyDay[[#This Row],[Serv-Act-RU]]+DaybyDay[[#This Row],[Ret-Act-RU]]</f>
        <v>0</v>
      </c>
      <c r="W491" s="36">
        <f>IF(DaybyDay[[#This Row],[_Space]],IFERROR(
((DaybyDay[[#This Row],[Actual-Rollup]]-DaybyDay[[#This Row],[Budget-Rollup]])/DaybyDay[[#This Row],[Budget-Rollup]]),0),"")</f>
        <v>0</v>
      </c>
      <c r="X491" t="b">
        <f>NOT(AND(ISBLANK(DaybyDay[[#This Row],[Appts]]),ISBLANK(DaybyDay[[#This Row],[Service-Actuals]]),ISBLANK(DaybyDay[[#This Row],[Retail-Actuals]])))</f>
        <v>1</v>
      </c>
      <c r="Y491" s="36">
        <f>IF(DaybyDay[[#This Row],[_Space]],IFERROR(
((DaybyDay[[#This Row],[Actual-Rollup]]-DaybyDay[[#This Row],[LY-Rollup]])/DaybyDay[[#This Row],[LY-Rollup]]),0),"")</f>
        <v>0</v>
      </c>
      <c r="Z491"/>
      <c r="AA491" s="37" t="e">
        <f>IF(DaybyDay[[#This Row],[_Space]],DaybyDay[[#This Row],[Ret-Act-RU]]/DaybyDay[[#This Row],[Serv-Act-RU]],"")</f>
        <v>#DIV/0!</v>
      </c>
      <c r="AB491" s="50" t="e">
        <f>IF(DaybyDay[[#This Row],[_Space]],DaybyDay[[#This Row],[RETPEN-Act]]/DaybyDay[[#This Row],[RETPEN-Bud]],"")</f>
        <v>#DIV/0!</v>
      </c>
      <c r="AC491" s="37" t="e">
        <f>IF(DaybyDay[[#This Row],[_Space]],DaybyDay[[#This Row],[Ret-Bud-RU]]/DaybyDay[[#This Row],[Serv-Bud-RU]],"")</f>
        <v>#DIV/0!</v>
      </c>
      <c r="AD491" s="37" t="e">
        <f>IF(DaybyDay[[#This Row],[_Space]],DaybyDay[[#This Row],[Ret-LY-RU]]/DaybyDay[[#This Row],[Serv-LY-RU]],"")</f>
        <v>#DIV/0!</v>
      </c>
      <c r="AE491" s="30">
        <f>WEEKDAY(DaybyDay[[#This Row],[LY-Date]])</f>
        <v>2</v>
      </c>
      <c r="AF491" s="38">
        <f>$E$2+_xlfn.DAYS(DaybyDay[[#This Row],[Date]],minDate)</f>
        <v>42856</v>
      </c>
      <c r="AG491" s="39" cm="1">
        <f t="array" ref="AG491">IFERROR(INDEX(DaybyDay[],DaybyDay[[#This Row],[FORM_MATCH_HELPER]],8),"")</f>
        <v>12</v>
      </c>
      <c r="AH491" s="39" cm="1">
        <f t="array" ref="AH491">IFERROR(INDEX(DaybyDay[],DaybyDay[[#This Row],[FORM_MATCH_HELPER]],10),"")</f>
        <v>2885.2</v>
      </c>
      <c r="AI491" s="39" cm="1">
        <f t="array" ref="AI491">IFERROR(INDEX(DaybyDay[],DaybyDay[[#This Row],[FORM_MATCH_HELPER]],12),"")</f>
        <v>502</v>
      </c>
      <c r="AJ491" s="32">
        <f>IFERROR(DaybyDay[[#This Row],[Serv-LY-RU]]+DaybyDay[[#This Row],[Ret-LY-RU]],"")</f>
        <v>0</v>
      </c>
      <c r="AK4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1" s="77"/>
      <c r="AM491" s="40" t="str">
        <f>IF(DaybyDay[[#This Row],[Admin Hours]]&gt;0,DaybyDay[[#This Row],[Admin Hours]]*$AM$2+$AM$3,"")</f>
        <v/>
      </c>
      <c r="AN491" s="40">
        <f>SUMIFS(DaybyDay[Est-Admin-Payroll],DaybyDay[Date],"&gt;="&amp;$C$5,DaybyDay[RowYear],"&gt;="&amp;$C$4,DaybyDay[Date],"&lt;="&amp;DaybyDay[[#This Row],[Date]])</f>
        <v>0</v>
      </c>
      <c r="AO491" s="41" t="str">
        <f>IF(AND(DaybyDay[[#This Row],[_Space]],ISNUMBER(DaybyDay[[#This Row],[Admin Hours]])),DaybyDay[[#This Row],[Est-Admin-Payroll]]/(DaybyDay[[#This Row],[Service-Actuals]]+DaybyDay[[#This Row],[Retail-Actuals]]),"")</f>
        <v/>
      </c>
      <c r="AP491" s="41" t="e">
        <f>DaybyDay[[#This Row],[Estimated-Payroll-Rollup]]/DaybyDay[[#This Row],[Simple-Forecast]]</f>
        <v>#DIV/0!</v>
      </c>
      <c r="AQ4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1" s="77"/>
      <c r="AS491" s="40" t="str">
        <f>IF(DaybyDay[[#This Row],[Retail Hours]]&gt;0,DaybyDay[[#This Row],[Retail Hours]]*$AS$2,"")</f>
        <v/>
      </c>
      <c r="AT491" s="40">
        <f>SUMIFS(DaybyDay[Est-Retail-Payroll],DaybyDay[Date],"&gt;="&amp;$C$5,DaybyDay[RowYear],"&gt;="&amp;$C$4,DaybyDay[Date],"&lt;="&amp;DaybyDay[[#This Row],[Date]])</f>
        <v>0</v>
      </c>
      <c r="AU491" s="82" t="str">
        <f>IF(AND(DaybyDay[[#This Row],[_Space]],ISNUMBER(DaybyDay[[#This Row],[Retail Hours]])),DaybyDay[[#This Row],[Est-Retail-Payroll]]/(DaybyDay[[#This Row],[Retail-Actuals]]),"")</f>
        <v/>
      </c>
      <c r="AV491" s="82" t="e">
        <f>DaybyDay[[#This Row],[Est-Retail-PayrollRU]]/DaybyDay[[#This Row],[Simple-Forecast-Retail]]</f>
        <v>#DIV/0!</v>
      </c>
      <c r="AW491" s="8"/>
    </row>
    <row r="492" spans="3:49" hidden="1" x14ac:dyDescent="0.25">
      <c r="C492" s="26" t="str">
        <f>Tools!$C$1</f>
        <v>Example</v>
      </c>
      <c r="D492" s="27" t="s">
        <v>71</v>
      </c>
      <c r="E492" s="28">
        <v>2018</v>
      </c>
      <c r="F492" s="28">
        <f>MATCH(DaybyDay[[#This Row],[RowMonth]],Table3[SummaryMonth],0)</f>
        <v>4</v>
      </c>
      <c r="G492" s="29">
        <f>MATCH(DaybyDay[[#This Row],[LY-Date]],DaybyDay[Date],0)</f>
        <v>122</v>
      </c>
      <c r="H492" s="30">
        <f>WEEKDAY(DaybyDay[[#This Row],[Date]])</f>
        <v>3</v>
      </c>
      <c r="I492" s="31">
        <v>43221</v>
      </c>
      <c r="J492" s="74">
        <v>8</v>
      </c>
      <c r="K492" s="32">
        <f>SUMIFS(BudgetSeasonality[365 Seasonality],BudgetSeasonality[MonthAdjustment],DaybyDay[[#This Row],[Date]])*SUMIFS(Budgets[Service-Budget],Budgets[BudgetMonth],DaybyDay[[#This Row],[RowMonth]],Budgets[BudgetYear],DaybyDay[[#This Row],[RowYear]])</f>
        <v>3971.5895883023504</v>
      </c>
      <c r="L492" s="75">
        <v>1076</v>
      </c>
      <c r="M492" s="32">
        <f>INDEX(BudgetSeasonality[365 Seasonality],MATCH(DaybyDay[[#This Row],[Date]],BudgetSeasonality[MonthAdjustment],0))*SUMIFS(Budgets[Retail-Budget],Budgets[BudgetMonth],DaybyDay[[#This Row],[RowMonth]],Budgets[BudgetYear],DaybyDay[[#This Row],[RowYear]])</f>
        <v>1194.0420566992721</v>
      </c>
      <c r="N492" s="75">
        <v>299</v>
      </c>
      <c r="O492" s="33">
        <f>SUMIFS(DaybyDay[Service-Budgets],DaybyDay[Date],"&gt;="&amp;$C$5,DaybyDay[RowYear],"&gt;="&amp;$C$4,DaybyDay[Date],"&lt;="&amp;DaybyDay[[#This Row],[Date]])</f>
        <v>0</v>
      </c>
      <c r="P492" s="33">
        <f>SUMIFS(DaybyDay[Retail-Budgets],DaybyDay[Date],"&gt;="&amp;$C$5,DaybyDay[RowYear],"&gt;="&amp;$C$4,DaybyDay[Date],"&lt;="&amp;DaybyDay[[#This Row],[Date]])</f>
        <v>0</v>
      </c>
      <c r="Q492" s="34">
        <f>SUMIFS(DaybyDay[Service-Actuals],DaybyDay[Date],"&gt;="&amp;$C$5,DaybyDay[RowYear],"&gt;="&amp;$C$4,DaybyDay[Date],"&lt;="&amp;DaybyDay[[#This Row],[Date]])</f>
        <v>0</v>
      </c>
      <c r="R492" s="34">
        <f>SUMIFS(DaybyDay[Retail-Actuals],DaybyDay[Date],"&gt;="&amp;$C$5,DaybyDay[RowYear],"&gt;="&amp;$C$4,DaybyDay[Date],"&lt;="&amp;DaybyDay[[#This Row],[Date]])</f>
        <v>0</v>
      </c>
      <c r="S492" s="35">
        <f>SUMIFS(DaybyDay[Service-LY],DaybyDay[Date],"&gt;="&amp;$C$5,DaybyDay[RowYear],"&gt;="&amp;$C$4,DaybyDay[Date],"&lt;="&amp;DaybyDay[[#This Row],[Date]])</f>
        <v>0</v>
      </c>
      <c r="T492" s="35">
        <f>SUMIFS(DaybyDay[Retail-LY],DaybyDay[Date],"&gt;="&amp;$C$5,DaybyDay[RowYear],"&gt;="&amp;$C$4,DaybyDay[Date],"&lt;="&amp;DaybyDay[[#This Row],[Date]])</f>
        <v>0</v>
      </c>
      <c r="U492" s="32">
        <f>DaybyDay[[#This Row],[Serv-Bud-RU]]+DaybyDay[[#This Row],[Ret-Bud-RU]]</f>
        <v>0</v>
      </c>
      <c r="V492" s="32">
        <f>DaybyDay[[#This Row],[Serv-Act-RU]]+DaybyDay[[#This Row],[Ret-Act-RU]]</f>
        <v>0</v>
      </c>
      <c r="W492" s="36">
        <f>IF(DaybyDay[[#This Row],[_Space]],IFERROR(
((DaybyDay[[#This Row],[Actual-Rollup]]-DaybyDay[[#This Row],[Budget-Rollup]])/DaybyDay[[#This Row],[Budget-Rollup]]),0),"")</f>
        <v>0</v>
      </c>
      <c r="X492" t="b">
        <f>NOT(AND(ISBLANK(DaybyDay[[#This Row],[Appts]]),ISBLANK(DaybyDay[[#This Row],[Service-Actuals]]),ISBLANK(DaybyDay[[#This Row],[Retail-Actuals]])))</f>
        <v>1</v>
      </c>
      <c r="Y492" s="36">
        <f>IF(DaybyDay[[#This Row],[_Space]],IFERROR(
((DaybyDay[[#This Row],[Actual-Rollup]]-DaybyDay[[#This Row],[LY-Rollup]])/DaybyDay[[#This Row],[LY-Rollup]]),0),"")</f>
        <v>0</v>
      </c>
      <c r="Z492"/>
      <c r="AA492" s="37" t="e">
        <f>IF(DaybyDay[[#This Row],[_Space]],DaybyDay[[#This Row],[Ret-Act-RU]]/DaybyDay[[#This Row],[Serv-Act-RU]],"")</f>
        <v>#DIV/0!</v>
      </c>
      <c r="AB492" s="50" t="e">
        <f>IF(DaybyDay[[#This Row],[_Space]],DaybyDay[[#This Row],[RETPEN-Act]]/DaybyDay[[#This Row],[RETPEN-Bud]],"")</f>
        <v>#DIV/0!</v>
      </c>
      <c r="AC492" s="37" t="e">
        <f>IF(DaybyDay[[#This Row],[_Space]],DaybyDay[[#This Row],[Ret-Bud-RU]]/DaybyDay[[#This Row],[Serv-Bud-RU]],"")</f>
        <v>#DIV/0!</v>
      </c>
      <c r="AD492" s="37" t="e">
        <f>IF(DaybyDay[[#This Row],[_Space]],DaybyDay[[#This Row],[Ret-LY-RU]]/DaybyDay[[#This Row],[Serv-LY-RU]],"")</f>
        <v>#DIV/0!</v>
      </c>
      <c r="AE492" s="30">
        <f>WEEKDAY(DaybyDay[[#This Row],[LY-Date]])</f>
        <v>3</v>
      </c>
      <c r="AF492" s="38">
        <f>$E$2+_xlfn.DAYS(DaybyDay[[#This Row],[Date]],minDate)</f>
        <v>42857</v>
      </c>
      <c r="AG492" s="39" cm="1">
        <f t="array" ref="AG492">IFERROR(INDEX(DaybyDay[],DaybyDay[[#This Row],[FORM_MATCH_HELPER]],8),"")</f>
        <v>20</v>
      </c>
      <c r="AH492" s="39" cm="1">
        <f t="array" ref="AH492">IFERROR(INDEX(DaybyDay[],DaybyDay[[#This Row],[FORM_MATCH_HELPER]],10),"")</f>
        <v>3203.4</v>
      </c>
      <c r="AI492" s="39" cm="1">
        <f t="array" ref="AI492">IFERROR(INDEX(DaybyDay[],DaybyDay[[#This Row],[FORM_MATCH_HELPER]],12),"")</f>
        <v>189</v>
      </c>
      <c r="AJ492" s="32">
        <f>IFERROR(DaybyDay[[#This Row],[Serv-LY-RU]]+DaybyDay[[#This Row],[Ret-LY-RU]],"")</f>
        <v>0</v>
      </c>
      <c r="AK4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2" s="77"/>
      <c r="AM492" s="40" t="str">
        <f>IF(DaybyDay[[#This Row],[Admin Hours]]&gt;0,DaybyDay[[#This Row],[Admin Hours]]*$AM$2+$AM$3,"")</f>
        <v/>
      </c>
      <c r="AN492" s="40">
        <f>SUMIFS(DaybyDay[Est-Admin-Payroll],DaybyDay[Date],"&gt;="&amp;$C$5,DaybyDay[RowYear],"&gt;="&amp;$C$4,DaybyDay[Date],"&lt;="&amp;DaybyDay[[#This Row],[Date]])</f>
        <v>0</v>
      </c>
      <c r="AO492" s="41" t="str">
        <f>IF(AND(DaybyDay[[#This Row],[_Space]],ISNUMBER(DaybyDay[[#This Row],[Admin Hours]])),DaybyDay[[#This Row],[Est-Admin-Payroll]]/(DaybyDay[[#This Row],[Service-Actuals]]+DaybyDay[[#This Row],[Retail-Actuals]]),"")</f>
        <v/>
      </c>
      <c r="AP492" s="41" t="e">
        <f>DaybyDay[[#This Row],[Estimated-Payroll-Rollup]]/DaybyDay[[#This Row],[Simple-Forecast]]</f>
        <v>#DIV/0!</v>
      </c>
      <c r="AQ4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2" s="77"/>
      <c r="AS492" s="40" t="str">
        <f>IF(DaybyDay[[#This Row],[Retail Hours]]&gt;0,DaybyDay[[#This Row],[Retail Hours]]*$AS$2,"")</f>
        <v/>
      </c>
      <c r="AT492" s="40">
        <f>SUMIFS(DaybyDay[Est-Retail-Payroll],DaybyDay[Date],"&gt;="&amp;$C$5,DaybyDay[RowYear],"&gt;="&amp;$C$4,DaybyDay[Date],"&lt;="&amp;DaybyDay[[#This Row],[Date]])</f>
        <v>0</v>
      </c>
      <c r="AU492" s="82" t="str">
        <f>IF(AND(DaybyDay[[#This Row],[_Space]],ISNUMBER(DaybyDay[[#This Row],[Retail Hours]])),DaybyDay[[#This Row],[Est-Retail-Payroll]]/(DaybyDay[[#This Row],[Retail-Actuals]]),"")</f>
        <v/>
      </c>
      <c r="AV492" s="82" t="e">
        <f>DaybyDay[[#This Row],[Est-Retail-PayrollRU]]/DaybyDay[[#This Row],[Simple-Forecast-Retail]]</f>
        <v>#DIV/0!</v>
      </c>
      <c r="AW492" s="8"/>
    </row>
    <row r="493" spans="3:49" hidden="1" x14ac:dyDescent="0.25">
      <c r="C493" s="26" t="str">
        <f>Tools!$C$1</f>
        <v>Example</v>
      </c>
      <c r="D493" s="27" t="s">
        <v>71</v>
      </c>
      <c r="E493" s="28">
        <v>2018</v>
      </c>
      <c r="F493" s="28">
        <f>MATCH(DaybyDay[[#This Row],[RowMonth]],Table3[SummaryMonth],0)</f>
        <v>4</v>
      </c>
      <c r="G493" s="29">
        <f>MATCH(DaybyDay[[#This Row],[LY-Date]],DaybyDay[Date],0)</f>
        <v>123</v>
      </c>
      <c r="H493" s="30">
        <f>WEEKDAY(DaybyDay[[#This Row],[Date]])</f>
        <v>4</v>
      </c>
      <c r="I493" s="31">
        <v>43222</v>
      </c>
      <c r="J493" s="74">
        <v>16</v>
      </c>
      <c r="K493" s="32">
        <f>SUMIFS(BudgetSeasonality[365 Seasonality],BudgetSeasonality[MonthAdjustment],DaybyDay[[#This Row],[Date]])*SUMIFS(Budgets[Service-Budget],Budgets[BudgetMonth],DaybyDay[[#This Row],[RowMonth]],Budgets[BudgetYear],DaybyDay[[#This Row],[RowYear]])</f>
        <v>4859.6352179071982</v>
      </c>
      <c r="L493" s="75">
        <v>2892.97</v>
      </c>
      <c r="M493" s="32">
        <f>INDEX(BudgetSeasonality[365 Seasonality],MATCH(DaybyDay[[#This Row],[Date]],BudgetSeasonality[MonthAdjustment],0))*SUMIFS(Budgets[Retail-Budget],Budgets[BudgetMonth],DaybyDay[[#This Row],[RowMonth]],Budgets[BudgetYear],DaybyDay[[#This Row],[RowYear]])</f>
        <v>1461.0293187112622</v>
      </c>
      <c r="N493" s="75">
        <v>1290</v>
      </c>
      <c r="O493" s="33">
        <f>SUMIFS(DaybyDay[Service-Budgets],DaybyDay[Date],"&gt;="&amp;$C$5,DaybyDay[RowYear],"&gt;="&amp;$C$4,DaybyDay[Date],"&lt;="&amp;DaybyDay[[#This Row],[Date]])</f>
        <v>0</v>
      </c>
      <c r="P493" s="33">
        <f>SUMIFS(DaybyDay[Retail-Budgets],DaybyDay[Date],"&gt;="&amp;$C$5,DaybyDay[RowYear],"&gt;="&amp;$C$4,DaybyDay[Date],"&lt;="&amp;DaybyDay[[#This Row],[Date]])</f>
        <v>0</v>
      </c>
      <c r="Q493" s="34">
        <f>SUMIFS(DaybyDay[Service-Actuals],DaybyDay[Date],"&gt;="&amp;$C$5,DaybyDay[RowYear],"&gt;="&amp;$C$4,DaybyDay[Date],"&lt;="&amp;DaybyDay[[#This Row],[Date]])</f>
        <v>0</v>
      </c>
      <c r="R493" s="34">
        <f>SUMIFS(DaybyDay[Retail-Actuals],DaybyDay[Date],"&gt;="&amp;$C$5,DaybyDay[RowYear],"&gt;="&amp;$C$4,DaybyDay[Date],"&lt;="&amp;DaybyDay[[#This Row],[Date]])</f>
        <v>0</v>
      </c>
      <c r="S493" s="35">
        <f>SUMIFS(DaybyDay[Service-LY],DaybyDay[Date],"&gt;="&amp;$C$5,DaybyDay[RowYear],"&gt;="&amp;$C$4,DaybyDay[Date],"&lt;="&amp;DaybyDay[[#This Row],[Date]])</f>
        <v>0</v>
      </c>
      <c r="T493" s="35">
        <f>SUMIFS(DaybyDay[Retail-LY],DaybyDay[Date],"&gt;="&amp;$C$5,DaybyDay[RowYear],"&gt;="&amp;$C$4,DaybyDay[Date],"&lt;="&amp;DaybyDay[[#This Row],[Date]])</f>
        <v>0</v>
      </c>
      <c r="U493" s="32">
        <f>DaybyDay[[#This Row],[Serv-Bud-RU]]+DaybyDay[[#This Row],[Ret-Bud-RU]]</f>
        <v>0</v>
      </c>
      <c r="V493" s="32">
        <f>DaybyDay[[#This Row],[Serv-Act-RU]]+DaybyDay[[#This Row],[Ret-Act-RU]]</f>
        <v>0</v>
      </c>
      <c r="W493" s="36">
        <f>IF(DaybyDay[[#This Row],[_Space]],IFERROR(
((DaybyDay[[#This Row],[Actual-Rollup]]-DaybyDay[[#This Row],[Budget-Rollup]])/DaybyDay[[#This Row],[Budget-Rollup]]),0),"")</f>
        <v>0</v>
      </c>
      <c r="X493" t="b">
        <f>NOT(AND(ISBLANK(DaybyDay[[#This Row],[Appts]]),ISBLANK(DaybyDay[[#This Row],[Service-Actuals]]),ISBLANK(DaybyDay[[#This Row],[Retail-Actuals]])))</f>
        <v>1</v>
      </c>
      <c r="Y493" s="36">
        <f>IF(DaybyDay[[#This Row],[_Space]],IFERROR(
((DaybyDay[[#This Row],[Actual-Rollup]]-DaybyDay[[#This Row],[LY-Rollup]])/DaybyDay[[#This Row],[LY-Rollup]]),0),"")</f>
        <v>0</v>
      </c>
      <c r="Z493"/>
      <c r="AA493" s="37" t="e">
        <f>IF(DaybyDay[[#This Row],[_Space]],DaybyDay[[#This Row],[Ret-Act-RU]]/DaybyDay[[#This Row],[Serv-Act-RU]],"")</f>
        <v>#DIV/0!</v>
      </c>
      <c r="AB493" s="50" t="e">
        <f>IF(DaybyDay[[#This Row],[_Space]],DaybyDay[[#This Row],[RETPEN-Act]]/DaybyDay[[#This Row],[RETPEN-Bud]],"")</f>
        <v>#DIV/0!</v>
      </c>
      <c r="AC493" s="37" t="e">
        <f>IF(DaybyDay[[#This Row],[_Space]],DaybyDay[[#This Row],[Ret-Bud-RU]]/DaybyDay[[#This Row],[Serv-Bud-RU]],"")</f>
        <v>#DIV/0!</v>
      </c>
      <c r="AD493" s="37" t="e">
        <f>IF(DaybyDay[[#This Row],[_Space]],DaybyDay[[#This Row],[Ret-LY-RU]]/DaybyDay[[#This Row],[Serv-LY-RU]],"")</f>
        <v>#DIV/0!</v>
      </c>
      <c r="AE493" s="30">
        <f>WEEKDAY(DaybyDay[[#This Row],[LY-Date]])</f>
        <v>4</v>
      </c>
      <c r="AF493" s="38">
        <f>$E$2+_xlfn.DAYS(DaybyDay[[#This Row],[Date]],minDate)</f>
        <v>42858</v>
      </c>
      <c r="AG493" s="39" cm="1">
        <f t="array" ref="AG493">IFERROR(INDEX(DaybyDay[],DaybyDay[[#This Row],[FORM_MATCH_HELPER]],8),"")</f>
        <v>13</v>
      </c>
      <c r="AH493" s="39" cm="1">
        <f t="array" ref="AH493">IFERROR(INDEX(DaybyDay[],DaybyDay[[#This Row],[FORM_MATCH_HELPER]],10),"")</f>
        <v>2357.6</v>
      </c>
      <c r="AI493" s="39" cm="1">
        <f t="array" ref="AI493">IFERROR(INDEX(DaybyDay[],DaybyDay[[#This Row],[FORM_MATCH_HELPER]],12),"")</f>
        <v>363</v>
      </c>
      <c r="AJ493" s="32">
        <f>IFERROR(DaybyDay[[#This Row],[Serv-LY-RU]]+DaybyDay[[#This Row],[Ret-LY-RU]],"")</f>
        <v>0</v>
      </c>
      <c r="AK4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3" s="77"/>
      <c r="AM493" s="40" t="str">
        <f>IF(DaybyDay[[#This Row],[Admin Hours]]&gt;0,DaybyDay[[#This Row],[Admin Hours]]*$AM$2+$AM$3,"")</f>
        <v/>
      </c>
      <c r="AN493" s="40">
        <f>SUMIFS(DaybyDay[Est-Admin-Payroll],DaybyDay[Date],"&gt;="&amp;$C$5,DaybyDay[RowYear],"&gt;="&amp;$C$4,DaybyDay[Date],"&lt;="&amp;DaybyDay[[#This Row],[Date]])</f>
        <v>0</v>
      </c>
      <c r="AO493" s="41" t="str">
        <f>IF(AND(DaybyDay[[#This Row],[_Space]],ISNUMBER(DaybyDay[[#This Row],[Admin Hours]])),DaybyDay[[#This Row],[Est-Admin-Payroll]]/(DaybyDay[[#This Row],[Service-Actuals]]+DaybyDay[[#This Row],[Retail-Actuals]]),"")</f>
        <v/>
      </c>
      <c r="AP493" s="41" t="e">
        <f>DaybyDay[[#This Row],[Estimated-Payroll-Rollup]]/DaybyDay[[#This Row],[Simple-Forecast]]</f>
        <v>#DIV/0!</v>
      </c>
      <c r="AQ4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3" s="77"/>
      <c r="AS493" s="40" t="str">
        <f>IF(DaybyDay[[#This Row],[Retail Hours]]&gt;0,DaybyDay[[#This Row],[Retail Hours]]*$AS$2,"")</f>
        <v/>
      </c>
      <c r="AT493" s="40">
        <f>SUMIFS(DaybyDay[Est-Retail-Payroll],DaybyDay[Date],"&gt;="&amp;$C$5,DaybyDay[RowYear],"&gt;="&amp;$C$4,DaybyDay[Date],"&lt;="&amp;DaybyDay[[#This Row],[Date]])</f>
        <v>0</v>
      </c>
      <c r="AU493" s="82" t="str">
        <f>IF(AND(DaybyDay[[#This Row],[_Space]],ISNUMBER(DaybyDay[[#This Row],[Retail Hours]])),DaybyDay[[#This Row],[Est-Retail-Payroll]]/(DaybyDay[[#This Row],[Retail-Actuals]]),"")</f>
        <v/>
      </c>
      <c r="AV493" s="82" t="e">
        <f>DaybyDay[[#This Row],[Est-Retail-PayrollRU]]/DaybyDay[[#This Row],[Simple-Forecast-Retail]]</f>
        <v>#DIV/0!</v>
      </c>
      <c r="AW493" s="8"/>
    </row>
    <row r="494" spans="3:49" hidden="1" x14ac:dyDescent="0.25">
      <c r="C494" s="26" t="str">
        <f>Tools!$C$1</f>
        <v>Example</v>
      </c>
      <c r="D494" s="27" t="s">
        <v>71</v>
      </c>
      <c r="E494" s="28">
        <v>2018</v>
      </c>
      <c r="F494" s="28">
        <f>MATCH(DaybyDay[[#This Row],[RowMonth]],Table3[SummaryMonth],0)</f>
        <v>4</v>
      </c>
      <c r="G494" s="29">
        <f>MATCH(DaybyDay[[#This Row],[LY-Date]],DaybyDay[Date],0)</f>
        <v>124</v>
      </c>
      <c r="H494" s="30">
        <f>WEEKDAY(DaybyDay[[#This Row],[Date]])</f>
        <v>5</v>
      </c>
      <c r="I494" s="31">
        <v>43223</v>
      </c>
      <c r="J494" s="74">
        <v>27</v>
      </c>
      <c r="K494" s="32">
        <f>SUMIFS(BudgetSeasonality[365 Seasonality],BudgetSeasonality[MonthAdjustment],DaybyDay[[#This Row],[Date]])*SUMIFS(Budgets[Service-Budget],Budgets[BudgetMonth],DaybyDay[[#This Row],[RowMonth]],Budgets[BudgetYear],DaybyDay[[#This Row],[RowYear]])</f>
        <v>5138.9438950250769</v>
      </c>
      <c r="L494" s="75">
        <v>4847.75</v>
      </c>
      <c r="M494" s="32">
        <f>INDEX(BudgetSeasonality[365 Seasonality],MATCH(DaybyDay[[#This Row],[Date]],BudgetSeasonality[MonthAdjustment],0))*SUMIFS(Budgets[Retail-Budget],Budgets[BudgetMonth],DaybyDay[[#This Row],[RowMonth]],Budgets[BudgetYear],DaybyDay[[#This Row],[RowYear]])</f>
        <v>1545.0023224330143</v>
      </c>
      <c r="N494" s="75">
        <v>2404.6999999999998</v>
      </c>
      <c r="O494" s="33">
        <f>SUMIFS(DaybyDay[Service-Budgets],DaybyDay[Date],"&gt;="&amp;$C$5,DaybyDay[RowYear],"&gt;="&amp;$C$4,DaybyDay[Date],"&lt;="&amp;DaybyDay[[#This Row],[Date]])</f>
        <v>0</v>
      </c>
      <c r="P494" s="33">
        <f>SUMIFS(DaybyDay[Retail-Budgets],DaybyDay[Date],"&gt;="&amp;$C$5,DaybyDay[RowYear],"&gt;="&amp;$C$4,DaybyDay[Date],"&lt;="&amp;DaybyDay[[#This Row],[Date]])</f>
        <v>0</v>
      </c>
      <c r="Q494" s="34">
        <f>SUMIFS(DaybyDay[Service-Actuals],DaybyDay[Date],"&gt;="&amp;$C$5,DaybyDay[RowYear],"&gt;="&amp;$C$4,DaybyDay[Date],"&lt;="&amp;DaybyDay[[#This Row],[Date]])</f>
        <v>0</v>
      </c>
      <c r="R494" s="34">
        <f>SUMIFS(DaybyDay[Retail-Actuals],DaybyDay[Date],"&gt;="&amp;$C$5,DaybyDay[RowYear],"&gt;="&amp;$C$4,DaybyDay[Date],"&lt;="&amp;DaybyDay[[#This Row],[Date]])</f>
        <v>0</v>
      </c>
      <c r="S494" s="35">
        <f>SUMIFS(DaybyDay[Service-LY],DaybyDay[Date],"&gt;="&amp;$C$5,DaybyDay[RowYear],"&gt;="&amp;$C$4,DaybyDay[Date],"&lt;="&amp;DaybyDay[[#This Row],[Date]])</f>
        <v>0</v>
      </c>
      <c r="T494" s="35">
        <f>SUMIFS(DaybyDay[Retail-LY],DaybyDay[Date],"&gt;="&amp;$C$5,DaybyDay[RowYear],"&gt;="&amp;$C$4,DaybyDay[Date],"&lt;="&amp;DaybyDay[[#This Row],[Date]])</f>
        <v>0</v>
      </c>
      <c r="U494" s="32">
        <f>DaybyDay[[#This Row],[Serv-Bud-RU]]+DaybyDay[[#This Row],[Ret-Bud-RU]]</f>
        <v>0</v>
      </c>
      <c r="V494" s="32">
        <f>DaybyDay[[#This Row],[Serv-Act-RU]]+DaybyDay[[#This Row],[Ret-Act-RU]]</f>
        <v>0</v>
      </c>
      <c r="W494" s="36">
        <f>IF(DaybyDay[[#This Row],[_Space]],IFERROR(
((DaybyDay[[#This Row],[Actual-Rollup]]-DaybyDay[[#This Row],[Budget-Rollup]])/DaybyDay[[#This Row],[Budget-Rollup]]),0),"")</f>
        <v>0</v>
      </c>
      <c r="X494" t="b">
        <f>NOT(AND(ISBLANK(DaybyDay[[#This Row],[Appts]]),ISBLANK(DaybyDay[[#This Row],[Service-Actuals]]),ISBLANK(DaybyDay[[#This Row],[Retail-Actuals]])))</f>
        <v>1</v>
      </c>
      <c r="Y494" s="36">
        <f>IF(DaybyDay[[#This Row],[_Space]],IFERROR(
((DaybyDay[[#This Row],[Actual-Rollup]]-DaybyDay[[#This Row],[LY-Rollup]])/DaybyDay[[#This Row],[LY-Rollup]]),0),"")</f>
        <v>0</v>
      </c>
      <c r="Z494"/>
      <c r="AA494" s="37" t="e">
        <f>IF(DaybyDay[[#This Row],[_Space]],DaybyDay[[#This Row],[Ret-Act-RU]]/DaybyDay[[#This Row],[Serv-Act-RU]],"")</f>
        <v>#DIV/0!</v>
      </c>
      <c r="AB494" s="50" t="e">
        <f>IF(DaybyDay[[#This Row],[_Space]],DaybyDay[[#This Row],[RETPEN-Act]]/DaybyDay[[#This Row],[RETPEN-Bud]],"")</f>
        <v>#DIV/0!</v>
      </c>
      <c r="AC494" s="37" t="e">
        <f>IF(DaybyDay[[#This Row],[_Space]],DaybyDay[[#This Row],[Ret-Bud-RU]]/DaybyDay[[#This Row],[Serv-Bud-RU]],"")</f>
        <v>#DIV/0!</v>
      </c>
      <c r="AD494" s="37" t="e">
        <f>IF(DaybyDay[[#This Row],[_Space]],DaybyDay[[#This Row],[Ret-LY-RU]]/DaybyDay[[#This Row],[Serv-LY-RU]],"")</f>
        <v>#DIV/0!</v>
      </c>
      <c r="AE494" s="30">
        <f>WEEKDAY(DaybyDay[[#This Row],[LY-Date]])</f>
        <v>5</v>
      </c>
      <c r="AF494" s="38">
        <f>$E$2+_xlfn.DAYS(DaybyDay[[#This Row],[Date]],minDate)</f>
        <v>42859</v>
      </c>
      <c r="AG494" s="39" cm="1">
        <f t="array" ref="AG494">IFERROR(INDEX(DaybyDay[],DaybyDay[[#This Row],[FORM_MATCH_HELPER]],8),"")</f>
        <v>32</v>
      </c>
      <c r="AH494" s="39" cm="1">
        <f t="array" ref="AH494">IFERROR(INDEX(DaybyDay[],DaybyDay[[#This Row],[FORM_MATCH_HELPER]],10),"")</f>
        <v>3829.6</v>
      </c>
      <c r="AI494" s="39" cm="1">
        <f t="array" ref="AI494">IFERROR(INDEX(DaybyDay[],DaybyDay[[#This Row],[FORM_MATCH_HELPER]],12),"")</f>
        <v>3147.8</v>
      </c>
      <c r="AJ494" s="32">
        <f>IFERROR(DaybyDay[[#This Row],[Serv-LY-RU]]+DaybyDay[[#This Row],[Ret-LY-RU]],"")</f>
        <v>0</v>
      </c>
      <c r="AK4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4" s="77"/>
      <c r="AM494" s="40" t="str">
        <f>IF(DaybyDay[[#This Row],[Admin Hours]]&gt;0,DaybyDay[[#This Row],[Admin Hours]]*$AM$2+$AM$3,"")</f>
        <v/>
      </c>
      <c r="AN494" s="40">
        <f>SUMIFS(DaybyDay[Est-Admin-Payroll],DaybyDay[Date],"&gt;="&amp;$C$5,DaybyDay[RowYear],"&gt;="&amp;$C$4,DaybyDay[Date],"&lt;="&amp;DaybyDay[[#This Row],[Date]])</f>
        <v>0</v>
      </c>
      <c r="AO494" s="41" t="str">
        <f>IF(AND(DaybyDay[[#This Row],[_Space]],ISNUMBER(DaybyDay[[#This Row],[Admin Hours]])),DaybyDay[[#This Row],[Est-Admin-Payroll]]/(DaybyDay[[#This Row],[Service-Actuals]]+DaybyDay[[#This Row],[Retail-Actuals]]),"")</f>
        <v/>
      </c>
      <c r="AP494" s="41" t="e">
        <f>DaybyDay[[#This Row],[Estimated-Payroll-Rollup]]/DaybyDay[[#This Row],[Simple-Forecast]]</f>
        <v>#DIV/0!</v>
      </c>
      <c r="AQ4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4" s="77"/>
      <c r="AS494" s="40" t="str">
        <f>IF(DaybyDay[[#This Row],[Retail Hours]]&gt;0,DaybyDay[[#This Row],[Retail Hours]]*$AS$2,"")</f>
        <v/>
      </c>
      <c r="AT494" s="40">
        <f>SUMIFS(DaybyDay[Est-Retail-Payroll],DaybyDay[Date],"&gt;="&amp;$C$5,DaybyDay[RowYear],"&gt;="&amp;$C$4,DaybyDay[Date],"&lt;="&amp;DaybyDay[[#This Row],[Date]])</f>
        <v>0</v>
      </c>
      <c r="AU494" s="82" t="str">
        <f>IF(AND(DaybyDay[[#This Row],[_Space]],ISNUMBER(DaybyDay[[#This Row],[Retail Hours]])),DaybyDay[[#This Row],[Est-Retail-Payroll]]/(DaybyDay[[#This Row],[Retail-Actuals]]),"")</f>
        <v/>
      </c>
      <c r="AV494" s="82" t="e">
        <f>DaybyDay[[#This Row],[Est-Retail-PayrollRU]]/DaybyDay[[#This Row],[Simple-Forecast-Retail]]</f>
        <v>#DIV/0!</v>
      </c>
      <c r="AW494" s="8"/>
    </row>
    <row r="495" spans="3:49" hidden="1" x14ac:dyDescent="0.25">
      <c r="C495" s="26" t="str">
        <f>Tools!$C$1</f>
        <v>Example</v>
      </c>
      <c r="D495" s="27" t="s">
        <v>71</v>
      </c>
      <c r="E495" s="28">
        <v>2018</v>
      </c>
      <c r="F495" s="28">
        <f>MATCH(DaybyDay[[#This Row],[RowMonth]],Table3[SummaryMonth],0)</f>
        <v>4</v>
      </c>
      <c r="G495" s="29">
        <f>MATCH(DaybyDay[[#This Row],[LY-Date]],DaybyDay[Date],0)</f>
        <v>125</v>
      </c>
      <c r="H495" s="30">
        <f>WEEKDAY(DaybyDay[[#This Row],[Date]])</f>
        <v>6</v>
      </c>
      <c r="I495" s="31">
        <v>43224</v>
      </c>
      <c r="J495" s="74">
        <v>20</v>
      </c>
      <c r="K495" s="32">
        <f>SUMIFS(BudgetSeasonality[365 Seasonality],BudgetSeasonality[MonthAdjustment],DaybyDay[[#This Row],[Date]])*SUMIFS(Budgets[Service-Budget],Budgets[BudgetMonth],DaybyDay[[#This Row],[RowMonth]],Budgets[BudgetYear],DaybyDay[[#This Row],[RowYear]])</f>
        <v>6682.6490030891855</v>
      </c>
      <c r="L495" s="75">
        <v>3013</v>
      </c>
      <c r="M495" s="32">
        <f>INDEX(BudgetSeasonality[365 Seasonality],MATCH(DaybyDay[[#This Row],[Date]],BudgetSeasonality[MonthAdjustment],0))*SUMIFS(Budgets[Retail-Budget],Budgets[BudgetMonth],DaybyDay[[#This Row],[RowMonth]],Budgets[BudgetYear],DaybyDay[[#This Row],[RowYear]])</f>
        <v>2009.110906965268</v>
      </c>
      <c r="N495" s="75">
        <v>41.9</v>
      </c>
      <c r="O495" s="33">
        <f>SUMIFS(DaybyDay[Service-Budgets],DaybyDay[Date],"&gt;="&amp;$C$5,DaybyDay[RowYear],"&gt;="&amp;$C$4,DaybyDay[Date],"&lt;="&amp;DaybyDay[[#This Row],[Date]])</f>
        <v>0</v>
      </c>
      <c r="P495" s="33">
        <f>SUMIFS(DaybyDay[Retail-Budgets],DaybyDay[Date],"&gt;="&amp;$C$5,DaybyDay[RowYear],"&gt;="&amp;$C$4,DaybyDay[Date],"&lt;="&amp;DaybyDay[[#This Row],[Date]])</f>
        <v>0</v>
      </c>
      <c r="Q495" s="34">
        <f>SUMIFS(DaybyDay[Service-Actuals],DaybyDay[Date],"&gt;="&amp;$C$5,DaybyDay[RowYear],"&gt;="&amp;$C$4,DaybyDay[Date],"&lt;="&amp;DaybyDay[[#This Row],[Date]])</f>
        <v>0</v>
      </c>
      <c r="R495" s="34">
        <f>SUMIFS(DaybyDay[Retail-Actuals],DaybyDay[Date],"&gt;="&amp;$C$5,DaybyDay[RowYear],"&gt;="&amp;$C$4,DaybyDay[Date],"&lt;="&amp;DaybyDay[[#This Row],[Date]])</f>
        <v>0</v>
      </c>
      <c r="S495" s="35">
        <f>SUMIFS(DaybyDay[Service-LY],DaybyDay[Date],"&gt;="&amp;$C$5,DaybyDay[RowYear],"&gt;="&amp;$C$4,DaybyDay[Date],"&lt;="&amp;DaybyDay[[#This Row],[Date]])</f>
        <v>0</v>
      </c>
      <c r="T495" s="35">
        <f>SUMIFS(DaybyDay[Retail-LY],DaybyDay[Date],"&gt;="&amp;$C$5,DaybyDay[RowYear],"&gt;="&amp;$C$4,DaybyDay[Date],"&lt;="&amp;DaybyDay[[#This Row],[Date]])</f>
        <v>0</v>
      </c>
      <c r="U495" s="32">
        <f>DaybyDay[[#This Row],[Serv-Bud-RU]]+DaybyDay[[#This Row],[Ret-Bud-RU]]</f>
        <v>0</v>
      </c>
      <c r="V495" s="32">
        <f>DaybyDay[[#This Row],[Serv-Act-RU]]+DaybyDay[[#This Row],[Ret-Act-RU]]</f>
        <v>0</v>
      </c>
      <c r="W495" s="36">
        <f>IF(DaybyDay[[#This Row],[_Space]],IFERROR(
((DaybyDay[[#This Row],[Actual-Rollup]]-DaybyDay[[#This Row],[Budget-Rollup]])/DaybyDay[[#This Row],[Budget-Rollup]]),0),"")</f>
        <v>0</v>
      </c>
      <c r="X495" t="b">
        <f>NOT(AND(ISBLANK(DaybyDay[[#This Row],[Appts]]),ISBLANK(DaybyDay[[#This Row],[Service-Actuals]]),ISBLANK(DaybyDay[[#This Row],[Retail-Actuals]])))</f>
        <v>1</v>
      </c>
      <c r="Y495" s="36">
        <f>IF(DaybyDay[[#This Row],[_Space]],IFERROR(
((DaybyDay[[#This Row],[Actual-Rollup]]-DaybyDay[[#This Row],[LY-Rollup]])/DaybyDay[[#This Row],[LY-Rollup]]),0),"")</f>
        <v>0</v>
      </c>
      <c r="Z495"/>
      <c r="AA495" s="37" t="e">
        <f>IF(DaybyDay[[#This Row],[_Space]],DaybyDay[[#This Row],[Ret-Act-RU]]/DaybyDay[[#This Row],[Serv-Act-RU]],"")</f>
        <v>#DIV/0!</v>
      </c>
      <c r="AB495" s="50" t="e">
        <f>IF(DaybyDay[[#This Row],[_Space]],DaybyDay[[#This Row],[RETPEN-Act]]/DaybyDay[[#This Row],[RETPEN-Bud]],"")</f>
        <v>#DIV/0!</v>
      </c>
      <c r="AC495" s="37" t="e">
        <f>IF(DaybyDay[[#This Row],[_Space]],DaybyDay[[#This Row],[Ret-Bud-RU]]/DaybyDay[[#This Row],[Serv-Bud-RU]],"")</f>
        <v>#DIV/0!</v>
      </c>
      <c r="AD495" s="37" t="e">
        <f>IF(DaybyDay[[#This Row],[_Space]],DaybyDay[[#This Row],[Ret-LY-RU]]/DaybyDay[[#This Row],[Serv-LY-RU]],"")</f>
        <v>#DIV/0!</v>
      </c>
      <c r="AE495" s="30">
        <f>WEEKDAY(DaybyDay[[#This Row],[LY-Date]])</f>
        <v>6</v>
      </c>
      <c r="AF495" s="38">
        <f>$E$2+_xlfn.DAYS(DaybyDay[[#This Row],[Date]],minDate)</f>
        <v>42860</v>
      </c>
      <c r="AG495" s="39" cm="1">
        <f t="array" ref="AG495">IFERROR(INDEX(DaybyDay[],DaybyDay[[#This Row],[FORM_MATCH_HELPER]],8),"")</f>
        <v>30</v>
      </c>
      <c r="AH495" s="39" cm="1">
        <f t="array" ref="AH495">IFERROR(INDEX(DaybyDay[],DaybyDay[[#This Row],[FORM_MATCH_HELPER]],10),"")</f>
        <v>6271</v>
      </c>
      <c r="AI495" s="39" cm="1">
        <f t="array" ref="AI495">IFERROR(INDEX(DaybyDay[],DaybyDay[[#This Row],[FORM_MATCH_HELPER]],12),"")</f>
        <v>767</v>
      </c>
      <c r="AJ495" s="32">
        <f>IFERROR(DaybyDay[[#This Row],[Serv-LY-RU]]+DaybyDay[[#This Row],[Ret-LY-RU]],"")</f>
        <v>0</v>
      </c>
      <c r="AK4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5" s="77"/>
      <c r="AM495" s="40" t="str">
        <f>IF(DaybyDay[[#This Row],[Admin Hours]]&gt;0,DaybyDay[[#This Row],[Admin Hours]]*$AM$2+$AM$3,"")</f>
        <v/>
      </c>
      <c r="AN495" s="40">
        <f>SUMIFS(DaybyDay[Est-Admin-Payroll],DaybyDay[Date],"&gt;="&amp;$C$5,DaybyDay[RowYear],"&gt;="&amp;$C$4,DaybyDay[Date],"&lt;="&amp;DaybyDay[[#This Row],[Date]])</f>
        <v>0</v>
      </c>
      <c r="AO495" s="41" t="str">
        <f>IF(AND(DaybyDay[[#This Row],[_Space]],ISNUMBER(DaybyDay[[#This Row],[Admin Hours]])),DaybyDay[[#This Row],[Est-Admin-Payroll]]/(DaybyDay[[#This Row],[Service-Actuals]]+DaybyDay[[#This Row],[Retail-Actuals]]),"")</f>
        <v/>
      </c>
      <c r="AP495" s="41" t="e">
        <f>DaybyDay[[#This Row],[Estimated-Payroll-Rollup]]/DaybyDay[[#This Row],[Simple-Forecast]]</f>
        <v>#DIV/0!</v>
      </c>
      <c r="AQ4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5" s="77"/>
      <c r="AS495" s="40" t="str">
        <f>IF(DaybyDay[[#This Row],[Retail Hours]]&gt;0,DaybyDay[[#This Row],[Retail Hours]]*$AS$2,"")</f>
        <v/>
      </c>
      <c r="AT495" s="40">
        <f>SUMIFS(DaybyDay[Est-Retail-Payroll],DaybyDay[Date],"&gt;="&amp;$C$5,DaybyDay[RowYear],"&gt;="&amp;$C$4,DaybyDay[Date],"&lt;="&amp;DaybyDay[[#This Row],[Date]])</f>
        <v>0</v>
      </c>
      <c r="AU495" s="82" t="str">
        <f>IF(AND(DaybyDay[[#This Row],[_Space]],ISNUMBER(DaybyDay[[#This Row],[Retail Hours]])),DaybyDay[[#This Row],[Est-Retail-Payroll]]/(DaybyDay[[#This Row],[Retail-Actuals]]),"")</f>
        <v/>
      </c>
      <c r="AV495" s="82" t="e">
        <f>DaybyDay[[#This Row],[Est-Retail-PayrollRU]]/DaybyDay[[#This Row],[Simple-Forecast-Retail]]</f>
        <v>#DIV/0!</v>
      </c>
      <c r="AW495" s="8"/>
    </row>
    <row r="496" spans="3:49" hidden="1" x14ac:dyDescent="0.25">
      <c r="C496" s="26" t="str">
        <f>Tools!$C$1</f>
        <v>Example</v>
      </c>
      <c r="D496" s="27" t="s">
        <v>71</v>
      </c>
      <c r="E496" s="28">
        <v>2018</v>
      </c>
      <c r="F496" s="28">
        <f>MATCH(DaybyDay[[#This Row],[RowMonth]],Table3[SummaryMonth],0)</f>
        <v>4</v>
      </c>
      <c r="G496" s="29">
        <f>MATCH(DaybyDay[[#This Row],[LY-Date]],DaybyDay[Date],0)</f>
        <v>126</v>
      </c>
      <c r="H496" s="30">
        <f>WEEKDAY(DaybyDay[[#This Row],[Date]])</f>
        <v>7</v>
      </c>
      <c r="I496" s="31">
        <v>43225</v>
      </c>
      <c r="J496" s="74">
        <v>20</v>
      </c>
      <c r="K496" s="32">
        <f>SUMIFS(BudgetSeasonality[365 Seasonality],BudgetSeasonality[MonthAdjustment],DaybyDay[[#This Row],[Date]])*SUMIFS(Budgets[Service-Budget],Budgets[BudgetMonth],DaybyDay[[#This Row],[RowMonth]],Budgets[BudgetYear],DaybyDay[[#This Row],[RowYear]])</f>
        <v>9813.8980558735602</v>
      </c>
      <c r="L496" s="75">
        <v>4163</v>
      </c>
      <c r="M496" s="32">
        <f>INDEX(BudgetSeasonality[365 Seasonality],MATCH(DaybyDay[[#This Row],[Date]],BudgetSeasonality[MonthAdjustment],0))*SUMIFS(Budgets[Retail-Budget],Budgets[BudgetMonth],DaybyDay[[#This Row],[RowMonth]],Budgets[BudgetYear],DaybyDay[[#This Row],[RowYear]])</f>
        <v>2950.5080417639983</v>
      </c>
      <c r="N496" s="75">
        <v>717</v>
      </c>
      <c r="O496" s="33">
        <f>SUMIFS(DaybyDay[Service-Budgets],DaybyDay[Date],"&gt;="&amp;$C$5,DaybyDay[RowYear],"&gt;="&amp;$C$4,DaybyDay[Date],"&lt;="&amp;DaybyDay[[#This Row],[Date]])</f>
        <v>0</v>
      </c>
      <c r="P496" s="33">
        <f>SUMIFS(DaybyDay[Retail-Budgets],DaybyDay[Date],"&gt;="&amp;$C$5,DaybyDay[RowYear],"&gt;="&amp;$C$4,DaybyDay[Date],"&lt;="&amp;DaybyDay[[#This Row],[Date]])</f>
        <v>0</v>
      </c>
      <c r="Q496" s="34">
        <f>SUMIFS(DaybyDay[Service-Actuals],DaybyDay[Date],"&gt;="&amp;$C$5,DaybyDay[RowYear],"&gt;="&amp;$C$4,DaybyDay[Date],"&lt;="&amp;DaybyDay[[#This Row],[Date]])</f>
        <v>0</v>
      </c>
      <c r="R496" s="34">
        <f>SUMIFS(DaybyDay[Retail-Actuals],DaybyDay[Date],"&gt;="&amp;$C$5,DaybyDay[RowYear],"&gt;="&amp;$C$4,DaybyDay[Date],"&lt;="&amp;DaybyDay[[#This Row],[Date]])</f>
        <v>0</v>
      </c>
      <c r="S496" s="35">
        <f>SUMIFS(DaybyDay[Service-LY],DaybyDay[Date],"&gt;="&amp;$C$5,DaybyDay[RowYear],"&gt;="&amp;$C$4,DaybyDay[Date],"&lt;="&amp;DaybyDay[[#This Row],[Date]])</f>
        <v>0</v>
      </c>
      <c r="T496" s="35">
        <f>SUMIFS(DaybyDay[Retail-LY],DaybyDay[Date],"&gt;="&amp;$C$5,DaybyDay[RowYear],"&gt;="&amp;$C$4,DaybyDay[Date],"&lt;="&amp;DaybyDay[[#This Row],[Date]])</f>
        <v>0</v>
      </c>
      <c r="U496" s="32">
        <f>DaybyDay[[#This Row],[Serv-Bud-RU]]+DaybyDay[[#This Row],[Ret-Bud-RU]]</f>
        <v>0</v>
      </c>
      <c r="V496" s="32">
        <f>DaybyDay[[#This Row],[Serv-Act-RU]]+DaybyDay[[#This Row],[Ret-Act-RU]]</f>
        <v>0</v>
      </c>
      <c r="W496" s="36">
        <f>IF(DaybyDay[[#This Row],[_Space]],IFERROR(
((DaybyDay[[#This Row],[Actual-Rollup]]-DaybyDay[[#This Row],[Budget-Rollup]])/DaybyDay[[#This Row],[Budget-Rollup]]),0),"")</f>
        <v>0</v>
      </c>
      <c r="X496" t="b">
        <f>NOT(AND(ISBLANK(DaybyDay[[#This Row],[Appts]]),ISBLANK(DaybyDay[[#This Row],[Service-Actuals]]),ISBLANK(DaybyDay[[#This Row],[Retail-Actuals]])))</f>
        <v>1</v>
      </c>
      <c r="Y496" s="36">
        <f>IF(DaybyDay[[#This Row],[_Space]],IFERROR(
((DaybyDay[[#This Row],[Actual-Rollup]]-DaybyDay[[#This Row],[LY-Rollup]])/DaybyDay[[#This Row],[LY-Rollup]]),0),"")</f>
        <v>0</v>
      </c>
      <c r="Z496"/>
      <c r="AA496" s="37" t="e">
        <f>IF(DaybyDay[[#This Row],[_Space]],DaybyDay[[#This Row],[Ret-Act-RU]]/DaybyDay[[#This Row],[Serv-Act-RU]],"")</f>
        <v>#DIV/0!</v>
      </c>
      <c r="AB496" s="50" t="e">
        <f>IF(DaybyDay[[#This Row],[_Space]],DaybyDay[[#This Row],[RETPEN-Act]]/DaybyDay[[#This Row],[RETPEN-Bud]],"")</f>
        <v>#DIV/0!</v>
      </c>
      <c r="AC496" s="37" t="e">
        <f>IF(DaybyDay[[#This Row],[_Space]],DaybyDay[[#This Row],[Ret-Bud-RU]]/DaybyDay[[#This Row],[Serv-Bud-RU]],"")</f>
        <v>#DIV/0!</v>
      </c>
      <c r="AD496" s="37" t="e">
        <f>IF(DaybyDay[[#This Row],[_Space]],DaybyDay[[#This Row],[Ret-LY-RU]]/DaybyDay[[#This Row],[Serv-LY-RU]],"")</f>
        <v>#DIV/0!</v>
      </c>
      <c r="AE496" s="30">
        <f>WEEKDAY(DaybyDay[[#This Row],[LY-Date]])</f>
        <v>7</v>
      </c>
      <c r="AF496" s="38">
        <f>$E$2+_xlfn.DAYS(DaybyDay[[#This Row],[Date]],minDate)</f>
        <v>42861</v>
      </c>
      <c r="AG496" s="39" cm="1">
        <f t="array" ref="AG496">IFERROR(INDEX(DaybyDay[],DaybyDay[[#This Row],[FORM_MATCH_HELPER]],8),"")</f>
        <v>32</v>
      </c>
      <c r="AH496" s="39" cm="1">
        <f t="array" ref="AH496">IFERROR(INDEX(DaybyDay[],DaybyDay[[#This Row],[FORM_MATCH_HELPER]],10),"")</f>
        <v>6732.3</v>
      </c>
      <c r="AI496" s="39" cm="1">
        <f t="array" ref="AI496">IFERROR(INDEX(DaybyDay[],DaybyDay[[#This Row],[FORM_MATCH_HELPER]],12),"")</f>
        <v>542</v>
      </c>
      <c r="AJ496" s="32">
        <f>IFERROR(DaybyDay[[#This Row],[Serv-LY-RU]]+DaybyDay[[#This Row],[Ret-LY-RU]],"")</f>
        <v>0</v>
      </c>
      <c r="AK4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6" s="77"/>
      <c r="AM496" s="40" t="str">
        <f>IF(DaybyDay[[#This Row],[Admin Hours]]&gt;0,DaybyDay[[#This Row],[Admin Hours]]*$AM$2+$AM$3,"")</f>
        <v/>
      </c>
      <c r="AN496" s="40">
        <f>SUMIFS(DaybyDay[Est-Admin-Payroll],DaybyDay[Date],"&gt;="&amp;$C$5,DaybyDay[RowYear],"&gt;="&amp;$C$4,DaybyDay[Date],"&lt;="&amp;DaybyDay[[#This Row],[Date]])</f>
        <v>0</v>
      </c>
      <c r="AO496" s="41" t="str">
        <f>IF(AND(DaybyDay[[#This Row],[_Space]],ISNUMBER(DaybyDay[[#This Row],[Admin Hours]])),DaybyDay[[#This Row],[Est-Admin-Payroll]]/(DaybyDay[[#This Row],[Service-Actuals]]+DaybyDay[[#This Row],[Retail-Actuals]]),"")</f>
        <v/>
      </c>
      <c r="AP496" s="41" t="e">
        <f>DaybyDay[[#This Row],[Estimated-Payroll-Rollup]]/DaybyDay[[#This Row],[Simple-Forecast]]</f>
        <v>#DIV/0!</v>
      </c>
      <c r="AQ4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6" s="77"/>
      <c r="AS496" s="40" t="str">
        <f>IF(DaybyDay[[#This Row],[Retail Hours]]&gt;0,DaybyDay[[#This Row],[Retail Hours]]*$AS$2,"")</f>
        <v/>
      </c>
      <c r="AT496" s="40">
        <f>SUMIFS(DaybyDay[Est-Retail-Payroll],DaybyDay[Date],"&gt;="&amp;$C$5,DaybyDay[RowYear],"&gt;="&amp;$C$4,DaybyDay[Date],"&lt;="&amp;DaybyDay[[#This Row],[Date]])</f>
        <v>0</v>
      </c>
      <c r="AU496" s="82" t="str">
        <f>IF(AND(DaybyDay[[#This Row],[_Space]],ISNUMBER(DaybyDay[[#This Row],[Retail Hours]])),DaybyDay[[#This Row],[Est-Retail-Payroll]]/(DaybyDay[[#This Row],[Retail-Actuals]]),"")</f>
        <v/>
      </c>
      <c r="AV496" s="82" t="e">
        <f>DaybyDay[[#This Row],[Est-Retail-PayrollRU]]/DaybyDay[[#This Row],[Simple-Forecast-Retail]]</f>
        <v>#DIV/0!</v>
      </c>
      <c r="AW496" s="8"/>
    </row>
    <row r="497" spans="3:49" hidden="1" x14ac:dyDescent="0.25">
      <c r="C497" s="26" t="str">
        <f>Tools!$C$1</f>
        <v>Example</v>
      </c>
      <c r="D497" s="27" t="s">
        <v>72</v>
      </c>
      <c r="E497" s="28">
        <v>2018</v>
      </c>
      <c r="F497" s="28">
        <f>MATCH(DaybyDay[[#This Row],[RowMonth]],Table3[SummaryMonth],0)</f>
        <v>5</v>
      </c>
      <c r="G497" s="29">
        <f>MATCH(DaybyDay[[#This Row],[LY-Date]],DaybyDay[Date],0)</f>
        <v>127</v>
      </c>
      <c r="H497" s="30">
        <f>WEEKDAY(DaybyDay[[#This Row],[Date]])</f>
        <v>1</v>
      </c>
      <c r="I497" s="31">
        <v>43226</v>
      </c>
      <c r="J497" s="74">
        <v>19</v>
      </c>
      <c r="K497" s="32">
        <f>SUMIFS(BudgetSeasonality[365 Seasonality],BudgetSeasonality[MonthAdjustment],DaybyDay[[#This Row],[Date]])*SUMIFS(Budgets[Service-Budget],Budgets[BudgetMonth],DaybyDay[[#This Row],[RowMonth]],Budgets[BudgetYear],DaybyDay[[#This Row],[RowYear]])</f>
        <v>6550.1533271042535</v>
      </c>
      <c r="L497" s="75">
        <v>3374</v>
      </c>
      <c r="M497" s="32">
        <f>INDEX(BudgetSeasonality[365 Seasonality],MATCH(DaybyDay[[#This Row],[Date]],BudgetSeasonality[MonthAdjustment],0))*SUMIFS(Budgets[Retail-Budget],Budgets[BudgetMonth],DaybyDay[[#This Row],[RowMonth]],Budgets[BudgetYear],DaybyDay[[#This Row],[RowYear]])</f>
        <v>1967.5334497464996</v>
      </c>
      <c r="N497" s="75">
        <v>206</v>
      </c>
      <c r="O497" s="33">
        <f>SUMIFS(DaybyDay[Service-Budgets],DaybyDay[Date],"&gt;="&amp;$C$5,DaybyDay[RowYear],"&gt;="&amp;$C$4,DaybyDay[Date],"&lt;="&amp;DaybyDay[[#This Row],[Date]])</f>
        <v>0</v>
      </c>
      <c r="P497" s="33">
        <f>SUMIFS(DaybyDay[Retail-Budgets],DaybyDay[Date],"&gt;="&amp;$C$5,DaybyDay[RowYear],"&gt;="&amp;$C$4,DaybyDay[Date],"&lt;="&amp;DaybyDay[[#This Row],[Date]])</f>
        <v>0</v>
      </c>
      <c r="Q497" s="34">
        <f>SUMIFS(DaybyDay[Service-Actuals],DaybyDay[Date],"&gt;="&amp;$C$5,DaybyDay[RowYear],"&gt;="&amp;$C$4,DaybyDay[Date],"&lt;="&amp;DaybyDay[[#This Row],[Date]])</f>
        <v>0</v>
      </c>
      <c r="R497" s="34">
        <f>SUMIFS(DaybyDay[Retail-Actuals],DaybyDay[Date],"&gt;="&amp;$C$5,DaybyDay[RowYear],"&gt;="&amp;$C$4,DaybyDay[Date],"&lt;="&amp;DaybyDay[[#This Row],[Date]])</f>
        <v>0</v>
      </c>
      <c r="S497" s="35">
        <f>SUMIFS(DaybyDay[Service-LY],DaybyDay[Date],"&gt;="&amp;$C$5,DaybyDay[RowYear],"&gt;="&amp;$C$4,DaybyDay[Date],"&lt;="&amp;DaybyDay[[#This Row],[Date]])</f>
        <v>0</v>
      </c>
      <c r="T497" s="35">
        <f>SUMIFS(DaybyDay[Retail-LY],DaybyDay[Date],"&gt;="&amp;$C$5,DaybyDay[RowYear],"&gt;="&amp;$C$4,DaybyDay[Date],"&lt;="&amp;DaybyDay[[#This Row],[Date]])</f>
        <v>0</v>
      </c>
      <c r="U497" s="32">
        <f>DaybyDay[[#This Row],[Serv-Bud-RU]]+DaybyDay[[#This Row],[Ret-Bud-RU]]</f>
        <v>0</v>
      </c>
      <c r="V497" s="32">
        <f>DaybyDay[[#This Row],[Serv-Act-RU]]+DaybyDay[[#This Row],[Ret-Act-RU]]</f>
        <v>0</v>
      </c>
      <c r="W497" s="36">
        <f>IF(DaybyDay[[#This Row],[_Space]],IFERROR(
((DaybyDay[[#This Row],[Actual-Rollup]]-DaybyDay[[#This Row],[Budget-Rollup]])/DaybyDay[[#This Row],[Budget-Rollup]]),0),"")</f>
        <v>0</v>
      </c>
      <c r="X497" t="b">
        <f>NOT(AND(ISBLANK(DaybyDay[[#This Row],[Appts]]),ISBLANK(DaybyDay[[#This Row],[Service-Actuals]]),ISBLANK(DaybyDay[[#This Row],[Retail-Actuals]])))</f>
        <v>1</v>
      </c>
      <c r="Y497" s="36">
        <f>IF(DaybyDay[[#This Row],[_Space]],IFERROR(
((DaybyDay[[#This Row],[Actual-Rollup]]-DaybyDay[[#This Row],[LY-Rollup]])/DaybyDay[[#This Row],[LY-Rollup]]),0),"")</f>
        <v>0</v>
      </c>
      <c r="Z497"/>
      <c r="AA497" s="37" t="e">
        <f>IF(DaybyDay[[#This Row],[_Space]],DaybyDay[[#This Row],[Ret-Act-RU]]/DaybyDay[[#This Row],[Serv-Act-RU]],"")</f>
        <v>#DIV/0!</v>
      </c>
      <c r="AB497" s="50" t="e">
        <f>IF(DaybyDay[[#This Row],[_Space]],DaybyDay[[#This Row],[RETPEN-Act]]/DaybyDay[[#This Row],[RETPEN-Bud]],"")</f>
        <v>#DIV/0!</v>
      </c>
      <c r="AC497" s="37" t="e">
        <f>IF(DaybyDay[[#This Row],[_Space]],DaybyDay[[#This Row],[Ret-Bud-RU]]/DaybyDay[[#This Row],[Serv-Bud-RU]],"")</f>
        <v>#DIV/0!</v>
      </c>
      <c r="AD497" s="37" t="e">
        <f>IF(DaybyDay[[#This Row],[_Space]],DaybyDay[[#This Row],[Ret-LY-RU]]/DaybyDay[[#This Row],[Serv-LY-RU]],"")</f>
        <v>#DIV/0!</v>
      </c>
      <c r="AE497" s="30">
        <f>WEEKDAY(DaybyDay[[#This Row],[LY-Date]])</f>
        <v>1</v>
      </c>
      <c r="AF497" s="38">
        <f>$E$2+_xlfn.DAYS(DaybyDay[[#This Row],[Date]],minDate)</f>
        <v>42862</v>
      </c>
      <c r="AG497" s="39" cm="1">
        <f t="array" ref="AG497">IFERROR(INDEX(DaybyDay[],DaybyDay[[#This Row],[FORM_MATCH_HELPER]],8),"")</f>
        <v>29</v>
      </c>
      <c r="AH497" s="39" cm="1">
        <f t="array" ref="AH497">IFERROR(INDEX(DaybyDay[],DaybyDay[[#This Row],[FORM_MATCH_HELPER]],10),"")</f>
        <v>5984.6</v>
      </c>
      <c r="AI497" s="39" cm="1">
        <f t="array" ref="AI497">IFERROR(INDEX(DaybyDay[],DaybyDay[[#This Row],[FORM_MATCH_HELPER]],12),"")</f>
        <v>426.5</v>
      </c>
      <c r="AJ497" s="32">
        <f>IFERROR(DaybyDay[[#This Row],[Serv-LY-RU]]+DaybyDay[[#This Row],[Ret-LY-RU]],"")</f>
        <v>0</v>
      </c>
      <c r="AK4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7" s="77"/>
      <c r="AM497" s="40" t="str">
        <f>IF(DaybyDay[[#This Row],[Admin Hours]]&gt;0,DaybyDay[[#This Row],[Admin Hours]]*$AM$2+$AM$3,"")</f>
        <v/>
      </c>
      <c r="AN497" s="40">
        <f>SUMIFS(DaybyDay[Est-Admin-Payroll],DaybyDay[Date],"&gt;="&amp;$C$5,DaybyDay[RowYear],"&gt;="&amp;$C$4,DaybyDay[Date],"&lt;="&amp;DaybyDay[[#This Row],[Date]])</f>
        <v>0</v>
      </c>
      <c r="AO497" s="41" t="str">
        <f>IF(AND(DaybyDay[[#This Row],[_Space]],ISNUMBER(DaybyDay[[#This Row],[Admin Hours]])),DaybyDay[[#This Row],[Est-Admin-Payroll]]/(DaybyDay[[#This Row],[Service-Actuals]]+DaybyDay[[#This Row],[Retail-Actuals]]),"")</f>
        <v/>
      </c>
      <c r="AP497" s="41" t="e">
        <f>DaybyDay[[#This Row],[Estimated-Payroll-Rollup]]/DaybyDay[[#This Row],[Simple-Forecast]]</f>
        <v>#DIV/0!</v>
      </c>
      <c r="AQ4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7" s="77"/>
      <c r="AS497" s="40" t="str">
        <f>IF(DaybyDay[[#This Row],[Retail Hours]]&gt;0,DaybyDay[[#This Row],[Retail Hours]]*$AS$2,"")</f>
        <v/>
      </c>
      <c r="AT497" s="40">
        <f>SUMIFS(DaybyDay[Est-Retail-Payroll],DaybyDay[Date],"&gt;="&amp;$C$5,DaybyDay[RowYear],"&gt;="&amp;$C$4,DaybyDay[Date],"&lt;="&amp;DaybyDay[[#This Row],[Date]])</f>
        <v>0</v>
      </c>
      <c r="AU497" s="82" t="str">
        <f>IF(AND(DaybyDay[[#This Row],[_Space]],ISNUMBER(DaybyDay[[#This Row],[Retail Hours]])),DaybyDay[[#This Row],[Est-Retail-Payroll]]/(DaybyDay[[#This Row],[Retail-Actuals]]),"")</f>
        <v/>
      </c>
      <c r="AV497" s="82" t="e">
        <f>DaybyDay[[#This Row],[Est-Retail-PayrollRU]]/DaybyDay[[#This Row],[Simple-Forecast-Retail]]</f>
        <v>#DIV/0!</v>
      </c>
      <c r="AW497" s="8"/>
    </row>
    <row r="498" spans="3:49" hidden="1" x14ac:dyDescent="0.25">
      <c r="C498" s="26" t="str">
        <f>Tools!$C$1</f>
        <v>Example</v>
      </c>
      <c r="D498" s="27" t="s">
        <v>72</v>
      </c>
      <c r="E498" s="28">
        <v>2018</v>
      </c>
      <c r="F498" s="28">
        <f>MATCH(DaybyDay[[#This Row],[RowMonth]],Table3[SummaryMonth],0)</f>
        <v>5</v>
      </c>
      <c r="G498" s="29">
        <f>MATCH(DaybyDay[[#This Row],[LY-Date]],DaybyDay[Date],0)</f>
        <v>128</v>
      </c>
      <c r="H498" s="30">
        <f>WEEKDAY(DaybyDay[[#This Row],[Date]])</f>
        <v>2</v>
      </c>
      <c r="I498" s="31">
        <v>43227</v>
      </c>
      <c r="J498" s="74">
        <v>23</v>
      </c>
      <c r="K498" s="32">
        <f>SUMIFS(BudgetSeasonality[365 Seasonality],BudgetSeasonality[MonthAdjustment],DaybyDay[[#This Row],[Date]])*SUMIFS(Budgets[Service-Budget],Budgets[BudgetMonth],DaybyDay[[#This Row],[RowMonth]],Budgets[BudgetYear],DaybyDay[[#This Row],[RowYear]])</f>
        <v>3863.9771470060568</v>
      </c>
      <c r="L498" s="75">
        <v>4119.5</v>
      </c>
      <c r="M498" s="32">
        <f>INDEX(BudgetSeasonality[365 Seasonality],MATCH(DaybyDay[[#This Row],[Date]],BudgetSeasonality[MonthAdjustment],0))*SUMIFS(Budgets[Retail-Budget],Budgets[BudgetMonth],DaybyDay[[#This Row],[RowMonth]],Budgets[BudgetYear],DaybyDay[[#This Row],[RowYear]])</f>
        <v>1160.6605076451613</v>
      </c>
      <c r="N498" s="75">
        <v>1672</v>
      </c>
      <c r="O498" s="33">
        <f>SUMIFS(DaybyDay[Service-Budgets],DaybyDay[Date],"&gt;="&amp;$C$5,DaybyDay[RowYear],"&gt;="&amp;$C$4,DaybyDay[Date],"&lt;="&amp;DaybyDay[[#This Row],[Date]])</f>
        <v>0</v>
      </c>
      <c r="P498" s="33">
        <f>SUMIFS(DaybyDay[Retail-Budgets],DaybyDay[Date],"&gt;="&amp;$C$5,DaybyDay[RowYear],"&gt;="&amp;$C$4,DaybyDay[Date],"&lt;="&amp;DaybyDay[[#This Row],[Date]])</f>
        <v>0</v>
      </c>
      <c r="Q498" s="34">
        <f>SUMIFS(DaybyDay[Service-Actuals],DaybyDay[Date],"&gt;="&amp;$C$5,DaybyDay[RowYear],"&gt;="&amp;$C$4,DaybyDay[Date],"&lt;="&amp;DaybyDay[[#This Row],[Date]])</f>
        <v>0</v>
      </c>
      <c r="R498" s="34">
        <f>SUMIFS(DaybyDay[Retail-Actuals],DaybyDay[Date],"&gt;="&amp;$C$5,DaybyDay[RowYear],"&gt;="&amp;$C$4,DaybyDay[Date],"&lt;="&amp;DaybyDay[[#This Row],[Date]])</f>
        <v>0</v>
      </c>
      <c r="S498" s="35">
        <f>SUMIFS(DaybyDay[Service-LY],DaybyDay[Date],"&gt;="&amp;$C$5,DaybyDay[RowYear],"&gt;="&amp;$C$4,DaybyDay[Date],"&lt;="&amp;DaybyDay[[#This Row],[Date]])</f>
        <v>0</v>
      </c>
      <c r="T498" s="35">
        <f>SUMIFS(DaybyDay[Retail-LY],DaybyDay[Date],"&gt;="&amp;$C$5,DaybyDay[RowYear],"&gt;="&amp;$C$4,DaybyDay[Date],"&lt;="&amp;DaybyDay[[#This Row],[Date]])</f>
        <v>0</v>
      </c>
      <c r="U498" s="32">
        <f>DaybyDay[[#This Row],[Serv-Bud-RU]]+DaybyDay[[#This Row],[Ret-Bud-RU]]</f>
        <v>0</v>
      </c>
      <c r="V498" s="32">
        <f>DaybyDay[[#This Row],[Serv-Act-RU]]+DaybyDay[[#This Row],[Ret-Act-RU]]</f>
        <v>0</v>
      </c>
      <c r="W498" s="36">
        <f>IF(DaybyDay[[#This Row],[_Space]],IFERROR(
((DaybyDay[[#This Row],[Actual-Rollup]]-DaybyDay[[#This Row],[Budget-Rollup]])/DaybyDay[[#This Row],[Budget-Rollup]]),0),"")</f>
        <v>0</v>
      </c>
      <c r="X498" t="b">
        <f>NOT(AND(ISBLANK(DaybyDay[[#This Row],[Appts]]),ISBLANK(DaybyDay[[#This Row],[Service-Actuals]]),ISBLANK(DaybyDay[[#This Row],[Retail-Actuals]])))</f>
        <v>1</v>
      </c>
      <c r="Y498" s="36">
        <f>IF(DaybyDay[[#This Row],[_Space]],IFERROR(
((DaybyDay[[#This Row],[Actual-Rollup]]-DaybyDay[[#This Row],[LY-Rollup]])/DaybyDay[[#This Row],[LY-Rollup]]),0),"")</f>
        <v>0</v>
      </c>
      <c r="Z498"/>
      <c r="AA498" s="37" t="e">
        <f>IF(DaybyDay[[#This Row],[_Space]],DaybyDay[[#This Row],[Ret-Act-RU]]/DaybyDay[[#This Row],[Serv-Act-RU]],"")</f>
        <v>#DIV/0!</v>
      </c>
      <c r="AB498" s="50" t="e">
        <f>IF(DaybyDay[[#This Row],[_Space]],DaybyDay[[#This Row],[RETPEN-Act]]/DaybyDay[[#This Row],[RETPEN-Bud]],"")</f>
        <v>#DIV/0!</v>
      </c>
      <c r="AC498" s="37" t="e">
        <f>IF(DaybyDay[[#This Row],[_Space]],DaybyDay[[#This Row],[Ret-Bud-RU]]/DaybyDay[[#This Row],[Serv-Bud-RU]],"")</f>
        <v>#DIV/0!</v>
      </c>
      <c r="AD498" s="37" t="e">
        <f>IF(DaybyDay[[#This Row],[_Space]],DaybyDay[[#This Row],[Ret-LY-RU]]/DaybyDay[[#This Row],[Serv-LY-RU]],"")</f>
        <v>#DIV/0!</v>
      </c>
      <c r="AE498" s="30">
        <f>WEEKDAY(DaybyDay[[#This Row],[LY-Date]])</f>
        <v>2</v>
      </c>
      <c r="AF498" s="38">
        <f>$E$2+_xlfn.DAYS(DaybyDay[[#This Row],[Date]],minDate)</f>
        <v>42863</v>
      </c>
      <c r="AG498" s="39" cm="1">
        <f t="array" ref="AG498">IFERROR(INDEX(DaybyDay[],DaybyDay[[#This Row],[FORM_MATCH_HELPER]],8),"")</f>
        <v>11</v>
      </c>
      <c r="AH498" s="39" cm="1">
        <f t="array" ref="AH498">IFERROR(INDEX(DaybyDay[],DaybyDay[[#This Row],[FORM_MATCH_HELPER]],10),"")</f>
        <v>3014.2</v>
      </c>
      <c r="AI498" s="39" cm="1">
        <f t="array" ref="AI498">IFERROR(INDEX(DaybyDay[],DaybyDay[[#This Row],[FORM_MATCH_HELPER]],12),"")</f>
        <v>848</v>
      </c>
      <c r="AJ498" s="32">
        <f>IFERROR(DaybyDay[[#This Row],[Serv-LY-RU]]+DaybyDay[[#This Row],[Ret-LY-RU]],"")</f>
        <v>0</v>
      </c>
      <c r="AK4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8" s="77"/>
      <c r="AM498" s="40" t="str">
        <f>IF(DaybyDay[[#This Row],[Admin Hours]]&gt;0,DaybyDay[[#This Row],[Admin Hours]]*$AM$2+$AM$3,"")</f>
        <v/>
      </c>
      <c r="AN498" s="40">
        <f>SUMIFS(DaybyDay[Est-Admin-Payroll],DaybyDay[Date],"&gt;="&amp;$C$5,DaybyDay[RowYear],"&gt;="&amp;$C$4,DaybyDay[Date],"&lt;="&amp;DaybyDay[[#This Row],[Date]])</f>
        <v>0</v>
      </c>
      <c r="AO498" s="41" t="str">
        <f>IF(AND(DaybyDay[[#This Row],[_Space]],ISNUMBER(DaybyDay[[#This Row],[Admin Hours]])),DaybyDay[[#This Row],[Est-Admin-Payroll]]/(DaybyDay[[#This Row],[Service-Actuals]]+DaybyDay[[#This Row],[Retail-Actuals]]),"")</f>
        <v/>
      </c>
      <c r="AP498" s="41" t="e">
        <f>DaybyDay[[#This Row],[Estimated-Payroll-Rollup]]/DaybyDay[[#This Row],[Simple-Forecast]]</f>
        <v>#DIV/0!</v>
      </c>
      <c r="AQ4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8" s="77"/>
      <c r="AS498" s="40" t="str">
        <f>IF(DaybyDay[[#This Row],[Retail Hours]]&gt;0,DaybyDay[[#This Row],[Retail Hours]]*$AS$2,"")</f>
        <v/>
      </c>
      <c r="AT498" s="40">
        <f>SUMIFS(DaybyDay[Est-Retail-Payroll],DaybyDay[Date],"&gt;="&amp;$C$5,DaybyDay[RowYear],"&gt;="&amp;$C$4,DaybyDay[Date],"&lt;="&amp;DaybyDay[[#This Row],[Date]])</f>
        <v>0</v>
      </c>
      <c r="AU498" s="82" t="str">
        <f>IF(AND(DaybyDay[[#This Row],[_Space]],ISNUMBER(DaybyDay[[#This Row],[Retail Hours]])),DaybyDay[[#This Row],[Est-Retail-Payroll]]/(DaybyDay[[#This Row],[Retail-Actuals]]),"")</f>
        <v/>
      </c>
      <c r="AV498" s="82" t="e">
        <f>DaybyDay[[#This Row],[Est-Retail-PayrollRU]]/DaybyDay[[#This Row],[Simple-Forecast-Retail]]</f>
        <v>#DIV/0!</v>
      </c>
      <c r="AW498" s="8"/>
    </row>
    <row r="499" spans="3:49" hidden="1" x14ac:dyDescent="0.25">
      <c r="C499" s="26" t="str">
        <f>Tools!$C$1</f>
        <v>Example</v>
      </c>
      <c r="D499" s="27" t="s">
        <v>72</v>
      </c>
      <c r="E499" s="28">
        <v>2018</v>
      </c>
      <c r="F499" s="28">
        <f>MATCH(DaybyDay[[#This Row],[RowMonth]],Table3[SummaryMonth],0)</f>
        <v>5</v>
      </c>
      <c r="G499" s="29">
        <f>MATCH(DaybyDay[[#This Row],[LY-Date]],DaybyDay[Date],0)</f>
        <v>129</v>
      </c>
      <c r="H499" s="30">
        <f>WEEKDAY(DaybyDay[[#This Row],[Date]])</f>
        <v>3</v>
      </c>
      <c r="I499" s="31">
        <v>43228</v>
      </c>
      <c r="J499" s="74">
        <v>9</v>
      </c>
      <c r="K499" s="32">
        <f>SUMIFS(BudgetSeasonality[365 Seasonality],BudgetSeasonality[MonthAdjustment],DaybyDay[[#This Row],[Date]])*SUMIFS(Budgets[Service-Budget],Budgets[BudgetMonth],DaybyDay[[#This Row],[RowMonth]],Budgets[BudgetYear],DaybyDay[[#This Row],[RowYear]])</f>
        <v>4087.1590492451141</v>
      </c>
      <c r="L499" s="75">
        <v>4221.7700000000004</v>
      </c>
      <c r="M499" s="32">
        <f>INDEX(BudgetSeasonality[365 Seasonality],MATCH(DaybyDay[[#This Row],[Date]],BudgetSeasonality[MonthAdjustment],0))*SUMIFS(Budgets[Retail-Budget],Budgets[BudgetMonth],DaybyDay[[#This Row],[RowMonth]],Budgets[BudgetYear],DaybyDay[[#This Row],[RowYear]])</f>
        <v>1227.6998326967364</v>
      </c>
      <c r="N499" s="75">
        <v>242.5</v>
      </c>
      <c r="O499" s="33">
        <f>SUMIFS(DaybyDay[Service-Budgets],DaybyDay[Date],"&gt;="&amp;$C$5,DaybyDay[RowYear],"&gt;="&amp;$C$4,DaybyDay[Date],"&lt;="&amp;DaybyDay[[#This Row],[Date]])</f>
        <v>0</v>
      </c>
      <c r="P499" s="33">
        <f>SUMIFS(DaybyDay[Retail-Budgets],DaybyDay[Date],"&gt;="&amp;$C$5,DaybyDay[RowYear],"&gt;="&amp;$C$4,DaybyDay[Date],"&lt;="&amp;DaybyDay[[#This Row],[Date]])</f>
        <v>0</v>
      </c>
      <c r="Q499" s="34">
        <f>SUMIFS(DaybyDay[Service-Actuals],DaybyDay[Date],"&gt;="&amp;$C$5,DaybyDay[RowYear],"&gt;="&amp;$C$4,DaybyDay[Date],"&lt;="&amp;DaybyDay[[#This Row],[Date]])</f>
        <v>0</v>
      </c>
      <c r="R499" s="34">
        <f>SUMIFS(DaybyDay[Retail-Actuals],DaybyDay[Date],"&gt;="&amp;$C$5,DaybyDay[RowYear],"&gt;="&amp;$C$4,DaybyDay[Date],"&lt;="&amp;DaybyDay[[#This Row],[Date]])</f>
        <v>0</v>
      </c>
      <c r="S499" s="35">
        <f>SUMIFS(DaybyDay[Service-LY],DaybyDay[Date],"&gt;="&amp;$C$5,DaybyDay[RowYear],"&gt;="&amp;$C$4,DaybyDay[Date],"&lt;="&amp;DaybyDay[[#This Row],[Date]])</f>
        <v>0</v>
      </c>
      <c r="T499" s="35">
        <f>SUMIFS(DaybyDay[Retail-LY],DaybyDay[Date],"&gt;="&amp;$C$5,DaybyDay[RowYear],"&gt;="&amp;$C$4,DaybyDay[Date],"&lt;="&amp;DaybyDay[[#This Row],[Date]])</f>
        <v>0</v>
      </c>
      <c r="U499" s="32">
        <f>DaybyDay[[#This Row],[Serv-Bud-RU]]+DaybyDay[[#This Row],[Ret-Bud-RU]]</f>
        <v>0</v>
      </c>
      <c r="V499" s="32">
        <f>DaybyDay[[#This Row],[Serv-Act-RU]]+DaybyDay[[#This Row],[Ret-Act-RU]]</f>
        <v>0</v>
      </c>
      <c r="W499" s="36">
        <f>IF(DaybyDay[[#This Row],[_Space]],IFERROR(
((DaybyDay[[#This Row],[Actual-Rollup]]-DaybyDay[[#This Row],[Budget-Rollup]])/DaybyDay[[#This Row],[Budget-Rollup]]),0),"")</f>
        <v>0</v>
      </c>
      <c r="X499" t="b">
        <f>NOT(AND(ISBLANK(DaybyDay[[#This Row],[Appts]]),ISBLANK(DaybyDay[[#This Row],[Service-Actuals]]),ISBLANK(DaybyDay[[#This Row],[Retail-Actuals]])))</f>
        <v>1</v>
      </c>
      <c r="Y499" s="36">
        <f>IF(DaybyDay[[#This Row],[_Space]],IFERROR(
((DaybyDay[[#This Row],[Actual-Rollup]]-DaybyDay[[#This Row],[LY-Rollup]])/DaybyDay[[#This Row],[LY-Rollup]]),0),"")</f>
        <v>0</v>
      </c>
      <c r="Z499"/>
      <c r="AA499" s="37" t="e">
        <f>IF(DaybyDay[[#This Row],[_Space]],DaybyDay[[#This Row],[Ret-Act-RU]]/DaybyDay[[#This Row],[Serv-Act-RU]],"")</f>
        <v>#DIV/0!</v>
      </c>
      <c r="AB499" s="50" t="e">
        <f>IF(DaybyDay[[#This Row],[_Space]],DaybyDay[[#This Row],[RETPEN-Act]]/DaybyDay[[#This Row],[RETPEN-Bud]],"")</f>
        <v>#DIV/0!</v>
      </c>
      <c r="AC499" s="37" t="e">
        <f>IF(DaybyDay[[#This Row],[_Space]],DaybyDay[[#This Row],[Ret-Bud-RU]]/DaybyDay[[#This Row],[Serv-Bud-RU]],"")</f>
        <v>#DIV/0!</v>
      </c>
      <c r="AD499" s="37" t="e">
        <f>IF(DaybyDay[[#This Row],[_Space]],DaybyDay[[#This Row],[Ret-LY-RU]]/DaybyDay[[#This Row],[Serv-LY-RU]],"")</f>
        <v>#DIV/0!</v>
      </c>
      <c r="AE499" s="30">
        <f>WEEKDAY(DaybyDay[[#This Row],[LY-Date]])</f>
        <v>3</v>
      </c>
      <c r="AF499" s="38">
        <f>$E$2+_xlfn.DAYS(DaybyDay[[#This Row],[Date]],minDate)</f>
        <v>42864</v>
      </c>
      <c r="AG499" s="39" cm="1">
        <f t="array" ref="AG499">IFERROR(INDEX(DaybyDay[],DaybyDay[[#This Row],[FORM_MATCH_HELPER]],8),"")</f>
        <v>21</v>
      </c>
      <c r="AH499" s="39" cm="1">
        <f t="array" ref="AH499">IFERROR(INDEX(DaybyDay[],DaybyDay[[#This Row],[FORM_MATCH_HELPER]],10),"")</f>
        <v>4347.2</v>
      </c>
      <c r="AI499" s="39" cm="1">
        <f t="array" ref="AI499">IFERROR(INDEX(DaybyDay[],DaybyDay[[#This Row],[FORM_MATCH_HELPER]],12),"")</f>
        <v>792</v>
      </c>
      <c r="AJ499" s="32">
        <f>IFERROR(DaybyDay[[#This Row],[Serv-LY-RU]]+DaybyDay[[#This Row],[Ret-LY-RU]],"")</f>
        <v>0</v>
      </c>
      <c r="AK4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499" s="77"/>
      <c r="AM499" s="40" t="str">
        <f>IF(DaybyDay[[#This Row],[Admin Hours]]&gt;0,DaybyDay[[#This Row],[Admin Hours]]*$AM$2+$AM$3,"")</f>
        <v/>
      </c>
      <c r="AN499" s="40">
        <f>SUMIFS(DaybyDay[Est-Admin-Payroll],DaybyDay[Date],"&gt;="&amp;$C$5,DaybyDay[RowYear],"&gt;="&amp;$C$4,DaybyDay[Date],"&lt;="&amp;DaybyDay[[#This Row],[Date]])</f>
        <v>0</v>
      </c>
      <c r="AO499" s="41" t="str">
        <f>IF(AND(DaybyDay[[#This Row],[_Space]],ISNUMBER(DaybyDay[[#This Row],[Admin Hours]])),DaybyDay[[#This Row],[Est-Admin-Payroll]]/(DaybyDay[[#This Row],[Service-Actuals]]+DaybyDay[[#This Row],[Retail-Actuals]]),"")</f>
        <v/>
      </c>
      <c r="AP499" s="41" t="e">
        <f>DaybyDay[[#This Row],[Estimated-Payroll-Rollup]]/DaybyDay[[#This Row],[Simple-Forecast]]</f>
        <v>#DIV/0!</v>
      </c>
      <c r="AQ4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499" s="77"/>
      <c r="AS499" s="40" t="str">
        <f>IF(DaybyDay[[#This Row],[Retail Hours]]&gt;0,DaybyDay[[#This Row],[Retail Hours]]*$AS$2,"")</f>
        <v/>
      </c>
      <c r="AT499" s="40">
        <f>SUMIFS(DaybyDay[Est-Retail-Payroll],DaybyDay[Date],"&gt;="&amp;$C$5,DaybyDay[RowYear],"&gt;="&amp;$C$4,DaybyDay[Date],"&lt;="&amp;DaybyDay[[#This Row],[Date]])</f>
        <v>0</v>
      </c>
      <c r="AU499" s="82" t="str">
        <f>IF(AND(DaybyDay[[#This Row],[_Space]],ISNUMBER(DaybyDay[[#This Row],[Retail Hours]])),DaybyDay[[#This Row],[Est-Retail-Payroll]]/(DaybyDay[[#This Row],[Retail-Actuals]]),"")</f>
        <v/>
      </c>
      <c r="AV499" s="82" t="e">
        <f>DaybyDay[[#This Row],[Est-Retail-PayrollRU]]/DaybyDay[[#This Row],[Simple-Forecast-Retail]]</f>
        <v>#DIV/0!</v>
      </c>
      <c r="AW499" s="8"/>
    </row>
    <row r="500" spans="3:49" hidden="1" x14ac:dyDescent="0.25">
      <c r="C500" s="26" t="str">
        <f>Tools!$C$1</f>
        <v>Example</v>
      </c>
      <c r="D500" s="27" t="s">
        <v>72</v>
      </c>
      <c r="E500" s="28">
        <v>2018</v>
      </c>
      <c r="F500" s="28">
        <f>MATCH(DaybyDay[[#This Row],[RowMonth]],Table3[SummaryMonth],0)</f>
        <v>5</v>
      </c>
      <c r="G500" s="29">
        <f>MATCH(DaybyDay[[#This Row],[LY-Date]],DaybyDay[Date],0)</f>
        <v>130</v>
      </c>
      <c r="H500" s="30">
        <f>WEEKDAY(DaybyDay[[#This Row],[Date]])</f>
        <v>4</v>
      </c>
      <c r="I500" s="31">
        <v>43229</v>
      </c>
      <c r="J500" s="74">
        <v>17</v>
      </c>
      <c r="K500" s="32">
        <f>SUMIFS(BudgetSeasonality[365 Seasonality],BudgetSeasonality[MonthAdjustment],DaybyDay[[#This Row],[Date]])*SUMIFS(Budgets[Service-Budget],Budgets[BudgetMonth],DaybyDay[[#This Row],[RowMonth]],Budgets[BudgetYear],DaybyDay[[#This Row],[RowYear]])</f>
        <v>4811.3589591816726</v>
      </c>
      <c r="L500" s="75">
        <v>4060.87</v>
      </c>
      <c r="M500" s="32">
        <f>INDEX(BudgetSeasonality[365 Seasonality],MATCH(DaybyDay[[#This Row],[Date]],BudgetSeasonality[MonthAdjustment],0))*SUMIFS(Budgets[Retail-Budget],Budgets[BudgetMonth],DaybyDay[[#This Row],[RowMonth]],Budgets[BudgetYear],DaybyDay[[#This Row],[RowYear]])</f>
        <v>1445.234824008689</v>
      </c>
      <c r="N500" s="75">
        <v>1660.9</v>
      </c>
      <c r="O500" s="33">
        <f>SUMIFS(DaybyDay[Service-Budgets],DaybyDay[Date],"&gt;="&amp;$C$5,DaybyDay[RowYear],"&gt;="&amp;$C$4,DaybyDay[Date],"&lt;="&amp;DaybyDay[[#This Row],[Date]])</f>
        <v>0</v>
      </c>
      <c r="P500" s="33">
        <f>SUMIFS(DaybyDay[Retail-Budgets],DaybyDay[Date],"&gt;="&amp;$C$5,DaybyDay[RowYear],"&gt;="&amp;$C$4,DaybyDay[Date],"&lt;="&amp;DaybyDay[[#This Row],[Date]])</f>
        <v>0</v>
      </c>
      <c r="Q500" s="34">
        <f>SUMIFS(DaybyDay[Service-Actuals],DaybyDay[Date],"&gt;="&amp;$C$5,DaybyDay[RowYear],"&gt;="&amp;$C$4,DaybyDay[Date],"&lt;="&amp;DaybyDay[[#This Row],[Date]])</f>
        <v>0</v>
      </c>
      <c r="R500" s="34">
        <f>SUMIFS(DaybyDay[Retail-Actuals],DaybyDay[Date],"&gt;="&amp;$C$5,DaybyDay[RowYear],"&gt;="&amp;$C$4,DaybyDay[Date],"&lt;="&amp;DaybyDay[[#This Row],[Date]])</f>
        <v>0</v>
      </c>
      <c r="S500" s="35">
        <f>SUMIFS(DaybyDay[Service-LY],DaybyDay[Date],"&gt;="&amp;$C$5,DaybyDay[RowYear],"&gt;="&amp;$C$4,DaybyDay[Date],"&lt;="&amp;DaybyDay[[#This Row],[Date]])</f>
        <v>0</v>
      </c>
      <c r="T500" s="35">
        <f>SUMIFS(DaybyDay[Retail-LY],DaybyDay[Date],"&gt;="&amp;$C$5,DaybyDay[RowYear],"&gt;="&amp;$C$4,DaybyDay[Date],"&lt;="&amp;DaybyDay[[#This Row],[Date]])</f>
        <v>0</v>
      </c>
      <c r="U500" s="32">
        <f>DaybyDay[[#This Row],[Serv-Bud-RU]]+DaybyDay[[#This Row],[Ret-Bud-RU]]</f>
        <v>0</v>
      </c>
      <c r="V500" s="32">
        <f>DaybyDay[[#This Row],[Serv-Act-RU]]+DaybyDay[[#This Row],[Ret-Act-RU]]</f>
        <v>0</v>
      </c>
      <c r="W500" s="36">
        <f>IF(DaybyDay[[#This Row],[_Space]],IFERROR(
((DaybyDay[[#This Row],[Actual-Rollup]]-DaybyDay[[#This Row],[Budget-Rollup]])/DaybyDay[[#This Row],[Budget-Rollup]]),0),"")</f>
        <v>0</v>
      </c>
      <c r="X500" t="b">
        <f>NOT(AND(ISBLANK(DaybyDay[[#This Row],[Appts]]),ISBLANK(DaybyDay[[#This Row],[Service-Actuals]]),ISBLANK(DaybyDay[[#This Row],[Retail-Actuals]])))</f>
        <v>1</v>
      </c>
      <c r="Y500" s="36">
        <f>IF(DaybyDay[[#This Row],[_Space]],IFERROR(
((DaybyDay[[#This Row],[Actual-Rollup]]-DaybyDay[[#This Row],[LY-Rollup]])/DaybyDay[[#This Row],[LY-Rollup]]),0),"")</f>
        <v>0</v>
      </c>
      <c r="Z500"/>
      <c r="AA500" s="37" t="e">
        <f>IF(DaybyDay[[#This Row],[_Space]],DaybyDay[[#This Row],[Ret-Act-RU]]/DaybyDay[[#This Row],[Serv-Act-RU]],"")</f>
        <v>#DIV/0!</v>
      </c>
      <c r="AB500" s="50" t="e">
        <f>IF(DaybyDay[[#This Row],[_Space]],DaybyDay[[#This Row],[RETPEN-Act]]/DaybyDay[[#This Row],[RETPEN-Bud]],"")</f>
        <v>#DIV/0!</v>
      </c>
      <c r="AC500" s="37" t="e">
        <f>IF(DaybyDay[[#This Row],[_Space]],DaybyDay[[#This Row],[Ret-Bud-RU]]/DaybyDay[[#This Row],[Serv-Bud-RU]],"")</f>
        <v>#DIV/0!</v>
      </c>
      <c r="AD500" s="37" t="e">
        <f>IF(DaybyDay[[#This Row],[_Space]],DaybyDay[[#This Row],[Ret-LY-RU]]/DaybyDay[[#This Row],[Serv-LY-RU]],"")</f>
        <v>#DIV/0!</v>
      </c>
      <c r="AE500" s="30">
        <f>WEEKDAY(DaybyDay[[#This Row],[LY-Date]])</f>
        <v>4</v>
      </c>
      <c r="AF500" s="38">
        <f>$E$2+_xlfn.DAYS(DaybyDay[[#This Row],[Date]],minDate)</f>
        <v>42865</v>
      </c>
      <c r="AG500" s="39" cm="1">
        <f t="array" ref="AG500">IFERROR(INDEX(DaybyDay[],DaybyDay[[#This Row],[FORM_MATCH_HELPER]],8),"")</f>
        <v>21</v>
      </c>
      <c r="AH500" s="39" cm="1">
        <f t="array" ref="AH500">IFERROR(INDEX(DaybyDay[],DaybyDay[[#This Row],[FORM_MATCH_HELPER]],10),"")</f>
        <v>3357</v>
      </c>
      <c r="AI500" s="39" cm="1">
        <f t="array" ref="AI500">IFERROR(INDEX(DaybyDay[],DaybyDay[[#This Row],[FORM_MATCH_HELPER]],12),"")</f>
        <v>2819.67</v>
      </c>
      <c r="AJ500" s="32">
        <f>IFERROR(DaybyDay[[#This Row],[Serv-LY-RU]]+DaybyDay[[#This Row],[Ret-LY-RU]],"")</f>
        <v>0</v>
      </c>
      <c r="AK5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0" s="77"/>
      <c r="AM500" s="40" t="str">
        <f>IF(DaybyDay[[#This Row],[Admin Hours]]&gt;0,DaybyDay[[#This Row],[Admin Hours]]*$AM$2+$AM$3,"")</f>
        <v/>
      </c>
      <c r="AN500" s="40">
        <f>SUMIFS(DaybyDay[Est-Admin-Payroll],DaybyDay[Date],"&gt;="&amp;$C$5,DaybyDay[RowYear],"&gt;="&amp;$C$4,DaybyDay[Date],"&lt;="&amp;DaybyDay[[#This Row],[Date]])</f>
        <v>0</v>
      </c>
      <c r="AO500" s="41" t="str">
        <f>IF(AND(DaybyDay[[#This Row],[_Space]],ISNUMBER(DaybyDay[[#This Row],[Admin Hours]])),DaybyDay[[#This Row],[Est-Admin-Payroll]]/(DaybyDay[[#This Row],[Service-Actuals]]+DaybyDay[[#This Row],[Retail-Actuals]]),"")</f>
        <v/>
      </c>
      <c r="AP500" s="41" t="e">
        <f>DaybyDay[[#This Row],[Estimated-Payroll-Rollup]]/DaybyDay[[#This Row],[Simple-Forecast]]</f>
        <v>#DIV/0!</v>
      </c>
      <c r="AQ5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0" s="77"/>
      <c r="AS500" s="40" t="str">
        <f>IF(DaybyDay[[#This Row],[Retail Hours]]&gt;0,DaybyDay[[#This Row],[Retail Hours]]*$AS$2,"")</f>
        <v/>
      </c>
      <c r="AT500" s="40">
        <f>SUMIFS(DaybyDay[Est-Retail-Payroll],DaybyDay[Date],"&gt;="&amp;$C$5,DaybyDay[RowYear],"&gt;="&amp;$C$4,DaybyDay[Date],"&lt;="&amp;DaybyDay[[#This Row],[Date]])</f>
        <v>0</v>
      </c>
      <c r="AU500" s="82" t="str">
        <f>IF(AND(DaybyDay[[#This Row],[_Space]],ISNUMBER(DaybyDay[[#This Row],[Retail Hours]])),DaybyDay[[#This Row],[Est-Retail-Payroll]]/(DaybyDay[[#This Row],[Retail-Actuals]]),"")</f>
        <v/>
      </c>
      <c r="AV500" s="82" t="e">
        <f>DaybyDay[[#This Row],[Est-Retail-PayrollRU]]/DaybyDay[[#This Row],[Simple-Forecast-Retail]]</f>
        <v>#DIV/0!</v>
      </c>
      <c r="AW500" s="8"/>
    </row>
    <row r="501" spans="3:49" hidden="1" x14ac:dyDescent="0.25">
      <c r="C501" s="26" t="str">
        <f>Tools!$C$1</f>
        <v>Example</v>
      </c>
      <c r="D501" s="27" t="s">
        <v>72</v>
      </c>
      <c r="E501" s="28">
        <v>2018</v>
      </c>
      <c r="F501" s="28">
        <f>MATCH(DaybyDay[[#This Row],[RowMonth]],Table3[SummaryMonth],0)</f>
        <v>5</v>
      </c>
      <c r="G501" s="29">
        <f>MATCH(DaybyDay[[#This Row],[LY-Date]],DaybyDay[Date],0)</f>
        <v>131</v>
      </c>
      <c r="H501" s="30">
        <f>WEEKDAY(DaybyDay[[#This Row],[Date]])</f>
        <v>5</v>
      </c>
      <c r="I501" s="31">
        <v>43230</v>
      </c>
      <c r="J501" s="74">
        <v>9</v>
      </c>
      <c r="K501" s="32">
        <f>SUMIFS(BudgetSeasonality[365 Seasonality],BudgetSeasonality[MonthAdjustment],DaybyDay[[#This Row],[Date]])*SUMIFS(Budgets[Service-Budget],Budgets[BudgetMonth],DaybyDay[[#This Row],[RowMonth]],Budgets[BudgetYear],DaybyDay[[#This Row],[RowYear]])</f>
        <v>5004.3390762792551</v>
      </c>
      <c r="L501" s="75">
        <v>2315</v>
      </c>
      <c r="M501" s="32">
        <f>INDEX(BudgetSeasonality[365 Seasonality],MATCH(DaybyDay[[#This Row],[Date]],BudgetSeasonality[MonthAdjustment],0))*SUMIFS(Budgets[Retail-Budget],Budgets[BudgetMonth],DaybyDay[[#This Row],[RowMonth]],Budgets[BudgetYear],DaybyDay[[#This Row],[RowYear]])</f>
        <v>1503.2021442474884</v>
      </c>
      <c r="N501" s="75">
        <v>158</v>
      </c>
      <c r="O501" s="33">
        <f>SUMIFS(DaybyDay[Service-Budgets],DaybyDay[Date],"&gt;="&amp;$C$5,DaybyDay[RowYear],"&gt;="&amp;$C$4,DaybyDay[Date],"&lt;="&amp;DaybyDay[[#This Row],[Date]])</f>
        <v>0</v>
      </c>
      <c r="P501" s="33">
        <f>SUMIFS(DaybyDay[Retail-Budgets],DaybyDay[Date],"&gt;="&amp;$C$5,DaybyDay[RowYear],"&gt;="&amp;$C$4,DaybyDay[Date],"&lt;="&amp;DaybyDay[[#This Row],[Date]])</f>
        <v>0</v>
      </c>
      <c r="Q501" s="34">
        <f>SUMIFS(DaybyDay[Service-Actuals],DaybyDay[Date],"&gt;="&amp;$C$5,DaybyDay[RowYear],"&gt;="&amp;$C$4,DaybyDay[Date],"&lt;="&amp;DaybyDay[[#This Row],[Date]])</f>
        <v>0</v>
      </c>
      <c r="R501" s="34">
        <f>SUMIFS(DaybyDay[Retail-Actuals],DaybyDay[Date],"&gt;="&amp;$C$5,DaybyDay[RowYear],"&gt;="&amp;$C$4,DaybyDay[Date],"&lt;="&amp;DaybyDay[[#This Row],[Date]])</f>
        <v>0</v>
      </c>
      <c r="S501" s="35">
        <f>SUMIFS(DaybyDay[Service-LY],DaybyDay[Date],"&gt;="&amp;$C$5,DaybyDay[RowYear],"&gt;="&amp;$C$4,DaybyDay[Date],"&lt;="&amp;DaybyDay[[#This Row],[Date]])</f>
        <v>0</v>
      </c>
      <c r="T501" s="35">
        <f>SUMIFS(DaybyDay[Retail-LY],DaybyDay[Date],"&gt;="&amp;$C$5,DaybyDay[RowYear],"&gt;="&amp;$C$4,DaybyDay[Date],"&lt;="&amp;DaybyDay[[#This Row],[Date]])</f>
        <v>0</v>
      </c>
      <c r="U501" s="32">
        <f>DaybyDay[[#This Row],[Serv-Bud-RU]]+DaybyDay[[#This Row],[Ret-Bud-RU]]</f>
        <v>0</v>
      </c>
      <c r="V501" s="32">
        <f>DaybyDay[[#This Row],[Serv-Act-RU]]+DaybyDay[[#This Row],[Ret-Act-RU]]</f>
        <v>0</v>
      </c>
      <c r="W501" s="36">
        <f>IF(DaybyDay[[#This Row],[_Space]],IFERROR(
((DaybyDay[[#This Row],[Actual-Rollup]]-DaybyDay[[#This Row],[Budget-Rollup]])/DaybyDay[[#This Row],[Budget-Rollup]]),0),"")</f>
        <v>0</v>
      </c>
      <c r="X501" t="b">
        <f>NOT(AND(ISBLANK(DaybyDay[[#This Row],[Appts]]),ISBLANK(DaybyDay[[#This Row],[Service-Actuals]]),ISBLANK(DaybyDay[[#This Row],[Retail-Actuals]])))</f>
        <v>1</v>
      </c>
      <c r="Y501" s="36">
        <f>IF(DaybyDay[[#This Row],[_Space]],IFERROR(
((DaybyDay[[#This Row],[Actual-Rollup]]-DaybyDay[[#This Row],[LY-Rollup]])/DaybyDay[[#This Row],[LY-Rollup]]),0),"")</f>
        <v>0</v>
      </c>
      <c r="Z501"/>
      <c r="AA501" s="37" t="e">
        <f>IF(DaybyDay[[#This Row],[_Space]],DaybyDay[[#This Row],[Ret-Act-RU]]/DaybyDay[[#This Row],[Serv-Act-RU]],"")</f>
        <v>#DIV/0!</v>
      </c>
      <c r="AB501" s="50" t="e">
        <f>IF(DaybyDay[[#This Row],[_Space]],DaybyDay[[#This Row],[RETPEN-Act]]/DaybyDay[[#This Row],[RETPEN-Bud]],"")</f>
        <v>#DIV/0!</v>
      </c>
      <c r="AC501" s="37" t="e">
        <f>IF(DaybyDay[[#This Row],[_Space]],DaybyDay[[#This Row],[Ret-Bud-RU]]/DaybyDay[[#This Row],[Serv-Bud-RU]],"")</f>
        <v>#DIV/0!</v>
      </c>
      <c r="AD501" s="37" t="e">
        <f>IF(DaybyDay[[#This Row],[_Space]],DaybyDay[[#This Row],[Ret-LY-RU]]/DaybyDay[[#This Row],[Serv-LY-RU]],"")</f>
        <v>#DIV/0!</v>
      </c>
      <c r="AE501" s="30">
        <f>WEEKDAY(DaybyDay[[#This Row],[LY-Date]])</f>
        <v>5</v>
      </c>
      <c r="AF501" s="38">
        <f>$E$2+_xlfn.DAYS(DaybyDay[[#This Row],[Date]],minDate)</f>
        <v>42866</v>
      </c>
      <c r="AG501" s="39" cm="1">
        <f t="array" ref="AG501">IFERROR(INDEX(DaybyDay[],DaybyDay[[#This Row],[FORM_MATCH_HELPER]],8),"")</f>
        <v>18</v>
      </c>
      <c r="AH501" s="39" cm="1">
        <f t="array" ref="AH501">IFERROR(INDEX(DaybyDay[],DaybyDay[[#This Row],[FORM_MATCH_HELPER]],10),"")</f>
        <v>3669.3</v>
      </c>
      <c r="AI501" s="39" cm="1">
        <f t="array" ref="AI501">IFERROR(INDEX(DaybyDay[],DaybyDay[[#This Row],[FORM_MATCH_HELPER]],12),"")</f>
        <v>459.5</v>
      </c>
      <c r="AJ501" s="32">
        <f>IFERROR(DaybyDay[[#This Row],[Serv-LY-RU]]+DaybyDay[[#This Row],[Ret-LY-RU]],"")</f>
        <v>0</v>
      </c>
      <c r="AK5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1" s="77"/>
      <c r="AM501" s="40" t="str">
        <f>IF(DaybyDay[[#This Row],[Admin Hours]]&gt;0,DaybyDay[[#This Row],[Admin Hours]]*$AM$2+$AM$3,"")</f>
        <v/>
      </c>
      <c r="AN501" s="40">
        <f>SUMIFS(DaybyDay[Est-Admin-Payroll],DaybyDay[Date],"&gt;="&amp;$C$5,DaybyDay[RowYear],"&gt;="&amp;$C$4,DaybyDay[Date],"&lt;="&amp;DaybyDay[[#This Row],[Date]])</f>
        <v>0</v>
      </c>
      <c r="AO501" s="41" t="str">
        <f>IF(AND(DaybyDay[[#This Row],[_Space]],ISNUMBER(DaybyDay[[#This Row],[Admin Hours]])),DaybyDay[[#This Row],[Est-Admin-Payroll]]/(DaybyDay[[#This Row],[Service-Actuals]]+DaybyDay[[#This Row],[Retail-Actuals]]),"")</f>
        <v/>
      </c>
      <c r="AP501" s="41" t="e">
        <f>DaybyDay[[#This Row],[Estimated-Payroll-Rollup]]/DaybyDay[[#This Row],[Simple-Forecast]]</f>
        <v>#DIV/0!</v>
      </c>
      <c r="AQ5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1" s="77"/>
      <c r="AS501" s="40" t="str">
        <f>IF(DaybyDay[[#This Row],[Retail Hours]]&gt;0,DaybyDay[[#This Row],[Retail Hours]]*$AS$2,"")</f>
        <v/>
      </c>
      <c r="AT501" s="40">
        <f>SUMIFS(DaybyDay[Est-Retail-Payroll],DaybyDay[Date],"&gt;="&amp;$C$5,DaybyDay[RowYear],"&gt;="&amp;$C$4,DaybyDay[Date],"&lt;="&amp;DaybyDay[[#This Row],[Date]])</f>
        <v>0</v>
      </c>
      <c r="AU501" s="82" t="str">
        <f>IF(AND(DaybyDay[[#This Row],[_Space]],ISNUMBER(DaybyDay[[#This Row],[Retail Hours]])),DaybyDay[[#This Row],[Est-Retail-Payroll]]/(DaybyDay[[#This Row],[Retail-Actuals]]),"")</f>
        <v/>
      </c>
      <c r="AV501" s="82" t="e">
        <f>DaybyDay[[#This Row],[Est-Retail-PayrollRU]]/DaybyDay[[#This Row],[Simple-Forecast-Retail]]</f>
        <v>#DIV/0!</v>
      </c>
      <c r="AW501" s="8"/>
    </row>
    <row r="502" spans="3:49" hidden="1" x14ac:dyDescent="0.25">
      <c r="C502" s="26" t="str">
        <f>Tools!$C$1</f>
        <v>Example</v>
      </c>
      <c r="D502" s="27" t="s">
        <v>72</v>
      </c>
      <c r="E502" s="28">
        <v>2018</v>
      </c>
      <c r="F502" s="28">
        <f>MATCH(DaybyDay[[#This Row],[RowMonth]],Table3[SummaryMonth],0)</f>
        <v>5</v>
      </c>
      <c r="G502" s="29">
        <f>MATCH(DaybyDay[[#This Row],[LY-Date]],DaybyDay[Date],0)</f>
        <v>132</v>
      </c>
      <c r="H502" s="30">
        <f>WEEKDAY(DaybyDay[[#This Row],[Date]])</f>
        <v>6</v>
      </c>
      <c r="I502" s="31">
        <v>43231</v>
      </c>
      <c r="J502" s="74">
        <v>28</v>
      </c>
      <c r="K502" s="32">
        <f>SUMIFS(BudgetSeasonality[365 Seasonality],BudgetSeasonality[MonthAdjustment],DaybyDay[[#This Row],[Date]])*SUMIFS(Budgets[Service-Budget],Budgets[BudgetMonth],DaybyDay[[#This Row],[RowMonth]],Budgets[BudgetYear],DaybyDay[[#This Row],[RowYear]])</f>
        <v>6262.8506510361985</v>
      </c>
      <c r="L502" s="75">
        <v>6505.95</v>
      </c>
      <c r="M502" s="32">
        <f>INDEX(BudgetSeasonality[365 Seasonality],MATCH(DaybyDay[[#This Row],[Date]],BudgetSeasonality[MonthAdjustment],0))*SUMIFS(Budgets[Retail-Budget],Budgets[BudgetMonth],DaybyDay[[#This Row],[RowMonth]],Budgets[BudgetYear],DaybyDay[[#This Row],[RowYear]])</f>
        <v>1881.2335423799825</v>
      </c>
      <c r="N502" s="75">
        <v>1420.6</v>
      </c>
      <c r="O502" s="33">
        <f>SUMIFS(DaybyDay[Service-Budgets],DaybyDay[Date],"&gt;="&amp;$C$5,DaybyDay[RowYear],"&gt;="&amp;$C$4,DaybyDay[Date],"&lt;="&amp;DaybyDay[[#This Row],[Date]])</f>
        <v>0</v>
      </c>
      <c r="P502" s="33">
        <f>SUMIFS(DaybyDay[Retail-Budgets],DaybyDay[Date],"&gt;="&amp;$C$5,DaybyDay[RowYear],"&gt;="&amp;$C$4,DaybyDay[Date],"&lt;="&amp;DaybyDay[[#This Row],[Date]])</f>
        <v>0</v>
      </c>
      <c r="Q502" s="34">
        <f>SUMIFS(DaybyDay[Service-Actuals],DaybyDay[Date],"&gt;="&amp;$C$5,DaybyDay[RowYear],"&gt;="&amp;$C$4,DaybyDay[Date],"&lt;="&amp;DaybyDay[[#This Row],[Date]])</f>
        <v>0</v>
      </c>
      <c r="R502" s="34">
        <f>SUMIFS(DaybyDay[Retail-Actuals],DaybyDay[Date],"&gt;="&amp;$C$5,DaybyDay[RowYear],"&gt;="&amp;$C$4,DaybyDay[Date],"&lt;="&amp;DaybyDay[[#This Row],[Date]])</f>
        <v>0</v>
      </c>
      <c r="S502" s="35">
        <f>SUMIFS(DaybyDay[Service-LY],DaybyDay[Date],"&gt;="&amp;$C$5,DaybyDay[RowYear],"&gt;="&amp;$C$4,DaybyDay[Date],"&lt;="&amp;DaybyDay[[#This Row],[Date]])</f>
        <v>0</v>
      </c>
      <c r="T502" s="35">
        <f>SUMIFS(DaybyDay[Retail-LY],DaybyDay[Date],"&gt;="&amp;$C$5,DaybyDay[RowYear],"&gt;="&amp;$C$4,DaybyDay[Date],"&lt;="&amp;DaybyDay[[#This Row],[Date]])</f>
        <v>0</v>
      </c>
      <c r="U502" s="32">
        <f>DaybyDay[[#This Row],[Serv-Bud-RU]]+DaybyDay[[#This Row],[Ret-Bud-RU]]</f>
        <v>0</v>
      </c>
      <c r="V502" s="32">
        <f>DaybyDay[[#This Row],[Serv-Act-RU]]+DaybyDay[[#This Row],[Ret-Act-RU]]</f>
        <v>0</v>
      </c>
      <c r="W502" s="36">
        <f>IF(DaybyDay[[#This Row],[_Space]],IFERROR(
((DaybyDay[[#This Row],[Actual-Rollup]]-DaybyDay[[#This Row],[Budget-Rollup]])/DaybyDay[[#This Row],[Budget-Rollup]]),0),"")</f>
        <v>0</v>
      </c>
      <c r="X502" t="b">
        <f>NOT(AND(ISBLANK(DaybyDay[[#This Row],[Appts]]),ISBLANK(DaybyDay[[#This Row],[Service-Actuals]]),ISBLANK(DaybyDay[[#This Row],[Retail-Actuals]])))</f>
        <v>1</v>
      </c>
      <c r="Y502" s="36">
        <f>IF(DaybyDay[[#This Row],[_Space]],IFERROR(
((DaybyDay[[#This Row],[Actual-Rollup]]-DaybyDay[[#This Row],[LY-Rollup]])/DaybyDay[[#This Row],[LY-Rollup]]),0),"")</f>
        <v>0</v>
      </c>
      <c r="Z502"/>
      <c r="AA502" s="37" t="e">
        <f>IF(DaybyDay[[#This Row],[_Space]],DaybyDay[[#This Row],[Ret-Act-RU]]/DaybyDay[[#This Row],[Serv-Act-RU]],"")</f>
        <v>#DIV/0!</v>
      </c>
      <c r="AB502" s="50" t="e">
        <f>IF(DaybyDay[[#This Row],[_Space]],DaybyDay[[#This Row],[RETPEN-Act]]/DaybyDay[[#This Row],[RETPEN-Bud]],"")</f>
        <v>#DIV/0!</v>
      </c>
      <c r="AC502" s="37" t="e">
        <f>IF(DaybyDay[[#This Row],[_Space]],DaybyDay[[#This Row],[Ret-Bud-RU]]/DaybyDay[[#This Row],[Serv-Bud-RU]],"")</f>
        <v>#DIV/0!</v>
      </c>
      <c r="AD502" s="37" t="e">
        <f>IF(DaybyDay[[#This Row],[_Space]],DaybyDay[[#This Row],[Ret-LY-RU]]/DaybyDay[[#This Row],[Serv-LY-RU]],"")</f>
        <v>#DIV/0!</v>
      </c>
      <c r="AE502" s="30">
        <f>WEEKDAY(DaybyDay[[#This Row],[LY-Date]])</f>
        <v>6</v>
      </c>
      <c r="AF502" s="38">
        <f>$E$2+_xlfn.DAYS(DaybyDay[[#This Row],[Date]],minDate)</f>
        <v>42867</v>
      </c>
      <c r="AG502" s="39" cm="1">
        <f t="array" ref="AG502">IFERROR(INDEX(DaybyDay[],DaybyDay[[#This Row],[FORM_MATCH_HELPER]],8),"")</f>
        <v>28</v>
      </c>
      <c r="AH502" s="39" cm="1">
        <f t="array" ref="AH502">IFERROR(INDEX(DaybyDay[],DaybyDay[[#This Row],[FORM_MATCH_HELPER]],10),"")</f>
        <v>4743.8</v>
      </c>
      <c r="AI502" s="39" cm="1">
        <f t="array" ref="AI502">IFERROR(INDEX(DaybyDay[],DaybyDay[[#This Row],[FORM_MATCH_HELPER]],12),"")</f>
        <v>1305</v>
      </c>
      <c r="AJ502" s="32">
        <f>IFERROR(DaybyDay[[#This Row],[Serv-LY-RU]]+DaybyDay[[#This Row],[Ret-LY-RU]],"")</f>
        <v>0</v>
      </c>
      <c r="AK5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2" s="77"/>
      <c r="AM502" s="40" t="str">
        <f>IF(DaybyDay[[#This Row],[Admin Hours]]&gt;0,DaybyDay[[#This Row],[Admin Hours]]*$AM$2+$AM$3,"")</f>
        <v/>
      </c>
      <c r="AN502" s="40">
        <f>SUMIFS(DaybyDay[Est-Admin-Payroll],DaybyDay[Date],"&gt;="&amp;$C$5,DaybyDay[RowYear],"&gt;="&amp;$C$4,DaybyDay[Date],"&lt;="&amp;DaybyDay[[#This Row],[Date]])</f>
        <v>0</v>
      </c>
      <c r="AO502" s="41" t="str">
        <f>IF(AND(DaybyDay[[#This Row],[_Space]],ISNUMBER(DaybyDay[[#This Row],[Admin Hours]])),DaybyDay[[#This Row],[Est-Admin-Payroll]]/(DaybyDay[[#This Row],[Service-Actuals]]+DaybyDay[[#This Row],[Retail-Actuals]]),"")</f>
        <v/>
      </c>
      <c r="AP502" s="41" t="e">
        <f>DaybyDay[[#This Row],[Estimated-Payroll-Rollup]]/DaybyDay[[#This Row],[Simple-Forecast]]</f>
        <v>#DIV/0!</v>
      </c>
      <c r="AQ5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2" s="77"/>
      <c r="AS502" s="40" t="str">
        <f>IF(DaybyDay[[#This Row],[Retail Hours]]&gt;0,DaybyDay[[#This Row],[Retail Hours]]*$AS$2,"")</f>
        <v/>
      </c>
      <c r="AT502" s="40">
        <f>SUMIFS(DaybyDay[Est-Retail-Payroll],DaybyDay[Date],"&gt;="&amp;$C$5,DaybyDay[RowYear],"&gt;="&amp;$C$4,DaybyDay[Date],"&lt;="&amp;DaybyDay[[#This Row],[Date]])</f>
        <v>0</v>
      </c>
      <c r="AU502" s="82" t="str">
        <f>IF(AND(DaybyDay[[#This Row],[_Space]],ISNUMBER(DaybyDay[[#This Row],[Retail Hours]])),DaybyDay[[#This Row],[Est-Retail-Payroll]]/(DaybyDay[[#This Row],[Retail-Actuals]]),"")</f>
        <v/>
      </c>
      <c r="AV502" s="82" t="e">
        <f>DaybyDay[[#This Row],[Est-Retail-PayrollRU]]/DaybyDay[[#This Row],[Simple-Forecast-Retail]]</f>
        <v>#DIV/0!</v>
      </c>
      <c r="AW502" s="8"/>
    </row>
    <row r="503" spans="3:49" hidden="1" x14ac:dyDescent="0.25">
      <c r="C503" s="26" t="str">
        <f>Tools!$C$1</f>
        <v>Example</v>
      </c>
      <c r="D503" s="27" t="s">
        <v>72</v>
      </c>
      <c r="E503" s="28">
        <v>2018</v>
      </c>
      <c r="F503" s="28">
        <f>MATCH(DaybyDay[[#This Row],[RowMonth]],Table3[SummaryMonth],0)</f>
        <v>5</v>
      </c>
      <c r="G503" s="29">
        <f>MATCH(DaybyDay[[#This Row],[LY-Date]],DaybyDay[Date],0)</f>
        <v>133</v>
      </c>
      <c r="H503" s="30">
        <f>WEEKDAY(DaybyDay[[#This Row],[Date]])</f>
        <v>7</v>
      </c>
      <c r="I503" s="31">
        <v>43232</v>
      </c>
      <c r="J503" s="74">
        <v>20</v>
      </c>
      <c r="K503" s="32">
        <f>SUMIFS(BudgetSeasonality[365 Seasonality],BudgetSeasonality[MonthAdjustment],DaybyDay[[#This Row],[Date]])*SUMIFS(Budgets[Service-Budget],Budgets[BudgetMonth],DaybyDay[[#This Row],[RowMonth]],Budgets[BudgetYear],DaybyDay[[#This Row],[RowYear]])</f>
        <v>8863.878368158943</v>
      </c>
      <c r="L503" s="75">
        <v>7951</v>
      </c>
      <c r="M503" s="32">
        <f>INDEX(BudgetSeasonality[365 Seasonality],MATCH(DaybyDay[[#This Row],[Date]],BudgetSeasonality[MonthAdjustment],0))*SUMIFS(Budgets[Retail-Budget],Budgets[BudgetMonth],DaybyDay[[#This Row],[RowMonth]],Budgets[BudgetYear],DaybyDay[[#This Row],[RowYear]])</f>
        <v>2662.5296100583264</v>
      </c>
      <c r="N503" s="75">
        <v>3344.4</v>
      </c>
      <c r="O503" s="33">
        <f>SUMIFS(DaybyDay[Service-Budgets],DaybyDay[Date],"&gt;="&amp;$C$5,DaybyDay[RowYear],"&gt;="&amp;$C$4,DaybyDay[Date],"&lt;="&amp;DaybyDay[[#This Row],[Date]])</f>
        <v>0</v>
      </c>
      <c r="P503" s="33">
        <f>SUMIFS(DaybyDay[Retail-Budgets],DaybyDay[Date],"&gt;="&amp;$C$5,DaybyDay[RowYear],"&gt;="&amp;$C$4,DaybyDay[Date],"&lt;="&amp;DaybyDay[[#This Row],[Date]])</f>
        <v>0</v>
      </c>
      <c r="Q503" s="34">
        <f>SUMIFS(DaybyDay[Service-Actuals],DaybyDay[Date],"&gt;="&amp;$C$5,DaybyDay[RowYear],"&gt;="&amp;$C$4,DaybyDay[Date],"&lt;="&amp;DaybyDay[[#This Row],[Date]])</f>
        <v>0</v>
      </c>
      <c r="R503" s="34">
        <f>SUMIFS(DaybyDay[Retail-Actuals],DaybyDay[Date],"&gt;="&amp;$C$5,DaybyDay[RowYear],"&gt;="&amp;$C$4,DaybyDay[Date],"&lt;="&amp;DaybyDay[[#This Row],[Date]])</f>
        <v>0</v>
      </c>
      <c r="S503" s="35">
        <f>SUMIFS(DaybyDay[Service-LY],DaybyDay[Date],"&gt;="&amp;$C$5,DaybyDay[RowYear],"&gt;="&amp;$C$4,DaybyDay[Date],"&lt;="&amp;DaybyDay[[#This Row],[Date]])</f>
        <v>0</v>
      </c>
      <c r="T503" s="35">
        <f>SUMIFS(DaybyDay[Retail-LY],DaybyDay[Date],"&gt;="&amp;$C$5,DaybyDay[RowYear],"&gt;="&amp;$C$4,DaybyDay[Date],"&lt;="&amp;DaybyDay[[#This Row],[Date]])</f>
        <v>0</v>
      </c>
      <c r="U503" s="32">
        <f>DaybyDay[[#This Row],[Serv-Bud-RU]]+DaybyDay[[#This Row],[Ret-Bud-RU]]</f>
        <v>0</v>
      </c>
      <c r="V503" s="32">
        <f>DaybyDay[[#This Row],[Serv-Act-RU]]+DaybyDay[[#This Row],[Ret-Act-RU]]</f>
        <v>0</v>
      </c>
      <c r="W503" s="36">
        <f>IF(DaybyDay[[#This Row],[_Space]],IFERROR(
((DaybyDay[[#This Row],[Actual-Rollup]]-DaybyDay[[#This Row],[Budget-Rollup]])/DaybyDay[[#This Row],[Budget-Rollup]]),0),"")</f>
        <v>0</v>
      </c>
      <c r="X503" t="b">
        <f>NOT(AND(ISBLANK(DaybyDay[[#This Row],[Appts]]),ISBLANK(DaybyDay[[#This Row],[Service-Actuals]]),ISBLANK(DaybyDay[[#This Row],[Retail-Actuals]])))</f>
        <v>1</v>
      </c>
      <c r="Y503" s="36">
        <f>IF(DaybyDay[[#This Row],[_Space]],IFERROR(
((DaybyDay[[#This Row],[Actual-Rollup]]-DaybyDay[[#This Row],[LY-Rollup]])/DaybyDay[[#This Row],[LY-Rollup]]),0),"")</f>
        <v>0</v>
      </c>
      <c r="Z503"/>
      <c r="AA503" s="37" t="e">
        <f>IF(DaybyDay[[#This Row],[_Space]],DaybyDay[[#This Row],[Ret-Act-RU]]/DaybyDay[[#This Row],[Serv-Act-RU]],"")</f>
        <v>#DIV/0!</v>
      </c>
      <c r="AB503" s="50" t="e">
        <f>IF(DaybyDay[[#This Row],[_Space]],DaybyDay[[#This Row],[RETPEN-Act]]/DaybyDay[[#This Row],[RETPEN-Bud]],"")</f>
        <v>#DIV/0!</v>
      </c>
      <c r="AC503" s="37" t="e">
        <f>IF(DaybyDay[[#This Row],[_Space]],DaybyDay[[#This Row],[Ret-Bud-RU]]/DaybyDay[[#This Row],[Serv-Bud-RU]],"")</f>
        <v>#DIV/0!</v>
      </c>
      <c r="AD503" s="37" t="e">
        <f>IF(DaybyDay[[#This Row],[_Space]],DaybyDay[[#This Row],[Ret-LY-RU]]/DaybyDay[[#This Row],[Serv-LY-RU]],"")</f>
        <v>#DIV/0!</v>
      </c>
      <c r="AE503" s="30">
        <f>WEEKDAY(DaybyDay[[#This Row],[LY-Date]])</f>
        <v>7</v>
      </c>
      <c r="AF503" s="38">
        <f>$E$2+_xlfn.DAYS(DaybyDay[[#This Row],[Date]],minDate)</f>
        <v>42868</v>
      </c>
      <c r="AG503" s="39" cm="1">
        <f t="array" ref="AG503">IFERROR(INDEX(DaybyDay[],DaybyDay[[#This Row],[FORM_MATCH_HELPER]],8),"")</f>
        <v>43</v>
      </c>
      <c r="AH503" s="39" cm="1">
        <f t="array" ref="AH503">IFERROR(INDEX(DaybyDay[],DaybyDay[[#This Row],[FORM_MATCH_HELPER]],10),"")</f>
        <v>8119</v>
      </c>
      <c r="AI503" s="39" cm="1">
        <f t="array" ref="AI503">IFERROR(INDEX(DaybyDay[],DaybyDay[[#This Row],[FORM_MATCH_HELPER]],12),"")</f>
        <v>1347.5</v>
      </c>
      <c r="AJ503" s="32">
        <f>IFERROR(DaybyDay[[#This Row],[Serv-LY-RU]]+DaybyDay[[#This Row],[Ret-LY-RU]],"")</f>
        <v>0</v>
      </c>
      <c r="AK5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3" s="77"/>
      <c r="AM503" s="40" t="str">
        <f>IF(DaybyDay[[#This Row],[Admin Hours]]&gt;0,DaybyDay[[#This Row],[Admin Hours]]*$AM$2+$AM$3,"")</f>
        <v/>
      </c>
      <c r="AN503" s="40">
        <f>SUMIFS(DaybyDay[Est-Admin-Payroll],DaybyDay[Date],"&gt;="&amp;$C$5,DaybyDay[RowYear],"&gt;="&amp;$C$4,DaybyDay[Date],"&lt;="&amp;DaybyDay[[#This Row],[Date]])</f>
        <v>0</v>
      </c>
      <c r="AO503" s="41" t="str">
        <f>IF(AND(DaybyDay[[#This Row],[_Space]],ISNUMBER(DaybyDay[[#This Row],[Admin Hours]])),DaybyDay[[#This Row],[Est-Admin-Payroll]]/(DaybyDay[[#This Row],[Service-Actuals]]+DaybyDay[[#This Row],[Retail-Actuals]]),"")</f>
        <v/>
      </c>
      <c r="AP503" s="41" t="e">
        <f>DaybyDay[[#This Row],[Estimated-Payroll-Rollup]]/DaybyDay[[#This Row],[Simple-Forecast]]</f>
        <v>#DIV/0!</v>
      </c>
      <c r="AQ5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3" s="77"/>
      <c r="AS503" s="40" t="str">
        <f>IF(DaybyDay[[#This Row],[Retail Hours]]&gt;0,DaybyDay[[#This Row],[Retail Hours]]*$AS$2,"")</f>
        <v/>
      </c>
      <c r="AT503" s="40">
        <f>SUMIFS(DaybyDay[Est-Retail-Payroll],DaybyDay[Date],"&gt;="&amp;$C$5,DaybyDay[RowYear],"&gt;="&amp;$C$4,DaybyDay[Date],"&lt;="&amp;DaybyDay[[#This Row],[Date]])</f>
        <v>0</v>
      </c>
      <c r="AU503" s="82" t="str">
        <f>IF(AND(DaybyDay[[#This Row],[_Space]],ISNUMBER(DaybyDay[[#This Row],[Retail Hours]])),DaybyDay[[#This Row],[Est-Retail-Payroll]]/(DaybyDay[[#This Row],[Retail-Actuals]]),"")</f>
        <v/>
      </c>
      <c r="AV503" s="82" t="e">
        <f>DaybyDay[[#This Row],[Est-Retail-PayrollRU]]/DaybyDay[[#This Row],[Simple-Forecast-Retail]]</f>
        <v>#DIV/0!</v>
      </c>
      <c r="AW503" s="8"/>
    </row>
    <row r="504" spans="3:49" hidden="1" x14ac:dyDescent="0.25">
      <c r="C504" s="26" t="str">
        <f>Tools!$C$1</f>
        <v>Example</v>
      </c>
      <c r="D504" s="27" t="s">
        <v>72</v>
      </c>
      <c r="E504" s="28">
        <v>2018</v>
      </c>
      <c r="F504" s="28">
        <f>MATCH(DaybyDay[[#This Row],[RowMonth]],Table3[SummaryMonth],0)</f>
        <v>5</v>
      </c>
      <c r="G504" s="29">
        <f>MATCH(DaybyDay[[#This Row],[LY-Date]],DaybyDay[Date],0)</f>
        <v>134</v>
      </c>
      <c r="H504" s="30">
        <f>WEEKDAY(DaybyDay[[#This Row],[Date]])</f>
        <v>1</v>
      </c>
      <c r="I504" s="31">
        <v>43233</v>
      </c>
      <c r="J504" s="74">
        <v>37</v>
      </c>
      <c r="K504" s="32">
        <f>SUMIFS(BudgetSeasonality[365 Seasonality],BudgetSeasonality[MonthAdjustment],DaybyDay[[#This Row],[Date]])*SUMIFS(Budgets[Service-Budget],Budgets[BudgetMonth],DaybyDay[[#This Row],[RowMonth]],Budgets[BudgetYear],DaybyDay[[#This Row],[RowYear]])</f>
        <v>10217.55368646711</v>
      </c>
      <c r="L504" s="75">
        <v>7349</v>
      </c>
      <c r="M504" s="32">
        <f>INDEX(BudgetSeasonality[365 Seasonality],MATCH(DaybyDay[[#This Row],[Date]],BudgetSeasonality[MonthAdjustment],0))*SUMIFS(Budgets[Retail-Budget],Budgets[BudgetMonth],DaybyDay[[#This Row],[RowMonth]],Budgets[BudgetYear],DaybyDay[[#This Row],[RowYear]])</f>
        <v>3069.1462701365749</v>
      </c>
      <c r="N504" s="75">
        <v>2514.5</v>
      </c>
      <c r="O504" s="33">
        <f>SUMIFS(DaybyDay[Service-Budgets],DaybyDay[Date],"&gt;="&amp;$C$5,DaybyDay[RowYear],"&gt;="&amp;$C$4,DaybyDay[Date],"&lt;="&amp;DaybyDay[[#This Row],[Date]])</f>
        <v>0</v>
      </c>
      <c r="P504" s="33">
        <f>SUMIFS(DaybyDay[Retail-Budgets],DaybyDay[Date],"&gt;="&amp;$C$5,DaybyDay[RowYear],"&gt;="&amp;$C$4,DaybyDay[Date],"&lt;="&amp;DaybyDay[[#This Row],[Date]])</f>
        <v>0</v>
      </c>
      <c r="Q504" s="34">
        <f>SUMIFS(DaybyDay[Service-Actuals],DaybyDay[Date],"&gt;="&amp;$C$5,DaybyDay[RowYear],"&gt;="&amp;$C$4,DaybyDay[Date],"&lt;="&amp;DaybyDay[[#This Row],[Date]])</f>
        <v>0</v>
      </c>
      <c r="R504" s="34">
        <f>SUMIFS(DaybyDay[Retail-Actuals],DaybyDay[Date],"&gt;="&amp;$C$5,DaybyDay[RowYear],"&gt;="&amp;$C$4,DaybyDay[Date],"&lt;="&amp;DaybyDay[[#This Row],[Date]])</f>
        <v>0</v>
      </c>
      <c r="S504" s="35">
        <f>SUMIFS(DaybyDay[Service-LY],DaybyDay[Date],"&gt;="&amp;$C$5,DaybyDay[RowYear],"&gt;="&amp;$C$4,DaybyDay[Date],"&lt;="&amp;DaybyDay[[#This Row],[Date]])</f>
        <v>0</v>
      </c>
      <c r="T504" s="35">
        <f>SUMIFS(DaybyDay[Retail-LY],DaybyDay[Date],"&gt;="&amp;$C$5,DaybyDay[RowYear],"&gt;="&amp;$C$4,DaybyDay[Date],"&lt;="&amp;DaybyDay[[#This Row],[Date]])</f>
        <v>0</v>
      </c>
      <c r="U504" s="32">
        <f>DaybyDay[[#This Row],[Serv-Bud-RU]]+DaybyDay[[#This Row],[Ret-Bud-RU]]</f>
        <v>0</v>
      </c>
      <c r="V504" s="32">
        <f>DaybyDay[[#This Row],[Serv-Act-RU]]+DaybyDay[[#This Row],[Ret-Act-RU]]</f>
        <v>0</v>
      </c>
      <c r="W504" s="36">
        <f>IF(DaybyDay[[#This Row],[_Space]],IFERROR(
((DaybyDay[[#This Row],[Actual-Rollup]]-DaybyDay[[#This Row],[Budget-Rollup]])/DaybyDay[[#This Row],[Budget-Rollup]]),0),"")</f>
        <v>0</v>
      </c>
      <c r="X504" t="b">
        <f>NOT(AND(ISBLANK(DaybyDay[[#This Row],[Appts]]),ISBLANK(DaybyDay[[#This Row],[Service-Actuals]]),ISBLANK(DaybyDay[[#This Row],[Retail-Actuals]])))</f>
        <v>1</v>
      </c>
      <c r="Y504" s="36">
        <f>IF(DaybyDay[[#This Row],[_Space]],IFERROR(
((DaybyDay[[#This Row],[Actual-Rollup]]-DaybyDay[[#This Row],[LY-Rollup]])/DaybyDay[[#This Row],[LY-Rollup]]),0),"")</f>
        <v>0</v>
      </c>
      <c r="Z504"/>
      <c r="AA504" s="37" t="e">
        <f>IF(DaybyDay[[#This Row],[_Space]],DaybyDay[[#This Row],[Ret-Act-RU]]/DaybyDay[[#This Row],[Serv-Act-RU]],"")</f>
        <v>#DIV/0!</v>
      </c>
      <c r="AB504" s="50" t="e">
        <f>IF(DaybyDay[[#This Row],[_Space]],DaybyDay[[#This Row],[RETPEN-Act]]/DaybyDay[[#This Row],[RETPEN-Bud]],"")</f>
        <v>#DIV/0!</v>
      </c>
      <c r="AC504" s="37" t="e">
        <f>IF(DaybyDay[[#This Row],[_Space]],DaybyDay[[#This Row],[Ret-Bud-RU]]/DaybyDay[[#This Row],[Serv-Bud-RU]],"")</f>
        <v>#DIV/0!</v>
      </c>
      <c r="AD504" s="37" t="e">
        <f>IF(DaybyDay[[#This Row],[_Space]],DaybyDay[[#This Row],[Ret-LY-RU]]/DaybyDay[[#This Row],[Serv-LY-RU]],"")</f>
        <v>#DIV/0!</v>
      </c>
      <c r="AE504" s="30">
        <f>WEEKDAY(DaybyDay[[#This Row],[LY-Date]])</f>
        <v>1</v>
      </c>
      <c r="AF504" s="38">
        <f>$E$2+_xlfn.DAYS(DaybyDay[[#This Row],[Date]],minDate)</f>
        <v>42869</v>
      </c>
      <c r="AG504" s="39" cm="1">
        <f t="array" ref="AG504">IFERROR(INDEX(DaybyDay[],DaybyDay[[#This Row],[FORM_MATCH_HELPER]],8),"")</f>
        <v>47</v>
      </c>
      <c r="AH504" s="39" cm="1">
        <f t="array" ref="AH504">IFERROR(INDEX(DaybyDay[],DaybyDay[[#This Row],[FORM_MATCH_HELPER]],10),"")</f>
        <v>9882.4</v>
      </c>
      <c r="AI504" s="39" cm="1">
        <f t="array" ref="AI504">IFERROR(INDEX(DaybyDay[],DaybyDay[[#This Row],[FORM_MATCH_HELPER]],12),"")</f>
        <v>-251</v>
      </c>
      <c r="AJ504" s="32">
        <f>IFERROR(DaybyDay[[#This Row],[Serv-LY-RU]]+DaybyDay[[#This Row],[Ret-LY-RU]],"")</f>
        <v>0</v>
      </c>
      <c r="AK5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4" s="77"/>
      <c r="AM504" s="40" t="str">
        <f>IF(DaybyDay[[#This Row],[Admin Hours]]&gt;0,DaybyDay[[#This Row],[Admin Hours]]*$AM$2+$AM$3,"")</f>
        <v/>
      </c>
      <c r="AN504" s="40">
        <f>SUMIFS(DaybyDay[Est-Admin-Payroll],DaybyDay[Date],"&gt;="&amp;$C$5,DaybyDay[RowYear],"&gt;="&amp;$C$4,DaybyDay[Date],"&lt;="&amp;DaybyDay[[#This Row],[Date]])</f>
        <v>0</v>
      </c>
      <c r="AO504" s="41" t="str">
        <f>IF(AND(DaybyDay[[#This Row],[_Space]],ISNUMBER(DaybyDay[[#This Row],[Admin Hours]])),DaybyDay[[#This Row],[Est-Admin-Payroll]]/(DaybyDay[[#This Row],[Service-Actuals]]+DaybyDay[[#This Row],[Retail-Actuals]]),"")</f>
        <v/>
      </c>
      <c r="AP504" s="41" t="e">
        <f>DaybyDay[[#This Row],[Estimated-Payroll-Rollup]]/DaybyDay[[#This Row],[Simple-Forecast]]</f>
        <v>#DIV/0!</v>
      </c>
      <c r="AQ5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4" s="77"/>
      <c r="AS504" s="40" t="str">
        <f>IF(DaybyDay[[#This Row],[Retail Hours]]&gt;0,DaybyDay[[#This Row],[Retail Hours]]*$AS$2,"")</f>
        <v/>
      </c>
      <c r="AT504" s="40">
        <f>SUMIFS(DaybyDay[Est-Retail-Payroll],DaybyDay[Date],"&gt;="&amp;$C$5,DaybyDay[RowYear],"&gt;="&amp;$C$4,DaybyDay[Date],"&lt;="&amp;DaybyDay[[#This Row],[Date]])</f>
        <v>0</v>
      </c>
      <c r="AU504" s="82" t="str">
        <f>IF(AND(DaybyDay[[#This Row],[_Space]],ISNUMBER(DaybyDay[[#This Row],[Retail Hours]])),DaybyDay[[#This Row],[Est-Retail-Payroll]]/(DaybyDay[[#This Row],[Retail-Actuals]]),"")</f>
        <v/>
      </c>
      <c r="AV504" s="82" t="e">
        <f>DaybyDay[[#This Row],[Est-Retail-PayrollRU]]/DaybyDay[[#This Row],[Simple-Forecast-Retail]]</f>
        <v>#DIV/0!</v>
      </c>
      <c r="AW504" s="8"/>
    </row>
    <row r="505" spans="3:49" hidden="1" x14ac:dyDescent="0.25">
      <c r="C505" s="26" t="str">
        <f>Tools!$C$1</f>
        <v>Example</v>
      </c>
      <c r="D505" s="27" t="s">
        <v>72</v>
      </c>
      <c r="E505" s="28">
        <v>2018</v>
      </c>
      <c r="F505" s="28">
        <f>MATCH(DaybyDay[[#This Row],[RowMonth]],Table3[SummaryMonth],0)</f>
        <v>5</v>
      </c>
      <c r="G505" s="29">
        <f>MATCH(DaybyDay[[#This Row],[LY-Date]],DaybyDay[Date],0)</f>
        <v>135</v>
      </c>
      <c r="H505" s="30">
        <f>WEEKDAY(DaybyDay[[#This Row],[Date]])</f>
        <v>2</v>
      </c>
      <c r="I505" s="31">
        <v>43234</v>
      </c>
      <c r="J505" s="74">
        <v>15</v>
      </c>
      <c r="K505" s="32">
        <f>SUMIFS(BudgetSeasonality[365 Seasonality],BudgetSeasonality[MonthAdjustment],DaybyDay[[#This Row],[Date]])*SUMIFS(Budgets[Service-Budget],Budgets[BudgetMonth],DaybyDay[[#This Row],[RowMonth]],Budgets[BudgetYear],DaybyDay[[#This Row],[RowYear]])</f>
        <v>4692.0312629315767</v>
      </c>
      <c r="L505" s="75">
        <v>3354.75</v>
      </c>
      <c r="M505" s="32">
        <f>INDEX(BudgetSeasonality[365 Seasonality],MATCH(DaybyDay[[#This Row],[Date]],BudgetSeasonality[MonthAdjustment],0))*SUMIFS(Budgets[Retail-Budget],Budgets[BudgetMonth],DaybyDay[[#This Row],[RowMonth]],Budgets[BudgetYear],DaybyDay[[#This Row],[RowYear]])</f>
        <v>1409.3911998782828</v>
      </c>
      <c r="N505" s="75">
        <v>710.2</v>
      </c>
      <c r="O505" s="33">
        <f>SUMIFS(DaybyDay[Service-Budgets],DaybyDay[Date],"&gt;="&amp;$C$5,DaybyDay[RowYear],"&gt;="&amp;$C$4,DaybyDay[Date],"&lt;="&amp;DaybyDay[[#This Row],[Date]])</f>
        <v>0</v>
      </c>
      <c r="P505" s="33">
        <f>SUMIFS(DaybyDay[Retail-Budgets],DaybyDay[Date],"&gt;="&amp;$C$5,DaybyDay[RowYear],"&gt;="&amp;$C$4,DaybyDay[Date],"&lt;="&amp;DaybyDay[[#This Row],[Date]])</f>
        <v>0</v>
      </c>
      <c r="Q505" s="34">
        <f>SUMIFS(DaybyDay[Service-Actuals],DaybyDay[Date],"&gt;="&amp;$C$5,DaybyDay[RowYear],"&gt;="&amp;$C$4,DaybyDay[Date],"&lt;="&amp;DaybyDay[[#This Row],[Date]])</f>
        <v>0</v>
      </c>
      <c r="R505" s="34">
        <f>SUMIFS(DaybyDay[Retail-Actuals],DaybyDay[Date],"&gt;="&amp;$C$5,DaybyDay[RowYear],"&gt;="&amp;$C$4,DaybyDay[Date],"&lt;="&amp;DaybyDay[[#This Row],[Date]])</f>
        <v>0</v>
      </c>
      <c r="S505" s="35">
        <f>SUMIFS(DaybyDay[Service-LY],DaybyDay[Date],"&gt;="&amp;$C$5,DaybyDay[RowYear],"&gt;="&amp;$C$4,DaybyDay[Date],"&lt;="&amp;DaybyDay[[#This Row],[Date]])</f>
        <v>0</v>
      </c>
      <c r="T505" s="35">
        <f>SUMIFS(DaybyDay[Retail-LY],DaybyDay[Date],"&gt;="&amp;$C$5,DaybyDay[RowYear],"&gt;="&amp;$C$4,DaybyDay[Date],"&lt;="&amp;DaybyDay[[#This Row],[Date]])</f>
        <v>0</v>
      </c>
      <c r="U505" s="32">
        <f>DaybyDay[[#This Row],[Serv-Bud-RU]]+DaybyDay[[#This Row],[Ret-Bud-RU]]</f>
        <v>0</v>
      </c>
      <c r="V505" s="32">
        <f>DaybyDay[[#This Row],[Serv-Act-RU]]+DaybyDay[[#This Row],[Ret-Act-RU]]</f>
        <v>0</v>
      </c>
      <c r="W505" s="36">
        <f>IF(DaybyDay[[#This Row],[_Space]],IFERROR(
((DaybyDay[[#This Row],[Actual-Rollup]]-DaybyDay[[#This Row],[Budget-Rollup]])/DaybyDay[[#This Row],[Budget-Rollup]]),0),"")</f>
        <v>0</v>
      </c>
      <c r="X505" t="b">
        <f>NOT(AND(ISBLANK(DaybyDay[[#This Row],[Appts]]),ISBLANK(DaybyDay[[#This Row],[Service-Actuals]]),ISBLANK(DaybyDay[[#This Row],[Retail-Actuals]])))</f>
        <v>1</v>
      </c>
      <c r="Y505" s="36">
        <f>IF(DaybyDay[[#This Row],[_Space]],IFERROR(
((DaybyDay[[#This Row],[Actual-Rollup]]-DaybyDay[[#This Row],[LY-Rollup]])/DaybyDay[[#This Row],[LY-Rollup]]),0),"")</f>
        <v>0</v>
      </c>
      <c r="Z505"/>
      <c r="AA505" s="37" t="e">
        <f>IF(DaybyDay[[#This Row],[_Space]],DaybyDay[[#This Row],[Ret-Act-RU]]/DaybyDay[[#This Row],[Serv-Act-RU]],"")</f>
        <v>#DIV/0!</v>
      </c>
      <c r="AB505" s="50" t="e">
        <f>IF(DaybyDay[[#This Row],[_Space]],DaybyDay[[#This Row],[RETPEN-Act]]/DaybyDay[[#This Row],[RETPEN-Bud]],"")</f>
        <v>#DIV/0!</v>
      </c>
      <c r="AC505" s="37" t="e">
        <f>IF(DaybyDay[[#This Row],[_Space]],DaybyDay[[#This Row],[Ret-Bud-RU]]/DaybyDay[[#This Row],[Serv-Bud-RU]],"")</f>
        <v>#DIV/0!</v>
      </c>
      <c r="AD505" s="37" t="e">
        <f>IF(DaybyDay[[#This Row],[_Space]],DaybyDay[[#This Row],[Ret-LY-RU]]/DaybyDay[[#This Row],[Serv-LY-RU]],"")</f>
        <v>#DIV/0!</v>
      </c>
      <c r="AE505" s="30">
        <f>WEEKDAY(DaybyDay[[#This Row],[LY-Date]])</f>
        <v>2</v>
      </c>
      <c r="AF505" s="38">
        <f>$E$2+_xlfn.DAYS(DaybyDay[[#This Row],[Date]],minDate)</f>
        <v>42870</v>
      </c>
      <c r="AG505" s="39" cm="1">
        <f t="array" ref="AG505">IFERROR(INDEX(DaybyDay[],DaybyDay[[#This Row],[FORM_MATCH_HELPER]],8),"")</f>
        <v>21</v>
      </c>
      <c r="AH505" s="39" cm="1">
        <f t="array" ref="AH505">IFERROR(INDEX(DaybyDay[],DaybyDay[[#This Row],[FORM_MATCH_HELPER]],10),"")</f>
        <v>5168.3500000000004</v>
      </c>
      <c r="AI505" s="39" cm="1">
        <f t="array" ref="AI505">IFERROR(INDEX(DaybyDay[],DaybyDay[[#This Row],[FORM_MATCH_HELPER]],12),"")</f>
        <v>2067</v>
      </c>
      <c r="AJ505" s="32">
        <f>IFERROR(DaybyDay[[#This Row],[Serv-LY-RU]]+DaybyDay[[#This Row],[Ret-LY-RU]],"")</f>
        <v>0</v>
      </c>
      <c r="AK5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5" s="77"/>
      <c r="AM505" s="40" t="str">
        <f>IF(DaybyDay[[#This Row],[Admin Hours]]&gt;0,DaybyDay[[#This Row],[Admin Hours]]*$AM$2+$AM$3,"")</f>
        <v/>
      </c>
      <c r="AN505" s="40">
        <f>SUMIFS(DaybyDay[Est-Admin-Payroll],DaybyDay[Date],"&gt;="&amp;$C$5,DaybyDay[RowYear],"&gt;="&amp;$C$4,DaybyDay[Date],"&lt;="&amp;DaybyDay[[#This Row],[Date]])</f>
        <v>0</v>
      </c>
      <c r="AO505" s="41" t="str">
        <f>IF(AND(DaybyDay[[#This Row],[_Space]],ISNUMBER(DaybyDay[[#This Row],[Admin Hours]])),DaybyDay[[#This Row],[Est-Admin-Payroll]]/(DaybyDay[[#This Row],[Service-Actuals]]+DaybyDay[[#This Row],[Retail-Actuals]]),"")</f>
        <v/>
      </c>
      <c r="AP505" s="41" t="e">
        <f>DaybyDay[[#This Row],[Estimated-Payroll-Rollup]]/DaybyDay[[#This Row],[Simple-Forecast]]</f>
        <v>#DIV/0!</v>
      </c>
      <c r="AQ5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5" s="77"/>
      <c r="AS505" s="40" t="str">
        <f>IF(DaybyDay[[#This Row],[Retail Hours]]&gt;0,DaybyDay[[#This Row],[Retail Hours]]*$AS$2,"")</f>
        <v/>
      </c>
      <c r="AT505" s="40">
        <f>SUMIFS(DaybyDay[Est-Retail-Payroll],DaybyDay[Date],"&gt;="&amp;$C$5,DaybyDay[RowYear],"&gt;="&amp;$C$4,DaybyDay[Date],"&lt;="&amp;DaybyDay[[#This Row],[Date]])</f>
        <v>0</v>
      </c>
      <c r="AU505" s="82" t="str">
        <f>IF(AND(DaybyDay[[#This Row],[_Space]],ISNUMBER(DaybyDay[[#This Row],[Retail Hours]])),DaybyDay[[#This Row],[Est-Retail-Payroll]]/(DaybyDay[[#This Row],[Retail-Actuals]]),"")</f>
        <v/>
      </c>
      <c r="AV505" s="82" t="e">
        <f>DaybyDay[[#This Row],[Est-Retail-PayrollRU]]/DaybyDay[[#This Row],[Simple-Forecast-Retail]]</f>
        <v>#DIV/0!</v>
      </c>
      <c r="AW505" s="8"/>
    </row>
    <row r="506" spans="3:49" hidden="1" x14ac:dyDescent="0.25">
      <c r="C506" s="26" t="str">
        <f>Tools!$C$1</f>
        <v>Example</v>
      </c>
      <c r="D506" s="27" t="s">
        <v>72</v>
      </c>
      <c r="E506" s="28">
        <v>2018</v>
      </c>
      <c r="F506" s="28">
        <f>MATCH(DaybyDay[[#This Row],[RowMonth]],Table3[SummaryMonth],0)</f>
        <v>5</v>
      </c>
      <c r="G506" s="29">
        <f>MATCH(DaybyDay[[#This Row],[LY-Date]],DaybyDay[Date],0)</f>
        <v>136</v>
      </c>
      <c r="H506" s="30">
        <f>WEEKDAY(DaybyDay[[#This Row],[Date]])</f>
        <v>3</v>
      </c>
      <c r="I506" s="31">
        <v>43235</v>
      </c>
      <c r="J506" s="74">
        <v>14</v>
      </c>
      <c r="K506" s="32">
        <f>SUMIFS(BudgetSeasonality[365 Seasonality],BudgetSeasonality[MonthAdjustment],DaybyDay[[#This Row],[Date]])*SUMIFS(Budgets[Service-Budget],Budgets[BudgetMonth],DaybyDay[[#This Row],[RowMonth]],Budgets[BudgetYear],DaybyDay[[#This Row],[RowYear]])</f>
        <v>4360.0545496560389</v>
      </c>
      <c r="L506" s="75">
        <v>2698.5</v>
      </c>
      <c r="M506" s="32">
        <f>INDEX(BudgetSeasonality[365 Seasonality],MATCH(DaybyDay[[#This Row],[Date]],BudgetSeasonality[MonthAdjustment],0))*SUMIFS(Budgets[Retail-Budget],Budgets[BudgetMonth],DaybyDay[[#This Row],[RowMonth]],Budgets[BudgetYear],DaybyDay[[#This Row],[RowYear]])</f>
        <v>1309.6721161732173</v>
      </c>
      <c r="N506" s="75">
        <v>121</v>
      </c>
      <c r="O506" s="33">
        <f>SUMIFS(DaybyDay[Service-Budgets],DaybyDay[Date],"&gt;="&amp;$C$5,DaybyDay[RowYear],"&gt;="&amp;$C$4,DaybyDay[Date],"&lt;="&amp;DaybyDay[[#This Row],[Date]])</f>
        <v>0</v>
      </c>
      <c r="P506" s="33">
        <f>SUMIFS(DaybyDay[Retail-Budgets],DaybyDay[Date],"&gt;="&amp;$C$5,DaybyDay[RowYear],"&gt;="&amp;$C$4,DaybyDay[Date],"&lt;="&amp;DaybyDay[[#This Row],[Date]])</f>
        <v>0</v>
      </c>
      <c r="Q506" s="34">
        <f>SUMIFS(DaybyDay[Service-Actuals],DaybyDay[Date],"&gt;="&amp;$C$5,DaybyDay[RowYear],"&gt;="&amp;$C$4,DaybyDay[Date],"&lt;="&amp;DaybyDay[[#This Row],[Date]])</f>
        <v>0</v>
      </c>
      <c r="R506" s="34">
        <f>SUMIFS(DaybyDay[Retail-Actuals],DaybyDay[Date],"&gt;="&amp;$C$5,DaybyDay[RowYear],"&gt;="&amp;$C$4,DaybyDay[Date],"&lt;="&amp;DaybyDay[[#This Row],[Date]])</f>
        <v>0</v>
      </c>
      <c r="S506" s="35">
        <f>SUMIFS(DaybyDay[Service-LY],DaybyDay[Date],"&gt;="&amp;$C$5,DaybyDay[RowYear],"&gt;="&amp;$C$4,DaybyDay[Date],"&lt;="&amp;DaybyDay[[#This Row],[Date]])</f>
        <v>0</v>
      </c>
      <c r="T506" s="35">
        <f>SUMIFS(DaybyDay[Retail-LY],DaybyDay[Date],"&gt;="&amp;$C$5,DaybyDay[RowYear],"&gt;="&amp;$C$4,DaybyDay[Date],"&lt;="&amp;DaybyDay[[#This Row],[Date]])</f>
        <v>0</v>
      </c>
      <c r="U506" s="32">
        <f>DaybyDay[[#This Row],[Serv-Bud-RU]]+DaybyDay[[#This Row],[Ret-Bud-RU]]</f>
        <v>0</v>
      </c>
      <c r="V506" s="32">
        <f>DaybyDay[[#This Row],[Serv-Act-RU]]+DaybyDay[[#This Row],[Ret-Act-RU]]</f>
        <v>0</v>
      </c>
      <c r="W506" s="36">
        <f>IF(DaybyDay[[#This Row],[_Space]],IFERROR(
((DaybyDay[[#This Row],[Actual-Rollup]]-DaybyDay[[#This Row],[Budget-Rollup]])/DaybyDay[[#This Row],[Budget-Rollup]]),0),"")</f>
        <v>0</v>
      </c>
      <c r="X506" t="b">
        <f>NOT(AND(ISBLANK(DaybyDay[[#This Row],[Appts]]),ISBLANK(DaybyDay[[#This Row],[Service-Actuals]]),ISBLANK(DaybyDay[[#This Row],[Retail-Actuals]])))</f>
        <v>1</v>
      </c>
      <c r="Y506" s="36">
        <f>IF(DaybyDay[[#This Row],[_Space]],IFERROR(
((DaybyDay[[#This Row],[Actual-Rollup]]-DaybyDay[[#This Row],[LY-Rollup]])/DaybyDay[[#This Row],[LY-Rollup]]),0),"")</f>
        <v>0</v>
      </c>
      <c r="Z506"/>
      <c r="AA506" s="37" t="e">
        <f>IF(DaybyDay[[#This Row],[_Space]],DaybyDay[[#This Row],[Ret-Act-RU]]/DaybyDay[[#This Row],[Serv-Act-RU]],"")</f>
        <v>#DIV/0!</v>
      </c>
      <c r="AB506" s="50" t="e">
        <f>IF(DaybyDay[[#This Row],[_Space]],DaybyDay[[#This Row],[RETPEN-Act]]/DaybyDay[[#This Row],[RETPEN-Bud]],"")</f>
        <v>#DIV/0!</v>
      </c>
      <c r="AC506" s="37" t="e">
        <f>IF(DaybyDay[[#This Row],[_Space]],DaybyDay[[#This Row],[Ret-Bud-RU]]/DaybyDay[[#This Row],[Serv-Bud-RU]],"")</f>
        <v>#DIV/0!</v>
      </c>
      <c r="AD506" s="37" t="e">
        <f>IF(DaybyDay[[#This Row],[_Space]],DaybyDay[[#This Row],[Ret-LY-RU]]/DaybyDay[[#This Row],[Serv-LY-RU]],"")</f>
        <v>#DIV/0!</v>
      </c>
      <c r="AE506" s="30">
        <f>WEEKDAY(DaybyDay[[#This Row],[LY-Date]])</f>
        <v>3</v>
      </c>
      <c r="AF506" s="38">
        <f>$E$2+_xlfn.DAYS(DaybyDay[[#This Row],[Date]],minDate)</f>
        <v>42871</v>
      </c>
      <c r="AG506" s="39" cm="1">
        <f t="array" ref="AG506">IFERROR(INDEX(DaybyDay[],DaybyDay[[#This Row],[FORM_MATCH_HELPER]],8),"")</f>
        <v>28</v>
      </c>
      <c r="AH506" s="39" cm="1">
        <f t="array" ref="AH506">IFERROR(INDEX(DaybyDay[],DaybyDay[[#This Row],[FORM_MATCH_HELPER]],10),"")</f>
        <v>5270.2</v>
      </c>
      <c r="AI506" s="39" cm="1">
        <f t="array" ref="AI506">IFERROR(INDEX(DaybyDay[],DaybyDay[[#This Row],[FORM_MATCH_HELPER]],12),"")</f>
        <v>260</v>
      </c>
      <c r="AJ506" s="32">
        <f>IFERROR(DaybyDay[[#This Row],[Serv-LY-RU]]+DaybyDay[[#This Row],[Ret-LY-RU]],"")</f>
        <v>0</v>
      </c>
      <c r="AK5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6" s="77"/>
      <c r="AM506" s="40" t="str">
        <f>IF(DaybyDay[[#This Row],[Admin Hours]]&gt;0,DaybyDay[[#This Row],[Admin Hours]]*$AM$2+$AM$3,"")</f>
        <v/>
      </c>
      <c r="AN506" s="40">
        <f>SUMIFS(DaybyDay[Est-Admin-Payroll],DaybyDay[Date],"&gt;="&amp;$C$5,DaybyDay[RowYear],"&gt;="&amp;$C$4,DaybyDay[Date],"&lt;="&amp;DaybyDay[[#This Row],[Date]])</f>
        <v>0</v>
      </c>
      <c r="AO506" s="41" t="str">
        <f>IF(AND(DaybyDay[[#This Row],[_Space]],ISNUMBER(DaybyDay[[#This Row],[Admin Hours]])),DaybyDay[[#This Row],[Est-Admin-Payroll]]/(DaybyDay[[#This Row],[Service-Actuals]]+DaybyDay[[#This Row],[Retail-Actuals]]),"")</f>
        <v/>
      </c>
      <c r="AP506" s="41" t="e">
        <f>DaybyDay[[#This Row],[Estimated-Payroll-Rollup]]/DaybyDay[[#This Row],[Simple-Forecast]]</f>
        <v>#DIV/0!</v>
      </c>
      <c r="AQ5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6" s="77"/>
      <c r="AS506" s="40" t="str">
        <f>IF(DaybyDay[[#This Row],[Retail Hours]]&gt;0,DaybyDay[[#This Row],[Retail Hours]]*$AS$2,"")</f>
        <v/>
      </c>
      <c r="AT506" s="40">
        <f>SUMIFS(DaybyDay[Est-Retail-Payroll],DaybyDay[Date],"&gt;="&amp;$C$5,DaybyDay[RowYear],"&gt;="&amp;$C$4,DaybyDay[Date],"&lt;="&amp;DaybyDay[[#This Row],[Date]])</f>
        <v>0</v>
      </c>
      <c r="AU506" s="82" t="str">
        <f>IF(AND(DaybyDay[[#This Row],[_Space]],ISNUMBER(DaybyDay[[#This Row],[Retail Hours]])),DaybyDay[[#This Row],[Est-Retail-Payroll]]/(DaybyDay[[#This Row],[Retail-Actuals]]),"")</f>
        <v/>
      </c>
      <c r="AV506" s="82" t="e">
        <f>DaybyDay[[#This Row],[Est-Retail-PayrollRU]]/DaybyDay[[#This Row],[Simple-Forecast-Retail]]</f>
        <v>#DIV/0!</v>
      </c>
      <c r="AW506" s="8"/>
    </row>
    <row r="507" spans="3:49" hidden="1" x14ac:dyDescent="0.25">
      <c r="C507" s="26" t="str">
        <f>Tools!$C$1</f>
        <v>Example</v>
      </c>
      <c r="D507" s="27" t="s">
        <v>72</v>
      </c>
      <c r="E507" s="28">
        <v>2018</v>
      </c>
      <c r="F507" s="28">
        <f>MATCH(DaybyDay[[#This Row],[RowMonth]],Table3[SummaryMonth],0)</f>
        <v>5</v>
      </c>
      <c r="G507" s="29">
        <f>MATCH(DaybyDay[[#This Row],[LY-Date]],DaybyDay[Date],0)</f>
        <v>137</v>
      </c>
      <c r="H507" s="30">
        <f>WEEKDAY(DaybyDay[[#This Row],[Date]])</f>
        <v>4</v>
      </c>
      <c r="I507" s="31">
        <v>43236</v>
      </c>
      <c r="J507" s="74">
        <v>12</v>
      </c>
      <c r="K507" s="32">
        <f>SUMIFS(BudgetSeasonality[365 Seasonality],BudgetSeasonality[MonthAdjustment],DaybyDay[[#This Row],[Date]])*SUMIFS(Budgets[Service-Budget],Budgets[BudgetMonth],DaybyDay[[#This Row],[RowMonth]],Budgets[BudgetYear],DaybyDay[[#This Row],[RowYear]])</f>
        <v>5001.4324978991353</v>
      </c>
      <c r="L507" s="75">
        <v>2482.2399999999998</v>
      </c>
      <c r="M507" s="32">
        <f>INDEX(BudgetSeasonality[365 Seasonality],MATCH(DaybyDay[[#This Row],[Date]],BudgetSeasonality[MonthAdjustment],0))*SUMIFS(Budgets[Retail-Budget],Budgets[BudgetMonth],DaybyDay[[#This Row],[RowMonth]],Budgets[BudgetYear],DaybyDay[[#This Row],[RowYear]])</f>
        <v>1502.3290669466057</v>
      </c>
      <c r="N507" s="75">
        <v>273</v>
      </c>
      <c r="O507" s="33">
        <f>SUMIFS(DaybyDay[Service-Budgets],DaybyDay[Date],"&gt;="&amp;$C$5,DaybyDay[RowYear],"&gt;="&amp;$C$4,DaybyDay[Date],"&lt;="&amp;DaybyDay[[#This Row],[Date]])</f>
        <v>0</v>
      </c>
      <c r="P507" s="33">
        <f>SUMIFS(DaybyDay[Retail-Budgets],DaybyDay[Date],"&gt;="&amp;$C$5,DaybyDay[RowYear],"&gt;="&amp;$C$4,DaybyDay[Date],"&lt;="&amp;DaybyDay[[#This Row],[Date]])</f>
        <v>0</v>
      </c>
      <c r="Q507" s="34">
        <f>SUMIFS(DaybyDay[Service-Actuals],DaybyDay[Date],"&gt;="&amp;$C$5,DaybyDay[RowYear],"&gt;="&amp;$C$4,DaybyDay[Date],"&lt;="&amp;DaybyDay[[#This Row],[Date]])</f>
        <v>0</v>
      </c>
      <c r="R507" s="34">
        <f>SUMIFS(DaybyDay[Retail-Actuals],DaybyDay[Date],"&gt;="&amp;$C$5,DaybyDay[RowYear],"&gt;="&amp;$C$4,DaybyDay[Date],"&lt;="&amp;DaybyDay[[#This Row],[Date]])</f>
        <v>0</v>
      </c>
      <c r="S507" s="35">
        <f>SUMIFS(DaybyDay[Service-LY],DaybyDay[Date],"&gt;="&amp;$C$5,DaybyDay[RowYear],"&gt;="&amp;$C$4,DaybyDay[Date],"&lt;="&amp;DaybyDay[[#This Row],[Date]])</f>
        <v>0</v>
      </c>
      <c r="T507" s="35">
        <f>SUMIFS(DaybyDay[Retail-LY],DaybyDay[Date],"&gt;="&amp;$C$5,DaybyDay[RowYear],"&gt;="&amp;$C$4,DaybyDay[Date],"&lt;="&amp;DaybyDay[[#This Row],[Date]])</f>
        <v>0</v>
      </c>
      <c r="U507" s="32">
        <f>DaybyDay[[#This Row],[Serv-Bud-RU]]+DaybyDay[[#This Row],[Ret-Bud-RU]]</f>
        <v>0</v>
      </c>
      <c r="V507" s="32">
        <f>DaybyDay[[#This Row],[Serv-Act-RU]]+DaybyDay[[#This Row],[Ret-Act-RU]]</f>
        <v>0</v>
      </c>
      <c r="W507" s="36">
        <f>IF(DaybyDay[[#This Row],[_Space]],IFERROR(
((DaybyDay[[#This Row],[Actual-Rollup]]-DaybyDay[[#This Row],[Budget-Rollup]])/DaybyDay[[#This Row],[Budget-Rollup]]),0),"")</f>
        <v>0</v>
      </c>
      <c r="X507" t="b">
        <f>NOT(AND(ISBLANK(DaybyDay[[#This Row],[Appts]]),ISBLANK(DaybyDay[[#This Row],[Service-Actuals]]),ISBLANK(DaybyDay[[#This Row],[Retail-Actuals]])))</f>
        <v>1</v>
      </c>
      <c r="Y507" s="36">
        <f>IF(DaybyDay[[#This Row],[_Space]],IFERROR(
((DaybyDay[[#This Row],[Actual-Rollup]]-DaybyDay[[#This Row],[LY-Rollup]])/DaybyDay[[#This Row],[LY-Rollup]]),0),"")</f>
        <v>0</v>
      </c>
      <c r="Z507"/>
      <c r="AA507" s="37" t="e">
        <f>IF(DaybyDay[[#This Row],[_Space]],DaybyDay[[#This Row],[Ret-Act-RU]]/DaybyDay[[#This Row],[Serv-Act-RU]],"")</f>
        <v>#DIV/0!</v>
      </c>
      <c r="AB507" s="50" t="e">
        <f>IF(DaybyDay[[#This Row],[_Space]],DaybyDay[[#This Row],[RETPEN-Act]]/DaybyDay[[#This Row],[RETPEN-Bud]],"")</f>
        <v>#DIV/0!</v>
      </c>
      <c r="AC507" s="37" t="e">
        <f>IF(DaybyDay[[#This Row],[_Space]],DaybyDay[[#This Row],[Ret-Bud-RU]]/DaybyDay[[#This Row],[Serv-Bud-RU]],"")</f>
        <v>#DIV/0!</v>
      </c>
      <c r="AD507" s="37" t="e">
        <f>IF(DaybyDay[[#This Row],[_Space]],DaybyDay[[#This Row],[Ret-LY-RU]]/DaybyDay[[#This Row],[Serv-LY-RU]],"")</f>
        <v>#DIV/0!</v>
      </c>
      <c r="AE507" s="30">
        <f>WEEKDAY(DaybyDay[[#This Row],[LY-Date]])</f>
        <v>4</v>
      </c>
      <c r="AF507" s="38">
        <f>$E$2+_xlfn.DAYS(DaybyDay[[#This Row],[Date]],minDate)</f>
        <v>42872</v>
      </c>
      <c r="AG507" s="39" cm="1">
        <f t="array" ref="AG507">IFERROR(INDEX(DaybyDay[],DaybyDay[[#This Row],[FORM_MATCH_HELPER]],8),"")</f>
        <v>23</v>
      </c>
      <c r="AH507" s="39" cm="1">
        <f t="array" ref="AH507">IFERROR(INDEX(DaybyDay[],DaybyDay[[#This Row],[FORM_MATCH_HELPER]],10),"")</f>
        <v>4932.6000000000004</v>
      </c>
      <c r="AI507" s="39" cm="1">
        <f t="array" ref="AI507">IFERROR(INDEX(DaybyDay[],DaybyDay[[#This Row],[FORM_MATCH_HELPER]],12),"")</f>
        <v>1282.2</v>
      </c>
      <c r="AJ507" s="32">
        <f>IFERROR(DaybyDay[[#This Row],[Serv-LY-RU]]+DaybyDay[[#This Row],[Ret-LY-RU]],"")</f>
        <v>0</v>
      </c>
      <c r="AK5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7" s="77"/>
      <c r="AM507" s="40" t="str">
        <f>IF(DaybyDay[[#This Row],[Admin Hours]]&gt;0,DaybyDay[[#This Row],[Admin Hours]]*$AM$2+$AM$3,"")</f>
        <v/>
      </c>
      <c r="AN507" s="40">
        <f>SUMIFS(DaybyDay[Est-Admin-Payroll],DaybyDay[Date],"&gt;="&amp;$C$5,DaybyDay[RowYear],"&gt;="&amp;$C$4,DaybyDay[Date],"&lt;="&amp;DaybyDay[[#This Row],[Date]])</f>
        <v>0</v>
      </c>
      <c r="AO507" s="41" t="str">
        <f>IF(AND(DaybyDay[[#This Row],[_Space]],ISNUMBER(DaybyDay[[#This Row],[Admin Hours]])),DaybyDay[[#This Row],[Est-Admin-Payroll]]/(DaybyDay[[#This Row],[Service-Actuals]]+DaybyDay[[#This Row],[Retail-Actuals]]),"")</f>
        <v/>
      </c>
      <c r="AP507" s="41" t="e">
        <f>DaybyDay[[#This Row],[Estimated-Payroll-Rollup]]/DaybyDay[[#This Row],[Simple-Forecast]]</f>
        <v>#DIV/0!</v>
      </c>
      <c r="AQ5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7" s="77"/>
      <c r="AS507" s="40" t="str">
        <f>IF(DaybyDay[[#This Row],[Retail Hours]]&gt;0,DaybyDay[[#This Row],[Retail Hours]]*$AS$2,"")</f>
        <v/>
      </c>
      <c r="AT507" s="40">
        <f>SUMIFS(DaybyDay[Est-Retail-Payroll],DaybyDay[Date],"&gt;="&amp;$C$5,DaybyDay[RowYear],"&gt;="&amp;$C$4,DaybyDay[Date],"&lt;="&amp;DaybyDay[[#This Row],[Date]])</f>
        <v>0</v>
      </c>
      <c r="AU507" s="82" t="str">
        <f>IF(AND(DaybyDay[[#This Row],[_Space]],ISNUMBER(DaybyDay[[#This Row],[Retail Hours]])),DaybyDay[[#This Row],[Est-Retail-Payroll]]/(DaybyDay[[#This Row],[Retail-Actuals]]),"")</f>
        <v/>
      </c>
      <c r="AV507" s="82" t="e">
        <f>DaybyDay[[#This Row],[Est-Retail-PayrollRU]]/DaybyDay[[#This Row],[Simple-Forecast-Retail]]</f>
        <v>#DIV/0!</v>
      </c>
      <c r="AW507" s="8"/>
    </row>
    <row r="508" spans="3:49" hidden="1" x14ac:dyDescent="0.25">
      <c r="C508" s="26" t="str">
        <f>Tools!$C$1</f>
        <v>Example</v>
      </c>
      <c r="D508" s="27" t="s">
        <v>72</v>
      </c>
      <c r="E508" s="28">
        <v>2018</v>
      </c>
      <c r="F508" s="28">
        <f>MATCH(DaybyDay[[#This Row],[RowMonth]],Table3[SummaryMonth],0)</f>
        <v>5</v>
      </c>
      <c r="G508" s="29">
        <f>MATCH(DaybyDay[[#This Row],[LY-Date]],DaybyDay[Date],0)</f>
        <v>138</v>
      </c>
      <c r="H508" s="30">
        <f>WEEKDAY(DaybyDay[[#This Row],[Date]])</f>
        <v>5</v>
      </c>
      <c r="I508" s="31">
        <v>43237</v>
      </c>
      <c r="J508" s="74">
        <v>14</v>
      </c>
      <c r="K508" s="32">
        <f>SUMIFS(BudgetSeasonality[365 Seasonality],BudgetSeasonality[MonthAdjustment],DaybyDay[[#This Row],[Date]])*SUMIFS(Budgets[Service-Budget],Budgets[BudgetMonth],DaybyDay[[#This Row],[RowMonth]],Budgets[BudgetYear],DaybyDay[[#This Row],[RowYear]])</f>
        <v>5112.6436417483037</v>
      </c>
      <c r="L508" s="75">
        <v>3106</v>
      </c>
      <c r="M508" s="32">
        <f>INDEX(BudgetSeasonality[365 Seasonality],MATCH(DaybyDay[[#This Row],[Date]],BudgetSeasonality[MonthAdjustment],0))*SUMIFS(Budgets[Retail-Budget],Budgets[BudgetMonth],DaybyDay[[#This Row],[RowMonth]],Budgets[BudgetYear],DaybyDay[[#This Row],[RowYear]])</f>
        <v>1535.7346430576831</v>
      </c>
      <c r="N508" s="75">
        <v>569.29999999999995</v>
      </c>
      <c r="O508" s="33">
        <f>SUMIFS(DaybyDay[Service-Budgets],DaybyDay[Date],"&gt;="&amp;$C$5,DaybyDay[RowYear],"&gt;="&amp;$C$4,DaybyDay[Date],"&lt;="&amp;DaybyDay[[#This Row],[Date]])</f>
        <v>0</v>
      </c>
      <c r="P508" s="33">
        <f>SUMIFS(DaybyDay[Retail-Budgets],DaybyDay[Date],"&gt;="&amp;$C$5,DaybyDay[RowYear],"&gt;="&amp;$C$4,DaybyDay[Date],"&lt;="&amp;DaybyDay[[#This Row],[Date]])</f>
        <v>0</v>
      </c>
      <c r="Q508" s="34">
        <f>SUMIFS(DaybyDay[Service-Actuals],DaybyDay[Date],"&gt;="&amp;$C$5,DaybyDay[RowYear],"&gt;="&amp;$C$4,DaybyDay[Date],"&lt;="&amp;DaybyDay[[#This Row],[Date]])</f>
        <v>0</v>
      </c>
      <c r="R508" s="34">
        <f>SUMIFS(DaybyDay[Retail-Actuals],DaybyDay[Date],"&gt;="&amp;$C$5,DaybyDay[RowYear],"&gt;="&amp;$C$4,DaybyDay[Date],"&lt;="&amp;DaybyDay[[#This Row],[Date]])</f>
        <v>0</v>
      </c>
      <c r="S508" s="35">
        <f>SUMIFS(DaybyDay[Service-LY],DaybyDay[Date],"&gt;="&amp;$C$5,DaybyDay[RowYear],"&gt;="&amp;$C$4,DaybyDay[Date],"&lt;="&amp;DaybyDay[[#This Row],[Date]])</f>
        <v>0</v>
      </c>
      <c r="T508" s="35">
        <f>SUMIFS(DaybyDay[Retail-LY],DaybyDay[Date],"&gt;="&amp;$C$5,DaybyDay[RowYear],"&gt;="&amp;$C$4,DaybyDay[Date],"&lt;="&amp;DaybyDay[[#This Row],[Date]])</f>
        <v>0</v>
      </c>
      <c r="U508" s="32">
        <f>DaybyDay[[#This Row],[Serv-Bud-RU]]+DaybyDay[[#This Row],[Ret-Bud-RU]]</f>
        <v>0</v>
      </c>
      <c r="V508" s="32">
        <f>DaybyDay[[#This Row],[Serv-Act-RU]]+DaybyDay[[#This Row],[Ret-Act-RU]]</f>
        <v>0</v>
      </c>
      <c r="W508" s="36">
        <f>IF(DaybyDay[[#This Row],[_Space]],IFERROR(
((DaybyDay[[#This Row],[Actual-Rollup]]-DaybyDay[[#This Row],[Budget-Rollup]])/DaybyDay[[#This Row],[Budget-Rollup]]),0),"")</f>
        <v>0</v>
      </c>
      <c r="X508" t="b">
        <f>NOT(AND(ISBLANK(DaybyDay[[#This Row],[Appts]]),ISBLANK(DaybyDay[[#This Row],[Service-Actuals]]),ISBLANK(DaybyDay[[#This Row],[Retail-Actuals]])))</f>
        <v>1</v>
      </c>
      <c r="Y508" s="36">
        <f>IF(DaybyDay[[#This Row],[_Space]],IFERROR(
((DaybyDay[[#This Row],[Actual-Rollup]]-DaybyDay[[#This Row],[LY-Rollup]])/DaybyDay[[#This Row],[LY-Rollup]]),0),"")</f>
        <v>0</v>
      </c>
      <c r="Z508"/>
      <c r="AA508" s="37" t="e">
        <f>IF(DaybyDay[[#This Row],[_Space]],DaybyDay[[#This Row],[Ret-Act-RU]]/DaybyDay[[#This Row],[Serv-Act-RU]],"")</f>
        <v>#DIV/0!</v>
      </c>
      <c r="AB508" s="50" t="e">
        <f>IF(DaybyDay[[#This Row],[_Space]],DaybyDay[[#This Row],[RETPEN-Act]]/DaybyDay[[#This Row],[RETPEN-Bud]],"")</f>
        <v>#DIV/0!</v>
      </c>
      <c r="AC508" s="37" t="e">
        <f>IF(DaybyDay[[#This Row],[_Space]],DaybyDay[[#This Row],[Ret-Bud-RU]]/DaybyDay[[#This Row],[Serv-Bud-RU]],"")</f>
        <v>#DIV/0!</v>
      </c>
      <c r="AD508" s="37" t="e">
        <f>IF(DaybyDay[[#This Row],[_Space]],DaybyDay[[#This Row],[Ret-LY-RU]]/DaybyDay[[#This Row],[Serv-LY-RU]],"")</f>
        <v>#DIV/0!</v>
      </c>
      <c r="AE508" s="30">
        <f>WEEKDAY(DaybyDay[[#This Row],[LY-Date]])</f>
        <v>5</v>
      </c>
      <c r="AF508" s="38">
        <f>$E$2+_xlfn.DAYS(DaybyDay[[#This Row],[Date]],minDate)</f>
        <v>42873</v>
      </c>
      <c r="AG508" s="39" cm="1">
        <f t="array" ref="AG508">IFERROR(INDEX(DaybyDay[],DaybyDay[[#This Row],[FORM_MATCH_HELPER]],8),"")</f>
        <v>25</v>
      </c>
      <c r="AH508" s="39" cm="1">
        <f t="array" ref="AH508">IFERROR(INDEX(DaybyDay[],DaybyDay[[#This Row],[FORM_MATCH_HELPER]],10),"")</f>
        <v>4534.6000000000004</v>
      </c>
      <c r="AI508" s="39" cm="1">
        <f t="array" ref="AI508">IFERROR(INDEX(DaybyDay[],DaybyDay[[#This Row],[FORM_MATCH_HELPER]],12),"")</f>
        <v>846.6</v>
      </c>
      <c r="AJ508" s="32">
        <f>IFERROR(DaybyDay[[#This Row],[Serv-LY-RU]]+DaybyDay[[#This Row],[Ret-LY-RU]],"")</f>
        <v>0</v>
      </c>
      <c r="AK5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8" s="77"/>
      <c r="AM508" s="40" t="str">
        <f>IF(DaybyDay[[#This Row],[Admin Hours]]&gt;0,DaybyDay[[#This Row],[Admin Hours]]*$AM$2+$AM$3,"")</f>
        <v/>
      </c>
      <c r="AN508" s="40">
        <f>SUMIFS(DaybyDay[Est-Admin-Payroll],DaybyDay[Date],"&gt;="&amp;$C$5,DaybyDay[RowYear],"&gt;="&amp;$C$4,DaybyDay[Date],"&lt;="&amp;DaybyDay[[#This Row],[Date]])</f>
        <v>0</v>
      </c>
      <c r="AO508" s="41" t="str">
        <f>IF(AND(DaybyDay[[#This Row],[_Space]],ISNUMBER(DaybyDay[[#This Row],[Admin Hours]])),DaybyDay[[#This Row],[Est-Admin-Payroll]]/(DaybyDay[[#This Row],[Service-Actuals]]+DaybyDay[[#This Row],[Retail-Actuals]]),"")</f>
        <v/>
      </c>
      <c r="AP508" s="41" t="e">
        <f>DaybyDay[[#This Row],[Estimated-Payroll-Rollup]]/DaybyDay[[#This Row],[Simple-Forecast]]</f>
        <v>#DIV/0!</v>
      </c>
      <c r="AQ5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8" s="77"/>
      <c r="AS508" s="40" t="str">
        <f>IF(DaybyDay[[#This Row],[Retail Hours]]&gt;0,DaybyDay[[#This Row],[Retail Hours]]*$AS$2,"")</f>
        <v/>
      </c>
      <c r="AT508" s="40">
        <f>SUMIFS(DaybyDay[Est-Retail-Payroll],DaybyDay[Date],"&gt;="&amp;$C$5,DaybyDay[RowYear],"&gt;="&amp;$C$4,DaybyDay[Date],"&lt;="&amp;DaybyDay[[#This Row],[Date]])</f>
        <v>0</v>
      </c>
      <c r="AU508" s="82" t="str">
        <f>IF(AND(DaybyDay[[#This Row],[_Space]],ISNUMBER(DaybyDay[[#This Row],[Retail Hours]])),DaybyDay[[#This Row],[Est-Retail-Payroll]]/(DaybyDay[[#This Row],[Retail-Actuals]]),"")</f>
        <v/>
      </c>
      <c r="AV508" s="82" t="e">
        <f>DaybyDay[[#This Row],[Est-Retail-PayrollRU]]/DaybyDay[[#This Row],[Simple-Forecast-Retail]]</f>
        <v>#DIV/0!</v>
      </c>
      <c r="AW508" s="8"/>
    </row>
    <row r="509" spans="3:49" hidden="1" x14ac:dyDescent="0.25">
      <c r="C509" s="26" t="str">
        <f>Tools!$C$1</f>
        <v>Example</v>
      </c>
      <c r="D509" s="27" t="s">
        <v>72</v>
      </c>
      <c r="E509" s="28">
        <v>2018</v>
      </c>
      <c r="F509" s="28">
        <f>MATCH(DaybyDay[[#This Row],[RowMonth]],Table3[SummaryMonth],0)</f>
        <v>5</v>
      </c>
      <c r="G509" s="29">
        <f>MATCH(DaybyDay[[#This Row],[LY-Date]],DaybyDay[Date],0)</f>
        <v>139</v>
      </c>
      <c r="H509" s="30">
        <f>WEEKDAY(DaybyDay[[#This Row],[Date]])</f>
        <v>6</v>
      </c>
      <c r="I509" s="31">
        <v>43238</v>
      </c>
      <c r="J509" s="74">
        <v>14</v>
      </c>
      <c r="K509" s="32">
        <f>SUMIFS(BudgetSeasonality[365 Seasonality],BudgetSeasonality[MonthAdjustment],DaybyDay[[#This Row],[Date]])*SUMIFS(Budgets[Service-Budget],Budgets[BudgetMonth],DaybyDay[[#This Row],[RowMonth]],Budgets[BudgetYear],DaybyDay[[#This Row],[RowYear]])</f>
        <v>6292.4756815207293</v>
      </c>
      <c r="L509" s="75">
        <v>3986</v>
      </c>
      <c r="M509" s="32">
        <f>INDEX(BudgetSeasonality[365 Seasonality],MATCH(DaybyDay[[#This Row],[Date]],BudgetSeasonality[MonthAdjustment],0))*SUMIFS(Budgets[Retail-Budget],Budgets[BudgetMonth],DaybyDay[[#This Row],[RowMonth]],Budgets[BudgetYear],DaybyDay[[#This Row],[RowYear]])</f>
        <v>1890.1323017703739</v>
      </c>
      <c r="N509" s="75">
        <v>262.2</v>
      </c>
      <c r="O509" s="33">
        <f>SUMIFS(DaybyDay[Service-Budgets],DaybyDay[Date],"&gt;="&amp;$C$5,DaybyDay[RowYear],"&gt;="&amp;$C$4,DaybyDay[Date],"&lt;="&amp;DaybyDay[[#This Row],[Date]])</f>
        <v>0</v>
      </c>
      <c r="P509" s="33">
        <f>SUMIFS(DaybyDay[Retail-Budgets],DaybyDay[Date],"&gt;="&amp;$C$5,DaybyDay[RowYear],"&gt;="&amp;$C$4,DaybyDay[Date],"&lt;="&amp;DaybyDay[[#This Row],[Date]])</f>
        <v>0</v>
      </c>
      <c r="Q509" s="34">
        <f>SUMIFS(DaybyDay[Service-Actuals],DaybyDay[Date],"&gt;="&amp;$C$5,DaybyDay[RowYear],"&gt;="&amp;$C$4,DaybyDay[Date],"&lt;="&amp;DaybyDay[[#This Row],[Date]])</f>
        <v>0</v>
      </c>
      <c r="R509" s="34">
        <f>SUMIFS(DaybyDay[Retail-Actuals],DaybyDay[Date],"&gt;="&amp;$C$5,DaybyDay[RowYear],"&gt;="&amp;$C$4,DaybyDay[Date],"&lt;="&amp;DaybyDay[[#This Row],[Date]])</f>
        <v>0</v>
      </c>
      <c r="S509" s="35">
        <f>SUMIFS(DaybyDay[Service-LY],DaybyDay[Date],"&gt;="&amp;$C$5,DaybyDay[RowYear],"&gt;="&amp;$C$4,DaybyDay[Date],"&lt;="&amp;DaybyDay[[#This Row],[Date]])</f>
        <v>0</v>
      </c>
      <c r="T509" s="35">
        <f>SUMIFS(DaybyDay[Retail-LY],DaybyDay[Date],"&gt;="&amp;$C$5,DaybyDay[RowYear],"&gt;="&amp;$C$4,DaybyDay[Date],"&lt;="&amp;DaybyDay[[#This Row],[Date]])</f>
        <v>0</v>
      </c>
      <c r="U509" s="32">
        <f>DaybyDay[[#This Row],[Serv-Bud-RU]]+DaybyDay[[#This Row],[Ret-Bud-RU]]</f>
        <v>0</v>
      </c>
      <c r="V509" s="32">
        <f>DaybyDay[[#This Row],[Serv-Act-RU]]+DaybyDay[[#This Row],[Ret-Act-RU]]</f>
        <v>0</v>
      </c>
      <c r="W509" s="36">
        <f>IF(DaybyDay[[#This Row],[_Space]],IFERROR(
((DaybyDay[[#This Row],[Actual-Rollup]]-DaybyDay[[#This Row],[Budget-Rollup]])/DaybyDay[[#This Row],[Budget-Rollup]]),0),"")</f>
        <v>0</v>
      </c>
      <c r="X509" t="b">
        <f>NOT(AND(ISBLANK(DaybyDay[[#This Row],[Appts]]),ISBLANK(DaybyDay[[#This Row],[Service-Actuals]]),ISBLANK(DaybyDay[[#This Row],[Retail-Actuals]])))</f>
        <v>1</v>
      </c>
      <c r="Y509" s="36">
        <f>IF(DaybyDay[[#This Row],[_Space]],IFERROR(
((DaybyDay[[#This Row],[Actual-Rollup]]-DaybyDay[[#This Row],[LY-Rollup]])/DaybyDay[[#This Row],[LY-Rollup]]),0),"")</f>
        <v>0</v>
      </c>
      <c r="Z509"/>
      <c r="AA509" s="37" t="e">
        <f>IF(DaybyDay[[#This Row],[_Space]],DaybyDay[[#This Row],[Ret-Act-RU]]/DaybyDay[[#This Row],[Serv-Act-RU]],"")</f>
        <v>#DIV/0!</v>
      </c>
      <c r="AB509" s="50" t="e">
        <f>IF(DaybyDay[[#This Row],[_Space]],DaybyDay[[#This Row],[RETPEN-Act]]/DaybyDay[[#This Row],[RETPEN-Bud]],"")</f>
        <v>#DIV/0!</v>
      </c>
      <c r="AC509" s="37" t="e">
        <f>IF(DaybyDay[[#This Row],[_Space]],DaybyDay[[#This Row],[Ret-Bud-RU]]/DaybyDay[[#This Row],[Serv-Bud-RU]],"")</f>
        <v>#DIV/0!</v>
      </c>
      <c r="AD509" s="37" t="e">
        <f>IF(DaybyDay[[#This Row],[_Space]],DaybyDay[[#This Row],[Ret-LY-RU]]/DaybyDay[[#This Row],[Serv-LY-RU]],"")</f>
        <v>#DIV/0!</v>
      </c>
      <c r="AE509" s="30">
        <f>WEEKDAY(DaybyDay[[#This Row],[LY-Date]])</f>
        <v>6</v>
      </c>
      <c r="AF509" s="38">
        <f>$E$2+_xlfn.DAYS(DaybyDay[[#This Row],[Date]],minDate)</f>
        <v>42874</v>
      </c>
      <c r="AG509" s="39" cm="1">
        <f t="array" ref="AG509">IFERROR(INDEX(DaybyDay[],DaybyDay[[#This Row],[FORM_MATCH_HELPER]],8),"")</f>
        <v>24</v>
      </c>
      <c r="AH509" s="39" cm="1">
        <f t="array" ref="AH509">IFERROR(INDEX(DaybyDay[],DaybyDay[[#This Row],[FORM_MATCH_HELPER]],10),"")</f>
        <v>3230.4</v>
      </c>
      <c r="AI509" s="39" cm="1">
        <f t="array" ref="AI509">IFERROR(INDEX(DaybyDay[],DaybyDay[[#This Row],[FORM_MATCH_HELPER]],12),"")</f>
        <v>564</v>
      </c>
      <c r="AJ509" s="32">
        <f>IFERROR(DaybyDay[[#This Row],[Serv-LY-RU]]+DaybyDay[[#This Row],[Ret-LY-RU]],"")</f>
        <v>0</v>
      </c>
      <c r="AK5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09" s="77"/>
      <c r="AM509" s="40" t="str">
        <f>IF(DaybyDay[[#This Row],[Admin Hours]]&gt;0,DaybyDay[[#This Row],[Admin Hours]]*$AM$2+$AM$3,"")</f>
        <v/>
      </c>
      <c r="AN509" s="40">
        <f>SUMIFS(DaybyDay[Est-Admin-Payroll],DaybyDay[Date],"&gt;="&amp;$C$5,DaybyDay[RowYear],"&gt;="&amp;$C$4,DaybyDay[Date],"&lt;="&amp;DaybyDay[[#This Row],[Date]])</f>
        <v>0</v>
      </c>
      <c r="AO509" s="41" t="str">
        <f>IF(AND(DaybyDay[[#This Row],[_Space]],ISNUMBER(DaybyDay[[#This Row],[Admin Hours]])),DaybyDay[[#This Row],[Est-Admin-Payroll]]/(DaybyDay[[#This Row],[Service-Actuals]]+DaybyDay[[#This Row],[Retail-Actuals]]),"")</f>
        <v/>
      </c>
      <c r="AP509" s="41" t="e">
        <f>DaybyDay[[#This Row],[Estimated-Payroll-Rollup]]/DaybyDay[[#This Row],[Simple-Forecast]]</f>
        <v>#DIV/0!</v>
      </c>
      <c r="AQ5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09" s="77"/>
      <c r="AS509" s="40" t="str">
        <f>IF(DaybyDay[[#This Row],[Retail Hours]]&gt;0,DaybyDay[[#This Row],[Retail Hours]]*$AS$2,"")</f>
        <v/>
      </c>
      <c r="AT509" s="40">
        <f>SUMIFS(DaybyDay[Est-Retail-Payroll],DaybyDay[Date],"&gt;="&amp;$C$5,DaybyDay[RowYear],"&gt;="&amp;$C$4,DaybyDay[Date],"&lt;="&amp;DaybyDay[[#This Row],[Date]])</f>
        <v>0</v>
      </c>
      <c r="AU509" s="82" t="str">
        <f>IF(AND(DaybyDay[[#This Row],[_Space]],ISNUMBER(DaybyDay[[#This Row],[Retail Hours]])),DaybyDay[[#This Row],[Est-Retail-Payroll]]/(DaybyDay[[#This Row],[Retail-Actuals]]),"")</f>
        <v/>
      </c>
      <c r="AV509" s="82" t="e">
        <f>DaybyDay[[#This Row],[Est-Retail-PayrollRU]]/DaybyDay[[#This Row],[Simple-Forecast-Retail]]</f>
        <v>#DIV/0!</v>
      </c>
      <c r="AW509" s="8"/>
    </row>
    <row r="510" spans="3:49" hidden="1" x14ac:dyDescent="0.25">
      <c r="C510" s="26" t="str">
        <f>Tools!$C$1</f>
        <v>Example</v>
      </c>
      <c r="D510" s="27" t="s">
        <v>72</v>
      </c>
      <c r="E510" s="28">
        <v>2018</v>
      </c>
      <c r="F510" s="28">
        <f>MATCH(DaybyDay[[#This Row],[RowMonth]],Table3[SummaryMonth],0)</f>
        <v>5</v>
      </c>
      <c r="G510" s="29">
        <f>MATCH(DaybyDay[[#This Row],[LY-Date]],DaybyDay[Date],0)</f>
        <v>140</v>
      </c>
      <c r="H510" s="30">
        <f>WEEKDAY(DaybyDay[[#This Row],[Date]])</f>
        <v>7</v>
      </c>
      <c r="I510" s="31">
        <v>43239</v>
      </c>
      <c r="J510" s="74">
        <v>32</v>
      </c>
      <c r="K510" s="32">
        <f>SUMIFS(BudgetSeasonality[365 Seasonality],BudgetSeasonality[MonthAdjustment],DaybyDay[[#This Row],[Date]])*SUMIFS(Budgets[Service-Budget],Budgets[BudgetMonth],DaybyDay[[#This Row],[RowMonth]],Budgets[BudgetYear],DaybyDay[[#This Row],[RowYear]])</f>
        <v>8819.8045974563011</v>
      </c>
      <c r="L510" s="75">
        <v>7199</v>
      </c>
      <c r="M510" s="32">
        <f>INDEX(BudgetSeasonality[365 Seasonality],MATCH(DaybyDay[[#This Row],[Date]],BudgetSeasonality[MonthAdjustment],0))*SUMIFS(Budgets[Retail-Budget],Budgets[BudgetMonth],DaybyDay[[#This Row],[RowMonth]],Budgets[BudgetYear],DaybyDay[[#This Row],[RowYear]])</f>
        <v>2649.290741625266</v>
      </c>
      <c r="N510" s="75">
        <v>1754</v>
      </c>
      <c r="O510" s="33">
        <f>SUMIFS(DaybyDay[Service-Budgets],DaybyDay[Date],"&gt;="&amp;$C$5,DaybyDay[RowYear],"&gt;="&amp;$C$4,DaybyDay[Date],"&lt;="&amp;DaybyDay[[#This Row],[Date]])</f>
        <v>0</v>
      </c>
      <c r="P510" s="33">
        <f>SUMIFS(DaybyDay[Retail-Budgets],DaybyDay[Date],"&gt;="&amp;$C$5,DaybyDay[RowYear],"&gt;="&amp;$C$4,DaybyDay[Date],"&lt;="&amp;DaybyDay[[#This Row],[Date]])</f>
        <v>0</v>
      </c>
      <c r="Q510" s="34">
        <f>SUMIFS(DaybyDay[Service-Actuals],DaybyDay[Date],"&gt;="&amp;$C$5,DaybyDay[RowYear],"&gt;="&amp;$C$4,DaybyDay[Date],"&lt;="&amp;DaybyDay[[#This Row],[Date]])</f>
        <v>0</v>
      </c>
      <c r="R510" s="34">
        <f>SUMIFS(DaybyDay[Retail-Actuals],DaybyDay[Date],"&gt;="&amp;$C$5,DaybyDay[RowYear],"&gt;="&amp;$C$4,DaybyDay[Date],"&lt;="&amp;DaybyDay[[#This Row],[Date]])</f>
        <v>0</v>
      </c>
      <c r="S510" s="35">
        <f>SUMIFS(DaybyDay[Service-LY],DaybyDay[Date],"&gt;="&amp;$C$5,DaybyDay[RowYear],"&gt;="&amp;$C$4,DaybyDay[Date],"&lt;="&amp;DaybyDay[[#This Row],[Date]])</f>
        <v>0</v>
      </c>
      <c r="T510" s="35">
        <f>SUMIFS(DaybyDay[Retail-LY],DaybyDay[Date],"&gt;="&amp;$C$5,DaybyDay[RowYear],"&gt;="&amp;$C$4,DaybyDay[Date],"&lt;="&amp;DaybyDay[[#This Row],[Date]])</f>
        <v>0</v>
      </c>
      <c r="U510" s="32">
        <f>DaybyDay[[#This Row],[Serv-Bud-RU]]+DaybyDay[[#This Row],[Ret-Bud-RU]]</f>
        <v>0</v>
      </c>
      <c r="V510" s="32">
        <f>DaybyDay[[#This Row],[Serv-Act-RU]]+DaybyDay[[#This Row],[Ret-Act-RU]]</f>
        <v>0</v>
      </c>
      <c r="W510" s="36">
        <f>IF(DaybyDay[[#This Row],[_Space]],IFERROR(
((DaybyDay[[#This Row],[Actual-Rollup]]-DaybyDay[[#This Row],[Budget-Rollup]])/DaybyDay[[#This Row],[Budget-Rollup]]),0),"")</f>
        <v>0</v>
      </c>
      <c r="X510" t="b">
        <f>NOT(AND(ISBLANK(DaybyDay[[#This Row],[Appts]]),ISBLANK(DaybyDay[[#This Row],[Service-Actuals]]),ISBLANK(DaybyDay[[#This Row],[Retail-Actuals]])))</f>
        <v>1</v>
      </c>
      <c r="Y510" s="36">
        <f>IF(DaybyDay[[#This Row],[_Space]],IFERROR(
((DaybyDay[[#This Row],[Actual-Rollup]]-DaybyDay[[#This Row],[LY-Rollup]])/DaybyDay[[#This Row],[LY-Rollup]]),0),"")</f>
        <v>0</v>
      </c>
      <c r="Z510"/>
      <c r="AA510" s="37" t="e">
        <f>IF(DaybyDay[[#This Row],[_Space]],DaybyDay[[#This Row],[Ret-Act-RU]]/DaybyDay[[#This Row],[Serv-Act-RU]],"")</f>
        <v>#DIV/0!</v>
      </c>
      <c r="AB510" s="50" t="e">
        <f>IF(DaybyDay[[#This Row],[_Space]],DaybyDay[[#This Row],[RETPEN-Act]]/DaybyDay[[#This Row],[RETPEN-Bud]],"")</f>
        <v>#DIV/0!</v>
      </c>
      <c r="AC510" s="37" t="e">
        <f>IF(DaybyDay[[#This Row],[_Space]],DaybyDay[[#This Row],[Ret-Bud-RU]]/DaybyDay[[#This Row],[Serv-Bud-RU]],"")</f>
        <v>#DIV/0!</v>
      </c>
      <c r="AD510" s="37" t="e">
        <f>IF(DaybyDay[[#This Row],[_Space]],DaybyDay[[#This Row],[Ret-LY-RU]]/DaybyDay[[#This Row],[Serv-LY-RU]],"")</f>
        <v>#DIV/0!</v>
      </c>
      <c r="AE510" s="30">
        <f>WEEKDAY(DaybyDay[[#This Row],[LY-Date]])</f>
        <v>7</v>
      </c>
      <c r="AF510" s="38">
        <f>$E$2+_xlfn.DAYS(DaybyDay[[#This Row],[Date]],minDate)</f>
        <v>42875</v>
      </c>
      <c r="AG510" s="39" cm="1">
        <f t="array" ref="AG510">IFERROR(INDEX(DaybyDay[],DaybyDay[[#This Row],[FORM_MATCH_HELPER]],8),"")</f>
        <v>29</v>
      </c>
      <c r="AH510" s="39" cm="1">
        <f t="array" ref="AH510">IFERROR(INDEX(DaybyDay[],DaybyDay[[#This Row],[FORM_MATCH_HELPER]],10),"")</f>
        <v>7725.2</v>
      </c>
      <c r="AI510" s="39" cm="1">
        <f t="array" ref="AI510">IFERROR(INDEX(DaybyDay[],DaybyDay[[#This Row],[FORM_MATCH_HELPER]],12),"")</f>
        <v>1258.73</v>
      </c>
      <c r="AJ510" s="32">
        <f>IFERROR(DaybyDay[[#This Row],[Serv-LY-RU]]+DaybyDay[[#This Row],[Ret-LY-RU]],"")</f>
        <v>0</v>
      </c>
      <c r="AK5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0" s="77"/>
      <c r="AM510" s="40" t="str">
        <f>IF(DaybyDay[[#This Row],[Admin Hours]]&gt;0,DaybyDay[[#This Row],[Admin Hours]]*$AM$2+$AM$3,"")</f>
        <v/>
      </c>
      <c r="AN510" s="40">
        <f>SUMIFS(DaybyDay[Est-Admin-Payroll],DaybyDay[Date],"&gt;="&amp;$C$5,DaybyDay[RowYear],"&gt;="&amp;$C$4,DaybyDay[Date],"&lt;="&amp;DaybyDay[[#This Row],[Date]])</f>
        <v>0</v>
      </c>
      <c r="AO510" s="41" t="str">
        <f>IF(AND(DaybyDay[[#This Row],[_Space]],ISNUMBER(DaybyDay[[#This Row],[Admin Hours]])),DaybyDay[[#This Row],[Est-Admin-Payroll]]/(DaybyDay[[#This Row],[Service-Actuals]]+DaybyDay[[#This Row],[Retail-Actuals]]),"")</f>
        <v/>
      </c>
      <c r="AP510" s="41" t="e">
        <f>DaybyDay[[#This Row],[Estimated-Payroll-Rollup]]/DaybyDay[[#This Row],[Simple-Forecast]]</f>
        <v>#DIV/0!</v>
      </c>
      <c r="AQ5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0" s="77"/>
      <c r="AS510" s="40" t="str">
        <f>IF(DaybyDay[[#This Row],[Retail Hours]]&gt;0,DaybyDay[[#This Row],[Retail Hours]]*$AS$2,"")</f>
        <v/>
      </c>
      <c r="AT510" s="40">
        <f>SUMIFS(DaybyDay[Est-Retail-Payroll],DaybyDay[Date],"&gt;="&amp;$C$5,DaybyDay[RowYear],"&gt;="&amp;$C$4,DaybyDay[Date],"&lt;="&amp;DaybyDay[[#This Row],[Date]])</f>
        <v>0</v>
      </c>
      <c r="AU510" s="82" t="str">
        <f>IF(AND(DaybyDay[[#This Row],[_Space]],ISNUMBER(DaybyDay[[#This Row],[Retail Hours]])),DaybyDay[[#This Row],[Est-Retail-Payroll]]/(DaybyDay[[#This Row],[Retail-Actuals]]),"")</f>
        <v/>
      </c>
      <c r="AV510" s="82" t="e">
        <f>DaybyDay[[#This Row],[Est-Retail-PayrollRU]]/DaybyDay[[#This Row],[Simple-Forecast-Retail]]</f>
        <v>#DIV/0!</v>
      </c>
      <c r="AW510" s="8"/>
    </row>
    <row r="511" spans="3:49" hidden="1" x14ac:dyDescent="0.25">
      <c r="C511" s="26" t="str">
        <f>Tools!$C$1</f>
        <v>Example</v>
      </c>
      <c r="D511" s="27" t="s">
        <v>72</v>
      </c>
      <c r="E511" s="28">
        <v>2018</v>
      </c>
      <c r="F511" s="28">
        <f>MATCH(DaybyDay[[#This Row],[RowMonth]],Table3[SummaryMonth],0)</f>
        <v>5</v>
      </c>
      <c r="G511" s="29">
        <f>MATCH(DaybyDay[[#This Row],[LY-Date]],DaybyDay[Date],0)</f>
        <v>141</v>
      </c>
      <c r="H511" s="30">
        <f>WEEKDAY(DaybyDay[[#This Row],[Date]])</f>
        <v>1</v>
      </c>
      <c r="I511" s="31">
        <v>43240</v>
      </c>
      <c r="J511" s="74">
        <v>19</v>
      </c>
      <c r="K511" s="32">
        <f>SUMIFS(BudgetSeasonality[365 Seasonality],BudgetSeasonality[MonthAdjustment],DaybyDay[[#This Row],[Date]])*SUMIFS(Budgets[Service-Budget],Budgets[BudgetMonth],DaybyDay[[#This Row],[RowMonth]],Budgets[BudgetYear],DaybyDay[[#This Row],[RowYear]])</f>
        <v>6872.1945488746978</v>
      </c>
      <c r="L511" s="75">
        <v>2218.6</v>
      </c>
      <c r="M511" s="32">
        <f>INDEX(BudgetSeasonality[365 Seasonality],MATCH(DaybyDay[[#This Row],[Date]],BudgetSeasonality[MonthAdjustment],0))*SUMIFS(Budgets[Retail-Budget],Budgets[BudgetMonth],DaybyDay[[#This Row],[RowMonth]],Budgets[BudgetYear],DaybyDay[[#This Row],[RowYear]])</f>
        <v>2064.2681129502844</v>
      </c>
      <c r="N511" s="75">
        <v>1919.6</v>
      </c>
      <c r="O511" s="33">
        <f>SUMIFS(DaybyDay[Service-Budgets],DaybyDay[Date],"&gt;="&amp;$C$5,DaybyDay[RowYear],"&gt;="&amp;$C$4,DaybyDay[Date],"&lt;="&amp;DaybyDay[[#This Row],[Date]])</f>
        <v>0</v>
      </c>
      <c r="P511" s="33">
        <f>SUMIFS(DaybyDay[Retail-Budgets],DaybyDay[Date],"&gt;="&amp;$C$5,DaybyDay[RowYear],"&gt;="&amp;$C$4,DaybyDay[Date],"&lt;="&amp;DaybyDay[[#This Row],[Date]])</f>
        <v>0</v>
      </c>
      <c r="Q511" s="34">
        <f>SUMIFS(DaybyDay[Service-Actuals],DaybyDay[Date],"&gt;="&amp;$C$5,DaybyDay[RowYear],"&gt;="&amp;$C$4,DaybyDay[Date],"&lt;="&amp;DaybyDay[[#This Row],[Date]])</f>
        <v>0</v>
      </c>
      <c r="R511" s="34">
        <f>SUMIFS(DaybyDay[Retail-Actuals],DaybyDay[Date],"&gt;="&amp;$C$5,DaybyDay[RowYear],"&gt;="&amp;$C$4,DaybyDay[Date],"&lt;="&amp;DaybyDay[[#This Row],[Date]])</f>
        <v>0</v>
      </c>
      <c r="S511" s="35">
        <f>SUMIFS(DaybyDay[Service-LY],DaybyDay[Date],"&gt;="&amp;$C$5,DaybyDay[RowYear],"&gt;="&amp;$C$4,DaybyDay[Date],"&lt;="&amp;DaybyDay[[#This Row],[Date]])</f>
        <v>0</v>
      </c>
      <c r="T511" s="35">
        <f>SUMIFS(DaybyDay[Retail-LY],DaybyDay[Date],"&gt;="&amp;$C$5,DaybyDay[RowYear],"&gt;="&amp;$C$4,DaybyDay[Date],"&lt;="&amp;DaybyDay[[#This Row],[Date]])</f>
        <v>0</v>
      </c>
      <c r="U511" s="32">
        <f>DaybyDay[[#This Row],[Serv-Bud-RU]]+DaybyDay[[#This Row],[Ret-Bud-RU]]</f>
        <v>0</v>
      </c>
      <c r="V511" s="32">
        <f>DaybyDay[[#This Row],[Serv-Act-RU]]+DaybyDay[[#This Row],[Ret-Act-RU]]</f>
        <v>0</v>
      </c>
      <c r="W511" s="36">
        <f>IF(DaybyDay[[#This Row],[_Space]],IFERROR(
((DaybyDay[[#This Row],[Actual-Rollup]]-DaybyDay[[#This Row],[Budget-Rollup]])/DaybyDay[[#This Row],[Budget-Rollup]]),0),"")</f>
        <v>0</v>
      </c>
      <c r="X511" t="b">
        <f>NOT(AND(ISBLANK(DaybyDay[[#This Row],[Appts]]),ISBLANK(DaybyDay[[#This Row],[Service-Actuals]]),ISBLANK(DaybyDay[[#This Row],[Retail-Actuals]])))</f>
        <v>1</v>
      </c>
      <c r="Y511" s="36">
        <f>IF(DaybyDay[[#This Row],[_Space]],IFERROR(
((DaybyDay[[#This Row],[Actual-Rollup]]-DaybyDay[[#This Row],[LY-Rollup]])/DaybyDay[[#This Row],[LY-Rollup]]),0),"")</f>
        <v>0</v>
      </c>
      <c r="Z511"/>
      <c r="AA511" s="37" t="e">
        <f>IF(DaybyDay[[#This Row],[_Space]],DaybyDay[[#This Row],[Ret-Act-RU]]/DaybyDay[[#This Row],[Serv-Act-RU]],"")</f>
        <v>#DIV/0!</v>
      </c>
      <c r="AB511" s="50" t="e">
        <f>IF(DaybyDay[[#This Row],[_Space]],DaybyDay[[#This Row],[RETPEN-Act]]/DaybyDay[[#This Row],[RETPEN-Bud]],"")</f>
        <v>#DIV/0!</v>
      </c>
      <c r="AC511" s="37" t="e">
        <f>IF(DaybyDay[[#This Row],[_Space]],DaybyDay[[#This Row],[Ret-Bud-RU]]/DaybyDay[[#This Row],[Serv-Bud-RU]],"")</f>
        <v>#DIV/0!</v>
      </c>
      <c r="AD511" s="37" t="e">
        <f>IF(DaybyDay[[#This Row],[_Space]],DaybyDay[[#This Row],[Ret-LY-RU]]/DaybyDay[[#This Row],[Serv-LY-RU]],"")</f>
        <v>#DIV/0!</v>
      </c>
      <c r="AE511" s="30">
        <f>WEEKDAY(DaybyDay[[#This Row],[LY-Date]])</f>
        <v>1</v>
      </c>
      <c r="AF511" s="38">
        <f>$E$2+_xlfn.DAYS(DaybyDay[[#This Row],[Date]],minDate)</f>
        <v>42876</v>
      </c>
      <c r="AG511" s="39" cm="1">
        <f t="array" ref="AG511">IFERROR(INDEX(DaybyDay[],DaybyDay[[#This Row],[FORM_MATCH_HELPER]],8),"")</f>
        <v>41</v>
      </c>
      <c r="AH511" s="39" cm="1">
        <f t="array" ref="AH511">IFERROR(INDEX(DaybyDay[],DaybyDay[[#This Row],[FORM_MATCH_HELPER]],10),"")</f>
        <v>7650.8</v>
      </c>
      <c r="AI511" s="39" cm="1">
        <f t="array" ref="AI511">IFERROR(INDEX(DaybyDay[],DaybyDay[[#This Row],[FORM_MATCH_HELPER]],12),"")</f>
        <v>559.5</v>
      </c>
      <c r="AJ511" s="32">
        <f>IFERROR(DaybyDay[[#This Row],[Serv-LY-RU]]+DaybyDay[[#This Row],[Ret-LY-RU]],"")</f>
        <v>0</v>
      </c>
      <c r="AK5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1" s="77"/>
      <c r="AM511" s="40" t="str">
        <f>IF(DaybyDay[[#This Row],[Admin Hours]]&gt;0,DaybyDay[[#This Row],[Admin Hours]]*$AM$2+$AM$3,"")</f>
        <v/>
      </c>
      <c r="AN511" s="40">
        <f>SUMIFS(DaybyDay[Est-Admin-Payroll],DaybyDay[Date],"&gt;="&amp;$C$5,DaybyDay[RowYear],"&gt;="&amp;$C$4,DaybyDay[Date],"&lt;="&amp;DaybyDay[[#This Row],[Date]])</f>
        <v>0</v>
      </c>
      <c r="AO511" s="41" t="str">
        <f>IF(AND(DaybyDay[[#This Row],[_Space]],ISNUMBER(DaybyDay[[#This Row],[Admin Hours]])),DaybyDay[[#This Row],[Est-Admin-Payroll]]/(DaybyDay[[#This Row],[Service-Actuals]]+DaybyDay[[#This Row],[Retail-Actuals]]),"")</f>
        <v/>
      </c>
      <c r="AP511" s="41" t="e">
        <f>DaybyDay[[#This Row],[Estimated-Payroll-Rollup]]/DaybyDay[[#This Row],[Simple-Forecast]]</f>
        <v>#DIV/0!</v>
      </c>
      <c r="AQ5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1" s="77"/>
      <c r="AS511" s="40" t="str">
        <f>IF(DaybyDay[[#This Row],[Retail Hours]]&gt;0,DaybyDay[[#This Row],[Retail Hours]]*$AS$2,"")</f>
        <v/>
      </c>
      <c r="AT511" s="40">
        <f>SUMIFS(DaybyDay[Est-Retail-Payroll],DaybyDay[Date],"&gt;="&amp;$C$5,DaybyDay[RowYear],"&gt;="&amp;$C$4,DaybyDay[Date],"&lt;="&amp;DaybyDay[[#This Row],[Date]])</f>
        <v>0</v>
      </c>
      <c r="AU511" s="82" t="str">
        <f>IF(AND(DaybyDay[[#This Row],[_Space]],ISNUMBER(DaybyDay[[#This Row],[Retail Hours]])),DaybyDay[[#This Row],[Est-Retail-Payroll]]/(DaybyDay[[#This Row],[Retail-Actuals]]),"")</f>
        <v/>
      </c>
      <c r="AV511" s="82" t="e">
        <f>DaybyDay[[#This Row],[Est-Retail-PayrollRU]]/DaybyDay[[#This Row],[Simple-Forecast-Retail]]</f>
        <v>#DIV/0!</v>
      </c>
      <c r="AW511" s="8"/>
    </row>
    <row r="512" spans="3:49" hidden="1" x14ac:dyDescent="0.25">
      <c r="C512" s="26" t="str">
        <f>Tools!$C$1</f>
        <v>Example</v>
      </c>
      <c r="D512" s="27" t="s">
        <v>72</v>
      </c>
      <c r="E512" s="28">
        <v>2018</v>
      </c>
      <c r="F512" s="28">
        <f>MATCH(DaybyDay[[#This Row],[RowMonth]],Table3[SummaryMonth],0)</f>
        <v>5</v>
      </c>
      <c r="G512" s="29">
        <f>MATCH(DaybyDay[[#This Row],[LY-Date]],DaybyDay[Date],0)</f>
        <v>142</v>
      </c>
      <c r="H512" s="30">
        <f>WEEKDAY(DaybyDay[[#This Row],[Date]])</f>
        <v>2</v>
      </c>
      <c r="I512" s="31">
        <v>43241</v>
      </c>
      <c r="J512" s="74">
        <v>19</v>
      </c>
      <c r="K512" s="32">
        <f>SUMIFS(BudgetSeasonality[365 Seasonality],BudgetSeasonality[MonthAdjustment],DaybyDay[[#This Row],[Date]])*SUMIFS(Budgets[Service-Budget],Budgets[BudgetMonth],DaybyDay[[#This Row],[RowMonth]],Budgets[BudgetYear],DaybyDay[[#This Row],[RowYear]])</f>
        <v>4048.6551234255417</v>
      </c>
      <c r="L512" s="75">
        <v>3651.1</v>
      </c>
      <c r="M512" s="32">
        <f>INDEX(BudgetSeasonality[365 Seasonality],MATCH(DaybyDay[[#This Row],[Date]],BudgetSeasonality[MonthAdjustment],0))*SUMIFS(Budgets[Retail-Budget],Budgets[BudgetMonth],DaybyDay[[#This Row],[RowMonth]],Budgets[BudgetYear],DaybyDay[[#This Row],[RowYear]])</f>
        <v>1216.1340329034576</v>
      </c>
      <c r="N512" s="75">
        <v>1290</v>
      </c>
      <c r="O512" s="33">
        <f>SUMIFS(DaybyDay[Service-Budgets],DaybyDay[Date],"&gt;="&amp;$C$5,DaybyDay[RowYear],"&gt;="&amp;$C$4,DaybyDay[Date],"&lt;="&amp;DaybyDay[[#This Row],[Date]])</f>
        <v>0</v>
      </c>
      <c r="P512" s="33">
        <f>SUMIFS(DaybyDay[Retail-Budgets],DaybyDay[Date],"&gt;="&amp;$C$5,DaybyDay[RowYear],"&gt;="&amp;$C$4,DaybyDay[Date],"&lt;="&amp;DaybyDay[[#This Row],[Date]])</f>
        <v>0</v>
      </c>
      <c r="Q512" s="34">
        <f>SUMIFS(DaybyDay[Service-Actuals],DaybyDay[Date],"&gt;="&amp;$C$5,DaybyDay[RowYear],"&gt;="&amp;$C$4,DaybyDay[Date],"&lt;="&amp;DaybyDay[[#This Row],[Date]])</f>
        <v>0</v>
      </c>
      <c r="R512" s="34">
        <f>SUMIFS(DaybyDay[Retail-Actuals],DaybyDay[Date],"&gt;="&amp;$C$5,DaybyDay[RowYear],"&gt;="&amp;$C$4,DaybyDay[Date],"&lt;="&amp;DaybyDay[[#This Row],[Date]])</f>
        <v>0</v>
      </c>
      <c r="S512" s="35">
        <f>SUMIFS(DaybyDay[Service-LY],DaybyDay[Date],"&gt;="&amp;$C$5,DaybyDay[RowYear],"&gt;="&amp;$C$4,DaybyDay[Date],"&lt;="&amp;DaybyDay[[#This Row],[Date]])</f>
        <v>0</v>
      </c>
      <c r="T512" s="35">
        <f>SUMIFS(DaybyDay[Retail-LY],DaybyDay[Date],"&gt;="&amp;$C$5,DaybyDay[RowYear],"&gt;="&amp;$C$4,DaybyDay[Date],"&lt;="&amp;DaybyDay[[#This Row],[Date]])</f>
        <v>0</v>
      </c>
      <c r="U512" s="32">
        <f>DaybyDay[[#This Row],[Serv-Bud-RU]]+DaybyDay[[#This Row],[Ret-Bud-RU]]</f>
        <v>0</v>
      </c>
      <c r="V512" s="32">
        <f>DaybyDay[[#This Row],[Serv-Act-RU]]+DaybyDay[[#This Row],[Ret-Act-RU]]</f>
        <v>0</v>
      </c>
      <c r="W512" s="36">
        <f>IF(DaybyDay[[#This Row],[_Space]],IFERROR(
((DaybyDay[[#This Row],[Actual-Rollup]]-DaybyDay[[#This Row],[Budget-Rollup]])/DaybyDay[[#This Row],[Budget-Rollup]]),0),"")</f>
        <v>0</v>
      </c>
      <c r="X512" t="b">
        <f>NOT(AND(ISBLANK(DaybyDay[[#This Row],[Appts]]),ISBLANK(DaybyDay[[#This Row],[Service-Actuals]]),ISBLANK(DaybyDay[[#This Row],[Retail-Actuals]])))</f>
        <v>1</v>
      </c>
      <c r="Y512" s="36">
        <f>IF(DaybyDay[[#This Row],[_Space]],IFERROR(
((DaybyDay[[#This Row],[Actual-Rollup]]-DaybyDay[[#This Row],[LY-Rollup]])/DaybyDay[[#This Row],[LY-Rollup]]),0),"")</f>
        <v>0</v>
      </c>
      <c r="Z512"/>
      <c r="AA512" s="37" t="e">
        <f>IF(DaybyDay[[#This Row],[_Space]],DaybyDay[[#This Row],[Ret-Act-RU]]/DaybyDay[[#This Row],[Serv-Act-RU]],"")</f>
        <v>#DIV/0!</v>
      </c>
      <c r="AB512" s="50" t="e">
        <f>IF(DaybyDay[[#This Row],[_Space]],DaybyDay[[#This Row],[RETPEN-Act]]/DaybyDay[[#This Row],[RETPEN-Bud]],"")</f>
        <v>#DIV/0!</v>
      </c>
      <c r="AC512" s="37" t="e">
        <f>IF(DaybyDay[[#This Row],[_Space]],DaybyDay[[#This Row],[Ret-Bud-RU]]/DaybyDay[[#This Row],[Serv-Bud-RU]],"")</f>
        <v>#DIV/0!</v>
      </c>
      <c r="AD512" s="37" t="e">
        <f>IF(DaybyDay[[#This Row],[_Space]],DaybyDay[[#This Row],[Ret-LY-RU]]/DaybyDay[[#This Row],[Serv-LY-RU]],"")</f>
        <v>#DIV/0!</v>
      </c>
      <c r="AE512" s="30">
        <f>WEEKDAY(DaybyDay[[#This Row],[LY-Date]])</f>
        <v>2</v>
      </c>
      <c r="AF512" s="38">
        <f>$E$2+_xlfn.DAYS(DaybyDay[[#This Row],[Date]],minDate)</f>
        <v>42877</v>
      </c>
      <c r="AG512" s="39" cm="1">
        <f t="array" ref="AG512">IFERROR(INDEX(DaybyDay[],DaybyDay[[#This Row],[FORM_MATCH_HELPER]],8),"")</f>
        <v>27</v>
      </c>
      <c r="AH512" s="39" cm="1">
        <f t="array" ref="AH512">IFERROR(INDEX(DaybyDay[],DaybyDay[[#This Row],[FORM_MATCH_HELPER]],10),"")</f>
        <v>5591</v>
      </c>
      <c r="AI512" s="39" cm="1">
        <f t="array" ref="AI512">IFERROR(INDEX(DaybyDay[],DaybyDay[[#This Row],[FORM_MATCH_HELPER]],12),"")</f>
        <v>986.05</v>
      </c>
      <c r="AJ512" s="32">
        <f>IFERROR(DaybyDay[[#This Row],[Serv-LY-RU]]+DaybyDay[[#This Row],[Ret-LY-RU]],"")</f>
        <v>0</v>
      </c>
      <c r="AK5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2" s="77"/>
      <c r="AM512" s="40" t="str">
        <f>IF(DaybyDay[[#This Row],[Admin Hours]]&gt;0,DaybyDay[[#This Row],[Admin Hours]]*$AM$2+$AM$3,"")</f>
        <v/>
      </c>
      <c r="AN512" s="40">
        <f>SUMIFS(DaybyDay[Est-Admin-Payroll],DaybyDay[Date],"&gt;="&amp;$C$5,DaybyDay[RowYear],"&gt;="&amp;$C$4,DaybyDay[Date],"&lt;="&amp;DaybyDay[[#This Row],[Date]])</f>
        <v>0</v>
      </c>
      <c r="AO512" s="41" t="str">
        <f>IF(AND(DaybyDay[[#This Row],[_Space]],ISNUMBER(DaybyDay[[#This Row],[Admin Hours]])),DaybyDay[[#This Row],[Est-Admin-Payroll]]/(DaybyDay[[#This Row],[Service-Actuals]]+DaybyDay[[#This Row],[Retail-Actuals]]),"")</f>
        <v/>
      </c>
      <c r="AP512" s="41" t="e">
        <f>DaybyDay[[#This Row],[Estimated-Payroll-Rollup]]/DaybyDay[[#This Row],[Simple-Forecast]]</f>
        <v>#DIV/0!</v>
      </c>
      <c r="AQ5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2" s="77"/>
      <c r="AS512" s="40" t="str">
        <f>IF(DaybyDay[[#This Row],[Retail Hours]]&gt;0,DaybyDay[[#This Row],[Retail Hours]]*$AS$2,"")</f>
        <v/>
      </c>
      <c r="AT512" s="40">
        <f>SUMIFS(DaybyDay[Est-Retail-Payroll],DaybyDay[Date],"&gt;="&amp;$C$5,DaybyDay[RowYear],"&gt;="&amp;$C$4,DaybyDay[Date],"&lt;="&amp;DaybyDay[[#This Row],[Date]])</f>
        <v>0</v>
      </c>
      <c r="AU512" s="82" t="str">
        <f>IF(AND(DaybyDay[[#This Row],[_Space]],ISNUMBER(DaybyDay[[#This Row],[Retail Hours]])),DaybyDay[[#This Row],[Est-Retail-Payroll]]/(DaybyDay[[#This Row],[Retail-Actuals]]),"")</f>
        <v/>
      </c>
      <c r="AV512" s="82" t="e">
        <f>DaybyDay[[#This Row],[Est-Retail-PayrollRU]]/DaybyDay[[#This Row],[Simple-Forecast-Retail]]</f>
        <v>#DIV/0!</v>
      </c>
      <c r="AW512" s="8"/>
    </row>
    <row r="513" spans="3:49" hidden="1" x14ac:dyDescent="0.25">
      <c r="C513" s="26" t="str">
        <f>Tools!$C$1</f>
        <v>Example</v>
      </c>
      <c r="D513" s="27" t="s">
        <v>72</v>
      </c>
      <c r="E513" s="28">
        <v>2018</v>
      </c>
      <c r="F513" s="28">
        <f>MATCH(DaybyDay[[#This Row],[RowMonth]],Table3[SummaryMonth],0)</f>
        <v>5</v>
      </c>
      <c r="G513" s="29">
        <f>MATCH(DaybyDay[[#This Row],[LY-Date]],DaybyDay[Date],0)</f>
        <v>143</v>
      </c>
      <c r="H513" s="30">
        <f>WEEKDAY(DaybyDay[[#This Row],[Date]])</f>
        <v>3</v>
      </c>
      <c r="I513" s="31">
        <v>43242</v>
      </c>
      <c r="J513" s="74">
        <v>12</v>
      </c>
      <c r="K513" s="32">
        <f>SUMIFS(BudgetSeasonality[365 Seasonality],BudgetSeasonality[MonthAdjustment],DaybyDay[[#This Row],[Date]])*SUMIFS(Budgets[Service-Budget],Budgets[BudgetMonth],DaybyDay[[#This Row],[RowMonth]],Budgets[BudgetYear],DaybyDay[[#This Row],[RowYear]])</f>
        <v>4140.5739560756947</v>
      </c>
      <c r="L513" s="75">
        <v>1718.5</v>
      </c>
      <c r="M513" s="32">
        <f>INDEX(BudgetSeasonality[365 Seasonality],MATCH(DaybyDay[[#This Row],[Date]],BudgetSeasonality[MonthAdjustment],0))*SUMIFS(Budgets[Retail-Budget],Budgets[BudgetMonth],DaybyDay[[#This Row],[RowMonth]],Budgets[BudgetYear],DaybyDay[[#This Row],[RowYear]])</f>
        <v>1243.7445893086738</v>
      </c>
      <c r="N513" s="75">
        <v>377.6</v>
      </c>
      <c r="O513" s="33">
        <f>SUMIFS(DaybyDay[Service-Budgets],DaybyDay[Date],"&gt;="&amp;$C$5,DaybyDay[RowYear],"&gt;="&amp;$C$4,DaybyDay[Date],"&lt;="&amp;DaybyDay[[#This Row],[Date]])</f>
        <v>0</v>
      </c>
      <c r="P513" s="33">
        <f>SUMIFS(DaybyDay[Retail-Budgets],DaybyDay[Date],"&gt;="&amp;$C$5,DaybyDay[RowYear],"&gt;="&amp;$C$4,DaybyDay[Date],"&lt;="&amp;DaybyDay[[#This Row],[Date]])</f>
        <v>0</v>
      </c>
      <c r="Q513" s="34">
        <f>SUMIFS(DaybyDay[Service-Actuals],DaybyDay[Date],"&gt;="&amp;$C$5,DaybyDay[RowYear],"&gt;="&amp;$C$4,DaybyDay[Date],"&lt;="&amp;DaybyDay[[#This Row],[Date]])</f>
        <v>0</v>
      </c>
      <c r="R513" s="34">
        <f>SUMIFS(DaybyDay[Retail-Actuals],DaybyDay[Date],"&gt;="&amp;$C$5,DaybyDay[RowYear],"&gt;="&amp;$C$4,DaybyDay[Date],"&lt;="&amp;DaybyDay[[#This Row],[Date]])</f>
        <v>0</v>
      </c>
      <c r="S513" s="35">
        <f>SUMIFS(DaybyDay[Service-LY],DaybyDay[Date],"&gt;="&amp;$C$5,DaybyDay[RowYear],"&gt;="&amp;$C$4,DaybyDay[Date],"&lt;="&amp;DaybyDay[[#This Row],[Date]])</f>
        <v>0</v>
      </c>
      <c r="T513" s="35">
        <f>SUMIFS(DaybyDay[Retail-LY],DaybyDay[Date],"&gt;="&amp;$C$5,DaybyDay[RowYear],"&gt;="&amp;$C$4,DaybyDay[Date],"&lt;="&amp;DaybyDay[[#This Row],[Date]])</f>
        <v>0</v>
      </c>
      <c r="U513" s="32">
        <f>DaybyDay[[#This Row],[Serv-Bud-RU]]+DaybyDay[[#This Row],[Ret-Bud-RU]]</f>
        <v>0</v>
      </c>
      <c r="V513" s="32">
        <f>DaybyDay[[#This Row],[Serv-Act-RU]]+DaybyDay[[#This Row],[Ret-Act-RU]]</f>
        <v>0</v>
      </c>
      <c r="W513" s="36">
        <f>IF(DaybyDay[[#This Row],[_Space]],IFERROR(
((DaybyDay[[#This Row],[Actual-Rollup]]-DaybyDay[[#This Row],[Budget-Rollup]])/DaybyDay[[#This Row],[Budget-Rollup]]),0),"")</f>
        <v>0</v>
      </c>
      <c r="X513" t="b">
        <f>NOT(AND(ISBLANK(DaybyDay[[#This Row],[Appts]]),ISBLANK(DaybyDay[[#This Row],[Service-Actuals]]),ISBLANK(DaybyDay[[#This Row],[Retail-Actuals]])))</f>
        <v>1</v>
      </c>
      <c r="Y513" s="36">
        <f>IF(DaybyDay[[#This Row],[_Space]],IFERROR(
((DaybyDay[[#This Row],[Actual-Rollup]]-DaybyDay[[#This Row],[LY-Rollup]])/DaybyDay[[#This Row],[LY-Rollup]]),0),"")</f>
        <v>0</v>
      </c>
      <c r="Z513"/>
      <c r="AA513" s="37" t="e">
        <f>IF(DaybyDay[[#This Row],[_Space]],DaybyDay[[#This Row],[Ret-Act-RU]]/DaybyDay[[#This Row],[Serv-Act-RU]],"")</f>
        <v>#DIV/0!</v>
      </c>
      <c r="AB513" s="50" t="e">
        <f>IF(DaybyDay[[#This Row],[_Space]],DaybyDay[[#This Row],[RETPEN-Act]]/DaybyDay[[#This Row],[RETPEN-Bud]],"")</f>
        <v>#DIV/0!</v>
      </c>
      <c r="AC513" s="37" t="e">
        <f>IF(DaybyDay[[#This Row],[_Space]],DaybyDay[[#This Row],[Ret-Bud-RU]]/DaybyDay[[#This Row],[Serv-Bud-RU]],"")</f>
        <v>#DIV/0!</v>
      </c>
      <c r="AD513" s="37" t="e">
        <f>IF(DaybyDay[[#This Row],[_Space]],DaybyDay[[#This Row],[Ret-LY-RU]]/DaybyDay[[#This Row],[Serv-LY-RU]],"")</f>
        <v>#DIV/0!</v>
      </c>
      <c r="AE513" s="30">
        <f>WEEKDAY(DaybyDay[[#This Row],[LY-Date]])</f>
        <v>3</v>
      </c>
      <c r="AF513" s="38">
        <f>$E$2+_xlfn.DAYS(DaybyDay[[#This Row],[Date]],minDate)</f>
        <v>42878</v>
      </c>
      <c r="AG513" s="39" cm="1">
        <f t="array" ref="AG513">IFERROR(INDEX(DaybyDay[],DaybyDay[[#This Row],[FORM_MATCH_HELPER]],8),"")</f>
        <v>14</v>
      </c>
      <c r="AH513" s="39" cm="1">
        <f t="array" ref="AH513">IFERROR(INDEX(DaybyDay[],DaybyDay[[#This Row],[FORM_MATCH_HELPER]],10),"")</f>
        <v>2719.6</v>
      </c>
      <c r="AI513" s="39" cm="1">
        <f t="array" ref="AI513">IFERROR(INDEX(DaybyDay[],DaybyDay[[#This Row],[FORM_MATCH_HELPER]],12),"")</f>
        <v>256</v>
      </c>
      <c r="AJ513" s="32">
        <f>IFERROR(DaybyDay[[#This Row],[Serv-LY-RU]]+DaybyDay[[#This Row],[Ret-LY-RU]],"")</f>
        <v>0</v>
      </c>
      <c r="AK5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3" s="77"/>
      <c r="AM513" s="40" t="str">
        <f>IF(DaybyDay[[#This Row],[Admin Hours]]&gt;0,DaybyDay[[#This Row],[Admin Hours]]*$AM$2+$AM$3,"")</f>
        <v/>
      </c>
      <c r="AN513" s="40">
        <f>SUMIFS(DaybyDay[Est-Admin-Payroll],DaybyDay[Date],"&gt;="&amp;$C$5,DaybyDay[RowYear],"&gt;="&amp;$C$4,DaybyDay[Date],"&lt;="&amp;DaybyDay[[#This Row],[Date]])</f>
        <v>0</v>
      </c>
      <c r="AO513" s="41" t="str">
        <f>IF(AND(DaybyDay[[#This Row],[_Space]],ISNUMBER(DaybyDay[[#This Row],[Admin Hours]])),DaybyDay[[#This Row],[Est-Admin-Payroll]]/(DaybyDay[[#This Row],[Service-Actuals]]+DaybyDay[[#This Row],[Retail-Actuals]]),"")</f>
        <v/>
      </c>
      <c r="AP513" s="41" t="e">
        <f>DaybyDay[[#This Row],[Estimated-Payroll-Rollup]]/DaybyDay[[#This Row],[Simple-Forecast]]</f>
        <v>#DIV/0!</v>
      </c>
      <c r="AQ5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3" s="77"/>
      <c r="AS513" s="40" t="str">
        <f>IF(DaybyDay[[#This Row],[Retail Hours]]&gt;0,DaybyDay[[#This Row],[Retail Hours]]*$AS$2,"")</f>
        <v/>
      </c>
      <c r="AT513" s="40">
        <f>SUMIFS(DaybyDay[Est-Retail-Payroll],DaybyDay[Date],"&gt;="&amp;$C$5,DaybyDay[RowYear],"&gt;="&amp;$C$4,DaybyDay[Date],"&lt;="&amp;DaybyDay[[#This Row],[Date]])</f>
        <v>0</v>
      </c>
      <c r="AU513" s="82" t="str">
        <f>IF(AND(DaybyDay[[#This Row],[_Space]],ISNUMBER(DaybyDay[[#This Row],[Retail Hours]])),DaybyDay[[#This Row],[Est-Retail-Payroll]]/(DaybyDay[[#This Row],[Retail-Actuals]]),"")</f>
        <v/>
      </c>
      <c r="AV513" s="82" t="e">
        <f>DaybyDay[[#This Row],[Est-Retail-PayrollRU]]/DaybyDay[[#This Row],[Simple-Forecast-Retail]]</f>
        <v>#DIV/0!</v>
      </c>
      <c r="AW513" s="8"/>
    </row>
    <row r="514" spans="3:49" hidden="1" x14ac:dyDescent="0.25">
      <c r="C514" s="26" t="str">
        <f>Tools!$C$1</f>
        <v>Example</v>
      </c>
      <c r="D514" s="27" t="s">
        <v>72</v>
      </c>
      <c r="E514" s="28">
        <v>2018</v>
      </c>
      <c r="F514" s="28">
        <f>MATCH(DaybyDay[[#This Row],[RowMonth]],Table3[SummaryMonth],0)</f>
        <v>5</v>
      </c>
      <c r="G514" s="29">
        <f>MATCH(DaybyDay[[#This Row],[LY-Date]],DaybyDay[Date],0)</f>
        <v>144</v>
      </c>
      <c r="H514" s="30">
        <f>WEEKDAY(DaybyDay[[#This Row],[Date]])</f>
        <v>4</v>
      </c>
      <c r="I514" s="31">
        <v>43243</v>
      </c>
      <c r="J514" s="74">
        <v>30</v>
      </c>
      <c r="K514" s="32">
        <f>SUMIFS(BudgetSeasonality[365 Seasonality],BudgetSeasonality[MonthAdjustment],DaybyDay[[#This Row],[Date]])*SUMIFS(Budgets[Service-Budget],Budgets[BudgetMonth],DaybyDay[[#This Row],[RowMonth]],Budgets[BudgetYear],DaybyDay[[#This Row],[RowYear]])</f>
        <v>4742.6918237585533</v>
      </c>
      <c r="L514" s="75">
        <v>5947.6</v>
      </c>
      <c r="M514" s="32">
        <f>INDEX(BudgetSeasonality[365 Seasonality],MATCH(DaybyDay[[#This Row],[Date]],BudgetSeasonality[MonthAdjustment],0))*SUMIFS(Budgets[Retail-Budget],Budgets[BudgetMonth],DaybyDay[[#This Row],[RowMonth]],Budgets[BudgetYear],DaybyDay[[#This Row],[RowYear]])</f>
        <v>1424.6086067132553</v>
      </c>
      <c r="N514" s="75">
        <v>288.3</v>
      </c>
      <c r="O514" s="33">
        <f>SUMIFS(DaybyDay[Service-Budgets],DaybyDay[Date],"&gt;="&amp;$C$5,DaybyDay[RowYear],"&gt;="&amp;$C$4,DaybyDay[Date],"&lt;="&amp;DaybyDay[[#This Row],[Date]])</f>
        <v>0</v>
      </c>
      <c r="P514" s="33">
        <f>SUMIFS(DaybyDay[Retail-Budgets],DaybyDay[Date],"&gt;="&amp;$C$5,DaybyDay[RowYear],"&gt;="&amp;$C$4,DaybyDay[Date],"&lt;="&amp;DaybyDay[[#This Row],[Date]])</f>
        <v>0</v>
      </c>
      <c r="Q514" s="34">
        <f>SUMIFS(DaybyDay[Service-Actuals],DaybyDay[Date],"&gt;="&amp;$C$5,DaybyDay[RowYear],"&gt;="&amp;$C$4,DaybyDay[Date],"&lt;="&amp;DaybyDay[[#This Row],[Date]])</f>
        <v>0</v>
      </c>
      <c r="R514" s="34">
        <f>SUMIFS(DaybyDay[Retail-Actuals],DaybyDay[Date],"&gt;="&amp;$C$5,DaybyDay[RowYear],"&gt;="&amp;$C$4,DaybyDay[Date],"&lt;="&amp;DaybyDay[[#This Row],[Date]])</f>
        <v>0</v>
      </c>
      <c r="S514" s="35">
        <f>SUMIFS(DaybyDay[Service-LY],DaybyDay[Date],"&gt;="&amp;$C$5,DaybyDay[RowYear],"&gt;="&amp;$C$4,DaybyDay[Date],"&lt;="&amp;DaybyDay[[#This Row],[Date]])</f>
        <v>0</v>
      </c>
      <c r="T514" s="35">
        <f>SUMIFS(DaybyDay[Retail-LY],DaybyDay[Date],"&gt;="&amp;$C$5,DaybyDay[RowYear],"&gt;="&amp;$C$4,DaybyDay[Date],"&lt;="&amp;DaybyDay[[#This Row],[Date]])</f>
        <v>0</v>
      </c>
      <c r="U514" s="32">
        <f>DaybyDay[[#This Row],[Serv-Bud-RU]]+DaybyDay[[#This Row],[Ret-Bud-RU]]</f>
        <v>0</v>
      </c>
      <c r="V514" s="32">
        <f>DaybyDay[[#This Row],[Serv-Act-RU]]+DaybyDay[[#This Row],[Ret-Act-RU]]</f>
        <v>0</v>
      </c>
      <c r="W514" s="36">
        <f>IF(DaybyDay[[#This Row],[_Space]],IFERROR(
((DaybyDay[[#This Row],[Actual-Rollup]]-DaybyDay[[#This Row],[Budget-Rollup]])/DaybyDay[[#This Row],[Budget-Rollup]]),0),"")</f>
        <v>0</v>
      </c>
      <c r="X514" t="b">
        <f>NOT(AND(ISBLANK(DaybyDay[[#This Row],[Appts]]),ISBLANK(DaybyDay[[#This Row],[Service-Actuals]]),ISBLANK(DaybyDay[[#This Row],[Retail-Actuals]])))</f>
        <v>1</v>
      </c>
      <c r="Y514" s="36">
        <f>IF(DaybyDay[[#This Row],[_Space]],IFERROR(
((DaybyDay[[#This Row],[Actual-Rollup]]-DaybyDay[[#This Row],[LY-Rollup]])/DaybyDay[[#This Row],[LY-Rollup]]),0),"")</f>
        <v>0</v>
      </c>
      <c r="Z514"/>
      <c r="AA514" s="37" t="e">
        <f>IF(DaybyDay[[#This Row],[_Space]],DaybyDay[[#This Row],[Ret-Act-RU]]/DaybyDay[[#This Row],[Serv-Act-RU]],"")</f>
        <v>#DIV/0!</v>
      </c>
      <c r="AB514" s="50" t="e">
        <f>IF(DaybyDay[[#This Row],[_Space]],DaybyDay[[#This Row],[RETPEN-Act]]/DaybyDay[[#This Row],[RETPEN-Bud]],"")</f>
        <v>#DIV/0!</v>
      </c>
      <c r="AC514" s="37" t="e">
        <f>IF(DaybyDay[[#This Row],[_Space]],DaybyDay[[#This Row],[Ret-Bud-RU]]/DaybyDay[[#This Row],[Serv-Bud-RU]],"")</f>
        <v>#DIV/0!</v>
      </c>
      <c r="AD514" s="37" t="e">
        <f>IF(DaybyDay[[#This Row],[_Space]],DaybyDay[[#This Row],[Ret-LY-RU]]/DaybyDay[[#This Row],[Serv-LY-RU]],"")</f>
        <v>#DIV/0!</v>
      </c>
      <c r="AE514" s="30">
        <f>WEEKDAY(DaybyDay[[#This Row],[LY-Date]])</f>
        <v>4</v>
      </c>
      <c r="AF514" s="38">
        <f>$E$2+_xlfn.DAYS(DaybyDay[[#This Row],[Date]],minDate)</f>
        <v>42879</v>
      </c>
      <c r="AG514" s="39" cm="1">
        <f t="array" ref="AG514">IFERROR(INDEX(DaybyDay[],DaybyDay[[#This Row],[FORM_MATCH_HELPER]],8),"")</f>
        <v>26</v>
      </c>
      <c r="AH514" s="39" cm="1">
        <f t="array" ref="AH514">IFERROR(INDEX(DaybyDay[],DaybyDay[[#This Row],[FORM_MATCH_HELPER]],10),"")</f>
        <v>3611</v>
      </c>
      <c r="AI514" s="39" cm="1">
        <f t="array" ref="AI514">IFERROR(INDEX(DaybyDay[],DaybyDay[[#This Row],[FORM_MATCH_HELPER]],12),"")</f>
        <v>3280.2</v>
      </c>
      <c r="AJ514" s="32">
        <f>IFERROR(DaybyDay[[#This Row],[Serv-LY-RU]]+DaybyDay[[#This Row],[Ret-LY-RU]],"")</f>
        <v>0</v>
      </c>
      <c r="AK5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4" s="77"/>
      <c r="AM514" s="40" t="str">
        <f>IF(DaybyDay[[#This Row],[Admin Hours]]&gt;0,DaybyDay[[#This Row],[Admin Hours]]*$AM$2+$AM$3,"")</f>
        <v/>
      </c>
      <c r="AN514" s="40">
        <f>SUMIFS(DaybyDay[Est-Admin-Payroll],DaybyDay[Date],"&gt;="&amp;$C$5,DaybyDay[RowYear],"&gt;="&amp;$C$4,DaybyDay[Date],"&lt;="&amp;DaybyDay[[#This Row],[Date]])</f>
        <v>0</v>
      </c>
      <c r="AO514" s="41" t="str">
        <f>IF(AND(DaybyDay[[#This Row],[_Space]],ISNUMBER(DaybyDay[[#This Row],[Admin Hours]])),DaybyDay[[#This Row],[Est-Admin-Payroll]]/(DaybyDay[[#This Row],[Service-Actuals]]+DaybyDay[[#This Row],[Retail-Actuals]]),"")</f>
        <v/>
      </c>
      <c r="AP514" s="41" t="e">
        <f>DaybyDay[[#This Row],[Estimated-Payroll-Rollup]]/DaybyDay[[#This Row],[Simple-Forecast]]</f>
        <v>#DIV/0!</v>
      </c>
      <c r="AQ5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4" s="77"/>
      <c r="AS514" s="40" t="str">
        <f>IF(DaybyDay[[#This Row],[Retail Hours]]&gt;0,DaybyDay[[#This Row],[Retail Hours]]*$AS$2,"")</f>
        <v/>
      </c>
      <c r="AT514" s="40">
        <f>SUMIFS(DaybyDay[Est-Retail-Payroll],DaybyDay[Date],"&gt;="&amp;$C$5,DaybyDay[RowYear],"&gt;="&amp;$C$4,DaybyDay[Date],"&lt;="&amp;DaybyDay[[#This Row],[Date]])</f>
        <v>0</v>
      </c>
      <c r="AU514" s="82" t="str">
        <f>IF(AND(DaybyDay[[#This Row],[_Space]],ISNUMBER(DaybyDay[[#This Row],[Retail Hours]])),DaybyDay[[#This Row],[Est-Retail-Payroll]]/(DaybyDay[[#This Row],[Retail-Actuals]]),"")</f>
        <v/>
      </c>
      <c r="AV514" s="82" t="e">
        <f>DaybyDay[[#This Row],[Est-Retail-PayrollRU]]/DaybyDay[[#This Row],[Simple-Forecast-Retail]]</f>
        <v>#DIV/0!</v>
      </c>
      <c r="AW514" s="8"/>
    </row>
    <row r="515" spans="3:49" hidden="1" x14ac:dyDescent="0.25">
      <c r="C515" s="26" t="str">
        <f>Tools!$C$1</f>
        <v>Example</v>
      </c>
      <c r="D515" s="27" t="s">
        <v>72</v>
      </c>
      <c r="E515" s="28">
        <v>2018</v>
      </c>
      <c r="F515" s="28">
        <f>MATCH(DaybyDay[[#This Row],[RowMonth]],Table3[SummaryMonth],0)</f>
        <v>5</v>
      </c>
      <c r="G515" s="29">
        <f>MATCH(DaybyDay[[#This Row],[LY-Date]],DaybyDay[Date],0)</f>
        <v>145</v>
      </c>
      <c r="H515" s="30">
        <f>WEEKDAY(DaybyDay[[#This Row],[Date]])</f>
        <v>5</v>
      </c>
      <c r="I515" s="31">
        <v>43244</v>
      </c>
      <c r="J515" s="74">
        <v>22</v>
      </c>
      <c r="K515" s="32">
        <f>SUMIFS(BudgetSeasonality[365 Seasonality],BudgetSeasonality[MonthAdjustment],DaybyDay[[#This Row],[Date]])*SUMIFS(Budgets[Service-Budget],Budgets[BudgetMonth],DaybyDay[[#This Row],[RowMonth]],Budgets[BudgetYear],DaybyDay[[#This Row],[RowYear]])</f>
        <v>4825.4990598761369</v>
      </c>
      <c r="L515" s="75">
        <v>4525.25</v>
      </c>
      <c r="M515" s="32">
        <f>INDEX(BudgetSeasonality[365 Seasonality],MATCH(DaybyDay[[#This Row],[Date]],BudgetSeasonality[MonthAdjustment],0))*SUMIFS(Budgets[Retail-Budget],Budgets[BudgetMonth],DaybyDay[[#This Row],[RowMonth]],Budgets[BudgetYear],DaybyDay[[#This Row],[RowYear]])</f>
        <v>1449.4822239869488</v>
      </c>
      <c r="N515" s="75">
        <v>1347</v>
      </c>
      <c r="O515" s="33">
        <f>SUMIFS(DaybyDay[Service-Budgets],DaybyDay[Date],"&gt;="&amp;$C$5,DaybyDay[RowYear],"&gt;="&amp;$C$4,DaybyDay[Date],"&lt;="&amp;DaybyDay[[#This Row],[Date]])</f>
        <v>0</v>
      </c>
      <c r="P515" s="33">
        <f>SUMIFS(DaybyDay[Retail-Budgets],DaybyDay[Date],"&gt;="&amp;$C$5,DaybyDay[RowYear],"&gt;="&amp;$C$4,DaybyDay[Date],"&lt;="&amp;DaybyDay[[#This Row],[Date]])</f>
        <v>0</v>
      </c>
      <c r="Q515" s="34">
        <f>SUMIFS(DaybyDay[Service-Actuals],DaybyDay[Date],"&gt;="&amp;$C$5,DaybyDay[RowYear],"&gt;="&amp;$C$4,DaybyDay[Date],"&lt;="&amp;DaybyDay[[#This Row],[Date]])</f>
        <v>0</v>
      </c>
      <c r="R515" s="34">
        <f>SUMIFS(DaybyDay[Retail-Actuals],DaybyDay[Date],"&gt;="&amp;$C$5,DaybyDay[RowYear],"&gt;="&amp;$C$4,DaybyDay[Date],"&lt;="&amp;DaybyDay[[#This Row],[Date]])</f>
        <v>0</v>
      </c>
      <c r="S515" s="35">
        <f>SUMIFS(DaybyDay[Service-LY],DaybyDay[Date],"&gt;="&amp;$C$5,DaybyDay[RowYear],"&gt;="&amp;$C$4,DaybyDay[Date],"&lt;="&amp;DaybyDay[[#This Row],[Date]])</f>
        <v>0</v>
      </c>
      <c r="T515" s="35">
        <f>SUMIFS(DaybyDay[Retail-LY],DaybyDay[Date],"&gt;="&amp;$C$5,DaybyDay[RowYear],"&gt;="&amp;$C$4,DaybyDay[Date],"&lt;="&amp;DaybyDay[[#This Row],[Date]])</f>
        <v>0</v>
      </c>
      <c r="U515" s="32">
        <f>DaybyDay[[#This Row],[Serv-Bud-RU]]+DaybyDay[[#This Row],[Ret-Bud-RU]]</f>
        <v>0</v>
      </c>
      <c r="V515" s="32">
        <f>DaybyDay[[#This Row],[Serv-Act-RU]]+DaybyDay[[#This Row],[Ret-Act-RU]]</f>
        <v>0</v>
      </c>
      <c r="W515" s="36">
        <f>IF(DaybyDay[[#This Row],[_Space]],IFERROR(
((DaybyDay[[#This Row],[Actual-Rollup]]-DaybyDay[[#This Row],[Budget-Rollup]])/DaybyDay[[#This Row],[Budget-Rollup]]),0),"")</f>
        <v>0</v>
      </c>
      <c r="X515" t="b">
        <f>NOT(AND(ISBLANK(DaybyDay[[#This Row],[Appts]]),ISBLANK(DaybyDay[[#This Row],[Service-Actuals]]),ISBLANK(DaybyDay[[#This Row],[Retail-Actuals]])))</f>
        <v>1</v>
      </c>
      <c r="Y515" s="36">
        <f>IF(DaybyDay[[#This Row],[_Space]],IFERROR(
((DaybyDay[[#This Row],[Actual-Rollup]]-DaybyDay[[#This Row],[LY-Rollup]])/DaybyDay[[#This Row],[LY-Rollup]]),0),"")</f>
        <v>0</v>
      </c>
      <c r="Z515"/>
      <c r="AA515" s="37" t="e">
        <f>IF(DaybyDay[[#This Row],[_Space]],DaybyDay[[#This Row],[Ret-Act-RU]]/DaybyDay[[#This Row],[Serv-Act-RU]],"")</f>
        <v>#DIV/0!</v>
      </c>
      <c r="AB515" s="50" t="e">
        <f>IF(DaybyDay[[#This Row],[_Space]],DaybyDay[[#This Row],[RETPEN-Act]]/DaybyDay[[#This Row],[RETPEN-Bud]],"")</f>
        <v>#DIV/0!</v>
      </c>
      <c r="AC515" s="37" t="e">
        <f>IF(DaybyDay[[#This Row],[_Space]],DaybyDay[[#This Row],[Ret-Bud-RU]]/DaybyDay[[#This Row],[Serv-Bud-RU]],"")</f>
        <v>#DIV/0!</v>
      </c>
      <c r="AD515" s="37" t="e">
        <f>IF(DaybyDay[[#This Row],[_Space]],DaybyDay[[#This Row],[Ret-LY-RU]]/DaybyDay[[#This Row],[Serv-LY-RU]],"")</f>
        <v>#DIV/0!</v>
      </c>
      <c r="AE515" s="30">
        <f>WEEKDAY(DaybyDay[[#This Row],[LY-Date]])</f>
        <v>5</v>
      </c>
      <c r="AF515" s="38">
        <f>$E$2+_xlfn.DAYS(DaybyDay[[#This Row],[Date]],minDate)</f>
        <v>42880</v>
      </c>
      <c r="AG515" s="39" cm="1">
        <f t="array" ref="AG515">IFERROR(INDEX(DaybyDay[],DaybyDay[[#This Row],[FORM_MATCH_HELPER]],8),"")</f>
        <v>29</v>
      </c>
      <c r="AH515" s="39" cm="1">
        <f t="array" ref="AH515">IFERROR(INDEX(DaybyDay[],DaybyDay[[#This Row],[FORM_MATCH_HELPER]],10),"")</f>
        <v>6133.16</v>
      </c>
      <c r="AI515" s="39" cm="1">
        <f t="array" ref="AI515">IFERROR(INDEX(DaybyDay[],DaybyDay[[#This Row],[FORM_MATCH_HELPER]],12),"")</f>
        <v>1007.8</v>
      </c>
      <c r="AJ515" s="32">
        <f>IFERROR(DaybyDay[[#This Row],[Serv-LY-RU]]+DaybyDay[[#This Row],[Ret-LY-RU]],"")</f>
        <v>0</v>
      </c>
      <c r="AK5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5" s="77"/>
      <c r="AM515" s="40" t="str">
        <f>IF(DaybyDay[[#This Row],[Admin Hours]]&gt;0,DaybyDay[[#This Row],[Admin Hours]]*$AM$2+$AM$3,"")</f>
        <v/>
      </c>
      <c r="AN515" s="40">
        <f>SUMIFS(DaybyDay[Est-Admin-Payroll],DaybyDay[Date],"&gt;="&amp;$C$5,DaybyDay[RowYear],"&gt;="&amp;$C$4,DaybyDay[Date],"&lt;="&amp;DaybyDay[[#This Row],[Date]])</f>
        <v>0</v>
      </c>
      <c r="AO515" s="41" t="str">
        <f>IF(AND(DaybyDay[[#This Row],[_Space]],ISNUMBER(DaybyDay[[#This Row],[Admin Hours]])),DaybyDay[[#This Row],[Est-Admin-Payroll]]/(DaybyDay[[#This Row],[Service-Actuals]]+DaybyDay[[#This Row],[Retail-Actuals]]),"")</f>
        <v/>
      </c>
      <c r="AP515" s="41" t="e">
        <f>DaybyDay[[#This Row],[Estimated-Payroll-Rollup]]/DaybyDay[[#This Row],[Simple-Forecast]]</f>
        <v>#DIV/0!</v>
      </c>
      <c r="AQ5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5" s="77"/>
      <c r="AS515" s="40" t="str">
        <f>IF(DaybyDay[[#This Row],[Retail Hours]]&gt;0,DaybyDay[[#This Row],[Retail Hours]]*$AS$2,"")</f>
        <v/>
      </c>
      <c r="AT515" s="40">
        <f>SUMIFS(DaybyDay[Est-Retail-Payroll],DaybyDay[Date],"&gt;="&amp;$C$5,DaybyDay[RowYear],"&gt;="&amp;$C$4,DaybyDay[Date],"&lt;="&amp;DaybyDay[[#This Row],[Date]])</f>
        <v>0</v>
      </c>
      <c r="AU515" s="82" t="str">
        <f>IF(AND(DaybyDay[[#This Row],[_Space]],ISNUMBER(DaybyDay[[#This Row],[Retail Hours]])),DaybyDay[[#This Row],[Est-Retail-Payroll]]/(DaybyDay[[#This Row],[Retail-Actuals]]),"")</f>
        <v/>
      </c>
      <c r="AV515" s="82" t="e">
        <f>DaybyDay[[#This Row],[Est-Retail-PayrollRU]]/DaybyDay[[#This Row],[Simple-Forecast-Retail]]</f>
        <v>#DIV/0!</v>
      </c>
      <c r="AW515" s="8"/>
    </row>
    <row r="516" spans="3:49" hidden="1" x14ac:dyDescent="0.25">
      <c r="C516" s="26" t="str">
        <f>Tools!$C$1</f>
        <v>Example</v>
      </c>
      <c r="D516" s="27" t="s">
        <v>72</v>
      </c>
      <c r="E516" s="28">
        <v>2018</v>
      </c>
      <c r="F516" s="28">
        <f>MATCH(DaybyDay[[#This Row],[RowMonth]],Table3[SummaryMonth],0)</f>
        <v>5</v>
      </c>
      <c r="G516" s="29">
        <f>MATCH(DaybyDay[[#This Row],[LY-Date]],DaybyDay[Date],0)</f>
        <v>146</v>
      </c>
      <c r="H516" s="30">
        <f>WEEKDAY(DaybyDay[[#This Row],[Date]])</f>
        <v>6</v>
      </c>
      <c r="I516" s="31">
        <v>43245</v>
      </c>
      <c r="J516" s="74">
        <v>29</v>
      </c>
      <c r="K516" s="32">
        <f>SUMIFS(BudgetSeasonality[365 Seasonality],BudgetSeasonality[MonthAdjustment],DaybyDay[[#This Row],[Date]])*SUMIFS(Budgets[Service-Budget],Budgets[BudgetMonth],DaybyDay[[#This Row],[RowMonth]],Budgets[BudgetYear],DaybyDay[[#This Row],[RowYear]])</f>
        <v>5988.0584346992646</v>
      </c>
      <c r="L516" s="75">
        <v>5057.55</v>
      </c>
      <c r="M516" s="32">
        <f>INDEX(BudgetSeasonality[365 Seasonality],MATCH(DaybyDay[[#This Row],[Date]],BudgetSeasonality[MonthAdjustment],0))*SUMIFS(Budgets[Retail-Budget],Budgets[BudgetMonth],DaybyDay[[#This Row],[RowMonth]],Budgets[BudgetYear],DaybyDay[[#This Row],[RowYear]])</f>
        <v>1798.6915238388815</v>
      </c>
      <c r="N516" s="75">
        <v>1486.5</v>
      </c>
      <c r="O516" s="33">
        <f>SUMIFS(DaybyDay[Service-Budgets],DaybyDay[Date],"&gt;="&amp;$C$5,DaybyDay[RowYear],"&gt;="&amp;$C$4,DaybyDay[Date],"&lt;="&amp;DaybyDay[[#This Row],[Date]])</f>
        <v>0</v>
      </c>
      <c r="P516" s="33">
        <f>SUMIFS(DaybyDay[Retail-Budgets],DaybyDay[Date],"&gt;="&amp;$C$5,DaybyDay[RowYear],"&gt;="&amp;$C$4,DaybyDay[Date],"&lt;="&amp;DaybyDay[[#This Row],[Date]])</f>
        <v>0</v>
      </c>
      <c r="Q516" s="34">
        <f>SUMIFS(DaybyDay[Service-Actuals],DaybyDay[Date],"&gt;="&amp;$C$5,DaybyDay[RowYear],"&gt;="&amp;$C$4,DaybyDay[Date],"&lt;="&amp;DaybyDay[[#This Row],[Date]])</f>
        <v>0</v>
      </c>
      <c r="R516" s="34">
        <f>SUMIFS(DaybyDay[Retail-Actuals],DaybyDay[Date],"&gt;="&amp;$C$5,DaybyDay[RowYear],"&gt;="&amp;$C$4,DaybyDay[Date],"&lt;="&amp;DaybyDay[[#This Row],[Date]])</f>
        <v>0</v>
      </c>
      <c r="S516" s="35">
        <f>SUMIFS(DaybyDay[Service-LY],DaybyDay[Date],"&gt;="&amp;$C$5,DaybyDay[RowYear],"&gt;="&amp;$C$4,DaybyDay[Date],"&lt;="&amp;DaybyDay[[#This Row],[Date]])</f>
        <v>0</v>
      </c>
      <c r="T516" s="35">
        <f>SUMIFS(DaybyDay[Retail-LY],DaybyDay[Date],"&gt;="&amp;$C$5,DaybyDay[RowYear],"&gt;="&amp;$C$4,DaybyDay[Date],"&lt;="&amp;DaybyDay[[#This Row],[Date]])</f>
        <v>0</v>
      </c>
      <c r="U516" s="32">
        <f>DaybyDay[[#This Row],[Serv-Bud-RU]]+DaybyDay[[#This Row],[Ret-Bud-RU]]</f>
        <v>0</v>
      </c>
      <c r="V516" s="32">
        <f>DaybyDay[[#This Row],[Serv-Act-RU]]+DaybyDay[[#This Row],[Ret-Act-RU]]</f>
        <v>0</v>
      </c>
      <c r="W516" s="36">
        <f>IF(DaybyDay[[#This Row],[_Space]],IFERROR(
((DaybyDay[[#This Row],[Actual-Rollup]]-DaybyDay[[#This Row],[Budget-Rollup]])/DaybyDay[[#This Row],[Budget-Rollup]]),0),"")</f>
        <v>0</v>
      </c>
      <c r="X516" t="b">
        <f>NOT(AND(ISBLANK(DaybyDay[[#This Row],[Appts]]),ISBLANK(DaybyDay[[#This Row],[Service-Actuals]]),ISBLANK(DaybyDay[[#This Row],[Retail-Actuals]])))</f>
        <v>1</v>
      </c>
      <c r="Y516" s="36">
        <f>IF(DaybyDay[[#This Row],[_Space]],IFERROR(
((DaybyDay[[#This Row],[Actual-Rollup]]-DaybyDay[[#This Row],[LY-Rollup]])/DaybyDay[[#This Row],[LY-Rollup]]),0),"")</f>
        <v>0</v>
      </c>
      <c r="Z516"/>
      <c r="AA516" s="37" t="e">
        <f>IF(DaybyDay[[#This Row],[_Space]],DaybyDay[[#This Row],[Ret-Act-RU]]/DaybyDay[[#This Row],[Serv-Act-RU]],"")</f>
        <v>#DIV/0!</v>
      </c>
      <c r="AB516" s="50" t="e">
        <f>IF(DaybyDay[[#This Row],[_Space]],DaybyDay[[#This Row],[RETPEN-Act]]/DaybyDay[[#This Row],[RETPEN-Bud]],"")</f>
        <v>#DIV/0!</v>
      </c>
      <c r="AC516" s="37" t="e">
        <f>IF(DaybyDay[[#This Row],[_Space]],DaybyDay[[#This Row],[Ret-Bud-RU]]/DaybyDay[[#This Row],[Serv-Bud-RU]],"")</f>
        <v>#DIV/0!</v>
      </c>
      <c r="AD516" s="37" t="e">
        <f>IF(DaybyDay[[#This Row],[_Space]],DaybyDay[[#This Row],[Ret-LY-RU]]/DaybyDay[[#This Row],[Serv-LY-RU]],"")</f>
        <v>#DIV/0!</v>
      </c>
      <c r="AE516" s="30">
        <f>WEEKDAY(DaybyDay[[#This Row],[LY-Date]])</f>
        <v>6</v>
      </c>
      <c r="AF516" s="38">
        <f>$E$2+_xlfn.DAYS(DaybyDay[[#This Row],[Date]],minDate)</f>
        <v>42881</v>
      </c>
      <c r="AG516" s="39" cm="1">
        <f t="array" ref="AG516">IFERROR(INDEX(DaybyDay[],DaybyDay[[#This Row],[FORM_MATCH_HELPER]],8),"")</f>
        <v>25</v>
      </c>
      <c r="AH516" s="39" cm="1">
        <f t="array" ref="AH516">IFERROR(INDEX(DaybyDay[],DaybyDay[[#This Row],[FORM_MATCH_HELPER]],10),"")</f>
        <v>5016.6000000000004</v>
      </c>
      <c r="AI516" s="39" cm="1">
        <f t="array" ref="AI516">IFERROR(INDEX(DaybyDay[],DaybyDay[[#This Row],[FORM_MATCH_HELPER]],12),"")</f>
        <v>6670.9</v>
      </c>
      <c r="AJ516" s="32">
        <f>IFERROR(DaybyDay[[#This Row],[Serv-LY-RU]]+DaybyDay[[#This Row],[Ret-LY-RU]],"")</f>
        <v>0</v>
      </c>
      <c r="AK5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6" s="77"/>
      <c r="AM516" s="40" t="str">
        <f>IF(DaybyDay[[#This Row],[Admin Hours]]&gt;0,DaybyDay[[#This Row],[Admin Hours]]*$AM$2+$AM$3,"")</f>
        <v/>
      </c>
      <c r="AN516" s="40">
        <f>SUMIFS(DaybyDay[Est-Admin-Payroll],DaybyDay[Date],"&gt;="&amp;$C$5,DaybyDay[RowYear],"&gt;="&amp;$C$4,DaybyDay[Date],"&lt;="&amp;DaybyDay[[#This Row],[Date]])</f>
        <v>0</v>
      </c>
      <c r="AO516" s="41" t="str">
        <f>IF(AND(DaybyDay[[#This Row],[_Space]],ISNUMBER(DaybyDay[[#This Row],[Admin Hours]])),DaybyDay[[#This Row],[Est-Admin-Payroll]]/(DaybyDay[[#This Row],[Service-Actuals]]+DaybyDay[[#This Row],[Retail-Actuals]]),"")</f>
        <v/>
      </c>
      <c r="AP516" s="41" t="e">
        <f>DaybyDay[[#This Row],[Estimated-Payroll-Rollup]]/DaybyDay[[#This Row],[Simple-Forecast]]</f>
        <v>#DIV/0!</v>
      </c>
      <c r="AQ5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6" s="77"/>
      <c r="AS516" s="40" t="str">
        <f>IF(DaybyDay[[#This Row],[Retail Hours]]&gt;0,DaybyDay[[#This Row],[Retail Hours]]*$AS$2,"")</f>
        <v/>
      </c>
      <c r="AT516" s="40">
        <f>SUMIFS(DaybyDay[Est-Retail-Payroll],DaybyDay[Date],"&gt;="&amp;$C$5,DaybyDay[RowYear],"&gt;="&amp;$C$4,DaybyDay[Date],"&lt;="&amp;DaybyDay[[#This Row],[Date]])</f>
        <v>0</v>
      </c>
      <c r="AU516" s="82" t="str">
        <f>IF(AND(DaybyDay[[#This Row],[_Space]],ISNUMBER(DaybyDay[[#This Row],[Retail Hours]])),DaybyDay[[#This Row],[Est-Retail-Payroll]]/(DaybyDay[[#This Row],[Retail-Actuals]]),"")</f>
        <v/>
      </c>
      <c r="AV516" s="82" t="e">
        <f>DaybyDay[[#This Row],[Est-Retail-PayrollRU]]/DaybyDay[[#This Row],[Simple-Forecast-Retail]]</f>
        <v>#DIV/0!</v>
      </c>
      <c r="AW516" s="8"/>
    </row>
    <row r="517" spans="3:49" hidden="1" x14ac:dyDescent="0.25">
      <c r="C517" s="26" t="str">
        <f>Tools!$C$1</f>
        <v>Example</v>
      </c>
      <c r="D517" s="27" t="s">
        <v>72</v>
      </c>
      <c r="E517" s="28">
        <v>2018</v>
      </c>
      <c r="F517" s="28">
        <f>MATCH(DaybyDay[[#This Row],[RowMonth]],Table3[SummaryMonth],0)</f>
        <v>5</v>
      </c>
      <c r="G517" s="29">
        <f>MATCH(DaybyDay[[#This Row],[LY-Date]],DaybyDay[Date],0)</f>
        <v>147</v>
      </c>
      <c r="H517" s="30">
        <f>WEEKDAY(DaybyDay[[#This Row],[Date]])</f>
        <v>7</v>
      </c>
      <c r="I517" s="31">
        <v>43246</v>
      </c>
      <c r="J517" s="74">
        <v>26</v>
      </c>
      <c r="K517" s="32">
        <f>SUMIFS(BudgetSeasonality[365 Seasonality],BudgetSeasonality[MonthAdjustment],DaybyDay[[#This Row],[Date]])*SUMIFS(Budgets[Service-Budget],Budgets[BudgetMonth],DaybyDay[[#This Row],[RowMonth]],Budgets[BudgetYear],DaybyDay[[#This Row],[RowYear]])</f>
        <v>8509.1973844323475</v>
      </c>
      <c r="L517" s="75">
        <v>7266.6</v>
      </c>
      <c r="M517" s="32">
        <f>INDEX(BudgetSeasonality[365 Seasonality],MATCH(DaybyDay[[#This Row],[Date]],BudgetSeasonality[MonthAdjustment],0))*SUMIFS(Budgets[Retail-Budget],Budgets[BudgetMonth],DaybyDay[[#This Row],[RowMonth]],Budgets[BudgetYear],DaybyDay[[#This Row],[RowYear]])</f>
        <v>2555.9906231641708</v>
      </c>
      <c r="N517" s="75">
        <v>1148.0999999999999</v>
      </c>
      <c r="O517" s="33">
        <f>SUMIFS(DaybyDay[Service-Budgets],DaybyDay[Date],"&gt;="&amp;$C$5,DaybyDay[RowYear],"&gt;="&amp;$C$4,DaybyDay[Date],"&lt;="&amp;DaybyDay[[#This Row],[Date]])</f>
        <v>0</v>
      </c>
      <c r="P517" s="33">
        <f>SUMIFS(DaybyDay[Retail-Budgets],DaybyDay[Date],"&gt;="&amp;$C$5,DaybyDay[RowYear],"&gt;="&amp;$C$4,DaybyDay[Date],"&lt;="&amp;DaybyDay[[#This Row],[Date]])</f>
        <v>0</v>
      </c>
      <c r="Q517" s="34">
        <f>SUMIFS(DaybyDay[Service-Actuals],DaybyDay[Date],"&gt;="&amp;$C$5,DaybyDay[RowYear],"&gt;="&amp;$C$4,DaybyDay[Date],"&lt;="&amp;DaybyDay[[#This Row],[Date]])</f>
        <v>0</v>
      </c>
      <c r="R517" s="34">
        <f>SUMIFS(DaybyDay[Retail-Actuals],DaybyDay[Date],"&gt;="&amp;$C$5,DaybyDay[RowYear],"&gt;="&amp;$C$4,DaybyDay[Date],"&lt;="&amp;DaybyDay[[#This Row],[Date]])</f>
        <v>0</v>
      </c>
      <c r="S517" s="35">
        <f>SUMIFS(DaybyDay[Service-LY],DaybyDay[Date],"&gt;="&amp;$C$5,DaybyDay[RowYear],"&gt;="&amp;$C$4,DaybyDay[Date],"&lt;="&amp;DaybyDay[[#This Row],[Date]])</f>
        <v>0</v>
      </c>
      <c r="T517" s="35">
        <f>SUMIFS(DaybyDay[Retail-LY],DaybyDay[Date],"&gt;="&amp;$C$5,DaybyDay[RowYear],"&gt;="&amp;$C$4,DaybyDay[Date],"&lt;="&amp;DaybyDay[[#This Row],[Date]])</f>
        <v>0</v>
      </c>
      <c r="U517" s="32">
        <f>DaybyDay[[#This Row],[Serv-Bud-RU]]+DaybyDay[[#This Row],[Ret-Bud-RU]]</f>
        <v>0</v>
      </c>
      <c r="V517" s="32">
        <f>DaybyDay[[#This Row],[Serv-Act-RU]]+DaybyDay[[#This Row],[Ret-Act-RU]]</f>
        <v>0</v>
      </c>
      <c r="W517" s="36">
        <f>IF(DaybyDay[[#This Row],[_Space]],IFERROR(
((DaybyDay[[#This Row],[Actual-Rollup]]-DaybyDay[[#This Row],[Budget-Rollup]])/DaybyDay[[#This Row],[Budget-Rollup]]),0),"")</f>
        <v>0</v>
      </c>
      <c r="X517" t="b">
        <f>NOT(AND(ISBLANK(DaybyDay[[#This Row],[Appts]]),ISBLANK(DaybyDay[[#This Row],[Service-Actuals]]),ISBLANK(DaybyDay[[#This Row],[Retail-Actuals]])))</f>
        <v>1</v>
      </c>
      <c r="Y517" s="36">
        <f>IF(DaybyDay[[#This Row],[_Space]],IFERROR(
((DaybyDay[[#This Row],[Actual-Rollup]]-DaybyDay[[#This Row],[LY-Rollup]])/DaybyDay[[#This Row],[LY-Rollup]]),0),"")</f>
        <v>0</v>
      </c>
      <c r="Z517"/>
      <c r="AA517" s="37" t="e">
        <f>IF(DaybyDay[[#This Row],[_Space]],DaybyDay[[#This Row],[Ret-Act-RU]]/DaybyDay[[#This Row],[Serv-Act-RU]],"")</f>
        <v>#DIV/0!</v>
      </c>
      <c r="AB517" s="50" t="e">
        <f>IF(DaybyDay[[#This Row],[_Space]],DaybyDay[[#This Row],[RETPEN-Act]]/DaybyDay[[#This Row],[RETPEN-Bud]],"")</f>
        <v>#DIV/0!</v>
      </c>
      <c r="AC517" s="37" t="e">
        <f>IF(DaybyDay[[#This Row],[_Space]],DaybyDay[[#This Row],[Ret-Bud-RU]]/DaybyDay[[#This Row],[Serv-Bud-RU]],"")</f>
        <v>#DIV/0!</v>
      </c>
      <c r="AD517" s="37" t="e">
        <f>IF(DaybyDay[[#This Row],[_Space]],DaybyDay[[#This Row],[Ret-LY-RU]]/DaybyDay[[#This Row],[Serv-LY-RU]],"")</f>
        <v>#DIV/0!</v>
      </c>
      <c r="AE517" s="30">
        <f>WEEKDAY(DaybyDay[[#This Row],[LY-Date]])</f>
        <v>7</v>
      </c>
      <c r="AF517" s="38">
        <f>$E$2+_xlfn.DAYS(DaybyDay[[#This Row],[Date]],minDate)</f>
        <v>42882</v>
      </c>
      <c r="AG517" s="39" cm="1">
        <f t="array" ref="AG517">IFERROR(INDEX(DaybyDay[],DaybyDay[[#This Row],[FORM_MATCH_HELPER]],8),"")</f>
        <v>29</v>
      </c>
      <c r="AH517" s="39" cm="1">
        <f t="array" ref="AH517">IFERROR(INDEX(DaybyDay[],DaybyDay[[#This Row],[FORM_MATCH_HELPER]],10),"")</f>
        <v>6168</v>
      </c>
      <c r="AI517" s="39" cm="1">
        <f t="array" ref="AI517">IFERROR(INDEX(DaybyDay[],DaybyDay[[#This Row],[FORM_MATCH_HELPER]],12),"")</f>
        <v>2279.85</v>
      </c>
      <c r="AJ517" s="32">
        <f>IFERROR(DaybyDay[[#This Row],[Serv-LY-RU]]+DaybyDay[[#This Row],[Ret-LY-RU]],"")</f>
        <v>0</v>
      </c>
      <c r="AK5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7" s="77"/>
      <c r="AM517" s="40" t="str">
        <f>IF(DaybyDay[[#This Row],[Admin Hours]]&gt;0,DaybyDay[[#This Row],[Admin Hours]]*$AM$2+$AM$3,"")</f>
        <v/>
      </c>
      <c r="AN517" s="40">
        <f>SUMIFS(DaybyDay[Est-Admin-Payroll],DaybyDay[Date],"&gt;="&amp;$C$5,DaybyDay[RowYear],"&gt;="&amp;$C$4,DaybyDay[Date],"&lt;="&amp;DaybyDay[[#This Row],[Date]])</f>
        <v>0</v>
      </c>
      <c r="AO517" s="41" t="str">
        <f>IF(AND(DaybyDay[[#This Row],[_Space]],ISNUMBER(DaybyDay[[#This Row],[Admin Hours]])),DaybyDay[[#This Row],[Est-Admin-Payroll]]/(DaybyDay[[#This Row],[Service-Actuals]]+DaybyDay[[#This Row],[Retail-Actuals]]),"")</f>
        <v/>
      </c>
      <c r="AP517" s="41" t="e">
        <f>DaybyDay[[#This Row],[Estimated-Payroll-Rollup]]/DaybyDay[[#This Row],[Simple-Forecast]]</f>
        <v>#DIV/0!</v>
      </c>
      <c r="AQ5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7" s="77"/>
      <c r="AS517" s="40" t="str">
        <f>IF(DaybyDay[[#This Row],[Retail Hours]]&gt;0,DaybyDay[[#This Row],[Retail Hours]]*$AS$2,"")</f>
        <v/>
      </c>
      <c r="AT517" s="40">
        <f>SUMIFS(DaybyDay[Est-Retail-Payroll],DaybyDay[Date],"&gt;="&amp;$C$5,DaybyDay[RowYear],"&gt;="&amp;$C$4,DaybyDay[Date],"&lt;="&amp;DaybyDay[[#This Row],[Date]])</f>
        <v>0</v>
      </c>
      <c r="AU517" s="82" t="str">
        <f>IF(AND(DaybyDay[[#This Row],[_Space]],ISNUMBER(DaybyDay[[#This Row],[Retail Hours]])),DaybyDay[[#This Row],[Est-Retail-Payroll]]/(DaybyDay[[#This Row],[Retail-Actuals]]),"")</f>
        <v/>
      </c>
      <c r="AV517" s="82" t="e">
        <f>DaybyDay[[#This Row],[Est-Retail-PayrollRU]]/DaybyDay[[#This Row],[Simple-Forecast-Retail]]</f>
        <v>#DIV/0!</v>
      </c>
      <c r="AW517" s="8"/>
    </row>
    <row r="518" spans="3:49" hidden="1" x14ac:dyDescent="0.25">
      <c r="C518" s="26" t="str">
        <f>Tools!$C$1</f>
        <v>Example</v>
      </c>
      <c r="D518" s="27" t="s">
        <v>72</v>
      </c>
      <c r="E518" s="28">
        <v>2018</v>
      </c>
      <c r="F518" s="28">
        <f>MATCH(DaybyDay[[#This Row],[RowMonth]],Table3[SummaryMonth],0)</f>
        <v>5</v>
      </c>
      <c r="G518" s="29">
        <f>MATCH(DaybyDay[[#This Row],[LY-Date]],DaybyDay[Date],0)</f>
        <v>148</v>
      </c>
      <c r="H518" s="30">
        <f>WEEKDAY(DaybyDay[[#This Row],[Date]])</f>
        <v>1</v>
      </c>
      <c r="I518" s="31">
        <v>43247</v>
      </c>
      <c r="J518" s="74">
        <v>30</v>
      </c>
      <c r="K518" s="32">
        <f>SUMIFS(BudgetSeasonality[365 Seasonality],BudgetSeasonality[MonthAdjustment],DaybyDay[[#This Row],[Date]])*SUMIFS(Budgets[Service-Budget],Budgets[BudgetMonth],DaybyDay[[#This Row],[RowMonth]],Budgets[BudgetYear],DaybyDay[[#This Row],[RowYear]])</f>
        <v>6566.1149332832429</v>
      </c>
      <c r="L518" s="75">
        <v>5715</v>
      </c>
      <c r="M518" s="32">
        <f>INDEX(BudgetSeasonality[365 Seasonality],MATCH(DaybyDay[[#This Row],[Date]],BudgetSeasonality[MonthAdjustment],0))*SUMIFS(Budgets[Retail-Budget],Budgets[BudgetMonth],DaybyDay[[#This Row],[RowMonth]],Budgets[BudgetYear],DaybyDay[[#This Row],[RowYear]])</f>
        <v>1972.3279930954147</v>
      </c>
      <c r="N518" s="75">
        <v>564.4</v>
      </c>
      <c r="O518" s="33">
        <f>SUMIFS(DaybyDay[Service-Budgets],DaybyDay[Date],"&gt;="&amp;$C$5,DaybyDay[RowYear],"&gt;="&amp;$C$4,DaybyDay[Date],"&lt;="&amp;DaybyDay[[#This Row],[Date]])</f>
        <v>0</v>
      </c>
      <c r="P518" s="33">
        <f>SUMIFS(DaybyDay[Retail-Budgets],DaybyDay[Date],"&gt;="&amp;$C$5,DaybyDay[RowYear],"&gt;="&amp;$C$4,DaybyDay[Date],"&lt;="&amp;DaybyDay[[#This Row],[Date]])</f>
        <v>0</v>
      </c>
      <c r="Q518" s="34">
        <f>SUMIFS(DaybyDay[Service-Actuals],DaybyDay[Date],"&gt;="&amp;$C$5,DaybyDay[RowYear],"&gt;="&amp;$C$4,DaybyDay[Date],"&lt;="&amp;DaybyDay[[#This Row],[Date]])</f>
        <v>0</v>
      </c>
      <c r="R518" s="34">
        <f>SUMIFS(DaybyDay[Retail-Actuals],DaybyDay[Date],"&gt;="&amp;$C$5,DaybyDay[RowYear],"&gt;="&amp;$C$4,DaybyDay[Date],"&lt;="&amp;DaybyDay[[#This Row],[Date]])</f>
        <v>0</v>
      </c>
      <c r="S518" s="35">
        <f>SUMIFS(DaybyDay[Service-LY],DaybyDay[Date],"&gt;="&amp;$C$5,DaybyDay[RowYear],"&gt;="&amp;$C$4,DaybyDay[Date],"&lt;="&amp;DaybyDay[[#This Row],[Date]])</f>
        <v>0</v>
      </c>
      <c r="T518" s="35">
        <f>SUMIFS(DaybyDay[Retail-LY],DaybyDay[Date],"&gt;="&amp;$C$5,DaybyDay[RowYear],"&gt;="&amp;$C$4,DaybyDay[Date],"&lt;="&amp;DaybyDay[[#This Row],[Date]])</f>
        <v>0</v>
      </c>
      <c r="U518" s="32">
        <f>DaybyDay[[#This Row],[Serv-Bud-RU]]+DaybyDay[[#This Row],[Ret-Bud-RU]]</f>
        <v>0</v>
      </c>
      <c r="V518" s="32">
        <f>DaybyDay[[#This Row],[Serv-Act-RU]]+DaybyDay[[#This Row],[Ret-Act-RU]]</f>
        <v>0</v>
      </c>
      <c r="W518" s="36">
        <f>IF(DaybyDay[[#This Row],[_Space]],IFERROR(
((DaybyDay[[#This Row],[Actual-Rollup]]-DaybyDay[[#This Row],[Budget-Rollup]])/DaybyDay[[#This Row],[Budget-Rollup]]),0),"")</f>
        <v>0</v>
      </c>
      <c r="X518" t="b">
        <f>NOT(AND(ISBLANK(DaybyDay[[#This Row],[Appts]]),ISBLANK(DaybyDay[[#This Row],[Service-Actuals]]),ISBLANK(DaybyDay[[#This Row],[Retail-Actuals]])))</f>
        <v>1</v>
      </c>
      <c r="Y518" s="36">
        <f>IF(DaybyDay[[#This Row],[_Space]],IFERROR(
((DaybyDay[[#This Row],[Actual-Rollup]]-DaybyDay[[#This Row],[LY-Rollup]])/DaybyDay[[#This Row],[LY-Rollup]]),0),"")</f>
        <v>0</v>
      </c>
      <c r="Z518"/>
      <c r="AA518" s="37" t="e">
        <f>IF(DaybyDay[[#This Row],[_Space]],DaybyDay[[#This Row],[Ret-Act-RU]]/DaybyDay[[#This Row],[Serv-Act-RU]],"")</f>
        <v>#DIV/0!</v>
      </c>
      <c r="AB518" s="50" t="e">
        <f>IF(DaybyDay[[#This Row],[_Space]],DaybyDay[[#This Row],[RETPEN-Act]]/DaybyDay[[#This Row],[RETPEN-Bud]],"")</f>
        <v>#DIV/0!</v>
      </c>
      <c r="AC518" s="37" t="e">
        <f>IF(DaybyDay[[#This Row],[_Space]],DaybyDay[[#This Row],[Ret-Bud-RU]]/DaybyDay[[#This Row],[Serv-Bud-RU]],"")</f>
        <v>#DIV/0!</v>
      </c>
      <c r="AD518" s="37" t="e">
        <f>IF(DaybyDay[[#This Row],[_Space]],DaybyDay[[#This Row],[Ret-LY-RU]]/DaybyDay[[#This Row],[Serv-LY-RU]],"")</f>
        <v>#DIV/0!</v>
      </c>
      <c r="AE518" s="30">
        <f>WEEKDAY(DaybyDay[[#This Row],[LY-Date]])</f>
        <v>1</v>
      </c>
      <c r="AF518" s="38">
        <f>$E$2+_xlfn.DAYS(DaybyDay[[#This Row],[Date]],minDate)</f>
        <v>42883</v>
      </c>
      <c r="AG518" s="39" cm="1">
        <f t="array" ref="AG518">IFERROR(INDEX(DaybyDay[],DaybyDay[[#This Row],[FORM_MATCH_HELPER]],8),"")</f>
        <v>30</v>
      </c>
      <c r="AH518" s="39" cm="1">
        <f t="array" ref="AH518">IFERROR(INDEX(DaybyDay[],DaybyDay[[#This Row],[FORM_MATCH_HELPER]],10),"")</f>
        <v>5078.28</v>
      </c>
      <c r="AI518" s="39" cm="1">
        <f t="array" ref="AI518">IFERROR(INDEX(DaybyDay[],DaybyDay[[#This Row],[FORM_MATCH_HELPER]],12),"")</f>
        <v>581</v>
      </c>
      <c r="AJ518" s="32">
        <f>IFERROR(DaybyDay[[#This Row],[Serv-LY-RU]]+DaybyDay[[#This Row],[Ret-LY-RU]],"")</f>
        <v>0</v>
      </c>
      <c r="AK5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8" s="77"/>
      <c r="AM518" s="40" t="str">
        <f>IF(DaybyDay[[#This Row],[Admin Hours]]&gt;0,DaybyDay[[#This Row],[Admin Hours]]*$AM$2+$AM$3,"")</f>
        <v/>
      </c>
      <c r="AN518" s="40">
        <f>SUMIFS(DaybyDay[Est-Admin-Payroll],DaybyDay[Date],"&gt;="&amp;$C$5,DaybyDay[RowYear],"&gt;="&amp;$C$4,DaybyDay[Date],"&lt;="&amp;DaybyDay[[#This Row],[Date]])</f>
        <v>0</v>
      </c>
      <c r="AO518" s="41" t="str">
        <f>IF(AND(DaybyDay[[#This Row],[_Space]],ISNUMBER(DaybyDay[[#This Row],[Admin Hours]])),DaybyDay[[#This Row],[Est-Admin-Payroll]]/(DaybyDay[[#This Row],[Service-Actuals]]+DaybyDay[[#This Row],[Retail-Actuals]]),"")</f>
        <v/>
      </c>
      <c r="AP518" s="41" t="e">
        <f>DaybyDay[[#This Row],[Estimated-Payroll-Rollup]]/DaybyDay[[#This Row],[Simple-Forecast]]</f>
        <v>#DIV/0!</v>
      </c>
      <c r="AQ5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8" s="77"/>
      <c r="AS518" s="40" t="str">
        <f>IF(DaybyDay[[#This Row],[Retail Hours]]&gt;0,DaybyDay[[#This Row],[Retail Hours]]*$AS$2,"")</f>
        <v/>
      </c>
      <c r="AT518" s="40">
        <f>SUMIFS(DaybyDay[Est-Retail-Payroll],DaybyDay[Date],"&gt;="&amp;$C$5,DaybyDay[RowYear],"&gt;="&amp;$C$4,DaybyDay[Date],"&lt;="&amp;DaybyDay[[#This Row],[Date]])</f>
        <v>0</v>
      </c>
      <c r="AU518" s="82" t="str">
        <f>IF(AND(DaybyDay[[#This Row],[_Space]],ISNUMBER(DaybyDay[[#This Row],[Retail Hours]])),DaybyDay[[#This Row],[Est-Retail-Payroll]]/(DaybyDay[[#This Row],[Retail-Actuals]]),"")</f>
        <v/>
      </c>
      <c r="AV518" s="82" t="e">
        <f>DaybyDay[[#This Row],[Est-Retail-PayrollRU]]/DaybyDay[[#This Row],[Simple-Forecast-Retail]]</f>
        <v>#DIV/0!</v>
      </c>
      <c r="AW518" s="8"/>
    </row>
    <row r="519" spans="3:49" hidden="1" x14ac:dyDescent="0.25">
      <c r="C519" s="26" t="str">
        <f>Tools!$C$1</f>
        <v>Example</v>
      </c>
      <c r="D519" s="27" t="s">
        <v>72</v>
      </c>
      <c r="E519" s="28">
        <v>2018</v>
      </c>
      <c r="F519" s="28">
        <f>MATCH(DaybyDay[[#This Row],[RowMonth]],Table3[SummaryMonth],0)</f>
        <v>5</v>
      </c>
      <c r="G519" s="29">
        <f>MATCH(DaybyDay[[#This Row],[LY-Date]],DaybyDay[Date],0)</f>
        <v>149</v>
      </c>
      <c r="H519" s="30">
        <f>WEEKDAY(DaybyDay[[#This Row],[Date]])</f>
        <v>2</v>
      </c>
      <c r="I519" s="31">
        <v>43248</v>
      </c>
      <c r="J519" s="74">
        <v>25</v>
      </c>
      <c r="K519" s="32">
        <f>SUMIFS(BudgetSeasonality[365 Seasonality],BudgetSeasonality[MonthAdjustment],DaybyDay[[#This Row],[Date]])*SUMIFS(Budgets[Service-Budget],Budgets[BudgetMonth],DaybyDay[[#This Row],[RowMonth]],Budgets[BudgetYear],DaybyDay[[#This Row],[RowYear]])</f>
        <v>3757.1543903038869</v>
      </c>
      <c r="L519" s="75">
        <v>5822.25</v>
      </c>
      <c r="M519" s="32">
        <f>INDEX(BudgetSeasonality[365 Seasonality],MATCH(DaybyDay[[#This Row],[Date]],BudgetSeasonality[MonthAdjustment],0))*SUMIFS(Budgets[Retail-Budget],Budgets[BudgetMonth],DaybyDay[[#This Row],[RowMonth]],Budgets[BudgetYear],DaybyDay[[#This Row],[RowYear]])</f>
        <v>1128.5731141888971</v>
      </c>
      <c r="N519" s="75">
        <v>2643.5</v>
      </c>
      <c r="O519" s="33">
        <f>SUMIFS(DaybyDay[Service-Budgets],DaybyDay[Date],"&gt;="&amp;$C$5,DaybyDay[RowYear],"&gt;="&amp;$C$4,DaybyDay[Date],"&lt;="&amp;DaybyDay[[#This Row],[Date]])</f>
        <v>0</v>
      </c>
      <c r="P519" s="33">
        <f>SUMIFS(DaybyDay[Retail-Budgets],DaybyDay[Date],"&gt;="&amp;$C$5,DaybyDay[RowYear],"&gt;="&amp;$C$4,DaybyDay[Date],"&lt;="&amp;DaybyDay[[#This Row],[Date]])</f>
        <v>0</v>
      </c>
      <c r="Q519" s="34">
        <f>SUMIFS(DaybyDay[Service-Actuals],DaybyDay[Date],"&gt;="&amp;$C$5,DaybyDay[RowYear],"&gt;="&amp;$C$4,DaybyDay[Date],"&lt;="&amp;DaybyDay[[#This Row],[Date]])</f>
        <v>0</v>
      </c>
      <c r="R519" s="34">
        <f>SUMIFS(DaybyDay[Retail-Actuals],DaybyDay[Date],"&gt;="&amp;$C$5,DaybyDay[RowYear],"&gt;="&amp;$C$4,DaybyDay[Date],"&lt;="&amp;DaybyDay[[#This Row],[Date]])</f>
        <v>0</v>
      </c>
      <c r="S519" s="35">
        <f>SUMIFS(DaybyDay[Service-LY],DaybyDay[Date],"&gt;="&amp;$C$5,DaybyDay[RowYear],"&gt;="&amp;$C$4,DaybyDay[Date],"&lt;="&amp;DaybyDay[[#This Row],[Date]])</f>
        <v>0</v>
      </c>
      <c r="T519" s="35">
        <f>SUMIFS(DaybyDay[Retail-LY],DaybyDay[Date],"&gt;="&amp;$C$5,DaybyDay[RowYear],"&gt;="&amp;$C$4,DaybyDay[Date],"&lt;="&amp;DaybyDay[[#This Row],[Date]])</f>
        <v>0</v>
      </c>
      <c r="U519" s="32">
        <f>DaybyDay[[#This Row],[Serv-Bud-RU]]+DaybyDay[[#This Row],[Ret-Bud-RU]]</f>
        <v>0</v>
      </c>
      <c r="V519" s="32">
        <f>DaybyDay[[#This Row],[Serv-Act-RU]]+DaybyDay[[#This Row],[Ret-Act-RU]]</f>
        <v>0</v>
      </c>
      <c r="W519" s="36">
        <f>IF(DaybyDay[[#This Row],[_Space]],IFERROR(
((DaybyDay[[#This Row],[Actual-Rollup]]-DaybyDay[[#This Row],[Budget-Rollup]])/DaybyDay[[#This Row],[Budget-Rollup]]),0),"")</f>
        <v>0</v>
      </c>
      <c r="X519" t="b">
        <f>NOT(AND(ISBLANK(DaybyDay[[#This Row],[Appts]]),ISBLANK(DaybyDay[[#This Row],[Service-Actuals]]),ISBLANK(DaybyDay[[#This Row],[Retail-Actuals]])))</f>
        <v>1</v>
      </c>
      <c r="Y519" s="36">
        <f>IF(DaybyDay[[#This Row],[_Space]],IFERROR(
((DaybyDay[[#This Row],[Actual-Rollup]]-DaybyDay[[#This Row],[LY-Rollup]])/DaybyDay[[#This Row],[LY-Rollup]]),0),"")</f>
        <v>0</v>
      </c>
      <c r="Z519"/>
      <c r="AA519" s="37" t="e">
        <f>IF(DaybyDay[[#This Row],[_Space]],DaybyDay[[#This Row],[Ret-Act-RU]]/DaybyDay[[#This Row],[Serv-Act-RU]],"")</f>
        <v>#DIV/0!</v>
      </c>
      <c r="AB519" s="50" t="e">
        <f>IF(DaybyDay[[#This Row],[_Space]],DaybyDay[[#This Row],[RETPEN-Act]]/DaybyDay[[#This Row],[RETPEN-Bud]],"")</f>
        <v>#DIV/0!</v>
      </c>
      <c r="AC519" s="37" t="e">
        <f>IF(DaybyDay[[#This Row],[_Space]],DaybyDay[[#This Row],[Ret-Bud-RU]]/DaybyDay[[#This Row],[Serv-Bud-RU]],"")</f>
        <v>#DIV/0!</v>
      </c>
      <c r="AD519" s="37" t="e">
        <f>IF(DaybyDay[[#This Row],[_Space]],DaybyDay[[#This Row],[Ret-LY-RU]]/DaybyDay[[#This Row],[Serv-LY-RU]],"")</f>
        <v>#DIV/0!</v>
      </c>
      <c r="AE519" s="30">
        <f>WEEKDAY(DaybyDay[[#This Row],[LY-Date]])</f>
        <v>2</v>
      </c>
      <c r="AF519" s="38">
        <f>$E$2+_xlfn.DAYS(DaybyDay[[#This Row],[Date]],minDate)</f>
        <v>42884</v>
      </c>
      <c r="AG519" s="39" cm="1">
        <f t="array" ref="AG519">IFERROR(INDEX(DaybyDay[],DaybyDay[[#This Row],[FORM_MATCH_HELPER]],8),"")</f>
        <v>26</v>
      </c>
      <c r="AH519" s="39" cm="1">
        <f t="array" ref="AH519">IFERROR(INDEX(DaybyDay[],DaybyDay[[#This Row],[FORM_MATCH_HELPER]],10),"")</f>
        <v>5343.5</v>
      </c>
      <c r="AI519" s="39" cm="1">
        <f t="array" ref="AI519">IFERROR(INDEX(DaybyDay[],DaybyDay[[#This Row],[FORM_MATCH_HELPER]],12),"")</f>
        <v>386</v>
      </c>
      <c r="AJ519" s="32">
        <f>IFERROR(DaybyDay[[#This Row],[Serv-LY-RU]]+DaybyDay[[#This Row],[Ret-LY-RU]],"")</f>
        <v>0</v>
      </c>
      <c r="AK5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19" s="77"/>
      <c r="AM519" s="40" t="str">
        <f>IF(DaybyDay[[#This Row],[Admin Hours]]&gt;0,DaybyDay[[#This Row],[Admin Hours]]*$AM$2+$AM$3,"")</f>
        <v/>
      </c>
      <c r="AN519" s="40">
        <f>SUMIFS(DaybyDay[Est-Admin-Payroll],DaybyDay[Date],"&gt;="&amp;$C$5,DaybyDay[RowYear],"&gt;="&amp;$C$4,DaybyDay[Date],"&lt;="&amp;DaybyDay[[#This Row],[Date]])</f>
        <v>0</v>
      </c>
      <c r="AO519" s="41" t="str">
        <f>IF(AND(DaybyDay[[#This Row],[_Space]],ISNUMBER(DaybyDay[[#This Row],[Admin Hours]])),DaybyDay[[#This Row],[Est-Admin-Payroll]]/(DaybyDay[[#This Row],[Service-Actuals]]+DaybyDay[[#This Row],[Retail-Actuals]]),"")</f>
        <v/>
      </c>
      <c r="AP519" s="41" t="e">
        <f>DaybyDay[[#This Row],[Estimated-Payroll-Rollup]]/DaybyDay[[#This Row],[Simple-Forecast]]</f>
        <v>#DIV/0!</v>
      </c>
      <c r="AQ5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19" s="77"/>
      <c r="AS519" s="40" t="str">
        <f>IF(DaybyDay[[#This Row],[Retail Hours]]&gt;0,DaybyDay[[#This Row],[Retail Hours]]*$AS$2,"")</f>
        <v/>
      </c>
      <c r="AT519" s="40">
        <f>SUMIFS(DaybyDay[Est-Retail-Payroll],DaybyDay[Date],"&gt;="&amp;$C$5,DaybyDay[RowYear],"&gt;="&amp;$C$4,DaybyDay[Date],"&lt;="&amp;DaybyDay[[#This Row],[Date]])</f>
        <v>0</v>
      </c>
      <c r="AU519" s="82" t="str">
        <f>IF(AND(DaybyDay[[#This Row],[_Space]],ISNUMBER(DaybyDay[[#This Row],[Retail Hours]])),DaybyDay[[#This Row],[Est-Retail-Payroll]]/(DaybyDay[[#This Row],[Retail-Actuals]]),"")</f>
        <v/>
      </c>
      <c r="AV519" s="82" t="e">
        <f>DaybyDay[[#This Row],[Est-Retail-PayrollRU]]/DaybyDay[[#This Row],[Simple-Forecast-Retail]]</f>
        <v>#DIV/0!</v>
      </c>
      <c r="AW519" s="8"/>
    </row>
    <row r="520" spans="3:49" hidden="1" x14ac:dyDescent="0.25">
      <c r="C520" s="26" t="str">
        <f>Tools!$C$1</f>
        <v>Example</v>
      </c>
      <c r="D520" s="27" t="s">
        <v>72</v>
      </c>
      <c r="E520" s="28">
        <v>2018</v>
      </c>
      <c r="F520" s="28">
        <f>MATCH(DaybyDay[[#This Row],[RowMonth]],Table3[SummaryMonth],0)</f>
        <v>5</v>
      </c>
      <c r="G520" s="29">
        <f>MATCH(DaybyDay[[#This Row],[LY-Date]],DaybyDay[Date],0)</f>
        <v>150</v>
      </c>
      <c r="H520" s="30">
        <f>WEEKDAY(DaybyDay[[#This Row],[Date]])</f>
        <v>3</v>
      </c>
      <c r="I520" s="31">
        <v>43249</v>
      </c>
      <c r="J520" s="74">
        <v>22</v>
      </c>
      <c r="K520" s="32">
        <f>SUMIFS(BudgetSeasonality[365 Seasonality],BudgetSeasonality[MonthAdjustment],DaybyDay[[#This Row],[Date]])*SUMIFS(Budgets[Service-Budget],Budgets[BudgetMonth],DaybyDay[[#This Row],[RowMonth]],Budgets[BudgetYear],DaybyDay[[#This Row],[RowYear]])</f>
        <v>3872.7593240824986</v>
      </c>
      <c r="L520" s="75">
        <v>6128.79</v>
      </c>
      <c r="M520" s="32">
        <f>INDEX(BudgetSeasonality[365 Seasonality],MATCH(DaybyDay[[#This Row],[Date]],BudgetSeasonality[MonthAdjustment],0))*SUMIFS(Budgets[Retail-Budget],Budgets[BudgetMonth],DaybyDay[[#This Row],[RowMonth]],Budgets[BudgetYear],DaybyDay[[#This Row],[RowYear]])</f>
        <v>1163.2984958412535</v>
      </c>
      <c r="N520" s="75">
        <v>2070.5</v>
      </c>
      <c r="O520" s="33">
        <f>SUMIFS(DaybyDay[Service-Budgets],DaybyDay[Date],"&gt;="&amp;$C$5,DaybyDay[RowYear],"&gt;="&amp;$C$4,DaybyDay[Date],"&lt;="&amp;DaybyDay[[#This Row],[Date]])</f>
        <v>0</v>
      </c>
      <c r="P520" s="33">
        <f>SUMIFS(DaybyDay[Retail-Budgets],DaybyDay[Date],"&gt;="&amp;$C$5,DaybyDay[RowYear],"&gt;="&amp;$C$4,DaybyDay[Date],"&lt;="&amp;DaybyDay[[#This Row],[Date]])</f>
        <v>0</v>
      </c>
      <c r="Q520" s="34">
        <f>SUMIFS(DaybyDay[Service-Actuals],DaybyDay[Date],"&gt;="&amp;$C$5,DaybyDay[RowYear],"&gt;="&amp;$C$4,DaybyDay[Date],"&lt;="&amp;DaybyDay[[#This Row],[Date]])</f>
        <v>0</v>
      </c>
      <c r="R520" s="34">
        <f>SUMIFS(DaybyDay[Retail-Actuals],DaybyDay[Date],"&gt;="&amp;$C$5,DaybyDay[RowYear],"&gt;="&amp;$C$4,DaybyDay[Date],"&lt;="&amp;DaybyDay[[#This Row],[Date]])</f>
        <v>0</v>
      </c>
      <c r="S520" s="35">
        <f>SUMIFS(DaybyDay[Service-LY],DaybyDay[Date],"&gt;="&amp;$C$5,DaybyDay[RowYear],"&gt;="&amp;$C$4,DaybyDay[Date],"&lt;="&amp;DaybyDay[[#This Row],[Date]])</f>
        <v>0</v>
      </c>
      <c r="T520" s="35">
        <f>SUMIFS(DaybyDay[Retail-LY],DaybyDay[Date],"&gt;="&amp;$C$5,DaybyDay[RowYear],"&gt;="&amp;$C$4,DaybyDay[Date],"&lt;="&amp;DaybyDay[[#This Row],[Date]])</f>
        <v>0</v>
      </c>
      <c r="U520" s="32">
        <f>DaybyDay[[#This Row],[Serv-Bud-RU]]+DaybyDay[[#This Row],[Ret-Bud-RU]]</f>
        <v>0</v>
      </c>
      <c r="V520" s="32">
        <f>DaybyDay[[#This Row],[Serv-Act-RU]]+DaybyDay[[#This Row],[Ret-Act-RU]]</f>
        <v>0</v>
      </c>
      <c r="W520" s="36">
        <f>IF(DaybyDay[[#This Row],[_Space]],IFERROR(
((DaybyDay[[#This Row],[Actual-Rollup]]-DaybyDay[[#This Row],[Budget-Rollup]])/DaybyDay[[#This Row],[Budget-Rollup]]),0),"")</f>
        <v>0</v>
      </c>
      <c r="X520" t="b">
        <f>NOT(AND(ISBLANK(DaybyDay[[#This Row],[Appts]]),ISBLANK(DaybyDay[[#This Row],[Service-Actuals]]),ISBLANK(DaybyDay[[#This Row],[Retail-Actuals]])))</f>
        <v>1</v>
      </c>
      <c r="Y520" s="36">
        <f>IF(DaybyDay[[#This Row],[_Space]],IFERROR(
((DaybyDay[[#This Row],[Actual-Rollup]]-DaybyDay[[#This Row],[LY-Rollup]])/DaybyDay[[#This Row],[LY-Rollup]]),0),"")</f>
        <v>0</v>
      </c>
      <c r="Z520"/>
      <c r="AA520" s="37" t="e">
        <f>IF(DaybyDay[[#This Row],[_Space]],DaybyDay[[#This Row],[Ret-Act-RU]]/DaybyDay[[#This Row],[Serv-Act-RU]],"")</f>
        <v>#DIV/0!</v>
      </c>
      <c r="AB520" s="50" t="e">
        <f>IF(DaybyDay[[#This Row],[_Space]],DaybyDay[[#This Row],[RETPEN-Act]]/DaybyDay[[#This Row],[RETPEN-Bud]],"")</f>
        <v>#DIV/0!</v>
      </c>
      <c r="AC520" s="37" t="e">
        <f>IF(DaybyDay[[#This Row],[_Space]],DaybyDay[[#This Row],[Ret-Bud-RU]]/DaybyDay[[#This Row],[Serv-Bud-RU]],"")</f>
        <v>#DIV/0!</v>
      </c>
      <c r="AD520" s="37" t="e">
        <f>IF(DaybyDay[[#This Row],[_Space]],DaybyDay[[#This Row],[Ret-LY-RU]]/DaybyDay[[#This Row],[Serv-LY-RU]],"")</f>
        <v>#DIV/0!</v>
      </c>
      <c r="AE520" s="30">
        <f>WEEKDAY(DaybyDay[[#This Row],[LY-Date]])</f>
        <v>3</v>
      </c>
      <c r="AF520" s="38">
        <f>$E$2+_xlfn.DAYS(DaybyDay[[#This Row],[Date]],minDate)</f>
        <v>42885</v>
      </c>
      <c r="AG520" s="39" cm="1">
        <f t="array" ref="AG520">IFERROR(INDEX(DaybyDay[],DaybyDay[[#This Row],[FORM_MATCH_HELPER]],8),"")</f>
        <v>20</v>
      </c>
      <c r="AH520" s="39" cm="1">
        <f t="array" ref="AH520">IFERROR(INDEX(DaybyDay[],DaybyDay[[#This Row],[FORM_MATCH_HELPER]],10),"")</f>
        <v>3254.8</v>
      </c>
      <c r="AI520" s="39" cm="1">
        <f t="array" ref="AI520">IFERROR(INDEX(DaybyDay[],DaybyDay[[#This Row],[FORM_MATCH_HELPER]],12),"")</f>
        <v>32.5</v>
      </c>
      <c r="AJ520" s="32">
        <f>IFERROR(DaybyDay[[#This Row],[Serv-LY-RU]]+DaybyDay[[#This Row],[Ret-LY-RU]],"")</f>
        <v>0</v>
      </c>
      <c r="AK5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0" s="77"/>
      <c r="AM520" s="40" t="str">
        <f>IF(DaybyDay[[#This Row],[Admin Hours]]&gt;0,DaybyDay[[#This Row],[Admin Hours]]*$AM$2+$AM$3,"")</f>
        <v/>
      </c>
      <c r="AN520" s="40">
        <f>SUMIFS(DaybyDay[Est-Admin-Payroll],DaybyDay[Date],"&gt;="&amp;$C$5,DaybyDay[RowYear],"&gt;="&amp;$C$4,DaybyDay[Date],"&lt;="&amp;DaybyDay[[#This Row],[Date]])</f>
        <v>0</v>
      </c>
      <c r="AO520" s="41" t="str">
        <f>IF(AND(DaybyDay[[#This Row],[_Space]],ISNUMBER(DaybyDay[[#This Row],[Admin Hours]])),DaybyDay[[#This Row],[Est-Admin-Payroll]]/(DaybyDay[[#This Row],[Service-Actuals]]+DaybyDay[[#This Row],[Retail-Actuals]]),"")</f>
        <v/>
      </c>
      <c r="AP520" s="41" t="e">
        <f>DaybyDay[[#This Row],[Estimated-Payroll-Rollup]]/DaybyDay[[#This Row],[Simple-Forecast]]</f>
        <v>#DIV/0!</v>
      </c>
      <c r="AQ5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0" s="77"/>
      <c r="AS520" s="40" t="str">
        <f>IF(DaybyDay[[#This Row],[Retail Hours]]&gt;0,DaybyDay[[#This Row],[Retail Hours]]*$AS$2,"")</f>
        <v/>
      </c>
      <c r="AT520" s="40">
        <f>SUMIFS(DaybyDay[Est-Retail-Payroll],DaybyDay[Date],"&gt;="&amp;$C$5,DaybyDay[RowYear],"&gt;="&amp;$C$4,DaybyDay[Date],"&lt;="&amp;DaybyDay[[#This Row],[Date]])</f>
        <v>0</v>
      </c>
      <c r="AU520" s="82" t="str">
        <f>IF(AND(DaybyDay[[#This Row],[_Space]],ISNUMBER(DaybyDay[[#This Row],[Retail Hours]])),DaybyDay[[#This Row],[Est-Retail-Payroll]]/(DaybyDay[[#This Row],[Retail-Actuals]]),"")</f>
        <v/>
      </c>
      <c r="AV520" s="82" t="e">
        <f>DaybyDay[[#This Row],[Est-Retail-PayrollRU]]/DaybyDay[[#This Row],[Simple-Forecast-Retail]]</f>
        <v>#DIV/0!</v>
      </c>
      <c r="AW520" s="8"/>
    </row>
    <row r="521" spans="3:49" hidden="1" x14ac:dyDescent="0.25">
      <c r="C521" s="26" t="str">
        <f>Tools!$C$1</f>
        <v>Example</v>
      </c>
      <c r="D521" s="27" t="s">
        <v>72</v>
      </c>
      <c r="E521" s="28">
        <v>2018</v>
      </c>
      <c r="F521" s="28">
        <f>MATCH(DaybyDay[[#This Row],[RowMonth]],Table3[SummaryMonth],0)</f>
        <v>5</v>
      </c>
      <c r="G521" s="29">
        <f>MATCH(DaybyDay[[#This Row],[LY-Date]],DaybyDay[Date],0)</f>
        <v>151</v>
      </c>
      <c r="H521" s="30">
        <f>WEEKDAY(DaybyDay[[#This Row],[Date]])</f>
        <v>4</v>
      </c>
      <c r="I521" s="31">
        <v>43250</v>
      </c>
      <c r="J521" s="74">
        <v>13</v>
      </c>
      <c r="K521" s="32">
        <f>SUMIFS(BudgetSeasonality[365 Seasonality],BudgetSeasonality[MonthAdjustment],DaybyDay[[#This Row],[Date]])*SUMIFS(Budgets[Service-Budget],Budgets[BudgetMonth],DaybyDay[[#This Row],[RowMonth]],Budgets[BudgetYear],DaybyDay[[#This Row],[RowYear]])</f>
        <v>4506.4792907701631</v>
      </c>
      <c r="L521" s="75">
        <v>2826.6</v>
      </c>
      <c r="M521" s="32">
        <f>INDEX(BudgetSeasonality[365 Seasonality],MATCH(DaybyDay[[#This Row],[Date]],BudgetSeasonality[MonthAdjustment],0))*SUMIFS(Budgets[Retail-Budget],Budgets[BudgetMonth],DaybyDay[[#This Row],[RowMonth]],Budgets[BudgetYear],DaybyDay[[#This Row],[RowYear]])</f>
        <v>1353.6551439934033</v>
      </c>
      <c r="N521" s="75">
        <v>2286.6</v>
      </c>
      <c r="O521" s="33">
        <f>SUMIFS(DaybyDay[Service-Budgets],DaybyDay[Date],"&gt;="&amp;$C$5,DaybyDay[RowYear],"&gt;="&amp;$C$4,DaybyDay[Date],"&lt;="&amp;DaybyDay[[#This Row],[Date]])</f>
        <v>0</v>
      </c>
      <c r="P521" s="33">
        <f>SUMIFS(DaybyDay[Retail-Budgets],DaybyDay[Date],"&gt;="&amp;$C$5,DaybyDay[RowYear],"&gt;="&amp;$C$4,DaybyDay[Date],"&lt;="&amp;DaybyDay[[#This Row],[Date]])</f>
        <v>0</v>
      </c>
      <c r="Q521" s="34">
        <f>SUMIFS(DaybyDay[Service-Actuals],DaybyDay[Date],"&gt;="&amp;$C$5,DaybyDay[RowYear],"&gt;="&amp;$C$4,DaybyDay[Date],"&lt;="&amp;DaybyDay[[#This Row],[Date]])</f>
        <v>0</v>
      </c>
      <c r="R521" s="34">
        <f>SUMIFS(DaybyDay[Retail-Actuals],DaybyDay[Date],"&gt;="&amp;$C$5,DaybyDay[RowYear],"&gt;="&amp;$C$4,DaybyDay[Date],"&lt;="&amp;DaybyDay[[#This Row],[Date]])</f>
        <v>0</v>
      </c>
      <c r="S521" s="35">
        <f>SUMIFS(DaybyDay[Service-LY],DaybyDay[Date],"&gt;="&amp;$C$5,DaybyDay[RowYear],"&gt;="&amp;$C$4,DaybyDay[Date],"&lt;="&amp;DaybyDay[[#This Row],[Date]])</f>
        <v>0</v>
      </c>
      <c r="T521" s="35">
        <f>SUMIFS(DaybyDay[Retail-LY],DaybyDay[Date],"&gt;="&amp;$C$5,DaybyDay[RowYear],"&gt;="&amp;$C$4,DaybyDay[Date],"&lt;="&amp;DaybyDay[[#This Row],[Date]])</f>
        <v>0</v>
      </c>
      <c r="U521" s="32">
        <f>DaybyDay[[#This Row],[Serv-Bud-RU]]+DaybyDay[[#This Row],[Ret-Bud-RU]]</f>
        <v>0</v>
      </c>
      <c r="V521" s="32">
        <f>DaybyDay[[#This Row],[Serv-Act-RU]]+DaybyDay[[#This Row],[Ret-Act-RU]]</f>
        <v>0</v>
      </c>
      <c r="W521" s="36">
        <f>IF(DaybyDay[[#This Row],[_Space]],IFERROR(
((DaybyDay[[#This Row],[Actual-Rollup]]-DaybyDay[[#This Row],[Budget-Rollup]])/DaybyDay[[#This Row],[Budget-Rollup]]),0),"")</f>
        <v>0</v>
      </c>
      <c r="X521" t="b">
        <f>NOT(AND(ISBLANK(DaybyDay[[#This Row],[Appts]]),ISBLANK(DaybyDay[[#This Row],[Service-Actuals]]),ISBLANK(DaybyDay[[#This Row],[Retail-Actuals]])))</f>
        <v>1</v>
      </c>
      <c r="Y521" s="36">
        <f>IF(DaybyDay[[#This Row],[_Space]],IFERROR(
((DaybyDay[[#This Row],[Actual-Rollup]]-DaybyDay[[#This Row],[LY-Rollup]])/DaybyDay[[#This Row],[LY-Rollup]]),0),"")</f>
        <v>0</v>
      </c>
      <c r="Z521"/>
      <c r="AA521" s="37" t="e">
        <f>IF(DaybyDay[[#This Row],[_Space]],DaybyDay[[#This Row],[Ret-Act-RU]]/DaybyDay[[#This Row],[Serv-Act-RU]],"")</f>
        <v>#DIV/0!</v>
      </c>
      <c r="AB521" s="50" t="e">
        <f>IF(DaybyDay[[#This Row],[_Space]],DaybyDay[[#This Row],[RETPEN-Act]]/DaybyDay[[#This Row],[RETPEN-Bud]],"")</f>
        <v>#DIV/0!</v>
      </c>
      <c r="AC521" s="37" t="e">
        <f>IF(DaybyDay[[#This Row],[_Space]],DaybyDay[[#This Row],[Ret-Bud-RU]]/DaybyDay[[#This Row],[Serv-Bud-RU]],"")</f>
        <v>#DIV/0!</v>
      </c>
      <c r="AD521" s="37" t="e">
        <f>IF(DaybyDay[[#This Row],[_Space]],DaybyDay[[#This Row],[Ret-LY-RU]]/DaybyDay[[#This Row],[Serv-LY-RU]],"")</f>
        <v>#DIV/0!</v>
      </c>
      <c r="AE521" s="30">
        <f>WEEKDAY(DaybyDay[[#This Row],[LY-Date]])</f>
        <v>4</v>
      </c>
      <c r="AF521" s="38">
        <f>$E$2+_xlfn.DAYS(DaybyDay[[#This Row],[Date]],minDate)</f>
        <v>42886</v>
      </c>
      <c r="AG521" s="39" cm="1">
        <f t="array" ref="AG521">IFERROR(INDEX(DaybyDay[],DaybyDay[[#This Row],[FORM_MATCH_HELPER]],8),"")</f>
        <v>17</v>
      </c>
      <c r="AH521" s="39" cm="1">
        <f t="array" ref="AH521">IFERROR(INDEX(DaybyDay[],DaybyDay[[#This Row],[FORM_MATCH_HELPER]],10),"")</f>
        <v>2119.1999999999998</v>
      </c>
      <c r="AI521" s="39" cm="1">
        <f t="array" ref="AI521">IFERROR(INDEX(DaybyDay[],DaybyDay[[#This Row],[FORM_MATCH_HELPER]],12),"")</f>
        <v>1081.5</v>
      </c>
      <c r="AJ521" s="32">
        <f>IFERROR(DaybyDay[[#This Row],[Serv-LY-RU]]+DaybyDay[[#This Row],[Ret-LY-RU]],"")</f>
        <v>0</v>
      </c>
      <c r="AK5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1" s="77"/>
      <c r="AM521" s="40" t="str">
        <f>IF(DaybyDay[[#This Row],[Admin Hours]]&gt;0,DaybyDay[[#This Row],[Admin Hours]]*$AM$2+$AM$3,"")</f>
        <v/>
      </c>
      <c r="AN521" s="40">
        <f>SUMIFS(DaybyDay[Est-Admin-Payroll],DaybyDay[Date],"&gt;="&amp;$C$5,DaybyDay[RowYear],"&gt;="&amp;$C$4,DaybyDay[Date],"&lt;="&amp;DaybyDay[[#This Row],[Date]])</f>
        <v>0</v>
      </c>
      <c r="AO521" s="41" t="str">
        <f>IF(AND(DaybyDay[[#This Row],[_Space]],ISNUMBER(DaybyDay[[#This Row],[Admin Hours]])),DaybyDay[[#This Row],[Est-Admin-Payroll]]/(DaybyDay[[#This Row],[Service-Actuals]]+DaybyDay[[#This Row],[Retail-Actuals]]),"")</f>
        <v/>
      </c>
      <c r="AP521" s="41" t="e">
        <f>DaybyDay[[#This Row],[Estimated-Payroll-Rollup]]/DaybyDay[[#This Row],[Simple-Forecast]]</f>
        <v>#DIV/0!</v>
      </c>
      <c r="AQ5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1" s="77"/>
      <c r="AS521" s="40" t="str">
        <f>IF(DaybyDay[[#This Row],[Retail Hours]]&gt;0,DaybyDay[[#This Row],[Retail Hours]]*$AS$2,"")</f>
        <v/>
      </c>
      <c r="AT521" s="40">
        <f>SUMIFS(DaybyDay[Est-Retail-Payroll],DaybyDay[Date],"&gt;="&amp;$C$5,DaybyDay[RowYear],"&gt;="&amp;$C$4,DaybyDay[Date],"&lt;="&amp;DaybyDay[[#This Row],[Date]])</f>
        <v>0</v>
      </c>
      <c r="AU521" s="82" t="str">
        <f>IF(AND(DaybyDay[[#This Row],[_Space]],ISNUMBER(DaybyDay[[#This Row],[Retail Hours]])),DaybyDay[[#This Row],[Est-Retail-Payroll]]/(DaybyDay[[#This Row],[Retail-Actuals]]),"")</f>
        <v/>
      </c>
      <c r="AV521" s="82" t="e">
        <f>DaybyDay[[#This Row],[Est-Retail-PayrollRU]]/DaybyDay[[#This Row],[Simple-Forecast-Retail]]</f>
        <v>#DIV/0!</v>
      </c>
      <c r="AW521" s="8"/>
    </row>
    <row r="522" spans="3:49" hidden="1" x14ac:dyDescent="0.25">
      <c r="C522" s="26" t="str">
        <f>Tools!$C$1</f>
        <v>Example</v>
      </c>
      <c r="D522" s="27" t="s">
        <v>72</v>
      </c>
      <c r="E522" s="28">
        <v>2018</v>
      </c>
      <c r="F522" s="28">
        <f>MATCH(DaybyDay[[#This Row],[RowMonth]],Table3[SummaryMonth],0)</f>
        <v>5</v>
      </c>
      <c r="G522" s="29">
        <f>MATCH(DaybyDay[[#This Row],[LY-Date]],DaybyDay[Date],0)</f>
        <v>152</v>
      </c>
      <c r="H522" s="30">
        <f>WEEKDAY(DaybyDay[[#This Row],[Date]])</f>
        <v>5</v>
      </c>
      <c r="I522" s="31">
        <v>43251</v>
      </c>
      <c r="J522" s="74">
        <v>33</v>
      </c>
      <c r="K522" s="32">
        <f>SUMIFS(BudgetSeasonality[365 Seasonality],BudgetSeasonality[MonthAdjustment],DaybyDay[[#This Row],[Date]])*SUMIFS(Budgets[Service-Budget],Budgets[BudgetMonth],DaybyDay[[#This Row],[RowMonth]],Budgets[BudgetYear],DaybyDay[[#This Row],[RowYear]])</f>
        <v>4627.4032568208549</v>
      </c>
      <c r="L522" s="75">
        <v>5942.2</v>
      </c>
      <c r="M522" s="32">
        <f>INDEX(BudgetSeasonality[365 Seasonality],MATCH(DaybyDay[[#This Row],[Date]],BudgetSeasonality[MonthAdjustment],0))*SUMIFS(Budgets[Retail-Budget],Budgets[BudgetMonth],DaybyDay[[#This Row],[RowMonth]],Budgets[BudgetYear],DaybyDay[[#This Row],[RowYear]])</f>
        <v>1389.9782552549725</v>
      </c>
      <c r="N522" s="75">
        <v>716.1</v>
      </c>
      <c r="O522" s="33">
        <f>SUMIFS(DaybyDay[Service-Budgets],DaybyDay[Date],"&gt;="&amp;$C$5,DaybyDay[RowYear],"&gt;="&amp;$C$4,DaybyDay[Date],"&lt;="&amp;DaybyDay[[#This Row],[Date]])</f>
        <v>0</v>
      </c>
      <c r="P522" s="33">
        <f>SUMIFS(DaybyDay[Retail-Budgets],DaybyDay[Date],"&gt;="&amp;$C$5,DaybyDay[RowYear],"&gt;="&amp;$C$4,DaybyDay[Date],"&lt;="&amp;DaybyDay[[#This Row],[Date]])</f>
        <v>0</v>
      </c>
      <c r="Q522" s="34">
        <f>SUMIFS(DaybyDay[Service-Actuals],DaybyDay[Date],"&gt;="&amp;$C$5,DaybyDay[RowYear],"&gt;="&amp;$C$4,DaybyDay[Date],"&lt;="&amp;DaybyDay[[#This Row],[Date]])</f>
        <v>0</v>
      </c>
      <c r="R522" s="34">
        <f>SUMIFS(DaybyDay[Retail-Actuals],DaybyDay[Date],"&gt;="&amp;$C$5,DaybyDay[RowYear],"&gt;="&amp;$C$4,DaybyDay[Date],"&lt;="&amp;DaybyDay[[#This Row],[Date]])</f>
        <v>0</v>
      </c>
      <c r="S522" s="35">
        <f>SUMIFS(DaybyDay[Service-LY],DaybyDay[Date],"&gt;="&amp;$C$5,DaybyDay[RowYear],"&gt;="&amp;$C$4,DaybyDay[Date],"&lt;="&amp;DaybyDay[[#This Row],[Date]])</f>
        <v>0</v>
      </c>
      <c r="T522" s="35">
        <f>SUMIFS(DaybyDay[Retail-LY],DaybyDay[Date],"&gt;="&amp;$C$5,DaybyDay[RowYear],"&gt;="&amp;$C$4,DaybyDay[Date],"&lt;="&amp;DaybyDay[[#This Row],[Date]])</f>
        <v>0</v>
      </c>
      <c r="U522" s="32">
        <f>DaybyDay[[#This Row],[Serv-Bud-RU]]+DaybyDay[[#This Row],[Ret-Bud-RU]]</f>
        <v>0</v>
      </c>
      <c r="V522" s="32">
        <f>DaybyDay[[#This Row],[Serv-Act-RU]]+DaybyDay[[#This Row],[Ret-Act-RU]]</f>
        <v>0</v>
      </c>
      <c r="W522" s="36">
        <f>IF(DaybyDay[[#This Row],[_Space]],IFERROR(
((DaybyDay[[#This Row],[Actual-Rollup]]-DaybyDay[[#This Row],[Budget-Rollup]])/DaybyDay[[#This Row],[Budget-Rollup]]),0),"")</f>
        <v>0</v>
      </c>
      <c r="X522" t="b">
        <f>NOT(AND(ISBLANK(DaybyDay[[#This Row],[Appts]]),ISBLANK(DaybyDay[[#This Row],[Service-Actuals]]),ISBLANK(DaybyDay[[#This Row],[Retail-Actuals]])))</f>
        <v>1</v>
      </c>
      <c r="Y522" s="36">
        <f>IF(DaybyDay[[#This Row],[_Space]],IFERROR(
((DaybyDay[[#This Row],[Actual-Rollup]]-DaybyDay[[#This Row],[LY-Rollup]])/DaybyDay[[#This Row],[LY-Rollup]]),0),"")</f>
        <v>0</v>
      </c>
      <c r="Z522"/>
      <c r="AA522" s="37" t="e">
        <f>IF(DaybyDay[[#This Row],[_Space]],DaybyDay[[#This Row],[Ret-Act-RU]]/DaybyDay[[#This Row],[Serv-Act-RU]],"")</f>
        <v>#DIV/0!</v>
      </c>
      <c r="AB522" s="50" t="e">
        <f>IF(DaybyDay[[#This Row],[_Space]],DaybyDay[[#This Row],[RETPEN-Act]]/DaybyDay[[#This Row],[RETPEN-Bud]],"")</f>
        <v>#DIV/0!</v>
      </c>
      <c r="AC522" s="37" t="e">
        <f>IF(DaybyDay[[#This Row],[_Space]],DaybyDay[[#This Row],[Ret-Bud-RU]]/DaybyDay[[#This Row],[Serv-Bud-RU]],"")</f>
        <v>#DIV/0!</v>
      </c>
      <c r="AD522" s="37" t="e">
        <f>IF(DaybyDay[[#This Row],[_Space]],DaybyDay[[#This Row],[Ret-LY-RU]]/DaybyDay[[#This Row],[Serv-LY-RU]],"")</f>
        <v>#DIV/0!</v>
      </c>
      <c r="AE522" s="30">
        <f>WEEKDAY(DaybyDay[[#This Row],[LY-Date]])</f>
        <v>5</v>
      </c>
      <c r="AF522" s="38">
        <f>$E$2+_xlfn.DAYS(DaybyDay[[#This Row],[Date]],minDate)</f>
        <v>42887</v>
      </c>
      <c r="AG522" s="39" cm="1">
        <f t="array" ref="AG522">IFERROR(INDEX(DaybyDay[],DaybyDay[[#This Row],[FORM_MATCH_HELPER]],8),"")</f>
        <v>26</v>
      </c>
      <c r="AH522" s="39" cm="1">
        <f t="array" ref="AH522">IFERROR(INDEX(DaybyDay[],DaybyDay[[#This Row],[FORM_MATCH_HELPER]],10),"")</f>
        <v>4630.3999999999996</v>
      </c>
      <c r="AI522" s="39" cm="1">
        <f t="array" ref="AI522">IFERROR(INDEX(DaybyDay[],DaybyDay[[#This Row],[FORM_MATCH_HELPER]],12),"")</f>
        <v>385</v>
      </c>
      <c r="AJ522" s="32">
        <f>IFERROR(DaybyDay[[#This Row],[Serv-LY-RU]]+DaybyDay[[#This Row],[Ret-LY-RU]],"")</f>
        <v>0</v>
      </c>
      <c r="AK5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2" s="77"/>
      <c r="AM522" s="40" t="str">
        <f>IF(DaybyDay[[#This Row],[Admin Hours]]&gt;0,DaybyDay[[#This Row],[Admin Hours]]*$AM$2+$AM$3,"")</f>
        <v/>
      </c>
      <c r="AN522" s="40">
        <f>SUMIFS(DaybyDay[Est-Admin-Payroll],DaybyDay[Date],"&gt;="&amp;$C$5,DaybyDay[RowYear],"&gt;="&amp;$C$4,DaybyDay[Date],"&lt;="&amp;DaybyDay[[#This Row],[Date]])</f>
        <v>0</v>
      </c>
      <c r="AO522" s="41" t="str">
        <f>IF(AND(DaybyDay[[#This Row],[_Space]],ISNUMBER(DaybyDay[[#This Row],[Admin Hours]])),DaybyDay[[#This Row],[Est-Admin-Payroll]]/(DaybyDay[[#This Row],[Service-Actuals]]+DaybyDay[[#This Row],[Retail-Actuals]]),"")</f>
        <v/>
      </c>
      <c r="AP522" s="41" t="e">
        <f>DaybyDay[[#This Row],[Estimated-Payroll-Rollup]]/DaybyDay[[#This Row],[Simple-Forecast]]</f>
        <v>#DIV/0!</v>
      </c>
      <c r="AQ5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2" s="77"/>
      <c r="AS522" s="40" t="str">
        <f>IF(DaybyDay[[#This Row],[Retail Hours]]&gt;0,DaybyDay[[#This Row],[Retail Hours]]*$AS$2,"")</f>
        <v/>
      </c>
      <c r="AT522" s="40">
        <f>SUMIFS(DaybyDay[Est-Retail-Payroll],DaybyDay[Date],"&gt;="&amp;$C$5,DaybyDay[RowYear],"&gt;="&amp;$C$4,DaybyDay[Date],"&lt;="&amp;DaybyDay[[#This Row],[Date]])</f>
        <v>0</v>
      </c>
      <c r="AU522" s="82" t="str">
        <f>IF(AND(DaybyDay[[#This Row],[_Space]],ISNUMBER(DaybyDay[[#This Row],[Retail Hours]])),DaybyDay[[#This Row],[Est-Retail-Payroll]]/(DaybyDay[[#This Row],[Retail-Actuals]]),"")</f>
        <v/>
      </c>
      <c r="AV522" s="82" t="e">
        <f>DaybyDay[[#This Row],[Est-Retail-PayrollRU]]/DaybyDay[[#This Row],[Simple-Forecast-Retail]]</f>
        <v>#DIV/0!</v>
      </c>
      <c r="AW522" s="8"/>
    </row>
    <row r="523" spans="3:49" hidden="1" x14ac:dyDescent="0.25">
      <c r="C523" s="26" t="str">
        <f>Tools!$C$1</f>
        <v>Example</v>
      </c>
      <c r="D523" s="27" t="s">
        <v>72</v>
      </c>
      <c r="E523" s="28">
        <v>2018</v>
      </c>
      <c r="F523" s="28">
        <f>MATCH(DaybyDay[[#This Row],[RowMonth]],Table3[SummaryMonth],0)</f>
        <v>5</v>
      </c>
      <c r="G523" s="29">
        <f>MATCH(DaybyDay[[#This Row],[LY-Date]],DaybyDay[Date],0)</f>
        <v>153</v>
      </c>
      <c r="H523" s="30">
        <f>WEEKDAY(DaybyDay[[#This Row],[Date]])</f>
        <v>6</v>
      </c>
      <c r="I523" s="31">
        <v>43252</v>
      </c>
      <c r="J523" s="74">
        <v>17</v>
      </c>
      <c r="K523" s="32">
        <f>SUMIFS(BudgetSeasonality[365 Seasonality],BudgetSeasonality[MonthAdjustment],DaybyDay[[#This Row],[Date]])*SUMIFS(Budgets[Service-Budget],Budgets[BudgetMonth],DaybyDay[[#This Row],[RowMonth]],Budgets[BudgetYear],DaybyDay[[#This Row],[RowYear]])</f>
        <v>5833.0248493217368</v>
      </c>
      <c r="L523" s="75">
        <v>3036.77</v>
      </c>
      <c r="M523" s="32">
        <f>INDEX(BudgetSeasonality[365 Seasonality],MATCH(DaybyDay[[#This Row],[Date]],BudgetSeasonality[MonthAdjustment],0))*SUMIFS(Budgets[Retail-Budget],Budgets[BudgetMonth],DaybyDay[[#This Row],[RowMonth]],Budgets[BudgetYear],DaybyDay[[#This Row],[RowYear]])</f>
        <v>1752.1225734904676</v>
      </c>
      <c r="N523" s="75">
        <v>379.6</v>
      </c>
      <c r="O523" s="33">
        <f>SUMIFS(DaybyDay[Service-Budgets],DaybyDay[Date],"&gt;="&amp;$C$5,DaybyDay[RowYear],"&gt;="&amp;$C$4,DaybyDay[Date],"&lt;="&amp;DaybyDay[[#This Row],[Date]])</f>
        <v>0</v>
      </c>
      <c r="P523" s="33">
        <f>SUMIFS(DaybyDay[Retail-Budgets],DaybyDay[Date],"&gt;="&amp;$C$5,DaybyDay[RowYear],"&gt;="&amp;$C$4,DaybyDay[Date],"&lt;="&amp;DaybyDay[[#This Row],[Date]])</f>
        <v>0</v>
      </c>
      <c r="Q523" s="34">
        <f>SUMIFS(DaybyDay[Service-Actuals],DaybyDay[Date],"&gt;="&amp;$C$5,DaybyDay[RowYear],"&gt;="&amp;$C$4,DaybyDay[Date],"&lt;="&amp;DaybyDay[[#This Row],[Date]])</f>
        <v>0</v>
      </c>
      <c r="R523" s="34">
        <f>SUMIFS(DaybyDay[Retail-Actuals],DaybyDay[Date],"&gt;="&amp;$C$5,DaybyDay[RowYear],"&gt;="&amp;$C$4,DaybyDay[Date],"&lt;="&amp;DaybyDay[[#This Row],[Date]])</f>
        <v>0</v>
      </c>
      <c r="S523" s="35">
        <f>SUMIFS(DaybyDay[Service-LY],DaybyDay[Date],"&gt;="&amp;$C$5,DaybyDay[RowYear],"&gt;="&amp;$C$4,DaybyDay[Date],"&lt;="&amp;DaybyDay[[#This Row],[Date]])</f>
        <v>0</v>
      </c>
      <c r="T523" s="35">
        <f>SUMIFS(DaybyDay[Retail-LY],DaybyDay[Date],"&gt;="&amp;$C$5,DaybyDay[RowYear],"&gt;="&amp;$C$4,DaybyDay[Date],"&lt;="&amp;DaybyDay[[#This Row],[Date]])</f>
        <v>0</v>
      </c>
      <c r="U523" s="32">
        <f>DaybyDay[[#This Row],[Serv-Bud-RU]]+DaybyDay[[#This Row],[Ret-Bud-RU]]</f>
        <v>0</v>
      </c>
      <c r="V523" s="32">
        <f>DaybyDay[[#This Row],[Serv-Act-RU]]+DaybyDay[[#This Row],[Ret-Act-RU]]</f>
        <v>0</v>
      </c>
      <c r="W523" s="36">
        <f>IF(DaybyDay[[#This Row],[_Space]],IFERROR(
((DaybyDay[[#This Row],[Actual-Rollup]]-DaybyDay[[#This Row],[Budget-Rollup]])/DaybyDay[[#This Row],[Budget-Rollup]]),0),"")</f>
        <v>0</v>
      </c>
      <c r="X523" t="b">
        <f>NOT(AND(ISBLANK(DaybyDay[[#This Row],[Appts]]),ISBLANK(DaybyDay[[#This Row],[Service-Actuals]]),ISBLANK(DaybyDay[[#This Row],[Retail-Actuals]])))</f>
        <v>1</v>
      </c>
      <c r="Y523" s="36">
        <f>IF(DaybyDay[[#This Row],[_Space]],IFERROR(
((DaybyDay[[#This Row],[Actual-Rollup]]-DaybyDay[[#This Row],[LY-Rollup]])/DaybyDay[[#This Row],[LY-Rollup]]),0),"")</f>
        <v>0</v>
      </c>
      <c r="Z523"/>
      <c r="AA523" s="37" t="e">
        <f>IF(DaybyDay[[#This Row],[_Space]],DaybyDay[[#This Row],[Ret-Act-RU]]/DaybyDay[[#This Row],[Serv-Act-RU]],"")</f>
        <v>#DIV/0!</v>
      </c>
      <c r="AB523" s="50" t="e">
        <f>IF(DaybyDay[[#This Row],[_Space]],DaybyDay[[#This Row],[RETPEN-Act]]/DaybyDay[[#This Row],[RETPEN-Bud]],"")</f>
        <v>#DIV/0!</v>
      </c>
      <c r="AC523" s="37" t="e">
        <f>IF(DaybyDay[[#This Row],[_Space]],DaybyDay[[#This Row],[Ret-Bud-RU]]/DaybyDay[[#This Row],[Serv-Bud-RU]],"")</f>
        <v>#DIV/0!</v>
      </c>
      <c r="AD523" s="37" t="e">
        <f>IF(DaybyDay[[#This Row],[_Space]],DaybyDay[[#This Row],[Ret-LY-RU]]/DaybyDay[[#This Row],[Serv-LY-RU]],"")</f>
        <v>#DIV/0!</v>
      </c>
      <c r="AE523" s="30">
        <f>WEEKDAY(DaybyDay[[#This Row],[LY-Date]])</f>
        <v>6</v>
      </c>
      <c r="AF523" s="38">
        <f>$E$2+_xlfn.DAYS(DaybyDay[[#This Row],[Date]],minDate)</f>
        <v>42888</v>
      </c>
      <c r="AG523" s="39" cm="1">
        <f t="array" ref="AG523">IFERROR(INDEX(DaybyDay[],DaybyDay[[#This Row],[FORM_MATCH_HELPER]],8),"")</f>
        <v>25</v>
      </c>
      <c r="AH523" s="39" cm="1">
        <f t="array" ref="AH523">IFERROR(INDEX(DaybyDay[],DaybyDay[[#This Row],[FORM_MATCH_HELPER]],10),"")</f>
        <v>3758.5</v>
      </c>
      <c r="AI523" s="39" cm="1">
        <f t="array" ref="AI523">IFERROR(INDEX(DaybyDay[],DaybyDay[[#This Row],[FORM_MATCH_HELPER]],12),"")</f>
        <v>134</v>
      </c>
      <c r="AJ523" s="32">
        <f>IFERROR(DaybyDay[[#This Row],[Serv-LY-RU]]+DaybyDay[[#This Row],[Ret-LY-RU]],"")</f>
        <v>0</v>
      </c>
      <c r="AK5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3" s="77"/>
      <c r="AM523" s="40" t="str">
        <f>IF(DaybyDay[[#This Row],[Admin Hours]]&gt;0,DaybyDay[[#This Row],[Admin Hours]]*$AM$2+$AM$3,"")</f>
        <v/>
      </c>
      <c r="AN523" s="40">
        <f>SUMIFS(DaybyDay[Est-Admin-Payroll],DaybyDay[Date],"&gt;="&amp;$C$5,DaybyDay[RowYear],"&gt;="&amp;$C$4,DaybyDay[Date],"&lt;="&amp;DaybyDay[[#This Row],[Date]])</f>
        <v>0</v>
      </c>
      <c r="AO523" s="41" t="str">
        <f>IF(AND(DaybyDay[[#This Row],[_Space]],ISNUMBER(DaybyDay[[#This Row],[Admin Hours]])),DaybyDay[[#This Row],[Est-Admin-Payroll]]/(DaybyDay[[#This Row],[Service-Actuals]]+DaybyDay[[#This Row],[Retail-Actuals]]),"")</f>
        <v/>
      </c>
      <c r="AP523" s="41" t="e">
        <f>DaybyDay[[#This Row],[Estimated-Payroll-Rollup]]/DaybyDay[[#This Row],[Simple-Forecast]]</f>
        <v>#DIV/0!</v>
      </c>
      <c r="AQ5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3" s="77"/>
      <c r="AS523" s="40" t="str">
        <f>IF(DaybyDay[[#This Row],[Retail Hours]]&gt;0,DaybyDay[[#This Row],[Retail Hours]]*$AS$2,"")</f>
        <v/>
      </c>
      <c r="AT523" s="40">
        <f>SUMIFS(DaybyDay[Est-Retail-Payroll],DaybyDay[Date],"&gt;="&amp;$C$5,DaybyDay[RowYear],"&gt;="&amp;$C$4,DaybyDay[Date],"&lt;="&amp;DaybyDay[[#This Row],[Date]])</f>
        <v>0</v>
      </c>
      <c r="AU523" s="82" t="str">
        <f>IF(AND(DaybyDay[[#This Row],[_Space]],ISNUMBER(DaybyDay[[#This Row],[Retail Hours]])),DaybyDay[[#This Row],[Est-Retail-Payroll]]/(DaybyDay[[#This Row],[Retail-Actuals]]),"")</f>
        <v/>
      </c>
      <c r="AV523" s="82" t="e">
        <f>DaybyDay[[#This Row],[Est-Retail-PayrollRU]]/DaybyDay[[#This Row],[Simple-Forecast-Retail]]</f>
        <v>#DIV/0!</v>
      </c>
      <c r="AW523" s="8"/>
    </row>
    <row r="524" spans="3:49" hidden="1" x14ac:dyDescent="0.25">
      <c r="C524" s="26" t="str">
        <f>Tools!$C$1</f>
        <v>Example</v>
      </c>
      <c r="D524" s="27" t="s">
        <v>72</v>
      </c>
      <c r="E524" s="28">
        <v>2018</v>
      </c>
      <c r="F524" s="28">
        <f>MATCH(DaybyDay[[#This Row],[RowMonth]],Table3[SummaryMonth],0)</f>
        <v>5</v>
      </c>
      <c r="G524" s="29">
        <f>MATCH(DaybyDay[[#This Row],[LY-Date]],DaybyDay[Date],0)</f>
        <v>154</v>
      </c>
      <c r="H524" s="30">
        <f>WEEKDAY(DaybyDay[[#This Row],[Date]])</f>
        <v>7</v>
      </c>
      <c r="I524" s="31">
        <v>43253</v>
      </c>
      <c r="J524" s="74">
        <v>29</v>
      </c>
      <c r="K524" s="32">
        <f>SUMIFS(BudgetSeasonality[365 Seasonality],BudgetSeasonality[MonthAdjustment],DaybyDay[[#This Row],[Date]])*SUMIFS(Budgets[Service-Budget],Budgets[BudgetMonth],DaybyDay[[#This Row],[RowMonth]],Budgets[BudgetYear],DaybyDay[[#This Row],[RowYear]])</f>
        <v>8400.4811285846772</v>
      </c>
      <c r="L524" s="75">
        <v>8561.19</v>
      </c>
      <c r="M524" s="32">
        <f>INDEX(BudgetSeasonality[365 Seasonality],MATCH(DaybyDay[[#This Row],[Date]],BudgetSeasonality[MonthAdjustment],0))*SUMIFS(Budgets[Retail-Budget],Budgets[BudgetMonth],DaybyDay[[#This Row],[RowMonth]],Budgets[BudgetYear],DaybyDay[[#This Row],[RowYear]])</f>
        <v>2523.3344608990265</v>
      </c>
      <c r="N524" s="75">
        <v>993.5</v>
      </c>
      <c r="O524" s="33">
        <f>SUMIFS(DaybyDay[Service-Budgets],DaybyDay[Date],"&gt;="&amp;$C$5,DaybyDay[RowYear],"&gt;="&amp;$C$4,DaybyDay[Date],"&lt;="&amp;DaybyDay[[#This Row],[Date]])</f>
        <v>0</v>
      </c>
      <c r="P524" s="33">
        <f>SUMIFS(DaybyDay[Retail-Budgets],DaybyDay[Date],"&gt;="&amp;$C$5,DaybyDay[RowYear],"&gt;="&amp;$C$4,DaybyDay[Date],"&lt;="&amp;DaybyDay[[#This Row],[Date]])</f>
        <v>0</v>
      </c>
      <c r="Q524" s="34">
        <f>SUMIFS(DaybyDay[Service-Actuals],DaybyDay[Date],"&gt;="&amp;$C$5,DaybyDay[RowYear],"&gt;="&amp;$C$4,DaybyDay[Date],"&lt;="&amp;DaybyDay[[#This Row],[Date]])</f>
        <v>0</v>
      </c>
      <c r="R524" s="34">
        <f>SUMIFS(DaybyDay[Retail-Actuals],DaybyDay[Date],"&gt;="&amp;$C$5,DaybyDay[RowYear],"&gt;="&amp;$C$4,DaybyDay[Date],"&lt;="&amp;DaybyDay[[#This Row],[Date]])</f>
        <v>0</v>
      </c>
      <c r="S524" s="35">
        <f>SUMIFS(DaybyDay[Service-LY],DaybyDay[Date],"&gt;="&amp;$C$5,DaybyDay[RowYear],"&gt;="&amp;$C$4,DaybyDay[Date],"&lt;="&amp;DaybyDay[[#This Row],[Date]])</f>
        <v>0</v>
      </c>
      <c r="T524" s="35">
        <f>SUMIFS(DaybyDay[Retail-LY],DaybyDay[Date],"&gt;="&amp;$C$5,DaybyDay[RowYear],"&gt;="&amp;$C$4,DaybyDay[Date],"&lt;="&amp;DaybyDay[[#This Row],[Date]])</f>
        <v>0</v>
      </c>
      <c r="U524" s="32">
        <f>DaybyDay[[#This Row],[Serv-Bud-RU]]+DaybyDay[[#This Row],[Ret-Bud-RU]]</f>
        <v>0</v>
      </c>
      <c r="V524" s="32">
        <f>DaybyDay[[#This Row],[Serv-Act-RU]]+DaybyDay[[#This Row],[Ret-Act-RU]]</f>
        <v>0</v>
      </c>
      <c r="W524" s="36">
        <f>IF(DaybyDay[[#This Row],[_Space]],IFERROR(
((DaybyDay[[#This Row],[Actual-Rollup]]-DaybyDay[[#This Row],[Budget-Rollup]])/DaybyDay[[#This Row],[Budget-Rollup]]),0),"")</f>
        <v>0</v>
      </c>
      <c r="X524" t="b">
        <f>NOT(AND(ISBLANK(DaybyDay[[#This Row],[Appts]]),ISBLANK(DaybyDay[[#This Row],[Service-Actuals]]),ISBLANK(DaybyDay[[#This Row],[Retail-Actuals]])))</f>
        <v>1</v>
      </c>
      <c r="Y524" s="36">
        <f>IF(DaybyDay[[#This Row],[_Space]],IFERROR(
((DaybyDay[[#This Row],[Actual-Rollup]]-DaybyDay[[#This Row],[LY-Rollup]])/DaybyDay[[#This Row],[LY-Rollup]]),0),"")</f>
        <v>0</v>
      </c>
      <c r="Z524"/>
      <c r="AA524" s="37" t="e">
        <f>IF(DaybyDay[[#This Row],[_Space]],DaybyDay[[#This Row],[Ret-Act-RU]]/DaybyDay[[#This Row],[Serv-Act-RU]],"")</f>
        <v>#DIV/0!</v>
      </c>
      <c r="AB524" s="50" t="e">
        <f>IF(DaybyDay[[#This Row],[_Space]],DaybyDay[[#This Row],[RETPEN-Act]]/DaybyDay[[#This Row],[RETPEN-Bud]],"")</f>
        <v>#DIV/0!</v>
      </c>
      <c r="AC524" s="37" t="e">
        <f>IF(DaybyDay[[#This Row],[_Space]],DaybyDay[[#This Row],[Ret-Bud-RU]]/DaybyDay[[#This Row],[Serv-Bud-RU]],"")</f>
        <v>#DIV/0!</v>
      </c>
      <c r="AD524" s="37" t="e">
        <f>IF(DaybyDay[[#This Row],[_Space]],DaybyDay[[#This Row],[Ret-LY-RU]]/DaybyDay[[#This Row],[Serv-LY-RU]],"")</f>
        <v>#DIV/0!</v>
      </c>
      <c r="AE524" s="30">
        <f>WEEKDAY(DaybyDay[[#This Row],[LY-Date]])</f>
        <v>7</v>
      </c>
      <c r="AF524" s="38">
        <f>$E$2+_xlfn.DAYS(DaybyDay[[#This Row],[Date]],minDate)</f>
        <v>42889</v>
      </c>
      <c r="AG524" s="39" cm="1">
        <f t="array" ref="AG524">IFERROR(INDEX(DaybyDay[],DaybyDay[[#This Row],[FORM_MATCH_HELPER]],8),"")</f>
        <v>34</v>
      </c>
      <c r="AH524" s="39" cm="1">
        <f t="array" ref="AH524">IFERROR(INDEX(DaybyDay[],DaybyDay[[#This Row],[FORM_MATCH_HELPER]],10),"")</f>
        <v>7842.2</v>
      </c>
      <c r="AI524" s="39" cm="1">
        <f t="array" ref="AI524">IFERROR(INDEX(DaybyDay[],DaybyDay[[#This Row],[FORM_MATCH_HELPER]],12),"")</f>
        <v>273.5</v>
      </c>
      <c r="AJ524" s="32">
        <f>IFERROR(DaybyDay[[#This Row],[Serv-LY-RU]]+DaybyDay[[#This Row],[Ret-LY-RU]],"")</f>
        <v>0</v>
      </c>
      <c r="AK5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4" s="77"/>
      <c r="AM524" s="40" t="str">
        <f>IF(DaybyDay[[#This Row],[Admin Hours]]&gt;0,DaybyDay[[#This Row],[Admin Hours]]*$AM$2+$AM$3,"")</f>
        <v/>
      </c>
      <c r="AN524" s="40">
        <f>SUMIFS(DaybyDay[Est-Admin-Payroll],DaybyDay[Date],"&gt;="&amp;$C$5,DaybyDay[RowYear],"&gt;="&amp;$C$4,DaybyDay[Date],"&lt;="&amp;DaybyDay[[#This Row],[Date]])</f>
        <v>0</v>
      </c>
      <c r="AO524" s="41" t="str">
        <f>IF(AND(DaybyDay[[#This Row],[_Space]],ISNUMBER(DaybyDay[[#This Row],[Admin Hours]])),DaybyDay[[#This Row],[Est-Admin-Payroll]]/(DaybyDay[[#This Row],[Service-Actuals]]+DaybyDay[[#This Row],[Retail-Actuals]]),"")</f>
        <v/>
      </c>
      <c r="AP524" s="41" t="e">
        <f>DaybyDay[[#This Row],[Estimated-Payroll-Rollup]]/DaybyDay[[#This Row],[Simple-Forecast]]</f>
        <v>#DIV/0!</v>
      </c>
      <c r="AQ5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4" s="77"/>
      <c r="AS524" s="40" t="str">
        <f>IF(DaybyDay[[#This Row],[Retail Hours]]&gt;0,DaybyDay[[#This Row],[Retail Hours]]*$AS$2,"")</f>
        <v/>
      </c>
      <c r="AT524" s="40">
        <f>SUMIFS(DaybyDay[Est-Retail-Payroll],DaybyDay[Date],"&gt;="&amp;$C$5,DaybyDay[RowYear],"&gt;="&amp;$C$4,DaybyDay[Date],"&lt;="&amp;DaybyDay[[#This Row],[Date]])</f>
        <v>0</v>
      </c>
      <c r="AU524" s="82" t="str">
        <f>IF(AND(DaybyDay[[#This Row],[_Space]],ISNUMBER(DaybyDay[[#This Row],[Retail Hours]])),DaybyDay[[#This Row],[Est-Retail-Payroll]]/(DaybyDay[[#This Row],[Retail-Actuals]]),"")</f>
        <v/>
      </c>
      <c r="AV524" s="82" t="e">
        <f>DaybyDay[[#This Row],[Est-Retail-PayrollRU]]/DaybyDay[[#This Row],[Simple-Forecast-Retail]]</f>
        <v>#DIV/0!</v>
      </c>
      <c r="AW524" s="8"/>
    </row>
    <row r="525" spans="3:49" hidden="1" x14ac:dyDescent="0.25">
      <c r="C525" s="26" t="str">
        <f>Tools!$C$1</f>
        <v>Example</v>
      </c>
      <c r="D525" s="27" t="s">
        <v>73</v>
      </c>
      <c r="E525" s="28">
        <v>2018</v>
      </c>
      <c r="F525" s="28">
        <f>MATCH(DaybyDay[[#This Row],[RowMonth]],Table3[SummaryMonth],0)</f>
        <v>6</v>
      </c>
      <c r="G525" s="29">
        <f>MATCH(DaybyDay[[#This Row],[LY-Date]],DaybyDay[Date],0)</f>
        <v>155</v>
      </c>
      <c r="H525" s="30">
        <f>WEEKDAY(DaybyDay[[#This Row],[Date]])</f>
        <v>1</v>
      </c>
      <c r="I525" s="31">
        <v>43254</v>
      </c>
      <c r="J525" s="74">
        <v>31</v>
      </c>
      <c r="K525" s="32">
        <f>SUMIFS(BudgetSeasonality[365 Seasonality],BudgetSeasonality[MonthAdjustment],DaybyDay[[#This Row],[Date]])*SUMIFS(Budgets[Service-Budget],Budgets[BudgetMonth],DaybyDay[[#This Row],[RowMonth]],Budgets[BudgetYear],DaybyDay[[#This Row],[RowYear]])</f>
        <v>6610.5269121108358</v>
      </c>
      <c r="L525" s="75">
        <v>5074.6000000000004</v>
      </c>
      <c r="M525" s="32">
        <f>INDEX(BudgetSeasonality[365 Seasonality],MATCH(DaybyDay[[#This Row],[Date]],BudgetSeasonality[MonthAdjustment],0))*SUMIFS(Budgets[Retail-Budget],Budgets[BudgetMonth],DaybyDay[[#This Row],[RowMonth]],Budgets[BudgetYear],DaybyDay[[#This Row],[RowYear]])</f>
        <v>1984.9332466408323</v>
      </c>
      <c r="N525" s="75">
        <v>526.5</v>
      </c>
      <c r="O525" s="33">
        <f>SUMIFS(DaybyDay[Service-Budgets],DaybyDay[Date],"&gt;="&amp;$C$5,DaybyDay[RowYear],"&gt;="&amp;$C$4,DaybyDay[Date],"&lt;="&amp;DaybyDay[[#This Row],[Date]])</f>
        <v>0</v>
      </c>
      <c r="P525" s="33">
        <f>SUMIFS(DaybyDay[Retail-Budgets],DaybyDay[Date],"&gt;="&amp;$C$5,DaybyDay[RowYear],"&gt;="&amp;$C$4,DaybyDay[Date],"&lt;="&amp;DaybyDay[[#This Row],[Date]])</f>
        <v>0</v>
      </c>
      <c r="Q525" s="34">
        <f>SUMIFS(DaybyDay[Service-Actuals],DaybyDay[Date],"&gt;="&amp;$C$5,DaybyDay[RowYear],"&gt;="&amp;$C$4,DaybyDay[Date],"&lt;="&amp;DaybyDay[[#This Row],[Date]])</f>
        <v>0</v>
      </c>
      <c r="R525" s="34">
        <f>SUMIFS(DaybyDay[Retail-Actuals],DaybyDay[Date],"&gt;="&amp;$C$5,DaybyDay[RowYear],"&gt;="&amp;$C$4,DaybyDay[Date],"&lt;="&amp;DaybyDay[[#This Row],[Date]])</f>
        <v>0</v>
      </c>
      <c r="S525" s="35">
        <f>SUMIFS(DaybyDay[Service-LY],DaybyDay[Date],"&gt;="&amp;$C$5,DaybyDay[RowYear],"&gt;="&amp;$C$4,DaybyDay[Date],"&lt;="&amp;DaybyDay[[#This Row],[Date]])</f>
        <v>0</v>
      </c>
      <c r="T525" s="35">
        <f>SUMIFS(DaybyDay[Retail-LY],DaybyDay[Date],"&gt;="&amp;$C$5,DaybyDay[RowYear],"&gt;="&amp;$C$4,DaybyDay[Date],"&lt;="&amp;DaybyDay[[#This Row],[Date]])</f>
        <v>0</v>
      </c>
      <c r="U525" s="32">
        <f>DaybyDay[[#This Row],[Serv-Bud-RU]]+DaybyDay[[#This Row],[Ret-Bud-RU]]</f>
        <v>0</v>
      </c>
      <c r="V525" s="32">
        <f>DaybyDay[[#This Row],[Serv-Act-RU]]+DaybyDay[[#This Row],[Ret-Act-RU]]</f>
        <v>0</v>
      </c>
      <c r="W525" s="36">
        <f>IF(DaybyDay[[#This Row],[_Space]],IFERROR(
((DaybyDay[[#This Row],[Actual-Rollup]]-DaybyDay[[#This Row],[Budget-Rollup]])/DaybyDay[[#This Row],[Budget-Rollup]]),0),"")</f>
        <v>0</v>
      </c>
      <c r="X525" t="b">
        <f>NOT(AND(ISBLANK(DaybyDay[[#This Row],[Appts]]),ISBLANK(DaybyDay[[#This Row],[Service-Actuals]]),ISBLANK(DaybyDay[[#This Row],[Retail-Actuals]])))</f>
        <v>1</v>
      </c>
      <c r="Y525" s="36">
        <f>IF(DaybyDay[[#This Row],[_Space]],IFERROR(
((DaybyDay[[#This Row],[Actual-Rollup]]-DaybyDay[[#This Row],[LY-Rollup]])/DaybyDay[[#This Row],[LY-Rollup]]),0),"")</f>
        <v>0</v>
      </c>
      <c r="Z525"/>
      <c r="AA525" s="37" t="e">
        <f>IF(DaybyDay[[#This Row],[_Space]],DaybyDay[[#This Row],[Ret-Act-RU]]/DaybyDay[[#This Row],[Serv-Act-RU]],"")</f>
        <v>#DIV/0!</v>
      </c>
      <c r="AB525" s="50" t="e">
        <f>IF(DaybyDay[[#This Row],[_Space]],DaybyDay[[#This Row],[RETPEN-Act]]/DaybyDay[[#This Row],[RETPEN-Bud]],"")</f>
        <v>#DIV/0!</v>
      </c>
      <c r="AC525" s="37" t="e">
        <f>IF(DaybyDay[[#This Row],[_Space]],DaybyDay[[#This Row],[Ret-Bud-RU]]/DaybyDay[[#This Row],[Serv-Bud-RU]],"")</f>
        <v>#DIV/0!</v>
      </c>
      <c r="AD525" s="37" t="e">
        <f>IF(DaybyDay[[#This Row],[_Space]],DaybyDay[[#This Row],[Ret-LY-RU]]/DaybyDay[[#This Row],[Serv-LY-RU]],"")</f>
        <v>#DIV/0!</v>
      </c>
      <c r="AE525" s="30">
        <f>WEEKDAY(DaybyDay[[#This Row],[LY-Date]])</f>
        <v>1</v>
      </c>
      <c r="AF525" s="38">
        <f>$E$2+_xlfn.DAYS(DaybyDay[[#This Row],[Date]],minDate)</f>
        <v>42890</v>
      </c>
      <c r="AG525" s="39" cm="1">
        <f t="array" ref="AG525">IFERROR(INDEX(DaybyDay[],DaybyDay[[#This Row],[FORM_MATCH_HELPER]],8),"")</f>
        <v>46</v>
      </c>
      <c r="AH525" s="39" cm="1">
        <f t="array" ref="AH525">IFERROR(INDEX(DaybyDay[],DaybyDay[[#This Row],[FORM_MATCH_HELPER]],10),"")</f>
        <v>7374.9</v>
      </c>
      <c r="AI525" s="39" cm="1">
        <f t="array" ref="AI525">IFERROR(INDEX(DaybyDay[],DaybyDay[[#This Row],[FORM_MATCH_HELPER]],12),"")</f>
        <v>523</v>
      </c>
      <c r="AJ525" s="32">
        <f>IFERROR(DaybyDay[[#This Row],[Serv-LY-RU]]+DaybyDay[[#This Row],[Ret-LY-RU]],"")</f>
        <v>0</v>
      </c>
      <c r="AK5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5" s="77"/>
      <c r="AM525" s="40" t="str">
        <f>IF(DaybyDay[[#This Row],[Admin Hours]]&gt;0,DaybyDay[[#This Row],[Admin Hours]]*$AM$2+$AM$3,"")</f>
        <v/>
      </c>
      <c r="AN525" s="40">
        <f>SUMIFS(DaybyDay[Est-Admin-Payroll],DaybyDay[Date],"&gt;="&amp;$C$5,DaybyDay[RowYear],"&gt;="&amp;$C$4,DaybyDay[Date],"&lt;="&amp;DaybyDay[[#This Row],[Date]])</f>
        <v>0</v>
      </c>
      <c r="AO525" s="41" t="str">
        <f>IF(AND(DaybyDay[[#This Row],[_Space]],ISNUMBER(DaybyDay[[#This Row],[Admin Hours]])),DaybyDay[[#This Row],[Est-Admin-Payroll]]/(DaybyDay[[#This Row],[Service-Actuals]]+DaybyDay[[#This Row],[Retail-Actuals]]),"")</f>
        <v/>
      </c>
      <c r="AP525" s="41" t="e">
        <f>DaybyDay[[#This Row],[Estimated-Payroll-Rollup]]/DaybyDay[[#This Row],[Simple-Forecast]]</f>
        <v>#DIV/0!</v>
      </c>
      <c r="AQ5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5" s="77"/>
      <c r="AS525" s="40" t="str">
        <f>IF(DaybyDay[[#This Row],[Retail Hours]]&gt;0,DaybyDay[[#This Row],[Retail Hours]]*$AS$2,"")</f>
        <v/>
      </c>
      <c r="AT525" s="40">
        <f>SUMIFS(DaybyDay[Est-Retail-Payroll],DaybyDay[Date],"&gt;="&amp;$C$5,DaybyDay[RowYear],"&gt;="&amp;$C$4,DaybyDay[Date],"&lt;="&amp;DaybyDay[[#This Row],[Date]])</f>
        <v>0</v>
      </c>
      <c r="AU525" s="82" t="str">
        <f>IF(AND(DaybyDay[[#This Row],[_Space]],ISNUMBER(DaybyDay[[#This Row],[Retail Hours]])),DaybyDay[[#This Row],[Est-Retail-Payroll]]/(DaybyDay[[#This Row],[Retail-Actuals]]),"")</f>
        <v/>
      </c>
      <c r="AV525" s="82" t="e">
        <f>DaybyDay[[#This Row],[Est-Retail-PayrollRU]]/DaybyDay[[#This Row],[Simple-Forecast-Retail]]</f>
        <v>#DIV/0!</v>
      </c>
      <c r="AW525" s="8"/>
    </row>
    <row r="526" spans="3:49" hidden="1" x14ac:dyDescent="0.25">
      <c r="C526" s="26" t="str">
        <f>Tools!$C$1</f>
        <v>Example</v>
      </c>
      <c r="D526" s="27" t="s">
        <v>73</v>
      </c>
      <c r="E526" s="28">
        <v>2018</v>
      </c>
      <c r="F526" s="28">
        <f>MATCH(DaybyDay[[#This Row],[RowMonth]],Table3[SummaryMonth],0)</f>
        <v>6</v>
      </c>
      <c r="G526" s="29">
        <f>MATCH(DaybyDay[[#This Row],[LY-Date]],DaybyDay[Date],0)</f>
        <v>156</v>
      </c>
      <c r="H526" s="30">
        <f>WEEKDAY(DaybyDay[[#This Row],[Date]])</f>
        <v>2</v>
      </c>
      <c r="I526" s="31">
        <v>43255</v>
      </c>
      <c r="J526" s="74">
        <v>13</v>
      </c>
      <c r="K526" s="32">
        <f>SUMIFS(BudgetSeasonality[365 Seasonality],BudgetSeasonality[MonthAdjustment],DaybyDay[[#This Row],[Date]])*SUMIFS(Budgets[Service-Budget],Budgets[BudgetMonth],DaybyDay[[#This Row],[RowMonth]],Budgets[BudgetYear],DaybyDay[[#This Row],[RowYear]])</f>
        <v>3804.3795119491256</v>
      </c>
      <c r="L526" s="75">
        <v>2199.9299999999998</v>
      </c>
      <c r="M526" s="32">
        <f>INDEX(BudgetSeasonality[365 Seasonality],MATCH(DaybyDay[[#This Row],[Date]],BudgetSeasonality[MonthAdjustment],0))*SUMIFS(Budgets[Retail-Budget],Budgets[BudgetMonth],DaybyDay[[#This Row],[RowMonth]],Budgets[BudgetYear],DaybyDay[[#This Row],[RowYear]])</f>
        <v>1142.3354713634712</v>
      </c>
      <c r="N526" s="75">
        <v>176</v>
      </c>
      <c r="O526" s="33">
        <f>SUMIFS(DaybyDay[Service-Budgets],DaybyDay[Date],"&gt;="&amp;$C$5,DaybyDay[RowYear],"&gt;="&amp;$C$4,DaybyDay[Date],"&lt;="&amp;DaybyDay[[#This Row],[Date]])</f>
        <v>0</v>
      </c>
      <c r="P526" s="33">
        <f>SUMIFS(DaybyDay[Retail-Budgets],DaybyDay[Date],"&gt;="&amp;$C$5,DaybyDay[RowYear],"&gt;="&amp;$C$4,DaybyDay[Date],"&lt;="&amp;DaybyDay[[#This Row],[Date]])</f>
        <v>0</v>
      </c>
      <c r="Q526" s="34">
        <f>SUMIFS(DaybyDay[Service-Actuals],DaybyDay[Date],"&gt;="&amp;$C$5,DaybyDay[RowYear],"&gt;="&amp;$C$4,DaybyDay[Date],"&lt;="&amp;DaybyDay[[#This Row],[Date]])</f>
        <v>0</v>
      </c>
      <c r="R526" s="34">
        <f>SUMIFS(DaybyDay[Retail-Actuals],DaybyDay[Date],"&gt;="&amp;$C$5,DaybyDay[RowYear],"&gt;="&amp;$C$4,DaybyDay[Date],"&lt;="&amp;DaybyDay[[#This Row],[Date]])</f>
        <v>0</v>
      </c>
      <c r="S526" s="35">
        <f>SUMIFS(DaybyDay[Service-LY],DaybyDay[Date],"&gt;="&amp;$C$5,DaybyDay[RowYear],"&gt;="&amp;$C$4,DaybyDay[Date],"&lt;="&amp;DaybyDay[[#This Row],[Date]])</f>
        <v>0</v>
      </c>
      <c r="T526" s="35">
        <f>SUMIFS(DaybyDay[Retail-LY],DaybyDay[Date],"&gt;="&amp;$C$5,DaybyDay[RowYear],"&gt;="&amp;$C$4,DaybyDay[Date],"&lt;="&amp;DaybyDay[[#This Row],[Date]])</f>
        <v>0</v>
      </c>
      <c r="U526" s="32">
        <f>DaybyDay[[#This Row],[Serv-Bud-RU]]+DaybyDay[[#This Row],[Ret-Bud-RU]]</f>
        <v>0</v>
      </c>
      <c r="V526" s="32">
        <f>DaybyDay[[#This Row],[Serv-Act-RU]]+DaybyDay[[#This Row],[Ret-Act-RU]]</f>
        <v>0</v>
      </c>
      <c r="W526" s="36">
        <f>IF(DaybyDay[[#This Row],[_Space]],IFERROR(
((DaybyDay[[#This Row],[Actual-Rollup]]-DaybyDay[[#This Row],[Budget-Rollup]])/DaybyDay[[#This Row],[Budget-Rollup]]),0),"")</f>
        <v>0</v>
      </c>
      <c r="X526" t="b">
        <f>NOT(AND(ISBLANK(DaybyDay[[#This Row],[Appts]]),ISBLANK(DaybyDay[[#This Row],[Service-Actuals]]),ISBLANK(DaybyDay[[#This Row],[Retail-Actuals]])))</f>
        <v>1</v>
      </c>
      <c r="Y526" s="36">
        <f>IF(DaybyDay[[#This Row],[_Space]],IFERROR(
((DaybyDay[[#This Row],[Actual-Rollup]]-DaybyDay[[#This Row],[LY-Rollup]])/DaybyDay[[#This Row],[LY-Rollup]]),0),"")</f>
        <v>0</v>
      </c>
      <c r="Z526"/>
      <c r="AA526" s="37" t="e">
        <f>IF(DaybyDay[[#This Row],[_Space]],DaybyDay[[#This Row],[Ret-Act-RU]]/DaybyDay[[#This Row],[Serv-Act-RU]],"")</f>
        <v>#DIV/0!</v>
      </c>
      <c r="AB526" s="50" t="e">
        <f>IF(DaybyDay[[#This Row],[_Space]],DaybyDay[[#This Row],[RETPEN-Act]]/DaybyDay[[#This Row],[RETPEN-Bud]],"")</f>
        <v>#DIV/0!</v>
      </c>
      <c r="AC526" s="37" t="e">
        <f>IF(DaybyDay[[#This Row],[_Space]],DaybyDay[[#This Row],[Ret-Bud-RU]]/DaybyDay[[#This Row],[Serv-Bud-RU]],"")</f>
        <v>#DIV/0!</v>
      </c>
      <c r="AD526" s="37" t="e">
        <f>IF(DaybyDay[[#This Row],[_Space]],DaybyDay[[#This Row],[Ret-LY-RU]]/DaybyDay[[#This Row],[Serv-LY-RU]],"")</f>
        <v>#DIV/0!</v>
      </c>
      <c r="AE526" s="30">
        <f>WEEKDAY(DaybyDay[[#This Row],[LY-Date]])</f>
        <v>2</v>
      </c>
      <c r="AF526" s="38">
        <f>$E$2+_xlfn.DAYS(DaybyDay[[#This Row],[Date]],minDate)</f>
        <v>42891</v>
      </c>
      <c r="AG526" s="39" cm="1">
        <f t="array" ref="AG526">IFERROR(INDEX(DaybyDay[],DaybyDay[[#This Row],[FORM_MATCH_HELPER]],8),"")</f>
        <v>22</v>
      </c>
      <c r="AH526" s="39" cm="1">
        <f t="array" ref="AH526">IFERROR(INDEX(DaybyDay[],DaybyDay[[#This Row],[FORM_MATCH_HELPER]],10),"")</f>
        <v>3346.41</v>
      </c>
      <c r="AI526" s="39" cm="1">
        <f t="array" ref="AI526">IFERROR(INDEX(DaybyDay[],DaybyDay[[#This Row],[FORM_MATCH_HELPER]],12),"")</f>
        <v>766</v>
      </c>
      <c r="AJ526" s="32">
        <f>IFERROR(DaybyDay[[#This Row],[Serv-LY-RU]]+DaybyDay[[#This Row],[Ret-LY-RU]],"")</f>
        <v>0</v>
      </c>
      <c r="AK5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6" s="77"/>
      <c r="AM526" s="40" t="str">
        <f>IF(DaybyDay[[#This Row],[Admin Hours]]&gt;0,DaybyDay[[#This Row],[Admin Hours]]*$AM$2+$AM$3,"")</f>
        <v/>
      </c>
      <c r="AN526" s="40">
        <f>SUMIFS(DaybyDay[Est-Admin-Payroll],DaybyDay[Date],"&gt;="&amp;$C$5,DaybyDay[RowYear],"&gt;="&amp;$C$4,DaybyDay[Date],"&lt;="&amp;DaybyDay[[#This Row],[Date]])</f>
        <v>0</v>
      </c>
      <c r="AO526" s="41" t="str">
        <f>IF(AND(DaybyDay[[#This Row],[_Space]],ISNUMBER(DaybyDay[[#This Row],[Admin Hours]])),DaybyDay[[#This Row],[Est-Admin-Payroll]]/(DaybyDay[[#This Row],[Service-Actuals]]+DaybyDay[[#This Row],[Retail-Actuals]]),"")</f>
        <v/>
      </c>
      <c r="AP526" s="41" t="e">
        <f>DaybyDay[[#This Row],[Estimated-Payroll-Rollup]]/DaybyDay[[#This Row],[Simple-Forecast]]</f>
        <v>#DIV/0!</v>
      </c>
      <c r="AQ5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6" s="77"/>
      <c r="AS526" s="40" t="str">
        <f>IF(DaybyDay[[#This Row],[Retail Hours]]&gt;0,DaybyDay[[#This Row],[Retail Hours]]*$AS$2,"")</f>
        <v/>
      </c>
      <c r="AT526" s="40">
        <f>SUMIFS(DaybyDay[Est-Retail-Payroll],DaybyDay[Date],"&gt;="&amp;$C$5,DaybyDay[RowYear],"&gt;="&amp;$C$4,DaybyDay[Date],"&lt;="&amp;DaybyDay[[#This Row],[Date]])</f>
        <v>0</v>
      </c>
      <c r="AU526" s="82" t="str">
        <f>IF(AND(DaybyDay[[#This Row],[_Space]],ISNUMBER(DaybyDay[[#This Row],[Retail Hours]])),DaybyDay[[#This Row],[Est-Retail-Payroll]]/(DaybyDay[[#This Row],[Retail-Actuals]]),"")</f>
        <v/>
      </c>
      <c r="AV526" s="82" t="e">
        <f>DaybyDay[[#This Row],[Est-Retail-PayrollRU]]/DaybyDay[[#This Row],[Simple-Forecast-Retail]]</f>
        <v>#DIV/0!</v>
      </c>
      <c r="AW526" s="8"/>
    </row>
    <row r="527" spans="3:49" hidden="1" x14ac:dyDescent="0.25">
      <c r="C527" s="26" t="str">
        <f>Tools!$C$1</f>
        <v>Example</v>
      </c>
      <c r="D527" s="27" t="s">
        <v>73</v>
      </c>
      <c r="E527" s="28">
        <v>2018</v>
      </c>
      <c r="F527" s="28">
        <f>MATCH(DaybyDay[[#This Row],[RowMonth]],Table3[SummaryMonth],0)</f>
        <v>6</v>
      </c>
      <c r="G527" s="29">
        <f>MATCH(DaybyDay[[#This Row],[LY-Date]],DaybyDay[Date],0)</f>
        <v>157</v>
      </c>
      <c r="H527" s="30">
        <f>WEEKDAY(DaybyDay[[#This Row],[Date]])</f>
        <v>3</v>
      </c>
      <c r="I527" s="31">
        <v>43256</v>
      </c>
      <c r="J527" s="74">
        <v>15</v>
      </c>
      <c r="K527" s="32">
        <f>SUMIFS(BudgetSeasonality[365 Seasonality],BudgetSeasonality[MonthAdjustment],DaybyDay[[#This Row],[Date]])*SUMIFS(Budgets[Service-Budget],Budgets[BudgetMonth],DaybyDay[[#This Row],[RowMonth]],Budgets[BudgetYear],DaybyDay[[#This Row],[RowYear]])</f>
        <v>3968.0700364150116</v>
      </c>
      <c r="L527" s="75">
        <v>2480.4</v>
      </c>
      <c r="M527" s="32">
        <f>INDEX(BudgetSeasonality[365 Seasonality],MATCH(DaybyDay[[#This Row],[Date]],BudgetSeasonality[MonthAdjustment],0))*SUMIFS(Budgets[Retail-Budget],Budgets[BudgetMonth],DaybyDay[[#This Row],[RowMonth]],Budgets[BudgetYear],DaybyDay[[#This Row],[RowYear]])</f>
        <v>1191.4865857136981</v>
      </c>
      <c r="N527" s="75">
        <v>4121</v>
      </c>
      <c r="O527" s="33">
        <f>SUMIFS(DaybyDay[Service-Budgets],DaybyDay[Date],"&gt;="&amp;$C$5,DaybyDay[RowYear],"&gt;="&amp;$C$4,DaybyDay[Date],"&lt;="&amp;DaybyDay[[#This Row],[Date]])</f>
        <v>0</v>
      </c>
      <c r="P527" s="33">
        <f>SUMIFS(DaybyDay[Retail-Budgets],DaybyDay[Date],"&gt;="&amp;$C$5,DaybyDay[RowYear],"&gt;="&amp;$C$4,DaybyDay[Date],"&lt;="&amp;DaybyDay[[#This Row],[Date]])</f>
        <v>0</v>
      </c>
      <c r="Q527" s="34">
        <f>SUMIFS(DaybyDay[Service-Actuals],DaybyDay[Date],"&gt;="&amp;$C$5,DaybyDay[RowYear],"&gt;="&amp;$C$4,DaybyDay[Date],"&lt;="&amp;DaybyDay[[#This Row],[Date]])</f>
        <v>0</v>
      </c>
      <c r="R527" s="34">
        <f>SUMIFS(DaybyDay[Retail-Actuals],DaybyDay[Date],"&gt;="&amp;$C$5,DaybyDay[RowYear],"&gt;="&amp;$C$4,DaybyDay[Date],"&lt;="&amp;DaybyDay[[#This Row],[Date]])</f>
        <v>0</v>
      </c>
      <c r="S527" s="35">
        <f>SUMIFS(DaybyDay[Service-LY],DaybyDay[Date],"&gt;="&amp;$C$5,DaybyDay[RowYear],"&gt;="&amp;$C$4,DaybyDay[Date],"&lt;="&amp;DaybyDay[[#This Row],[Date]])</f>
        <v>0</v>
      </c>
      <c r="T527" s="35">
        <f>SUMIFS(DaybyDay[Retail-LY],DaybyDay[Date],"&gt;="&amp;$C$5,DaybyDay[RowYear],"&gt;="&amp;$C$4,DaybyDay[Date],"&lt;="&amp;DaybyDay[[#This Row],[Date]])</f>
        <v>0</v>
      </c>
      <c r="U527" s="32">
        <f>DaybyDay[[#This Row],[Serv-Bud-RU]]+DaybyDay[[#This Row],[Ret-Bud-RU]]</f>
        <v>0</v>
      </c>
      <c r="V527" s="32">
        <f>DaybyDay[[#This Row],[Serv-Act-RU]]+DaybyDay[[#This Row],[Ret-Act-RU]]</f>
        <v>0</v>
      </c>
      <c r="W527" s="36">
        <f>IF(DaybyDay[[#This Row],[_Space]],IFERROR(
((DaybyDay[[#This Row],[Actual-Rollup]]-DaybyDay[[#This Row],[Budget-Rollup]])/DaybyDay[[#This Row],[Budget-Rollup]]),0),"")</f>
        <v>0</v>
      </c>
      <c r="X527" t="b">
        <f>NOT(AND(ISBLANK(DaybyDay[[#This Row],[Appts]]),ISBLANK(DaybyDay[[#This Row],[Service-Actuals]]),ISBLANK(DaybyDay[[#This Row],[Retail-Actuals]])))</f>
        <v>1</v>
      </c>
      <c r="Y527" s="36">
        <f>IF(DaybyDay[[#This Row],[_Space]],IFERROR(
((DaybyDay[[#This Row],[Actual-Rollup]]-DaybyDay[[#This Row],[LY-Rollup]])/DaybyDay[[#This Row],[LY-Rollup]]),0),"")</f>
        <v>0</v>
      </c>
      <c r="Z527"/>
      <c r="AA527" s="37" t="e">
        <f>IF(DaybyDay[[#This Row],[_Space]],DaybyDay[[#This Row],[Ret-Act-RU]]/DaybyDay[[#This Row],[Serv-Act-RU]],"")</f>
        <v>#DIV/0!</v>
      </c>
      <c r="AB527" s="50" t="e">
        <f>IF(DaybyDay[[#This Row],[_Space]],DaybyDay[[#This Row],[RETPEN-Act]]/DaybyDay[[#This Row],[RETPEN-Bud]],"")</f>
        <v>#DIV/0!</v>
      </c>
      <c r="AC527" s="37" t="e">
        <f>IF(DaybyDay[[#This Row],[_Space]],DaybyDay[[#This Row],[Ret-Bud-RU]]/DaybyDay[[#This Row],[Serv-Bud-RU]],"")</f>
        <v>#DIV/0!</v>
      </c>
      <c r="AD527" s="37" t="e">
        <f>IF(DaybyDay[[#This Row],[_Space]],DaybyDay[[#This Row],[Ret-LY-RU]]/DaybyDay[[#This Row],[Serv-LY-RU]],"")</f>
        <v>#DIV/0!</v>
      </c>
      <c r="AE527" s="30">
        <f>WEEKDAY(DaybyDay[[#This Row],[LY-Date]])</f>
        <v>3</v>
      </c>
      <c r="AF527" s="38">
        <f>$E$2+_xlfn.DAYS(DaybyDay[[#This Row],[Date]],minDate)</f>
        <v>42892</v>
      </c>
      <c r="AG527" s="39" cm="1">
        <f t="array" ref="AG527">IFERROR(INDEX(DaybyDay[],DaybyDay[[#This Row],[FORM_MATCH_HELPER]],8),"")</f>
        <v>17</v>
      </c>
      <c r="AH527" s="39" cm="1">
        <f t="array" ref="AH527">IFERROR(INDEX(DaybyDay[],DaybyDay[[#This Row],[FORM_MATCH_HELPER]],10),"")</f>
        <v>1656.8</v>
      </c>
      <c r="AI527" s="39" cm="1">
        <f t="array" ref="AI527">IFERROR(INDEX(DaybyDay[],DaybyDay[[#This Row],[FORM_MATCH_HELPER]],12),"")</f>
        <v>3673.48</v>
      </c>
      <c r="AJ527" s="32">
        <f>IFERROR(DaybyDay[[#This Row],[Serv-LY-RU]]+DaybyDay[[#This Row],[Ret-LY-RU]],"")</f>
        <v>0</v>
      </c>
      <c r="AK5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7" s="77"/>
      <c r="AM527" s="40" t="str">
        <f>IF(DaybyDay[[#This Row],[Admin Hours]]&gt;0,DaybyDay[[#This Row],[Admin Hours]]*$AM$2+$AM$3,"")</f>
        <v/>
      </c>
      <c r="AN527" s="40">
        <f>SUMIFS(DaybyDay[Est-Admin-Payroll],DaybyDay[Date],"&gt;="&amp;$C$5,DaybyDay[RowYear],"&gt;="&amp;$C$4,DaybyDay[Date],"&lt;="&amp;DaybyDay[[#This Row],[Date]])</f>
        <v>0</v>
      </c>
      <c r="AO527" s="41" t="str">
        <f>IF(AND(DaybyDay[[#This Row],[_Space]],ISNUMBER(DaybyDay[[#This Row],[Admin Hours]])),DaybyDay[[#This Row],[Est-Admin-Payroll]]/(DaybyDay[[#This Row],[Service-Actuals]]+DaybyDay[[#This Row],[Retail-Actuals]]),"")</f>
        <v/>
      </c>
      <c r="AP527" s="41" t="e">
        <f>DaybyDay[[#This Row],[Estimated-Payroll-Rollup]]/DaybyDay[[#This Row],[Simple-Forecast]]</f>
        <v>#DIV/0!</v>
      </c>
      <c r="AQ5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7" s="77"/>
      <c r="AS527" s="40" t="str">
        <f>IF(DaybyDay[[#This Row],[Retail Hours]]&gt;0,DaybyDay[[#This Row],[Retail Hours]]*$AS$2,"")</f>
        <v/>
      </c>
      <c r="AT527" s="40">
        <f>SUMIFS(DaybyDay[Est-Retail-Payroll],DaybyDay[Date],"&gt;="&amp;$C$5,DaybyDay[RowYear],"&gt;="&amp;$C$4,DaybyDay[Date],"&lt;="&amp;DaybyDay[[#This Row],[Date]])</f>
        <v>0</v>
      </c>
      <c r="AU527" s="82" t="str">
        <f>IF(AND(DaybyDay[[#This Row],[_Space]],ISNUMBER(DaybyDay[[#This Row],[Retail Hours]])),DaybyDay[[#This Row],[Est-Retail-Payroll]]/(DaybyDay[[#This Row],[Retail-Actuals]]),"")</f>
        <v/>
      </c>
      <c r="AV527" s="82" t="e">
        <f>DaybyDay[[#This Row],[Est-Retail-PayrollRU]]/DaybyDay[[#This Row],[Simple-Forecast-Retail]]</f>
        <v>#DIV/0!</v>
      </c>
      <c r="AW527" s="8"/>
    </row>
    <row r="528" spans="3:49" hidden="1" x14ac:dyDescent="0.25">
      <c r="C528" s="26" t="str">
        <f>Tools!$C$1</f>
        <v>Example</v>
      </c>
      <c r="D528" s="27" t="s">
        <v>73</v>
      </c>
      <c r="E528" s="28">
        <v>2018</v>
      </c>
      <c r="F528" s="28">
        <f>MATCH(DaybyDay[[#This Row],[RowMonth]],Table3[SummaryMonth],0)</f>
        <v>6</v>
      </c>
      <c r="G528" s="29">
        <f>MATCH(DaybyDay[[#This Row],[LY-Date]],DaybyDay[Date],0)</f>
        <v>158</v>
      </c>
      <c r="H528" s="30">
        <f>WEEKDAY(DaybyDay[[#This Row],[Date]])</f>
        <v>4</v>
      </c>
      <c r="I528" s="31">
        <v>43257</v>
      </c>
      <c r="J528" s="74">
        <v>17</v>
      </c>
      <c r="K528" s="32">
        <f>SUMIFS(BudgetSeasonality[365 Seasonality],BudgetSeasonality[MonthAdjustment],DaybyDay[[#This Row],[Date]])*SUMIFS(Budgets[Service-Budget],Budgets[BudgetMonth],DaybyDay[[#This Row],[RowMonth]],Budgets[BudgetYear],DaybyDay[[#This Row],[RowYear]])</f>
        <v>4654.4866697496664</v>
      </c>
      <c r="L528" s="75">
        <v>3667.78</v>
      </c>
      <c r="M528" s="32">
        <f>INDEX(BudgetSeasonality[365 Seasonality],MATCH(DaybyDay[[#This Row],[Date]],BudgetSeasonality[MonthAdjustment],0))*SUMIFS(Budgets[Retail-Budget],Budgets[BudgetMonth],DaybyDay[[#This Row],[RowMonth]],Budgets[BudgetYear],DaybyDay[[#This Row],[RowYear]])</f>
        <v>1397.5959041792307</v>
      </c>
      <c r="N528" s="75">
        <v>449</v>
      </c>
      <c r="O528" s="33">
        <f>SUMIFS(DaybyDay[Service-Budgets],DaybyDay[Date],"&gt;="&amp;$C$5,DaybyDay[RowYear],"&gt;="&amp;$C$4,DaybyDay[Date],"&lt;="&amp;DaybyDay[[#This Row],[Date]])</f>
        <v>0</v>
      </c>
      <c r="P528" s="33">
        <f>SUMIFS(DaybyDay[Retail-Budgets],DaybyDay[Date],"&gt;="&amp;$C$5,DaybyDay[RowYear],"&gt;="&amp;$C$4,DaybyDay[Date],"&lt;="&amp;DaybyDay[[#This Row],[Date]])</f>
        <v>0</v>
      </c>
      <c r="Q528" s="34">
        <f>SUMIFS(DaybyDay[Service-Actuals],DaybyDay[Date],"&gt;="&amp;$C$5,DaybyDay[RowYear],"&gt;="&amp;$C$4,DaybyDay[Date],"&lt;="&amp;DaybyDay[[#This Row],[Date]])</f>
        <v>0</v>
      </c>
      <c r="R528" s="34">
        <f>SUMIFS(DaybyDay[Retail-Actuals],DaybyDay[Date],"&gt;="&amp;$C$5,DaybyDay[RowYear],"&gt;="&amp;$C$4,DaybyDay[Date],"&lt;="&amp;DaybyDay[[#This Row],[Date]])</f>
        <v>0</v>
      </c>
      <c r="S528" s="35">
        <f>SUMIFS(DaybyDay[Service-LY],DaybyDay[Date],"&gt;="&amp;$C$5,DaybyDay[RowYear],"&gt;="&amp;$C$4,DaybyDay[Date],"&lt;="&amp;DaybyDay[[#This Row],[Date]])</f>
        <v>0</v>
      </c>
      <c r="T528" s="35">
        <f>SUMIFS(DaybyDay[Retail-LY],DaybyDay[Date],"&gt;="&amp;$C$5,DaybyDay[RowYear],"&gt;="&amp;$C$4,DaybyDay[Date],"&lt;="&amp;DaybyDay[[#This Row],[Date]])</f>
        <v>0</v>
      </c>
      <c r="U528" s="32">
        <f>DaybyDay[[#This Row],[Serv-Bud-RU]]+DaybyDay[[#This Row],[Ret-Bud-RU]]</f>
        <v>0</v>
      </c>
      <c r="V528" s="32">
        <f>DaybyDay[[#This Row],[Serv-Act-RU]]+DaybyDay[[#This Row],[Ret-Act-RU]]</f>
        <v>0</v>
      </c>
      <c r="W528" s="36">
        <f>IF(DaybyDay[[#This Row],[_Space]],IFERROR(
((DaybyDay[[#This Row],[Actual-Rollup]]-DaybyDay[[#This Row],[Budget-Rollup]])/DaybyDay[[#This Row],[Budget-Rollup]]),0),"")</f>
        <v>0</v>
      </c>
      <c r="X528" t="b">
        <f>NOT(AND(ISBLANK(DaybyDay[[#This Row],[Appts]]),ISBLANK(DaybyDay[[#This Row],[Service-Actuals]]),ISBLANK(DaybyDay[[#This Row],[Retail-Actuals]])))</f>
        <v>1</v>
      </c>
      <c r="Y528" s="36">
        <f>IF(DaybyDay[[#This Row],[_Space]],IFERROR(
((DaybyDay[[#This Row],[Actual-Rollup]]-DaybyDay[[#This Row],[LY-Rollup]])/DaybyDay[[#This Row],[LY-Rollup]]),0),"")</f>
        <v>0</v>
      </c>
      <c r="Z528"/>
      <c r="AA528" s="37" t="e">
        <f>IF(DaybyDay[[#This Row],[_Space]],DaybyDay[[#This Row],[Ret-Act-RU]]/DaybyDay[[#This Row],[Serv-Act-RU]],"")</f>
        <v>#DIV/0!</v>
      </c>
      <c r="AB528" s="50" t="e">
        <f>IF(DaybyDay[[#This Row],[_Space]],DaybyDay[[#This Row],[RETPEN-Act]]/DaybyDay[[#This Row],[RETPEN-Bud]],"")</f>
        <v>#DIV/0!</v>
      </c>
      <c r="AC528" s="37" t="e">
        <f>IF(DaybyDay[[#This Row],[_Space]],DaybyDay[[#This Row],[Ret-Bud-RU]]/DaybyDay[[#This Row],[Serv-Bud-RU]],"")</f>
        <v>#DIV/0!</v>
      </c>
      <c r="AD528" s="37" t="e">
        <f>IF(DaybyDay[[#This Row],[_Space]],DaybyDay[[#This Row],[Ret-LY-RU]]/DaybyDay[[#This Row],[Serv-LY-RU]],"")</f>
        <v>#DIV/0!</v>
      </c>
      <c r="AE528" s="30">
        <f>WEEKDAY(DaybyDay[[#This Row],[LY-Date]])</f>
        <v>4</v>
      </c>
      <c r="AF528" s="38">
        <f>$E$2+_xlfn.DAYS(DaybyDay[[#This Row],[Date]],minDate)</f>
        <v>42893</v>
      </c>
      <c r="AG528" s="39" cm="1">
        <f t="array" ref="AG528">IFERROR(INDEX(DaybyDay[],DaybyDay[[#This Row],[FORM_MATCH_HELPER]],8),"")</f>
        <v>20</v>
      </c>
      <c r="AH528" s="39" cm="1">
        <f t="array" ref="AH528">IFERROR(INDEX(DaybyDay[],DaybyDay[[#This Row],[FORM_MATCH_HELPER]],10),"")</f>
        <v>4495.6899999999996</v>
      </c>
      <c r="AI528" s="39" cm="1">
        <f t="array" ref="AI528">IFERROR(INDEX(DaybyDay[],DaybyDay[[#This Row],[FORM_MATCH_HELPER]],12),"")</f>
        <v>182.5</v>
      </c>
      <c r="AJ528" s="32">
        <f>IFERROR(DaybyDay[[#This Row],[Serv-LY-RU]]+DaybyDay[[#This Row],[Ret-LY-RU]],"")</f>
        <v>0</v>
      </c>
      <c r="AK5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8" s="77"/>
      <c r="AM528" s="40" t="str">
        <f>IF(DaybyDay[[#This Row],[Admin Hours]]&gt;0,DaybyDay[[#This Row],[Admin Hours]]*$AM$2+$AM$3,"")</f>
        <v/>
      </c>
      <c r="AN528" s="40">
        <f>SUMIFS(DaybyDay[Est-Admin-Payroll],DaybyDay[Date],"&gt;="&amp;$C$5,DaybyDay[RowYear],"&gt;="&amp;$C$4,DaybyDay[Date],"&lt;="&amp;DaybyDay[[#This Row],[Date]])</f>
        <v>0</v>
      </c>
      <c r="AO528" s="41" t="str">
        <f>IF(AND(DaybyDay[[#This Row],[_Space]],ISNUMBER(DaybyDay[[#This Row],[Admin Hours]])),DaybyDay[[#This Row],[Est-Admin-Payroll]]/(DaybyDay[[#This Row],[Service-Actuals]]+DaybyDay[[#This Row],[Retail-Actuals]]),"")</f>
        <v/>
      </c>
      <c r="AP528" s="41" t="e">
        <f>DaybyDay[[#This Row],[Estimated-Payroll-Rollup]]/DaybyDay[[#This Row],[Simple-Forecast]]</f>
        <v>#DIV/0!</v>
      </c>
      <c r="AQ5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8" s="77"/>
      <c r="AS528" s="40" t="str">
        <f>IF(DaybyDay[[#This Row],[Retail Hours]]&gt;0,DaybyDay[[#This Row],[Retail Hours]]*$AS$2,"")</f>
        <v/>
      </c>
      <c r="AT528" s="40">
        <f>SUMIFS(DaybyDay[Est-Retail-Payroll],DaybyDay[Date],"&gt;="&amp;$C$5,DaybyDay[RowYear],"&gt;="&amp;$C$4,DaybyDay[Date],"&lt;="&amp;DaybyDay[[#This Row],[Date]])</f>
        <v>0</v>
      </c>
      <c r="AU528" s="82" t="str">
        <f>IF(AND(DaybyDay[[#This Row],[_Space]],ISNUMBER(DaybyDay[[#This Row],[Retail Hours]])),DaybyDay[[#This Row],[Est-Retail-Payroll]]/(DaybyDay[[#This Row],[Retail-Actuals]]),"")</f>
        <v/>
      </c>
      <c r="AV528" s="82" t="e">
        <f>DaybyDay[[#This Row],[Est-Retail-PayrollRU]]/DaybyDay[[#This Row],[Simple-Forecast-Retail]]</f>
        <v>#DIV/0!</v>
      </c>
      <c r="AW528" s="8"/>
    </row>
    <row r="529" spans="3:49" hidden="1" x14ac:dyDescent="0.25">
      <c r="C529" s="26" t="str">
        <f>Tools!$C$1</f>
        <v>Example</v>
      </c>
      <c r="D529" s="27" t="s">
        <v>73</v>
      </c>
      <c r="E529" s="28">
        <v>2018</v>
      </c>
      <c r="F529" s="28">
        <f>MATCH(DaybyDay[[#This Row],[RowMonth]],Table3[SummaryMonth],0)</f>
        <v>6</v>
      </c>
      <c r="G529" s="29">
        <f>MATCH(DaybyDay[[#This Row],[LY-Date]],DaybyDay[Date],0)</f>
        <v>159</v>
      </c>
      <c r="H529" s="30">
        <f>WEEKDAY(DaybyDay[[#This Row],[Date]])</f>
        <v>5</v>
      </c>
      <c r="I529" s="31">
        <v>43258</v>
      </c>
      <c r="J529" s="74">
        <v>25</v>
      </c>
      <c r="K529" s="32">
        <f>SUMIFS(BudgetSeasonality[365 Seasonality],BudgetSeasonality[MonthAdjustment],DaybyDay[[#This Row],[Date]])*SUMIFS(Budgets[Service-Budget],Budgets[BudgetMonth],DaybyDay[[#This Row],[RowMonth]],Budgets[BudgetYear],DaybyDay[[#This Row],[RowYear]])</f>
        <v>4814.4606309988194</v>
      </c>
      <c r="L529" s="75">
        <v>3774.6</v>
      </c>
      <c r="M529" s="32">
        <f>INDEX(BudgetSeasonality[365 Seasonality],MATCH(DaybyDay[[#This Row],[Date]],BudgetSeasonality[MonthAdjustment],0))*SUMIFS(Budgets[Retail-Budget],Budgets[BudgetMonth],DaybyDay[[#This Row],[RowMonth]],Budgets[BudgetYear],DaybyDay[[#This Row],[RowYear]])</f>
        <v>1445.6310515286091</v>
      </c>
      <c r="N529" s="75">
        <v>1404</v>
      </c>
      <c r="O529" s="33">
        <f>SUMIFS(DaybyDay[Service-Budgets],DaybyDay[Date],"&gt;="&amp;$C$5,DaybyDay[RowYear],"&gt;="&amp;$C$4,DaybyDay[Date],"&lt;="&amp;DaybyDay[[#This Row],[Date]])</f>
        <v>0</v>
      </c>
      <c r="P529" s="33">
        <f>SUMIFS(DaybyDay[Retail-Budgets],DaybyDay[Date],"&gt;="&amp;$C$5,DaybyDay[RowYear],"&gt;="&amp;$C$4,DaybyDay[Date],"&lt;="&amp;DaybyDay[[#This Row],[Date]])</f>
        <v>0</v>
      </c>
      <c r="Q529" s="34">
        <f>SUMIFS(DaybyDay[Service-Actuals],DaybyDay[Date],"&gt;="&amp;$C$5,DaybyDay[RowYear],"&gt;="&amp;$C$4,DaybyDay[Date],"&lt;="&amp;DaybyDay[[#This Row],[Date]])</f>
        <v>0</v>
      </c>
      <c r="R529" s="34">
        <f>SUMIFS(DaybyDay[Retail-Actuals],DaybyDay[Date],"&gt;="&amp;$C$5,DaybyDay[RowYear],"&gt;="&amp;$C$4,DaybyDay[Date],"&lt;="&amp;DaybyDay[[#This Row],[Date]])</f>
        <v>0</v>
      </c>
      <c r="S529" s="35">
        <f>SUMIFS(DaybyDay[Service-LY],DaybyDay[Date],"&gt;="&amp;$C$5,DaybyDay[RowYear],"&gt;="&amp;$C$4,DaybyDay[Date],"&lt;="&amp;DaybyDay[[#This Row],[Date]])</f>
        <v>0</v>
      </c>
      <c r="T529" s="35">
        <f>SUMIFS(DaybyDay[Retail-LY],DaybyDay[Date],"&gt;="&amp;$C$5,DaybyDay[RowYear],"&gt;="&amp;$C$4,DaybyDay[Date],"&lt;="&amp;DaybyDay[[#This Row],[Date]])</f>
        <v>0</v>
      </c>
      <c r="U529" s="32">
        <f>DaybyDay[[#This Row],[Serv-Bud-RU]]+DaybyDay[[#This Row],[Ret-Bud-RU]]</f>
        <v>0</v>
      </c>
      <c r="V529" s="32">
        <f>DaybyDay[[#This Row],[Serv-Act-RU]]+DaybyDay[[#This Row],[Ret-Act-RU]]</f>
        <v>0</v>
      </c>
      <c r="W529" s="36">
        <f>IF(DaybyDay[[#This Row],[_Space]],IFERROR(
((DaybyDay[[#This Row],[Actual-Rollup]]-DaybyDay[[#This Row],[Budget-Rollup]])/DaybyDay[[#This Row],[Budget-Rollup]]),0),"")</f>
        <v>0</v>
      </c>
      <c r="X529" t="b">
        <f>NOT(AND(ISBLANK(DaybyDay[[#This Row],[Appts]]),ISBLANK(DaybyDay[[#This Row],[Service-Actuals]]),ISBLANK(DaybyDay[[#This Row],[Retail-Actuals]])))</f>
        <v>1</v>
      </c>
      <c r="Y529" s="36">
        <f>IF(DaybyDay[[#This Row],[_Space]],IFERROR(
((DaybyDay[[#This Row],[Actual-Rollup]]-DaybyDay[[#This Row],[LY-Rollup]])/DaybyDay[[#This Row],[LY-Rollup]]),0),"")</f>
        <v>0</v>
      </c>
      <c r="Z529"/>
      <c r="AA529" s="37" t="e">
        <f>IF(DaybyDay[[#This Row],[_Space]],DaybyDay[[#This Row],[Ret-Act-RU]]/DaybyDay[[#This Row],[Serv-Act-RU]],"")</f>
        <v>#DIV/0!</v>
      </c>
      <c r="AB529" s="50" t="e">
        <f>IF(DaybyDay[[#This Row],[_Space]],DaybyDay[[#This Row],[RETPEN-Act]]/DaybyDay[[#This Row],[RETPEN-Bud]],"")</f>
        <v>#DIV/0!</v>
      </c>
      <c r="AC529" s="37" t="e">
        <f>IF(DaybyDay[[#This Row],[_Space]],DaybyDay[[#This Row],[Ret-Bud-RU]]/DaybyDay[[#This Row],[Serv-Bud-RU]],"")</f>
        <v>#DIV/0!</v>
      </c>
      <c r="AD529" s="37" t="e">
        <f>IF(DaybyDay[[#This Row],[_Space]],DaybyDay[[#This Row],[Ret-LY-RU]]/DaybyDay[[#This Row],[Serv-LY-RU]],"")</f>
        <v>#DIV/0!</v>
      </c>
      <c r="AE529" s="30">
        <f>WEEKDAY(DaybyDay[[#This Row],[LY-Date]])</f>
        <v>5</v>
      </c>
      <c r="AF529" s="38">
        <f>$E$2+_xlfn.DAYS(DaybyDay[[#This Row],[Date]],minDate)</f>
        <v>42894</v>
      </c>
      <c r="AG529" s="39" cm="1">
        <f t="array" ref="AG529">IFERROR(INDEX(DaybyDay[],DaybyDay[[#This Row],[FORM_MATCH_HELPER]],8),"")</f>
        <v>13</v>
      </c>
      <c r="AH529" s="39" cm="1">
        <f t="array" ref="AH529">IFERROR(INDEX(DaybyDay[],DaybyDay[[#This Row],[FORM_MATCH_HELPER]],10),"")</f>
        <v>1851.2</v>
      </c>
      <c r="AI529" s="39" cm="1">
        <f t="array" ref="AI529">IFERROR(INDEX(DaybyDay[],DaybyDay[[#This Row],[FORM_MATCH_HELPER]],12),"")</f>
        <v>0</v>
      </c>
      <c r="AJ529" s="32">
        <f>IFERROR(DaybyDay[[#This Row],[Serv-LY-RU]]+DaybyDay[[#This Row],[Ret-LY-RU]],"")</f>
        <v>0</v>
      </c>
      <c r="AK5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29" s="77"/>
      <c r="AM529" s="40" t="str">
        <f>IF(DaybyDay[[#This Row],[Admin Hours]]&gt;0,DaybyDay[[#This Row],[Admin Hours]]*$AM$2+$AM$3,"")</f>
        <v/>
      </c>
      <c r="AN529" s="40">
        <f>SUMIFS(DaybyDay[Est-Admin-Payroll],DaybyDay[Date],"&gt;="&amp;$C$5,DaybyDay[RowYear],"&gt;="&amp;$C$4,DaybyDay[Date],"&lt;="&amp;DaybyDay[[#This Row],[Date]])</f>
        <v>0</v>
      </c>
      <c r="AO529" s="41" t="str">
        <f>IF(AND(DaybyDay[[#This Row],[_Space]],ISNUMBER(DaybyDay[[#This Row],[Admin Hours]])),DaybyDay[[#This Row],[Est-Admin-Payroll]]/(DaybyDay[[#This Row],[Service-Actuals]]+DaybyDay[[#This Row],[Retail-Actuals]]),"")</f>
        <v/>
      </c>
      <c r="AP529" s="41" t="e">
        <f>DaybyDay[[#This Row],[Estimated-Payroll-Rollup]]/DaybyDay[[#This Row],[Simple-Forecast]]</f>
        <v>#DIV/0!</v>
      </c>
      <c r="AQ5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29" s="77"/>
      <c r="AS529" s="40" t="str">
        <f>IF(DaybyDay[[#This Row],[Retail Hours]]&gt;0,DaybyDay[[#This Row],[Retail Hours]]*$AS$2,"")</f>
        <v/>
      </c>
      <c r="AT529" s="40">
        <f>SUMIFS(DaybyDay[Est-Retail-Payroll],DaybyDay[Date],"&gt;="&amp;$C$5,DaybyDay[RowYear],"&gt;="&amp;$C$4,DaybyDay[Date],"&lt;="&amp;DaybyDay[[#This Row],[Date]])</f>
        <v>0</v>
      </c>
      <c r="AU529" s="82" t="str">
        <f>IF(AND(DaybyDay[[#This Row],[_Space]],ISNUMBER(DaybyDay[[#This Row],[Retail Hours]])),DaybyDay[[#This Row],[Est-Retail-Payroll]]/(DaybyDay[[#This Row],[Retail-Actuals]]),"")</f>
        <v/>
      </c>
      <c r="AV529" s="82" t="e">
        <f>DaybyDay[[#This Row],[Est-Retail-PayrollRU]]/DaybyDay[[#This Row],[Simple-Forecast-Retail]]</f>
        <v>#DIV/0!</v>
      </c>
      <c r="AW529" s="8"/>
    </row>
    <row r="530" spans="3:49" hidden="1" x14ac:dyDescent="0.25">
      <c r="C530" s="26" t="str">
        <f>Tools!$C$1</f>
        <v>Example</v>
      </c>
      <c r="D530" s="27" t="s">
        <v>73</v>
      </c>
      <c r="E530" s="28">
        <v>2018</v>
      </c>
      <c r="F530" s="28">
        <f>MATCH(DaybyDay[[#This Row],[RowMonth]],Table3[SummaryMonth],0)</f>
        <v>6</v>
      </c>
      <c r="G530" s="29">
        <f>MATCH(DaybyDay[[#This Row],[LY-Date]],DaybyDay[Date],0)</f>
        <v>160</v>
      </c>
      <c r="H530" s="30">
        <f>WEEKDAY(DaybyDay[[#This Row],[Date]])</f>
        <v>6</v>
      </c>
      <c r="I530" s="31">
        <v>43259</v>
      </c>
      <c r="J530" s="74">
        <v>18</v>
      </c>
      <c r="K530" s="32">
        <f>SUMIFS(BudgetSeasonality[365 Seasonality],BudgetSeasonality[MonthAdjustment],DaybyDay[[#This Row],[Date]])*SUMIFS(Budgets[Service-Budget],Budgets[BudgetMonth],DaybyDay[[#This Row],[RowMonth]],Budgets[BudgetYear],DaybyDay[[#This Row],[RowYear]])</f>
        <v>6069.9529747085398</v>
      </c>
      <c r="L530" s="75">
        <v>4356.95</v>
      </c>
      <c r="M530" s="32">
        <f>INDEX(BudgetSeasonality[365 Seasonality],MATCH(DaybyDay[[#This Row],[Date]],BudgetSeasonality[MonthAdjustment],0))*SUMIFS(Budgets[Retail-Budget],Budgets[BudgetMonth],DaybyDay[[#This Row],[RowMonth]],Budgets[BudgetYear],DaybyDay[[#This Row],[RowYear]])</f>
        <v>1822.6159011578941</v>
      </c>
      <c r="N530" s="75">
        <v>684</v>
      </c>
      <c r="O530" s="33">
        <f>SUMIFS(DaybyDay[Service-Budgets],DaybyDay[Date],"&gt;="&amp;$C$5,DaybyDay[RowYear],"&gt;="&amp;$C$4,DaybyDay[Date],"&lt;="&amp;DaybyDay[[#This Row],[Date]])</f>
        <v>0</v>
      </c>
      <c r="P530" s="33">
        <f>SUMIFS(DaybyDay[Retail-Budgets],DaybyDay[Date],"&gt;="&amp;$C$5,DaybyDay[RowYear],"&gt;="&amp;$C$4,DaybyDay[Date],"&lt;="&amp;DaybyDay[[#This Row],[Date]])</f>
        <v>0</v>
      </c>
      <c r="Q530" s="34">
        <f>SUMIFS(DaybyDay[Service-Actuals],DaybyDay[Date],"&gt;="&amp;$C$5,DaybyDay[RowYear],"&gt;="&amp;$C$4,DaybyDay[Date],"&lt;="&amp;DaybyDay[[#This Row],[Date]])</f>
        <v>0</v>
      </c>
      <c r="R530" s="34">
        <f>SUMIFS(DaybyDay[Retail-Actuals],DaybyDay[Date],"&gt;="&amp;$C$5,DaybyDay[RowYear],"&gt;="&amp;$C$4,DaybyDay[Date],"&lt;="&amp;DaybyDay[[#This Row],[Date]])</f>
        <v>0</v>
      </c>
      <c r="S530" s="35">
        <f>SUMIFS(DaybyDay[Service-LY],DaybyDay[Date],"&gt;="&amp;$C$5,DaybyDay[RowYear],"&gt;="&amp;$C$4,DaybyDay[Date],"&lt;="&amp;DaybyDay[[#This Row],[Date]])</f>
        <v>0</v>
      </c>
      <c r="T530" s="35">
        <f>SUMIFS(DaybyDay[Retail-LY],DaybyDay[Date],"&gt;="&amp;$C$5,DaybyDay[RowYear],"&gt;="&amp;$C$4,DaybyDay[Date],"&lt;="&amp;DaybyDay[[#This Row],[Date]])</f>
        <v>0</v>
      </c>
      <c r="U530" s="32">
        <f>DaybyDay[[#This Row],[Serv-Bud-RU]]+DaybyDay[[#This Row],[Ret-Bud-RU]]</f>
        <v>0</v>
      </c>
      <c r="V530" s="32">
        <f>DaybyDay[[#This Row],[Serv-Act-RU]]+DaybyDay[[#This Row],[Ret-Act-RU]]</f>
        <v>0</v>
      </c>
      <c r="W530" s="36">
        <f>IF(DaybyDay[[#This Row],[_Space]],IFERROR(
((DaybyDay[[#This Row],[Actual-Rollup]]-DaybyDay[[#This Row],[Budget-Rollup]])/DaybyDay[[#This Row],[Budget-Rollup]]),0),"")</f>
        <v>0</v>
      </c>
      <c r="X530" t="b">
        <f>NOT(AND(ISBLANK(DaybyDay[[#This Row],[Appts]]),ISBLANK(DaybyDay[[#This Row],[Service-Actuals]]),ISBLANK(DaybyDay[[#This Row],[Retail-Actuals]])))</f>
        <v>1</v>
      </c>
      <c r="Y530" s="36">
        <f>IF(DaybyDay[[#This Row],[_Space]],IFERROR(
((DaybyDay[[#This Row],[Actual-Rollup]]-DaybyDay[[#This Row],[LY-Rollup]])/DaybyDay[[#This Row],[LY-Rollup]]),0),"")</f>
        <v>0</v>
      </c>
      <c r="Z530"/>
      <c r="AA530" s="37" t="e">
        <f>IF(DaybyDay[[#This Row],[_Space]],DaybyDay[[#This Row],[Ret-Act-RU]]/DaybyDay[[#This Row],[Serv-Act-RU]],"")</f>
        <v>#DIV/0!</v>
      </c>
      <c r="AB530" s="50" t="e">
        <f>IF(DaybyDay[[#This Row],[_Space]],DaybyDay[[#This Row],[RETPEN-Act]]/DaybyDay[[#This Row],[RETPEN-Bud]],"")</f>
        <v>#DIV/0!</v>
      </c>
      <c r="AC530" s="37" t="e">
        <f>IF(DaybyDay[[#This Row],[_Space]],DaybyDay[[#This Row],[Ret-Bud-RU]]/DaybyDay[[#This Row],[Serv-Bud-RU]],"")</f>
        <v>#DIV/0!</v>
      </c>
      <c r="AD530" s="37" t="e">
        <f>IF(DaybyDay[[#This Row],[_Space]],DaybyDay[[#This Row],[Ret-LY-RU]]/DaybyDay[[#This Row],[Serv-LY-RU]],"")</f>
        <v>#DIV/0!</v>
      </c>
      <c r="AE530" s="30">
        <f>WEEKDAY(DaybyDay[[#This Row],[LY-Date]])</f>
        <v>6</v>
      </c>
      <c r="AF530" s="38">
        <f>$E$2+_xlfn.DAYS(DaybyDay[[#This Row],[Date]],minDate)</f>
        <v>42895</v>
      </c>
      <c r="AG530" s="39" cm="1">
        <f t="array" ref="AG530">IFERROR(INDEX(DaybyDay[],DaybyDay[[#This Row],[FORM_MATCH_HELPER]],8),"")</f>
        <v>31</v>
      </c>
      <c r="AH530" s="39" cm="1">
        <f t="array" ref="AH530">IFERROR(INDEX(DaybyDay[],DaybyDay[[#This Row],[FORM_MATCH_HELPER]],10),"")</f>
        <v>4900.5</v>
      </c>
      <c r="AI530" s="39" cm="1">
        <f t="array" ref="AI530">IFERROR(INDEX(DaybyDay[],DaybyDay[[#This Row],[FORM_MATCH_HELPER]],12),"")</f>
        <v>679.24</v>
      </c>
      <c r="AJ530" s="32">
        <f>IFERROR(DaybyDay[[#This Row],[Serv-LY-RU]]+DaybyDay[[#This Row],[Ret-LY-RU]],"")</f>
        <v>0</v>
      </c>
      <c r="AK5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0" s="77"/>
      <c r="AM530" s="40" t="str">
        <f>IF(DaybyDay[[#This Row],[Admin Hours]]&gt;0,DaybyDay[[#This Row],[Admin Hours]]*$AM$2+$AM$3,"")</f>
        <v/>
      </c>
      <c r="AN530" s="40">
        <f>SUMIFS(DaybyDay[Est-Admin-Payroll],DaybyDay[Date],"&gt;="&amp;$C$5,DaybyDay[RowYear],"&gt;="&amp;$C$4,DaybyDay[Date],"&lt;="&amp;DaybyDay[[#This Row],[Date]])</f>
        <v>0</v>
      </c>
      <c r="AO530" s="41" t="str">
        <f>IF(AND(DaybyDay[[#This Row],[_Space]],ISNUMBER(DaybyDay[[#This Row],[Admin Hours]])),DaybyDay[[#This Row],[Est-Admin-Payroll]]/(DaybyDay[[#This Row],[Service-Actuals]]+DaybyDay[[#This Row],[Retail-Actuals]]),"")</f>
        <v/>
      </c>
      <c r="AP530" s="41" t="e">
        <f>DaybyDay[[#This Row],[Estimated-Payroll-Rollup]]/DaybyDay[[#This Row],[Simple-Forecast]]</f>
        <v>#DIV/0!</v>
      </c>
      <c r="AQ5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0" s="77"/>
      <c r="AS530" s="40" t="str">
        <f>IF(DaybyDay[[#This Row],[Retail Hours]]&gt;0,DaybyDay[[#This Row],[Retail Hours]]*$AS$2,"")</f>
        <v/>
      </c>
      <c r="AT530" s="40">
        <f>SUMIFS(DaybyDay[Est-Retail-Payroll],DaybyDay[Date],"&gt;="&amp;$C$5,DaybyDay[RowYear],"&gt;="&amp;$C$4,DaybyDay[Date],"&lt;="&amp;DaybyDay[[#This Row],[Date]])</f>
        <v>0</v>
      </c>
      <c r="AU530" s="82" t="str">
        <f>IF(AND(DaybyDay[[#This Row],[_Space]],ISNUMBER(DaybyDay[[#This Row],[Retail Hours]])),DaybyDay[[#This Row],[Est-Retail-Payroll]]/(DaybyDay[[#This Row],[Retail-Actuals]]),"")</f>
        <v/>
      </c>
      <c r="AV530" s="82" t="e">
        <f>DaybyDay[[#This Row],[Est-Retail-PayrollRU]]/DaybyDay[[#This Row],[Simple-Forecast-Retail]]</f>
        <v>#DIV/0!</v>
      </c>
      <c r="AW530" s="8"/>
    </row>
    <row r="531" spans="3:49" hidden="1" x14ac:dyDescent="0.25">
      <c r="C531" s="26" t="str">
        <f>Tools!$C$1</f>
        <v>Example</v>
      </c>
      <c r="D531" s="27" t="s">
        <v>73</v>
      </c>
      <c r="E531" s="28">
        <v>2018</v>
      </c>
      <c r="F531" s="28">
        <f>MATCH(DaybyDay[[#This Row],[RowMonth]],Table3[SummaryMonth],0)</f>
        <v>6</v>
      </c>
      <c r="G531" s="29">
        <f>MATCH(DaybyDay[[#This Row],[LY-Date]],DaybyDay[Date],0)</f>
        <v>161</v>
      </c>
      <c r="H531" s="30">
        <f>WEEKDAY(DaybyDay[[#This Row],[Date]])</f>
        <v>7</v>
      </c>
      <c r="I531" s="31">
        <v>43260</v>
      </c>
      <c r="J531" s="74">
        <v>36</v>
      </c>
      <c r="K531" s="32">
        <f>SUMIFS(BudgetSeasonality[365 Seasonality],BudgetSeasonality[MonthAdjustment],DaybyDay[[#This Row],[Date]])*SUMIFS(Budgets[Service-Budget],Budgets[BudgetMonth],DaybyDay[[#This Row],[RowMonth]],Budgets[BudgetYear],DaybyDay[[#This Row],[RowYear]])</f>
        <v>8701.4049891253781</v>
      </c>
      <c r="L531" s="75">
        <v>7768.5</v>
      </c>
      <c r="M531" s="32">
        <f>INDEX(BudgetSeasonality[365 Seasonality],MATCH(DaybyDay[[#This Row],[Date]],BudgetSeasonality[MonthAdjustment],0))*SUMIFS(Budgets[Retail-Budget],Budgets[BudgetMonth],DaybyDay[[#This Row],[RowMonth]],Budgets[BudgetYear],DaybyDay[[#This Row],[RowYear]])</f>
        <v>2612.758148485666</v>
      </c>
      <c r="N531" s="75">
        <v>2333.15</v>
      </c>
      <c r="O531" s="33">
        <f>SUMIFS(DaybyDay[Service-Budgets],DaybyDay[Date],"&gt;="&amp;$C$5,DaybyDay[RowYear],"&gt;="&amp;$C$4,DaybyDay[Date],"&lt;="&amp;DaybyDay[[#This Row],[Date]])</f>
        <v>0</v>
      </c>
      <c r="P531" s="33">
        <f>SUMIFS(DaybyDay[Retail-Budgets],DaybyDay[Date],"&gt;="&amp;$C$5,DaybyDay[RowYear],"&gt;="&amp;$C$4,DaybyDay[Date],"&lt;="&amp;DaybyDay[[#This Row],[Date]])</f>
        <v>0</v>
      </c>
      <c r="Q531" s="34">
        <f>SUMIFS(DaybyDay[Service-Actuals],DaybyDay[Date],"&gt;="&amp;$C$5,DaybyDay[RowYear],"&gt;="&amp;$C$4,DaybyDay[Date],"&lt;="&amp;DaybyDay[[#This Row],[Date]])</f>
        <v>0</v>
      </c>
      <c r="R531" s="34">
        <f>SUMIFS(DaybyDay[Retail-Actuals],DaybyDay[Date],"&gt;="&amp;$C$5,DaybyDay[RowYear],"&gt;="&amp;$C$4,DaybyDay[Date],"&lt;="&amp;DaybyDay[[#This Row],[Date]])</f>
        <v>0</v>
      </c>
      <c r="S531" s="35">
        <f>SUMIFS(DaybyDay[Service-LY],DaybyDay[Date],"&gt;="&amp;$C$5,DaybyDay[RowYear],"&gt;="&amp;$C$4,DaybyDay[Date],"&lt;="&amp;DaybyDay[[#This Row],[Date]])</f>
        <v>0</v>
      </c>
      <c r="T531" s="35">
        <f>SUMIFS(DaybyDay[Retail-LY],DaybyDay[Date],"&gt;="&amp;$C$5,DaybyDay[RowYear],"&gt;="&amp;$C$4,DaybyDay[Date],"&lt;="&amp;DaybyDay[[#This Row],[Date]])</f>
        <v>0</v>
      </c>
      <c r="U531" s="32">
        <f>DaybyDay[[#This Row],[Serv-Bud-RU]]+DaybyDay[[#This Row],[Ret-Bud-RU]]</f>
        <v>0</v>
      </c>
      <c r="V531" s="32">
        <f>DaybyDay[[#This Row],[Serv-Act-RU]]+DaybyDay[[#This Row],[Ret-Act-RU]]</f>
        <v>0</v>
      </c>
      <c r="W531" s="36">
        <f>IF(DaybyDay[[#This Row],[_Space]],IFERROR(
((DaybyDay[[#This Row],[Actual-Rollup]]-DaybyDay[[#This Row],[Budget-Rollup]])/DaybyDay[[#This Row],[Budget-Rollup]]),0),"")</f>
        <v>0</v>
      </c>
      <c r="X531" t="b">
        <f>NOT(AND(ISBLANK(DaybyDay[[#This Row],[Appts]]),ISBLANK(DaybyDay[[#This Row],[Service-Actuals]]),ISBLANK(DaybyDay[[#This Row],[Retail-Actuals]])))</f>
        <v>1</v>
      </c>
      <c r="Y531" s="36">
        <f>IF(DaybyDay[[#This Row],[_Space]],IFERROR(
((DaybyDay[[#This Row],[Actual-Rollup]]-DaybyDay[[#This Row],[LY-Rollup]])/DaybyDay[[#This Row],[LY-Rollup]]),0),"")</f>
        <v>0</v>
      </c>
      <c r="Z531"/>
      <c r="AA531" s="37" t="e">
        <f>IF(DaybyDay[[#This Row],[_Space]],DaybyDay[[#This Row],[Ret-Act-RU]]/DaybyDay[[#This Row],[Serv-Act-RU]],"")</f>
        <v>#DIV/0!</v>
      </c>
      <c r="AB531" s="50" t="e">
        <f>IF(DaybyDay[[#This Row],[_Space]],DaybyDay[[#This Row],[RETPEN-Act]]/DaybyDay[[#This Row],[RETPEN-Bud]],"")</f>
        <v>#DIV/0!</v>
      </c>
      <c r="AC531" s="37" t="e">
        <f>IF(DaybyDay[[#This Row],[_Space]],DaybyDay[[#This Row],[Ret-Bud-RU]]/DaybyDay[[#This Row],[Serv-Bud-RU]],"")</f>
        <v>#DIV/0!</v>
      </c>
      <c r="AD531" s="37" t="e">
        <f>IF(DaybyDay[[#This Row],[_Space]],DaybyDay[[#This Row],[Ret-LY-RU]]/DaybyDay[[#This Row],[Serv-LY-RU]],"")</f>
        <v>#DIV/0!</v>
      </c>
      <c r="AE531" s="30">
        <f>WEEKDAY(DaybyDay[[#This Row],[LY-Date]])</f>
        <v>7</v>
      </c>
      <c r="AF531" s="38">
        <f>$E$2+_xlfn.DAYS(DaybyDay[[#This Row],[Date]],minDate)</f>
        <v>42896</v>
      </c>
      <c r="AG531" s="39" cm="1">
        <f t="array" ref="AG531">IFERROR(INDEX(DaybyDay[],DaybyDay[[#This Row],[FORM_MATCH_HELPER]],8),"")</f>
        <v>32</v>
      </c>
      <c r="AH531" s="39" cm="1">
        <f t="array" ref="AH531">IFERROR(INDEX(DaybyDay[],DaybyDay[[#This Row],[FORM_MATCH_HELPER]],10),"")</f>
        <v>6421.2</v>
      </c>
      <c r="AI531" s="39" cm="1">
        <f t="array" ref="AI531">IFERROR(INDEX(DaybyDay[],DaybyDay[[#This Row],[FORM_MATCH_HELPER]],12),"")</f>
        <v>152.87</v>
      </c>
      <c r="AJ531" s="32">
        <f>IFERROR(DaybyDay[[#This Row],[Serv-LY-RU]]+DaybyDay[[#This Row],[Ret-LY-RU]],"")</f>
        <v>0</v>
      </c>
      <c r="AK5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1" s="77"/>
      <c r="AM531" s="40" t="str">
        <f>IF(DaybyDay[[#This Row],[Admin Hours]]&gt;0,DaybyDay[[#This Row],[Admin Hours]]*$AM$2+$AM$3,"")</f>
        <v/>
      </c>
      <c r="AN531" s="40">
        <f>SUMIFS(DaybyDay[Est-Admin-Payroll],DaybyDay[Date],"&gt;="&amp;$C$5,DaybyDay[RowYear],"&gt;="&amp;$C$4,DaybyDay[Date],"&lt;="&amp;DaybyDay[[#This Row],[Date]])</f>
        <v>0</v>
      </c>
      <c r="AO531" s="41" t="str">
        <f>IF(AND(DaybyDay[[#This Row],[_Space]],ISNUMBER(DaybyDay[[#This Row],[Admin Hours]])),DaybyDay[[#This Row],[Est-Admin-Payroll]]/(DaybyDay[[#This Row],[Service-Actuals]]+DaybyDay[[#This Row],[Retail-Actuals]]),"")</f>
        <v/>
      </c>
      <c r="AP531" s="41" t="e">
        <f>DaybyDay[[#This Row],[Estimated-Payroll-Rollup]]/DaybyDay[[#This Row],[Simple-Forecast]]</f>
        <v>#DIV/0!</v>
      </c>
      <c r="AQ5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1" s="77"/>
      <c r="AS531" s="40" t="str">
        <f>IF(DaybyDay[[#This Row],[Retail Hours]]&gt;0,DaybyDay[[#This Row],[Retail Hours]]*$AS$2,"")</f>
        <v/>
      </c>
      <c r="AT531" s="40">
        <f>SUMIFS(DaybyDay[Est-Retail-Payroll],DaybyDay[Date],"&gt;="&amp;$C$5,DaybyDay[RowYear],"&gt;="&amp;$C$4,DaybyDay[Date],"&lt;="&amp;DaybyDay[[#This Row],[Date]])</f>
        <v>0</v>
      </c>
      <c r="AU531" s="82" t="str">
        <f>IF(AND(DaybyDay[[#This Row],[_Space]],ISNUMBER(DaybyDay[[#This Row],[Retail Hours]])),DaybyDay[[#This Row],[Est-Retail-Payroll]]/(DaybyDay[[#This Row],[Retail-Actuals]]),"")</f>
        <v/>
      </c>
      <c r="AV531" s="82" t="e">
        <f>DaybyDay[[#This Row],[Est-Retail-PayrollRU]]/DaybyDay[[#This Row],[Simple-Forecast-Retail]]</f>
        <v>#DIV/0!</v>
      </c>
      <c r="AW531" s="8"/>
    </row>
    <row r="532" spans="3:49" hidden="1" x14ac:dyDescent="0.25">
      <c r="C532" s="26" t="str">
        <f>Tools!$C$1</f>
        <v>Example</v>
      </c>
      <c r="D532" s="27" t="s">
        <v>73</v>
      </c>
      <c r="E532" s="28">
        <v>2018</v>
      </c>
      <c r="F532" s="28">
        <f>MATCH(DaybyDay[[#This Row],[RowMonth]],Table3[SummaryMonth],0)</f>
        <v>6</v>
      </c>
      <c r="G532" s="29">
        <f>MATCH(DaybyDay[[#This Row],[LY-Date]],DaybyDay[Date],0)</f>
        <v>162</v>
      </c>
      <c r="H532" s="30">
        <f>WEEKDAY(DaybyDay[[#This Row],[Date]])</f>
        <v>1</v>
      </c>
      <c r="I532" s="31">
        <v>43261</v>
      </c>
      <c r="J532" s="74">
        <v>31</v>
      </c>
      <c r="K532" s="32">
        <f>SUMIFS(BudgetSeasonality[365 Seasonality],BudgetSeasonality[MonthAdjustment],DaybyDay[[#This Row],[Date]])*SUMIFS(Budgets[Service-Budget],Budgets[BudgetMonth],DaybyDay[[#This Row],[RowMonth]],Budgets[BudgetYear],DaybyDay[[#This Row],[RowYear]])</f>
        <v>6789.0186415255657</v>
      </c>
      <c r="L532" s="75">
        <v>6118.39</v>
      </c>
      <c r="M532" s="32">
        <f>INDEX(BudgetSeasonality[365 Seasonality],MATCH(DaybyDay[[#This Row],[Date]],BudgetSeasonality[MonthAdjustment],0))*SUMIFS(Budgets[Retail-Budget],Budgets[BudgetMonth],DaybyDay[[#This Row],[RowMonth]],Budgets[BudgetYear],DaybyDay[[#This Row],[RowYear]])</f>
        <v>2038.5286971512344</v>
      </c>
      <c r="N532" s="75">
        <v>809.5</v>
      </c>
      <c r="O532" s="33">
        <f>SUMIFS(DaybyDay[Service-Budgets],DaybyDay[Date],"&gt;="&amp;$C$5,DaybyDay[RowYear],"&gt;="&amp;$C$4,DaybyDay[Date],"&lt;="&amp;DaybyDay[[#This Row],[Date]])</f>
        <v>0</v>
      </c>
      <c r="P532" s="33">
        <f>SUMIFS(DaybyDay[Retail-Budgets],DaybyDay[Date],"&gt;="&amp;$C$5,DaybyDay[RowYear],"&gt;="&amp;$C$4,DaybyDay[Date],"&lt;="&amp;DaybyDay[[#This Row],[Date]])</f>
        <v>0</v>
      </c>
      <c r="Q532" s="34">
        <f>SUMIFS(DaybyDay[Service-Actuals],DaybyDay[Date],"&gt;="&amp;$C$5,DaybyDay[RowYear],"&gt;="&amp;$C$4,DaybyDay[Date],"&lt;="&amp;DaybyDay[[#This Row],[Date]])</f>
        <v>0</v>
      </c>
      <c r="R532" s="34">
        <f>SUMIFS(DaybyDay[Retail-Actuals],DaybyDay[Date],"&gt;="&amp;$C$5,DaybyDay[RowYear],"&gt;="&amp;$C$4,DaybyDay[Date],"&lt;="&amp;DaybyDay[[#This Row],[Date]])</f>
        <v>0</v>
      </c>
      <c r="S532" s="35">
        <f>SUMIFS(DaybyDay[Service-LY],DaybyDay[Date],"&gt;="&amp;$C$5,DaybyDay[RowYear],"&gt;="&amp;$C$4,DaybyDay[Date],"&lt;="&amp;DaybyDay[[#This Row],[Date]])</f>
        <v>0</v>
      </c>
      <c r="T532" s="35">
        <f>SUMIFS(DaybyDay[Retail-LY],DaybyDay[Date],"&gt;="&amp;$C$5,DaybyDay[RowYear],"&gt;="&amp;$C$4,DaybyDay[Date],"&lt;="&amp;DaybyDay[[#This Row],[Date]])</f>
        <v>0</v>
      </c>
      <c r="U532" s="32">
        <f>DaybyDay[[#This Row],[Serv-Bud-RU]]+DaybyDay[[#This Row],[Ret-Bud-RU]]</f>
        <v>0</v>
      </c>
      <c r="V532" s="32">
        <f>DaybyDay[[#This Row],[Serv-Act-RU]]+DaybyDay[[#This Row],[Ret-Act-RU]]</f>
        <v>0</v>
      </c>
      <c r="W532" s="36">
        <f>IF(DaybyDay[[#This Row],[_Space]],IFERROR(
((DaybyDay[[#This Row],[Actual-Rollup]]-DaybyDay[[#This Row],[Budget-Rollup]])/DaybyDay[[#This Row],[Budget-Rollup]]),0),"")</f>
        <v>0</v>
      </c>
      <c r="X532" t="b">
        <f>NOT(AND(ISBLANK(DaybyDay[[#This Row],[Appts]]),ISBLANK(DaybyDay[[#This Row],[Service-Actuals]]),ISBLANK(DaybyDay[[#This Row],[Retail-Actuals]])))</f>
        <v>1</v>
      </c>
      <c r="Y532" s="36">
        <f>IF(DaybyDay[[#This Row],[_Space]],IFERROR(
((DaybyDay[[#This Row],[Actual-Rollup]]-DaybyDay[[#This Row],[LY-Rollup]])/DaybyDay[[#This Row],[LY-Rollup]]),0),"")</f>
        <v>0</v>
      </c>
      <c r="Z532"/>
      <c r="AA532" s="37" t="e">
        <f>IF(DaybyDay[[#This Row],[_Space]],DaybyDay[[#This Row],[Ret-Act-RU]]/DaybyDay[[#This Row],[Serv-Act-RU]],"")</f>
        <v>#DIV/0!</v>
      </c>
      <c r="AB532" s="50" t="e">
        <f>IF(DaybyDay[[#This Row],[_Space]],DaybyDay[[#This Row],[RETPEN-Act]]/DaybyDay[[#This Row],[RETPEN-Bud]],"")</f>
        <v>#DIV/0!</v>
      </c>
      <c r="AC532" s="37" t="e">
        <f>IF(DaybyDay[[#This Row],[_Space]],DaybyDay[[#This Row],[Ret-Bud-RU]]/DaybyDay[[#This Row],[Serv-Bud-RU]],"")</f>
        <v>#DIV/0!</v>
      </c>
      <c r="AD532" s="37" t="e">
        <f>IF(DaybyDay[[#This Row],[_Space]],DaybyDay[[#This Row],[Ret-LY-RU]]/DaybyDay[[#This Row],[Serv-LY-RU]],"")</f>
        <v>#DIV/0!</v>
      </c>
      <c r="AE532" s="30">
        <f>WEEKDAY(DaybyDay[[#This Row],[LY-Date]])</f>
        <v>1</v>
      </c>
      <c r="AF532" s="38">
        <f>$E$2+_xlfn.DAYS(DaybyDay[[#This Row],[Date]],minDate)</f>
        <v>42897</v>
      </c>
      <c r="AG532" s="39" cm="1">
        <f t="array" ref="AG532">IFERROR(INDEX(DaybyDay[],DaybyDay[[#This Row],[FORM_MATCH_HELPER]],8),"")</f>
        <v>30</v>
      </c>
      <c r="AH532" s="39" cm="1">
        <f t="array" ref="AH532">IFERROR(INDEX(DaybyDay[],DaybyDay[[#This Row],[FORM_MATCH_HELPER]],10),"")</f>
        <v>5198.6400000000003</v>
      </c>
      <c r="AI532" s="39" cm="1">
        <f t="array" ref="AI532">IFERROR(INDEX(DaybyDay[],DaybyDay[[#This Row],[FORM_MATCH_HELPER]],12),"")</f>
        <v>220</v>
      </c>
      <c r="AJ532" s="32">
        <f>IFERROR(DaybyDay[[#This Row],[Serv-LY-RU]]+DaybyDay[[#This Row],[Ret-LY-RU]],"")</f>
        <v>0</v>
      </c>
      <c r="AK5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2" s="77"/>
      <c r="AM532" s="40" t="str">
        <f>IF(DaybyDay[[#This Row],[Admin Hours]]&gt;0,DaybyDay[[#This Row],[Admin Hours]]*$AM$2+$AM$3,"")</f>
        <v/>
      </c>
      <c r="AN532" s="40">
        <f>SUMIFS(DaybyDay[Est-Admin-Payroll],DaybyDay[Date],"&gt;="&amp;$C$5,DaybyDay[RowYear],"&gt;="&amp;$C$4,DaybyDay[Date],"&lt;="&amp;DaybyDay[[#This Row],[Date]])</f>
        <v>0</v>
      </c>
      <c r="AO532" s="41" t="str">
        <f>IF(AND(DaybyDay[[#This Row],[_Space]],ISNUMBER(DaybyDay[[#This Row],[Admin Hours]])),DaybyDay[[#This Row],[Est-Admin-Payroll]]/(DaybyDay[[#This Row],[Service-Actuals]]+DaybyDay[[#This Row],[Retail-Actuals]]),"")</f>
        <v/>
      </c>
      <c r="AP532" s="41" t="e">
        <f>DaybyDay[[#This Row],[Estimated-Payroll-Rollup]]/DaybyDay[[#This Row],[Simple-Forecast]]</f>
        <v>#DIV/0!</v>
      </c>
      <c r="AQ5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2" s="77"/>
      <c r="AS532" s="40" t="str">
        <f>IF(DaybyDay[[#This Row],[Retail Hours]]&gt;0,DaybyDay[[#This Row],[Retail Hours]]*$AS$2,"")</f>
        <v/>
      </c>
      <c r="AT532" s="40">
        <f>SUMIFS(DaybyDay[Est-Retail-Payroll],DaybyDay[Date],"&gt;="&amp;$C$5,DaybyDay[RowYear],"&gt;="&amp;$C$4,DaybyDay[Date],"&lt;="&amp;DaybyDay[[#This Row],[Date]])</f>
        <v>0</v>
      </c>
      <c r="AU532" s="82" t="str">
        <f>IF(AND(DaybyDay[[#This Row],[_Space]],ISNUMBER(DaybyDay[[#This Row],[Retail Hours]])),DaybyDay[[#This Row],[Est-Retail-Payroll]]/(DaybyDay[[#This Row],[Retail-Actuals]]),"")</f>
        <v/>
      </c>
      <c r="AV532" s="82" t="e">
        <f>DaybyDay[[#This Row],[Est-Retail-PayrollRU]]/DaybyDay[[#This Row],[Simple-Forecast-Retail]]</f>
        <v>#DIV/0!</v>
      </c>
      <c r="AW532" s="8"/>
    </row>
    <row r="533" spans="3:49" hidden="1" x14ac:dyDescent="0.25">
      <c r="C533" s="26" t="str">
        <f>Tools!$C$1</f>
        <v>Example</v>
      </c>
      <c r="D533" s="27" t="s">
        <v>73</v>
      </c>
      <c r="E533" s="28">
        <v>2018</v>
      </c>
      <c r="F533" s="28">
        <f>MATCH(DaybyDay[[#This Row],[RowMonth]],Table3[SummaryMonth],0)</f>
        <v>6</v>
      </c>
      <c r="G533" s="29">
        <f>MATCH(DaybyDay[[#This Row],[LY-Date]],DaybyDay[Date],0)</f>
        <v>163</v>
      </c>
      <c r="H533" s="30">
        <f>WEEKDAY(DaybyDay[[#This Row],[Date]])</f>
        <v>2</v>
      </c>
      <c r="I533" s="31">
        <v>43262</v>
      </c>
      <c r="J533" s="74">
        <v>23</v>
      </c>
      <c r="K533" s="32">
        <f>SUMIFS(BudgetSeasonality[365 Seasonality],BudgetSeasonality[MonthAdjustment],DaybyDay[[#This Row],[Date]])*SUMIFS(Budgets[Service-Budget],Budgets[BudgetMonth],DaybyDay[[#This Row],[RowMonth]],Budgets[BudgetYear],DaybyDay[[#This Row],[RowYear]])</f>
        <v>3986.9175096239928</v>
      </c>
      <c r="L533" s="75">
        <v>3393.1</v>
      </c>
      <c r="M533" s="32">
        <f>INDEX(BudgetSeasonality[365 Seasonality],MATCH(DaybyDay[[#This Row],[Date]],BudgetSeasonality[MonthAdjustment],0))*SUMIFS(Budgets[Retail-Budget],Budgets[BudgetMonth],DaybyDay[[#This Row],[RowMonth]],Budgets[BudgetYear],DaybyDay[[#This Row],[RowYear]])</f>
        <v>1197.1458889258429</v>
      </c>
      <c r="N533" s="75">
        <v>466</v>
      </c>
      <c r="O533" s="33">
        <f>SUMIFS(DaybyDay[Service-Budgets],DaybyDay[Date],"&gt;="&amp;$C$5,DaybyDay[RowYear],"&gt;="&amp;$C$4,DaybyDay[Date],"&lt;="&amp;DaybyDay[[#This Row],[Date]])</f>
        <v>0</v>
      </c>
      <c r="P533" s="33">
        <f>SUMIFS(DaybyDay[Retail-Budgets],DaybyDay[Date],"&gt;="&amp;$C$5,DaybyDay[RowYear],"&gt;="&amp;$C$4,DaybyDay[Date],"&lt;="&amp;DaybyDay[[#This Row],[Date]])</f>
        <v>0</v>
      </c>
      <c r="Q533" s="34">
        <f>SUMIFS(DaybyDay[Service-Actuals],DaybyDay[Date],"&gt;="&amp;$C$5,DaybyDay[RowYear],"&gt;="&amp;$C$4,DaybyDay[Date],"&lt;="&amp;DaybyDay[[#This Row],[Date]])</f>
        <v>0</v>
      </c>
      <c r="R533" s="34">
        <f>SUMIFS(DaybyDay[Retail-Actuals],DaybyDay[Date],"&gt;="&amp;$C$5,DaybyDay[RowYear],"&gt;="&amp;$C$4,DaybyDay[Date],"&lt;="&amp;DaybyDay[[#This Row],[Date]])</f>
        <v>0</v>
      </c>
      <c r="S533" s="35">
        <f>SUMIFS(DaybyDay[Service-LY],DaybyDay[Date],"&gt;="&amp;$C$5,DaybyDay[RowYear],"&gt;="&amp;$C$4,DaybyDay[Date],"&lt;="&amp;DaybyDay[[#This Row],[Date]])</f>
        <v>0</v>
      </c>
      <c r="T533" s="35">
        <f>SUMIFS(DaybyDay[Retail-LY],DaybyDay[Date],"&gt;="&amp;$C$5,DaybyDay[RowYear],"&gt;="&amp;$C$4,DaybyDay[Date],"&lt;="&amp;DaybyDay[[#This Row],[Date]])</f>
        <v>0</v>
      </c>
      <c r="U533" s="32">
        <f>DaybyDay[[#This Row],[Serv-Bud-RU]]+DaybyDay[[#This Row],[Ret-Bud-RU]]</f>
        <v>0</v>
      </c>
      <c r="V533" s="32">
        <f>DaybyDay[[#This Row],[Serv-Act-RU]]+DaybyDay[[#This Row],[Ret-Act-RU]]</f>
        <v>0</v>
      </c>
      <c r="W533" s="36">
        <f>IF(DaybyDay[[#This Row],[_Space]],IFERROR(
((DaybyDay[[#This Row],[Actual-Rollup]]-DaybyDay[[#This Row],[Budget-Rollup]])/DaybyDay[[#This Row],[Budget-Rollup]]),0),"")</f>
        <v>0</v>
      </c>
      <c r="X533" t="b">
        <f>NOT(AND(ISBLANK(DaybyDay[[#This Row],[Appts]]),ISBLANK(DaybyDay[[#This Row],[Service-Actuals]]),ISBLANK(DaybyDay[[#This Row],[Retail-Actuals]])))</f>
        <v>1</v>
      </c>
      <c r="Y533" s="36">
        <f>IF(DaybyDay[[#This Row],[_Space]],IFERROR(
((DaybyDay[[#This Row],[Actual-Rollup]]-DaybyDay[[#This Row],[LY-Rollup]])/DaybyDay[[#This Row],[LY-Rollup]]),0),"")</f>
        <v>0</v>
      </c>
      <c r="Z533"/>
      <c r="AA533" s="37" t="e">
        <f>IF(DaybyDay[[#This Row],[_Space]],DaybyDay[[#This Row],[Ret-Act-RU]]/DaybyDay[[#This Row],[Serv-Act-RU]],"")</f>
        <v>#DIV/0!</v>
      </c>
      <c r="AB533" s="50" t="e">
        <f>IF(DaybyDay[[#This Row],[_Space]],DaybyDay[[#This Row],[RETPEN-Act]]/DaybyDay[[#This Row],[RETPEN-Bud]],"")</f>
        <v>#DIV/0!</v>
      </c>
      <c r="AC533" s="37" t="e">
        <f>IF(DaybyDay[[#This Row],[_Space]],DaybyDay[[#This Row],[Ret-Bud-RU]]/DaybyDay[[#This Row],[Serv-Bud-RU]],"")</f>
        <v>#DIV/0!</v>
      </c>
      <c r="AD533" s="37" t="e">
        <f>IF(DaybyDay[[#This Row],[_Space]],DaybyDay[[#This Row],[Ret-LY-RU]]/DaybyDay[[#This Row],[Serv-LY-RU]],"")</f>
        <v>#DIV/0!</v>
      </c>
      <c r="AE533" s="30">
        <f>WEEKDAY(DaybyDay[[#This Row],[LY-Date]])</f>
        <v>2</v>
      </c>
      <c r="AF533" s="38">
        <f>$E$2+_xlfn.DAYS(DaybyDay[[#This Row],[Date]],minDate)</f>
        <v>42898</v>
      </c>
      <c r="AG533" s="39" cm="1">
        <f t="array" ref="AG533">IFERROR(INDEX(DaybyDay[],DaybyDay[[#This Row],[FORM_MATCH_HELPER]],8),"")</f>
        <v>14</v>
      </c>
      <c r="AH533" s="39" cm="1">
        <f t="array" ref="AH533">IFERROR(INDEX(DaybyDay[],DaybyDay[[#This Row],[FORM_MATCH_HELPER]],10),"")</f>
        <v>2192</v>
      </c>
      <c r="AI533" s="39" cm="1">
        <f t="array" ref="AI533">IFERROR(INDEX(DaybyDay[],DaybyDay[[#This Row],[FORM_MATCH_HELPER]],12),"")</f>
        <v>66</v>
      </c>
      <c r="AJ533" s="32">
        <f>IFERROR(DaybyDay[[#This Row],[Serv-LY-RU]]+DaybyDay[[#This Row],[Ret-LY-RU]],"")</f>
        <v>0</v>
      </c>
      <c r="AK5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3" s="77"/>
      <c r="AM533" s="40" t="str">
        <f>IF(DaybyDay[[#This Row],[Admin Hours]]&gt;0,DaybyDay[[#This Row],[Admin Hours]]*$AM$2+$AM$3,"")</f>
        <v/>
      </c>
      <c r="AN533" s="40">
        <f>SUMIFS(DaybyDay[Est-Admin-Payroll],DaybyDay[Date],"&gt;="&amp;$C$5,DaybyDay[RowYear],"&gt;="&amp;$C$4,DaybyDay[Date],"&lt;="&amp;DaybyDay[[#This Row],[Date]])</f>
        <v>0</v>
      </c>
      <c r="AO533" s="41" t="str">
        <f>IF(AND(DaybyDay[[#This Row],[_Space]],ISNUMBER(DaybyDay[[#This Row],[Admin Hours]])),DaybyDay[[#This Row],[Est-Admin-Payroll]]/(DaybyDay[[#This Row],[Service-Actuals]]+DaybyDay[[#This Row],[Retail-Actuals]]),"")</f>
        <v/>
      </c>
      <c r="AP533" s="41" t="e">
        <f>DaybyDay[[#This Row],[Estimated-Payroll-Rollup]]/DaybyDay[[#This Row],[Simple-Forecast]]</f>
        <v>#DIV/0!</v>
      </c>
      <c r="AQ5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3" s="77"/>
      <c r="AS533" s="40" t="str">
        <f>IF(DaybyDay[[#This Row],[Retail Hours]]&gt;0,DaybyDay[[#This Row],[Retail Hours]]*$AS$2,"")</f>
        <v/>
      </c>
      <c r="AT533" s="40">
        <f>SUMIFS(DaybyDay[Est-Retail-Payroll],DaybyDay[Date],"&gt;="&amp;$C$5,DaybyDay[RowYear],"&gt;="&amp;$C$4,DaybyDay[Date],"&lt;="&amp;DaybyDay[[#This Row],[Date]])</f>
        <v>0</v>
      </c>
      <c r="AU533" s="82" t="str">
        <f>IF(AND(DaybyDay[[#This Row],[_Space]],ISNUMBER(DaybyDay[[#This Row],[Retail Hours]])),DaybyDay[[#This Row],[Est-Retail-Payroll]]/(DaybyDay[[#This Row],[Retail-Actuals]]),"")</f>
        <v/>
      </c>
      <c r="AV533" s="82" t="e">
        <f>DaybyDay[[#This Row],[Est-Retail-PayrollRU]]/DaybyDay[[#This Row],[Simple-Forecast-Retail]]</f>
        <v>#DIV/0!</v>
      </c>
      <c r="AW533" s="8"/>
    </row>
    <row r="534" spans="3:49" hidden="1" x14ac:dyDescent="0.25">
      <c r="C534" s="26" t="str">
        <f>Tools!$C$1</f>
        <v>Example</v>
      </c>
      <c r="D534" s="27" t="s">
        <v>73</v>
      </c>
      <c r="E534" s="28">
        <v>2018</v>
      </c>
      <c r="F534" s="28">
        <f>MATCH(DaybyDay[[#This Row],[RowMonth]],Table3[SummaryMonth],0)</f>
        <v>6</v>
      </c>
      <c r="G534" s="29">
        <f>MATCH(DaybyDay[[#This Row],[LY-Date]],DaybyDay[Date],0)</f>
        <v>164</v>
      </c>
      <c r="H534" s="30">
        <f>WEEKDAY(DaybyDay[[#This Row],[Date]])</f>
        <v>3</v>
      </c>
      <c r="I534" s="31">
        <v>43263</v>
      </c>
      <c r="J534" s="74">
        <v>23</v>
      </c>
      <c r="K534" s="32">
        <f>SUMIFS(BudgetSeasonality[365 Seasonality],BudgetSeasonality[MonthAdjustment],DaybyDay[[#This Row],[Date]])*SUMIFS(Budgets[Service-Budget],Budgets[BudgetMonth],DaybyDay[[#This Row],[RowMonth]],Budgets[BudgetYear],DaybyDay[[#This Row],[RowYear]])</f>
        <v>4144.7568209134361</v>
      </c>
      <c r="L534" s="75">
        <v>4466.2</v>
      </c>
      <c r="M534" s="32">
        <f>INDEX(BudgetSeasonality[365 Seasonality],MATCH(DaybyDay[[#This Row],[Date]],BudgetSeasonality[MonthAdjustment],0))*SUMIFS(Budgets[Retail-Budget],Budgets[BudgetMonth],DaybyDay[[#This Row],[RowMonth]],Budgets[BudgetYear],DaybyDay[[#This Row],[RowYear]])</f>
        <v>1244.540068054185</v>
      </c>
      <c r="N534" s="75">
        <v>3081.37</v>
      </c>
      <c r="O534" s="33">
        <f>SUMIFS(DaybyDay[Service-Budgets],DaybyDay[Date],"&gt;="&amp;$C$5,DaybyDay[RowYear],"&gt;="&amp;$C$4,DaybyDay[Date],"&lt;="&amp;DaybyDay[[#This Row],[Date]])</f>
        <v>0</v>
      </c>
      <c r="P534" s="33">
        <f>SUMIFS(DaybyDay[Retail-Budgets],DaybyDay[Date],"&gt;="&amp;$C$5,DaybyDay[RowYear],"&gt;="&amp;$C$4,DaybyDay[Date],"&lt;="&amp;DaybyDay[[#This Row],[Date]])</f>
        <v>0</v>
      </c>
      <c r="Q534" s="34">
        <f>SUMIFS(DaybyDay[Service-Actuals],DaybyDay[Date],"&gt;="&amp;$C$5,DaybyDay[RowYear],"&gt;="&amp;$C$4,DaybyDay[Date],"&lt;="&amp;DaybyDay[[#This Row],[Date]])</f>
        <v>0</v>
      </c>
      <c r="R534" s="34">
        <f>SUMIFS(DaybyDay[Retail-Actuals],DaybyDay[Date],"&gt;="&amp;$C$5,DaybyDay[RowYear],"&gt;="&amp;$C$4,DaybyDay[Date],"&lt;="&amp;DaybyDay[[#This Row],[Date]])</f>
        <v>0</v>
      </c>
      <c r="S534" s="35">
        <f>SUMIFS(DaybyDay[Service-LY],DaybyDay[Date],"&gt;="&amp;$C$5,DaybyDay[RowYear],"&gt;="&amp;$C$4,DaybyDay[Date],"&lt;="&amp;DaybyDay[[#This Row],[Date]])</f>
        <v>0</v>
      </c>
      <c r="T534" s="35">
        <f>SUMIFS(DaybyDay[Retail-LY],DaybyDay[Date],"&gt;="&amp;$C$5,DaybyDay[RowYear],"&gt;="&amp;$C$4,DaybyDay[Date],"&lt;="&amp;DaybyDay[[#This Row],[Date]])</f>
        <v>0</v>
      </c>
      <c r="U534" s="32">
        <f>DaybyDay[[#This Row],[Serv-Bud-RU]]+DaybyDay[[#This Row],[Ret-Bud-RU]]</f>
        <v>0</v>
      </c>
      <c r="V534" s="32">
        <f>DaybyDay[[#This Row],[Serv-Act-RU]]+DaybyDay[[#This Row],[Ret-Act-RU]]</f>
        <v>0</v>
      </c>
      <c r="W534" s="36">
        <f>IF(DaybyDay[[#This Row],[_Space]],IFERROR(
((DaybyDay[[#This Row],[Actual-Rollup]]-DaybyDay[[#This Row],[Budget-Rollup]])/DaybyDay[[#This Row],[Budget-Rollup]]),0),"")</f>
        <v>0</v>
      </c>
      <c r="X534" t="b">
        <f>NOT(AND(ISBLANK(DaybyDay[[#This Row],[Appts]]),ISBLANK(DaybyDay[[#This Row],[Service-Actuals]]),ISBLANK(DaybyDay[[#This Row],[Retail-Actuals]])))</f>
        <v>1</v>
      </c>
      <c r="Y534" s="36">
        <f>IF(DaybyDay[[#This Row],[_Space]],IFERROR(
((DaybyDay[[#This Row],[Actual-Rollup]]-DaybyDay[[#This Row],[LY-Rollup]])/DaybyDay[[#This Row],[LY-Rollup]]),0),"")</f>
        <v>0</v>
      </c>
      <c r="Z534"/>
      <c r="AA534" s="37" t="e">
        <f>IF(DaybyDay[[#This Row],[_Space]],DaybyDay[[#This Row],[Ret-Act-RU]]/DaybyDay[[#This Row],[Serv-Act-RU]],"")</f>
        <v>#DIV/0!</v>
      </c>
      <c r="AB534" s="50" t="e">
        <f>IF(DaybyDay[[#This Row],[_Space]],DaybyDay[[#This Row],[RETPEN-Act]]/DaybyDay[[#This Row],[RETPEN-Bud]],"")</f>
        <v>#DIV/0!</v>
      </c>
      <c r="AC534" s="37" t="e">
        <f>IF(DaybyDay[[#This Row],[_Space]],DaybyDay[[#This Row],[Ret-Bud-RU]]/DaybyDay[[#This Row],[Serv-Bud-RU]],"")</f>
        <v>#DIV/0!</v>
      </c>
      <c r="AD534" s="37" t="e">
        <f>IF(DaybyDay[[#This Row],[_Space]],DaybyDay[[#This Row],[Ret-LY-RU]]/DaybyDay[[#This Row],[Serv-LY-RU]],"")</f>
        <v>#DIV/0!</v>
      </c>
      <c r="AE534" s="30">
        <f>WEEKDAY(DaybyDay[[#This Row],[LY-Date]])</f>
        <v>3</v>
      </c>
      <c r="AF534" s="38">
        <f>$E$2+_xlfn.DAYS(DaybyDay[[#This Row],[Date]],minDate)</f>
        <v>42899</v>
      </c>
      <c r="AG534" s="39" cm="1">
        <f t="array" ref="AG534">IFERROR(INDEX(DaybyDay[],DaybyDay[[#This Row],[FORM_MATCH_HELPER]],8),"")</f>
        <v>11</v>
      </c>
      <c r="AH534" s="39" cm="1">
        <f t="array" ref="AH534">IFERROR(INDEX(DaybyDay[],DaybyDay[[#This Row],[FORM_MATCH_HELPER]],10),"")</f>
        <v>2596.1</v>
      </c>
      <c r="AI534" s="39" cm="1">
        <f t="array" ref="AI534">IFERROR(INDEX(DaybyDay[],DaybyDay[[#This Row],[FORM_MATCH_HELPER]],12),"")</f>
        <v>243.2</v>
      </c>
      <c r="AJ534" s="32">
        <f>IFERROR(DaybyDay[[#This Row],[Serv-LY-RU]]+DaybyDay[[#This Row],[Ret-LY-RU]],"")</f>
        <v>0</v>
      </c>
      <c r="AK5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4" s="77"/>
      <c r="AM534" s="40" t="str">
        <f>IF(DaybyDay[[#This Row],[Admin Hours]]&gt;0,DaybyDay[[#This Row],[Admin Hours]]*$AM$2+$AM$3,"")</f>
        <v/>
      </c>
      <c r="AN534" s="40">
        <f>SUMIFS(DaybyDay[Est-Admin-Payroll],DaybyDay[Date],"&gt;="&amp;$C$5,DaybyDay[RowYear],"&gt;="&amp;$C$4,DaybyDay[Date],"&lt;="&amp;DaybyDay[[#This Row],[Date]])</f>
        <v>0</v>
      </c>
      <c r="AO534" s="41" t="str">
        <f>IF(AND(DaybyDay[[#This Row],[_Space]],ISNUMBER(DaybyDay[[#This Row],[Admin Hours]])),DaybyDay[[#This Row],[Est-Admin-Payroll]]/(DaybyDay[[#This Row],[Service-Actuals]]+DaybyDay[[#This Row],[Retail-Actuals]]),"")</f>
        <v/>
      </c>
      <c r="AP534" s="41" t="e">
        <f>DaybyDay[[#This Row],[Estimated-Payroll-Rollup]]/DaybyDay[[#This Row],[Simple-Forecast]]</f>
        <v>#DIV/0!</v>
      </c>
      <c r="AQ5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4" s="77"/>
      <c r="AS534" s="40" t="str">
        <f>IF(DaybyDay[[#This Row],[Retail Hours]]&gt;0,DaybyDay[[#This Row],[Retail Hours]]*$AS$2,"")</f>
        <v/>
      </c>
      <c r="AT534" s="40">
        <f>SUMIFS(DaybyDay[Est-Retail-Payroll],DaybyDay[Date],"&gt;="&amp;$C$5,DaybyDay[RowYear],"&gt;="&amp;$C$4,DaybyDay[Date],"&lt;="&amp;DaybyDay[[#This Row],[Date]])</f>
        <v>0</v>
      </c>
      <c r="AU534" s="82" t="str">
        <f>IF(AND(DaybyDay[[#This Row],[_Space]],ISNUMBER(DaybyDay[[#This Row],[Retail Hours]])),DaybyDay[[#This Row],[Est-Retail-Payroll]]/(DaybyDay[[#This Row],[Retail-Actuals]]),"")</f>
        <v/>
      </c>
      <c r="AV534" s="82" t="e">
        <f>DaybyDay[[#This Row],[Est-Retail-PayrollRU]]/DaybyDay[[#This Row],[Simple-Forecast-Retail]]</f>
        <v>#DIV/0!</v>
      </c>
      <c r="AW534" s="8"/>
    </row>
    <row r="535" spans="3:49" hidden="1" x14ac:dyDescent="0.25">
      <c r="C535" s="26" t="str">
        <f>Tools!$C$1</f>
        <v>Example</v>
      </c>
      <c r="D535" s="27" t="s">
        <v>73</v>
      </c>
      <c r="E535" s="28">
        <v>2018</v>
      </c>
      <c r="F535" s="28">
        <f>MATCH(DaybyDay[[#This Row],[RowMonth]],Table3[SummaryMonth],0)</f>
        <v>6</v>
      </c>
      <c r="G535" s="29">
        <f>MATCH(DaybyDay[[#This Row],[LY-Date]],DaybyDay[Date],0)</f>
        <v>165</v>
      </c>
      <c r="H535" s="30">
        <f>WEEKDAY(DaybyDay[[#This Row],[Date]])</f>
        <v>4</v>
      </c>
      <c r="I535" s="31">
        <v>43264</v>
      </c>
      <c r="J535" s="74">
        <v>23</v>
      </c>
      <c r="K535" s="32">
        <f>SUMIFS(BudgetSeasonality[365 Seasonality],BudgetSeasonality[MonthAdjustment],DaybyDay[[#This Row],[Date]])*SUMIFS(Budgets[Service-Budget],Budgets[BudgetMonth],DaybyDay[[#This Row],[RowMonth]],Budgets[BudgetYear],DaybyDay[[#This Row],[RowYear]])</f>
        <v>4815.3536535897729</v>
      </c>
      <c r="L535" s="75">
        <v>4507.3999999999996</v>
      </c>
      <c r="M535" s="32">
        <f>INDEX(BudgetSeasonality[365 Seasonality],MATCH(DaybyDay[[#This Row],[Date]],BudgetSeasonality[MonthAdjustment],0))*SUMIFS(Budgets[Retail-Budget],Budgets[BudgetMonth],DaybyDay[[#This Row],[RowMonth]],Budgets[BudgetYear],DaybyDay[[#This Row],[RowYear]])</f>
        <v>1445.8991981157653</v>
      </c>
      <c r="N535" s="75">
        <v>395.5</v>
      </c>
      <c r="O535" s="33">
        <f>SUMIFS(DaybyDay[Service-Budgets],DaybyDay[Date],"&gt;="&amp;$C$5,DaybyDay[RowYear],"&gt;="&amp;$C$4,DaybyDay[Date],"&lt;="&amp;DaybyDay[[#This Row],[Date]])</f>
        <v>0</v>
      </c>
      <c r="P535" s="33">
        <f>SUMIFS(DaybyDay[Retail-Budgets],DaybyDay[Date],"&gt;="&amp;$C$5,DaybyDay[RowYear],"&gt;="&amp;$C$4,DaybyDay[Date],"&lt;="&amp;DaybyDay[[#This Row],[Date]])</f>
        <v>0</v>
      </c>
      <c r="Q535" s="34">
        <f>SUMIFS(DaybyDay[Service-Actuals],DaybyDay[Date],"&gt;="&amp;$C$5,DaybyDay[RowYear],"&gt;="&amp;$C$4,DaybyDay[Date],"&lt;="&amp;DaybyDay[[#This Row],[Date]])</f>
        <v>0</v>
      </c>
      <c r="R535" s="34">
        <f>SUMIFS(DaybyDay[Retail-Actuals],DaybyDay[Date],"&gt;="&amp;$C$5,DaybyDay[RowYear],"&gt;="&amp;$C$4,DaybyDay[Date],"&lt;="&amp;DaybyDay[[#This Row],[Date]])</f>
        <v>0</v>
      </c>
      <c r="S535" s="35">
        <f>SUMIFS(DaybyDay[Service-LY],DaybyDay[Date],"&gt;="&amp;$C$5,DaybyDay[RowYear],"&gt;="&amp;$C$4,DaybyDay[Date],"&lt;="&amp;DaybyDay[[#This Row],[Date]])</f>
        <v>0</v>
      </c>
      <c r="T535" s="35">
        <f>SUMIFS(DaybyDay[Retail-LY],DaybyDay[Date],"&gt;="&amp;$C$5,DaybyDay[RowYear],"&gt;="&amp;$C$4,DaybyDay[Date],"&lt;="&amp;DaybyDay[[#This Row],[Date]])</f>
        <v>0</v>
      </c>
      <c r="U535" s="32">
        <f>DaybyDay[[#This Row],[Serv-Bud-RU]]+DaybyDay[[#This Row],[Ret-Bud-RU]]</f>
        <v>0</v>
      </c>
      <c r="V535" s="32">
        <f>DaybyDay[[#This Row],[Serv-Act-RU]]+DaybyDay[[#This Row],[Ret-Act-RU]]</f>
        <v>0</v>
      </c>
      <c r="W535" s="36">
        <f>IF(DaybyDay[[#This Row],[_Space]],IFERROR(
((DaybyDay[[#This Row],[Actual-Rollup]]-DaybyDay[[#This Row],[Budget-Rollup]])/DaybyDay[[#This Row],[Budget-Rollup]]),0),"")</f>
        <v>0</v>
      </c>
      <c r="X535" t="b">
        <f>NOT(AND(ISBLANK(DaybyDay[[#This Row],[Appts]]),ISBLANK(DaybyDay[[#This Row],[Service-Actuals]]),ISBLANK(DaybyDay[[#This Row],[Retail-Actuals]])))</f>
        <v>1</v>
      </c>
      <c r="Y535" s="36">
        <f>IF(DaybyDay[[#This Row],[_Space]],IFERROR(
((DaybyDay[[#This Row],[Actual-Rollup]]-DaybyDay[[#This Row],[LY-Rollup]])/DaybyDay[[#This Row],[LY-Rollup]]),0),"")</f>
        <v>0</v>
      </c>
      <c r="Z535"/>
      <c r="AA535" s="37" t="e">
        <f>IF(DaybyDay[[#This Row],[_Space]],DaybyDay[[#This Row],[Ret-Act-RU]]/DaybyDay[[#This Row],[Serv-Act-RU]],"")</f>
        <v>#DIV/0!</v>
      </c>
      <c r="AB535" s="50" t="e">
        <f>IF(DaybyDay[[#This Row],[_Space]],DaybyDay[[#This Row],[RETPEN-Act]]/DaybyDay[[#This Row],[RETPEN-Bud]],"")</f>
        <v>#DIV/0!</v>
      </c>
      <c r="AC535" s="37" t="e">
        <f>IF(DaybyDay[[#This Row],[_Space]],DaybyDay[[#This Row],[Ret-Bud-RU]]/DaybyDay[[#This Row],[Serv-Bud-RU]],"")</f>
        <v>#DIV/0!</v>
      </c>
      <c r="AD535" s="37" t="e">
        <f>IF(DaybyDay[[#This Row],[_Space]],DaybyDay[[#This Row],[Ret-LY-RU]]/DaybyDay[[#This Row],[Serv-LY-RU]],"")</f>
        <v>#DIV/0!</v>
      </c>
      <c r="AE535" s="30">
        <f>WEEKDAY(DaybyDay[[#This Row],[LY-Date]])</f>
        <v>4</v>
      </c>
      <c r="AF535" s="38">
        <f>$E$2+_xlfn.DAYS(DaybyDay[[#This Row],[Date]],minDate)</f>
        <v>42900</v>
      </c>
      <c r="AG535" s="39" cm="1">
        <f t="array" ref="AG535">IFERROR(INDEX(DaybyDay[],DaybyDay[[#This Row],[FORM_MATCH_HELPER]],8),"")</f>
        <v>14</v>
      </c>
      <c r="AH535" s="39" cm="1">
        <f t="array" ref="AH535">IFERROR(INDEX(DaybyDay[],DaybyDay[[#This Row],[FORM_MATCH_HELPER]],10),"")</f>
        <v>3294.25</v>
      </c>
      <c r="AI535" s="39" cm="1">
        <f t="array" ref="AI535">IFERROR(INDEX(DaybyDay[],DaybyDay[[#This Row],[FORM_MATCH_HELPER]],12),"")</f>
        <v>1044</v>
      </c>
      <c r="AJ535" s="32">
        <f>IFERROR(DaybyDay[[#This Row],[Serv-LY-RU]]+DaybyDay[[#This Row],[Ret-LY-RU]],"")</f>
        <v>0</v>
      </c>
      <c r="AK5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5" s="77"/>
      <c r="AM535" s="40" t="str">
        <f>IF(DaybyDay[[#This Row],[Admin Hours]]&gt;0,DaybyDay[[#This Row],[Admin Hours]]*$AM$2+$AM$3,"")</f>
        <v/>
      </c>
      <c r="AN535" s="40">
        <f>SUMIFS(DaybyDay[Est-Admin-Payroll],DaybyDay[Date],"&gt;="&amp;$C$5,DaybyDay[RowYear],"&gt;="&amp;$C$4,DaybyDay[Date],"&lt;="&amp;DaybyDay[[#This Row],[Date]])</f>
        <v>0</v>
      </c>
      <c r="AO535" s="41" t="str">
        <f>IF(AND(DaybyDay[[#This Row],[_Space]],ISNUMBER(DaybyDay[[#This Row],[Admin Hours]])),DaybyDay[[#This Row],[Est-Admin-Payroll]]/(DaybyDay[[#This Row],[Service-Actuals]]+DaybyDay[[#This Row],[Retail-Actuals]]),"")</f>
        <v/>
      </c>
      <c r="AP535" s="41" t="e">
        <f>DaybyDay[[#This Row],[Estimated-Payroll-Rollup]]/DaybyDay[[#This Row],[Simple-Forecast]]</f>
        <v>#DIV/0!</v>
      </c>
      <c r="AQ5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5" s="77"/>
      <c r="AS535" s="40" t="str">
        <f>IF(DaybyDay[[#This Row],[Retail Hours]]&gt;0,DaybyDay[[#This Row],[Retail Hours]]*$AS$2,"")</f>
        <v/>
      </c>
      <c r="AT535" s="40">
        <f>SUMIFS(DaybyDay[Est-Retail-Payroll],DaybyDay[Date],"&gt;="&amp;$C$5,DaybyDay[RowYear],"&gt;="&amp;$C$4,DaybyDay[Date],"&lt;="&amp;DaybyDay[[#This Row],[Date]])</f>
        <v>0</v>
      </c>
      <c r="AU535" s="82" t="str">
        <f>IF(AND(DaybyDay[[#This Row],[_Space]],ISNUMBER(DaybyDay[[#This Row],[Retail Hours]])),DaybyDay[[#This Row],[Est-Retail-Payroll]]/(DaybyDay[[#This Row],[Retail-Actuals]]),"")</f>
        <v/>
      </c>
      <c r="AV535" s="82" t="e">
        <f>DaybyDay[[#This Row],[Est-Retail-PayrollRU]]/DaybyDay[[#This Row],[Simple-Forecast-Retail]]</f>
        <v>#DIV/0!</v>
      </c>
      <c r="AW535" s="8"/>
    </row>
    <row r="536" spans="3:49" hidden="1" x14ac:dyDescent="0.25">
      <c r="C536" s="26" t="str">
        <f>Tools!$C$1</f>
        <v>Example</v>
      </c>
      <c r="D536" s="27" t="s">
        <v>73</v>
      </c>
      <c r="E536" s="28">
        <v>2018</v>
      </c>
      <c r="F536" s="28">
        <f>MATCH(DaybyDay[[#This Row],[RowMonth]],Table3[SummaryMonth],0)</f>
        <v>6</v>
      </c>
      <c r="G536" s="29">
        <f>MATCH(DaybyDay[[#This Row],[LY-Date]],DaybyDay[Date],0)</f>
        <v>166</v>
      </c>
      <c r="H536" s="30">
        <f>WEEKDAY(DaybyDay[[#This Row],[Date]])</f>
        <v>5</v>
      </c>
      <c r="I536" s="31">
        <v>43265</v>
      </c>
      <c r="J536" s="74">
        <v>28</v>
      </c>
      <c r="K536" s="32">
        <f>SUMIFS(BudgetSeasonality[365 Seasonality],BudgetSeasonality[MonthAdjustment],DaybyDay[[#This Row],[Date]])*SUMIFS(Budgets[Service-Budget],Budgets[BudgetMonth],DaybyDay[[#This Row],[RowMonth]],Budgets[BudgetYear],DaybyDay[[#This Row],[RowYear]])</f>
        <v>4949.7664064691398</v>
      </c>
      <c r="L536" s="75">
        <v>4998.8999999999996</v>
      </c>
      <c r="M536" s="32">
        <f>INDEX(BudgetSeasonality[365 Seasonality],MATCH(DaybyDay[[#This Row],[Date]],BudgetSeasonality[MonthAdjustment],0))*SUMIFS(Budgets[Retail-Budget],Budgets[BudgetMonth],DaybyDay[[#This Row],[RowMonth]],Budgets[BudgetYear],DaybyDay[[#This Row],[RowYear]])</f>
        <v>1486.2591188164859</v>
      </c>
      <c r="N536" s="75">
        <v>2153</v>
      </c>
      <c r="O536" s="33">
        <f>SUMIFS(DaybyDay[Service-Budgets],DaybyDay[Date],"&gt;="&amp;$C$5,DaybyDay[RowYear],"&gt;="&amp;$C$4,DaybyDay[Date],"&lt;="&amp;DaybyDay[[#This Row],[Date]])</f>
        <v>0</v>
      </c>
      <c r="P536" s="33">
        <f>SUMIFS(DaybyDay[Retail-Budgets],DaybyDay[Date],"&gt;="&amp;$C$5,DaybyDay[RowYear],"&gt;="&amp;$C$4,DaybyDay[Date],"&lt;="&amp;DaybyDay[[#This Row],[Date]])</f>
        <v>0</v>
      </c>
      <c r="Q536" s="34">
        <f>SUMIFS(DaybyDay[Service-Actuals],DaybyDay[Date],"&gt;="&amp;$C$5,DaybyDay[RowYear],"&gt;="&amp;$C$4,DaybyDay[Date],"&lt;="&amp;DaybyDay[[#This Row],[Date]])</f>
        <v>0</v>
      </c>
      <c r="R536" s="34">
        <f>SUMIFS(DaybyDay[Retail-Actuals],DaybyDay[Date],"&gt;="&amp;$C$5,DaybyDay[RowYear],"&gt;="&amp;$C$4,DaybyDay[Date],"&lt;="&amp;DaybyDay[[#This Row],[Date]])</f>
        <v>0</v>
      </c>
      <c r="S536" s="35">
        <f>SUMIFS(DaybyDay[Service-LY],DaybyDay[Date],"&gt;="&amp;$C$5,DaybyDay[RowYear],"&gt;="&amp;$C$4,DaybyDay[Date],"&lt;="&amp;DaybyDay[[#This Row],[Date]])</f>
        <v>0</v>
      </c>
      <c r="T536" s="35">
        <f>SUMIFS(DaybyDay[Retail-LY],DaybyDay[Date],"&gt;="&amp;$C$5,DaybyDay[RowYear],"&gt;="&amp;$C$4,DaybyDay[Date],"&lt;="&amp;DaybyDay[[#This Row],[Date]])</f>
        <v>0</v>
      </c>
      <c r="U536" s="32">
        <f>DaybyDay[[#This Row],[Serv-Bud-RU]]+DaybyDay[[#This Row],[Ret-Bud-RU]]</f>
        <v>0</v>
      </c>
      <c r="V536" s="32">
        <f>DaybyDay[[#This Row],[Serv-Act-RU]]+DaybyDay[[#This Row],[Ret-Act-RU]]</f>
        <v>0</v>
      </c>
      <c r="W536" s="36">
        <f>IF(DaybyDay[[#This Row],[_Space]],IFERROR(
((DaybyDay[[#This Row],[Actual-Rollup]]-DaybyDay[[#This Row],[Budget-Rollup]])/DaybyDay[[#This Row],[Budget-Rollup]]),0),"")</f>
        <v>0</v>
      </c>
      <c r="X536" t="b">
        <f>NOT(AND(ISBLANK(DaybyDay[[#This Row],[Appts]]),ISBLANK(DaybyDay[[#This Row],[Service-Actuals]]),ISBLANK(DaybyDay[[#This Row],[Retail-Actuals]])))</f>
        <v>1</v>
      </c>
      <c r="Y536" s="36">
        <f>IF(DaybyDay[[#This Row],[_Space]],IFERROR(
((DaybyDay[[#This Row],[Actual-Rollup]]-DaybyDay[[#This Row],[LY-Rollup]])/DaybyDay[[#This Row],[LY-Rollup]]),0),"")</f>
        <v>0</v>
      </c>
      <c r="Z536"/>
      <c r="AA536" s="37" t="e">
        <f>IF(DaybyDay[[#This Row],[_Space]],DaybyDay[[#This Row],[Ret-Act-RU]]/DaybyDay[[#This Row],[Serv-Act-RU]],"")</f>
        <v>#DIV/0!</v>
      </c>
      <c r="AB536" s="50" t="e">
        <f>IF(DaybyDay[[#This Row],[_Space]],DaybyDay[[#This Row],[RETPEN-Act]]/DaybyDay[[#This Row],[RETPEN-Bud]],"")</f>
        <v>#DIV/0!</v>
      </c>
      <c r="AC536" s="37" t="e">
        <f>IF(DaybyDay[[#This Row],[_Space]],DaybyDay[[#This Row],[Ret-Bud-RU]]/DaybyDay[[#This Row],[Serv-Bud-RU]],"")</f>
        <v>#DIV/0!</v>
      </c>
      <c r="AD536" s="37" t="e">
        <f>IF(DaybyDay[[#This Row],[_Space]],DaybyDay[[#This Row],[Ret-LY-RU]]/DaybyDay[[#This Row],[Serv-LY-RU]],"")</f>
        <v>#DIV/0!</v>
      </c>
      <c r="AE536" s="30">
        <f>WEEKDAY(DaybyDay[[#This Row],[LY-Date]])</f>
        <v>5</v>
      </c>
      <c r="AF536" s="38">
        <f>$E$2+_xlfn.DAYS(DaybyDay[[#This Row],[Date]],minDate)</f>
        <v>42901</v>
      </c>
      <c r="AG536" s="39" cm="1">
        <f t="array" ref="AG536">IFERROR(INDEX(DaybyDay[],DaybyDay[[#This Row],[FORM_MATCH_HELPER]],8),"")</f>
        <v>22</v>
      </c>
      <c r="AH536" s="39" cm="1">
        <f t="array" ref="AH536">IFERROR(INDEX(DaybyDay[],DaybyDay[[#This Row],[FORM_MATCH_HELPER]],10),"")</f>
        <v>4225.74</v>
      </c>
      <c r="AI536" s="39" cm="1">
        <f t="array" ref="AI536">IFERROR(INDEX(DaybyDay[],DaybyDay[[#This Row],[FORM_MATCH_HELPER]],12),"")</f>
        <v>423</v>
      </c>
      <c r="AJ536" s="32">
        <f>IFERROR(DaybyDay[[#This Row],[Serv-LY-RU]]+DaybyDay[[#This Row],[Ret-LY-RU]],"")</f>
        <v>0</v>
      </c>
      <c r="AK5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6" s="77"/>
      <c r="AM536" s="40" t="str">
        <f>IF(DaybyDay[[#This Row],[Admin Hours]]&gt;0,DaybyDay[[#This Row],[Admin Hours]]*$AM$2+$AM$3,"")</f>
        <v/>
      </c>
      <c r="AN536" s="40">
        <f>SUMIFS(DaybyDay[Est-Admin-Payroll],DaybyDay[Date],"&gt;="&amp;$C$5,DaybyDay[RowYear],"&gt;="&amp;$C$4,DaybyDay[Date],"&lt;="&amp;DaybyDay[[#This Row],[Date]])</f>
        <v>0</v>
      </c>
      <c r="AO536" s="41" t="str">
        <f>IF(AND(DaybyDay[[#This Row],[_Space]],ISNUMBER(DaybyDay[[#This Row],[Admin Hours]])),DaybyDay[[#This Row],[Est-Admin-Payroll]]/(DaybyDay[[#This Row],[Service-Actuals]]+DaybyDay[[#This Row],[Retail-Actuals]]),"")</f>
        <v/>
      </c>
      <c r="AP536" s="41" t="e">
        <f>DaybyDay[[#This Row],[Estimated-Payroll-Rollup]]/DaybyDay[[#This Row],[Simple-Forecast]]</f>
        <v>#DIV/0!</v>
      </c>
      <c r="AQ5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6" s="77"/>
      <c r="AS536" s="40" t="str">
        <f>IF(DaybyDay[[#This Row],[Retail Hours]]&gt;0,DaybyDay[[#This Row],[Retail Hours]]*$AS$2,"")</f>
        <v/>
      </c>
      <c r="AT536" s="40">
        <f>SUMIFS(DaybyDay[Est-Retail-Payroll],DaybyDay[Date],"&gt;="&amp;$C$5,DaybyDay[RowYear],"&gt;="&amp;$C$4,DaybyDay[Date],"&lt;="&amp;DaybyDay[[#This Row],[Date]])</f>
        <v>0</v>
      </c>
      <c r="AU536" s="82" t="str">
        <f>IF(AND(DaybyDay[[#This Row],[_Space]],ISNUMBER(DaybyDay[[#This Row],[Retail Hours]])),DaybyDay[[#This Row],[Est-Retail-Payroll]]/(DaybyDay[[#This Row],[Retail-Actuals]]),"")</f>
        <v/>
      </c>
      <c r="AV536" s="82" t="e">
        <f>DaybyDay[[#This Row],[Est-Retail-PayrollRU]]/DaybyDay[[#This Row],[Simple-Forecast-Retail]]</f>
        <v>#DIV/0!</v>
      </c>
      <c r="AW536" s="8"/>
    </row>
    <row r="537" spans="3:49" hidden="1" x14ac:dyDescent="0.25">
      <c r="C537" s="26" t="str">
        <f>Tools!$C$1</f>
        <v>Example</v>
      </c>
      <c r="D537" s="27" t="s">
        <v>73</v>
      </c>
      <c r="E537" s="28">
        <v>2018</v>
      </c>
      <c r="F537" s="28">
        <f>MATCH(DaybyDay[[#This Row],[RowMonth]],Table3[SummaryMonth],0)</f>
        <v>6</v>
      </c>
      <c r="G537" s="29">
        <f>MATCH(DaybyDay[[#This Row],[LY-Date]],DaybyDay[Date],0)</f>
        <v>167</v>
      </c>
      <c r="H537" s="30">
        <f>WEEKDAY(DaybyDay[[#This Row],[Date]])</f>
        <v>6</v>
      </c>
      <c r="I537" s="31">
        <v>43266</v>
      </c>
      <c r="J537" s="74">
        <v>23</v>
      </c>
      <c r="K537" s="32">
        <f>SUMIFS(BudgetSeasonality[365 Seasonality],BudgetSeasonality[MonthAdjustment],DaybyDay[[#This Row],[Date]])*SUMIFS(Budgets[Service-Budget],Budgets[BudgetMonth],DaybyDay[[#This Row],[RowMonth]],Budgets[BudgetYear],DaybyDay[[#This Row],[RowYear]])</f>
        <v>6170.4813109742408</v>
      </c>
      <c r="L537" s="75">
        <v>3992.75</v>
      </c>
      <c r="M537" s="32">
        <f>INDEX(BudgetSeasonality[365 Seasonality],MATCH(DaybyDay[[#This Row],[Date]],BudgetSeasonality[MonthAdjustment],0))*SUMIFS(Budgets[Retail-Budget],Budgets[BudgetMonth],DaybyDay[[#This Row],[RowMonth]],Budgets[BudgetYear],DaybyDay[[#This Row],[RowYear]])</f>
        <v>1852.8013976449754</v>
      </c>
      <c r="N537" s="75">
        <v>396.1</v>
      </c>
      <c r="O537" s="33">
        <f>SUMIFS(DaybyDay[Service-Budgets],DaybyDay[Date],"&gt;="&amp;$C$5,DaybyDay[RowYear],"&gt;="&amp;$C$4,DaybyDay[Date],"&lt;="&amp;DaybyDay[[#This Row],[Date]])</f>
        <v>0</v>
      </c>
      <c r="P537" s="33">
        <f>SUMIFS(DaybyDay[Retail-Budgets],DaybyDay[Date],"&gt;="&amp;$C$5,DaybyDay[RowYear],"&gt;="&amp;$C$4,DaybyDay[Date],"&lt;="&amp;DaybyDay[[#This Row],[Date]])</f>
        <v>0</v>
      </c>
      <c r="Q537" s="34">
        <f>SUMIFS(DaybyDay[Service-Actuals],DaybyDay[Date],"&gt;="&amp;$C$5,DaybyDay[RowYear],"&gt;="&amp;$C$4,DaybyDay[Date],"&lt;="&amp;DaybyDay[[#This Row],[Date]])</f>
        <v>0</v>
      </c>
      <c r="R537" s="34">
        <f>SUMIFS(DaybyDay[Retail-Actuals],DaybyDay[Date],"&gt;="&amp;$C$5,DaybyDay[RowYear],"&gt;="&amp;$C$4,DaybyDay[Date],"&lt;="&amp;DaybyDay[[#This Row],[Date]])</f>
        <v>0</v>
      </c>
      <c r="S537" s="35">
        <f>SUMIFS(DaybyDay[Service-LY],DaybyDay[Date],"&gt;="&amp;$C$5,DaybyDay[RowYear],"&gt;="&amp;$C$4,DaybyDay[Date],"&lt;="&amp;DaybyDay[[#This Row],[Date]])</f>
        <v>0</v>
      </c>
      <c r="T537" s="35">
        <f>SUMIFS(DaybyDay[Retail-LY],DaybyDay[Date],"&gt;="&amp;$C$5,DaybyDay[RowYear],"&gt;="&amp;$C$4,DaybyDay[Date],"&lt;="&amp;DaybyDay[[#This Row],[Date]])</f>
        <v>0</v>
      </c>
      <c r="U537" s="32">
        <f>DaybyDay[[#This Row],[Serv-Bud-RU]]+DaybyDay[[#This Row],[Ret-Bud-RU]]</f>
        <v>0</v>
      </c>
      <c r="V537" s="32">
        <f>DaybyDay[[#This Row],[Serv-Act-RU]]+DaybyDay[[#This Row],[Ret-Act-RU]]</f>
        <v>0</v>
      </c>
      <c r="W537" s="36">
        <f>IF(DaybyDay[[#This Row],[_Space]],IFERROR(
((DaybyDay[[#This Row],[Actual-Rollup]]-DaybyDay[[#This Row],[Budget-Rollup]])/DaybyDay[[#This Row],[Budget-Rollup]]),0),"")</f>
        <v>0</v>
      </c>
      <c r="X537" t="b">
        <f>NOT(AND(ISBLANK(DaybyDay[[#This Row],[Appts]]),ISBLANK(DaybyDay[[#This Row],[Service-Actuals]]),ISBLANK(DaybyDay[[#This Row],[Retail-Actuals]])))</f>
        <v>1</v>
      </c>
      <c r="Y537" s="36">
        <f>IF(DaybyDay[[#This Row],[_Space]],IFERROR(
((DaybyDay[[#This Row],[Actual-Rollup]]-DaybyDay[[#This Row],[LY-Rollup]])/DaybyDay[[#This Row],[LY-Rollup]]),0),"")</f>
        <v>0</v>
      </c>
      <c r="Z537"/>
      <c r="AA537" s="37" t="e">
        <f>IF(DaybyDay[[#This Row],[_Space]],DaybyDay[[#This Row],[Ret-Act-RU]]/DaybyDay[[#This Row],[Serv-Act-RU]],"")</f>
        <v>#DIV/0!</v>
      </c>
      <c r="AB537" s="50" t="e">
        <f>IF(DaybyDay[[#This Row],[_Space]],DaybyDay[[#This Row],[RETPEN-Act]]/DaybyDay[[#This Row],[RETPEN-Bud]],"")</f>
        <v>#DIV/0!</v>
      </c>
      <c r="AC537" s="37" t="e">
        <f>IF(DaybyDay[[#This Row],[_Space]],DaybyDay[[#This Row],[Ret-Bud-RU]]/DaybyDay[[#This Row],[Serv-Bud-RU]],"")</f>
        <v>#DIV/0!</v>
      </c>
      <c r="AD537" s="37" t="e">
        <f>IF(DaybyDay[[#This Row],[_Space]],DaybyDay[[#This Row],[Ret-LY-RU]]/DaybyDay[[#This Row],[Serv-LY-RU]],"")</f>
        <v>#DIV/0!</v>
      </c>
      <c r="AE537" s="30">
        <f>WEEKDAY(DaybyDay[[#This Row],[LY-Date]])</f>
        <v>6</v>
      </c>
      <c r="AF537" s="38">
        <f>$E$2+_xlfn.DAYS(DaybyDay[[#This Row],[Date]],minDate)</f>
        <v>42902</v>
      </c>
      <c r="AG537" s="39" cm="1">
        <f t="array" ref="AG537">IFERROR(INDEX(DaybyDay[],DaybyDay[[#This Row],[FORM_MATCH_HELPER]],8),"")</f>
        <v>41</v>
      </c>
      <c r="AH537" s="39" cm="1">
        <f t="array" ref="AH537">IFERROR(INDEX(DaybyDay[],DaybyDay[[#This Row],[FORM_MATCH_HELPER]],10),"")</f>
        <v>6004.29</v>
      </c>
      <c r="AI537" s="39" cm="1">
        <f t="array" ref="AI537">IFERROR(INDEX(DaybyDay[],DaybyDay[[#This Row],[FORM_MATCH_HELPER]],12),"")</f>
        <v>796</v>
      </c>
      <c r="AJ537" s="32">
        <f>IFERROR(DaybyDay[[#This Row],[Serv-LY-RU]]+DaybyDay[[#This Row],[Ret-LY-RU]],"")</f>
        <v>0</v>
      </c>
      <c r="AK5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7" s="77"/>
      <c r="AM537" s="40" t="str">
        <f>IF(DaybyDay[[#This Row],[Admin Hours]]&gt;0,DaybyDay[[#This Row],[Admin Hours]]*$AM$2+$AM$3,"")</f>
        <v/>
      </c>
      <c r="AN537" s="40">
        <f>SUMIFS(DaybyDay[Est-Admin-Payroll],DaybyDay[Date],"&gt;="&amp;$C$5,DaybyDay[RowYear],"&gt;="&amp;$C$4,DaybyDay[Date],"&lt;="&amp;DaybyDay[[#This Row],[Date]])</f>
        <v>0</v>
      </c>
      <c r="AO537" s="41" t="str">
        <f>IF(AND(DaybyDay[[#This Row],[_Space]],ISNUMBER(DaybyDay[[#This Row],[Admin Hours]])),DaybyDay[[#This Row],[Est-Admin-Payroll]]/(DaybyDay[[#This Row],[Service-Actuals]]+DaybyDay[[#This Row],[Retail-Actuals]]),"")</f>
        <v/>
      </c>
      <c r="AP537" s="41" t="e">
        <f>DaybyDay[[#This Row],[Estimated-Payroll-Rollup]]/DaybyDay[[#This Row],[Simple-Forecast]]</f>
        <v>#DIV/0!</v>
      </c>
      <c r="AQ5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7" s="77"/>
      <c r="AS537" s="40" t="str">
        <f>IF(DaybyDay[[#This Row],[Retail Hours]]&gt;0,DaybyDay[[#This Row],[Retail Hours]]*$AS$2,"")</f>
        <v/>
      </c>
      <c r="AT537" s="40">
        <f>SUMIFS(DaybyDay[Est-Retail-Payroll],DaybyDay[Date],"&gt;="&amp;$C$5,DaybyDay[RowYear],"&gt;="&amp;$C$4,DaybyDay[Date],"&lt;="&amp;DaybyDay[[#This Row],[Date]])</f>
        <v>0</v>
      </c>
      <c r="AU537" s="82" t="str">
        <f>IF(AND(DaybyDay[[#This Row],[_Space]],ISNUMBER(DaybyDay[[#This Row],[Retail Hours]])),DaybyDay[[#This Row],[Est-Retail-Payroll]]/(DaybyDay[[#This Row],[Retail-Actuals]]),"")</f>
        <v/>
      </c>
      <c r="AV537" s="82" t="e">
        <f>DaybyDay[[#This Row],[Est-Retail-PayrollRU]]/DaybyDay[[#This Row],[Simple-Forecast-Retail]]</f>
        <v>#DIV/0!</v>
      </c>
      <c r="AW537" s="8"/>
    </row>
    <row r="538" spans="3:49" hidden="1" x14ac:dyDescent="0.25">
      <c r="C538" s="26" t="str">
        <f>Tools!$C$1</f>
        <v>Example</v>
      </c>
      <c r="D538" s="27" t="s">
        <v>73</v>
      </c>
      <c r="E538" s="28">
        <v>2018</v>
      </c>
      <c r="F538" s="28">
        <f>MATCH(DaybyDay[[#This Row],[RowMonth]],Table3[SummaryMonth],0)</f>
        <v>6</v>
      </c>
      <c r="G538" s="29">
        <f>MATCH(DaybyDay[[#This Row],[LY-Date]],DaybyDay[Date],0)</f>
        <v>168</v>
      </c>
      <c r="H538" s="30">
        <f>WEEKDAY(DaybyDay[[#This Row],[Date]])</f>
        <v>7</v>
      </c>
      <c r="I538" s="31">
        <v>43267</v>
      </c>
      <c r="J538" s="74">
        <v>35</v>
      </c>
      <c r="K538" s="32">
        <f>SUMIFS(BudgetSeasonality[365 Seasonality],BudgetSeasonality[MonthAdjustment],DaybyDay[[#This Row],[Date]])*SUMIFS(Budgets[Service-Budget],Budgets[BudgetMonth],DaybyDay[[#This Row],[RowMonth]],Budgets[BudgetYear],DaybyDay[[#This Row],[RowYear]])</f>
        <v>8758.7459696547303</v>
      </c>
      <c r="L538" s="75">
        <v>7970.25</v>
      </c>
      <c r="M538" s="32">
        <f>INDEX(BudgetSeasonality[365 Seasonality],MATCH(DaybyDay[[#This Row],[Date]],BudgetSeasonality[MonthAdjustment],0))*SUMIFS(Budgets[Retail-Budget],Budgets[BudgetMonth],DaybyDay[[#This Row],[RowMonth]],Budgets[BudgetYear],DaybyDay[[#This Row],[RowYear]])</f>
        <v>2629.9758408362068</v>
      </c>
      <c r="N538" s="75">
        <v>1731</v>
      </c>
      <c r="O538" s="33">
        <f>SUMIFS(DaybyDay[Service-Budgets],DaybyDay[Date],"&gt;="&amp;$C$5,DaybyDay[RowYear],"&gt;="&amp;$C$4,DaybyDay[Date],"&lt;="&amp;DaybyDay[[#This Row],[Date]])</f>
        <v>0</v>
      </c>
      <c r="P538" s="33">
        <f>SUMIFS(DaybyDay[Retail-Budgets],DaybyDay[Date],"&gt;="&amp;$C$5,DaybyDay[RowYear],"&gt;="&amp;$C$4,DaybyDay[Date],"&lt;="&amp;DaybyDay[[#This Row],[Date]])</f>
        <v>0</v>
      </c>
      <c r="Q538" s="34">
        <f>SUMIFS(DaybyDay[Service-Actuals],DaybyDay[Date],"&gt;="&amp;$C$5,DaybyDay[RowYear],"&gt;="&amp;$C$4,DaybyDay[Date],"&lt;="&amp;DaybyDay[[#This Row],[Date]])</f>
        <v>0</v>
      </c>
      <c r="R538" s="34">
        <f>SUMIFS(DaybyDay[Retail-Actuals],DaybyDay[Date],"&gt;="&amp;$C$5,DaybyDay[RowYear],"&gt;="&amp;$C$4,DaybyDay[Date],"&lt;="&amp;DaybyDay[[#This Row],[Date]])</f>
        <v>0</v>
      </c>
      <c r="S538" s="35">
        <f>SUMIFS(DaybyDay[Service-LY],DaybyDay[Date],"&gt;="&amp;$C$5,DaybyDay[RowYear],"&gt;="&amp;$C$4,DaybyDay[Date],"&lt;="&amp;DaybyDay[[#This Row],[Date]])</f>
        <v>0</v>
      </c>
      <c r="T538" s="35">
        <f>SUMIFS(DaybyDay[Retail-LY],DaybyDay[Date],"&gt;="&amp;$C$5,DaybyDay[RowYear],"&gt;="&amp;$C$4,DaybyDay[Date],"&lt;="&amp;DaybyDay[[#This Row],[Date]])</f>
        <v>0</v>
      </c>
      <c r="U538" s="32">
        <f>DaybyDay[[#This Row],[Serv-Bud-RU]]+DaybyDay[[#This Row],[Ret-Bud-RU]]</f>
        <v>0</v>
      </c>
      <c r="V538" s="32">
        <f>DaybyDay[[#This Row],[Serv-Act-RU]]+DaybyDay[[#This Row],[Ret-Act-RU]]</f>
        <v>0</v>
      </c>
      <c r="W538" s="36">
        <f>IF(DaybyDay[[#This Row],[_Space]],IFERROR(
((DaybyDay[[#This Row],[Actual-Rollup]]-DaybyDay[[#This Row],[Budget-Rollup]])/DaybyDay[[#This Row],[Budget-Rollup]]),0),"")</f>
        <v>0</v>
      </c>
      <c r="X538" t="b">
        <f>NOT(AND(ISBLANK(DaybyDay[[#This Row],[Appts]]),ISBLANK(DaybyDay[[#This Row],[Service-Actuals]]),ISBLANK(DaybyDay[[#This Row],[Retail-Actuals]])))</f>
        <v>1</v>
      </c>
      <c r="Y538" s="36">
        <f>IF(DaybyDay[[#This Row],[_Space]],IFERROR(
((DaybyDay[[#This Row],[Actual-Rollup]]-DaybyDay[[#This Row],[LY-Rollup]])/DaybyDay[[#This Row],[LY-Rollup]]),0),"")</f>
        <v>0</v>
      </c>
      <c r="Z538"/>
      <c r="AA538" s="37" t="e">
        <f>IF(DaybyDay[[#This Row],[_Space]],DaybyDay[[#This Row],[Ret-Act-RU]]/DaybyDay[[#This Row],[Serv-Act-RU]],"")</f>
        <v>#DIV/0!</v>
      </c>
      <c r="AB538" s="50" t="e">
        <f>IF(DaybyDay[[#This Row],[_Space]],DaybyDay[[#This Row],[RETPEN-Act]]/DaybyDay[[#This Row],[RETPEN-Bud]],"")</f>
        <v>#DIV/0!</v>
      </c>
      <c r="AC538" s="37" t="e">
        <f>IF(DaybyDay[[#This Row],[_Space]],DaybyDay[[#This Row],[Ret-Bud-RU]]/DaybyDay[[#This Row],[Serv-Bud-RU]],"")</f>
        <v>#DIV/0!</v>
      </c>
      <c r="AD538" s="37" t="e">
        <f>IF(DaybyDay[[#This Row],[_Space]],DaybyDay[[#This Row],[Ret-LY-RU]]/DaybyDay[[#This Row],[Serv-LY-RU]],"")</f>
        <v>#DIV/0!</v>
      </c>
      <c r="AE538" s="30">
        <f>WEEKDAY(DaybyDay[[#This Row],[LY-Date]])</f>
        <v>7</v>
      </c>
      <c r="AF538" s="38">
        <f>$E$2+_xlfn.DAYS(DaybyDay[[#This Row],[Date]],minDate)</f>
        <v>42903</v>
      </c>
      <c r="AG538" s="39" cm="1">
        <f t="array" ref="AG538">IFERROR(INDEX(DaybyDay[],DaybyDay[[#This Row],[FORM_MATCH_HELPER]],8),"")</f>
        <v>35</v>
      </c>
      <c r="AH538" s="39" cm="1">
        <f t="array" ref="AH538">IFERROR(INDEX(DaybyDay[],DaybyDay[[#This Row],[FORM_MATCH_HELPER]],10),"")</f>
        <v>8207.5</v>
      </c>
      <c r="AI538" s="39" cm="1">
        <f t="array" ref="AI538">IFERROR(INDEX(DaybyDay[],DaybyDay[[#This Row],[FORM_MATCH_HELPER]],12),"")</f>
        <v>620</v>
      </c>
      <c r="AJ538" s="32">
        <f>IFERROR(DaybyDay[[#This Row],[Serv-LY-RU]]+DaybyDay[[#This Row],[Ret-LY-RU]],"")</f>
        <v>0</v>
      </c>
      <c r="AK5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8" s="77"/>
      <c r="AM538" s="40" t="str">
        <f>IF(DaybyDay[[#This Row],[Admin Hours]]&gt;0,DaybyDay[[#This Row],[Admin Hours]]*$AM$2+$AM$3,"")</f>
        <v/>
      </c>
      <c r="AN538" s="40">
        <f>SUMIFS(DaybyDay[Est-Admin-Payroll],DaybyDay[Date],"&gt;="&amp;$C$5,DaybyDay[RowYear],"&gt;="&amp;$C$4,DaybyDay[Date],"&lt;="&amp;DaybyDay[[#This Row],[Date]])</f>
        <v>0</v>
      </c>
      <c r="AO538" s="41" t="str">
        <f>IF(AND(DaybyDay[[#This Row],[_Space]],ISNUMBER(DaybyDay[[#This Row],[Admin Hours]])),DaybyDay[[#This Row],[Est-Admin-Payroll]]/(DaybyDay[[#This Row],[Service-Actuals]]+DaybyDay[[#This Row],[Retail-Actuals]]),"")</f>
        <v/>
      </c>
      <c r="AP538" s="41" t="e">
        <f>DaybyDay[[#This Row],[Estimated-Payroll-Rollup]]/DaybyDay[[#This Row],[Simple-Forecast]]</f>
        <v>#DIV/0!</v>
      </c>
      <c r="AQ5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8" s="77"/>
      <c r="AS538" s="40" t="str">
        <f>IF(DaybyDay[[#This Row],[Retail Hours]]&gt;0,DaybyDay[[#This Row],[Retail Hours]]*$AS$2,"")</f>
        <v/>
      </c>
      <c r="AT538" s="40">
        <f>SUMIFS(DaybyDay[Est-Retail-Payroll],DaybyDay[Date],"&gt;="&amp;$C$5,DaybyDay[RowYear],"&gt;="&amp;$C$4,DaybyDay[Date],"&lt;="&amp;DaybyDay[[#This Row],[Date]])</f>
        <v>0</v>
      </c>
      <c r="AU538" s="82" t="str">
        <f>IF(AND(DaybyDay[[#This Row],[_Space]],ISNUMBER(DaybyDay[[#This Row],[Retail Hours]])),DaybyDay[[#This Row],[Est-Retail-Payroll]]/(DaybyDay[[#This Row],[Retail-Actuals]]),"")</f>
        <v/>
      </c>
      <c r="AV538" s="82" t="e">
        <f>DaybyDay[[#This Row],[Est-Retail-PayrollRU]]/DaybyDay[[#This Row],[Simple-Forecast-Retail]]</f>
        <v>#DIV/0!</v>
      </c>
      <c r="AW538" s="8"/>
    </row>
    <row r="539" spans="3:49" hidden="1" x14ac:dyDescent="0.25">
      <c r="C539" s="26" t="str">
        <f>Tools!$C$1</f>
        <v>Example</v>
      </c>
      <c r="D539" s="27" t="s">
        <v>73</v>
      </c>
      <c r="E539" s="28">
        <v>2018</v>
      </c>
      <c r="F539" s="28">
        <f>MATCH(DaybyDay[[#This Row],[RowMonth]],Table3[SummaryMonth],0)</f>
        <v>6</v>
      </c>
      <c r="G539" s="29">
        <f>MATCH(DaybyDay[[#This Row],[LY-Date]],DaybyDay[Date],0)</f>
        <v>169</v>
      </c>
      <c r="H539" s="30">
        <f>WEEKDAY(DaybyDay[[#This Row],[Date]])</f>
        <v>1</v>
      </c>
      <c r="I539" s="31">
        <v>43268</v>
      </c>
      <c r="J539" s="74">
        <v>33</v>
      </c>
      <c r="K539" s="32">
        <f>SUMIFS(BudgetSeasonality[365 Seasonality],BudgetSeasonality[MonthAdjustment],DaybyDay[[#This Row],[Date]])*SUMIFS(Budgets[Service-Budget],Budgets[BudgetMonth],DaybyDay[[#This Row],[RowMonth]],Budgets[BudgetYear],DaybyDay[[#This Row],[RowYear]])</f>
        <v>6795.8272690531212</v>
      </c>
      <c r="L539" s="75">
        <v>6220.8</v>
      </c>
      <c r="M539" s="32">
        <f>INDEX(BudgetSeasonality[365 Seasonality],MATCH(DaybyDay[[#This Row],[Date]],BudgetSeasonality[MonthAdjustment],0))*SUMIFS(Budgets[Retail-Budget],Budgets[BudgetMonth],DaybyDay[[#This Row],[RowMonth]],Budgets[BudgetYear],DaybyDay[[#This Row],[RowYear]])</f>
        <v>2040.5731137799116</v>
      </c>
      <c r="N539" s="75">
        <v>118.5</v>
      </c>
      <c r="O539" s="33">
        <f>SUMIFS(DaybyDay[Service-Budgets],DaybyDay[Date],"&gt;="&amp;$C$5,DaybyDay[RowYear],"&gt;="&amp;$C$4,DaybyDay[Date],"&lt;="&amp;DaybyDay[[#This Row],[Date]])</f>
        <v>0</v>
      </c>
      <c r="P539" s="33">
        <f>SUMIFS(DaybyDay[Retail-Budgets],DaybyDay[Date],"&gt;="&amp;$C$5,DaybyDay[RowYear],"&gt;="&amp;$C$4,DaybyDay[Date],"&lt;="&amp;DaybyDay[[#This Row],[Date]])</f>
        <v>0</v>
      </c>
      <c r="Q539" s="34">
        <f>SUMIFS(DaybyDay[Service-Actuals],DaybyDay[Date],"&gt;="&amp;$C$5,DaybyDay[RowYear],"&gt;="&amp;$C$4,DaybyDay[Date],"&lt;="&amp;DaybyDay[[#This Row],[Date]])</f>
        <v>0</v>
      </c>
      <c r="R539" s="34">
        <f>SUMIFS(DaybyDay[Retail-Actuals],DaybyDay[Date],"&gt;="&amp;$C$5,DaybyDay[RowYear],"&gt;="&amp;$C$4,DaybyDay[Date],"&lt;="&amp;DaybyDay[[#This Row],[Date]])</f>
        <v>0</v>
      </c>
      <c r="S539" s="35">
        <f>SUMIFS(DaybyDay[Service-LY],DaybyDay[Date],"&gt;="&amp;$C$5,DaybyDay[RowYear],"&gt;="&amp;$C$4,DaybyDay[Date],"&lt;="&amp;DaybyDay[[#This Row],[Date]])</f>
        <v>0</v>
      </c>
      <c r="T539" s="35">
        <f>SUMIFS(DaybyDay[Retail-LY],DaybyDay[Date],"&gt;="&amp;$C$5,DaybyDay[RowYear],"&gt;="&amp;$C$4,DaybyDay[Date],"&lt;="&amp;DaybyDay[[#This Row],[Date]])</f>
        <v>0</v>
      </c>
      <c r="U539" s="32">
        <f>DaybyDay[[#This Row],[Serv-Bud-RU]]+DaybyDay[[#This Row],[Ret-Bud-RU]]</f>
        <v>0</v>
      </c>
      <c r="V539" s="32">
        <f>DaybyDay[[#This Row],[Serv-Act-RU]]+DaybyDay[[#This Row],[Ret-Act-RU]]</f>
        <v>0</v>
      </c>
      <c r="W539" s="36">
        <f>IF(DaybyDay[[#This Row],[_Space]],IFERROR(
((DaybyDay[[#This Row],[Actual-Rollup]]-DaybyDay[[#This Row],[Budget-Rollup]])/DaybyDay[[#This Row],[Budget-Rollup]]),0),"")</f>
        <v>0</v>
      </c>
      <c r="X539" t="b">
        <f>NOT(AND(ISBLANK(DaybyDay[[#This Row],[Appts]]),ISBLANK(DaybyDay[[#This Row],[Service-Actuals]]),ISBLANK(DaybyDay[[#This Row],[Retail-Actuals]])))</f>
        <v>1</v>
      </c>
      <c r="Y539" s="36">
        <f>IF(DaybyDay[[#This Row],[_Space]],IFERROR(
((DaybyDay[[#This Row],[Actual-Rollup]]-DaybyDay[[#This Row],[LY-Rollup]])/DaybyDay[[#This Row],[LY-Rollup]]),0),"")</f>
        <v>0</v>
      </c>
      <c r="Z539"/>
      <c r="AA539" s="37" t="e">
        <f>IF(DaybyDay[[#This Row],[_Space]],DaybyDay[[#This Row],[Ret-Act-RU]]/DaybyDay[[#This Row],[Serv-Act-RU]],"")</f>
        <v>#DIV/0!</v>
      </c>
      <c r="AB539" s="50" t="e">
        <f>IF(DaybyDay[[#This Row],[_Space]],DaybyDay[[#This Row],[RETPEN-Act]]/DaybyDay[[#This Row],[RETPEN-Bud]],"")</f>
        <v>#DIV/0!</v>
      </c>
      <c r="AC539" s="37" t="e">
        <f>IF(DaybyDay[[#This Row],[_Space]],DaybyDay[[#This Row],[Ret-Bud-RU]]/DaybyDay[[#This Row],[Serv-Bud-RU]],"")</f>
        <v>#DIV/0!</v>
      </c>
      <c r="AD539" s="37" t="e">
        <f>IF(DaybyDay[[#This Row],[_Space]],DaybyDay[[#This Row],[Ret-LY-RU]]/DaybyDay[[#This Row],[Serv-LY-RU]],"")</f>
        <v>#DIV/0!</v>
      </c>
      <c r="AE539" s="30">
        <f>WEEKDAY(DaybyDay[[#This Row],[LY-Date]])</f>
        <v>1</v>
      </c>
      <c r="AF539" s="38">
        <f>$E$2+_xlfn.DAYS(DaybyDay[[#This Row],[Date]],minDate)</f>
        <v>42904</v>
      </c>
      <c r="AG539" s="39" cm="1">
        <f t="array" ref="AG539">IFERROR(INDEX(DaybyDay[],DaybyDay[[#This Row],[FORM_MATCH_HELPER]],8),"")</f>
        <v>32</v>
      </c>
      <c r="AH539" s="39" cm="1">
        <f t="array" ref="AH539">IFERROR(INDEX(DaybyDay[],DaybyDay[[#This Row],[FORM_MATCH_HELPER]],10),"")</f>
        <v>6048.1</v>
      </c>
      <c r="AI539" s="39" cm="1">
        <f t="array" ref="AI539">IFERROR(INDEX(DaybyDay[],DaybyDay[[#This Row],[FORM_MATCH_HELPER]],12),"")</f>
        <v>99</v>
      </c>
      <c r="AJ539" s="32">
        <f>IFERROR(DaybyDay[[#This Row],[Serv-LY-RU]]+DaybyDay[[#This Row],[Ret-LY-RU]],"")</f>
        <v>0</v>
      </c>
      <c r="AK5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39" s="77"/>
      <c r="AM539" s="40" t="str">
        <f>IF(DaybyDay[[#This Row],[Admin Hours]]&gt;0,DaybyDay[[#This Row],[Admin Hours]]*$AM$2+$AM$3,"")</f>
        <v/>
      </c>
      <c r="AN539" s="40">
        <f>SUMIFS(DaybyDay[Est-Admin-Payroll],DaybyDay[Date],"&gt;="&amp;$C$5,DaybyDay[RowYear],"&gt;="&amp;$C$4,DaybyDay[Date],"&lt;="&amp;DaybyDay[[#This Row],[Date]])</f>
        <v>0</v>
      </c>
      <c r="AO539" s="41" t="str">
        <f>IF(AND(DaybyDay[[#This Row],[_Space]],ISNUMBER(DaybyDay[[#This Row],[Admin Hours]])),DaybyDay[[#This Row],[Est-Admin-Payroll]]/(DaybyDay[[#This Row],[Service-Actuals]]+DaybyDay[[#This Row],[Retail-Actuals]]),"")</f>
        <v/>
      </c>
      <c r="AP539" s="41" t="e">
        <f>DaybyDay[[#This Row],[Estimated-Payroll-Rollup]]/DaybyDay[[#This Row],[Simple-Forecast]]</f>
        <v>#DIV/0!</v>
      </c>
      <c r="AQ5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39" s="77"/>
      <c r="AS539" s="40" t="str">
        <f>IF(DaybyDay[[#This Row],[Retail Hours]]&gt;0,DaybyDay[[#This Row],[Retail Hours]]*$AS$2,"")</f>
        <v/>
      </c>
      <c r="AT539" s="40">
        <f>SUMIFS(DaybyDay[Est-Retail-Payroll],DaybyDay[Date],"&gt;="&amp;$C$5,DaybyDay[RowYear],"&gt;="&amp;$C$4,DaybyDay[Date],"&lt;="&amp;DaybyDay[[#This Row],[Date]])</f>
        <v>0</v>
      </c>
      <c r="AU539" s="82" t="str">
        <f>IF(AND(DaybyDay[[#This Row],[_Space]],ISNUMBER(DaybyDay[[#This Row],[Retail Hours]])),DaybyDay[[#This Row],[Est-Retail-Payroll]]/(DaybyDay[[#This Row],[Retail-Actuals]]),"")</f>
        <v/>
      </c>
      <c r="AV539" s="82" t="e">
        <f>DaybyDay[[#This Row],[Est-Retail-PayrollRU]]/DaybyDay[[#This Row],[Simple-Forecast-Retail]]</f>
        <v>#DIV/0!</v>
      </c>
      <c r="AW539" s="8"/>
    </row>
    <row r="540" spans="3:49" hidden="1" x14ac:dyDescent="0.25">
      <c r="C540" s="26" t="str">
        <f>Tools!$C$1</f>
        <v>Example</v>
      </c>
      <c r="D540" s="27" t="s">
        <v>73</v>
      </c>
      <c r="E540" s="28">
        <v>2018</v>
      </c>
      <c r="F540" s="28">
        <f>MATCH(DaybyDay[[#This Row],[RowMonth]],Table3[SummaryMonth],0)</f>
        <v>6</v>
      </c>
      <c r="G540" s="29">
        <f>MATCH(DaybyDay[[#This Row],[LY-Date]],DaybyDay[Date],0)</f>
        <v>170</v>
      </c>
      <c r="H540" s="30">
        <f>WEEKDAY(DaybyDay[[#This Row],[Date]])</f>
        <v>2</v>
      </c>
      <c r="I540" s="31">
        <v>43269</v>
      </c>
      <c r="J540" s="74">
        <v>7</v>
      </c>
      <c r="K540" s="32">
        <f>SUMIFS(BudgetSeasonality[365 Seasonality],BudgetSeasonality[MonthAdjustment],DaybyDay[[#This Row],[Date]])*SUMIFS(Budgets[Service-Budget],Budgets[BudgetMonth],DaybyDay[[#This Row],[RowMonth]],Budgets[BudgetYear],DaybyDay[[#This Row],[RowYear]])</f>
        <v>3937.1426909518073</v>
      </c>
      <c r="L540" s="75">
        <v>1345.5</v>
      </c>
      <c r="M540" s="32">
        <f>INDEX(BudgetSeasonality[365 Seasonality],MATCH(DaybyDay[[#This Row],[Date]],BudgetSeasonality[MonthAdjustment],0))*SUMIFS(Budgets[Retail-Budget],Budgets[BudgetMonth],DaybyDay[[#This Row],[RowMonth]],Budgets[BudgetYear],DaybyDay[[#This Row],[RowYear]])</f>
        <v>1182.2000769290817</v>
      </c>
      <c r="N540" s="75">
        <v>1348.5</v>
      </c>
      <c r="O540" s="33">
        <f>SUMIFS(DaybyDay[Service-Budgets],DaybyDay[Date],"&gt;="&amp;$C$5,DaybyDay[RowYear],"&gt;="&amp;$C$4,DaybyDay[Date],"&lt;="&amp;DaybyDay[[#This Row],[Date]])</f>
        <v>0</v>
      </c>
      <c r="P540" s="33">
        <f>SUMIFS(DaybyDay[Retail-Budgets],DaybyDay[Date],"&gt;="&amp;$C$5,DaybyDay[RowYear],"&gt;="&amp;$C$4,DaybyDay[Date],"&lt;="&amp;DaybyDay[[#This Row],[Date]])</f>
        <v>0</v>
      </c>
      <c r="Q540" s="34">
        <f>SUMIFS(DaybyDay[Service-Actuals],DaybyDay[Date],"&gt;="&amp;$C$5,DaybyDay[RowYear],"&gt;="&amp;$C$4,DaybyDay[Date],"&lt;="&amp;DaybyDay[[#This Row],[Date]])</f>
        <v>0</v>
      </c>
      <c r="R540" s="34">
        <f>SUMIFS(DaybyDay[Retail-Actuals],DaybyDay[Date],"&gt;="&amp;$C$5,DaybyDay[RowYear],"&gt;="&amp;$C$4,DaybyDay[Date],"&lt;="&amp;DaybyDay[[#This Row],[Date]])</f>
        <v>0</v>
      </c>
      <c r="S540" s="35">
        <f>SUMIFS(DaybyDay[Service-LY],DaybyDay[Date],"&gt;="&amp;$C$5,DaybyDay[RowYear],"&gt;="&amp;$C$4,DaybyDay[Date],"&lt;="&amp;DaybyDay[[#This Row],[Date]])</f>
        <v>0</v>
      </c>
      <c r="T540" s="35">
        <f>SUMIFS(DaybyDay[Retail-LY],DaybyDay[Date],"&gt;="&amp;$C$5,DaybyDay[RowYear],"&gt;="&amp;$C$4,DaybyDay[Date],"&lt;="&amp;DaybyDay[[#This Row],[Date]])</f>
        <v>0</v>
      </c>
      <c r="U540" s="32">
        <f>DaybyDay[[#This Row],[Serv-Bud-RU]]+DaybyDay[[#This Row],[Ret-Bud-RU]]</f>
        <v>0</v>
      </c>
      <c r="V540" s="32">
        <f>DaybyDay[[#This Row],[Serv-Act-RU]]+DaybyDay[[#This Row],[Ret-Act-RU]]</f>
        <v>0</v>
      </c>
      <c r="W540" s="36">
        <f>IF(DaybyDay[[#This Row],[_Space]],IFERROR(
((DaybyDay[[#This Row],[Actual-Rollup]]-DaybyDay[[#This Row],[Budget-Rollup]])/DaybyDay[[#This Row],[Budget-Rollup]]),0),"")</f>
        <v>0</v>
      </c>
      <c r="X540" t="b">
        <f>NOT(AND(ISBLANK(DaybyDay[[#This Row],[Appts]]),ISBLANK(DaybyDay[[#This Row],[Service-Actuals]]),ISBLANK(DaybyDay[[#This Row],[Retail-Actuals]])))</f>
        <v>1</v>
      </c>
      <c r="Y540" s="36">
        <f>IF(DaybyDay[[#This Row],[_Space]],IFERROR(
((DaybyDay[[#This Row],[Actual-Rollup]]-DaybyDay[[#This Row],[LY-Rollup]])/DaybyDay[[#This Row],[LY-Rollup]]),0),"")</f>
        <v>0</v>
      </c>
      <c r="Z540"/>
      <c r="AA540" s="37" t="e">
        <f>IF(DaybyDay[[#This Row],[_Space]],DaybyDay[[#This Row],[Ret-Act-RU]]/DaybyDay[[#This Row],[Serv-Act-RU]],"")</f>
        <v>#DIV/0!</v>
      </c>
      <c r="AB540" s="50" t="e">
        <f>IF(DaybyDay[[#This Row],[_Space]],DaybyDay[[#This Row],[RETPEN-Act]]/DaybyDay[[#This Row],[RETPEN-Bud]],"")</f>
        <v>#DIV/0!</v>
      </c>
      <c r="AC540" s="37" t="e">
        <f>IF(DaybyDay[[#This Row],[_Space]],DaybyDay[[#This Row],[Ret-Bud-RU]]/DaybyDay[[#This Row],[Serv-Bud-RU]],"")</f>
        <v>#DIV/0!</v>
      </c>
      <c r="AD540" s="37" t="e">
        <f>IF(DaybyDay[[#This Row],[_Space]],DaybyDay[[#This Row],[Ret-LY-RU]]/DaybyDay[[#This Row],[Serv-LY-RU]],"")</f>
        <v>#DIV/0!</v>
      </c>
      <c r="AE540" s="30">
        <f>WEEKDAY(DaybyDay[[#This Row],[LY-Date]])</f>
        <v>2</v>
      </c>
      <c r="AF540" s="38">
        <f>$E$2+_xlfn.DAYS(DaybyDay[[#This Row],[Date]],minDate)</f>
        <v>42905</v>
      </c>
      <c r="AG540" s="39" cm="1">
        <f t="array" ref="AG540">IFERROR(INDEX(DaybyDay[],DaybyDay[[#This Row],[FORM_MATCH_HELPER]],8),"")</f>
        <v>16</v>
      </c>
      <c r="AH540" s="39" cm="1">
        <f t="array" ref="AH540">IFERROR(INDEX(DaybyDay[],DaybyDay[[#This Row],[FORM_MATCH_HELPER]],10),"")</f>
        <v>3946.6</v>
      </c>
      <c r="AI540" s="39" cm="1">
        <f t="array" ref="AI540">IFERROR(INDEX(DaybyDay[],DaybyDay[[#This Row],[FORM_MATCH_HELPER]],12),"")</f>
        <v>1205</v>
      </c>
      <c r="AJ540" s="32">
        <f>IFERROR(DaybyDay[[#This Row],[Serv-LY-RU]]+DaybyDay[[#This Row],[Ret-LY-RU]],"")</f>
        <v>0</v>
      </c>
      <c r="AK5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0" s="77"/>
      <c r="AM540" s="40" t="str">
        <f>IF(DaybyDay[[#This Row],[Admin Hours]]&gt;0,DaybyDay[[#This Row],[Admin Hours]]*$AM$2+$AM$3,"")</f>
        <v/>
      </c>
      <c r="AN540" s="40">
        <f>SUMIFS(DaybyDay[Est-Admin-Payroll],DaybyDay[Date],"&gt;="&amp;$C$5,DaybyDay[RowYear],"&gt;="&amp;$C$4,DaybyDay[Date],"&lt;="&amp;DaybyDay[[#This Row],[Date]])</f>
        <v>0</v>
      </c>
      <c r="AO540" s="41" t="str">
        <f>IF(AND(DaybyDay[[#This Row],[_Space]],ISNUMBER(DaybyDay[[#This Row],[Admin Hours]])),DaybyDay[[#This Row],[Est-Admin-Payroll]]/(DaybyDay[[#This Row],[Service-Actuals]]+DaybyDay[[#This Row],[Retail-Actuals]]),"")</f>
        <v/>
      </c>
      <c r="AP540" s="41" t="e">
        <f>DaybyDay[[#This Row],[Estimated-Payroll-Rollup]]/DaybyDay[[#This Row],[Simple-Forecast]]</f>
        <v>#DIV/0!</v>
      </c>
      <c r="AQ5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0" s="77"/>
      <c r="AS540" s="40" t="str">
        <f>IF(DaybyDay[[#This Row],[Retail Hours]]&gt;0,DaybyDay[[#This Row],[Retail Hours]]*$AS$2,"")</f>
        <v/>
      </c>
      <c r="AT540" s="40">
        <f>SUMIFS(DaybyDay[Est-Retail-Payroll],DaybyDay[Date],"&gt;="&amp;$C$5,DaybyDay[RowYear],"&gt;="&amp;$C$4,DaybyDay[Date],"&lt;="&amp;DaybyDay[[#This Row],[Date]])</f>
        <v>0</v>
      </c>
      <c r="AU540" s="82" t="str">
        <f>IF(AND(DaybyDay[[#This Row],[_Space]],ISNUMBER(DaybyDay[[#This Row],[Retail Hours]])),DaybyDay[[#This Row],[Est-Retail-Payroll]]/(DaybyDay[[#This Row],[Retail-Actuals]]),"")</f>
        <v/>
      </c>
      <c r="AV540" s="82" t="e">
        <f>DaybyDay[[#This Row],[Est-Retail-PayrollRU]]/DaybyDay[[#This Row],[Simple-Forecast-Retail]]</f>
        <v>#DIV/0!</v>
      </c>
      <c r="AW540" s="8"/>
    </row>
    <row r="541" spans="3:49" hidden="1" x14ac:dyDescent="0.25">
      <c r="C541" s="26" t="str">
        <f>Tools!$C$1</f>
        <v>Example</v>
      </c>
      <c r="D541" s="27" t="s">
        <v>73</v>
      </c>
      <c r="E541" s="28">
        <v>2018</v>
      </c>
      <c r="F541" s="28">
        <f>MATCH(DaybyDay[[#This Row],[RowMonth]],Table3[SummaryMonth],0)</f>
        <v>6</v>
      </c>
      <c r="G541" s="29">
        <f>MATCH(DaybyDay[[#This Row],[LY-Date]],DaybyDay[Date],0)</f>
        <v>171</v>
      </c>
      <c r="H541" s="30">
        <f>WEEKDAY(DaybyDay[[#This Row],[Date]])</f>
        <v>3</v>
      </c>
      <c r="I541" s="31">
        <v>43270</v>
      </c>
      <c r="J541" s="74">
        <v>26</v>
      </c>
      <c r="K541" s="32">
        <f>SUMIFS(BudgetSeasonality[365 Seasonality],BudgetSeasonality[MonthAdjustment],DaybyDay[[#This Row],[Date]])*SUMIFS(Budgets[Service-Budget],Budgets[BudgetMonth],DaybyDay[[#This Row],[RowMonth]],Budgets[BudgetYear],DaybyDay[[#This Row],[RowYear]])</f>
        <v>4033.8344336272385</v>
      </c>
      <c r="L541" s="75">
        <v>4136</v>
      </c>
      <c r="M541" s="32">
        <f>INDEX(BudgetSeasonality[365 Seasonality],MATCH(DaybyDay[[#This Row],[Date]],BudgetSeasonality[MonthAdjustment],0))*SUMIFS(Budgets[Retail-Budget],Budgets[BudgetMonth],DaybyDay[[#This Row],[RowMonth]],Budgets[BudgetYear],DaybyDay[[#This Row],[RowYear]])</f>
        <v>1211.233565070622</v>
      </c>
      <c r="N541" s="75">
        <v>863.75</v>
      </c>
      <c r="O541" s="33">
        <f>SUMIFS(DaybyDay[Service-Budgets],DaybyDay[Date],"&gt;="&amp;$C$5,DaybyDay[RowYear],"&gt;="&amp;$C$4,DaybyDay[Date],"&lt;="&amp;DaybyDay[[#This Row],[Date]])</f>
        <v>0</v>
      </c>
      <c r="P541" s="33">
        <f>SUMIFS(DaybyDay[Retail-Budgets],DaybyDay[Date],"&gt;="&amp;$C$5,DaybyDay[RowYear],"&gt;="&amp;$C$4,DaybyDay[Date],"&lt;="&amp;DaybyDay[[#This Row],[Date]])</f>
        <v>0</v>
      </c>
      <c r="Q541" s="34">
        <f>SUMIFS(DaybyDay[Service-Actuals],DaybyDay[Date],"&gt;="&amp;$C$5,DaybyDay[RowYear],"&gt;="&amp;$C$4,DaybyDay[Date],"&lt;="&amp;DaybyDay[[#This Row],[Date]])</f>
        <v>0</v>
      </c>
      <c r="R541" s="34">
        <f>SUMIFS(DaybyDay[Retail-Actuals],DaybyDay[Date],"&gt;="&amp;$C$5,DaybyDay[RowYear],"&gt;="&amp;$C$4,DaybyDay[Date],"&lt;="&amp;DaybyDay[[#This Row],[Date]])</f>
        <v>0</v>
      </c>
      <c r="S541" s="35">
        <f>SUMIFS(DaybyDay[Service-LY],DaybyDay[Date],"&gt;="&amp;$C$5,DaybyDay[RowYear],"&gt;="&amp;$C$4,DaybyDay[Date],"&lt;="&amp;DaybyDay[[#This Row],[Date]])</f>
        <v>0</v>
      </c>
      <c r="T541" s="35">
        <f>SUMIFS(DaybyDay[Retail-LY],DaybyDay[Date],"&gt;="&amp;$C$5,DaybyDay[RowYear],"&gt;="&amp;$C$4,DaybyDay[Date],"&lt;="&amp;DaybyDay[[#This Row],[Date]])</f>
        <v>0</v>
      </c>
      <c r="U541" s="32">
        <f>DaybyDay[[#This Row],[Serv-Bud-RU]]+DaybyDay[[#This Row],[Ret-Bud-RU]]</f>
        <v>0</v>
      </c>
      <c r="V541" s="32">
        <f>DaybyDay[[#This Row],[Serv-Act-RU]]+DaybyDay[[#This Row],[Ret-Act-RU]]</f>
        <v>0</v>
      </c>
      <c r="W541" s="36">
        <f>IF(DaybyDay[[#This Row],[_Space]],IFERROR(
((DaybyDay[[#This Row],[Actual-Rollup]]-DaybyDay[[#This Row],[Budget-Rollup]])/DaybyDay[[#This Row],[Budget-Rollup]]),0),"")</f>
        <v>0</v>
      </c>
      <c r="X541" t="b">
        <f>NOT(AND(ISBLANK(DaybyDay[[#This Row],[Appts]]),ISBLANK(DaybyDay[[#This Row],[Service-Actuals]]),ISBLANK(DaybyDay[[#This Row],[Retail-Actuals]])))</f>
        <v>1</v>
      </c>
      <c r="Y541" s="36">
        <f>IF(DaybyDay[[#This Row],[_Space]],IFERROR(
((DaybyDay[[#This Row],[Actual-Rollup]]-DaybyDay[[#This Row],[LY-Rollup]])/DaybyDay[[#This Row],[LY-Rollup]]),0),"")</f>
        <v>0</v>
      </c>
      <c r="Z541"/>
      <c r="AA541" s="37" t="e">
        <f>IF(DaybyDay[[#This Row],[_Space]],DaybyDay[[#This Row],[Ret-Act-RU]]/DaybyDay[[#This Row],[Serv-Act-RU]],"")</f>
        <v>#DIV/0!</v>
      </c>
      <c r="AB541" s="50" t="e">
        <f>IF(DaybyDay[[#This Row],[_Space]],DaybyDay[[#This Row],[RETPEN-Act]]/DaybyDay[[#This Row],[RETPEN-Bud]],"")</f>
        <v>#DIV/0!</v>
      </c>
      <c r="AC541" s="37" t="e">
        <f>IF(DaybyDay[[#This Row],[_Space]],DaybyDay[[#This Row],[Ret-Bud-RU]]/DaybyDay[[#This Row],[Serv-Bud-RU]],"")</f>
        <v>#DIV/0!</v>
      </c>
      <c r="AD541" s="37" t="e">
        <f>IF(DaybyDay[[#This Row],[_Space]],DaybyDay[[#This Row],[Ret-LY-RU]]/DaybyDay[[#This Row],[Serv-LY-RU]],"")</f>
        <v>#DIV/0!</v>
      </c>
      <c r="AE541" s="30">
        <f>WEEKDAY(DaybyDay[[#This Row],[LY-Date]])</f>
        <v>3</v>
      </c>
      <c r="AF541" s="38">
        <f>$E$2+_xlfn.DAYS(DaybyDay[[#This Row],[Date]],minDate)</f>
        <v>42906</v>
      </c>
      <c r="AG541" s="39" cm="1">
        <f t="array" ref="AG541">IFERROR(INDEX(DaybyDay[],DaybyDay[[#This Row],[FORM_MATCH_HELPER]],8),"")</f>
        <v>18</v>
      </c>
      <c r="AH541" s="39" cm="1">
        <f t="array" ref="AH541">IFERROR(INDEX(DaybyDay[],DaybyDay[[#This Row],[FORM_MATCH_HELPER]],10),"")</f>
        <v>3214.2</v>
      </c>
      <c r="AI541" s="39" cm="1">
        <f t="array" ref="AI541">IFERROR(INDEX(DaybyDay[],DaybyDay[[#This Row],[FORM_MATCH_HELPER]],12),"")</f>
        <v>2185</v>
      </c>
      <c r="AJ541" s="32">
        <f>IFERROR(DaybyDay[[#This Row],[Serv-LY-RU]]+DaybyDay[[#This Row],[Ret-LY-RU]],"")</f>
        <v>0</v>
      </c>
      <c r="AK5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1" s="77"/>
      <c r="AM541" s="40" t="str">
        <f>IF(DaybyDay[[#This Row],[Admin Hours]]&gt;0,DaybyDay[[#This Row],[Admin Hours]]*$AM$2+$AM$3,"")</f>
        <v/>
      </c>
      <c r="AN541" s="40">
        <f>SUMIFS(DaybyDay[Est-Admin-Payroll],DaybyDay[Date],"&gt;="&amp;$C$5,DaybyDay[RowYear],"&gt;="&amp;$C$4,DaybyDay[Date],"&lt;="&amp;DaybyDay[[#This Row],[Date]])</f>
        <v>0</v>
      </c>
      <c r="AO541" s="41" t="str">
        <f>IF(AND(DaybyDay[[#This Row],[_Space]],ISNUMBER(DaybyDay[[#This Row],[Admin Hours]])),DaybyDay[[#This Row],[Est-Admin-Payroll]]/(DaybyDay[[#This Row],[Service-Actuals]]+DaybyDay[[#This Row],[Retail-Actuals]]),"")</f>
        <v/>
      </c>
      <c r="AP541" s="41" t="e">
        <f>DaybyDay[[#This Row],[Estimated-Payroll-Rollup]]/DaybyDay[[#This Row],[Simple-Forecast]]</f>
        <v>#DIV/0!</v>
      </c>
      <c r="AQ5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1" s="77"/>
      <c r="AS541" s="40" t="str">
        <f>IF(DaybyDay[[#This Row],[Retail Hours]]&gt;0,DaybyDay[[#This Row],[Retail Hours]]*$AS$2,"")</f>
        <v/>
      </c>
      <c r="AT541" s="40">
        <f>SUMIFS(DaybyDay[Est-Retail-Payroll],DaybyDay[Date],"&gt;="&amp;$C$5,DaybyDay[RowYear],"&gt;="&amp;$C$4,DaybyDay[Date],"&lt;="&amp;DaybyDay[[#This Row],[Date]])</f>
        <v>0</v>
      </c>
      <c r="AU541" s="82" t="str">
        <f>IF(AND(DaybyDay[[#This Row],[_Space]],ISNUMBER(DaybyDay[[#This Row],[Retail Hours]])),DaybyDay[[#This Row],[Est-Retail-Payroll]]/(DaybyDay[[#This Row],[Retail-Actuals]]),"")</f>
        <v/>
      </c>
      <c r="AV541" s="82" t="e">
        <f>DaybyDay[[#This Row],[Est-Retail-PayrollRU]]/DaybyDay[[#This Row],[Simple-Forecast-Retail]]</f>
        <v>#DIV/0!</v>
      </c>
      <c r="AW541" s="8"/>
    </row>
    <row r="542" spans="3:49" hidden="1" x14ac:dyDescent="0.25">
      <c r="C542" s="26" t="str">
        <f>Tools!$C$1</f>
        <v>Example</v>
      </c>
      <c r="D542" s="27" t="s">
        <v>73</v>
      </c>
      <c r="E542" s="28">
        <v>2018</v>
      </c>
      <c r="F542" s="28">
        <f>MATCH(DaybyDay[[#This Row],[RowMonth]],Table3[SummaryMonth],0)</f>
        <v>6</v>
      </c>
      <c r="G542" s="29">
        <f>MATCH(DaybyDay[[#This Row],[LY-Date]],DaybyDay[Date],0)</f>
        <v>172</v>
      </c>
      <c r="H542" s="30">
        <f>WEEKDAY(DaybyDay[[#This Row],[Date]])</f>
        <v>4</v>
      </c>
      <c r="I542" s="31">
        <v>43271</v>
      </c>
      <c r="J542" s="74">
        <v>14</v>
      </c>
      <c r="K542" s="32">
        <f>SUMIFS(BudgetSeasonality[365 Seasonality],BudgetSeasonality[MonthAdjustment],DaybyDay[[#This Row],[Date]])*SUMIFS(Budgets[Service-Budget],Budgets[BudgetMonth],DaybyDay[[#This Row],[RowMonth]],Budgets[BudgetYear],DaybyDay[[#This Row],[RowYear]])</f>
        <v>4640.3584418475803</v>
      </c>
      <c r="L542" s="75">
        <v>2189.9</v>
      </c>
      <c r="M542" s="32">
        <f>INDEX(BudgetSeasonality[365 Seasonality],MATCH(DaybyDay[[#This Row],[Date]],BudgetSeasonality[MonthAdjustment],0))*SUMIFS(Budgets[Retail-Budget],Budgets[BudgetMonth],DaybyDay[[#This Row],[RowMonth]],Budgets[BudgetYear],DaybyDay[[#This Row],[RowYear]])</f>
        <v>1393.3536418525177</v>
      </c>
      <c r="N542" s="75">
        <v>1291</v>
      </c>
      <c r="O542" s="33">
        <f>SUMIFS(DaybyDay[Service-Budgets],DaybyDay[Date],"&gt;="&amp;$C$5,DaybyDay[RowYear],"&gt;="&amp;$C$4,DaybyDay[Date],"&lt;="&amp;DaybyDay[[#This Row],[Date]])</f>
        <v>0</v>
      </c>
      <c r="P542" s="33">
        <f>SUMIFS(DaybyDay[Retail-Budgets],DaybyDay[Date],"&gt;="&amp;$C$5,DaybyDay[RowYear],"&gt;="&amp;$C$4,DaybyDay[Date],"&lt;="&amp;DaybyDay[[#This Row],[Date]])</f>
        <v>0</v>
      </c>
      <c r="Q542" s="34">
        <f>SUMIFS(DaybyDay[Service-Actuals],DaybyDay[Date],"&gt;="&amp;$C$5,DaybyDay[RowYear],"&gt;="&amp;$C$4,DaybyDay[Date],"&lt;="&amp;DaybyDay[[#This Row],[Date]])</f>
        <v>0</v>
      </c>
      <c r="R542" s="34">
        <f>SUMIFS(DaybyDay[Retail-Actuals],DaybyDay[Date],"&gt;="&amp;$C$5,DaybyDay[RowYear],"&gt;="&amp;$C$4,DaybyDay[Date],"&lt;="&amp;DaybyDay[[#This Row],[Date]])</f>
        <v>0</v>
      </c>
      <c r="S542" s="35">
        <f>SUMIFS(DaybyDay[Service-LY],DaybyDay[Date],"&gt;="&amp;$C$5,DaybyDay[RowYear],"&gt;="&amp;$C$4,DaybyDay[Date],"&lt;="&amp;DaybyDay[[#This Row],[Date]])</f>
        <v>0</v>
      </c>
      <c r="T542" s="35">
        <f>SUMIFS(DaybyDay[Retail-LY],DaybyDay[Date],"&gt;="&amp;$C$5,DaybyDay[RowYear],"&gt;="&amp;$C$4,DaybyDay[Date],"&lt;="&amp;DaybyDay[[#This Row],[Date]])</f>
        <v>0</v>
      </c>
      <c r="U542" s="32">
        <f>DaybyDay[[#This Row],[Serv-Bud-RU]]+DaybyDay[[#This Row],[Ret-Bud-RU]]</f>
        <v>0</v>
      </c>
      <c r="V542" s="32">
        <f>DaybyDay[[#This Row],[Serv-Act-RU]]+DaybyDay[[#This Row],[Ret-Act-RU]]</f>
        <v>0</v>
      </c>
      <c r="W542" s="36">
        <f>IF(DaybyDay[[#This Row],[_Space]],IFERROR(
((DaybyDay[[#This Row],[Actual-Rollup]]-DaybyDay[[#This Row],[Budget-Rollup]])/DaybyDay[[#This Row],[Budget-Rollup]]),0),"")</f>
        <v>0</v>
      </c>
      <c r="X542" t="b">
        <f>NOT(AND(ISBLANK(DaybyDay[[#This Row],[Appts]]),ISBLANK(DaybyDay[[#This Row],[Service-Actuals]]),ISBLANK(DaybyDay[[#This Row],[Retail-Actuals]])))</f>
        <v>1</v>
      </c>
      <c r="Y542" s="36">
        <f>IF(DaybyDay[[#This Row],[_Space]],IFERROR(
((DaybyDay[[#This Row],[Actual-Rollup]]-DaybyDay[[#This Row],[LY-Rollup]])/DaybyDay[[#This Row],[LY-Rollup]]),0),"")</f>
        <v>0</v>
      </c>
      <c r="Z542"/>
      <c r="AA542" s="37" t="e">
        <f>IF(DaybyDay[[#This Row],[_Space]],DaybyDay[[#This Row],[Ret-Act-RU]]/DaybyDay[[#This Row],[Serv-Act-RU]],"")</f>
        <v>#DIV/0!</v>
      </c>
      <c r="AB542" s="50" t="e">
        <f>IF(DaybyDay[[#This Row],[_Space]],DaybyDay[[#This Row],[RETPEN-Act]]/DaybyDay[[#This Row],[RETPEN-Bud]],"")</f>
        <v>#DIV/0!</v>
      </c>
      <c r="AC542" s="37" t="e">
        <f>IF(DaybyDay[[#This Row],[_Space]],DaybyDay[[#This Row],[Ret-Bud-RU]]/DaybyDay[[#This Row],[Serv-Bud-RU]],"")</f>
        <v>#DIV/0!</v>
      </c>
      <c r="AD542" s="37" t="e">
        <f>IF(DaybyDay[[#This Row],[_Space]],DaybyDay[[#This Row],[Ret-LY-RU]]/DaybyDay[[#This Row],[Serv-LY-RU]],"")</f>
        <v>#DIV/0!</v>
      </c>
      <c r="AE542" s="30">
        <f>WEEKDAY(DaybyDay[[#This Row],[LY-Date]])</f>
        <v>4</v>
      </c>
      <c r="AF542" s="38">
        <f>$E$2+_xlfn.DAYS(DaybyDay[[#This Row],[Date]],minDate)</f>
        <v>42907</v>
      </c>
      <c r="AG542" s="39" cm="1">
        <f t="array" ref="AG542">IFERROR(INDEX(DaybyDay[],DaybyDay[[#This Row],[FORM_MATCH_HELPER]],8),"")</f>
        <v>14</v>
      </c>
      <c r="AH542" s="39" cm="1">
        <f t="array" ref="AH542">IFERROR(INDEX(DaybyDay[],DaybyDay[[#This Row],[FORM_MATCH_HELPER]],10),"")</f>
        <v>2670.4</v>
      </c>
      <c r="AI542" s="39" cm="1">
        <f t="array" ref="AI542">IFERROR(INDEX(DaybyDay[],DaybyDay[[#This Row],[FORM_MATCH_HELPER]],12),"")</f>
        <v>1643</v>
      </c>
      <c r="AJ542" s="32">
        <f>IFERROR(DaybyDay[[#This Row],[Serv-LY-RU]]+DaybyDay[[#This Row],[Ret-LY-RU]],"")</f>
        <v>0</v>
      </c>
      <c r="AK5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2" s="77"/>
      <c r="AM542" s="40" t="str">
        <f>IF(DaybyDay[[#This Row],[Admin Hours]]&gt;0,DaybyDay[[#This Row],[Admin Hours]]*$AM$2+$AM$3,"")</f>
        <v/>
      </c>
      <c r="AN542" s="40">
        <f>SUMIFS(DaybyDay[Est-Admin-Payroll],DaybyDay[Date],"&gt;="&amp;$C$5,DaybyDay[RowYear],"&gt;="&amp;$C$4,DaybyDay[Date],"&lt;="&amp;DaybyDay[[#This Row],[Date]])</f>
        <v>0</v>
      </c>
      <c r="AO542" s="41" t="str">
        <f>IF(AND(DaybyDay[[#This Row],[_Space]],ISNUMBER(DaybyDay[[#This Row],[Admin Hours]])),DaybyDay[[#This Row],[Est-Admin-Payroll]]/(DaybyDay[[#This Row],[Service-Actuals]]+DaybyDay[[#This Row],[Retail-Actuals]]),"")</f>
        <v/>
      </c>
      <c r="AP542" s="41" t="e">
        <f>DaybyDay[[#This Row],[Estimated-Payroll-Rollup]]/DaybyDay[[#This Row],[Simple-Forecast]]</f>
        <v>#DIV/0!</v>
      </c>
      <c r="AQ5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2" s="77"/>
      <c r="AS542" s="40" t="str">
        <f>IF(DaybyDay[[#This Row],[Retail Hours]]&gt;0,DaybyDay[[#This Row],[Retail Hours]]*$AS$2,"")</f>
        <v/>
      </c>
      <c r="AT542" s="40">
        <f>SUMIFS(DaybyDay[Est-Retail-Payroll],DaybyDay[Date],"&gt;="&amp;$C$5,DaybyDay[RowYear],"&gt;="&amp;$C$4,DaybyDay[Date],"&lt;="&amp;DaybyDay[[#This Row],[Date]])</f>
        <v>0</v>
      </c>
      <c r="AU542" s="82" t="str">
        <f>IF(AND(DaybyDay[[#This Row],[_Space]],ISNUMBER(DaybyDay[[#This Row],[Retail Hours]])),DaybyDay[[#This Row],[Est-Retail-Payroll]]/(DaybyDay[[#This Row],[Retail-Actuals]]),"")</f>
        <v/>
      </c>
      <c r="AV542" s="82" t="e">
        <f>DaybyDay[[#This Row],[Est-Retail-PayrollRU]]/DaybyDay[[#This Row],[Simple-Forecast-Retail]]</f>
        <v>#DIV/0!</v>
      </c>
      <c r="AW542" s="8"/>
    </row>
    <row r="543" spans="3:49" hidden="1" x14ac:dyDescent="0.25">
      <c r="C543" s="26" t="str">
        <f>Tools!$C$1</f>
        <v>Example</v>
      </c>
      <c r="D543" s="27" t="s">
        <v>73</v>
      </c>
      <c r="E543" s="28">
        <v>2018</v>
      </c>
      <c r="F543" s="28">
        <f>MATCH(DaybyDay[[#This Row],[RowMonth]],Table3[SummaryMonth],0)</f>
        <v>6</v>
      </c>
      <c r="G543" s="29">
        <f>MATCH(DaybyDay[[#This Row],[LY-Date]],DaybyDay[Date],0)</f>
        <v>173</v>
      </c>
      <c r="H543" s="30">
        <f>WEEKDAY(DaybyDay[[#This Row],[Date]])</f>
        <v>5</v>
      </c>
      <c r="I543" s="31">
        <v>43272</v>
      </c>
      <c r="J543" s="74">
        <v>25</v>
      </c>
      <c r="K543" s="32">
        <f>SUMIFS(BudgetSeasonality[365 Seasonality],BudgetSeasonality[MonthAdjustment],DaybyDay[[#This Row],[Date]])*SUMIFS(Budgets[Service-Budget],Budgets[BudgetMonth],DaybyDay[[#This Row],[RowMonth]],Budgets[BudgetYear],DaybyDay[[#This Row],[RowYear]])</f>
        <v>4709.5185470140841</v>
      </c>
      <c r="L543" s="75">
        <v>4169.5</v>
      </c>
      <c r="M543" s="32">
        <f>INDEX(BudgetSeasonality[365 Seasonality],MATCH(DaybyDay[[#This Row],[Date]],BudgetSeasonality[MonthAdjustment],0))*SUMIFS(Budgets[Retail-Budget],Budgets[BudgetMonth],DaybyDay[[#This Row],[RowMonth]],Budgets[BudgetYear],DaybyDay[[#This Row],[RowYear]])</f>
        <v>1414.1202454699496</v>
      </c>
      <c r="N543" s="75">
        <v>1602.25</v>
      </c>
      <c r="O543" s="33">
        <f>SUMIFS(DaybyDay[Service-Budgets],DaybyDay[Date],"&gt;="&amp;$C$5,DaybyDay[RowYear],"&gt;="&amp;$C$4,DaybyDay[Date],"&lt;="&amp;DaybyDay[[#This Row],[Date]])</f>
        <v>0</v>
      </c>
      <c r="P543" s="33">
        <f>SUMIFS(DaybyDay[Retail-Budgets],DaybyDay[Date],"&gt;="&amp;$C$5,DaybyDay[RowYear],"&gt;="&amp;$C$4,DaybyDay[Date],"&lt;="&amp;DaybyDay[[#This Row],[Date]])</f>
        <v>0</v>
      </c>
      <c r="Q543" s="34">
        <f>SUMIFS(DaybyDay[Service-Actuals],DaybyDay[Date],"&gt;="&amp;$C$5,DaybyDay[RowYear],"&gt;="&amp;$C$4,DaybyDay[Date],"&lt;="&amp;DaybyDay[[#This Row],[Date]])</f>
        <v>0</v>
      </c>
      <c r="R543" s="34">
        <f>SUMIFS(DaybyDay[Retail-Actuals],DaybyDay[Date],"&gt;="&amp;$C$5,DaybyDay[RowYear],"&gt;="&amp;$C$4,DaybyDay[Date],"&lt;="&amp;DaybyDay[[#This Row],[Date]])</f>
        <v>0</v>
      </c>
      <c r="S543" s="35">
        <f>SUMIFS(DaybyDay[Service-LY],DaybyDay[Date],"&gt;="&amp;$C$5,DaybyDay[RowYear],"&gt;="&amp;$C$4,DaybyDay[Date],"&lt;="&amp;DaybyDay[[#This Row],[Date]])</f>
        <v>0</v>
      </c>
      <c r="T543" s="35">
        <f>SUMIFS(DaybyDay[Retail-LY],DaybyDay[Date],"&gt;="&amp;$C$5,DaybyDay[RowYear],"&gt;="&amp;$C$4,DaybyDay[Date],"&lt;="&amp;DaybyDay[[#This Row],[Date]])</f>
        <v>0</v>
      </c>
      <c r="U543" s="32">
        <f>DaybyDay[[#This Row],[Serv-Bud-RU]]+DaybyDay[[#This Row],[Ret-Bud-RU]]</f>
        <v>0</v>
      </c>
      <c r="V543" s="32">
        <f>DaybyDay[[#This Row],[Serv-Act-RU]]+DaybyDay[[#This Row],[Ret-Act-RU]]</f>
        <v>0</v>
      </c>
      <c r="W543" s="36">
        <f>IF(DaybyDay[[#This Row],[_Space]],IFERROR(
((DaybyDay[[#This Row],[Actual-Rollup]]-DaybyDay[[#This Row],[Budget-Rollup]])/DaybyDay[[#This Row],[Budget-Rollup]]),0),"")</f>
        <v>0</v>
      </c>
      <c r="X543" t="b">
        <f>NOT(AND(ISBLANK(DaybyDay[[#This Row],[Appts]]),ISBLANK(DaybyDay[[#This Row],[Service-Actuals]]),ISBLANK(DaybyDay[[#This Row],[Retail-Actuals]])))</f>
        <v>1</v>
      </c>
      <c r="Y543" s="36">
        <f>IF(DaybyDay[[#This Row],[_Space]],IFERROR(
((DaybyDay[[#This Row],[Actual-Rollup]]-DaybyDay[[#This Row],[LY-Rollup]])/DaybyDay[[#This Row],[LY-Rollup]]),0),"")</f>
        <v>0</v>
      </c>
      <c r="Z543"/>
      <c r="AA543" s="37" t="e">
        <f>IF(DaybyDay[[#This Row],[_Space]],DaybyDay[[#This Row],[Ret-Act-RU]]/DaybyDay[[#This Row],[Serv-Act-RU]],"")</f>
        <v>#DIV/0!</v>
      </c>
      <c r="AB543" s="50" t="e">
        <f>IF(DaybyDay[[#This Row],[_Space]],DaybyDay[[#This Row],[RETPEN-Act]]/DaybyDay[[#This Row],[RETPEN-Bud]],"")</f>
        <v>#DIV/0!</v>
      </c>
      <c r="AC543" s="37" t="e">
        <f>IF(DaybyDay[[#This Row],[_Space]],DaybyDay[[#This Row],[Ret-Bud-RU]]/DaybyDay[[#This Row],[Serv-Bud-RU]],"")</f>
        <v>#DIV/0!</v>
      </c>
      <c r="AD543" s="37" t="e">
        <f>IF(DaybyDay[[#This Row],[_Space]],DaybyDay[[#This Row],[Ret-LY-RU]]/DaybyDay[[#This Row],[Serv-LY-RU]],"")</f>
        <v>#DIV/0!</v>
      </c>
      <c r="AE543" s="30">
        <f>WEEKDAY(DaybyDay[[#This Row],[LY-Date]])</f>
        <v>5</v>
      </c>
      <c r="AF543" s="38">
        <f>$E$2+_xlfn.DAYS(DaybyDay[[#This Row],[Date]],minDate)</f>
        <v>42908</v>
      </c>
      <c r="AG543" s="39" cm="1">
        <f t="array" ref="AG543">IFERROR(INDEX(DaybyDay[],DaybyDay[[#This Row],[FORM_MATCH_HELPER]],8),"")</f>
        <v>27</v>
      </c>
      <c r="AH543" s="39" cm="1">
        <f t="array" ref="AH543">IFERROR(INDEX(DaybyDay[],DaybyDay[[#This Row],[FORM_MATCH_HELPER]],10),"")</f>
        <v>5841.5</v>
      </c>
      <c r="AI543" s="39" cm="1">
        <f t="array" ref="AI543">IFERROR(INDEX(DaybyDay[],DaybyDay[[#This Row],[FORM_MATCH_HELPER]],12),"")</f>
        <v>1275</v>
      </c>
      <c r="AJ543" s="32">
        <f>IFERROR(DaybyDay[[#This Row],[Serv-LY-RU]]+DaybyDay[[#This Row],[Ret-LY-RU]],"")</f>
        <v>0</v>
      </c>
      <c r="AK5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3" s="77"/>
      <c r="AM543" s="40" t="str">
        <f>IF(DaybyDay[[#This Row],[Admin Hours]]&gt;0,DaybyDay[[#This Row],[Admin Hours]]*$AM$2+$AM$3,"")</f>
        <v/>
      </c>
      <c r="AN543" s="40">
        <f>SUMIFS(DaybyDay[Est-Admin-Payroll],DaybyDay[Date],"&gt;="&amp;$C$5,DaybyDay[RowYear],"&gt;="&amp;$C$4,DaybyDay[Date],"&lt;="&amp;DaybyDay[[#This Row],[Date]])</f>
        <v>0</v>
      </c>
      <c r="AO543" s="41" t="str">
        <f>IF(AND(DaybyDay[[#This Row],[_Space]],ISNUMBER(DaybyDay[[#This Row],[Admin Hours]])),DaybyDay[[#This Row],[Est-Admin-Payroll]]/(DaybyDay[[#This Row],[Service-Actuals]]+DaybyDay[[#This Row],[Retail-Actuals]]),"")</f>
        <v/>
      </c>
      <c r="AP543" s="41" t="e">
        <f>DaybyDay[[#This Row],[Estimated-Payroll-Rollup]]/DaybyDay[[#This Row],[Simple-Forecast]]</f>
        <v>#DIV/0!</v>
      </c>
      <c r="AQ5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3" s="77"/>
      <c r="AS543" s="40" t="str">
        <f>IF(DaybyDay[[#This Row],[Retail Hours]]&gt;0,DaybyDay[[#This Row],[Retail Hours]]*$AS$2,"")</f>
        <v/>
      </c>
      <c r="AT543" s="40">
        <f>SUMIFS(DaybyDay[Est-Retail-Payroll],DaybyDay[Date],"&gt;="&amp;$C$5,DaybyDay[RowYear],"&gt;="&amp;$C$4,DaybyDay[Date],"&lt;="&amp;DaybyDay[[#This Row],[Date]])</f>
        <v>0</v>
      </c>
      <c r="AU543" s="82" t="str">
        <f>IF(AND(DaybyDay[[#This Row],[_Space]],ISNUMBER(DaybyDay[[#This Row],[Retail Hours]])),DaybyDay[[#This Row],[Est-Retail-Payroll]]/(DaybyDay[[#This Row],[Retail-Actuals]]),"")</f>
        <v/>
      </c>
      <c r="AV543" s="82" t="e">
        <f>DaybyDay[[#This Row],[Est-Retail-PayrollRU]]/DaybyDay[[#This Row],[Simple-Forecast-Retail]]</f>
        <v>#DIV/0!</v>
      </c>
      <c r="AW543" s="8"/>
    </row>
    <row r="544" spans="3:49" hidden="1" x14ac:dyDescent="0.25">
      <c r="C544" s="26" t="str">
        <f>Tools!$C$1</f>
        <v>Example</v>
      </c>
      <c r="D544" s="27" t="s">
        <v>73</v>
      </c>
      <c r="E544" s="28">
        <v>2018</v>
      </c>
      <c r="F544" s="28">
        <f>MATCH(DaybyDay[[#This Row],[RowMonth]],Table3[SummaryMonth],0)</f>
        <v>6</v>
      </c>
      <c r="G544" s="29">
        <f>MATCH(DaybyDay[[#This Row],[LY-Date]],DaybyDay[Date],0)</f>
        <v>174</v>
      </c>
      <c r="H544" s="30">
        <f>WEEKDAY(DaybyDay[[#This Row],[Date]])</f>
        <v>6</v>
      </c>
      <c r="I544" s="31">
        <v>43273</v>
      </c>
      <c r="J544" s="74">
        <v>20</v>
      </c>
      <c r="K544" s="32">
        <f>SUMIFS(BudgetSeasonality[365 Seasonality],BudgetSeasonality[MonthAdjustment],DaybyDay[[#This Row],[Date]])*SUMIFS(Budgets[Service-Budget],Budgets[BudgetMonth],DaybyDay[[#This Row],[RowMonth]],Budgets[BudgetYear],DaybyDay[[#This Row],[RowYear]])</f>
        <v>5865.6047849439783</v>
      </c>
      <c r="L544" s="75">
        <v>4367.2</v>
      </c>
      <c r="M544" s="32">
        <f>INDEX(BudgetSeasonality[365 Seasonality],MATCH(DaybyDay[[#This Row],[Date]],BudgetSeasonality[MonthAdjustment],0))*SUMIFS(Budgets[Retail-Budget],Budgets[BudgetMonth],DaybyDay[[#This Row],[RowMonth]],Budgets[BudgetYear],DaybyDay[[#This Row],[RowYear]])</f>
        <v>1761.2565691186528</v>
      </c>
      <c r="N544" s="75">
        <v>565.75</v>
      </c>
      <c r="O544" s="33">
        <f>SUMIFS(DaybyDay[Service-Budgets],DaybyDay[Date],"&gt;="&amp;$C$5,DaybyDay[RowYear],"&gt;="&amp;$C$4,DaybyDay[Date],"&lt;="&amp;DaybyDay[[#This Row],[Date]])</f>
        <v>0</v>
      </c>
      <c r="P544" s="33">
        <f>SUMIFS(DaybyDay[Retail-Budgets],DaybyDay[Date],"&gt;="&amp;$C$5,DaybyDay[RowYear],"&gt;="&amp;$C$4,DaybyDay[Date],"&lt;="&amp;DaybyDay[[#This Row],[Date]])</f>
        <v>0</v>
      </c>
      <c r="Q544" s="34">
        <f>SUMIFS(DaybyDay[Service-Actuals],DaybyDay[Date],"&gt;="&amp;$C$5,DaybyDay[RowYear],"&gt;="&amp;$C$4,DaybyDay[Date],"&lt;="&amp;DaybyDay[[#This Row],[Date]])</f>
        <v>0</v>
      </c>
      <c r="R544" s="34">
        <f>SUMIFS(DaybyDay[Retail-Actuals],DaybyDay[Date],"&gt;="&amp;$C$5,DaybyDay[RowYear],"&gt;="&amp;$C$4,DaybyDay[Date],"&lt;="&amp;DaybyDay[[#This Row],[Date]])</f>
        <v>0</v>
      </c>
      <c r="S544" s="35">
        <f>SUMIFS(DaybyDay[Service-LY],DaybyDay[Date],"&gt;="&amp;$C$5,DaybyDay[RowYear],"&gt;="&amp;$C$4,DaybyDay[Date],"&lt;="&amp;DaybyDay[[#This Row],[Date]])</f>
        <v>0</v>
      </c>
      <c r="T544" s="35">
        <f>SUMIFS(DaybyDay[Retail-LY],DaybyDay[Date],"&gt;="&amp;$C$5,DaybyDay[RowYear],"&gt;="&amp;$C$4,DaybyDay[Date],"&lt;="&amp;DaybyDay[[#This Row],[Date]])</f>
        <v>0</v>
      </c>
      <c r="U544" s="32">
        <f>DaybyDay[[#This Row],[Serv-Bud-RU]]+DaybyDay[[#This Row],[Ret-Bud-RU]]</f>
        <v>0</v>
      </c>
      <c r="V544" s="32">
        <f>DaybyDay[[#This Row],[Serv-Act-RU]]+DaybyDay[[#This Row],[Ret-Act-RU]]</f>
        <v>0</v>
      </c>
      <c r="W544" s="36">
        <f>IF(DaybyDay[[#This Row],[_Space]],IFERROR(
((DaybyDay[[#This Row],[Actual-Rollup]]-DaybyDay[[#This Row],[Budget-Rollup]])/DaybyDay[[#This Row],[Budget-Rollup]]),0),"")</f>
        <v>0</v>
      </c>
      <c r="X544" t="b">
        <f>NOT(AND(ISBLANK(DaybyDay[[#This Row],[Appts]]),ISBLANK(DaybyDay[[#This Row],[Service-Actuals]]),ISBLANK(DaybyDay[[#This Row],[Retail-Actuals]])))</f>
        <v>1</v>
      </c>
      <c r="Y544" s="36">
        <f>IF(DaybyDay[[#This Row],[_Space]],IFERROR(
((DaybyDay[[#This Row],[Actual-Rollup]]-DaybyDay[[#This Row],[LY-Rollup]])/DaybyDay[[#This Row],[LY-Rollup]]),0),"")</f>
        <v>0</v>
      </c>
      <c r="Z544"/>
      <c r="AA544" s="37" t="e">
        <f>IF(DaybyDay[[#This Row],[_Space]],DaybyDay[[#This Row],[Ret-Act-RU]]/DaybyDay[[#This Row],[Serv-Act-RU]],"")</f>
        <v>#DIV/0!</v>
      </c>
      <c r="AB544" s="50" t="e">
        <f>IF(DaybyDay[[#This Row],[_Space]],DaybyDay[[#This Row],[RETPEN-Act]]/DaybyDay[[#This Row],[RETPEN-Bud]],"")</f>
        <v>#DIV/0!</v>
      </c>
      <c r="AC544" s="37" t="e">
        <f>IF(DaybyDay[[#This Row],[_Space]],DaybyDay[[#This Row],[Ret-Bud-RU]]/DaybyDay[[#This Row],[Serv-Bud-RU]],"")</f>
        <v>#DIV/0!</v>
      </c>
      <c r="AD544" s="37" t="e">
        <f>IF(DaybyDay[[#This Row],[_Space]],DaybyDay[[#This Row],[Ret-LY-RU]]/DaybyDay[[#This Row],[Serv-LY-RU]],"")</f>
        <v>#DIV/0!</v>
      </c>
      <c r="AE544" s="30">
        <f>WEEKDAY(DaybyDay[[#This Row],[LY-Date]])</f>
        <v>6</v>
      </c>
      <c r="AF544" s="38">
        <f>$E$2+_xlfn.DAYS(DaybyDay[[#This Row],[Date]],minDate)</f>
        <v>42909</v>
      </c>
      <c r="AG544" s="39" cm="1">
        <f t="array" ref="AG544">IFERROR(INDEX(DaybyDay[],DaybyDay[[#This Row],[FORM_MATCH_HELPER]],8),"")</f>
        <v>30</v>
      </c>
      <c r="AH544" s="39" cm="1">
        <f t="array" ref="AH544">IFERROR(INDEX(DaybyDay[],DaybyDay[[#This Row],[FORM_MATCH_HELPER]],10),"")</f>
        <v>4708.24</v>
      </c>
      <c r="AI544" s="39" cm="1">
        <f t="array" ref="AI544">IFERROR(INDEX(DaybyDay[],DaybyDay[[#This Row],[FORM_MATCH_HELPER]],12),"")</f>
        <v>1473.8</v>
      </c>
      <c r="AJ544" s="32">
        <f>IFERROR(DaybyDay[[#This Row],[Serv-LY-RU]]+DaybyDay[[#This Row],[Ret-LY-RU]],"")</f>
        <v>0</v>
      </c>
      <c r="AK5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4" s="77"/>
      <c r="AM544" s="40" t="str">
        <f>IF(DaybyDay[[#This Row],[Admin Hours]]&gt;0,DaybyDay[[#This Row],[Admin Hours]]*$AM$2+$AM$3,"")</f>
        <v/>
      </c>
      <c r="AN544" s="40">
        <f>SUMIFS(DaybyDay[Est-Admin-Payroll],DaybyDay[Date],"&gt;="&amp;$C$5,DaybyDay[RowYear],"&gt;="&amp;$C$4,DaybyDay[Date],"&lt;="&amp;DaybyDay[[#This Row],[Date]])</f>
        <v>0</v>
      </c>
      <c r="AO544" s="41" t="str">
        <f>IF(AND(DaybyDay[[#This Row],[_Space]],ISNUMBER(DaybyDay[[#This Row],[Admin Hours]])),DaybyDay[[#This Row],[Est-Admin-Payroll]]/(DaybyDay[[#This Row],[Service-Actuals]]+DaybyDay[[#This Row],[Retail-Actuals]]),"")</f>
        <v/>
      </c>
      <c r="AP544" s="41" t="e">
        <f>DaybyDay[[#This Row],[Estimated-Payroll-Rollup]]/DaybyDay[[#This Row],[Simple-Forecast]]</f>
        <v>#DIV/0!</v>
      </c>
      <c r="AQ5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4" s="77"/>
      <c r="AS544" s="40" t="str">
        <f>IF(DaybyDay[[#This Row],[Retail Hours]]&gt;0,DaybyDay[[#This Row],[Retail Hours]]*$AS$2,"")</f>
        <v/>
      </c>
      <c r="AT544" s="40">
        <f>SUMIFS(DaybyDay[Est-Retail-Payroll],DaybyDay[Date],"&gt;="&amp;$C$5,DaybyDay[RowYear],"&gt;="&amp;$C$4,DaybyDay[Date],"&lt;="&amp;DaybyDay[[#This Row],[Date]])</f>
        <v>0</v>
      </c>
      <c r="AU544" s="82" t="str">
        <f>IF(AND(DaybyDay[[#This Row],[_Space]],ISNUMBER(DaybyDay[[#This Row],[Retail Hours]])),DaybyDay[[#This Row],[Est-Retail-Payroll]]/(DaybyDay[[#This Row],[Retail-Actuals]]),"")</f>
        <v/>
      </c>
      <c r="AV544" s="82" t="e">
        <f>DaybyDay[[#This Row],[Est-Retail-PayrollRU]]/DaybyDay[[#This Row],[Simple-Forecast-Retail]]</f>
        <v>#DIV/0!</v>
      </c>
      <c r="AW544" s="8"/>
    </row>
    <row r="545" spans="3:49" hidden="1" x14ac:dyDescent="0.25">
      <c r="C545" s="26" t="str">
        <f>Tools!$C$1</f>
        <v>Example</v>
      </c>
      <c r="D545" s="27" t="s">
        <v>73</v>
      </c>
      <c r="E545" s="28">
        <v>2018</v>
      </c>
      <c r="F545" s="28">
        <f>MATCH(DaybyDay[[#This Row],[RowMonth]],Table3[SummaryMonth],0)</f>
        <v>6</v>
      </c>
      <c r="G545" s="29">
        <f>MATCH(DaybyDay[[#This Row],[LY-Date]],DaybyDay[Date],0)</f>
        <v>175</v>
      </c>
      <c r="H545" s="30">
        <f>WEEKDAY(DaybyDay[[#This Row],[Date]])</f>
        <v>7</v>
      </c>
      <c r="I545" s="31">
        <v>43274</v>
      </c>
      <c r="J545" s="74">
        <v>31</v>
      </c>
      <c r="K545" s="32">
        <f>SUMIFS(BudgetSeasonality[365 Seasonality],BudgetSeasonality[MonthAdjustment],DaybyDay[[#This Row],[Date]])*SUMIFS(Budgets[Service-Budget],Budgets[BudgetMonth],DaybyDay[[#This Row],[RowMonth]],Budgets[BudgetYear],DaybyDay[[#This Row],[RowYear]])</f>
        <v>8391.6771666014156</v>
      </c>
      <c r="L545" s="75">
        <v>7428.5</v>
      </c>
      <c r="M545" s="32">
        <f>INDEX(BudgetSeasonality[365 Seasonality],MATCH(DaybyDay[[#This Row],[Date]],BudgetSeasonality[MonthAdjustment],0))*SUMIFS(Budgets[Retail-Budget],Budgets[BudgetMonth],DaybyDay[[#This Row],[RowMonth]],Budgets[BudgetYear],DaybyDay[[#This Row],[RowYear]])</f>
        <v>2519.7566282572016</v>
      </c>
      <c r="N545" s="75">
        <v>643.5</v>
      </c>
      <c r="O545" s="33">
        <f>SUMIFS(DaybyDay[Service-Budgets],DaybyDay[Date],"&gt;="&amp;$C$5,DaybyDay[RowYear],"&gt;="&amp;$C$4,DaybyDay[Date],"&lt;="&amp;DaybyDay[[#This Row],[Date]])</f>
        <v>0</v>
      </c>
      <c r="P545" s="33">
        <f>SUMIFS(DaybyDay[Retail-Budgets],DaybyDay[Date],"&gt;="&amp;$C$5,DaybyDay[RowYear],"&gt;="&amp;$C$4,DaybyDay[Date],"&lt;="&amp;DaybyDay[[#This Row],[Date]])</f>
        <v>0</v>
      </c>
      <c r="Q545" s="34">
        <f>SUMIFS(DaybyDay[Service-Actuals],DaybyDay[Date],"&gt;="&amp;$C$5,DaybyDay[RowYear],"&gt;="&amp;$C$4,DaybyDay[Date],"&lt;="&amp;DaybyDay[[#This Row],[Date]])</f>
        <v>0</v>
      </c>
      <c r="R545" s="34">
        <f>SUMIFS(DaybyDay[Retail-Actuals],DaybyDay[Date],"&gt;="&amp;$C$5,DaybyDay[RowYear],"&gt;="&amp;$C$4,DaybyDay[Date],"&lt;="&amp;DaybyDay[[#This Row],[Date]])</f>
        <v>0</v>
      </c>
      <c r="S545" s="35">
        <f>SUMIFS(DaybyDay[Service-LY],DaybyDay[Date],"&gt;="&amp;$C$5,DaybyDay[RowYear],"&gt;="&amp;$C$4,DaybyDay[Date],"&lt;="&amp;DaybyDay[[#This Row],[Date]])</f>
        <v>0</v>
      </c>
      <c r="T545" s="35">
        <f>SUMIFS(DaybyDay[Retail-LY],DaybyDay[Date],"&gt;="&amp;$C$5,DaybyDay[RowYear],"&gt;="&amp;$C$4,DaybyDay[Date],"&lt;="&amp;DaybyDay[[#This Row],[Date]])</f>
        <v>0</v>
      </c>
      <c r="U545" s="32">
        <f>DaybyDay[[#This Row],[Serv-Bud-RU]]+DaybyDay[[#This Row],[Ret-Bud-RU]]</f>
        <v>0</v>
      </c>
      <c r="V545" s="32">
        <f>DaybyDay[[#This Row],[Serv-Act-RU]]+DaybyDay[[#This Row],[Ret-Act-RU]]</f>
        <v>0</v>
      </c>
      <c r="W545" s="36">
        <f>IF(DaybyDay[[#This Row],[_Space]],IFERROR(
((DaybyDay[[#This Row],[Actual-Rollup]]-DaybyDay[[#This Row],[Budget-Rollup]])/DaybyDay[[#This Row],[Budget-Rollup]]),0),"")</f>
        <v>0</v>
      </c>
      <c r="X545" t="b">
        <f>NOT(AND(ISBLANK(DaybyDay[[#This Row],[Appts]]),ISBLANK(DaybyDay[[#This Row],[Service-Actuals]]),ISBLANK(DaybyDay[[#This Row],[Retail-Actuals]])))</f>
        <v>1</v>
      </c>
      <c r="Y545" s="36">
        <f>IF(DaybyDay[[#This Row],[_Space]],IFERROR(
((DaybyDay[[#This Row],[Actual-Rollup]]-DaybyDay[[#This Row],[LY-Rollup]])/DaybyDay[[#This Row],[LY-Rollup]]),0),"")</f>
        <v>0</v>
      </c>
      <c r="Z545"/>
      <c r="AA545" s="37" t="e">
        <f>IF(DaybyDay[[#This Row],[_Space]],DaybyDay[[#This Row],[Ret-Act-RU]]/DaybyDay[[#This Row],[Serv-Act-RU]],"")</f>
        <v>#DIV/0!</v>
      </c>
      <c r="AB545" s="50" t="e">
        <f>IF(DaybyDay[[#This Row],[_Space]],DaybyDay[[#This Row],[RETPEN-Act]]/DaybyDay[[#This Row],[RETPEN-Bud]],"")</f>
        <v>#DIV/0!</v>
      </c>
      <c r="AC545" s="37" t="e">
        <f>IF(DaybyDay[[#This Row],[_Space]],DaybyDay[[#This Row],[Ret-Bud-RU]]/DaybyDay[[#This Row],[Serv-Bud-RU]],"")</f>
        <v>#DIV/0!</v>
      </c>
      <c r="AD545" s="37" t="e">
        <f>IF(DaybyDay[[#This Row],[_Space]],DaybyDay[[#This Row],[Ret-LY-RU]]/DaybyDay[[#This Row],[Serv-LY-RU]],"")</f>
        <v>#DIV/0!</v>
      </c>
      <c r="AE545" s="30">
        <f>WEEKDAY(DaybyDay[[#This Row],[LY-Date]])</f>
        <v>7</v>
      </c>
      <c r="AF545" s="38">
        <f>$E$2+_xlfn.DAYS(DaybyDay[[#This Row],[Date]],minDate)</f>
        <v>42910</v>
      </c>
      <c r="AG545" s="39" cm="1">
        <f t="array" ref="AG545">IFERROR(INDEX(DaybyDay[],DaybyDay[[#This Row],[FORM_MATCH_HELPER]],8),"")</f>
        <v>42</v>
      </c>
      <c r="AH545" s="39" cm="1">
        <f t="array" ref="AH545">IFERROR(INDEX(DaybyDay[],DaybyDay[[#This Row],[FORM_MATCH_HELPER]],10),"")</f>
        <v>8004.2</v>
      </c>
      <c r="AI545" s="39" cm="1">
        <f t="array" ref="AI545">IFERROR(INDEX(DaybyDay[],DaybyDay[[#This Row],[FORM_MATCH_HELPER]],12),"")</f>
        <v>2427</v>
      </c>
      <c r="AJ545" s="32">
        <f>IFERROR(DaybyDay[[#This Row],[Serv-LY-RU]]+DaybyDay[[#This Row],[Ret-LY-RU]],"")</f>
        <v>0</v>
      </c>
      <c r="AK5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5" s="77"/>
      <c r="AM545" s="40" t="str">
        <f>IF(DaybyDay[[#This Row],[Admin Hours]]&gt;0,DaybyDay[[#This Row],[Admin Hours]]*$AM$2+$AM$3,"")</f>
        <v/>
      </c>
      <c r="AN545" s="40">
        <f>SUMIFS(DaybyDay[Est-Admin-Payroll],DaybyDay[Date],"&gt;="&amp;$C$5,DaybyDay[RowYear],"&gt;="&amp;$C$4,DaybyDay[Date],"&lt;="&amp;DaybyDay[[#This Row],[Date]])</f>
        <v>0</v>
      </c>
      <c r="AO545" s="41" t="str">
        <f>IF(AND(DaybyDay[[#This Row],[_Space]],ISNUMBER(DaybyDay[[#This Row],[Admin Hours]])),DaybyDay[[#This Row],[Est-Admin-Payroll]]/(DaybyDay[[#This Row],[Service-Actuals]]+DaybyDay[[#This Row],[Retail-Actuals]]),"")</f>
        <v/>
      </c>
      <c r="AP545" s="41" t="e">
        <f>DaybyDay[[#This Row],[Estimated-Payroll-Rollup]]/DaybyDay[[#This Row],[Simple-Forecast]]</f>
        <v>#DIV/0!</v>
      </c>
      <c r="AQ5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5" s="77"/>
      <c r="AS545" s="40" t="str">
        <f>IF(DaybyDay[[#This Row],[Retail Hours]]&gt;0,DaybyDay[[#This Row],[Retail Hours]]*$AS$2,"")</f>
        <v/>
      </c>
      <c r="AT545" s="40">
        <f>SUMIFS(DaybyDay[Est-Retail-Payroll],DaybyDay[Date],"&gt;="&amp;$C$5,DaybyDay[RowYear],"&gt;="&amp;$C$4,DaybyDay[Date],"&lt;="&amp;DaybyDay[[#This Row],[Date]])</f>
        <v>0</v>
      </c>
      <c r="AU545" s="82" t="str">
        <f>IF(AND(DaybyDay[[#This Row],[_Space]],ISNUMBER(DaybyDay[[#This Row],[Retail Hours]])),DaybyDay[[#This Row],[Est-Retail-Payroll]]/(DaybyDay[[#This Row],[Retail-Actuals]]),"")</f>
        <v/>
      </c>
      <c r="AV545" s="82" t="e">
        <f>DaybyDay[[#This Row],[Est-Retail-PayrollRU]]/DaybyDay[[#This Row],[Simple-Forecast-Retail]]</f>
        <v>#DIV/0!</v>
      </c>
      <c r="AW545" s="8"/>
    </row>
    <row r="546" spans="3:49" hidden="1" x14ac:dyDescent="0.25">
      <c r="C546" s="26" t="str">
        <f>Tools!$C$1</f>
        <v>Example</v>
      </c>
      <c r="D546" s="27" t="s">
        <v>73</v>
      </c>
      <c r="E546" s="28">
        <v>2018</v>
      </c>
      <c r="F546" s="28">
        <f>MATCH(DaybyDay[[#This Row],[RowMonth]],Table3[SummaryMonth],0)</f>
        <v>6</v>
      </c>
      <c r="G546" s="29">
        <f>MATCH(DaybyDay[[#This Row],[LY-Date]],DaybyDay[Date],0)</f>
        <v>176</v>
      </c>
      <c r="H546" s="30">
        <f>WEEKDAY(DaybyDay[[#This Row],[Date]])</f>
        <v>1</v>
      </c>
      <c r="I546" s="31">
        <v>43275</v>
      </c>
      <c r="J546" s="74">
        <v>29</v>
      </c>
      <c r="K546" s="32">
        <f>SUMIFS(BudgetSeasonality[365 Seasonality],BudgetSeasonality[MonthAdjustment],DaybyDay[[#This Row],[Date]])*SUMIFS(Budgets[Service-Budget],Budgets[BudgetMonth],DaybyDay[[#This Row],[RowMonth]],Budgets[BudgetYear],DaybyDay[[#This Row],[RowYear]])</f>
        <v>6370.7736322916508</v>
      </c>
      <c r="L546" s="75">
        <v>5257</v>
      </c>
      <c r="M546" s="32">
        <f>INDEX(BudgetSeasonality[365 Seasonality],MATCH(DaybyDay[[#This Row],[Date]],BudgetSeasonality[MonthAdjustment],0))*SUMIFS(Budgets[Retail-Budget],Budgets[BudgetMonth],DaybyDay[[#This Row],[RowMonth]],Budgets[BudgetYear],DaybyDay[[#This Row],[RowYear]])</f>
        <v>1912.9428799981342</v>
      </c>
      <c r="N546" s="75">
        <v>787</v>
      </c>
      <c r="O546" s="33">
        <f>SUMIFS(DaybyDay[Service-Budgets],DaybyDay[Date],"&gt;="&amp;$C$5,DaybyDay[RowYear],"&gt;="&amp;$C$4,DaybyDay[Date],"&lt;="&amp;DaybyDay[[#This Row],[Date]])</f>
        <v>0</v>
      </c>
      <c r="P546" s="33">
        <f>SUMIFS(DaybyDay[Retail-Budgets],DaybyDay[Date],"&gt;="&amp;$C$5,DaybyDay[RowYear],"&gt;="&amp;$C$4,DaybyDay[Date],"&lt;="&amp;DaybyDay[[#This Row],[Date]])</f>
        <v>0</v>
      </c>
      <c r="Q546" s="34">
        <f>SUMIFS(DaybyDay[Service-Actuals],DaybyDay[Date],"&gt;="&amp;$C$5,DaybyDay[RowYear],"&gt;="&amp;$C$4,DaybyDay[Date],"&lt;="&amp;DaybyDay[[#This Row],[Date]])</f>
        <v>0</v>
      </c>
      <c r="R546" s="34">
        <f>SUMIFS(DaybyDay[Retail-Actuals],DaybyDay[Date],"&gt;="&amp;$C$5,DaybyDay[RowYear],"&gt;="&amp;$C$4,DaybyDay[Date],"&lt;="&amp;DaybyDay[[#This Row],[Date]])</f>
        <v>0</v>
      </c>
      <c r="S546" s="35">
        <f>SUMIFS(DaybyDay[Service-LY],DaybyDay[Date],"&gt;="&amp;$C$5,DaybyDay[RowYear],"&gt;="&amp;$C$4,DaybyDay[Date],"&lt;="&amp;DaybyDay[[#This Row],[Date]])</f>
        <v>0</v>
      </c>
      <c r="T546" s="35">
        <f>SUMIFS(DaybyDay[Retail-LY],DaybyDay[Date],"&gt;="&amp;$C$5,DaybyDay[RowYear],"&gt;="&amp;$C$4,DaybyDay[Date],"&lt;="&amp;DaybyDay[[#This Row],[Date]])</f>
        <v>0</v>
      </c>
      <c r="U546" s="32">
        <f>DaybyDay[[#This Row],[Serv-Bud-RU]]+DaybyDay[[#This Row],[Ret-Bud-RU]]</f>
        <v>0</v>
      </c>
      <c r="V546" s="32">
        <f>DaybyDay[[#This Row],[Serv-Act-RU]]+DaybyDay[[#This Row],[Ret-Act-RU]]</f>
        <v>0</v>
      </c>
      <c r="W546" s="36">
        <f>IF(DaybyDay[[#This Row],[_Space]],IFERROR(
((DaybyDay[[#This Row],[Actual-Rollup]]-DaybyDay[[#This Row],[Budget-Rollup]])/DaybyDay[[#This Row],[Budget-Rollup]]),0),"")</f>
        <v>0</v>
      </c>
      <c r="X546" t="b">
        <f>NOT(AND(ISBLANK(DaybyDay[[#This Row],[Appts]]),ISBLANK(DaybyDay[[#This Row],[Service-Actuals]]),ISBLANK(DaybyDay[[#This Row],[Retail-Actuals]])))</f>
        <v>1</v>
      </c>
      <c r="Y546" s="36">
        <f>IF(DaybyDay[[#This Row],[_Space]],IFERROR(
((DaybyDay[[#This Row],[Actual-Rollup]]-DaybyDay[[#This Row],[LY-Rollup]])/DaybyDay[[#This Row],[LY-Rollup]]),0),"")</f>
        <v>0</v>
      </c>
      <c r="Z546"/>
      <c r="AA546" s="37" t="e">
        <f>IF(DaybyDay[[#This Row],[_Space]],DaybyDay[[#This Row],[Ret-Act-RU]]/DaybyDay[[#This Row],[Serv-Act-RU]],"")</f>
        <v>#DIV/0!</v>
      </c>
      <c r="AB546" s="50" t="e">
        <f>IF(DaybyDay[[#This Row],[_Space]],DaybyDay[[#This Row],[RETPEN-Act]]/DaybyDay[[#This Row],[RETPEN-Bud]],"")</f>
        <v>#DIV/0!</v>
      </c>
      <c r="AC546" s="37" t="e">
        <f>IF(DaybyDay[[#This Row],[_Space]],DaybyDay[[#This Row],[Ret-Bud-RU]]/DaybyDay[[#This Row],[Serv-Bud-RU]],"")</f>
        <v>#DIV/0!</v>
      </c>
      <c r="AD546" s="37" t="e">
        <f>IF(DaybyDay[[#This Row],[_Space]],DaybyDay[[#This Row],[Ret-LY-RU]]/DaybyDay[[#This Row],[Serv-LY-RU]],"")</f>
        <v>#DIV/0!</v>
      </c>
      <c r="AE546" s="30">
        <f>WEEKDAY(DaybyDay[[#This Row],[LY-Date]])</f>
        <v>1</v>
      </c>
      <c r="AF546" s="38">
        <f>$E$2+_xlfn.DAYS(DaybyDay[[#This Row],[Date]],minDate)</f>
        <v>42911</v>
      </c>
      <c r="AG546" s="39" cm="1">
        <f t="array" ref="AG546">IFERROR(INDEX(DaybyDay[],DaybyDay[[#This Row],[FORM_MATCH_HELPER]],8),"")</f>
        <v>17</v>
      </c>
      <c r="AH546" s="39" cm="1">
        <f t="array" ref="AH546">IFERROR(INDEX(DaybyDay[],DaybyDay[[#This Row],[FORM_MATCH_HELPER]],10),"")</f>
        <v>3470.06</v>
      </c>
      <c r="AI546" s="39" cm="1">
        <f t="array" ref="AI546">IFERROR(INDEX(DaybyDay[],DaybyDay[[#This Row],[FORM_MATCH_HELPER]],12),"")</f>
        <v>1974</v>
      </c>
      <c r="AJ546" s="32">
        <f>IFERROR(DaybyDay[[#This Row],[Serv-LY-RU]]+DaybyDay[[#This Row],[Ret-LY-RU]],"")</f>
        <v>0</v>
      </c>
      <c r="AK5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6" s="77"/>
      <c r="AM546" s="40" t="str">
        <f>IF(DaybyDay[[#This Row],[Admin Hours]]&gt;0,DaybyDay[[#This Row],[Admin Hours]]*$AM$2+$AM$3,"")</f>
        <v/>
      </c>
      <c r="AN546" s="40">
        <f>SUMIFS(DaybyDay[Est-Admin-Payroll],DaybyDay[Date],"&gt;="&amp;$C$5,DaybyDay[RowYear],"&gt;="&amp;$C$4,DaybyDay[Date],"&lt;="&amp;DaybyDay[[#This Row],[Date]])</f>
        <v>0</v>
      </c>
      <c r="AO546" s="41" t="str">
        <f>IF(AND(DaybyDay[[#This Row],[_Space]],ISNUMBER(DaybyDay[[#This Row],[Admin Hours]])),DaybyDay[[#This Row],[Est-Admin-Payroll]]/(DaybyDay[[#This Row],[Service-Actuals]]+DaybyDay[[#This Row],[Retail-Actuals]]),"")</f>
        <v/>
      </c>
      <c r="AP546" s="41" t="e">
        <f>DaybyDay[[#This Row],[Estimated-Payroll-Rollup]]/DaybyDay[[#This Row],[Simple-Forecast]]</f>
        <v>#DIV/0!</v>
      </c>
      <c r="AQ5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6" s="77"/>
      <c r="AS546" s="40" t="str">
        <f>IF(DaybyDay[[#This Row],[Retail Hours]]&gt;0,DaybyDay[[#This Row],[Retail Hours]]*$AS$2,"")</f>
        <v/>
      </c>
      <c r="AT546" s="40">
        <f>SUMIFS(DaybyDay[Est-Retail-Payroll],DaybyDay[Date],"&gt;="&amp;$C$5,DaybyDay[RowYear],"&gt;="&amp;$C$4,DaybyDay[Date],"&lt;="&amp;DaybyDay[[#This Row],[Date]])</f>
        <v>0</v>
      </c>
      <c r="AU546" s="82" t="str">
        <f>IF(AND(DaybyDay[[#This Row],[_Space]],ISNUMBER(DaybyDay[[#This Row],[Retail Hours]])),DaybyDay[[#This Row],[Est-Retail-Payroll]]/(DaybyDay[[#This Row],[Retail-Actuals]]),"")</f>
        <v/>
      </c>
      <c r="AV546" s="82" t="e">
        <f>DaybyDay[[#This Row],[Est-Retail-PayrollRU]]/DaybyDay[[#This Row],[Simple-Forecast-Retail]]</f>
        <v>#DIV/0!</v>
      </c>
      <c r="AW546" s="8"/>
    </row>
    <row r="547" spans="3:49" hidden="1" x14ac:dyDescent="0.25">
      <c r="C547" s="26" t="str">
        <f>Tools!$C$1</f>
        <v>Example</v>
      </c>
      <c r="D547" s="27" t="s">
        <v>73</v>
      </c>
      <c r="E547" s="28">
        <v>2018</v>
      </c>
      <c r="F547" s="28">
        <f>MATCH(DaybyDay[[#This Row],[RowMonth]],Table3[SummaryMonth],0)</f>
        <v>6</v>
      </c>
      <c r="G547" s="29">
        <f>MATCH(DaybyDay[[#This Row],[LY-Date]],DaybyDay[Date],0)</f>
        <v>177</v>
      </c>
      <c r="H547" s="30">
        <f>WEEKDAY(DaybyDay[[#This Row],[Date]])</f>
        <v>2</v>
      </c>
      <c r="I547" s="31">
        <v>43276</v>
      </c>
      <c r="J547" s="74">
        <v>14</v>
      </c>
      <c r="K547" s="32">
        <f>SUMIFS(BudgetSeasonality[365 Seasonality],BudgetSeasonality[MonthAdjustment],DaybyDay[[#This Row],[Date]])*SUMIFS(Budgets[Service-Budget],Budgets[BudgetMonth],DaybyDay[[#This Row],[RowMonth]],Budgets[BudgetYear],DaybyDay[[#This Row],[RowYear]])</f>
        <v>3459.9925519161889</v>
      </c>
      <c r="L547" s="75">
        <v>2201.79</v>
      </c>
      <c r="M547" s="32">
        <f>INDEX(BudgetSeasonality[365 Seasonality],MATCH(DaybyDay[[#This Row],[Date]],BudgetSeasonality[MonthAdjustment],0))*SUMIFS(Budgets[Retail-Budget],Budgets[BudgetMonth],DaybyDay[[#This Row],[RowMonth]],Budgets[BudgetYear],DaybyDay[[#This Row],[RowYear]])</f>
        <v>1038.9269026113225</v>
      </c>
      <c r="N547" s="75">
        <v>1188.75</v>
      </c>
      <c r="O547" s="33">
        <f>SUMIFS(DaybyDay[Service-Budgets],DaybyDay[Date],"&gt;="&amp;$C$5,DaybyDay[RowYear],"&gt;="&amp;$C$4,DaybyDay[Date],"&lt;="&amp;DaybyDay[[#This Row],[Date]])</f>
        <v>0</v>
      </c>
      <c r="P547" s="33">
        <f>SUMIFS(DaybyDay[Retail-Budgets],DaybyDay[Date],"&gt;="&amp;$C$5,DaybyDay[RowYear],"&gt;="&amp;$C$4,DaybyDay[Date],"&lt;="&amp;DaybyDay[[#This Row],[Date]])</f>
        <v>0</v>
      </c>
      <c r="Q547" s="34">
        <f>SUMIFS(DaybyDay[Service-Actuals],DaybyDay[Date],"&gt;="&amp;$C$5,DaybyDay[RowYear],"&gt;="&amp;$C$4,DaybyDay[Date],"&lt;="&amp;DaybyDay[[#This Row],[Date]])</f>
        <v>0</v>
      </c>
      <c r="R547" s="34">
        <f>SUMIFS(DaybyDay[Retail-Actuals],DaybyDay[Date],"&gt;="&amp;$C$5,DaybyDay[RowYear],"&gt;="&amp;$C$4,DaybyDay[Date],"&lt;="&amp;DaybyDay[[#This Row],[Date]])</f>
        <v>0</v>
      </c>
      <c r="S547" s="35">
        <f>SUMIFS(DaybyDay[Service-LY],DaybyDay[Date],"&gt;="&amp;$C$5,DaybyDay[RowYear],"&gt;="&amp;$C$4,DaybyDay[Date],"&lt;="&amp;DaybyDay[[#This Row],[Date]])</f>
        <v>0</v>
      </c>
      <c r="T547" s="35">
        <f>SUMIFS(DaybyDay[Retail-LY],DaybyDay[Date],"&gt;="&amp;$C$5,DaybyDay[RowYear],"&gt;="&amp;$C$4,DaybyDay[Date],"&lt;="&amp;DaybyDay[[#This Row],[Date]])</f>
        <v>0</v>
      </c>
      <c r="U547" s="32">
        <f>DaybyDay[[#This Row],[Serv-Bud-RU]]+DaybyDay[[#This Row],[Ret-Bud-RU]]</f>
        <v>0</v>
      </c>
      <c r="V547" s="32">
        <f>DaybyDay[[#This Row],[Serv-Act-RU]]+DaybyDay[[#This Row],[Ret-Act-RU]]</f>
        <v>0</v>
      </c>
      <c r="W547" s="36">
        <f>IF(DaybyDay[[#This Row],[_Space]],IFERROR(
((DaybyDay[[#This Row],[Actual-Rollup]]-DaybyDay[[#This Row],[Budget-Rollup]])/DaybyDay[[#This Row],[Budget-Rollup]]),0),"")</f>
        <v>0</v>
      </c>
      <c r="X547" t="b">
        <f>NOT(AND(ISBLANK(DaybyDay[[#This Row],[Appts]]),ISBLANK(DaybyDay[[#This Row],[Service-Actuals]]),ISBLANK(DaybyDay[[#This Row],[Retail-Actuals]])))</f>
        <v>1</v>
      </c>
      <c r="Y547" s="36">
        <f>IF(DaybyDay[[#This Row],[_Space]],IFERROR(
((DaybyDay[[#This Row],[Actual-Rollup]]-DaybyDay[[#This Row],[LY-Rollup]])/DaybyDay[[#This Row],[LY-Rollup]]),0),"")</f>
        <v>0</v>
      </c>
      <c r="Z547"/>
      <c r="AA547" s="37" t="e">
        <f>IF(DaybyDay[[#This Row],[_Space]],DaybyDay[[#This Row],[Ret-Act-RU]]/DaybyDay[[#This Row],[Serv-Act-RU]],"")</f>
        <v>#DIV/0!</v>
      </c>
      <c r="AB547" s="50" t="e">
        <f>IF(DaybyDay[[#This Row],[_Space]],DaybyDay[[#This Row],[RETPEN-Act]]/DaybyDay[[#This Row],[RETPEN-Bud]],"")</f>
        <v>#DIV/0!</v>
      </c>
      <c r="AC547" s="37" t="e">
        <f>IF(DaybyDay[[#This Row],[_Space]],DaybyDay[[#This Row],[Ret-Bud-RU]]/DaybyDay[[#This Row],[Serv-Bud-RU]],"")</f>
        <v>#DIV/0!</v>
      </c>
      <c r="AD547" s="37" t="e">
        <f>IF(DaybyDay[[#This Row],[_Space]],DaybyDay[[#This Row],[Ret-LY-RU]]/DaybyDay[[#This Row],[Serv-LY-RU]],"")</f>
        <v>#DIV/0!</v>
      </c>
      <c r="AE547" s="30">
        <f>WEEKDAY(DaybyDay[[#This Row],[LY-Date]])</f>
        <v>2</v>
      </c>
      <c r="AF547" s="38">
        <f>$E$2+_xlfn.DAYS(DaybyDay[[#This Row],[Date]],minDate)</f>
        <v>42912</v>
      </c>
      <c r="AG547" s="39" cm="1">
        <f t="array" ref="AG547">IFERROR(INDEX(DaybyDay[],DaybyDay[[#This Row],[FORM_MATCH_HELPER]],8),"")</f>
        <v>20</v>
      </c>
      <c r="AH547" s="39" cm="1">
        <f t="array" ref="AH547">IFERROR(INDEX(DaybyDay[],DaybyDay[[#This Row],[FORM_MATCH_HELPER]],10),"")</f>
        <v>3738.6</v>
      </c>
      <c r="AI547" s="39" cm="1">
        <f t="array" ref="AI547">IFERROR(INDEX(DaybyDay[],DaybyDay[[#This Row],[FORM_MATCH_HELPER]],12),"")</f>
        <v>424</v>
      </c>
      <c r="AJ547" s="32">
        <f>IFERROR(DaybyDay[[#This Row],[Serv-LY-RU]]+DaybyDay[[#This Row],[Ret-LY-RU]],"")</f>
        <v>0</v>
      </c>
      <c r="AK5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7" s="77"/>
      <c r="AM547" s="40" t="str">
        <f>IF(DaybyDay[[#This Row],[Admin Hours]]&gt;0,DaybyDay[[#This Row],[Admin Hours]]*$AM$2+$AM$3,"")</f>
        <v/>
      </c>
      <c r="AN547" s="40">
        <f>SUMIFS(DaybyDay[Est-Admin-Payroll],DaybyDay[Date],"&gt;="&amp;$C$5,DaybyDay[RowYear],"&gt;="&amp;$C$4,DaybyDay[Date],"&lt;="&amp;DaybyDay[[#This Row],[Date]])</f>
        <v>0</v>
      </c>
      <c r="AO547" s="41" t="str">
        <f>IF(AND(DaybyDay[[#This Row],[_Space]],ISNUMBER(DaybyDay[[#This Row],[Admin Hours]])),DaybyDay[[#This Row],[Est-Admin-Payroll]]/(DaybyDay[[#This Row],[Service-Actuals]]+DaybyDay[[#This Row],[Retail-Actuals]]),"")</f>
        <v/>
      </c>
      <c r="AP547" s="41" t="e">
        <f>DaybyDay[[#This Row],[Estimated-Payroll-Rollup]]/DaybyDay[[#This Row],[Simple-Forecast]]</f>
        <v>#DIV/0!</v>
      </c>
      <c r="AQ5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7" s="77"/>
      <c r="AS547" s="40" t="str">
        <f>IF(DaybyDay[[#This Row],[Retail Hours]]&gt;0,DaybyDay[[#This Row],[Retail Hours]]*$AS$2,"")</f>
        <v/>
      </c>
      <c r="AT547" s="40">
        <f>SUMIFS(DaybyDay[Est-Retail-Payroll],DaybyDay[Date],"&gt;="&amp;$C$5,DaybyDay[RowYear],"&gt;="&amp;$C$4,DaybyDay[Date],"&lt;="&amp;DaybyDay[[#This Row],[Date]])</f>
        <v>0</v>
      </c>
      <c r="AU547" s="82" t="str">
        <f>IF(AND(DaybyDay[[#This Row],[_Space]],ISNUMBER(DaybyDay[[#This Row],[Retail Hours]])),DaybyDay[[#This Row],[Est-Retail-Payroll]]/(DaybyDay[[#This Row],[Retail-Actuals]]),"")</f>
        <v/>
      </c>
      <c r="AV547" s="82" t="e">
        <f>DaybyDay[[#This Row],[Est-Retail-PayrollRU]]/DaybyDay[[#This Row],[Simple-Forecast-Retail]]</f>
        <v>#DIV/0!</v>
      </c>
      <c r="AW547" s="8"/>
    </row>
    <row r="548" spans="3:49" hidden="1" x14ac:dyDescent="0.25">
      <c r="C548" s="26" t="str">
        <f>Tools!$C$1</f>
        <v>Example</v>
      </c>
      <c r="D548" s="27" t="s">
        <v>73</v>
      </c>
      <c r="E548" s="28">
        <v>2018</v>
      </c>
      <c r="F548" s="28">
        <f>MATCH(DaybyDay[[#This Row],[RowMonth]],Table3[SummaryMonth],0)</f>
        <v>6</v>
      </c>
      <c r="G548" s="29">
        <f>MATCH(DaybyDay[[#This Row],[LY-Date]],DaybyDay[Date],0)</f>
        <v>178</v>
      </c>
      <c r="H548" s="30">
        <f>WEEKDAY(DaybyDay[[#This Row],[Date]])</f>
        <v>3</v>
      </c>
      <c r="I548" s="31">
        <v>43277</v>
      </c>
      <c r="J548" s="74">
        <v>20</v>
      </c>
      <c r="K548" s="32">
        <f>SUMIFS(BudgetSeasonality[365 Seasonality],BudgetSeasonality[MonthAdjustment],DaybyDay[[#This Row],[Date]])*SUMIFS(Budgets[Service-Budget],Budgets[BudgetMonth],DaybyDay[[#This Row],[RowMonth]],Budgets[BudgetYear],DaybyDay[[#This Row],[RowYear]])</f>
        <v>3512.0205417583825</v>
      </c>
      <c r="L548" s="75">
        <v>4080.65</v>
      </c>
      <c r="M548" s="32">
        <f>INDEX(BudgetSeasonality[365 Seasonality],MATCH(DaybyDay[[#This Row],[Date]],BudgetSeasonality[MonthAdjustment],0))*SUMIFS(Budgets[Retail-Budget],Budgets[BudgetMonth],DaybyDay[[#This Row],[RowMonth]],Budgets[BudgetYear],DaybyDay[[#This Row],[RowYear]])</f>
        <v>1054.5492710195745</v>
      </c>
      <c r="N548" s="75">
        <v>1063.5</v>
      </c>
      <c r="O548" s="33">
        <f>SUMIFS(DaybyDay[Service-Budgets],DaybyDay[Date],"&gt;="&amp;$C$5,DaybyDay[RowYear],"&gt;="&amp;$C$4,DaybyDay[Date],"&lt;="&amp;DaybyDay[[#This Row],[Date]])</f>
        <v>0</v>
      </c>
      <c r="P548" s="33">
        <f>SUMIFS(DaybyDay[Retail-Budgets],DaybyDay[Date],"&gt;="&amp;$C$5,DaybyDay[RowYear],"&gt;="&amp;$C$4,DaybyDay[Date],"&lt;="&amp;DaybyDay[[#This Row],[Date]])</f>
        <v>0</v>
      </c>
      <c r="Q548" s="34">
        <f>SUMIFS(DaybyDay[Service-Actuals],DaybyDay[Date],"&gt;="&amp;$C$5,DaybyDay[RowYear],"&gt;="&amp;$C$4,DaybyDay[Date],"&lt;="&amp;DaybyDay[[#This Row],[Date]])</f>
        <v>0</v>
      </c>
      <c r="R548" s="34">
        <f>SUMIFS(DaybyDay[Retail-Actuals],DaybyDay[Date],"&gt;="&amp;$C$5,DaybyDay[RowYear],"&gt;="&amp;$C$4,DaybyDay[Date],"&lt;="&amp;DaybyDay[[#This Row],[Date]])</f>
        <v>0</v>
      </c>
      <c r="S548" s="35">
        <f>SUMIFS(DaybyDay[Service-LY],DaybyDay[Date],"&gt;="&amp;$C$5,DaybyDay[RowYear],"&gt;="&amp;$C$4,DaybyDay[Date],"&lt;="&amp;DaybyDay[[#This Row],[Date]])</f>
        <v>0</v>
      </c>
      <c r="T548" s="35">
        <f>SUMIFS(DaybyDay[Retail-LY],DaybyDay[Date],"&gt;="&amp;$C$5,DaybyDay[RowYear],"&gt;="&amp;$C$4,DaybyDay[Date],"&lt;="&amp;DaybyDay[[#This Row],[Date]])</f>
        <v>0</v>
      </c>
      <c r="U548" s="32">
        <f>DaybyDay[[#This Row],[Serv-Bud-RU]]+DaybyDay[[#This Row],[Ret-Bud-RU]]</f>
        <v>0</v>
      </c>
      <c r="V548" s="32">
        <f>DaybyDay[[#This Row],[Serv-Act-RU]]+DaybyDay[[#This Row],[Ret-Act-RU]]</f>
        <v>0</v>
      </c>
      <c r="W548" s="36">
        <f>IF(DaybyDay[[#This Row],[_Space]],IFERROR(
((DaybyDay[[#This Row],[Actual-Rollup]]-DaybyDay[[#This Row],[Budget-Rollup]])/DaybyDay[[#This Row],[Budget-Rollup]]),0),"")</f>
        <v>0</v>
      </c>
      <c r="X548" t="b">
        <f>NOT(AND(ISBLANK(DaybyDay[[#This Row],[Appts]]),ISBLANK(DaybyDay[[#This Row],[Service-Actuals]]),ISBLANK(DaybyDay[[#This Row],[Retail-Actuals]])))</f>
        <v>1</v>
      </c>
      <c r="Y548" s="36">
        <f>IF(DaybyDay[[#This Row],[_Space]],IFERROR(
((DaybyDay[[#This Row],[Actual-Rollup]]-DaybyDay[[#This Row],[LY-Rollup]])/DaybyDay[[#This Row],[LY-Rollup]]),0),"")</f>
        <v>0</v>
      </c>
      <c r="Z548"/>
      <c r="AA548" s="37" t="e">
        <f>IF(DaybyDay[[#This Row],[_Space]],DaybyDay[[#This Row],[Ret-Act-RU]]/DaybyDay[[#This Row],[Serv-Act-RU]],"")</f>
        <v>#DIV/0!</v>
      </c>
      <c r="AB548" s="50" t="e">
        <f>IF(DaybyDay[[#This Row],[_Space]],DaybyDay[[#This Row],[RETPEN-Act]]/DaybyDay[[#This Row],[RETPEN-Bud]],"")</f>
        <v>#DIV/0!</v>
      </c>
      <c r="AC548" s="37" t="e">
        <f>IF(DaybyDay[[#This Row],[_Space]],DaybyDay[[#This Row],[Ret-Bud-RU]]/DaybyDay[[#This Row],[Serv-Bud-RU]],"")</f>
        <v>#DIV/0!</v>
      </c>
      <c r="AD548" s="37" t="e">
        <f>IF(DaybyDay[[#This Row],[_Space]],DaybyDay[[#This Row],[Ret-LY-RU]]/DaybyDay[[#This Row],[Serv-LY-RU]],"")</f>
        <v>#DIV/0!</v>
      </c>
      <c r="AE548" s="30">
        <f>WEEKDAY(DaybyDay[[#This Row],[LY-Date]])</f>
        <v>3</v>
      </c>
      <c r="AF548" s="38">
        <f>$E$2+_xlfn.DAYS(DaybyDay[[#This Row],[Date]],minDate)</f>
        <v>42913</v>
      </c>
      <c r="AG548" s="39" cm="1">
        <f t="array" ref="AG548">IFERROR(INDEX(DaybyDay[],DaybyDay[[#This Row],[FORM_MATCH_HELPER]],8),"")</f>
        <v>22</v>
      </c>
      <c r="AH548" s="39" cm="1">
        <f t="array" ref="AH548">IFERROR(INDEX(DaybyDay[],DaybyDay[[#This Row],[FORM_MATCH_HELPER]],10),"")</f>
        <v>4017.8</v>
      </c>
      <c r="AI548" s="39" cm="1">
        <f t="array" ref="AI548">IFERROR(INDEX(DaybyDay[],DaybyDay[[#This Row],[FORM_MATCH_HELPER]],12),"")</f>
        <v>757.4</v>
      </c>
      <c r="AJ548" s="32">
        <f>IFERROR(DaybyDay[[#This Row],[Serv-LY-RU]]+DaybyDay[[#This Row],[Ret-LY-RU]],"")</f>
        <v>0</v>
      </c>
      <c r="AK5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8" s="77"/>
      <c r="AM548" s="40" t="str">
        <f>IF(DaybyDay[[#This Row],[Admin Hours]]&gt;0,DaybyDay[[#This Row],[Admin Hours]]*$AM$2+$AM$3,"")</f>
        <v/>
      </c>
      <c r="AN548" s="40">
        <f>SUMIFS(DaybyDay[Est-Admin-Payroll],DaybyDay[Date],"&gt;="&amp;$C$5,DaybyDay[RowYear],"&gt;="&amp;$C$4,DaybyDay[Date],"&lt;="&amp;DaybyDay[[#This Row],[Date]])</f>
        <v>0</v>
      </c>
      <c r="AO548" s="41" t="str">
        <f>IF(AND(DaybyDay[[#This Row],[_Space]],ISNUMBER(DaybyDay[[#This Row],[Admin Hours]])),DaybyDay[[#This Row],[Est-Admin-Payroll]]/(DaybyDay[[#This Row],[Service-Actuals]]+DaybyDay[[#This Row],[Retail-Actuals]]),"")</f>
        <v/>
      </c>
      <c r="AP548" s="41" t="e">
        <f>DaybyDay[[#This Row],[Estimated-Payroll-Rollup]]/DaybyDay[[#This Row],[Simple-Forecast]]</f>
        <v>#DIV/0!</v>
      </c>
      <c r="AQ5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8" s="77"/>
      <c r="AS548" s="40" t="str">
        <f>IF(DaybyDay[[#This Row],[Retail Hours]]&gt;0,DaybyDay[[#This Row],[Retail Hours]]*$AS$2,"")</f>
        <v/>
      </c>
      <c r="AT548" s="40">
        <f>SUMIFS(DaybyDay[Est-Retail-Payroll],DaybyDay[Date],"&gt;="&amp;$C$5,DaybyDay[RowYear],"&gt;="&amp;$C$4,DaybyDay[Date],"&lt;="&amp;DaybyDay[[#This Row],[Date]])</f>
        <v>0</v>
      </c>
      <c r="AU548" s="82" t="str">
        <f>IF(AND(DaybyDay[[#This Row],[_Space]],ISNUMBER(DaybyDay[[#This Row],[Retail Hours]])),DaybyDay[[#This Row],[Est-Retail-Payroll]]/(DaybyDay[[#This Row],[Retail-Actuals]]),"")</f>
        <v/>
      </c>
      <c r="AV548" s="82" t="e">
        <f>DaybyDay[[#This Row],[Est-Retail-PayrollRU]]/DaybyDay[[#This Row],[Simple-Forecast-Retail]]</f>
        <v>#DIV/0!</v>
      </c>
      <c r="AW548" s="8"/>
    </row>
    <row r="549" spans="3:49" hidden="1" x14ac:dyDescent="0.25">
      <c r="C549" s="26" t="str">
        <f>Tools!$C$1</f>
        <v>Example</v>
      </c>
      <c r="D549" s="27" t="s">
        <v>73</v>
      </c>
      <c r="E549" s="28">
        <v>2018</v>
      </c>
      <c r="F549" s="28">
        <f>MATCH(DaybyDay[[#This Row],[RowMonth]],Table3[SummaryMonth],0)</f>
        <v>6</v>
      </c>
      <c r="G549" s="29">
        <f>MATCH(DaybyDay[[#This Row],[LY-Date]],DaybyDay[Date],0)</f>
        <v>179</v>
      </c>
      <c r="H549" s="30">
        <f>WEEKDAY(DaybyDay[[#This Row],[Date]])</f>
        <v>4</v>
      </c>
      <c r="I549" s="31">
        <v>43278</v>
      </c>
      <c r="J549" s="74">
        <v>26</v>
      </c>
      <c r="K549" s="32">
        <f>SUMIFS(BudgetSeasonality[365 Seasonality],BudgetSeasonality[MonthAdjustment],DaybyDay[[#This Row],[Date]])*SUMIFS(Budgets[Service-Budget],Budgets[BudgetMonth],DaybyDay[[#This Row],[RowMonth]],Budgets[BudgetYear],DaybyDay[[#This Row],[RowYear]])</f>
        <v>4082.6789050594111</v>
      </c>
      <c r="L549" s="75">
        <v>5093.8</v>
      </c>
      <c r="M549" s="32">
        <f>INDEX(BudgetSeasonality[365 Seasonality],MATCH(DaybyDay[[#This Row],[Date]],BudgetSeasonality[MonthAdjustment],0))*SUMIFS(Budgets[Retail-Budget],Budgets[BudgetMonth],DaybyDay[[#This Row],[RowMonth]],Budgets[BudgetYear],DaybyDay[[#This Row],[RowYear]])</f>
        <v>1225.9000230624492</v>
      </c>
      <c r="N549" s="75">
        <v>1923.5</v>
      </c>
      <c r="O549" s="33">
        <f>SUMIFS(DaybyDay[Service-Budgets],DaybyDay[Date],"&gt;="&amp;$C$5,DaybyDay[RowYear],"&gt;="&amp;$C$4,DaybyDay[Date],"&lt;="&amp;DaybyDay[[#This Row],[Date]])</f>
        <v>0</v>
      </c>
      <c r="P549" s="33">
        <f>SUMIFS(DaybyDay[Retail-Budgets],DaybyDay[Date],"&gt;="&amp;$C$5,DaybyDay[RowYear],"&gt;="&amp;$C$4,DaybyDay[Date],"&lt;="&amp;DaybyDay[[#This Row],[Date]])</f>
        <v>0</v>
      </c>
      <c r="Q549" s="34">
        <f>SUMIFS(DaybyDay[Service-Actuals],DaybyDay[Date],"&gt;="&amp;$C$5,DaybyDay[RowYear],"&gt;="&amp;$C$4,DaybyDay[Date],"&lt;="&amp;DaybyDay[[#This Row],[Date]])</f>
        <v>0</v>
      </c>
      <c r="R549" s="34">
        <f>SUMIFS(DaybyDay[Retail-Actuals],DaybyDay[Date],"&gt;="&amp;$C$5,DaybyDay[RowYear],"&gt;="&amp;$C$4,DaybyDay[Date],"&lt;="&amp;DaybyDay[[#This Row],[Date]])</f>
        <v>0</v>
      </c>
      <c r="S549" s="35">
        <f>SUMIFS(DaybyDay[Service-LY],DaybyDay[Date],"&gt;="&amp;$C$5,DaybyDay[RowYear],"&gt;="&amp;$C$4,DaybyDay[Date],"&lt;="&amp;DaybyDay[[#This Row],[Date]])</f>
        <v>0</v>
      </c>
      <c r="T549" s="35">
        <f>SUMIFS(DaybyDay[Retail-LY],DaybyDay[Date],"&gt;="&amp;$C$5,DaybyDay[RowYear],"&gt;="&amp;$C$4,DaybyDay[Date],"&lt;="&amp;DaybyDay[[#This Row],[Date]])</f>
        <v>0</v>
      </c>
      <c r="U549" s="32">
        <f>DaybyDay[[#This Row],[Serv-Bud-RU]]+DaybyDay[[#This Row],[Ret-Bud-RU]]</f>
        <v>0</v>
      </c>
      <c r="V549" s="32">
        <f>DaybyDay[[#This Row],[Serv-Act-RU]]+DaybyDay[[#This Row],[Ret-Act-RU]]</f>
        <v>0</v>
      </c>
      <c r="W549" s="36">
        <f>IF(DaybyDay[[#This Row],[_Space]],IFERROR(
((DaybyDay[[#This Row],[Actual-Rollup]]-DaybyDay[[#This Row],[Budget-Rollup]])/DaybyDay[[#This Row],[Budget-Rollup]]),0),"")</f>
        <v>0</v>
      </c>
      <c r="X549" t="b">
        <f>NOT(AND(ISBLANK(DaybyDay[[#This Row],[Appts]]),ISBLANK(DaybyDay[[#This Row],[Service-Actuals]]),ISBLANK(DaybyDay[[#This Row],[Retail-Actuals]])))</f>
        <v>1</v>
      </c>
      <c r="Y549" s="36">
        <f>IF(DaybyDay[[#This Row],[_Space]],IFERROR(
((DaybyDay[[#This Row],[Actual-Rollup]]-DaybyDay[[#This Row],[LY-Rollup]])/DaybyDay[[#This Row],[LY-Rollup]]),0),"")</f>
        <v>0</v>
      </c>
      <c r="Z549"/>
      <c r="AA549" s="37" t="e">
        <f>IF(DaybyDay[[#This Row],[_Space]],DaybyDay[[#This Row],[Ret-Act-RU]]/DaybyDay[[#This Row],[Serv-Act-RU]],"")</f>
        <v>#DIV/0!</v>
      </c>
      <c r="AB549" s="50" t="e">
        <f>IF(DaybyDay[[#This Row],[_Space]],DaybyDay[[#This Row],[RETPEN-Act]]/DaybyDay[[#This Row],[RETPEN-Bud]],"")</f>
        <v>#DIV/0!</v>
      </c>
      <c r="AC549" s="37" t="e">
        <f>IF(DaybyDay[[#This Row],[_Space]],DaybyDay[[#This Row],[Ret-Bud-RU]]/DaybyDay[[#This Row],[Serv-Bud-RU]],"")</f>
        <v>#DIV/0!</v>
      </c>
      <c r="AD549" s="37" t="e">
        <f>IF(DaybyDay[[#This Row],[_Space]],DaybyDay[[#This Row],[Ret-LY-RU]]/DaybyDay[[#This Row],[Serv-LY-RU]],"")</f>
        <v>#DIV/0!</v>
      </c>
      <c r="AE549" s="30">
        <f>WEEKDAY(DaybyDay[[#This Row],[LY-Date]])</f>
        <v>4</v>
      </c>
      <c r="AF549" s="38">
        <f>$E$2+_xlfn.DAYS(DaybyDay[[#This Row],[Date]],minDate)</f>
        <v>42914</v>
      </c>
      <c r="AG549" s="39" cm="1">
        <f t="array" ref="AG549">IFERROR(INDEX(DaybyDay[],DaybyDay[[#This Row],[FORM_MATCH_HELPER]],8),"")</f>
        <v>19</v>
      </c>
      <c r="AH549" s="39" cm="1">
        <f t="array" ref="AH549">IFERROR(INDEX(DaybyDay[],DaybyDay[[#This Row],[FORM_MATCH_HELPER]],10),"")</f>
        <v>3545.8</v>
      </c>
      <c r="AI549" s="39" cm="1">
        <f t="array" ref="AI549">IFERROR(INDEX(DaybyDay[],DaybyDay[[#This Row],[FORM_MATCH_HELPER]],12),"")</f>
        <v>2720.96</v>
      </c>
      <c r="AJ549" s="32">
        <f>IFERROR(DaybyDay[[#This Row],[Serv-LY-RU]]+DaybyDay[[#This Row],[Ret-LY-RU]],"")</f>
        <v>0</v>
      </c>
      <c r="AK5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49" s="77"/>
      <c r="AM549" s="40" t="str">
        <f>IF(DaybyDay[[#This Row],[Admin Hours]]&gt;0,DaybyDay[[#This Row],[Admin Hours]]*$AM$2+$AM$3,"")</f>
        <v/>
      </c>
      <c r="AN549" s="40">
        <f>SUMIFS(DaybyDay[Est-Admin-Payroll],DaybyDay[Date],"&gt;="&amp;$C$5,DaybyDay[RowYear],"&gt;="&amp;$C$4,DaybyDay[Date],"&lt;="&amp;DaybyDay[[#This Row],[Date]])</f>
        <v>0</v>
      </c>
      <c r="AO549" s="41" t="str">
        <f>IF(AND(DaybyDay[[#This Row],[_Space]],ISNUMBER(DaybyDay[[#This Row],[Admin Hours]])),DaybyDay[[#This Row],[Est-Admin-Payroll]]/(DaybyDay[[#This Row],[Service-Actuals]]+DaybyDay[[#This Row],[Retail-Actuals]]),"")</f>
        <v/>
      </c>
      <c r="AP549" s="41" t="e">
        <f>DaybyDay[[#This Row],[Estimated-Payroll-Rollup]]/DaybyDay[[#This Row],[Simple-Forecast]]</f>
        <v>#DIV/0!</v>
      </c>
      <c r="AQ5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49" s="77"/>
      <c r="AS549" s="40" t="str">
        <f>IF(DaybyDay[[#This Row],[Retail Hours]]&gt;0,DaybyDay[[#This Row],[Retail Hours]]*$AS$2,"")</f>
        <v/>
      </c>
      <c r="AT549" s="40">
        <f>SUMIFS(DaybyDay[Est-Retail-Payroll],DaybyDay[Date],"&gt;="&amp;$C$5,DaybyDay[RowYear],"&gt;="&amp;$C$4,DaybyDay[Date],"&lt;="&amp;DaybyDay[[#This Row],[Date]])</f>
        <v>0</v>
      </c>
      <c r="AU549" s="82" t="str">
        <f>IF(AND(DaybyDay[[#This Row],[_Space]],ISNUMBER(DaybyDay[[#This Row],[Retail Hours]])),DaybyDay[[#This Row],[Est-Retail-Payroll]]/(DaybyDay[[#This Row],[Retail-Actuals]]),"")</f>
        <v/>
      </c>
      <c r="AV549" s="82" t="e">
        <f>DaybyDay[[#This Row],[Est-Retail-PayrollRU]]/DaybyDay[[#This Row],[Simple-Forecast-Retail]]</f>
        <v>#DIV/0!</v>
      </c>
      <c r="AW549" s="8"/>
    </row>
    <row r="550" spans="3:49" hidden="1" x14ac:dyDescent="0.25">
      <c r="C550" s="26" t="str">
        <f>Tools!$C$1</f>
        <v>Example</v>
      </c>
      <c r="D550" s="27" t="s">
        <v>73</v>
      </c>
      <c r="E550" s="28">
        <v>2018</v>
      </c>
      <c r="F550" s="28">
        <f>MATCH(DaybyDay[[#This Row],[RowMonth]],Table3[SummaryMonth],0)</f>
        <v>6</v>
      </c>
      <c r="G550" s="29">
        <f>MATCH(DaybyDay[[#This Row],[LY-Date]],DaybyDay[Date],0)</f>
        <v>180</v>
      </c>
      <c r="H550" s="30">
        <f>WEEKDAY(DaybyDay[[#This Row],[Date]])</f>
        <v>5</v>
      </c>
      <c r="I550" s="31">
        <v>43279</v>
      </c>
      <c r="J550" s="74">
        <v>47</v>
      </c>
      <c r="K550" s="32">
        <f>SUMIFS(BudgetSeasonality[365 Seasonality],BudgetSeasonality[MonthAdjustment],DaybyDay[[#This Row],[Date]])*SUMIFS(Budgets[Service-Budget],Budgets[BudgetMonth],DaybyDay[[#This Row],[RowMonth]],Budgets[BudgetYear],DaybyDay[[#This Row],[RowYear]])</f>
        <v>4125.9200955713404</v>
      </c>
      <c r="L550" s="75">
        <v>7464.4</v>
      </c>
      <c r="M550" s="32">
        <f>INDEX(BudgetSeasonality[365 Seasonality],MATCH(DaybyDay[[#This Row],[Date]],BudgetSeasonality[MonthAdjustment],0))*SUMIFS(Budgets[Retail-Budget],Budgets[BudgetMonth],DaybyDay[[#This Row],[RowMonth]],Budgets[BudgetYear],DaybyDay[[#This Row],[RowYear]])</f>
        <v>1238.8839920883088</v>
      </c>
      <c r="N550" s="75">
        <v>5013</v>
      </c>
      <c r="O550" s="33">
        <f>SUMIFS(DaybyDay[Service-Budgets],DaybyDay[Date],"&gt;="&amp;$C$5,DaybyDay[RowYear],"&gt;="&amp;$C$4,DaybyDay[Date],"&lt;="&amp;DaybyDay[[#This Row],[Date]])</f>
        <v>0</v>
      </c>
      <c r="P550" s="33">
        <f>SUMIFS(DaybyDay[Retail-Budgets],DaybyDay[Date],"&gt;="&amp;$C$5,DaybyDay[RowYear],"&gt;="&amp;$C$4,DaybyDay[Date],"&lt;="&amp;DaybyDay[[#This Row],[Date]])</f>
        <v>0</v>
      </c>
      <c r="Q550" s="34">
        <f>SUMIFS(DaybyDay[Service-Actuals],DaybyDay[Date],"&gt;="&amp;$C$5,DaybyDay[RowYear],"&gt;="&amp;$C$4,DaybyDay[Date],"&lt;="&amp;DaybyDay[[#This Row],[Date]])</f>
        <v>0</v>
      </c>
      <c r="R550" s="34">
        <f>SUMIFS(DaybyDay[Retail-Actuals],DaybyDay[Date],"&gt;="&amp;$C$5,DaybyDay[RowYear],"&gt;="&amp;$C$4,DaybyDay[Date],"&lt;="&amp;DaybyDay[[#This Row],[Date]])</f>
        <v>0</v>
      </c>
      <c r="S550" s="35">
        <f>SUMIFS(DaybyDay[Service-LY],DaybyDay[Date],"&gt;="&amp;$C$5,DaybyDay[RowYear],"&gt;="&amp;$C$4,DaybyDay[Date],"&lt;="&amp;DaybyDay[[#This Row],[Date]])</f>
        <v>0</v>
      </c>
      <c r="T550" s="35">
        <f>SUMIFS(DaybyDay[Retail-LY],DaybyDay[Date],"&gt;="&amp;$C$5,DaybyDay[RowYear],"&gt;="&amp;$C$4,DaybyDay[Date],"&lt;="&amp;DaybyDay[[#This Row],[Date]])</f>
        <v>0</v>
      </c>
      <c r="U550" s="32">
        <f>DaybyDay[[#This Row],[Serv-Bud-RU]]+DaybyDay[[#This Row],[Ret-Bud-RU]]</f>
        <v>0</v>
      </c>
      <c r="V550" s="32">
        <f>DaybyDay[[#This Row],[Serv-Act-RU]]+DaybyDay[[#This Row],[Ret-Act-RU]]</f>
        <v>0</v>
      </c>
      <c r="W550" s="36">
        <f>IF(DaybyDay[[#This Row],[_Space]],IFERROR(
((DaybyDay[[#This Row],[Actual-Rollup]]-DaybyDay[[#This Row],[Budget-Rollup]])/DaybyDay[[#This Row],[Budget-Rollup]]),0),"")</f>
        <v>0</v>
      </c>
      <c r="X550" t="b">
        <f>NOT(AND(ISBLANK(DaybyDay[[#This Row],[Appts]]),ISBLANK(DaybyDay[[#This Row],[Service-Actuals]]),ISBLANK(DaybyDay[[#This Row],[Retail-Actuals]])))</f>
        <v>1</v>
      </c>
      <c r="Y550" s="36">
        <f>IF(DaybyDay[[#This Row],[_Space]],IFERROR(
((DaybyDay[[#This Row],[Actual-Rollup]]-DaybyDay[[#This Row],[LY-Rollup]])/DaybyDay[[#This Row],[LY-Rollup]]),0),"")</f>
        <v>0</v>
      </c>
      <c r="Z550"/>
      <c r="AA550" s="37" t="e">
        <f>IF(DaybyDay[[#This Row],[_Space]],DaybyDay[[#This Row],[Ret-Act-RU]]/DaybyDay[[#This Row],[Serv-Act-RU]],"")</f>
        <v>#DIV/0!</v>
      </c>
      <c r="AB550" s="50" t="e">
        <f>IF(DaybyDay[[#This Row],[_Space]],DaybyDay[[#This Row],[RETPEN-Act]]/DaybyDay[[#This Row],[RETPEN-Bud]],"")</f>
        <v>#DIV/0!</v>
      </c>
      <c r="AC550" s="37" t="e">
        <f>IF(DaybyDay[[#This Row],[_Space]],DaybyDay[[#This Row],[Ret-Bud-RU]]/DaybyDay[[#This Row],[Serv-Bud-RU]],"")</f>
        <v>#DIV/0!</v>
      </c>
      <c r="AD550" s="37" t="e">
        <f>IF(DaybyDay[[#This Row],[_Space]],DaybyDay[[#This Row],[Ret-LY-RU]]/DaybyDay[[#This Row],[Serv-LY-RU]],"")</f>
        <v>#DIV/0!</v>
      </c>
      <c r="AE550" s="30">
        <f>WEEKDAY(DaybyDay[[#This Row],[LY-Date]])</f>
        <v>5</v>
      </c>
      <c r="AF550" s="38">
        <f>$E$2+_xlfn.DAYS(DaybyDay[[#This Row],[Date]],minDate)</f>
        <v>42915</v>
      </c>
      <c r="AG550" s="39" cm="1">
        <f t="array" ref="AG550">IFERROR(INDEX(DaybyDay[],DaybyDay[[#This Row],[FORM_MATCH_HELPER]],8),"")</f>
        <v>22</v>
      </c>
      <c r="AH550" s="39" cm="1">
        <f t="array" ref="AH550">IFERROR(INDEX(DaybyDay[],DaybyDay[[#This Row],[FORM_MATCH_HELPER]],10),"")</f>
        <v>4223.7</v>
      </c>
      <c r="AI550" s="39" cm="1">
        <f t="array" ref="AI550">IFERROR(INDEX(DaybyDay[],DaybyDay[[#This Row],[FORM_MATCH_HELPER]],12),"")</f>
        <v>1411.2</v>
      </c>
      <c r="AJ550" s="32">
        <f>IFERROR(DaybyDay[[#This Row],[Serv-LY-RU]]+DaybyDay[[#This Row],[Ret-LY-RU]],"")</f>
        <v>0</v>
      </c>
      <c r="AK5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0" s="77"/>
      <c r="AM550" s="40" t="str">
        <f>IF(DaybyDay[[#This Row],[Admin Hours]]&gt;0,DaybyDay[[#This Row],[Admin Hours]]*$AM$2+$AM$3,"")</f>
        <v/>
      </c>
      <c r="AN550" s="40">
        <f>SUMIFS(DaybyDay[Est-Admin-Payroll],DaybyDay[Date],"&gt;="&amp;$C$5,DaybyDay[RowYear],"&gt;="&amp;$C$4,DaybyDay[Date],"&lt;="&amp;DaybyDay[[#This Row],[Date]])</f>
        <v>0</v>
      </c>
      <c r="AO550" s="41" t="str">
        <f>IF(AND(DaybyDay[[#This Row],[_Space]],ISNUMBER(DaybyDay[[#This Row],[Admin Hours]])),DaybyDay[[#This Row],[Est-Admin-Payroll]]/(DaybyDay[[#This Row],[Service-Actuals]]+DaybyDay[[#This Row],[Retail-Actuals]]),"")</f>
        <v/>
      </c>
      <c r="AP550" s="41" t="e">
        <f>DaybyDay[[#This Row],[Estimated-Payroll-Rollup]]/DaybyDay[[#This Row],[Simple-Forecast]]</f>
        <v>#DIV/0!</v>
      </c>
      <c r="AQ5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0" s="77"/>
      <c r="AS550" s="40" t="str">
        <f>IF(DaybyDay[[#This Row],[Retail Hours]]&gt;0,DaybyDay[[#This Row],[Retail Hours]]*$AS$2,"")</f>
        <v/>
      </c>
      <c r="AT550" s="40">
        <f>SUMIFS(DaybyDay[Est-Retail-Payroll],DaybyDay[Date],"&gt;="&amp;$C$5,DaybyDay[RowYear],"&gt;="&amp;$C$4,DaybyDay[Date],"&lt;="&amp;DaybyDay[[#This Row],[Date]])</f>
        <v>0</v>
      </c>
      <c r="AU550" s="82" t="str">
        <f>IF(AND(DaybyDay[[#This Row],[_Space]],ISNUMBER(DaybyDay[[#This Row],[Retail Hours]])),DaybyDay[[#This Row],[Est-Retail-Payroll]]/(DaybyDay[[#This Row],[Retail-Actuals]]),"")</f>
        <v/>
      </c>
      <c r="AV550" s="82" t="e">
        <f>DaybyDay[[#This Row],[Est-Retail-PayrollRU]]/DaybyDay[[#This Row],[Simple-Forecast-Retail]]</f>
        <v>#DIV/0!</v>
      </c>
      <c r="AW550" s="8"/>
    </row>
    <row r="551" spans="3:49" hidden="1" x14ac:dyDescent="0.25">
      <c r="C551" s="26" t="str">
        <f>Tools!$C$1</f>
        <v>Example</v>
      </c>
      <c r="D551" s="27" t="s">
        <v>73</v>
      </c>
      <c r="E551" s="28">
        <v>2018</v>
      </c>
      <c r="F551" s="28">
        <f>MATCH(DaybyDay[[#This Row],[RowMonth]],Table3[SummaryMonth],0)</f>
        <v>6</v>
      </c>
      <c r="G551" s="29">
        <f>MATCH(DaybyDay[[#This Row],[LY-Date]],DaybyDay[Date],0)</f>
        <v>181</v>
      </c>
      <c r="H551" s="30">
        <f>WEEKDAY(DaybyDay[[#This Row],[Date]])</f>
        <v>6</v>
      </c>
      <c r="I551" s="31">
        <v>43280</v>
      </c>
      <c r="J551" s="74">
        <v>24</v>
      </c>
      <c r="K551" s="32">
        <f>SUMIFS(BudgetSeasonality[365 Seasonality],BudgetSeasonality[MonthAdjustment],DaybyDay[[#This Row],[Date]])*SUMIFS(Budgets[Service-Budget],Budgets[BudgetMonth],DaybyDay[[#This Row],[RowMonth]],Budgets[BudgetYear],DaybyDay[[#This Row],[RowYear]])</f>
        <v>5266.934233154685</v>
      </c>
      <c r="L551" s="75">
        <v>5305.23</v>
      </c>
      <c r="M551" s="32">
        <f>INDEX(BudgetSeasonality[365 Seasonality],MATCH(DaybyDay[[#This Row],[Date]],BudgetSeasonality[MonthAdjustment],0))*SUMIFS(Budgets[Retail-Budget],Budgets[BudgetMonth],DaybyDay[[#This Row],[RowMonth]],Budgets[BudgetYear],DaybyDay[[#This Row],[RowYear]])</f>
        <v>1581.4946382120086</v>
      </c>
      <c r="N551" s="75">
        <v>579.45000000000005</v>
      </c>
      <c r="O551" s="33">
        <f>SUMIFS(DaybyDay[Service-Budgets],DaybyDay[Date],"&gt;="&amp;$C$5,DaybyDay[RowYear],"&gt;="&amp;$C$4,DaybyDay[Date],"&lt;="&amp;DaybyDay[[#This Row],[Date]])</f>
        <v>0</v>
      </c>
      <c r="P551" s="33">
        <f>SUMIFS(DaybyDay[Retail-Budgets],DaybyDay[Date],"&gt;="&amp;$C$5,DaybyDay[RowYear],"&gt;="&amp;$C$4,DaybyDay[Date],"&lt;="&amp;DaybyDay[[#This Row],[Date]])</f>
        <v>0</v>
      </c>
      <c r="Q551" s="34">
        <f>SUMIFS(DaybyDay[Service-Actuals],DaybyDay[Date],"&gt;="&amp;$C$5,DaybyDay[RowYear],"&gt;="&amp;$C$4,DaybyDay[Date],"&lt;="&amp;DaybyDay[[#This Row],[Date]])</f>
        <v>0</v>
      </c>
      <c r="R551" s="34">
        <f>SUMIFS(DaybyDay[Retail-Actuals],DaybyDay[Date],"&gt;="&amp;$C$5,DaybyDay[RowYear],"&gt;="&amp;$C$4,DaybyDay[Date],"&lt;="&amp;DaybyDay[[#This Row],[Date]])</f>
        <v>0</v>
      </c>
      <c r="S551" s="35">
        <f>SUMIFS(DaybyDay[Service-LY],DaybyDay[Date],"&gt;="&amp;$C$5,DaybyDay[RowYear],"&gt;="&amp;$C$4,DaybyDay[Date],"&lt;="&amp;DaybyDay[[#This Row],[Date]])</f>
        <v>0</v>
      </c>
      <c r="T551" s="35">
        <f>SUMIFS(DaybyDay[Retail-LY],DaybyDay[Date],"&gt;="&amp;$C$5,DaybyDay[RowYear],"&gt;="&amp;$C$4,DaybyDay[Date],"&lt;="&amp;DaybyDay[[#This Row],[Date]])</f>
        <v>0</v>
      </c>
      <c r="U551" s="32">
        <f>DaybyDay[[#This Row],[Serv-Bud-RU]]+DaybyDay[[#This Row],[Ret-Bud-RU]]</f>
        <v>0</v>
      </c>
      <c r="V551" s="32">
        <f>DaybyDay[[#This Row],[Serv-Act-RU]]+DaybyDay[[#This Row],[Ret-Act-RU]]</f>
        <v>0</v>
      </c>
      <c r="W551" s="36">
        <f>IF(DaybyDay[[#This Row],[_Space]],IFERROR(
((DaybyDay[[#This Row],[Actual-Rollup]]-DaybyDay[[#This Row],[Budget-Rollup]])/DaybyDay[[#This Row],[Budget-Rollup]]),0),"")</f>
        <v>0</v>
      </c>
      <c r="X551" t="b">
        <f>NOT(AND(ISBLANK(DaybyDay[[#This Row],[Appts]]),ISBLANK(DaybyDay[[#This Row],[Service-Actuals]]),ISBLANK(DaybyDay[[#This Row],[Retail-Actuals]])))</f>
        <v>1</v>
      </c>
      <c r="Y551" s="36">
        <f>IF(DaybyDay[[#This Row],[_Space]],IFERROR(
((DaybyDay[[#This Row],[Actual-Rollup]]-DaybyDay[[#This Row],[LY-Rollup]])/DaybyDay[[#This Row],[LY-Rollup]]),0),"")</f>
        <v>0</v>
      </c>
      <c r="Z551"/>
      <c r="AA551" s="37" t="e">
        <f>IF(DaybyDay[[#This Row],[_Space]],DaybyDay[[#This Row],[Ret-Act-RU]]/DaybyDay[[#This Row],[Serv-Act-RU]],"")</f>
        <v>#DIV/0!</v>
      </c>
      <c r="AB551" s="50" t="e">
        <f>IF(DaybyDay[[#This Row],[_Space]],DaybyDay[[#This Row],[RETPEN-Act]]/DaybyDay[[#This Row],[RETPEN-Bud]],"")</f>
        <v>#DIV/0!</v>
      </c>
      <c r="AC551" s="37" t="e">
        <f>IF(DaybyDay[[#This Row],[_Space]],DaybyDay[[#This Row],[Ret-Bud-RU]]/DaybyDay[[#This Row],[Serv-Bud-RU]],"")</f>
        <v>#DIV/0!</v>
      </c>
      <c r="AD551" s="37" t="e">
        <f>IF(DaybyDay[[#This Row],[_Space]],DaybyDay[[#This Row],[Ret-LY-RU]]/DaybyDay[[#This Row],[Serv-LY-RU]],"")</f>
        <v>#DIV/0!</v>
      </c>
      <c r="AE551" s="30">
        <f>WEEKDAY(DaybyDay[[#This Row],[LY-Date]])</f>
        <v>6</v>
      </c>
      <c r="AF551" s="38">
        <f>$E$2+_xlfn.DAYS(DaybyDay[[#This Row],[Date]],minDate)</f>
        <v>42916</v>
      </c>
      <c r="AG551" s="39" cm="1">
        <f t="array" ref="AG551">IFERROR(INDEX(DaybyDay[],DaybyDay[[#This Row],[FORM_MATCH_HELPER]],8),"")</f>
        <v>31</v>
      </c>
      <c r="AH551" s="39" cm="1">
        <f t="array" ref="AH551">IFERROR(INDEX(DaybyDay[],DaybyDay[[#This Row],[FORM_MATCH_HELPER]],10),"")</f>
        <v>4847.1000000000004</v>
      </c>
      <c r="AI551" s="39" cm="1">
        <f t="array" ref="AI551">IFERROR(INDEX(DaybyDay[],DaybyDay[[#This Row],[FORM_MATCH_HELPER]],12),"")</f>
        <v>1677.01</v>
      </c>
      <c r="AJ551" s="32">
        <f>IFERROR(DaybyDay[[#This Row],[Serv-LY-RU]]+DaybyDay[[#This Row],[Ret-LY-RU]],"")</f>
        <v>0</v>
      </c>
      <c r="AK5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1" s="77"/>
      <c r="AM551" s="40" t="str">
        <f>IF(DaybyDay[[#This Row],[Admin Hours]]&gt;0,DaybyDay[[#This Row],[Admin Hours]]*$AM$2+$AM$3,"")</f>
        <v/>
      </c>
      <c r="AN551" s="40">
        <f>SUMIFS(DaybyDay[Est-Admin-Payroll],DaybyDay[Date],"&gt;="&amp;$C$5,DaybyDay[RowYear],"&gt;="&amp;$C$4,DaybyDay[Date],"&lt;="&amp;DaybyDay[[#This Row],[Date]])</f>
        <v>0</v>
      </c>
      <c r="AO551" s="41" t="str">
        <f>IF(AND(DaybyDay[[#This Row],[_Space]],ISNUMBER(DaybyDay[[#This Row],[Admin Hours]])),DaybyDay[[#This Row],[Est-Admin-Payroll]]/(DaybyDay[[#This Row],[Service-Actuals]]+DaybyDay[[#This Row],[Retail-Actuals]]),"")</f>
        <v/>
      </c>
      <c r="AP551" s="41" t="e">
        <f>DaybyDay[[#This Row],[Estimated-Payroll-Rollup]]/DaybyDay[[#This Row],[Simple-Forecast]]</f>
        <v>#DIV/0!</v>
      </c>
      <c r="AQ5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1" s="77"/>
      <c r="AS551" s="40" t="str">
        <f>IF(DaybyDay[[#This Row],[Retail Hours]]&gt;0,DaybyDay[[#This Row],[Retail Hours]]*$AS$2,"")</f>
        <v/>
      </c>
      <c r="AT551" s="40">
        <f>SUMIFS(DaybyDay[Est-Retail-Payroll],DaybyDay[Date],"&gt;="&amp;$C$5,DaybyDay[RowYear],"&gt;="&amp;$C$4,DaybyDay[Date],"&lt;="&amp;DaybyDay[[#This Row],[Date]])</f>
        <v>0</v>
      </c>
      <c r="AU551" s="82" t="str">
        <f>IF(AND(DaybyDay[[#This Row],[_Space]],ISNUMBER(DaybyDay[[#This Row],[Retail Hours]])),DaybyDay[[#This Row],[Est-Retail-Payroll]]/(DaybyDay[[#This Row],[Retail-Actuals]]),"")</f>
        <v/>
      </c>
      <c r="AV551" s="82" t="e">
        <f>DaybyDay[[#This Row],[Est-Retail-PayrollRU]]/DaybyDay[[#This Row],[Simple-Forecast-Retail]]</f>
        <v>#DIV/0!</v>
      </c>
      <c r="AW551" s="8"/>
    </row>
    <row r="552" spans="3:49" hidden="1" x14ac:dyDescent="0.25">
      <c r="C552" s="26" t="str">
        <f>Tools!$C$1</f>
        <v>Example</v>
      </c>
      <c r="D552" s="27" t="s">
        <v>73</v>
      </c>
      <c r="E552" s="28">
        <v>2018</v>
      </c>
      <c r="F552" s="28">
        <f>MATCH(DaybyDay[[#This Row],[RowMonth]],Table3[SummaryMonth],0)</f>
        <v>6</v>
      </c>
      <c r="G552" s="29">
        <f>MATCH(DaybyDay[[#This Row],[LY-Date]],DaybyDay[Date],0)</f>
        <v>182</v>
      </c>
      <c r="H552" s="30">
        <f>WEEKDAY(DaybyDay[[#This Row],[Date]])</f>
        <v>7</v>
      </c>
      <c r="I552" s="31">
        <v>43281</v>
      </c>
      <c r="J552" s="74">
        <v>36</v>
      </c>
      <c r="K552" s="32">
        <f>SUMIFS(BudgetSeasonality[365 Seasonality],BudgetSeasonality[MonthAdjustment],DaybyDay[[#This Row],[Date]])*SUMIFS(Budgets[Service-Budget],Budgets[BudgetMonth],DaybyDay[[#This Row],[RowMonth]],Budgets[BudgetYear],DaybyDay[[#This Row],[RowYear]])</f>
        <v>7789.4078223996203</v>
      </c>
      <c r="L552" s="75">
        <v>7137</v>
      </c>
      <c r="M552" s="32">
        <f>INDEX(BudgetSeasonality[365 Seasonality],MATCH(DaybyDay[[#This Row],[Date]],BudgetSeasonality[MonthAdjustment],0))*SUMIFS(Budgets[Retail-Budget],Budgets[BudgetMonth],DaybyDay[[#This Row],[RowMonth]],Budgets[BudgetYear],DaybyDay[[#This Row],[RowYear]])</f>
        <v>2338.9140932168311</v>
      </c>
      <c r="N552" s="75">
        <v>1590</v>
      </c>
      <c r="O552" s="33">
        <f>SUMIFS(DaybyDay[Service-Budgets],DaybyDay[Date],"&gt;="&amp;$C$5,DaybyDay[RowYear],"&gt;="&amp;$C$4,DaybyDay[Date],"&lt;="&amp;DaybyDay[[#This Row],[Date]])</f>
        <v>0</v>
      </c>
      <c r="P552" s="33">
        <f>SUMIFS(DaybyDay[Retail-Budgets],DaybyDay[Date],"&gt;="&amp;$C$5,DaybyDay[RowYear],"&gt;="&amp;$C$4,DaybyDay[Date],"&lt;="&amp;DaybyDay[[#This Row],[Date]])</f>
        <v>0</v>
      </c>
      <c r="Q552" s="34">
        <f>SUMIFS(DaybyDay[Service-Actuals],DaybyDay[Date],"&gt;="&amp;$C$5,DaybyDay[RowYear],"&gt;="&amp;$C$4,DaybyDay[Date],"&lt;="&amp;DaybyDay[[#This Row],[Date]])</f>
        <v>0</v>
      </c>
      <c r="R552" s="34">
        <f>SUMIFS(DaybyDay[Retail-Actuals],DaybyDay[Date],"&gt;="&amp;$C$5,DaybyDay[RowYear],"&gt;="&amp;$C$4,DaybyDay[Date],"&lt;="&amp;DaybyDay[[#This Row],[Date]])</f>
        <v>0</v>
      </c>
      <c r="S552" s="35">
        <f>SUMIFS(DaybyDay[Service-LY],DaybyDay[Date],"&gt;="&amp;$C$5,DaybyDay[RowYear],"&gt;="&amp;$C$4,DaybyDay[Date],"&lt;="&amp;DaybyDay[[#This Row],[Date]])</f>
        <v>0</v>
      </c>
      <c r="T552" s="35">
        <f>SUMIFS(DaybyDay[Retail-LY],DaybyDay[Date],"&gt;="&amp;$C$5,DaybyDay[RowYear],"&gt;="&amp;$C$4,DaybyDay[Date],"&lt;="&amp;DaybyDay[[#This Row],[Date]])</f>
        <v>0</v>
      </c>
      <c r="U552" s="32">
        <f>DaybyDay[[#This Row],[Serv-Bud-RU]]+DaybyDay[[#This Row],[Ret-Bud-RU]]</f>
        <v>0</v>
      </c>
      <c r="V552" s="32">
        <f>DaybyDay[[#This Row],[Serv-Act-RU]]+DaybyDay[[#This Row],[Ret-Act-RU]]</f>
        <v>0</v>
      </c>
      <c r="W552" s="36">
        <f>IF(DaybyDay[[#This Row],[_Space]],IFERROR(
((DaybyDay[[#This Row],[Actual-Rollup]]-DaybyDay[[#This Row],[Budget-Rollup]])/DaybyDay[[#This Row],[Budget-Rollup]]),0),"")</f>
        <v>0</v>
      </c>
      <c r="X552" t="b">
        <f>NOT(AND(ISBLANK(DaybyDay[[#This Row],[Appts]]),ISBLANK(DaybyDay[[#This Row],[Service-Actuals]]),ISBLANK(DaybyDay[[#This Row],[Retail-Actuals]])))</f>
        <v>1</v>
      </c>
      <c r="Y552" s="36">
        <f>IF(DaybyDay[[#This Row],[_Space]],IFERROR(
((DaybyDay[[#This Row],[Actual-Rollup]]-DaybyDay[[#This Row],[LY-Rollup]])/DaybyDay[[#This Row],[LY-Rollup]]),0),"")</f>
        <v>0</v>
      </c>
      <c r="Z552"/>
      <c r="AA552" s="37" t="e">
        <f>IF(DaybyDay[[#This Row],[_Space]],DaybyDay[[#This Row],[Ret-Act-RU]]/DaybyDay[[#This Row],[Serv-Act-RU]],"")</f>
        <v>#DIV/0!</v>
      </c>
      <c r="AB552" s="50" t="e">
        <f>IF(DaybyDay[[#This Row],[_Space]],DaybyDay[[#This Row],[RETPEN-Act]]/DaybyDay[[#This Row],[RETPEN-Bud]],"")</f>
        <v>#DIV/0!</v>
      </c>
      <c r="AC552" s="37" t="e">
        <f>IF(DaybyDay[[#This Row],[_Space]],DaybyDay[[#This Row],[Ret-Bud-RU]]/DaybyDay[[#This Row],[Serv-Bud-RU]],"")</f>
        <v>#DIV/0!</v>
      </c>
      <c r="AD552" s="37" t="e">
        <f>IF(DaybyDay[[#This Row],[_Space]],DaybyDay[[#This Row],[Ret-LY-RU]]/DaybyDay[[#This Row],[Serv-LY-RU]],"")</f>
        <v>#DIV/0!</v>
      </c>
      <c r="AE552" s="30">
        <f>WEEKDAY(DaybyDay[[#This Row],[LY-Date]])</f>
        <v>7</v>
      </c>
      <c r="AF552" s="38">
        <f>$E$2+_xlfn.DAYS(DaybyDay[[#This Row],[Date]],minDate)</f>
        <v>42917</v>
      </c>
      <c r="AG552" s="39" cm="1">
        <f t="array" ref="AG552">IFERROR(INDEX(DaybyDay[],DaybyDay[[#This Row],[FORM_MATCH_HELPER]],8),"")</f>
        <v>17</v>
      </c>
      <c r="AH552" s="39" cm="1">
        <f t="array" ref="AH552">IFERROR(INDEX(DaybyDay[],DaybyDay[[#This Row],[FORM_MATCH_HELPER]],10),"")</f>
        <v>5370</v>
      </c>
      <c r="AI552" s="39" cm="1">
        <f t="array" ref="AI552">IFERROR(INDEX(DaybyDay[],DaybyDay[[#This Row],[FORM_MATCH_HELPER]],12),"")</f>
        <v>2641.9</v>
      </c>
      <c r="AJ552" s="32">
        <f>IFERROR(DaybyDay[[#This Row],[Serv-LY-RU]]+DaybyDay[[#This Row],[Ret-LY-RU]],"")</f>
        <v>0</v>
      </c>
      <c r="AK5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2" s="77"/>
      <c r="AM552" s="40" t="str">
        <f>IF(DaybyDay[[#This Row],[Admin Hours]]&gt;0,DaybyDay[[#This Row],[Admin Hours]]*$AM$2+$AM$3,"")</f>
        <v/>
      </c>
      <c r="AN552" s="40">
        <f>SUMIFS(DaybyDay[Est-Admin-Payroll],DaybyDay[Date],"&gt;="&amp;$C$5,DaybyDay[RowYear],"&gt;="&amp;$C$4,DaybyDay[Date],"&lt;="&amp;DaybyDay[[#This Row],[Date]])</f>
        <v>0</v>
      </c>
      <c r="AO552" s="41" t="str">
        <f>IF(AND(DaybyDay[[#This Row],[_Space]],ISNUMBER(DaybyDay[[#This Row],[Admin Hours]])),DaybyDay[[#This Row],[Est-Admin-Payroll]]/(DaybyDay[[#This Row],[Service-Actuals]]+DaybyDay[[#This Row],[Retail-Actuals]]),"")</f>
        <v/>
      </c>
      <c r="AP552" s="41" t="e">
        <f>DaybyDay[[#This Row],[Estimated-Payroll-Rollup]]/DaybyDay[[#This Row],[Simple-Forecast]]</f>
        <v>#DIV/0!</v>
      </c>
      <c r="AQ5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2" s="77"/>
      <c r="AS552" s="40" t="str">
        <f>IF(DaybyDay[[#This Row],[Retail Hours]]&gt;0,DaybyDay[[#This Row],[Retail Hours]]*$AS$2,"")</f>
        <v/>
      </c>
      <c r="AT552" s="40">
        <f>SUMIFS(DaybyDay[Est-Retail-Payroll],DaybyDay[Date],"&gt;="&amp;$C$5,DaybyDay[RowYear],"&gt;="&amp;$C$4,DaybyDay[Date],"&lt;="&amp;DaybyDay[[#This Row],[Date]])</f>
        <v>0</v>
      </c>
      <c r="AU552" s="82" t="str">
        <f>IF(AND(DaybyDay[[#This Row],[_Space]],ISNUMBER(DaybyDay[[#This Row],[Retail Hours]])),DaybyDay[[#This Row],[Est-Retail-Payroll]]/(DaybyDay[[#This Row],[Retail-Actuals]]),"")</f>
        <v/>
      </c>
      <c r="AV552" s="82" t="e">
        <f>DaybyDay[[#This Row],[Est-Retail-PayrollRU]]/DaybyDay[[#This Row],[Simple-Forecast-Retail]]</f>
        <v>#DIV/0!</v>
      </c>
      <c r="AW552" s="8"/>
    </row>
    <row r="553" spans="3:49" hidden="1" x14ac:dyDescent="0.25">
      <c r="C553" s="26" t="str">
        <f>Tools!$C$1</f>
        <v>Example</v>
      </c>
      <c r="D553" s="27" t="s">
        <v>73</v>
      </c>
      <c r="E553" s="28">
        <v>2018</v>
      </c>
      <c r="F553" s="28">
        <f>MATCH(DaybyDay[[#This Row],[RowMonth]],Table3[SummaryMonth],0)</f>
        <v>6</v>
      </c>
      <c r="G553" s="29">
        <f>MATCH(DaybyDay[[#This Row],[LY-Date]],DaybyDay[Date],0)</f>
        <v>183</v>
      </c>
      <c r="H553" s="30">
        <f>WEEKDAY(DaybyDay[[#This Row],[Date]])</f>
        <v>1</v>
      </c>
      <c r="I553" s="31">
        <v>43282</v>
      </c>
      <c r="J553" s="74">
        <v>32</v>
      </c>
      <c r="K553" s="32">
        <f>SUMIFS(BudgetSeasonality[365 Seasonality],BudgetSeasonality[MonthAdjustment],DaybyDay[[#This Row],[Date]])*SUMIFS(Budgets[Service-Budget],Budgets[BudgetMonth],DaybyDay[[#This Row],[RowMonth]],Budgets[BudgetYear],DaybyDay[[#This Row],[RowYear]])</f>
        <v>5776.7140657159571</v>
      </c>
      <c r="L553" s="75">
        <v>5663.6</v>
      </c>
      <c r="M553" s="32">
        <f>INDEX(BudgetSeasonality[365 Seasonality],MATCH(DaybyDay[[#This Row],[Date]],BudgetSeasonality[MonthAdjustment],0))*SUMIFS(Budgets[Retail-Budget],Budgets[BudgetMonth],DaybyDay[[#This Row],[RowMonth]],Budgets[BudgetYear],DaybyDay[[#This Row],[RowYear]])</f>
        <v>1734.5654828770607</v>
      </c>
      <c r="N553" s="75">
        <v>1016</v>
      </c>
      <c r="O553" s="33">
        <f>SUMIFS(DaybyDay[Service-Budgets],DaybyDay[Date],"&gt;="&amp;$C$5,DaybyDay[RowYear],"&gt;="&amp;$C$4,DaybyDay[Date],"&lt;="&amp;DaybyDay[[#This Row],[Date]])</f>
        <v>0</v>
      </c>
      <c r="P553" s="33">
        <f>SUMIFS(DaybyDay[Retail-Budgets],DaybyDay[Date],"&gt;="&amp;$C$5,DaybyDay[RowYear],"&gt;="&amp;$C$4,DaybyDay[Date],"&lt;="&amp;DaybyDay[[#This Row],[Date]])</f>
        <v>0</v>
      </c>
      <c r="Q553" s="34">
        <f>SUMIFS(DaybyDay[Service-Actuals],DaybyDay[Date],"&gt;="&amp;$C$5,DaybyDay[RowYear],"&gt;="&amp;$C$4,DaybyDay[Date],"&lt;="&amp;DaybyDay[[#This Row],[Date]])</f>
        <v>0</v>
      </c>
      <c r="R553" s="34">
        <f>SUMIFS(DaybyDay[Retail-Actuals],DaybyDay[Date],"&gt;="&amp;$C$5,DaybyDay[RowYear],"&gt;="&amp;$C$4,DaybyDay[Date],"&lt;="&amp;DaybyDay[[#This Row],[Date]])</f>
        <v>0</v>
      </c>
      <c r="S553" s="35">
        <f>SUMIFS(DaybyDay[Service-LY],DaybyDay[Date],"&gt;="&amp;$C$5,DaybyDay[RowYear],"&gt;="&amp;$C$4,DaybyDay[Date],"&lt;="&amp;DaybyDay[[#This Row],[Date]])</f>
        <v>0</v>
      </c>
      <c r="T553" s="35">
        <f>SUMIFS(DaybyDay[Retail-LY],DaybyDay[Date],"&gt;="&amp;$C$5,DaybyDay[RowYear],"&gt;="&amp;$C$4,DaybyDay[Date],"&lt;="&amp;DaybyDay[[#This Row],[Date]])</f>
        <v>0</v>
      </c>
      <c r="U553" s="32">
        <f>DaybyDay[[#This Row],[Serv-Bud-RU]]+DaybyDay[[#This Row],[Ret-Bud-RU]]</f>
        <v>0</v>
      </c>
      <c r="V553" s="32">
        <f>DaybyDay[[#This Row],[Serv-Act-RU]]+DaybyDay[[#This Row],[Ret-Act-RU]]</f>
        <v>0</v>
      </c>
      <c r="W553" s="36">
        <f>IF(DaybyDay[[#This Row],[_Space]],IFERROR(
((DaybyDay[[#This Row],[Actual-Rollup]]-DaybyDay[[#This Row],[Budget-Rollup]])/DaybyDay[[#This Row],[Budget-Rollup]]),0),"")</f>
        <v>0</v>
      </c>
      <c r="X553" t="b">
        <f>NOT(AND(ISBLANK(DaybyDay[[#This Row],[Appts]]),ISBLANK(DaybyDay[[#This Row],[Service-Actuals]]),ISBLANK(DaybyDay[[#This Row],[Retail-Actuals]])))</f>
        <v>1</v>
      </c>
      <c r="Y553" s="36">
        <f>IF(DaybyDay[[#This Row],[_Space]],IFERROR(
((DaybyDay[[#This Row],[Actual-Rollup]]-DaybyDay[[#This Row],[LY-Rollup]])/DaybyDay[[#This Row],[LY-Rollup]]),0),"")</f>
        <v>0</v>
      </c>
      <c r="Z553"/>
      <c r="AA553" s="37" t="e">
        <f>IF(DaybyDay[[#This Row],[_Space]],DaybyDay[[#This Row],[Ret-Act-RU]]/DaybyDay[[#This Row],[Serv-Act-RU]],"")</f>
        <v>#DIV/0!</v>
      </c>
      <c r="AB553" s="50" t="e">
        <f>IF(DaybyDay[[#This Row],[_Space]],DaybyDay[[#This Row],[RETPEN-Act]]/DaybyDay[[#This Row],[RETPEN-Bud]],"")</f>
        <v>#DIV/0!</v>
      </c>
      <c r="AC553" s="37" t="e">
        <f>IF(DaybyDay[[#This Row],[_Space]],DaybyDay[[#This Row],[Ret-Bud-RU]]/DaybyDay[[#This Row],[Serv-Bud-RU]],"")</f>
        <v>#DIV/0!</v>
      </c>
      <c r="AD553" s="37" t="e">
        <f>IF(DaybyDay[[#This Row],[_Space]],DaybyDay[[#This Row],[Ret-LY-RU]]/DaybyDay[[#This Row],[Serv-LY-RU]],"")</f>
        <v>#DIV/0!</v>
      </c>
      <c r="AE553" s="30">
        <f>WEEKDAY(DaybyDay[[#This Row],[LY-Date]])</f>
        <v>1</v>
      </c>
      <c r="AF553" s="38">
        <f>$E$2+_xlfn.DAYS(DaybyDay[[#This Row],[Date]],minDate)</f>
        <v>42918</v>
      </c>
      <c r="AG553" s="39" cm="1">
        <f t="array" ref="AG553">IFERROR(INDEX(DaybyDay[],DaybyDay[[#This Row],[FORM_MATCH_HELPER]],8),"")</f>
        <v>11</v>
      </c>
      <c r="AH553" s="39" cm="1">
        <f t="array" ref="AH553">IFERROR(INDEX(DaybyDay[],DaybyDay[[#This Row],[FORM_MATCH_HELPER]],10),"")</f>
        <v>2532.75</v>
      </c>
      <c r="AI553" s="39" cm="1">
        <f t="array" ref="AI553">IFERROR(INDEX(DaybyDay[],DaybyDay[[#This Row],[FORM_MATCH_HELPER]],12),"")</f>
        <v>240</v>
      </c>
      <c r="AJ553" s="32">
        <f>IFERROR(DaybyDay[[#This Row],[Serv-LY-RU]]+DaybyDay[[#This Row],[Ret-LY-RU]],"")</f>
        <v>0</v>
      </c>
      <c r="AK5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3" s="77"/>
      <c r="AM553" s="40" t="str">
        <f>IF(DaybyDay[[#This Row],[Admin Hours]]&gt;0,DaybyDay[[#This Row],[Admin Hours]]*$AM$2+$AM$3,"")</f>
        <v/>
      </c>
      <c r="AN553" s="40">
        <f>SUMIFS(DaybyDay[Est-Admin-Payroll],DaybyDay[Date],"&gt;="&amp;$C$5,DaybyDay[RowYear],"&gt;="&amp;$C$4,DaybyDay[Date],"&lt;="&amp;DaybyDay[[#This Row],[Date]])</f>
        <v>0</v>
      </c>
      <c r="AO553" s="41" t="str">
        <f>IF(AND(DaybyDay[[#This Row],[_Space]],ISNUMBER(DaybyDay[[#This Row],[Admin Hours]])),DaybyDay[[#This Row],[Est-Admin-Payroll]]/(DaybyDay[[#This Row],[Service-Actuals]]+DaybyDay[[#This Row],[Retail-Actuals]]),"")</f>
        <v/>
      </c>
      <c r="AP553" s="41" t="e">
        <f>DaybyDay[[#This Row],[Estimated-Payroll-Rollup]]/DaybyDay[[#This Row],[Simple-Forecast]]</f>
        <v>#DIV/0!</v>
      </c>
      <c r="AQ5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3" s="77"/>
      <c r="AS553" s="40" t="str">
        <f>IF(DaybyDay[[#This Row],[Retail Hours]]&gt;0,DaybyDay[[#This Row],[Retail Hours]]*$AS$2,"")</f>
        <v/>
      </c>
      <c r="AT553" s="40">
        <f>SUMIFS(DaybyDay[Est-Retail-Payroll],DaybyDay[Date],"&gt;="&amp;$C$5,DaybyDay[RowYear],"&gt;="&amp;$C$4,DaybyDay[Date],"&lt;="&amp;DaybyDay[[#This Row],[Date]])</f>
        <v>0</v>
      </c>
      <c r="AU553" s="82" t="str">
        <f>IF(AND(DaybyDay[[#This Row],[_Space]],ISNUMBER(DaybyDay[[#This Row],[Retail Hours]])),DaybyDay[[#This Row],[Est-Retail-Payroll]]/(DaybyDay[[#This Row],[Retail-Actuals]]),"")</f>
        <v/>
      </c>
      <c r="AV553" s="82" t="e">
        <f>DaybyDay[[#This Row],[Est-Retail-PayrollRU]]/DaybyDay[[#This Row],[Simple-Forecast-Retail]]</f>
        <v>#DIV/0!</v>
      </c>
      <c r="AW553" s="8"/>
    </row>
    <row r="554" spans="3:49" hidden="1" x14ac:dyDescent="0.25">
      <c r="C554" s="26" t="str">
        <f>Tools!$C$1</f>
        <v>Example</v>
      </c>
      <c r="D554" s="27" t="s">
        <v>73</v>
      </c>
      <c r="E554" s="28">
        <v>2018</v>
      </c>
      <c r="F554" s="28">
        <f>MATCH(DaybyDay[[#This Row],[RowMonth]],Table3[SummaryMonth],0)</f>
        <v>6</v>
      </c>
      <c r="G554" s="29">
        <f>MATCH(DaybyDay[[#This Row],[LY-Date]],DaybyDay[Date],0)</f>
        <v>184</v>
      </c>
      <c r="H554" s="30">
        <f>WEEKDAY(DaybyDay[[#This Row],[Date]])</f>
        <v>2</v>
      </c>
      <c r="I554" s="31">
        <v>43283</v>
      </c>
      <c r="J554" s="74">
        <v>22</v>
      </c>
      <c r="K554" s="32">
        <f>SUMIFS(BudgetSeasonality[365 Seasonality],BudgetSeasonality[MonthAdjustment],DaybyDay[[#This Row],[Date]])*SUMIFS(Budgets[Service-Budget],Budgets[BudgetMonth],DaybyDay[[#This Row],[RowMonth]],Budgets[BudgetYear],DaybyDay[[#This Row],[RowYear]])</f>
        <v>2885.9855617818457</v>
      </c>
      <c r="L554" s="75">
        <v>3557</v>
      </c>
      <c r="M554" s="32">
        <f>INDEX(BudgetSeasonality[365 Seasonality],MATCH(DaybyDay[[#This Row],[Date]],BudgetSeasonality[MonthAdjustment],0))*SUMIFS(Budgets[Retail-Budget],Budgets[BudgetMonth],DaybyDay[[#This Row],[RowMonth]],Budgets[BudgetYear],DaybyDay[[#This Row],[RowYear]])</f>
        <v>866.57066328726535</v>
      </c>
      <c r="N554" s="75">
        <v>798.5</v>
      </c>
      <c r="O554" s="33">
        <f>SUMIFS(DaybyDay[Service-Budgets],DaybyDay[Date],"&gt;="&amp;$C$5,DaybyDay[RowYear],"&gt;="&amp;$C$4,DaybyDay[Date],"&lt;="&amp;DaybyDay[[#This Row],[Date]])</f>
        <v>0</v>
      </c>
      <c r="P554" s="33">
        <f>SUMIFS(DaybyDay[Retail-Budgets],DaybyDay[Date],"&gt;="&amp;$C$5,DaybyDay[RowYear],"&gt;="&amp;$C$4,DaybyDay[Date],"&lt;="&amp;DaybyDay[[#This Row],[Date]])</f>
        <v>0</v>
      </c>
      <c r="Q554" s="34">
        <f>SUMIFS(DaybyDay[Service-Actuals],DaybyDay[Date],"&gt;="&amp;$C$5,DaybyDay[RowYear],"&gt;="&amp;$C$4,DaybyDay[Date],"&lt;="&amp;DaybyDay[[#This Row],[Date]])</f>
        <v>0</v>
      </c>
      <c r="R554" s="34">
        <f>SUMIFS(DaybyDay[Retail-Actuals],DaybyDay[Date],"&gt;="&amp;$C$5,DaybyDay[RowYear],"&gt;="&amp;$C$4,DaybyDay[Date],"&lt;="&amp;DaybyDay[[#This Row],[Date]])</f>
        <v>0</v>
      </c>
      <c r="S554" s="35">
        <f>SUMIFS(DaybyDay[Service-LY],DaybyDay[Date],"&gt;="&amp;$C$5,DaybyDay[RowYear],"&gt;="&amp;$C$4,DaybyDay[Date],"&lt;="&amp;DaybyDay[[#This Row],[Date]])</f>
        <v>0</v>
      </c>
      <c r="T554" s="35">
        <f>SUMIFS(DaybyDay[Retail-LY],DaybyDay[Date],"&gt;="&amp;$C$5,DaybyDay[RowYear],"&gt;="&amp;$C$4,DaybyDay[Date],"&lt;="&amp;DaybyDay[[#This Row],[Date]])</f>
        <v>0</v>
      </c>
      <c r="U554" s="32">
        <f>DaybyDay[[#This Row],[Serv-Bud-RU]]+DaybyDay[[#This Row],[Ret-Bud-RU]]</f>
        <v>0</v>
      </c>
      <c r="V554" s="32">
        <f>DaybyDay[[#This Row],[Serv-Act-RU]]+DaybyDay[[#This Row],[Ret-Act-RU]]</f>
        <v>0</v>
      </c>
      <c r="W554" s="36">
        <f>IF(DaybyDay[[#This Row],[_Space]],IFERROR(
((DaybyDay[[#This Row],[Actual-Rollup]]-DaybyDay[[#This Row],[Budget-Rollup]])/DaybyDay[[#This Row],[Budget-Rollup]]),0),"")</f>
        <v>0</v>
      </c>
      <c r="X554" t="b">
        <f>NOT(AND(ISBLANK(DaybyDay[[#This Row],[Appts]]),ISBLANK(DaybyDay[[#This Row],[Service-Actuals]]),ISBLANK(DaybyDay[[#This Row],[Retail-Actuals]])))</f>
        <v>1</v>
      </c>
      <c r="Y554" s="36">
        <f>IF(DaybyDay[[#This Row],[_Space]],IFERROR(
((DaybyDay[[#This Row],[Actual-Rollup]]-DaybyDay[[#This Row],[LY-Rollup]])/DaybyDay[[#This Row],[LY-Rollup]]),0),"")</f>
        <v>0</v>
      </c>
      <c r="Z554"/>
      <c r="AA554" s="37" t="e">
        <f>IF(DaybyDay[[#This Row],[_Space]],DaybyDay[[#This Row],[Ret-Act-RU]]/DaybyDay[[#This Row],[Serv-Act-RU]],"")</f>
        <v>#DIV/0!</v>
      </c>
      <c r="AB554" s="50" t="e">
        <f>IF(DaybyDay[[#This Row],[_Space]],DaybyDay[[#This Row],[RETPEN-Act]]/DaybyDay[[#This Row],[RETPEN-Bud]],"")</f>
        <v>#DIV/0!</v>
      </c>
      <c r="AC554" s="37" t="e">
        <f>IF(DaybyDay[[#This Row],[_Space]],DaybyDay[[#This Row],[Ret-Bud-RU]]/DaybyDay[[#This Row],[Serv-Bud-RU]],"")</f>
        <v>#DIV/0!</v>
      </c>
      <c r="AD554" s="37" t="e">
        <f>IF(DaybyDay[[#This Row],[_Space]],DaybyDay[[#This Row],[Ret-LY-RU]]/DaybyDay[[#This Row],[Serv-LY-RU]],"")</f>
        <v>#DIV/0!</v>
      </c>
      <c r="AE554" s="30">
        <f>WEEKDAY(DaybyDay[[#This Row],[LY-Date]])</f>
        <v>2</v>
      </c>
      <c r="AF554" s="38">
        <f>$E$2+_xlfn.DAYS(DaybyDay[[#This Row],[Date]],minDate)</f>
        <v>42919</v>
      </c>
      <c r="AG554" s="39" cm="1">
        <f t="array" ref="AG554">IFERROR(INDEX(DaybyDay[],DaybyDay[[#This Row],[FORM_MATCH_HELPER]],8),"")</f>
        <v>13</v>
      </c>
      <c r="AH554" s="39" cm="1">
        <f t="array" ref="AH554">IFERROR(INDEX(DaybyDay[],DaybyDay[[#This Row],[FORM_MATCH_HELPER]],10),"")</f>
        <v>3015.8</v>
      </c>
      <c r="AI554" s="39" cm="1">
        <f t="array" ref="AI554">IFERROR(INDEX(DaybyDay[],DaybyDay[[#This Row],[FORM_MATCH_HELPER]],12),"")</f>
        <v>609</v>
      </c>
      <c r="AJ554" s="32">
        <f>IFERROR(DaybyDay[[#This Row],[Serv-LY-RU]]+DaybyDay[[#This Row],[Ret-LY-RU]],"")</f>
        <v>0</v>
      </c>
      <c r="AK5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4" s="77"/>
      <c r="AM554" s="40" t="str">
        <f>IF(DaybyDay[[#This Row],[Admin Hours]]&gt;0,DaybyDay[[#This Row],[Admin Hours]]*$AM$2+$AM$3,"")</f>
        <v/>
      </c>
      <c r="AN554" s="40">
        <f>SUMIFS(DaybyDay[Est-Admin-Payroll],DaybyDay[Date],"&gt;="&amp;$C$5,DaybyDay[RowYear],"&gt;="&amp;$C$4,DaybyDay[Date],"&lt;="&amp;DaybyDay[[#This Row],[Date]])</f>
        <v>0</v>
      </c>
      <c r="AO554" s="41" t="str">
        <f>IF(AND(DaybyDay[[#This Row],[_Space]],ISNUMBER(DaybyDay[[#This Row],[Admin Hours]])),DaybyDay[[#This Row],[Est-Admin-Payroll]]/(DaybyDay[[#This Row],[Service-Actuals]]+DaybyDay[[#This Row],[Retail-Actuals]]),"")</f>
        <v/>
      </c>
      <c r="AP554" s="41" t="e">
        <f>DaybyDay[[#This Row],[Estimated-Payroll-Rollup]]/DaybyDay[[#This Row],[Simple-Forecast]]</f>
        <v>#DIV/0!</v>
      </c>
      <c r="AQ5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4" s="77"/>
      <c r="AS554" s="40" t="str">
        <f>IF(DaybyDay[[#This Row],[Retail Hours]]&gt;0,DaybyDay[[#This Row],[Retail Hours]]*$AS$2,"")</f>
        <v/>
      </c>
      <c r="AT554" s="40">
        <f>SUMIFS(DaybyDay[Est-Retail-Payroll],DaybyDay[Date],"&gt;="&amp;$C$5,DaybyDay[RowYear],"&gt;="&amp;$C$4,DaybyDay[Date],"&lt;="&amp;DaybyDay[[#This Row],[Date]])</f>
        <v>0</v>
      </c>
      <c r="AU554" s="82" t="str">
        <f>IF(AND(DaybyDay[[#This Row],[_Space]],ISNUMBER(DaybyDay[[#This Row],[Retail Hours]])),DaybyDay[[#This Row],[Est-Retail-Payroll]]/(DaybyDay[[#This Row],[Retail-Actuals]]),"")</f>
        <v/>
      </c>
      <c r="AV554" s="82" t="e">
        <f>DaybyDay[[#This Row],[Est-Retail-PayrollRU]]/DaybyDay[[#This Row],[Simple-Forecast-Retail]]</f>
        <v>#DIV/0!</v>
      </c>
      <c r="AW554" s="8"/>
    </row>
    <row r="555" spans="3:49" hidden="1" x14ac:dyDescent="0.25">
      <c r="C555" s="26" t="str">
        <f>Tools!$C$1</f>
        <v>Example</v>
      </c>
      <c r="D555" s="27" t="s">
        <v>73</v>
      </c>
      <c r="E555" s="28">
        <v>2018</v>
      </c>
      <c r="F555" s="28">
        <f>MATCH(DaybyDay[[#This Row],[RowMonth]],Table3[SummaryMonth],0)</f>
        <v>6</v>
      </c>
      <c r="G555" s="29">
        <f>MATCH(DaybyDay[[#This Row],[LY-Date]],DaybyDay[Date],0)</f>
        <v>185</v>
      </c>
      <c r="H555" s="30">
        <f>WEEKDAY(DaybyDay[[#This Row],[Date]])</f>
        <v>3</v>
      </c>
      <c r="I555" s="31">
        <v>43284</v>
      </c>
      <c r="J555" s="74">
        <v>22</v>
      </c>
      <c r="K555" s="32">
        <f>SUMIFS(BudgetSeasonality[365 Seasonality],BudgetSeasonality[MonthAdjustment],DaybyDay[[#This Row],[Date]])*SUMIFS(Budgets[Service-Budget],Budgets[BudgetMonth],DaybyDay[[#This Row],[RowMonth]],Budgets[BudgetYear],DaybyDay[[#This Row],[RowYear]])</f>
        <v>2969.6404330209589</v>
      </c>
      <c r="L555" s="75">
        <v>4310.3999999999996</v>
      </c>
      <c r="M555" s="32">
        <f>INDEX(BudgetSeasonality[365 Seasonality],MATCH(DaybyDay[[#This Row],[Date]],BudgetSeasonality[MonthAdjustment],0))*SUMIFS(Budgets[Retail-Budget],Budgets[BudgetMonth],DaybyDay[[#This Row],[RowMonth]],Budgets[BudgetYear],DaybyDay[[#This Row],[RowYear]])</f>
        <v>891.68958911173524</v>
      </c>
      <c r="N555" s="75">
        <v>2395.0500000000002</v>
      </c>
      <c r="O555" s="33">
        <f>SUMIFS(DaybyDay[Service-Budgets],DaybyDay[Date],"&gt;="&amp;$C$5,DaybyDay[RowYear],"&gt;="&amp;$C$4,DaybyDay[Date],"&lt;="&amp;DaybyDay[[#This Row],[Date]])</f>
        <v>0</v>
      </c>
      <c r="P555" s="33">
        <f>SUMIFS(DaybyDay[Retail-Budgets],DaybyDay[Date],"&gt;="&amp;$C$5,DaybyDay[RowYear],"&gt;="&amp;$C$4,DaybyDay[Date],"&lt;="&amp;DaybyDay[[#This Row],[Date]])</f>
        <v>0</v>
      </c>
      <c r="Q555" s="34">
        <f>SUMIFS(DaybyDay[Service-Actuals],DaybyDay[Date],"&gt;="&amp;$C$5,DaybyDay[RowYear],"&gt;="&amp;$C$4,DaybyDay[Date],"&lt;="&amp;DaybyDay[[#This Row],[Date]])</f>
        <v>0</v>
      </c>
      <c r="R555" s="34">
        <f>SUMIFS(DaybyDay[Retail-Actuals],DaybyDay[Date],"&gt;="&amp;$C$5,DaybyDay[RowYear],"&gt;="&amp;$C$4,DaybyDay[Date],"&lt;="&amp;DaybyDay[[#This Row],[Date]])</f>
        <v>0</v>
      </c>
      <c r="S555" s="35">
        <f>SUMIFS(DaybyDay[Service-LY],DaybyDay[Date],"&gt;="&amp;$C$5,DaybyDay[RowYear],"&gt;="&amp;$C$4,DaybyDay[Date],"&lt;="&amp;DaybyDay[[#This Row],[Date]])</f>
        <v>0</v>
      </c>
      <c r="T555" s="35">
        <f>SUMIFS(DaybyDay[Retail-LY],DaybyDay[Date],"&gt;="&amp;$C$5,DaybyDay[RowYear],"&gt;="&amp;$C$4,DaybyDay[Date],"&lt;="&amp;DaybyDay[[#This Row],[Date]])</f>
        <v>0</v>
      </c>
      <c r="U555" s="32">
        <f>DaybyDay[[#This Row],[Serv-Bud-RU]]+DaybyDay[[#This Row],[Ret-Bud-RU]]</f>
        <v>0</v>
      </c>
      <c r="V555" s="32">
        <f>DaybyDay[[#This Row],[Serv-Act-RU]]+DaybyDay[[#This Row],[Ret-Act-RU]]</f>
        <v>0</v>
      </c>
      <c r="W555" s="36">
        <f>IF(DaybyDay[[#This Row],[_Space]],IFERROR(
((DaybyDay[[#This Row],[Actual-Rollup]]-DaybyDay[[#This Row],[Budget-Rollup]])/DaybyDay[[#This Row],[Budget-Rollup]]),0),"")</f>
        <v>0</v>
      </c>
      <c r="X555" t="b">
        <f>NOT(AND(ISBLANK(DaybyDay[[#This Row],[Appts]]),ISBLANK(DaybyDay[[#This Row],[Service-Actuals]]),ISBLANK(DaybyDay[[#This Row],[Retail-Actuals]])))</f>
        <v>1</v>
      </c>
      <c r="Y555" s="36">
        <f>IF(DaybyDay[[#This Row],[_Space]],IFERROR(
((DaybyDay[[#This Row],[Actual-Rollup]]-DaybyDay[[#This Row],[LY-Rollup]])/DaybyDay[[#This Row],[LY-Rollup]]),0),"")</f>
        <v>0</v>
      </c>
      <c r="Z555"/>
      <c r="AA555" s="37" t="e">
        <f>IF(DaybyDay[[#This Row],[_Space]],DaybyDay[[#This Row],[Ret-Act-RU]]/DaybyDay[[#This Row],[Serv-Act-RU]],"")</f>
        <v>#DIV/0!</v>
      </c>
      <c r="AB555" s="50" t="e">
        <f>IF(DaybyDay[[#This Row],[_Space]],DaybyDay[[#This Row],[RETPEN-Act]]/DaybyDay[[#This Row],[RETPEN-Bud]],"")</f>
        <v>#DIV/0!</v>
      </c>
      <c r="AC555" s="37" t="e">
        <f>IF(DaybyDay[[#This Row],[_Space]],DaybyDay[[#This Row],[Ret-Bud-RU]]/DaybyDay[[#This Row],[Serv-Bud-RU]],"")</f>
        <v>#DIV/0!</v>
      </c>
      <c r="AD555" s="37" t="e">
        <f>IF(DaybyDay[[#This Row],[_Space]],DaybyDay[[#This Row],[Ret-LY-RU]]/DaybyDay[[#This Row],[Serv-LY-RU]],"")</f>
        <v>#DIV/0!</v>
      </c>
      <c r="AE555" s="30">
        <f>WEEKDAY(DaybyDay[[#This Row],[LY-Date]])</f>
        <v>3</v>
      </c>
      <c r="AF555" s="38">
        <f>$E$2+_xlfn.DAYS(DaybyDay[[#This Row],[Date]],minDate)</f>
        <v>42920</v>
      </c>
      <c r="AG555" s="39" cm="1">
        <f t="array" ref="AG555">IFERROR(INDEX(DaybyDay[],DaybyDay[[#This Row],[FORM_MATCH_HELPER]],8),"")</f>
        <v>7</v>
      </c>
      <c r="AH555" s="39" cm="1">
        <f t="array" ref="AH555">IFERROR(INDEX(DaybyDay[],DaybyDay[[#This Row],[FORM_MATCH_HELPER]],10),"")</f>
        <v>1221</v>
      </c>
      <c r="AI555" s="39" cm="1">
        <f t="array" ref="AI555">IFERROR(INDEX(DaybyDay[],DaybyDay[[#This Row],[FORM_MATCH_HELPER]],12),"")</f>
        <v>0</v>
      </c>
      <c r="AJ555" s="32">
        <f>IFERROR(DaybyDay[[#This Row],[Serv-LY-RU]]+DaybyDay[[#This Row],[Ret-LY-RU]],"")</f>
        <v>0</v>
      </c>
      <c r="AK5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5" s="77"/>
      <c r="AM555" s="40" t="str">
        <f>IF(DaybyDay[[#This Row],[Admin Hours]]&gt;0,DaybyDay[[#This Row],[Admin Hours]]*$AM$2+$AM$3,"")</f>
        <v/>
      </c>
      <c r="AN555" s="40">
        <f>SUMIFS(DaybyDay[Est-Admin-Payroll],DaybyDay[Date],"&gt;="&amp;$C$5,DaybyDay[RowYear],"&gt;="&amp;$C$4,DaybyDay[Date],"&lt;="&amp;DaybyDay[[#This Row],[Date]])</f>
        <v>0</v>
      </c>
      <c r="AO555" s="41" t="str">
        <f>IF(AND(DaybyDay[[#This Row],[_Space]],ISNUMBER(DaybyDay[[#This Row],[Admin Hours]])),DaybyDay[[#This Row],[Est-Admin-Payroll]]/(DaybyDay[[#This Row],[Service-Actuals]]+DaybyDay[[#This Row],[Retail-Actuals]]),"")</f>
        <v/>
      </c>
      <c r="AP555" s="41" t="e">
        <f>DaybyDay[[#This Row],[Estimated-Payroll-Rollup]]/DaybyDay[[#This Row],[Simple-Forecast]]</f>
        <v>#DIV/0!</v>
      </c>
      <c r="AQ5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5" s="77"/>
      <c r="AS555" s="40" t="str">
        <f>IF(DaybyDay[[#This Row],[Retail Hours]]&gt;0,DaybyDay[[#This Row],[Retail Hours]]*$AS$2,"")</f>
        <v/>
      </c>
      <c r="AT555" s="40">
        <f>SUMIFS(DaybyDay[Est-Retail-Payroll],DaybyDay[Date],"&gt;="&amp;$C$5,DaybyDay[RowYear],"&gt;="&amp;$C$4,DaybyDay[Date],"&lt;="&amp;DaybyDay[[#This Row],[Date]])</f>
        <v>0</v>
      </c>
      <c r="AU555" s="82" t="str">
        <f>IF(AND(DaybyDay[[#This Row],[_Space]],ISNUMBER(DaybyDay[[#This Row],[Retail Hours]])),DaybyDay[[#This Row],[Est-Retail-Payroll]]/(DaybyDay[[#This Row],[Retail-Actuals]]),"")</f>
        <v/>
      </c>
      <c r="AV555" s="82" t="e">
        <f>DaybyDay[[#This Row],[Est-Retail-PayrollRU]]/DaybyDay[[#This Row],[Simple-Forecast-Retail]]</f>
        <v>#DIV/0!</v>
      </c>
      <c r="AW555" s="8"/>
    </row>
    <row r="556" spans="3:49" hidden="1" x14ac:dyDescent="0.25">
      <c r="C556" s="26" t="str">
        <f>Tools!$C$1</f>
        <v>Example</v>
      </c>
      <c r="D556" s="27" t="s">
        <v>73</v>
      </c>
      <c r="E556" s="28">
        <v>2018</v>
      </c>
      <c r="F556" s="28">
        <f>MATCH(DaybyDay[[#This Row],[RowMonth]],Table3[SummaryMonth],0)</f>
        <v>6</v>
      </c>
      <c r="G556" s="29">
        <f>MATCH(DaybyDay[[#This Row],[LY-Date]],DaybyDay[Date],0)</f>
        <v>186</v>
      </c>
      <c r="H556" s="30">
        <f>WEEKDAY(DaybyDay[[#This Row],[Date]])</f>
        <v>4</v>
      </c>
      <c r="I556" s="31">
        <v>43285</v>
      </c>
      <c r="J556" s="74">
        <v>18</v>
      </c>
      <c r="K556" s="32">
        <f>SUMIFS(BudgetSeasonality[365 Seasonality],BudgetSeasonality[MonthAdjustment],DaybyDay[[#This Row],[Date]])*SUMIFS(Budgets[Service-Budget],Budgets[BudgetMonth],DaybyDay[[#This Row],[RowMonth]],Budgets[BudgetYear],DaybyDay[[#This Row],[RowYear]])</f>
        <v>3582.9351965261785</v>
      </c>
      <c r="L556" s="75">
        <v>3254</v>
      </c>
      <c r="M556" s="32">
        <f>INDEX(BudgetSeasonality[365 Seasonality],MATCH(DaybyDay[[#This Row],[Date]],BudgetSeasonality[MonthAdjustment],0))*SUMIFS(Budgets[Retail-Budget],Budgets[BudgetMonth],DaybyDay[[#This Row],[RowMonth]],Budgets[BudgetYear],DaybyDay[[#This Row],[RowYear]])</f>
        <v>1075.8427106793956</v>
      </c>
      <c r="N556" s="75">
        <v>0</v>
      </c>
      <c r="O556" s="33">
        <f>SUMIFS(DaybyDay[Service-Budgets],DaybyDay[Date],"&gt;="&amp;$C$5,DaybyDay[RowYear],"&gt;="&amp;$C$4,DaybyDay[Date],"&lt;="&amp;DaybyDay[[#This Row],[Date]])</f>
        <v>0</v>
      </c>
      <c r="P556" s="33">
        <f>SUMIFS(DaybyDay[Retail-Budgets],DaybyDay[Date],"&gt;="&amp;$C$5,DaybyDay[RowYear],"&gt;="&amp;$C$4,DaybyDay[Date],"&lt;="&amp;DaybyDay[[#This Row],[Date]])</f>
        <v>0</v>
      </c>
      <c r="Q556" s="34">
        <f>SUMIFS(DaybyDay[Service-Actuals],DaybyDay[Date],"&gt;="&amp;$C$5,DaybyDay[RowYear],"&gt;="&amp;$C$4,DaybyDay[Date],"&lt;="&amp;DaybyDay[[#This Row],[Date]])</f>
        <v>0</v>
      </c>
      <c r="R556" s="34">
        <f>SUMIFS(DaybyDay[Retail-Actuals],DaybyDay[Date],"&gt;="&amp;$C$5,DaybyDay[RowYear],"&gt;="&amp;$C$4,DaybyDay[Date],"&lt;="&amp;DaybyDay[[#This Row],[Date]])</f>
        <v>0</v>
      </c>
      <c r="S556" s="35">
        <f>SUMIFS(DaybyDay[Service-LY],DaybyDay[Date],"&gt;="&amp;$C$5,DaybyDay[RowYear],"&gt;="&amp;$C$4,DaybyDay[Date],"&lt;="&amp;DaybyDay[[#This Row],[Date]])</f>
        <v>0</v>
      </c>
      <c r="T556" s="35">
        <f>SUMIFS(DaybyDay[Retail-LY],DaybyDay[Date],"&gt;="&amp;$C$5,DaybyDay[RowYear],"&gt;="&amp;$C$4,DaybyDay[Date],"&lt;="&amp;DaybyDay[[#This Row],[Date]])</f>
        <v>0</v>
      </c>
      <c r="U556" s="32">
        <f>DaybyDay[[#This Row],[Serv-Bud-RU]]+DaybyDay[[#This Row],[Ret-Bud-RU]]</f>
        <v>0</v>
      </c>
      <c r="V556" s="32">
        <f>DaybyDay[[#This Row],[Serv-Act-RU]]+DaybyDay[[#This Row],[Ret-Act-RU]]</f>
        <v>0</v>
      </c>
      <c r="W556" s="36">
        <f>IF(DaybyDay[[#This Row],[_Space]],IFERROR(
((DaybyDay[[#This Row],[Actual-Rollup]]-DaybyDay[[#This Row],[Budget-Rollup]])/DaybyDay[[#This Row],[Budget-Rollup]]),0),"")</f>
        <v>0</v>
      </c>
      <c r="X556" t="b">
        <f>NOT(AND(ISBLANK(DaybyDay[[#This Row],[Appts]]),ISBLANK(DaybyDay[[#This Row],[Service-Actuals]]),ISBLANK(DaybyDay[[#This Row],[Retail-Actuals]])))</f>
        <v>1</v>
      </c>
      <c r="Y556" s="36">
        <f>IF(DaybyDay[[#This Row],[_Space]],IFERROR(
((DaybyDay[[#This Row],[Actual-Rollup]]-DaybyDay[[#This Row],[LY-Rollup]])/DaybyDay[[#This Row],[LY-Rollup]]),0),"")</f>
        <v>0</v>
      </c>
      <c r="Z556"/>
      <c r="AA556" s="37" t="e">
        <f>IF(DaybyDay[[#This Row],[_Space]],DaybyDay[[#This Row],[Ret-Act-RU]]/DaybyDay[[#This Row],[Serv-Act-RU]],"")</f>
        <v>#DIV/0!</v>
      </c>
      <c r="AB556" s="50" t="e">
        <f>IF(DaybyDay[[#This Row],[_Space]],DaybyDay[[#This Row],[RETPEN-Act]]/DaybyDay[[#This Row],[RETPEN-Bud]],"")</f>
        <v>#DIV/0!</v>
      </c>
      <c r="AC556" s="37" t="e">
        <f>IF(DaybyDay[[#This Row],[_Space]],DaybyDay[[#This Row],[Ret-Bud-RU]]/DaybyDay[[#This Row],[Serv-Bud-RU]],"")</f>
        <v>#DIV/0!</v>
      </c>
      <c r="AD556" s="37" t="e">
        <f>IF(DaybyDay[[#This Row],[_Space]],DaybyDay[[#This Row],[Ret-LY-RU]]/DaybyDay[[#This Row],[Serv-LY-RU]],"")</f>
        <v>#DIV/0!</v>
      </c>
      <c r="AE556" s="30">
        <f>WEEKDAY(DaybyDay[[#This Row],[LY-Date]])</f>
        <v>4</v>
      </c>
      <c r="AF556" s="38">
        <f>$E$2+_xlfn.DAYS(DaybyDay[[#This Row],[Date]],minDate)</f>
        <v>42921</v>
      </c>
      <c r="AG556" s="39" cm="1">
        <f t="array" ref="AG556">IFERROR(INDEX(DaybyDay[],DaybyDay[[#This Row],[FORM_MATCH_HELPER]],8),"")</f>
        <v>13</v>
      </c>
      <c r="AH556" s="39" cm="1">
        <f t="array" ref="AH556">IFERROR(INDEX(DaybyDay[],DaybyDay[[#This Row],[FORM_MATCH_HELPER]],10),"")</f>
        <v>3520.8</v>
      </c>
      <c r="AI556" s="39" cm="1">
        <f t="array" ref="AI556">IFERROR(INDEX(DaybyDay[],DaybyDay[[#This Row],[FORM_MATCH_HELPER]],12),"")</f>
        <v>293</v>
      </c>
      <c r="AJ556" s="32">
        <f>IFERROR(DaybyDay[[#This Row],[Serv-LY-RU]]+DaybyDay[[#This Row],[Ret-LY-RU]],"")</f>
        <v>0</v>
      </c>
      <c r="AK5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6" s="77"/>
      <c r="AM556" s="40" t="str">
        <f>IF(DaybyDay[[#This Row],[Admin Hours]]&gt;0,DaybyDay[[#This Row],[Admin Hours]]*$AM$2+$AM$3,"")</f>
        <v/>
      </c>
      <c r="AN556" s="40">
        <f>SUMIFS(DaybyDay[Est-Admin-Payroll],DaybyDay[Date],"&gt;="&amp;$C$5,DaybyDay[RowYear],"&gt;="&amp;$C$4,DaybyDay[Date],"&lt;="&amp;DaybyDay[[#This Row],[Date]])</f>
        <v>0</v>
      </c>
      <c r="AO556" s="41" t="str">
        <f>IF(AND(DaybyDay[[#This Row],[_Space]],ISNUMBER(DaybyDay[[#This Row],[Admin Hours]])),DaybyDay[[#This Row],[Est-Admin-Payroll]]/(DaybyDay[[#This Row],[Service-Actuals]]+DaybyDay[[#This Row],[Retail-Actuals]]),"")</f>
        <v/>
      </c>
      <c r="AP556" s="41" t="e">
        <f>DaybyDay[[#This Row],[Estimated-Payroll-Rollup]]/DaybyDay[[#This Row],[Simple-Forecast]]</f>
        <v>#DIV/0!</v>
      </c>
      <c r="AQ5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6" s="77"/>
      <c r="AS556" s="40" t="str">
        <f>IF(DaybyDay[[#This Row],[Retail Hours]]&gt;0,DaybyDay[[#This Row],[Retail Hours]]*$AS$2,"")</f>
        <v/>
      </c>
      <c r="AT556" s="40">
        <f>SUMIFS(DaybyDay[Est-Retail-Payroll],DaybyDay[Date],"&gt;="&amp;$C$5,DaybyDay[RowYear],"&gt;="&amp;$C$4,DaybyDay[Date],"&lt;="&amp;DaybyDay[[#This Row],[Date]])</f>
        <v>0</v>
      </c>
      <c r="AU556" s="82" t="str">
        <f>IF(AND(DaybyDay[[#This Row],[_Space]],ISNUMBER(DaybyDay[[#This Row],[Retail Hours]])),DaybyDay[[#This Row],[Est-Retail-Payroll]]/(DaybyDay[[#This Row],[Retail-Actuals]]),"")</f>
        <v/>
      </c>
      <c r="AV556" s="82" t="e">
        <f>DaybyDay[[#This Row],[Est-Retail-PayrollRU]]/DaybyDay[[#This Row],[Simple-Forecast-Retail]]</f>
        <v>#DIV/0!</v>
      </c>
      <c r="AW556" s="8"/>
    </row>
    <row r="557" spans="3:49" hidden="1" x14ac:dyDescent="0.25">
      <c r="C557" s="26" t="str">
        <f>Tools!$C$1</f>
        <v>Example</v>
      </c>
      <c r="D557" s="27" t="s">
        <v>73</v>
      </c>
      <c r="E557" s="28">
        <v>2018</v>
      </c>
      <c r="F557" s="28">
        <f>MATCH(DaybyDay[[#This Row],[RowMonth]],Table3[SummaryMonth],0)</f>
        <v>6</v>
      </c>
      <c r="G557" s="29">
        <f>MATCH(DaybyDay[[#This Row],[LY-Date]],DaybyDay[Date],0)</f>
        <v>187</v>
      </c>
      <c r="H557" s="30">
        <f>WEEKDAY(DaybyDay[[#This Row],[Date]])</f>
        <v>5</v>
      </c>
      <c r="I557" s="31">
        <v>43286</v>
      </c>
      <c r="J557" s="74">
        <v>24</v>
      </c>
      <c r="K557" s="32">
        <f>SUMIFS(BudgetSeasonality[365 Seasonality],BudgetSeasonality[MonthAdjustment],DaybyDay[[#This Row],[Date]])*SUMIFS(Budgets[Service-Budget],Budgets[BudgetMonth],DaybyDay[[#This Row],[RowMonth]],Budgets[BudgetYear],DaybyDay[[#This Row],[RowYear]])</f>
        <v>3678.9755616808752</v>
      </c>
      <c r="L557" s="75">
        <v>3878.8</v>
      </c>
      <c r="M557" s="32">
        <f>INDEX(BudgetSeasonality[365 Seasonality],MATCH(DaybyDay[[#This Row],[Date]],BudgetSeasonality[MonthAdjustment],0))*SUMIFS(Budgets[Retail-Budget],Budgets[BudgetMonth],DaybyDay[[#This Row],[RowMonth]],Budgets[BudgetYear],DaybyDay[[#This Row],[RowYear]])</f>
        <v>1104.680610645559</v>
      </c>
      <c r="N557" s="75">
        <v>1209.9000000000001</v>
      </c>
      <c r="O557" s="33">
        <f>SUMIFS(DaybyDay[Service-Budgets],DaybyDay[Date],"&gt;="&amp;$C$5,DaybyDay[RowYear],"&gt;="&amp;$C$4,DaybyDay[Date],"&lt;="&amp;DaybyDay[[#This Row],[Date]])</f>
        <v>0</v>
      </c>
      <c r="P557" s="33">
        <f>SUMIFS(DaybyDay[Retail-Budgets],DaybyDay[Date],"&gt;="&amp;$C$5,DaybyDay[RowYear],"&gt;="&amp;$C$4,DaybyDay[Date],"&lt;="&amp;DaybyDay[[#This Row],[Date]])</f>
        <v>0</v>
      </c>
      <c r="Q557" s="34">
        <f>SUMIFS(DaybyDay[Service-Actuals],DaybyDay[Date],"&gt;="&amp;$C$5,DaybyDay[RowYear],"&gt;="&amp;$C$4,DaybyDay[Date],"&lt;="&amp;DaybyDay[[#This Row],[Date]])</f>
        <v>0</v>
      </c>
      <c r="R557" s="34">
        <f>SUMIFS(DaybyDay[Retail-Actuals],DaybyDay[Date],"&gt;="&amp;$C$5,DaybyDay[RowYear],"&gt;="&amp;$C$4,DaybyDay[Date],"&lt;="&amp;DaybyDay[[#This Row],[Date]])</f>
        <v>0</v>
      </c>
      <c r="S557" s="35">
        <f>SUMIFS(DaybyDay[Service-LY],DaybyDay[Date],"&gt;="&amp;$C$5,DaybyDay[RowYear],"&gt;="&amp;$C$4,DaybyDay[Date],"&lt;="&amp;DaybyDay[[#This Row],[Date]])</f>
        <v>0</v>
      </c>
      <c r="T557" s="35">
        <f>SUMIFS(DaybyDay[Retail-LY],DaybyDay[Date],"&gt;="&amp;$C$5,DaybyDay[RowYear],"&gt;="&amp;$C$4,DaybyDay[Date],"&lt;="&amp;DaybyDay[[#This Row],[Date]])</f>
        <v>0</v>
      </c>
      <c r="U557" s="32">
        <f>DaybyDay[[#This Row],[Serv-Bud-RU]]+DaybyDay[[#This Row],[Ret-Bud-RU]]</f>
        <v>0</v>
      </c>
      <c r="V557" s="32">
        <f>DaybyDay[[#This Row],[Serv-Act-RU]]+DaybyDay[[#This Row],[Ret-Act-RU]]</f>
        <v>0</v>
      </c>
      <c r="W557" s="36">
        <f>IF(DaybyDay[[#This Row],[_Space]],IFERROR(
((DaybyDay[[#This Row],[Actual-Rollup]]-DaybyDay[[#This Row],[Budget-Rollup]])/DaybyDay[[#This Row],[Budget-Rollup]]),0),"")</f>
        <v>0</v>
      </c>
      <c r="X557" t="b">
        <f>NOT(AND(ISBLANK(DaybyDay[[#This Row],[Appts]]),ISBLANK(DaybyDay[[#This Row],[Service-Actuals]]),ISBLANK(DaybyDay[[#This Row],[Retail-Actuals]])))</f>
        <v>1</v>
      </c>
      <c r="Y557" s="36">
        <f>IF(DaybyDay[[#This Row],[_Space]],IFERROR(
((DaybyDay[[#This Row],[Actual-Rollup]]-DaybyDay[[#This Row],[LY-Rollup]])/DaybyDay[[#This Row],[LY-Rollup]]),0),"")</f>
        <v>0</v>
      </c>
      <c r="Z557"/>
      <c r="AA557" s="37" t="e">
        <f>IF(DaybyDay[[#This Row],[_Space]],DaybyDay[[#This Row],[Ret-Act-RU]]/DaybyDay[[#This Row],[Serv-Act-RU]],"")</f>
        <v>#DIV/0!</v>
      </c>
      <c r="AB557" s="50" t="e">
        <f>IF(DaybyDay[[#This Row],[_Space]],DaybyDay[[#This Row],[RETPEN-Act]]/DaybyDay[[#This Row],[RETPEN-Bud]],"")</f>
        <v>#DIV/0!</v>
      </c>
      <c r="AC557" s="37" t="e">
        <f>IF(DaybyDay[[#This Row],[_Space]],DaybyDay[[#This Row],[Ret-Bud-RU]]/DaybyDay[[#This Row],[Serv-Bud-RU]],"")</f>
        <v>#DIV/0!</v>
      </c>
      <c r="AD557" s="37" t="e">
        <f>IF(DaybyDay[[#This Row],[_Space]],DaybyDay[[#This Row],[Ret-LY-RU]]/DaybyDay[[#This Row],[Serv-LY-RU]],"")</f>
        <v>#DIV/0!</v>
      </c>
      <c r="AE557" s="30">
        <f>WEEKDAY(DaybyDay[[#This Row],[LY-Date]])</f>
        <v>5</v>
      </c>
      <c r="AF557" s="38">
        <f>$E$2+_xlfn.DAYS(DaybyDay[[#This Row],[Date]],minDate)</f>
        <v>42922</v>
      </c>
      <c r="AG557" s="39" cm="1">
        <f t="array" ref="AG557">IFERROR(INDEX(DaybyDay[],DaybyDay[[#This Row],[FORM_MATCH_HELPER]],8),"")</f>
        <v>18</v>
      </c>
      <c r="AH557" s="39" cm="1">
        <f t="array" ref="AH557">IFERROR(INDEX(DaybyDay[],DaybyDay[[#This Row],[FORM_MATCH_HELPER]],10),"")</f>
        <v>2824.2</v>
      </c>
      <c r="AI557" s="39" cm="1">
        <f t="array" ref="AI557">IFERROR(INDEX(DaybyDay[],DaybyDay[[#This Row],[FORM_MATCH_HELPER]],12),"")</f>
        <v>305</v>
      </c>
      <c r="AJ557" s="32">
        <f>IFERROR(DaybyDay[[#This Row],[Serv-LY-RU]]+DaybyDay[[#This Row],[Ret-LY-RU]],"")</f>
        <v>0</v>
      </c>
      <c r="AK5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7" s="77"/>
      <c r="AM557" s="40" t="str">
        <f>IF(DaybyDay[[#This Row],[Admin Hours]]&gt;0,DaybyDay[[#This Row],[Admin Hours]]*$AM$2+$AM$3,"")</f>
        <v/>
      </c>
      <c r="AN557" s="40">
        <f>SUMIFS(DaybyDay[Est-Admin-Payroll],DaybyDay[Date],"&gt;="&amp;$C$5,DaybyDay[RowYear],"&gt;="&amp;$C$4,DaybyDay[Date],"&lt;="&amp;DaybyDay[[#This Row],[Date]])</f>
        <v>0</v>
      </c>
      <c r="AO557" s="41" t="str">
        <f>IF(AND(DaybyDay[[#This Row],[_Space]],ISNUMBER(DaybyDay[[#This Row],[Admin Hours]])),DaybyDay[[#This Row],[Est-Admin-Payroll]]/(DaybyDay[[#This Row],[Service-Actuals]]+DaybyDay[[#This Row],[Retail-Actuals]]),"")</f>
        <v/>
      </c>
      <c r="AP557" s="41" t="e">
        <f>DaybyDay[[#This Row],[Estimated-Payroll-Rollup]]/DaybyDay[[#This Row],[Simple-Forecast]]</f>
        <v>#DIV/0!</v>
      </c>
      <c r="AQ5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7" s="77"/>
      <c r="AS557" s="40" t="str">
        <f>IF(DaybyDay[[#This Row],[Retail Hours]]&gt;0,DaybyDay[[#This Row],[Retail Hours]]*$AS$2,"")</f>
        <v/>
      </c>
      <c r="AT557" s="40">
        <f>SUMIFS(DaybyDay[Est-Retail-Payroll],DaybyDay[Date],"&gt;="&amp;$C$5,DaybyDay[RowYear],"&gt;="&amp;$C$4,DaybyDay[Date],"&lt;="&amp;DaybyDay[[#This Row],[Date]])</f>
        <v>0</v>
      </c>
      <c r="AU557" s="82" t="str">
        <f>IF(AND(DaybyDay[[#This Row],[_Space]],ISNUMBER(DaybyDay[[#This Row],[Retail Hours]])),DaybyDay[[#This Row],[Est-Retail-Payroll]]/(DaybyDay[[#This Row],[Retail-Actuals]]),"")</f>
        <v/>
      </c>
      <c r="AV557" s="82" t="e">
        <f>DaybyDay[[#This Row],[Est-Retail-PayrollRU]]/DaybyDay[[#This Row],[Simple-Forecast-Retail]]</f>
        <v>#DIV/0!</v>
      </c>
      <c r="AW557" s="8"/>
    </row>
    <row r="558" spans="3:49" hidden="1" x14ac:dyDescent="0.25">
      <c r="C558" s="26" t="str">
        <f>Tools!$C$1</f>
        <v>Example</v>
      </c>
      <c r="D558" s="27" t="s">
        <v>73</v>
      </c>
      <c r="E558" s="28">
        <v>2018</v>
      </c>
      <c r="F558" s="28">
        <f>MATCH(DaybyDay[[#This Row],[RowMonth]],Table3[SummaryMonth],0)</f>
        <v>6</v>
      </c>
      <c r="G558" s="29">
        <f>MATCH(DaybyDay[[#This Row],[LY-Date]],DaybyDay[Date],0)</f>
        <v>188</v>
      </c>
      <c r="H558" s="30">
        <f>WEEKDAY(DaybyDay[[#This Row],[Date]])</f>
        <v>6</v>
      </c>
      <c r="I558" s="31">
        <v>43287</v>
      </c>
      <c r="J558" s="74">
        <v>22</v>
      </c>
      <c r="K558" s="32">
        <f>SUMIFS(BudgetSeasonality[365 Seasonality],BudgetSeasonality[MonthAdjustment],DaybyDay[[#This Row],[Date]])*SUMIFS(Budgets[Service-Budget],Budgets[BudgetMonth],DaybyDay[[#This Row],[RowMonth]],Budgets[BudgetYear],DaybyDay[[#This Row],[RowYear]])</f>
        <v>4881.8448041666315</v>
      </c>
      <c r="L558" s="75">
        <v>4981.2</v>
      </c>
      <c r="M558" s="32">
        <f>INDEX(BudgetSeasonality[365 Seasonality],MATCH(DaybyDay[[#This Row],[Date]],BudgetSeasonality[MonthAdjustment],0))*SUMIFS(Budgets[Retail-Budget],Budgets[BudgetMonth],DaybyDay[[#This Row],[RowMonth]],Budgets[BudgetYear],DaybyDay[[#This Row],[RowYear]])</f>
        <v>1465.8643986424604</v>
      </c>
      <c r="N558" s="75">
        <v>205</v>
      </c>
      <c r="O558" s="33">
        <f>SUMIFS(DaybyDay[Service-Budgets],DaybyDay[Date],"&gt;="&amp;$C$5,DaybyDay[RowYear],"&gt;="&amp;$C$4,DaybyDay[Date],"&lt;="&amp;DaybyDay[[#This Row],[Date]])</f>
        <v>0</v>
      </c>
      <c r="P558" s="33">
        <f>SUMIFS(DaybyDay[Retail-Budgets],DaybyDay[Date],"&gt;="&amp;$C$5,DaybyDay[RowYear],"&gt;="&amp;$C$4,DaybyDay[Date],"&lt;="&amp;DaybyDay[[#This Row],[Date]])</f>
        <v>0</v>
      </c>
      <c r="Q558" s="34">
        <f>SUMIFS(DaybyDay[Service-Actuals],DaybyDay[Date],"&gt;="&amp;$C$5,DaybyDay[RowYear],"&gt;="&amp;$C$4,DaybyDay[Date],"&lt;="&amp;DaybyDay[[#This Row],[Date]])</f>
        <v>0</v>
      </c>
      <c r="R558" s="34">
        <f>SUMIFS(DaybyDay[Retail-Actuals],DaybyDay[Date],"&gt;="&amp;$C$5,DaybyDay[RowYear],"&gt;="&amp;$C$4,DaybyDay[Date],"&lt;="&amp;DaybyDay[[#This Row],[Date]])</f>
        <v>0</v>
      </c>
      <c r="S558" s="35">
        <f>SUMIFS(DaybyDay[Service-LY],DaybyDay[Date],"&gt;="&amp;$C$5,DaybyDay[RowYear],"&gt;="&amp;$C$4,DaybyDay[Date],"&lt;="&amp;DaybyDay[[#This Row],[Date]])</f>
        <v>0</v>
      </c>
      <c r="T558" s="35">
        <f>SUMIFS(DaybyDay[Retail-LY],DaybyDay[Date],"&gt;="&amp;$C$5,DaybyDay[RowYear],"&gt;="&amp;$C$4,DaybyDay[Date],"&lt;="&amp;DaybyDay[[#This Row],[Date]])</f>
        <v>0</v>
      </c>
      <c r="U558" s="32">
        <f>DaybyDay[[#This Row],[Serv-Bud-RU]]+DaybyDay[[#This Row],[Ret-Bud-RU]]</f>
        <v>0</v>
      </c>
      <c r="V558" s="32">
        <f>DaybyDay[[#This Row],[Serv-Act-RU]]+DaybyDay[[#This Row],[Ret-Act-RU]]</f>
        <v>0</v>
      </c>
      <c r="W558" s="36">
        <f>IF(DaybyDay[[#This Row],[_Space]],IFERROR(
((DaybyDay[[#This Row],[Actual-Rollup]]-DaybyDay[[#This Row],[Budget-Rollup]])/DaybyDay[[#This Row],[Budget-Rollup]]),0),"")</f>
        <v>0</v>
      </c>
      <c r="X558" t="b">
        <f>NOT(AND(ISBLANK(DaybyDay[[#This Row],[Appts]]),ISBLANK(DaybyDay[[#This Row],[Service-Actuals]]),ISBLANK(DaybyDay[[#This Row],[Retail-Actuals]])))</f>
        <v>1</v>
      </c>
      <c r="Y558" s="36">
        <f>IF(DaybyDay[[#This Row],[_Space]],IFERROR(
((DaybyDay[[#This Row],[Actual-Rollup]]-DaybyDay[[#This Row],[LY-Rollup]])/DaybyDay[[#This Row],[LY-Rollup]]),0),"")</f>
        <v>0</v>
      </c>
      <c r="Z558"/>
      <c r="AA558" s="37" t="e">
        <f>IF(DaybyDay[[#This Row],[_Space]],DaybyDay[[#This Row],[Ret-Act-RU]]/DaybyDay[[#This Row],[Serv-Act-RU]],"")</f>
        <v>#DIV/0!</v>
      </c>
      <c r="AB558" s="50" t="e">
        <f>IF(DaybyDay[[#This Row],[_Space]],DaybyDay[[#This Row],[RETPEN-Act]]/DaybyDay[[#This Row],[RETPEN-Bud]],"")</f>
        <v>#DIV/0!</v>
      </c>
      <c r="AC558" s="37" t="e">
        <f>IF(DaybyDay[[#This Row],[_Space]],DaybyDay[[#This Row],[Ret-Bud-RU]]/DaybyDay[[#This Row],[Serv-Bud-RU]],"")</f>
        <v>#DIV/0!</v>
      </c>
      <c r="AD558" s="37" t="e">
        <f>IF(DaybyDay[[#This Row],[_Space]],DaybyDay[[#This Row],[Ret-LY-RU]]/DaybyDay[[#This Row],[Serv-LY-RU]],"")</f>
        <v>#DIV/0!</v>
      </c>
      <c r="AE558" s="30">
        <f>WEEKDAY(DaybyDay[[#This Row],[LY-Date]])</f>
        <v>6</v>
      </c>
      <c r="AF558" s="38">
        <f>$E$2+_xlfn.DAYS(DaybyDay[[#This Row],[Date]],minDate)</f>
        <v>42923</v>
      </c>
      <c r="AG558" s="39" cm="1">
        <f t="array" ref="AG558">IFERROR(INDEX(DaybyDay[],DaybyDay[[#This Row],[FORM_MATCH_HELPER]],8),"")</f>
        <v>19</v>
      </c>
      <c r="AH558" s="39" cm="1">
        <f t="array" ref="AH558">IFERROR(INDEX(DaybyDay[],DaybyDay[[#This Row],[FORM_MATCH_HELPER]],10),"")</f>
        <v>3696.2</v>
      </c>
      <c r="AI558" s="39" cm="1">
        <f t="array" ref="AI558">IFERROR(INDEX(DaybyDay[],DaybyDay[[#This Row],[FORM_MATCH_HELPER]],12),"")</f>
        <v>151</v>
      </c>
      <c r="AJ558" s="32">
        <f>IFERROR(DaybyDay[[#This Row],[Serv-LY-RU]]+DaybyDay[[#This Row],[Ret-LY-RU]],"")</f>
        <v>0</v>
      </c>
      <c r="AK5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8" s="77"/>
      <c r="AM558" s="40" t="str">
        <f>IF(DaybyDay[[#This Row],[Admin Hours]]&gt;0,DaybyDay[[#This Row],[Admin Hours]]*$AM$2+$AM$3,"")</f>
        <v/>
      </c>
      <c r="AN558" s="40">
        <f>SUMIFS(DaybyDay[Est-Admin-Payroll],DaybyDay[Date],"&gt;="&amp;$C$5,DaybyDay[RowYear],"&gt;="&amp;$C$4,DaybyDay[Date],"&lt;="&amp;DaybyDay[[#This Row],[Date]])</f>
        <v>0</v>
      </c>
      <c r="AO558" s="41" t="str">
        <f>IF(AND(DaybyDay[[#This Row],[_Space]],ISNUMBER(DaybyDay[[#This Row],[Admin Hours]])),DaybyDay[[#This Row],[Est-Admin-Payroll]]/(DaybyDay[[#This Row],[Service-Actuals]]+DaybyDay[[#This Row],[Retail-Actuals]]),"")</f>
        <v/>
      </c>
      <c r="AP558" s="41" t="e">
        <f>DaybyDay[[#This Row],[Estimated-Payroll-Rollup]]/DaybyDay[[#This Row],[Simple-Forecast]]</f>
        <v>#DIV/0!</v>
      </c>
      <c r="AQ5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8" s="77"/>
      <c r="AS558" s="40" t="str">
        <f>IF(DaybyDay[[#This Row],[Retail Hours]]&gt;0,DaybyDay[[#This Row],[Retail Hours]]*$AS$2,"")</f>
        <v/>
      </c>
      <c r="AT558" s="40">
        <f>SUMIFS(DaybyDay[Est-Retail-Payroll],DaybyDay[Date],"&gt;="&amp;$C$5,DaybyDay[RowYear],"&gt;="&amp;$C$4,DaybyDay[Date],"&lt;="&amp;DaybyDay[[#This Row],[Date]])</f>
        <v>0</v>
      </c>
      <c r="AU558" s="82" t="str">
        <f>IF(AND(DaybyDay[[#This Row],[_Space]],ISNUMBER(DaybyDay[[#This Row],[Retail Hours]])),DaybyDay[[#This Row],[Est-Retail-Payroll]]/(DaybyDay[[#This Row],[Retail-Actuals]]),"")</f>
        <v/>
      </c>
      <c r="AV558" s="82" t="e">
        <f>DaybyDay[[#This Row],[Est-Retail-PayrollRU]]/DaybyDay[[#This Row],[Simple-Forecast-Retail]]</f>
        <v>#DIV/0!</v>
      </c>
      <c r="AW558" s="8"/>
    </row>
    <row r="559" spans="3:49" hidden="1" x14ac:dyDescent="0.25">
      <c r="C559" s="26" t="str">
        <f>Tools!$C$1</f>
        <v>Example</v>
      </c>
      <c r="D559" s="27" t="s">
        <v>73</v>
      </c>
      <c r="E559" s="28">
        <v>2018</v>
      </c>
      <c r="F559" s="28">
        <f>MATCH(DaybyDay[[#This Row],[RowMonth]],Table3[SummaryMonth],0)</f>
        <v>6</v>
      </c>
      <c r="G559" s="29">
        <f>MATCH(DaybyDay[[#This Row],[LY-Date]],DaybyDay[Date],0)</f>
        <v>189</v>
      </c>
      <c r="H559" s="30">
        <f>WEEKDAY(DaybyDay[[#This Row],[Date]])</f>
        <v>7</v>
      </c>
      <c r="I559" s="31">
        <v>43288</v>
      </c>
      <c r="J559" s="74">
        <v>0</v>
      </c>
      <c r="K559" s="32">
        <f>SUMIFS(BudgetSeasonality[365 Seasonality],BudgetSeasonality[MonthAdjustment],DaybyDay[[#This Row],[Date]])*SUMIFS(Budgets[Service-Budget],Budgets[BudgetMonth],DaybyDay[[#This Row],[RowMonth]],Budgets[BudgetYear],DaybyDay[[#This Row],[RowYear]])</f>
        <v>7473.8912231087443</v>
      </c>
      <c r="L559" s="75">
        <v>0</v>
      </c>
      <c r="M559" s="32">
        <f>INDEX(BudgetSeasonality[365 Seasonality],MATCH(DaybyDay[[#This Row],[Date]],BudgetSeasonality[MonthAdjustment],0))*SUMIFS(Budgets[Retail-Budget],Budgets[BudgetMonth],DaybyDay[[#This Row],[RowMonth]],Budgets[BudgetYear],DaybyDay[[#This Row],[RowYear]])</f>
        <v>2244.1743854558454</v>
      </c>
      <c r="N559" s="75">
        <v>0</v>
      </c>
      <c r="O559" s="33">
        <f>SUMIFS(DaybyDay[Service-Budgets],DaybyDay[Date],"&gt;="&amp;$C$5,DaybyDay[RowYear],"&gt;="&amp;$C$4,DaybyDay[Date],"&lt;="&amp;DaybyDay[[#This Row],[Date]])</f>
        <v>0</v>
      </c>
      <c r="P559" s="33">
        <f>SUMIFS(DaybyDay[Retail-Budgets],DaybyDay[Date],"&gt;="&amp;$C$5,DaybyDay[RowYear],"&gt;="&amp;$C$4,DaybyDay[Date],"&lt;="&amp;DaybyDay[[#This Row],[Date]])</f>
        <v>0</v>
      </c>
      <c r="Q559" s="34">
        <f>SUMIFS(DaybyDay[Service-Actuals],DaybyDay[Date],"&gt;="&amp;$C$5,DaybyDay[RowYear],"&gt;="&amp;$C$4,DaybyDay[Date],"&lt;="&amp;DaybyDay[[#This Row],[Date]])</f>
        <v>0</v>
      </c>
      <c r="R559" s="34">
        <f>SUMIFS(DaybyDay[Retail-Actuals],DaybyDay[Date],"&gt;="&amp;$C$5,DaybyDay[RowYear],"&gt;="&amp;$C$4,DaybyDay[Date],"&lt;="&amp;DaybyDay[[#This Row],[Date]])</f>
        <v>0</v>
      </c>
      <c r="S559" s="35">
        <f>SUMIFS(DaybyDay[Service-LY],DaybyDay[Date],"&gt;="&amp;$C$5,DaybyDay[RowYear],"&gt;="&amp;$C$4,DaybyDay[Date],"&lt;="&amp;DaybyDay[[#This Row],[Date]])</f>
        <v>0</v>
      </c>
      <c r="T559" s="35">
        <f>SUMIFS(DaybyDay[Retail-LY],DaybyDay[Date],"&gt;="&amp;$C$5,DaybyDay[RowYear],"&gt;="&amp;$C$4,DaybyDay[Date],"&lt;="&amp;DaybyDay[[#This Row],[Date]])</f>
        <v>0</v>
      </c>
      <c r="U559" s="32">
        <f>DaybyDay[[#This Row],[Serv-Bud-RU]]+DaybyDay[[#This Row],[Ret-Bud-RU]]</f>
        <v>0</v>
      </c>
      <c r="V559" s="32">
        <f>DaybyDay[[#This Row],[Serv-Act-RU]]+DaybyDay[[#This Row],[Ret-Act-RU]]</f>
        <v>0</v>
      </c>
      <c r="W559" s="36">
        <f>IF(DaybyDay[[#This Row],[_Space]],IFERROR(
((DaybyDay[[#This Row],[Actual-Rollup]]-DaybyDay[[#This Row],[Budget-Rollup]])/DaybyDay[[#This Row],[Budget-Rollup]]),0),"")</f>
        <v>0</v>
      </c>
      <c r="X559" t="b">
        <f>NOT(AND(ISBLANK(DaybyDay[[#This Row],[Appts]]),ISBLANK(DaybyDay[[#This Row],[Service-Actuals]]),ISBLANK(DaybyDay[[#This Row],[Retail-Actuals]])))</f>
        <v>1</v>
      </c>
      <c r="Y559" s="36">
        <f>IF(DaybyDay[[#This Row],[_Space]],IFERROR(
((DaybyDay[[#This Row],[Actual-Rollup]]-DaybyDay[[#This Row],[LY-Rollup]])/DaybyDay[[#This Row],[LY-Rollup]]),0),"")</f>
        <v>0</v>
      </c>
      <c r="Z559"/>
      <c r="AA559" s="37" t="e">
        <f>IF(DaybyDay[[#This Row],[_Space]],DaybyDay[[#This Row],[Ret-Act-RU]]/DaybyDay[[#This Row],[Serv-Act-RU]],"")</f>
        <v>#DIV/0!</v>
      </c>
      <c r="AB559" s="50" t="e">
        <f>IF(DaybyDay[[#This Row],[_Space]],DaybyDay[[#This Row],[RETPEN-Act]]/DaybyDay[[#This Row],[RETPEN-Bud]],"")</f>
        <v>#DIV/0!</v>
      </c>
      <c r="AC559" s="37" t="e">
        <f>IF(DaybyDay[[#This Row],[_Space]],DaybyDay[[#This Row],[Ret-Bud-RU]]/DaybyDay[[#This Row],[Serv-Bud-RU]],"")</f>
        <v>#DIV/0!</v>
      </c>
      <c r="AD559" s="37" t="e">
        <f>IF(DaybyDay[[#This Row],[_Space]],DaybyDay[[#This Row],[Ret-LY-RU]]/DaybyDay[[#This Row],[Serv-LY-RU]],"")</f>
        <v>#DIV/0!</v>
      </c>
      <c r="AE559" s="30">
        <f>WEEKDAY(DaybyDay[[#This Row],[LY-Date]])</f>
        <v>7</v>
      </c>
      <c r="AF559" s="38">
        <f>$E$2+_xlfn.DAYS(DaybyDay[[#This Row],[Date]],minDate)</f>
        <v>42924</v>
      </c>
      <c r="AG559" s="39" cm="1">
        <f t="array" ref="AG559">IFERROR(INDEX(DaybyDay[],DaybyDay[[#This Row],[FORM_MATCH_HELPER]],8),"")</f>
        <v>18</v>
      </c>
      <c r="AH559" s="39" cm="1">
        <f t="array" ref="AH559">IFERROR(INDEX(DaybyDay[],DaybyDay[[#This Row],[FORM_MATCH_HELPER]],10),"")</f>
        <v>3580</v>
      </c>
      <c r="AI559" s="39" cm="1">
        <f t="array" ref="AI559">IFERROR(INDEX(DaybyDay[],DaybyDay[[#This Row],[FORM_MATCH_HELPER]],12),"")</f>
        <v>310</v>
      </c>
      <c r="AJ559" s="32">
        <f>IFERROR(DaybyDay[[#This Row],[Serv-LY-RU]]+DaybyDay[[#This Row],[Ret-LY-RU]],"")</f>
        <v>0</v>
      </c>
      <c r="AK5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59" s="77"/>
      <c r="AM559" s="40" t="str">
        <f>IF(DaybyDay[[#This Row],[Admin Hours]]&gt;0,DaybyDay[[#This Row],[Admin Hours]]*$AM$2+$AM$3,"")</f>
        <v/>
      </c>
      <c r="AN559" s="40">
        <f>SUMIFS(DaybyDay[Est-Admin-Payroll],DaybyDay[Date],"&gt;="&amp;$C$5,DaybyDay[RowYear],"&gt;="&amp;$C$4,DaybyDay[Date],"&lt;="&amp;DaybyDay[[#This Row],[Date]])</f>
        <v>0</v>
      </c>
      <c r="AO559" s="41" t="str">
        <f>IF(AND(DaybyDay[[#This Row],[_Space]],ISNUMBER(DaybyDay[[#This Row],[Admin Hours]])),DaybyDay[[#This Row],[Est-Admin-Payroll]]/(DaybyDay[[#This Row],[Service-Actuals]]+DaybyDay[[#This Row],[Retail-Actuals]]),"")</f>
        <v/>
      </c>
      <c r="AP559" s="41" t="e">
        <f>DaybyDay[[#This Row],[Estimated-Payroll-Rollup]]/DaybyDay[[#This Row],[Simple-Forecast]]</f>
        <v>#DIV/0!</v>
      </c>
      <c r="AQ5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59" s="77"/>
      <c r="AS559" s="40" t="str">
        <f>IF(DaybyDay[[#This Row],[Retail Hours]]&gt;0,DaybyDay[[#This Row],[Retail Hours]]*$AS$2,"")</f>
        <v/>
      </c>
      <c r="AT559" s="40">
        <f>SUMIFS(DaybyDay[Est-Retail-Payroll],DaybyDay[Date],"&gt;="&amp;$C$5,DaybyDay[RowYear],"&gt;="&amp;$C$4,DaybyDay[Date],"&lt;="&amp;DaybyDay[[#This Row],[Date]])</f>
        <v>0</v>
      </c>
      <c r="AU559" s="82" t="str">
        <f>IF(AND(DaybyDay[[#This Row],[_Space]],ISNUMBER(DaybyDay[[#This Row],[Retail Hours]])),DaybyDay[[#This Row],[Est-Retail-Payroll]]/(DaybyDay[[#This Row],[Retail-Actuals]]),"")</f>
        <v/>
      </c>
      <c r="AV559" s="82" t="e">
        <f>DaybyDay[[#This Row],[Est-Retail-PayrollRU]]/DaybyDay[[#This Row],[Simple-Forecast-Retail]]</f>
        <v>#DIV/0!</v>
      </c>
      <c r="AW559" s="8"/>
    </row>
    <row r="560" spans="3:49" hidden="1" x14ac:dyDescent="0.25">
      <c r="C560" s="26" t="str">
        <f>Tools!$C$1</f>
        <v>Example</v>
      </c>
      <c r="D560" s="27" t="s">
        <v>74</v>
      </c>
      <c r="E560" s="28">
        <v>2018</v>
      </c>
      <c r="F560" s="28">
        <f>MATCH(DaybyDay[[#This Row],[RowMonth]],Table3[SummaryMonth],0)</f>
        <v>7</v>
      </c>
      <c r="G560" s="29">
        <f>MATCH(DaybyDay[[#This Row],[LY-Date]],DaybyDay[Date],0)</f>
        <v>190</v>
      </c>
      <c r="H560" s="30">
        <f>WEEKDAY(DaybyDay[[#This Row],[Date]])</f>
        <v>1</v>
      </c>
      <c r="I560" s="31">
        <v>43289</v>
      </c>
      <c r="J560" s="74">
        <v>20</v>
      </c>
      <c r="K560" s="32">
        <f>SUMIFS(BudgetSeasonality[365 Seasonality],BudgetSeasonality[MonthAdjustment],DaybyDay[[#This Row],[Date]])*SUMIFS(Budgets[Service-Budget],Budgets[BudgetMonth],DaybyDay[[#This Row],[RowMonth]],Budgets[BudgetYear],DaybyDay[[#This Row],[RowYear]])</f>
        <v>5683.908997418027</v>
      </c>
      <c r="L560" s="75">
        <v>4689.3999999999996</v>
      </c>
      <c r="M560" s="32">
        <f>INDEX(BudgetSeasonality[365 Seasonality],MATCH(DaybyDay[[#This Row],[Date]],BudgetSeasonality[MonthAdjustment],0))*SUMIFS(Budgets[Retail-Budget],Budgets[BudgetMonth],DaybyDay[[#This Row],[RowMonth]],Budgets[BudgetYear],DaybyDay[[#This Row],[RowYear]])</f>
        <v>1588.0468636325813</v>
      </c>
      <c r="N560" s="75">
        <v>710</v>
      </c>
      <c r="O560" s="33">
        <f>SUMIFS(DaybyDay[Service-Budgets],DaybyDay[Date],"&gt;="&amp;$C$5,DaybyDay[RowYear],"&gt;="&amp;$C$4,DaybyDay[Date],"&lt;="&amp;DaybyDay[[#This Row],[Date]])</f>
        <v>0</v>
      </c>
      <c r="P560" s="33">
        <f>SUMIFS(DaybyDay[Retail-Budgets],DaybyDay[Date],"&gt;="&amp;$C$5,DaybyDay[RowYear],"&gt;="&amp;$C$4,DaybyDay[Date],"&lt;="&amp;DaybyDay[[#This Row],[Date]])</f>
        <v>0</v>
      </c>
      <c r="Q560" s="34">
        <f>SUMIFS(DaybyDay[Service-Actuals],DaybyDay[Date],"&gt;="&amp;$C$5,DaybyDay[RowYear],"&gt;="&amp;$C$4,DaybyDay[Date],"&lt;="&amp;DaybyDay[[#This Row],[Date]])</f>
        <v>0</v>
      </c>
      <c r="R560" s="34">
        <f>SUMIFS(DaybyDay[Retail-Actuals],DaybyDay[Date],"&gt;="&amp;$C$5,DaybyDay[RowYear],"&gt;="&amp;$C$4,DaybyDay[Date],"&lt;="&amp;DaybyDay[[#This Row],[Date]])</f>
        <v>0</v>
      </c>
      <c r="S560" s="35">
        <f>SUMIFS(DaybyDay[Service-LY],DaybyDay[Date],"&gt;="&amp;$C$5,DaybyDay[RowYear],"&gt;="&amp;$C$4,DaybyDay[Date],"&lt;="&amp;DaybyDay[[#This Row],[Date]])</f>
        <v>0</v>
      </c>
      <c r="T560" s="35">
        <f>SUMIFS(DaybyDay[Retail-LY],DaybyDay[Date],"&gt;="&amp;$C$5,DaybyDay[RowYear],"&gt;="&amp;$C$4,DaybyDay[Date],"&lt;="&amp;DaybyDay[[#This Row],[Date]])</f>
        <v>0</v>
      </c>
      <c r="U560" s="32">
        <f>DaybyDay[[#This Row],[Serv-Bud-RU]]+DaybyDay[[#This Row],[Ret-Bud-RU]]</f>
        <v>0</v>
      </c>
      <c r="V560" s="32">
        <f>DaybyDay[[#This Row],[Serv-Act-RU]]+DaybyDay[[#This Row],[Ret-Act-RU]]</f>
        <v>0</v>
      </c>
      <c r="W560" s="36">
        <f>IF(DaybyDay[[#This Row],[_Space]],IFERROR(
((DaybyDay[[#This Row],[Actual-Rollup]]-DaybyDay[[#This Row],[Budget-Rollup]])/DaybyDay[[#This Row],[Budget-Rollup]]),0),"")</f>
        <v>0</v>
      </c>
      <c r="X560" t="b">
        <f>NOT(AND(ISBLANK(DaybyDay[[#This Row],[Appts]]),ISBLANK(DaybyDay[[#This Row],[Service-Actuals]]),ISBLANK(DaybyDay[[#This Row],[Retail-Actuals]])))</f>
        <v>1</v>
      </c>
      <c r="Y560" s="36">
        <f>IF(DaybyDay[[#This Row],[_Space]],IFERROR(
((DaybyDay[[#This Row],[Actual-Rollup]]-DaybyDay[[#This Row],[LY-Rollup]])/DaybyDay[[#This Row],[LY-Rollup]]),0),"")</f>
        <v>0</v>
      </c>
      <c r="Z560"/>
      <c r="AA560" s="37" t="e">
        <f>IF(DaybyDay[[#This Row],[_Space]],DaybyDay[[#This Row],[Ret-Act-RU]]/DaybyDay[[#This Row],[Serv-Act-RU]],"")</f>
        <v>#DIV/0!</v>
      </c>
      <c r="AB560" s="50" t="e">
        <f>IF(DaybyDay[[#This Row],[_Space]],DaybyDay[[#This Row],[RETPEN-Act]]/DaybyDay[[#This Row],[RETPEN-Bud]],"")</f>
        <v>#DIV/0!</v>
      </c>
      <c r="AC560" s="37" t="e">
        <f>IF(DaybyDay[[#This Row],[_Space]],DaybyDay[[#This Row],[Ret-Bud-RU]]/DaybyDay[[#This Row],[Serv-Bud-RU]],"")</f>
        <v>#DIV/0!</v>
      </c>
      <c r="AD560" s="37" t="e">
        <f>IF(DaybyDay[[#This Row],[_Space]],DaybyDay[[#This Row],[Ret-LY-RU]]/DaybyDay[[#This Row],[Serv-LY-RU]],"")</f>
        <v>#DIV/0!</v>
      </c>
      <c r="AE560" s="30">
        <f>WEEKDAY(DaybyDay[[#This Row],[LY-Date]])</f>
        <v>1</v>
      </c>
      <c r="AF560" s="38">
        <f>$E$2+_xlfn.DAYS(DaybyDay[[#This Row],[Date]],minDate)</f>
        <v>42925</v>
      </c>
      <c r="AG560" s="39" cm="1">
        <f t="array" ref="AG560">IFERROR(INDEX(DaybyDay[],DaybyDay[[#This Row],[FORM_MATCH_HELPER]],8),"")</f>
        <v>25</v>
      </c>
      <c r="AH560" s="39" cm="1">
        <f t="array" ref="AH560">IFERROR(INDEX(DaybyDay[],DaybyDay[[#This Row],[FORM_MATCH_HELPER]],10),"")</f>
        <v>5265.25</v>
      </c>
      <c r="AI560" s="39" cm="1">
        <f t="array" ref="AI560">IFERROR(INDEX(DaybyDay[],DaybyDay[[#This Row],[FORM_MATCH_HELPER]],12),"")</f>
        <v>3215.6</v>
      </c>
      <c r="AJ560" s="32">
        <f>IFERROR(DaybyDay[[#This Row],[Serv-LY-RU]]+DaybyDay[[#This Row],[Ret-LY-RU]],"")</f>
        <v>0</v>
      </c>
      <c r="AK5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0" s="77"/>
      <c r="AM560" s="40" t="str">
        <f>IF(DaybyDay[[#This Row],[Admin Hours]]&gt;0,DaybyDay[[#This Row],[Admin Hours]]*$AM$2+$AM$3,"")</f>
        <v/>
      </c>
      <c r="AN560" s="40">
        <f>SUMIFS(DaybyDay[Est-Admin-Payroll],DaybyDay[Date],"&gt;="&amp;$C$5,DaybyDay[RowYear],"&gt;="&amp;$C$4,DaybyDay[Date],"&lt;="&amp;DaybyDay[[#This Row],[Date]])</f>
        <v>0</v>
      </c>
      <c r="AO560" s="41" t="str">
        <f>IF(AND(DaybyDay[[#This Row],[_Space]],ISNUMBER(DaybyDay[[#This Row],[Admin Hours]])),DaybyDay[[#This Row],[Est-Admin-Payroll]]/(DaybyDay[[#This Row],[Service-Actuals]]+DaybyDay[[#This Row],[Retail-Actuals]]),"")</f>
        <v/>
      </c>
      <c r="AP560" s="41" t="e">
        <f>DaybyDay[[#This Row],[Estimated-Payroll-Rollup]]/DaybyDay[[#This Row],[Simple-Forecast]]</f>
        <v>#DIV/0!</v>
      </c>
      <c r="AQ5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0" s="77"/>
      <c r="AS560" s="40" t="str">
        <f>IF(DaybyDay[[#This Row],[Retail Hours]]&gt;0,DaybyDay[[#This Row],[Retail Hours]]*$AS$2,"")</f>
        <v/>
      </c>
      <c r="AT560" s="40">
        <f>SUMIFS(DaybyDay[Est-Retail-Payroll],DaybyDay[Date],"&gt;="&amp;$C$5,DaybyDay[RowYear],"&gt;="&amp;$C$4,DaybyDay[Date],"&lt;="&amp;DaybyDay[[#This Row],[Date]])</f>
        <v>0</v>
      </c>
      <c r="AU560" s="82" t="str">
        <f>IF(AND(DaybyDay[[#This Row],[_Space]],ISNUMBER(DaybyDay[[#This Row],[Retail Hours]])),DaybyDay[[#This Row],[Est-Retail-Payroll]]/(DaybyDay[[#This Row],[Retail-Actuals]]),"")</f>
        <v/>
      </c>
      <c r="AV560" s="82" t="e">
        <f>DaybyDay[[#This Row],[Est-Retail-PayrollRU]]/DaybyDay[[#This Row],[Simple-Forecast-Retail]]</f>
        <v>#DIV/0!</v>
      </c>
      <c r="AW560" s="8"/>
    </row>
    <row r="561" spans="3:49" hidden="1" x14ac:dyDescent="0.25">
      <c r="C561" s="26" t="str">
        <f>Tools!$C$1</f>
        <v>Example</v>
      </c>
      <c r="D561" s="27" t="s">
        <v>74</v>
      </c>
      <c r="E561" s="28">
        <v>2018</v>
      </c>
      <c r="F561" s="28">
        <f>MATCH(DaybyDay[[#This Row],[RowMonth]],Table3[SummaryMonth],0)</f>
        <v>7</v>
      </c>
      <c r="G561" s="29">
        <f>MATCH(DaybyDay[[#This Row],[LY-Date]],DaybyDay[Date],0)</f>
        <v>191</v>
      </c>
      <c r="H561" s="30">
        <f>WEEKDAY(DaybyDay[[#This Row],[Date]])</f>
        <v>2</v>
      </c>
      <c r="I561" s="31">
        <v>43290</v>
      </c>
      <c r="J561" s="74">
        <v>17</v>
      </c>
      <c r="K561" s="32">
        <f>SUMIFS(BudgetSeasonality[365 Seasonality],BudgetSeasonality[MonthAdjustment],DaybyDay[[#This Row],[Date]])*SUMIFS(Budgets[Service-Budget],Budgets[BudgetMonth],DaybyDay[[#This Row],[RowMonth]],Budgets[BudgetYear],DaybyDay[[#This Row],[RowYear]])</f>
        <v>2798.8352718853166</v>
      </c>
      <c r="L561" s="75">
        <v>3216.7</v>
      </c>
      <c r="M561" s="32">
        <f>INDEX(BudgetSeasonality[365 Seasonality],MATCH(DaybyDay[[#This Row],[Date]],BudgetSeasonality[MonthAdjustment],0))*SUMIFS(Budgets[Retail-Budget],Budgets[BudgetMonth],DaybyDay[[#This Row],[RowMonth]],Budgets[BudgetYear],DaybyDay[[#This Row],[RowYear]])</f>
        <v>781.97620288445182</v>
      </c>
      <c r="N561" s="75">
        <v>2880</v>
      </c>
      <c r="O561" s="33">
        <f>SUMIFS(DaybyDay[Service-Budgets],DaybyDay[Date],"&gt;="&amp;$C$5,DaybyDay[RowYear],"&gt;="&amp;$C$4,DaybyDay[Date],"&lt;="&amp;DaybyDay[[#This Row],[Date]])</f>
        <v>0</v>
      </c>
      <c r="P561" s="33">
        <f>SUMIFS(DaybyDay[Retail-Budgets],DaybyDay[Date],"&gt;="&amp;$C$5,DaybyDay[RowYear],"&gt;="&amp;$C$4,DaybyDay[Date],"&lt;="&amp;DaybyDay[[#This Row],[Date]])</f>
        <v>0</v>
      </c>
      <c r="Q561" s="34">
        <f>SUMIFS(DaybyDay[Service-Actuals],DaybyDay[Date],"&gt;="&amp;$C$5,DaybyDay[RowYear],"&gt;="&amp;$C$4,DaybyDay[Date],"&lt;="&amp;DaybyDay[[#This Row],[Date]])</f>
        <v>0</v>
      </c>
      <c r="R561" s="34">
        <f>SUMIFS(DaybyDay[Retail-Actuals],DaybyDay[Date],"&gt;="&amp;$C$5,DaybyDay[RowYear],"&gt;="&amp;$C$4,DaybyDay[Date],"&lt;="&amp;DaybyDay[[#This Row],[Date]])</f>
        <v>0</v>
      </c>
      <c r="S561" s="35">
        <f>SUMIFS(DaybyDay[Service-LY],DaybyDay[Date],"&gt;="&amp;$C$5,DaybyDay[RowYear],"&gt;="&amp;$C$4,DaybyDay[Date],"&lt;="&amp;DaybyDay[[#This Row],[Date]])</f>
        <v>0</v>
      </c>
      <c r="T561" s="35">
        <f>SUMIFS(DaybyDay[Retail-LY],DaybyDay[Date],"&gt;="&amp;$C$5,DaybyDay[RowYear],"&gt;="&amp;$C$4,DaybyDay[Date],"&lt;="&amp;DaybyDay[[#This Row],[Date]])</f>
        <v>0</v>
      </c>
      <c r="U561" s="32">
        <f>DaybyDay[[#This Row],[Serv-Bud-RU]]+DaybyDay[[#This Row],[Ret-Bud-RU]]</f>
        <v>0</v>
      </c>
      <c r="V561" s="32">
        <f>DaybyDay[[#This Row],[Serv-Act-RU]]+DaybyDay[[#This Row],[Ret-Act-RU]]</f>
        <v>0</v>
      </c>
      <c r="W561" s="36">
        <f>IF(DaybyDay[[#This Row],[_Space]],IFERROR(
((DaybyDay[[#This Row],[Actual-Rollup]]-DaybyDay[[#This Row],[Budget-Rollup]])/DaybyDay[[#This Row],[Budget-Rollup]]),0),"")</f>
        <v>0</v>
      </c>
      <c r="X561" t="b">
        <f>NOT(AND(ISBLANK(DaybyDay[[#This Row],[Appts]]),ISBLANK(DaybyDay[[#This Row],[Service-Actuals]]),ISBLANK(DaybyDay[[#This Row],[Retail-Actuals]])))</f>
        <v>1</v>
      </c>
      <c r="Y561" s="36">
        <f>IF(DaybyDay[[#This Row],[_Space]],IFERROR(
((DaybyDay[[#This Row],[Actual-Rollup]]-DaybyDay[[#This Row],[LY-Rollup]])/DaybyDay[[#This Row],[LY-Rollup]]),0),"")</f>
        <v>0</v>
      </c>
      <c r="Z561"/>
      <c r="AA561" s="37" t="e">
        <f>IF(DaybyDay[[#This Row],[_Space]],DaybyDay[[#This Row],[Ret-Act-RU]]/DaybyDay[[#This Row],[Serv-Act-RU]],"")</f>
        <v>#DIV/0!</v>
      </c>
      <c r="AB561" s="50" t="e">
        <f>IF(DaybyDay[[#This Row],[_Space]],DaybyDay[[#This Row],[RETPEN-Act]]/DaybyDay[[#This Row],[RETPEN-Bud]],"")</f>
        <v>#DIV/0!</v>
      </c>
      <c r="AC561" s="37" t="e">
        <f>IF(DaybyDay[[#This Row],[_Space]],DaybyDay[[#This Row],[Ret-Bud-RU]]/DaybyDay[[#This Row],[Serv-Bud-RU]],"")</f>
        <v>#DIV/0!</v>
      </c>
      <c r="AD561" s="37" t="e">
        <f>IF(DaybyDay[[#This Row],[_Space]],DaybyDay[[#This Row],[Ret-LY-RU]]/DaybyDay[[#This Row],[Serv-LY-RU]],"")</f>
        <v>#DIV/0!</v>
      </c>
      <c r="AE561" s="30">
        <f>WEEKDAY(DaybyDay[[#This Row],[LY-Date]])</f>
        <v>2</v>
      </c>
      <c r="AF561" s="38">
        <f>$E$2+_xlfn.DAYS(DaybyDay[[#This Row],[Date]],minDate)</f>
        <v>42926</v>
      </c>
      <c r="AG561" s="39" cm="1">
        <f t="array" ref="AG561">IFERROR(INDEX(DaybyDay[],DaybyDay[[#This Row],[FORM_MATCH_HELPER]],8),"")</f>
        <v>19</v>
      </c>
      <c r="AH561" s="39" cm="1">
        <f t="array" ref="AH561">IFERROR(INDEX(DaybyDay[],DaybyDay[[#This Row],[FORM_MATCH_HELPER]],10),"")</f>
        <v>4064.2</v>
      </c>
      <c r="AI561" s="39" cm="1">
        <f t="array" ref="AI561">IFERROR(INDEX(DaybyDay[],DaybyDay[[#This Row],[FORM_MATCH_HELPER]],12),"")</f>
        <v>478.5</v>
      </c>
      <c r="AJ561" s="32">
        <f>IFERROR(DaybyDay[[#This Row],[Serv-LY-RU]]+DaybyDay[[#This Row],[Ret-LY-RU]],"")</f>
        <v>0</v>
      </c>
      <c r="AK5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1" s="77"/>
      <c r="AM561" s="40" t="str">
        <f>IF(DaybyDay[[#This Row],[Admin Hours]]&gt;0,DaybyDay[[#This Row],[Admin Hours]]*$AM$2+$AM$3,"")</f>
        <v/>
      </c>
      <c r="AN561" s="40">
        <f>SUMIFS(DaybyDay[Est-Admin-Payroll],DaybyDay[Date],"&gt;="&amp;$C$5,DaybyDay[RowYear],"&gt;="&amp;$C$4,DaybyDay[Date],"&lt;="&amp;DaybyDay[[#This Row],[Date]])</f>
        <v>0</v>
      </c>
      <c r="AO561" s="41" t="str">
        <f>IF(AND(DaybyDay[[#This Row],[_Space]],ISNUMBER(DaybyDay[[#This Row],[Admin Hours]])),DaybyDay[[#This Row],[Est-Admin-Payroll]]/(DaybyDay[[#This Row],[Service-Actuals]]+DaybyDay[[#This Row],[Retail-Actuals]]),"")</f>
        <v/>
      </c>
      <c r="AP561" s="41" t="e">
        <f>DaybyDay[[#This Row],[Estimated-Payroll-Rollup]]/DaybyDay[[#This Row],[Simple-Forecast]]</f>
        <v>#DIV/0!</v>
      </c>
      <c r="AQ5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1" s="77"/>
      <c r="AS561" s="40" t="str">
        <f>IF(DaybyDay[[#This Row],[Retail Hours]]&gt;0,DaybyDay[[#This Row],[Retail Hours]]*$AS$2,"")</f>
        <v/>
      </c>
      <c r="AT561" s="40">
        <f>SUMIFS(DaybyDay[Est-Retail-Payroll],DaybyDay[Date],"&gt;="&amp;$C$5,DaybyDay[RowYear],"&gt;="&amp;$C$4,DaybyDay[Date],"&lt;="&amp;DaybyDay[[#This Row],[Date]])</f>
        <v>0</v>
      </c>
      <c r="AU561" s="82" t="str">
        <f>IF(AND(DaybyDay[[#This Row],[_Space]],ISNUMBER(DaybyDay[[#This Row],[Retail Hours]])),DaybyDay[[#This Row],[Est-Retail-Payroll]]/(DaybyDay[[#This Row],[Retail-Actuals]]),"")</f>
        <v/>
      </c>
      <c r="AV561" s="82" t="e">
        <f>DaybyDay[[#This Row],[Est-Retail-PayrollRU]]/DaybyDay[[#This Row],[Simple-Forecast-Retail]]</f>
        <v>#DIV/0!</v>
      </c>
      <c r="AW561" s="8"/>
    </row>
    <row r="562" spans="3:49" hidden="1" x14ac:dyDescent="0.25">
      <c r="C562" s="26" t="str">
        <f>Tools!$C$1</f>
        <v>Example</v>
      </c>
      <c r="D562" s="27" t="s">
        <v>74</v>
      </c>
      <c r="E562" s="28">
        <v>2018</v>
      </c>
      <c r="F562" s="28">
        <f>MATCH(DaybyDay[[#This Row],[RowMonth]],Table3[SummaryMonth],0)</f>
        <v>7</v>
      </c>
      <c r="G562" s="29">
        <f>MATCH(DaybyDay[[#This Row],[LY-Date]],DaybyDay[Date],0)</f>
        <v>192</v>
      </c>
      <c r="H562" s="30">
        <f>WEEKDAY(DaybyDay[[#This Row],[Date]])</f>
        <v>3</v>
      </c>
      <c r="I562" s="31">
        <v>43291</v>
      </c>
      <c r="J562" s="74">
        <v>17</v>
      </c>
      <c r="K562" s="32">
        <f>SUMIFS(BudgetSeasonality[365 Seasonality],BudgetSeasonality[MonthAdjustment],DaybyDay[[#This Row],[Date]])*SUMIFS(Budgets[Service-Budget],Budgets[BudgetMonth],DaybyDay[[#This Row],[RowMonth]],Budgets[BudgetYear],DaybyDay[[#This Row],[RowYear]])</f>
        <v>2969.8468236742251</v>
      </c>
      <c r="L562" s="75">
        <v>2892.4</v>
      </c>
      <c r="M562" s="32">
        <f>INDEX(BudgetSeasonality[365 Seasonality],MATCH(DaybyDay[[#This Row],[Date]],BudgetSeasonality[MonthAdjustment],0))*SUMIFS(Budgets[Retail-Budget],Budgets[BudgetMonth],DaybyDay[[#This Row],[RowMonth]],Budgets[BudgetYear],DaybyDay[[#This Row],[RowYear]])</f>
        <v>829.75570790233337</v>
      </c>
      <c r="N562" s="75">
        <v>239</v>
      </c>
      <c r="O562" s="33">
        <f>SUMIFS(DaybyDay[Service-Budgets],DaybyDay[Date],"&gt;="&amp;$C$5,DaybyDay[RowYear],"&gt;="&amp;$C$4,DaybyDay[Date],"&lt;="&amp;DaybyDay[[#This Row],[Date]])</f>
        <v>0</v>
      </c>
      <c r="P562" s="33">
        <f>SUMIFS(DaybyDay[Retail-Budgets],DaybyDay[Date],"&gt;="&amp;$C$5,DaybyDay[RowYear],"&gt;="&amp;$C$4,DaybyDay[Date],"&lt;="&amp;DaybyDay[[#This Row],[Date]])</f>
        <v>0</v>
      </c>
      <c r="Q562" s="34">
        <f>SUMIFS(DaybyDay[Service-Actuals],DaybyDay[Date],"&gt;="&amp;$C$5,DaybyDay[RowYear],"&gt;="&amp;$C$4,DaybyDay[Date],"&lt;="&amp;DaybyDay[[#This Row],[Date]])</f>
        <v>0</v>
      </c>
      <c r="R562" s="34">
        <f>SUMIFS(DaybyDay[Retail-Actuals],DaybyDay[Date],"&gt;="&amp;$C$5,DaybyDay[RowYear],"&gt;="&amp;$C$4,DaybyDay[Date],"&lt;="&amp;DaybyDay[[#This Row],[Date]])</f>
        <v>0</v>
      </c>
      <c r="S562" s="35">
        <f>SUMIFS(DaybyDay[Service-LY],DaybyDay[Date],"&gt;="&amp;$C$5,DaybyDay[RowYear],"&gt;="&amp;$C$4,DaybyDay[Date],"&lt;="&amp;DaybyDay[[#This Row],[Date]])</f>
        <v>0</v>
      </c>
      <c r="T562" s="35">
        <f>SUMIFS(DaybyDay[Retail-LY],DaybyDay[Date],"&gt;="&amp;$C$5,DaybyDay[RowYear],"&gt;="&amp;$C$4,DaybyDay[Date],"&lt;="&amp;DaybyDay[[#This Row],[Date]])</f>
        <v>0</v>
      </c>
      <c r="U562" s="32">
        <f>DaybyDay[[#This Row],[Serv-Bud-RU]]+DaybyDay[[#This Row],[Ret-Bud-RU]]</f>
        <v>0</v>
      </c>
      <c r="V562" s="32">
        <f>DaybyDay[[#This Row],[Serv-Act-RU]]+DaybyDay[[#This Row],[Ret-Act-RU]]</f>
        <v>0</v>
      </c>
      <c r="W562" s="36">
        <f>IF(DaybyDay[[#This Row],[_Space]],IFERROR(
((DaybyDay[[#This Row],[Actual-Rollup]]-DaybyDay[[#This Row],[Budget-Rollup]])/DaybyDay[[#This Row],[Budget-Rollup]]),0),"")</f>
        <v>0</v>
      </c>
      <c r="X562" t="b">
        <f>NOT(AND(ISBLANK(DaybyDay[[#This Row],[Appts]]),ISBLANK(DaybyDay[[#This Row],[Service-Actuals]]),ISBLANK(DaybyDay[[#This Row],[Retail-Actuals]])))</f>
        <v>1</v>
      </c>
      <c r="Y562" s="36">
        <f>IF(DaybyDay[[#This Row],[_Space]],IFERROR(
((DaybyDay[[#This Row],[Actual-Rollup]]-DaybyDay[[#This Row],[LY-Rollup]])/DaybyDay[[#This Row],[LY-Rollup]]),0),"")</f>
        <v>0</v>
      </c>
      <c r="Z562"/>
      <c r="AA562" s="37" t="e">
        <f>IF(DaybyDay[[#This Row],[_Space]],DaybyDay[[#This Row],[Ret-Act-RU]]/DaybyDay[[#This Row],[Serv-Act-RU]],"")</f>
        <v>#DIV/0!</v>
      </c>
      <c r="AB562" s="50" t="e">
        <f>IF(DaybyDay[[#This Row],[_Space]],DaybyDay[[#This Row],[RETPEN-Act]]/DaybyDay[[#This Row],[RETPEN-Bud]],"")</f>
        <v>#DIV/0!</v>
      </c>
      <c r="AC562" s="37" t="e">
        <f>IF(DaybyDay[[#This Row],[_Space]],DaybyDay[[#This Row],[Ret-Bud-RU]]/DaybyDay[[#This Row],[Serv-Bud-RU]],"")</f>
        <v>#DIV/0!</v>
      </c>
      <c r="AD562" s="37" t="e">
        <f>IF(DaybyDay[[#This Row],[_Space]],DaybyDay[[#This Row],[Ret-LY-RU]]/DaybyDay[[#This Row],[Serv-LY-RU]],"")</f>
        <v>#DIV/0!</v>
      </c>
      <c r="AE562" s="30">
        <f>WEEKDAY(DaybyDay[[#This Row],[LY-Date]])</f>
        <v>3</v>
      </c>
      <c r="AF562" s="38">
        <f>$E$2+_xlfn.DAYS(DaybyDay[[#This Row],[Date]],minDate)</f>
        <v>42927</v>
      </c>
      <c r="AG562" s="39" cm="1">
        <f t="array" ref="AG562">IFERROR(INDEX(DaybyDay[],DaybyDay[[#This Row],[FORM_MATCH_HELPER]],8),"")</f>
        <v>21</v>
      </c>
      <c r="AH562" s="39" cm="1">
        <f t="array" ref="AH562">IFERROR(INDEX(DaybyDay[],DaybyDay[[#This Row],[FORM_MATCH_HELPER]],10),"")</f>
        <v>3891.18</v>
      </c>
      <c r="AI562" s="39" cm="1">
        <f t="array" ref="AI562">IFERROR(INDEX(DaybyDay[],DaybyDay[[#This Row],[FORM_MATCH_HELPER]],12),"")</f>
        <v>900</v>
      </c>
      <c r="AJ562" s="32">
        <f>IFERROR(DaybyDay[[#This Row],[Serv-LY-RU]]+DaybyDay[[#This Row],[Ret-LY-RU]],"")</f>
        <v>0</v>
      </c>
      <c r="AK5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2" s="77"/>
      <c r="AM562" s="40" t="str">
        <f>IF(DaybyDay[[#This Row],[Admin Hours]]&gt;0,DaybyDay[[#This Row],[Admin Hours]]*$AM$2+$AM$3,"")</f>
        <v/>
      </c>
      <c r="AN562" s="40">
        <f>SUMIFS(DaybyDay[Est-Admin-Payroll],DaybyDay[Date],"&gt;="&amp;$C$5,DaybyDay[RowYear],"&gt;="&amp;$C$4,DaybyDay[Date],"&lt;="&amp;DaybyDay[[#This Row],[Date]])</f>
        <v>0</v>
      </c>
      <c r="AO562" s="41" t="str">
        <f>IF(AND(DaybyDay[[#This Row],[_Space]],ISNUMBER(DaybyDay[[#This Row],[Admin Hours]])),DaybyDay[[#This Row],[Est-Admin-Payroll]]/(DaybyDay[[#This Row],[Service-Actuals]]+DaybyDay[[#This Row],[Retail-Actuals]]),"")</f>
        <v/>
      </c>
      <c r="AP562" s="41" t="e">
        <f>DaybyDay[[#This Row],[Estimated-Payroll-Rollup]]/DaybyDay[[#This Row],[Simple-Forecast]]</f>
        <v>#DIV/0!</v>
      </c>
      <c r="AQ5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2" s="77"/>
      <c r="AS562" s="40" t="str">
        <f>IF(DaybyDay[[#This Row],[Retail Hours]]&gt;0,DaybyDay[[#This Row],[Retail Hours]]*$AS$2,"")</f>
        <v/>
      </c>
      <c r="AT562" s="40">
        <f>SUMIFS(DaybyDay[Est-Retail-Payroll],DaybyDay[Date],"&gt;="&amp;$C$5,DaybyDay[RowYear],"&gt;="&amp;$C$4,DaybyDay[Date],"&lt;="&amp;DaybyDay[[#This Row],[Date]])</f>
        <v>0</v>
      </c>
      <c r="AU562" s="82" t="str">
        <f>IF(AND(DaybyDay[[#This Row],[_Space]],ISNUMBER(DaybyDay[[#This Row],[Retail Hours]])),DaybyDay[[#This Row],[Est-Retail-Payroll]]/(DaybyDay[[#This Row],[Retail-Actuals]]),"")</f>
        <v/>
      </c>
      <c r="AV562" s="82" t="e">
        <f>DaybyDay[[#This Row],[Est-Retail-PayrollRU]]/DaybyDay[[#This Row],[Simple-Forecast-Retail]]</f>
        <v>#DIV/0!</v>
      </c>
      <c r="AW562" s="8"/>
    </row>
    <row r="563" spans="3:49" hidden="1" x14ac:dyDescent="0.25">
      <c r="C563" s="26" t="str">
        <f>Tools!$C$1</f>
        <v>Example</v>
      </c>
      <c r="D563" s="27" t="s">
        <v>74</v>
      </c>
      <c r="E563" s="28">
        <v>2018</v>
      </c>
      <c r="F563" s="28">
        <f>MATCH(DaybyDay[[#This Row],[RowMonth]],Table3[SummaryMonth],0)</f>
        <v>7</v>
      </c>
      <c r="G563" s="29">
        <f>MATCH(DaybyDay[[#This Row],[LY-Date]],DaybyDay[Date],0)</f>
        <v>193</v>
      </c>
      <c r="H563" s="30">
        <f>WEEKDAY(DaybyDay[[#This Row],[Date]])</f>
        <v>4</v>
      </c>
      <c r="I563" s="31">
        <v>43292</v>
      </c>
      <c r="J563" s="74">
        <v>13</v>
      </c>
      <c r="K563" s="32">
        <f>SUMIFS(BudgetSeasonality[365 Seasonality],BudgetSeasonality[MonthAdjustment],DaybyDay[[#This Row],[Date]])*SUMIFS(Budgets[Service-Budget],Budgets[BudgetMonth],DaybyDay[[#This Row],[RowMonth]],Budgets[BudgetYear],DaybyDay[[#This Row],[RowYear]])</f>
        <v>3685.2550001521076</v>
      </c>
      <c r="L563" s="75">
        <v>3276</v>
      </c>
      <c r="M563" s="32">
        <f>INDEX(BudgetSeasonality[365 Seasonality],MATCH(DaybyDay[[#This Row],[Date]],BudgetSeasonality[MonthAdjustment],0))*SUMIFS(Budgets[Retail-Budget],Budgets[BudgetMonth],DaybyDay[[#This Row],[RowMonth]],Budgets[BudgetYear],DaybyDay[[#This Row],[RowYear]])</f>
        <v>1029.63605633664</v>
      </c>
      <c r="N563" s="75">
        <v>1515.9</v>
      </c>
      <c r="O563" s="33">
        <f>SUMIFS(DaybyDay[Service-Budgets],DaybyDay[Date],"&gt;="&amp;$C$5,DaybyDay[RowYear],"&gt;="&amp;$C$4,DaybyDay[Date],"&lt;="&amp;DaybyDay[[#This Row],[Date]])</f>
        <v>0</v>
      </c>
      <c r="P563" s="33">
        <f>SUMIFS(DaybyDay[Retail-Budgets],DaybyDay[Date],"&gt;="&amp;$C$5,DaybyDay[RowYear],"&gt;="&amp;$C$4,DaybyDay[Date],"&lt;="&amp;DaybyDay[[#This Row],[Date]])</f>
        <v>0</v>
      </c>
      <c r="Q563" s="34">
        <f>SUMIFS(DaybyDay[Service-Actuals],DaybyDay[Date],"&gt;="&amp;$C$5,DaybyDay[RowYear],"&gt;="&amp;$C$4,DaybyDay[Date],"&lt;="&amp;DaybyDay[[#This Row],[Date]])</f>
        <v>0</v>
      </c>
      <c r="R563" s="34">
        <f>SUMIFS(DaybyDay[Retail-Actuals],DaybyDay[Date],"&gt;="&amp;$C$5,DaybyDay[RowYear],"&gt;="&amp;$C$4,DaybyDay[Date],"&lt;="&amp;DaybyDay[[#This Row],[Date]])</f>
        <v>0</v>
      </c>
      <c r="S563" s="35">
        <f>SUMIFS(DaybyDay[Service-LY],DaybyDay[Date],"&gt;="&amp;$C$5,DaybyDay[RowYear],"&gt;="&amp;$C$4,DaybyDay[Date],"&lt;="&amp;DaybyDay[[#This Row],[Date]])</f>
        <v>0</v>
      </c>
      <c r="T563" s="35">
        <f>SUMIFS(DaybyDay[Retail-LY],DaybyDay[Date],"&gt;="&amp;$C$5,DaybyDay[RowYear],"&gt;="&amp;$C$4,DaybyDay[Date],"&lt;="&amp;DaybyDay[[#This Row],[Date]])</f>
        <v>0</v>
      </c>
      <c r="U563" s="32">
        <f>DaybyDay[[#This Row],[Serv-Bud-RU]]+DaybyDay[[#This Row],[Ret-Bud-RU]]</f>
        <v>0</v>
      </c>
      <c r="V563" s="32">
        <f>DaybyDay[[#This Row],[Serv-Act-RU]]+DaybyDay[[#This Row],[Ret-Act-RU]]</f>
        <v>0</v>
      </c>
      <c r="W563" s="36">
        <f>IF(DaybyDay[[#This Row],[_Space]],IFERROR(
((DaybyDay[[#This Row],[Actual-Rollup]]-DaybyDay[[#This Row],[Budget-Rollup]])/DaybyDay[[#This Row],[Budget-Rollup]]),0),"")</f>
        <v>0</v>
      </c>
      <c r="X563" t="b">
        <f>NOT(AND(ISBLANK(DaybyDay[[#This Row],[Appts]]),ISBLANK(DaybyDay[[#This Row],[Service-Actuals]]),ISBLANK(DaybyDay[[#This Row],[Retail-Actuals]])))</f>
        <v>1</v>
      </c>
      <c r="Y563" s="36">
        <f>IF(DaybyDay[[#This Row],[_Space]],IFERROR(
((DaybyDay[[#This Row],[Actual-Rollup]]-DaybyDay[[#This Row],[LY-Rollup]])/DaybyDay[[#This Row],[LY-Rollup]]),0),"")</f>
        <v>0</v>
      </c>
      <c r="Z563"/>
      <c r="AA563" s="37" t="e">
        <f>IF(DaybyDay[[#This Row],[_Space]],DaybyDay[[#This Row],[Ret-Act-RU]]/DaybyDay[[#This Row],[Serv-Act-RU]],"")</f>
        <v>#DIV/0!</v>
      </c>
      <c r="AB563" s="50" t="e">
        <f>IF(DaybyDay[[#This Row],[_Space]],DaybyDay[[#This Row],[RETPEN-Act]]/DaybyDay[[#This Row],[RETPEN-Bud]],"")</f>
        <v>#DIV/0!</v>
      </c>
      <c r="AC563" s="37" t="e">
        <f>IF(DaybyDay[[#This Row],[_Space]],DaybyDay[[#This Row],[Ret-Bud-RU]]/DaybyDay[[#This Row],[Serv-Bud-RU]],"")</f>
        <v>#DIV/0!</v>
      </c>
      <c r="AD563" s="37" t="e">
        <f>IF(DaybyDay[[#This Row],[_Space]],DaybyDay[[#This Row],[Ret-LY-RU]]/DaybyDay[[#This Row],[Serv-LY-RU]],"")</f>
        <v>#DIV/0!</v>
      </c>
      <c r="AE563" s="30">
        <f>WEEKDAY(DaybyDay[[#This Row],[LY-Date]])</f>
        <v>4</v>
      </c>
      <c r="AF563" s="38">
        <f>$E$2+_xlfn.DAYS(DaybyDay[[#This Row],[Date]],minDate)</f>
        <v>42928</v>
      </c>
      <c r="AG563" s="39" cm="1">
        <f t="array" ref="AG563">IFERROR(INDEX(DaybyDay[],DaybyDay[[#This Row],[FORM_MATCH_HELPER]],8),"")</f>
        <v>16</v>
      </c>
      <c r="AH563" s="39" cm="1">
        <f t="array" ref="AH563">IFERROR(INDEX(DaybyDay[],DaybyDay[[#This Row],[FORM_MATCH_HELPER]],10),"")</f>
        <v>2767.9</v>
      </c>
      <c r="AI563" s="39" cm="1">
        <f t="array" ref="AI563">IFERROR(INDEX(DaybyDay[],DaybyDay[[#This Row],[FORM_MATCH_HELPER]],12),"")</f>
        <v>250</v>
      </c>
      <c r="AJ563" s="32">
        <f>IFERROR(DaybyDay[[#This Row],[Serv-LY-RU]]+DaybyDay[[#This Row],[Ret-LY-RU]],"")</f>
        <v>0</v>
      </c>
      <c r="AK5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3" s="77"/>
      <c r="AM563" s="40" t="str">
        <f>IF(DaybyDay[[#This Row],[Admin Hours]]&gt;0,DaybyDay[[#This Row],[Admin Hours]]*$AM$2+$AM$3,"")</f>
        <v/>
      </c>
      <c r="AN563" s="40">
        <f>SUMIFS(DaybyDay[Est-Admin-Payroll],DaybyDay[Date],"&gt;="&amp;$C$5,DaybyDay[RowYear],"&gt;="&amp;$C$4,DaybyDay[Date],"&lt;="&amp;DaybyDay[[#This Row],[Date]])</f>
        <v>0</v>
      </c>
      <c r="AO563" s="41" t="str">
        <f>IF(AND(DaybyDay[[#This Row],[_Space]],ISNUMBER(DaybyDay[[#This Row],[Admin Hours]])),DaybyDay[[#This Row],[Est-Admin-Payroll]]/(DaybyDay[[#This Row],[Service-Actuals]]+DaybyDay[[#This Row],[Retail-Actuals]]),"")</f>
        <v/>
      </c>
      <c r="AP563" s="41" t="e">
        <f>DaybyDay[[#This Row],[Estimated-Payroll-Rollup]]/DaybyDay[[#This Row],[Simple-Forecast]]</f>
        <v>#DIV/0!</v>
      </c>
      <c r="AQ5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3" s="77"/>
      <c r="AS563" s="40" t="str">
        <f>IF(DaybyDay[[#This Row],[Retail Hours]]&gt;0,DaybyDay[[#This Row],[Retail Hours]]*$AS$2,"")</f>
        <v/>
      </c>
      <c r="AT563" s="40">
        <f>SUMIFS(DaybyDay[Est-Retail-Payroll],DaybyDay[Date],"&gt;="&amp;$C$5,DaybyDay[RowYear],"&gt;="&amp;$C$4,DaybyDay[Date],"&lt;="&amp;DaybyDay[[#This Row],[Date]])</f>
        <v>0</v>
      </c>
      <c r="AU563" s="82" t="str">
        <f>IF(AND(DaybyDay[[#This Row],[_Space]],ISNUMBER(DaybyDay[[#This Row],[Retail Hours]])),DaybyDay[[#This Row],[Est-Retail-Payroll]]/(DaybyDay[[#This Row],[Retail-Actuals]]),"")</f>
        <v/>
      </c>
      <c r="AV563" s="82" t="e">
        <f>DaybyDay[[#This Row],[Est-Retail-PayrollRU]]/DaybyDay[[#This Row],[Simple-Forecast-Retail]]</f>
        <v>#DIV/0!</v>
      </c>
      <c r="AW563" s="8"/>
    </row>
    <row r="564" spans="3:49" hidden="1" x14ac:dyDescent="0.25">
      <c r="C564" s="26" t="str">
        <f>Tools!$C$1</f>
        <v>Example</v>
      </c>
      <c r="D564" s="27" t="s">
        <v>74</v>
      </c>
      <c r="E564" s="28">
        <v>2018</v>
      </c>
      <c r="F564" s="28">
        <f>MATCH(DaybyDay[[#This Row],[RowMonth]],Table3[SummaryMonth],0)</f>
        <v>7</v>
      </c>
      <c r="G564" s="29">
        <f>MATCH(DaybyDay[[#This Row],[LY-Date]],DaybyDay[Date],0)</f>
        <v>194</v>
      </c>
      <c r="H564" s="30">
        <f>WEEKDAY(DaybyDay[[#This Row],[Date]])</f>
        <v>5</v>
      </c>
      <c r="I564" s="31">
        <v>43293</v>
      </c>
      <c r="J564" s="74">
        <v>18</v>
      </c>
      <c r="K564" s="32">
        <f>SUMIFS(BudgetSeasonality[365 Seasonality],BudgetSeasonality[MonthAdjustment],DaybyDay[[#This Row],[Date]])*SUMIFS(Budgets[Service-Budget],Budgets[BudgetMonth],DaybyDay[[#This Row],[RowMonth]],Budgets[BudgetYear],DaybyDay[[#This Row],[RowYear]])</f>
        <v>3868.5830574689589</v>
      </c>
      <c r="L564" s="75">
        <v>3812.6</v>
      </c>
      <c r="M564" s="32">
        <f>INDEX(BudgetSeasonality[365 Seasonality],MATCH(DaybyDay[[#This Row],[Date]],BudgetSeasonality[MonthAdjustment],0))*SUMIFS(Budgets[Retail-Budget],Budgets[BudgetMonth],DaybyDay[[#This Row],[RowMonth]],Budgets[BudgetYear],DaybyDay[[#This Row],[RowYear]])</f>
        <v>1080.8567121511735</v>
      </c>
      <c r="N564" s="75">
        <v>0</v>
      </c>
      <c r="O564" s="33">
        <f>SUMIFS(DaybyDay[Service-Budgets],DaybyDay[Date],"&gt;="&amp;$C$5,DaybyDay[RowYear],"&gt;="&amp;$C$4,DaybyDay[Date],"&lt;="&amp;DaybyDay[[#This Row],[Date]])</f>
        <v>0</v>
      </c>
      <c r="P564" s="33">
        <f>SUMIFS(DaybyDay[Retail-Budgets],DaybyDay[Date],"&gt;="&amp;$C$5,DaybyDay[RowYear],"&gt;="&amp;$C$4,DaybyDay[Date],"&lt;="&amp;DaybyDay[[#This Row],[Date]])</f>
        <v>0</v>
      </c>
      <c r="Q564" s="34">
        <f>SUMIFS(DaybyDay[Service-Actuals],DaybyDay[Date],"&gt;="&amp;$C$5,DaybyDay[RowYear],"&gt;="&amp;$C$4,DaybyDay[Date],"&lt;="&amp;DaybyDay[[#This Row],[Date]])</f>
        <v>0</v>
      </c>
      <c r="R564" s="34">
        <f>SUMIFS(DaybyDay[Retail-Actuals],DaybyDay[Date],"&gt;="&amp;$C$5,DaybyDay[RowYear],"&gt;="&amp;$C$4,DaybyDay[Date],"&lt;="&amp;DaybyDay[[#This Row],[Date]])</f>
        <v>0</v>
      </c>
      <c r="S564" s="35">
        <f>SUMIFS(DaybyDay[Service-LY],DaybyDay[Date],"&gt;="&amp;$C$5,DaybyDay[RowYear],"&gt;="&amp;$C$4,DaybyDay[Date],"&lt;="&amp;DaybyDay[[#This Row],[Date]])</f>
        <v>0</v>
      </c>
      <c r="T564" s="35">
        <f>SUMIFS(DaybyDay[Retail-LY],DaybyDay[Date],"&gt;="&amp;$C$5,DaybyDay[RowYear],"&gt;="&amp;$C$4,DaybyDay[Date],"&lt;="&amp;DaybyDay[[#This Row],[Date]])</f>
        <v>0</v>
      </c>
      <c r="U564" s="32">
        <f>DaybyDay[[#This Row],[Serv-Bud-RU]]+DaybyDay[[#This Row],[Ret-Bud-RU]]</f>
        <v>0</v>
      </c>
      <c r="V564" s="32">
        <f>DaybyDay[[#This Row],[Serv-Act-RU]]+DaybyDay[[#This Row],[Ret-Act-RU]]</f>
        <v>0</v>
      </c>
      <c r="W564" s="36">
        <f>IF(DaybyDay[[#This Row],[_Space]],IFERROR(
((DaybyDay[[#This Row],[Actual-Rollup]]-DaybyDay[[#This Row],[Budget-Rollup]])/DaybyDay[[#This Row],[Budget-Rollup]]),0),"")</f>
        <v>0</v>
      </c>
      <c r="X564" t="b">
        <f>NOT(AND(ISBLANK(DaybyDay[[#This Row],[Appts]]),ISBLANK(DaybyDay[[#This Row],[Service-Actuals]]),ISBLANK(DaybyDay[[#This Row],[Retail-Actuals]])))</f>
        <v>1</v>
      </c>
      <c r="Y564" s="36">
        <f>IF(DaybyDay[[#This Row],[_Space]],IFERROR(
((DaybyDay[[#This Row],[Actual-Rollup]]-DaybyDay[[#This Row],[LY-Rollup]])/DaybyDay[[#This Row],[LY-Rollup]]),0),"")</f>
        <v>0</v>
      </c>
      <c r="Z564"/>
      <c r="AA564" s="37" t="e">
        <f>IF(DaybyDay[[#This Row],[_Space]],DaybyDay[[#This Row],[Ret-Act-RU]]/DaybyDay[[#This Row],[Serv-Act-RU]],"")</f>
        <v>#DIV/0!</v>
      </c>
      <c r="AB564" s="50" t="e">
        <f>IF(DaybyDay[[#This Row],[_Space]],DaybyDay[[#This Row],[RETPEN-Act]]/DaybyDay[[#This Row],[RETPEN-Bud]],"")</f>
        <v>#DIV/0!</v>
      </c>
      <c r="AC564" s="37" t="e">
        <f>IF(DaybyDay[[#This Row],[_Space]],DaybyDay[[#This Row],[Ret-Bud-RU]]/DaybyDay[[#This Row],[Serv-Bud-RU]],"")</f>
        <v>#DIV/0!</v>
      </c>
      <c r="AD564" s="37" t="e">
        <f>IF(DaybyDay[[#This Row],[_Space]],DaybyDay[[#This Row],[Ret-LY-RU]]/DaybyDay[[#This Row],[Serv-LY-RU]],"")</f>
        <v>#DIV/0!</v>
      </c>
      <c r="AE564" s="30">
        <f>WEEKDAY(DaybyDay[[#This Row],[LY-Date]])</f>
        <v>5</v>
      </c>
      <c r="AF564" s="38">
        <f>$E$2+_xlfn.DAYS(DaybyDay[[#This Row],[Date]],minDate)</f>
        <v>42929</v>
      </c>
      <c r="AG564" s="39" cm="1">
        <f t="array" ref="AG564">IFERROR(INDEX(DaybyDay[],DaybyDay[[#This Row],[FORM_MATCH_HELPER]],8),"")</f>
        <v>16</v>
      </c>
      <c r="AH564" s="39" cm="1">
        <f t="array" ref="AH564">IFERROR(INDEX(DaybyDay[],DaybyDay[[#This Row],[FORM_MATCH_HELPER]],10),"")</f>
        <v>3103.6</v>
      </c>
      <c r="AI564" s="39" cm="1">
        <f t="array" ref="AI564">IFERROR(INDEX(DaybyDay[],DaybyDay[[#This Row],[FORM_MATCH_HELPER]],12),"")</f>
        <v>3271</v>
      </c>
      <c r="AJ564" s="32">
        <f>IFERROR(DaybyDay[[#This Row],[Serv-LY-RU]]+DaybyDay[[#This Row],[Ret-LY-RU]],"")</f>
        <v>0</v>
      </c>
      <c r="AK5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4" s="77"/>
      <c r="AM564" s="40" t="str">
        <f>IF(DaybyDay[[#This Row],[Admin Hours]]&gt;0,DaybyDay[[#This Row],[Admin Hours]]*$AM$2+$AM$3,"")</f>
        <v/>
      </c>
      <c r="AN564" s="40">
        <f>SUMIFS(DaybyDay[Est-Admin-Payroll],DaybyDay[Date],"&gt;="&amp;$C$5,DaybyDay[RowYear],"&gt;="&amp;$C$4,DaybyDay[Date],"&lt;="&amp;DaybyDay[[#This Row],[Date]])</f>
        <v>0</v>
      </c>
      <c r="AO564" s="41" t="str">
        <f>IF(AND(DaybyDay[[#This Row],[_Space]],ISNUMBER(DaybyDay[[#This Row],[Admin Hours]])),DaybyDay[[#This Row],[Est-Admin-Payroll]]/(DaybyDay[[#This Row],[Service-Actuals]]+DaybyDay[[#This Row],[Retail-Actuals]]),"")</f>
        <v/>
      </c>
      <c r="AP564" s="41" t="e">
        <f>DaybyDay[[#This Row],[Estimated-Payroll-Rollup]]/DaybyDay[[#This Row],[Simple-Forecast]]</f>
        <v>#DIV/0!</v>
      </c>
      <c r="AQ5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4" s="77"/>
      <c r="AS564" s="40" t="str">
        <f>IF(DaybyDay[[#This Row],[Retail Hours]]&gt;0,DaybyDay[[#This Row],[Retail Hours]]*$AS$2,"")</f>
        <v/>
      </c>
      <c r="AT564" s="40">
        <f>SUMIFS(DaybyDay[Est-Retail-Payroll],DaybyDay[Date],"&gt;="&amp;$C$5,DaybyDay[RowYear],"&gt;="&amp;$C$4,DaybyDay[Date],"&lt;="&amp;DaybyDay[[#This Row],[Date]])</f>
        <v>0</v>
      </c>
      <c r="AU564" s="82" t="str">
        <f>IF(AND(DaybyDay[[#This Row],[_Space]],ISNUMBER(DaybyDay[[#This Row],[Retail Hours]])),DaybyDay[[#This Row],[Est-Retail-Payroll]]/(DaybyDay[[#This Row],[Retail-Actuals]]),"")</f>
        <v/>
      </c>
      <c r="AV564" s="82" t="e">
        <f>DaybyDay[[#This Row],[Est-Retail-PayrollRU]]/DaybyDay[[#This Row],[Simple-Forecast-Retail]]</f>
        <v>#DIV/0!</v>
      </c>
      <c r="AW564" s="8"/>
    </row>
    <row r="565" spans="3:49" hidden="1" x14ac:dyDescent="0.25">
      <c r="C565" s="26" t="str">
        <f>Tools!$C$1</f>
        <v>Example</v>
      </c>
      <c r="D565" s="27" t="s">
        <v>74</v>
      </c>
      <c r="E565" s="28">
        <v>2018</v>
      </c>
      <c r="F565" s="28">
        <f>MATCH(DaybyDay[[#This Row],[RowMonth]],Table3[SummaryMonth],0)</f>
        <v>7</v>
      </c>
      <c r="G565" s="29">
        <f>MATCH(DaybyDay[[#This Row],[LY-Date]],DaybyDay[Date],0)</f>
        <v>195</v>
      </c>
      <c r="H565" s="30">
        <f>WEEKDAY(DaybyDay[[#This Row],[Date]])</f>
        <v>6</v>
      </c>
      <c r="I565" s="31">
        <v>43294</v>
      </c>
      <c r="J565" s="74">
        <v>21</v>
      </c>
      <c r="K565" s="32">
        <f>SUMIFS(BudgetSeasonality[365 Seasonality],BudgetSeasonality[MonthAdjustment],DaybyDay[[#This Row],[Date]])*SUMIFS(Budgets[Service-Budget],Budgets[BudgetMonth],DaybyDay[[#This Row],[RowMonth]],Budgets[BudgetYear],DaybyDay[[#This Row],[RowYear]])</f>
        <v>5185.1138824339741</v>
      </c>
      <c r="L565" s="75">
        <v>4842.1000000000004</v>
      </c>
      <c r="M565" s="32">
        <f>INDEX(BudgetSeasonality[365 Seasonality],MATCH(DaybyDay[[#This Row],[Date]],BudgetSeasonality[MonthAdjustment],0))*SUMIFS(Budgets[Retail-Budget],Budgets[BudgetMonth],DaybyDay[[#This Row],[RowMonth]],Budgets[BudgetYear],DaybyDay[[#This Row],[RowYear]])</f>
        <v>1448.6867826908381</v>
      </c>
      <c r="N565" s="75">
        <v>229.9</v>
      </c>
      <c r="O565" s="33">
        <f>SUMIFS(DaybyDay[Service-Budgets],DaybyDay[Date],"&gt;="&amp;$C$5,DaybyDay[RowYear],"&gt;="&amp;$C$4,DaybyDay[Date],"&lt;="&amp;DaybyDay[[#This Row],[Date]])</f>
        <v>0</v>
      </c>
      <c r="P565" s="33">
        <f>SUMIFS(DaybyDay[Retail-Budgets],DaybyDay[Date],"&gt;="&amp;$C$5,DaybyDay[RowYear],"&gt;="&amp;$C$4,DaybyDay[Date],"&lt;="&amp;DaybyDay[[#This Row],[Date]])</f>
        <v>0</v>
      </c>
      <c r="Q565" s="34">
        <f>SUMIFS(DaybyDay[Service-Actuals],DaybyDay[Date],"&gt;="&amp;$C$5,DaybyDay[RowYear],"&gt;="&amp;$C$4,DaybyDay[Date],"&lt;="&amp;DaybyDay[[#This Row],[Date]])</f>
        <v>0</v>
      </c>
      <c r="R565" s="34">
        <f>SUMIFS(DaybyDay[Retail-Actuals],DaybyDay[Date],"&gt;="&amp;$C$5,DaybyDay[RowYear],"&gt;="&amp;$C$4,DaybyDay[Date],"&lt;="&amp;DaybyDay[[#This Row],[Date]])</f>
        <v>0</v>
      </c>
      <c r="S565" s="35">
        <f>SUMIFS(DaybyDay[Service-LY],DaybyDay[Date],"&gt;="&amp;$C$5,DaybyDay[RowYear],"&gt;="&amp;$C$4,DaybyDay[Date],"&lt;="&amp;DaybyDay[[#This Row],[Date]])</f>
        <v>0</v>
      </c>
      <c r="T565" s="35">
        <f>SUMIFS(DaybyDay[Retail-LY],DaybyDay[Date],"&gt;="&amp;$C$5,DaybyDay[RowYear],"&gt;="&amp;$C$4,DaybyDay[Date],"&lt;="&amp;DaybyDay[[#This Row],[Date]])</f>
        <v>0</v>
      </c>
      <c r="U565" s="32">
        <f>DaybyDay[[#This Row],[Serv-Bud-RU]]+DaybyDay[[#This Row],[Ret-Bud-RU]]</f>
        <v>0</v>
      </c>
      <c r="V565" s="32">
        <f>DaybyDay[[#This Row],[Serv-Act-RU]]+DaybyDay[[#This Row],[Ret-Act-RU]]</f>
        <v>0</v>
      </c>
      <c r="W565" s="36">
        <f>IF(DaybyDay[[#This Row],[_Space]],IFERROR(
((DaybyDay[[#This Row],[Actual-Rollup]]-DaybyDay[[#This Row],[Budget-Rollup]])/DaybyDay[[#This Row],[Budget-Rollup]]),0),"")</f>
        <v>0</v>
      </c>
      <c r="X565" t="b">
        <f>NOT(AND(ISBLANK(DaybyDay[[#This Row],[Appts]]),ISBLANK(DaybyDay[[#This Row],[Service-Actuals]]),ISBLANK(DaybyDay[[#This Row],[Retail-Actuals]])))</f>
        <v>1</v>
      </c>
      <c r="Y565" s="36">
        <f>IF(DaybyDay[[#This Row],[_Space]],IFERROR(
((DaybyDay[[#This Row],[Actual-Rollup]]-DaybyDay[[#This Row],[LY-Rollup]])/DaybyDay[[#This Row],[LY-Rollup]]),0),"")</f>
        <v>0</v>
      </c>
      <c r="Z565"/>
      <c r="AA565" s="37" t="e">
        <f>IF(DaybyDay[[#This Row],[_Space]],DaybyDay[[#This Row],[Ret-Act-RU]]/DaybyDay[[#This Row],[Serv-Act-RU]],"")</f>
        <v>#DIV/0!</v>
      </c>
      <c r="AB565" s="50" t="e">
        <f>IF(DaybyDay[[#This Row],[_Space]],DaybyDay[[#This Row],[RETPEN-Act]]/DaybyDay[[#This Row],[RETPEN-Bud]],"")</f>
        <v>#DIV/0!</v>
      </c>
      <c r="AC565" s="37" t="e">
        <f>IF(DaybyDay[[#This Row],[_Space]],DaybyDay[[#This Row],[Ret-Bud-RU]]/DaybyDay[[#This Row],[Serv-Bud-RU]],"")</f>
        <v>#DIV/0!</v>
      </c>
      <c r="AD565" s="37" t="e">
        <f>IF(DaybyDay[[#This Row],[_Space]],DaybyDay[[#This Row],[Ret-LY-RU]]/DaybyDay[[#This Row],[Serv-LY-RU]],"")</f>
        <v>#DIV/0!</v>
      </c>
      <c r="AE565" s="30">
        <f>WEEKDAY(DaybyDay[[#This Row],[LY-Date]])</f>
        <v>6</v>
      </c>
      <c r="AF565" s="38">
        <f>$E$2+_xlfn.DAYS(DaybyDay[[#This Row],[Date]],minDate)</f>
        <v>42930</v>
      </c>
      <c r="AG565" s="39" cm="1">
        <f t="array" ref="AG565">IFERROR(INDEX(DaybyDay[],DaybyDay[[#This Row],[FORM_MATCH_HELPER]],8),"")</f>
        <v>24</v>
      </c>
      <c r="AH565" s="39" cm="1">
        <f t="array" ref="AH565">IFERROR(INDEX(DaybyDay[],DaybyDay[[#This Row],[FORM_MATCH_HELPER]],10),"")</f>
        <v>4423.28</v>
      </c>
      <c r="AI565" s="39" cm="1">
        <f t="array" ref="AI565">IFERROR(INDEX(DaybyDay[],DaybyDay[[#This Row],[FORM_MATCH_HELPER]],12),"")</f>
        <v>1925.2</v>
      </c>
      <c r="AJ565" s="32">
        <f>IFERROR(DaybyDay[[#This Row],[Serv-LY-RU]]+DaybyDay[[#This Row],[Ret-LY-RU]],"")</f>
        <v>0</v>
      </c>
      <c r="AK5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5" s="77"/>
      <c r="AM565" s="40" t="str">
        <f>IF(DaybyDay[[#This Row],[Admin Hours]]&gt;0,DaybyDay[[#This Row],[Admin Hours]]*$AM$2+$AM$3,"")</f>
        <v/>
      </c>
      <c r="AN565" s="40">
        <f>SUMIFS(DaybyDay[Est-Admin-Payroll],DaybyDay[Date],"&gt;="&amp;$C$5,DaybyDay[RowYear],"&gt;="&amp;$C$4,DaybyDay[Date],"&lt;="&amp;DaybyDay[[#This Row],[Date]])</f>
        <v>0</v>
      </c>
      <c r="AO565" s="41" t="str">
        <f>IF(AND(DaybyDay[[#This Row],[_Space]],ISNUMBER(DaybyDay[[#This Row],[Admin Hours]])),DaybyDay[[#This Row],[Est-Admin-Payroll]]/(DaybyDay[[#This Row],[Service-Actuals]]+DaybyDay[[#This Row],[Retail-Actuals]]),"")</f>
        <v/>
      </c>
      <c r="AP565" s="41" t="e">
        <f>DaybyDay[[#This Row],[Estimated-Payroll-Rollup]]/DaybyDay[[#This Row],[Simple-Forecast]]</f>
        <v>#DIV/0!</v>
      </c>
      <c r="AQ5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5" s="77"/>
      <c r="AS565" s="40" t="str">
        <f>IF(DaybyDay[[#This Row],[Retail Hours]]&gt;0,DaybyDay[[#This Row],[Retail Hours]]*$AS$2,"")</f>
        <v/>
      </c>
      <c r="AT565" s="40">
        <f>SUMIFS(DaybyDay[Est-Retail-Payroll],DaybyDay[Date],"&gt;="&amp;$C$5,DaybyDay[RowYear],"&gt;="&amp;$C$4,DaybyDay[Date],"&lt;="&amp;DaybyDay[[#This Row],[Date]])</f>
        <v>0</v>
      </c>
      <c r="AU565" s="82" t="str">
        <f>IF(AND(DaybyDay[[#This Row],[_Space]],ISNUMBER(DaybyDay[[#This Row],[Retail Hours]])),DaybyDay[[#This Row],[Est-Retail-Payroll]]/(DaybyDay[[#This Row],[Retail-Actuals]]),"")</f>
        <v/>
      </c>
      <c r="AV565" s="82" t="e">
        <f>DaybyDay[[#This Row],[Est-Retail-PayrollRU]]/DaybyDay[[#This Row],[Simple-Forecast-Retail]]</f>
        <v>#DIV/0!</v>
      </c>
      <c r="AW565" s="8"/>
    </row>
    <row r="566" spans="3:49" hidden="1" x14ac:dyDescent="0.25">
      <c r="C566" s="26" t="str">
        <f>Tools!$C$1</f>
        <v>Example</v>
      </c>
      <c r="D566" s="27" t="s">
        <v>74</v>
      </c>
      <c r="E566" s="28">
        <v>2018</v>
      </c>
      <c r="F566" s="28">
        <f>MATCH(DaybyDay[[#This Row],[RowMonth]],Table3[SummaryMonth],0)</f>
        <v>7</v>
      </c>
      <c r="G566" s="29">
        <f>MATCH(DaybyDay[[#This Row],[LY-Date]],DaybyDay[Date],0)</f>
        <v>196</v>
      </c>
      <c r="H566" s="30">
        <f>WEEKDAY(DaybyDay[[#This Row],[Date]])</f>
        <v>7</v>
      </c>
      <c r="I566" s="31">
        <v>43295</v>
      </c>
      <c r="J566" s="74">
        <v>21</v>
      </c>
      <c r="K566" s="32">
        <f>SUMIFS(BudgetSeasonality[365 Seasonality],BudgetSeasonality[MonthAdjustment],DaybyDay[[#This Row],[Date]])*SUMIFS(Budgets[Service-Budget],Budgets[BudgetMonth],DaybyDay[[#This Row],[RowMonth]],Budgets[BudgetYear],DaybyDay[[#This Row],[RowYear]])</f>
        <v>7922.8654993007649</v>
      </c>
      <c r="L566" s="75">
        <v>4223</v>
      </c>
      <c r="M566" s="32">
        <f>INDEX(BudgetSeasonality[365 Seasonality],MATCH(DaybyDay[[#This Row],[Date]],BudgetSeasonality[MonthAdjustment],0))*SUMIFS(Budgets[Retail-Budget],Budgets[BudgetMonth],DaybyDay[[#This Row],[RowMonth]],Budgets[BudgetYear],DaybyDay[[#This Row],[RowYear]])</f>
        <v>2213.5966133276961</v>
      </c>
      <c r="N566" s="75">
        <v>400</v>
      </c>
      <c r="O566" s="33">
        <f>SUMIFS(DaybyDay[Service-Budgets],DaybyDay[Date],"&gt;="&amp;$C$5,DaybyDay[RowYear],"&gt;="&amp;$C$4,DaybyDay[Date],"&lt;="&amp;DaybyDay[[#This Row],[Date]])</f>
        <v>0</v>
      </c>
      <c r="P566" s="33">
        <f>SUMIFS(DaybyDay[Retail-Budgets],DaybyDay[Date],"&gt;="&amp;$C$5,DaybyDay[RowYear],"&gt;="&amp;$C$4,DaybyDay[Date],"&lt;="&amp;DaybyDay[[#This Row],[Date]])</f>
        <v>0</v>
      </c>
      <c r="Q566" s="34">
        <f>SUMIFS(DaybyDay[Service-Actuals],DaybyDay[Date],"&gt;="&amp;$C$5,DaybyDay[RowYear],"&gt;="&amp;$C$4,DaybyDay[Date],"&lt;="&amp;DaybyDay[[#This Row],[Date]])</f>
        <v>0</v>
      </c>
      <c r="R566" s="34">
        <f>SUMIFS(DaybyDay[Retail-Actuals],DaybyDay[Date],"&gt;="&amp;$C$5,DaybyDay[RowYear],"&gt;="&amp;$C$4,DaybyDay[Date],"&lt;="&amp;DaybyDay[[#This Row],[Date]])</f>
        <v>0</v>
      </c>
      <c r="S566" s="35">
        <f>SUMIFS(DaybyDay[Service-LY],DaybyDay[Date],"&gt;="&amp;$C$5,DaybyDay[RowYear],"&gt;="&amp;$C$4,DaybyDay[Date],"&lt;="&amp;DaybyDay[[#This Row],[Date]])</f>
        <v>0</v>
      </c>
      <c r="T566" s="35">
        <f>SUMIFS(DaybyDay[Retail-LY],DaybyDay[Date],"&gt;="&amp;$C$5,DaybyDay[RowYear],"&gt;="&amp;$C$4,DaybyDay[Date],"&lt;="&amp;DaybyDay[[#This Row],[Date]])</f>
        <v>0</v>
      </c>
      <c r="U566" s="32">
        <f>DaybyDay[[#This Row],[Serv-Bud-RU]]+DaybyDay[[#This Row],[Ret-Bud-RU]]</f>
        <v>0</v>
      </c>
      <c r="V566" s="32">
        <f>DaybyDay[[#This Row],[Serv-Act-RU]]+DaybyDay[[#This Row],[Ret-Act-RU]]</f>
        <v>0</v>
      </c>
      <c r="W566" s="36">
        <f>IF(DaybyDay[[#This Row],[_Space]],IFERROR(
((DaybyDay[[#This Row],[Actual-Rollup]]-DaybyDay[[#This Row],[Budget-Rollup]])/DaybyDay[[#This Row],[Budget-Rollup]]),0),"")</f>
        <v>0</v>
      </c>
      <c r="X566" t="b">
        <f>NOT(AND(ISBLANK(DaybyDay[[#This Row],[Appts]]),ISBLANK(DaybyDay[[#This Row],[Service-Actuals]]),ISBLANK(DaybyDay[[#This Row],[Retail-Actuals]])))</f>
        <v>1</v>
      </c>
      <c r="Y566" s="36">
        <f>IF(DaybyDay[[#This Row],[_Space]],IFERROR(
((DaybyDay[[#This Row],[Actual-Rollup]]-DaybyDay[[#This Row],[LY-Rollup]])/DaybyDay[[#This Row],[LY-Rollup]]),0),"")</f>
        <v>0</v>
      </c>
      <c r="Z566"/>
      <c r="AA566" s="37" t="e">
        <f>IF(DaybyDay[[#This Row],[_Space]],DaybyDay[[#This Row],[Ret-Act-RU]]/DaybyDay[[#This Row],[Serv-Act-RU]],"")</f>
        <v>#DIV/0!</v>
      </c>
      <c r="AB566" s="50" t="e">
        <f>IF(DaybyDay[[#This Row],[_Space]],DaybyDay[[#This Row],[RETPEN-Act]]/DaybyDay[[#This Row],[RETPEN-Bud]],"")</f>
        <v>#DIV/0!</v>
      </c>
      <c r="AC566" s="37" t="e">
        <f>IF(DaybyDay[[#This Row],[_Space]],DaybyDay[[#This Row],[Ret-Bud-RU]]/DaybyDay[[#This Row],[Serv-Bud-RU]],"")</f>
        <v>#DIV/0!</v>
      </c>
      <c r="AD566" s="37" t="e">
        <f>IF(DaybyDay[[#This Row],[_Space]],DaybyDay[[#This Row],[Ret-LY-RU]]/DaybyDay[[#This Row],[Serv-LY-RU]],"")</f>
        <v>#DIV/0!</v>
      </c>
      <c r="AE566" s="30">
        <f>WEEKDAY(DaybyDay[[#This Row],[LY-Date]])</f>
        <v>7</v>
      </c>
      <c r="AF566" s="38">
        <f>$E$2+_xlfn.DAYS(DaybyDay[[#This Row],[Date]],minDate)</f>
        <v>42931</v>
      </c>
      <c r="AG566" s="39" cm="1">
        <f t="array" ref="AG566">IFERROR(INDEX(DaybyDay[],DaybyDay[[#This Row],[FORM_MATCH_HELPER]],8),"")</f>
        <v>36</v>
      </c>
      <c r="AH566" s="39" cm="1">
        <f t="array" ref="AH566">IFERROR(INDEX(DaybyDay[],DaybyDay[[#This Row],[FORM_MATCH_HELPER]],10),"")</f>
        <v>7482.5</v>
      </c>
      <c r="AI566" s="39" cm="1">
        <f t="array" ref="AI566">IFERROR(INDEX(DaybyDay[],DaybyDay[[#This Row],[FORM_MATCH_HELPER]],12),"")</f>
        <v>2552.25</v>
      </c>
      <c r="AJ566" s="32">
        <f>IFERROR(DaybyDay[[#This Row],[Serv-LY-RU]]+DaybyDay[[#This Row],[Ret-LY-RU]],"")</f>
        <v>0</v>
      </c>
      <c r="AK5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6" s="77"/>
      <c r="AM566" s="40" t="str">
        <f>IF(DaybyDay[[#This Row],[Admin Hours]]&gt;0,DaybyDay[[#This Row],[Admin Hours]]*$AM$2+$AM$3,"")</f>
        <v/>
      </c>
      <c r="AN566" s="40">
        <f>SUMIFS(DaybyDay[Est-Admin-Payroll],DaybyDay[Date],"&gt;="&amp;$C$5,DaybyDay[RowYear],"&gt;="&amp;$C$4,DaybyDay[Date],"&lt;="&amp;DaybyDay[[#This Row],[Date]])</f>
        <v>0</v>
      </c>
      <c r="AO566" s="41" t="str">
        <f>IF(AND(DaybyDay[[#This Row],[_Space]],ISNUMBER(DaybyDay[[#This Row],[Admin Hours]])),DaybyDay[[#This Row],[Est-Admin-Payroll]]/(DaybyDay[[#This Row],[Service-Actuals]]+DaybyDay[[#This Row],[Retail-Actuals]]),"")</f>
        <v/>
      </c>
      <c r="AP566" s="41" t="e">
        <f>DaybyDay[[#This Row],[Estimated-Payroll-Rollup]]/DaybyDay[[#This Row],[Simple-Forecast]]</f>
        <v>#DIV/0!</v>
      </c>
      <c r="AQ5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6" s="77"/>
      <c r="AS566" s="40" t="str">
        <f>IF(DaybyDay[[#This Row],[Retail Hours]]&gt;0,DaybyDay[[#This Row],[Retail Hours]]*$AS$2,"")</f>
        <v/>
      </c>
      <c r="AT566" s="40">
        <f>SUMIFS(DaybyDay[Est-Retail-Payroll],DaybyDay[Date],"&gt;="&amp;$C$5,DaybyDay[RowYear],"&gt;="&amp;$C$4,DaybyDay[Date],"&lt;="&amp;DaybyDay[[#This Row],[Date]])</f>
        <v>0</v>
      </c>
      <c r="AU566" s="82" t="str">
        <f>IF(AND(DaybyDay[[#This Row],[_Space]],ISNUMBER(DaybyDay[[#This Row],[Retail Hours]])),DaybyDay[[#This Row],[Est-Retail-Payroll]]/(DaybyDay[[#This Row],[Retail-Actuals]]),"")</f>
        <v/>
      </c>
      <c r="AV566" s="82" t="e">
        <f>DaybyDay[[#This Row],[Est-Retail-PayrollRU]]/DaybyDay[[#This Row],[Simple-Forecast-Retail]]</f>
        <v>#DIV/0!</v>
      </c>
      <c r="AW566" s="8"/>
    </row>
    <row r="567" spans="3:49" hidden="1" x14ac:dyDescent="0.25">
      <c r="C567" s="26" t="str">
        <f>Tools!$C$1</f>
        <v>Example</v>
      </c>
      <c r="D567" s="27" t="s">
        <v>74</v>
      </c>
      <c r="E567" s="28">
        <v>2018</v>
      </c>
      <c r="F567" s="28">
        <f>MATCH(DaybyDay[[#This Row],[RowMonth]],Table3[SummaryMonth],0)</f>
        <v>7</v>
      </c>
      <c r="G567" s="29">
        <f>MATCH(DaybyDay[[#This Row],[LY-Date]],DaybyDay[Date],0)</f>
        <v>197</v>
      </c>
      <c r="H567" s="30">
        <f>WEEKDAY(DaybyDay[[#This Row],[Date]])</f>
        <v>1</v>
      </c>
      <c r="I567" s="31">
        <v>43296</v>
      </c>
      <c r="J567" s="74">
        <v>21</v>
      </c>
      <c r="K567" s="32">
        <f>SUMIFS(BudgetSeasonality[365 Seasonality],BudgetSeasonality[MonthAdjustment],DaybyDay[[#This Row],[Date]])*SUMIFS(Budgets[Service-Budget],Budgets[BudgetMonth],DaybyDay[[#This Row],[RowMonth]],Budgets[BudgetYear],DaybyDay[[#This Row],[RowYear]])</f>
        <v>6004.9064331487498</v>
      </c>
      <c r="L567" s="75">
        <v>4277.6000000000004</v>
      </c>
      <c r="M567" s="32">
        <f>INDEX(BudgetSeasonality[365 Seasonality],MATCH(DaybyDay[[#This Row],[Date]],BudgetSeasonality[MonthAdjustment],0))*SUMIFS(Budgets[Retail-Budget],Budgets[BudgetMonth],DaybyDay[[#This Row],[RowMonth]],Budgets[BudgetYear],DaybyDay[[#This Row],[RowYear]])</f>
        <v>1677.7314400882983</v>
      </c>
      <c r="N567" s="75">
        <v>911</v>
      </c>
      <c r="O567" s="33">
        <f>SUMIFS(DaybyDay[Service-Budgets],DaybyDay[Date],"&gt;="&amp;$C$5,DaybyDay[RowYear],"&gt;="&amp;$C$4,DaybyDay[Date],"&lt;="&amp;DaybyDay[[#This Row],[Date]])</f>
        <v>0</v>
      </c>
      <c r="P567" s="33">
        <f>SUMIFS(DaybyDay[Retail-Budgets],DaybyDay[Date],"&gt;="&amp;$C$5,DaybyDay[RowYear],"&gt;="&amp;$C$4,DaybyDay[Date],"&lt;="&amp;DaybyDay[[#This Row],[Date]])</f>
        <v>0</v>
      </c>
      <c r="Q567" s="34">
        <f>SUMIFS(DaybyDay[Service-Actuals],DaybyDay[Date],"&gt;="&amp;$C$5,DaybyDay[RowYear],"&gt;="&amp;$C$4,DaybyDay[Date],"&lt;="&amp;DaybyDay[[#This Row],[Date]])</f>
        <v>0</v>
      </c>
      <c r="R567" s="34">
        <f>SUMIFS(DaybyDay[Retail-Actuals],DaybyDay[Date],"&gt;="&amp;$C$5,DaybyDay[RowYear],"&gt;="&amp;$C$4,DaybyDay[Date],"&lt;="&amp;DaybyDay[[#This Row],[Date]])</f>
        <v>0</v>
      </c>
      <c r="S567" s="35">
        <f>SUMIFS(DaybyDay[Service-LY],DaybyDay[Date],"&gt;="&amp;$C$5,DaybyDay[RowYear],"&gt;="&amp;$C$4,DaybyDay[Date],"&lt;="&amp;DaybyDay[[#This Row],[Date]])</f>
        <v>0</v>
      </c>
      <c r="T567" s="35">
        <f>SUMIFS(DaybyDay[Retail-LY],DaybyDay[Date],"&gt;="&amp;$C$5,DaybyDay[RowYear],"&gt;="&amp;$C$4,DaybyDay[Date],"&lt;="&amp;DaybyDay[[#This Row],[Date]])</f>
        <v>0</v>
      </c>
      <c r="U567" s="32">
        <f>DaybyDay[[#This Row],[Serv-Bud-RU]]+DaybyDay[[#This Row],[Ret-Bud-RU]]</f>
        <v>0</v>
      </c>
      <c r="V567" s="32">
        <f>DaybyDay[[#This Row],[Serv-Act-RU]]+DaybyDay[[#This Row],[Ret-Act-RU]]</f>
        <v>0</v>
      </c>
      <c r="W567" s="36">
        <f>IF(DaybyDay[[#This Row],[_Space]],IFERROR(
((DaybyDay[[#This Row],[Actual-Rollup]]-DaybyDay[[#This Row],[Budget-Rollup]])/DaybyDay[[#This Row],[Budget-Rollup]]),0),"")</f>
        <v>0</v>
      </c>
      <c r="X567" t="b">
        <f>NOT(AND(ISBLANK(DaybyDay[[#This Row],[Appts]]),ISBLANK(DaybyDay[[#This Row],[Service-Actuals]]),ISBLANK(DaybyDay[[#This Row],[Retail-Actuals]])))</f>
        <v>1</v>
      </c>
      <c r="Y567" s="36">
        <f>IF(DaybyDay[[#This Row],[_Space]],IFERROR(
((DaybyDay[[#This Row],[Actual-Rollup]]-DaybyDay[[#This Row],[LY-Rollup]])/DaybyDay[[#This Row],[LY-Rollup]]),0),"")</f>
        <v>0</v>
      </c>
      <c r="Z567"/>
      <c r="AA567" s="37" t="e">
        <f>IF(DaybyDay[[#This Row],[_Space]],DaybyDay[[#This Row],[Ret-Act-RU]]/DaybyDay[[#This Row],[Serv-Act-RU]],"")</f>
        <v>#DIV/0!</v>
      </c>
      <c r="AB567" s="50" t="e">
        <f>IF(DaybyDay[[#This Row],[_Space]],DaybyDay[[#This Row],[RETPEN-Act]]/DaybyDay[[#This Row],[RETPEN-Bud]],"")</f>
        <v>#DIV/0!</v>
      </c>
      <c r="AC567" s="37" t="e">
        <f>IF(DaybyDay[[#This Row],[_Space]],DaybyDay[[#This Row],[Ret-Bud-RU]]/DaybyDay[[#This Row],[Serv-Bud-RU]],"")</f>
        <v>#DIV/0!</v>
      </c>
      <c r="AD567" s="37" t="e">
        <f>IF(DaybyDay[[#This Row],[_Space]],DaybyDay[[#This Row],[Ret-LY-RU]]/DaybyDay[[#This Row],[Serv-LY-RU]],"")</f>
        <v>#DIV/0!</v>
      </c>
      <c r="AE567" s="30">
        <f>WEEKDAY(DaybyDay[[#This Row],[LY-Date]])</f>
        <v>1</v>
      </c>
      <c r="AF567" s="38">
        <f>$E$2+_xlfn.DAYS(DaybyDay[[#This Row],[Date]],minDate)</f>
        <v>42932</v>
      </c>
      <c r="AG567" s="39" cm="1">
        <f t="array" ref="AG567">IFERROR(INDEX(DaybyDay[],DaybyDay[[#This Row],[FORM_MATCH_HELPER]],8),"")</f>
        <v>15</v>
      </c>
      <c r="AH567" s="39" cm="1">
        <f t="array" ref="AH567">IFERROR(INDEX(DaybyDay[],DaybyDay[[#This Row],[FORM_MATCH_HELPER]],10),"")</f>
        <v>3570.1</v>
      </c>
      <c r="AI567" s="39" cm="1">
        <f t="array" ref="AI567">IFERROR(INDEX(DaybyDay[],DaybyDay[[#This Row],[FORM_MATCH_HELPER]],12),"")</f>
        <v>72</v>
      </c>
      <c r="AJ567" s="32">
        <f>IFERROR(DaybyDay[[#This Row],[Serv-LY-RU]]+DaybyDay[[#This Row],[Ret-LY-RU]],"")</f>
        <v>0</v>
      </c>
      <c r="AK5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7" s="77"/>
      <c r="AM567" s="40" t="str">
        <f>IF(DaybyDay[[#This Row],[Admin Hours]]&gt;0,DaybyDay[[#This Row],[Admin Hours]]*$AM$2+$AM$3,"")</f>
        <v/>
      </c>
      <c r="AN567" s="40">
        <f>SUMIFS(DaybyDay[Est-Admin-Payroll],DaybyDay[Date],"&gt;="&amp;$C$5,DaybyDay[RowYear],"&gt;="&amp;$C$4,DaybyDay[Date],"&lt;="&amp;DaybyDay[[#This Row],[Date]])</f>
        <v>0</v>
      </c>
      <c r="AO567" s="41" t="str">
        <f>IF(AND(DaybyDay[[#This Row],[_Space]],ISNUMBER(DaybyDay[[#This Row],[Admin Hours]])),DaybyDay[[#This Row],[Est-Admin-Payroll]]/(DaybyDay[[#This Row],[Service-Actuals]]+DaybyDay[[#This Row],[Retail-Actuals]]),"")</f>
        <v/>
      </c>
      <c r="AP567" s="41" t="e">
        <f>DaybyDay[[#This Row],[Estimated-Payroll-Rollup]]/DaybyDay[[#This Row],[Simple-Forecast]]</f>
        <v>#DIV/0!</v>
      </c>
      <c r="AQ5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7" s="77"/>
      <c r="AS567" s="40" t="str">
        <f>IF(DaybyDay[[#This Row],[Retail Hours]]&gt;0,DaybyDay[[#This Row],[Retail Hours]]*$AS$2,"")</f>
        <v/>
      </c>
      <c r="AT567" s="40">
        <f>SUMIFS(DaybyDay[Est-Retail-Payroll],DaybyDay[Date],"&gt;="&amp;$C$5,DaybyDay[RowYear],"&gt;="&amp;$C$4,DaybyDay[Date],"&lt;="&amp;DaybyDay[[#This Row],[Date]])</f>
        <v>0</v>
      </c>
      <c r="AU567" s="82" t="str">
        <f>IF(AND(DaybyDay[[#This Row],[_Space]],ISNUMBER(DaybyDay[[#This Row],[Retail Hours]])),DaybyDay[[#This Row],[Est-Retail-Payroll]]/(DaybyDay[[#This Row],[Retail-Actuals]]),"")</f>
        <v/>
      </c>
      <c r="AV567" s="82" t="e">
        <f>DaybyDay[[#This Row],[Est-Retail-PayrollRU]]/DaybyDay[[#This Row],[Simple-Forecast-Retail]]</f>
        <v>#DIV/0!</v>
      </c>
      <c r="AW567" s="8"/>
    </row>
    <row r="568" spans="3:49" hidden="1" x14ac:dyDescent="0.25">
      <c r="C568" s="26" t="str">
        <f>Tools!$C$1</f>
        <v>Example</v>
      </c>
      <c r="D568" s="27" t="s">
        <v>74</v>
      </c>
      <c r="E568" s="28">
        <v>2018</v>
      </c>
      <c r="F568" s="28">
        <f>MATCH(DaybyDay[[#This Row],[RowMonth]],Table3[SummaryMonth],0)</f>
        <v>7</v>
      </c>
      <c r="G568" s="29">
        <f>MATCH(DaybyDay[[#This Row],[LY-Date]],DaybyDay[Date],0)</f>
        <v>198</v>
      </c>
      <c r="H568" s="30">
        <f>WEEKDAY(DaybyDay[[#This Row],[Date]])</f>
        <v>2</v>
      </c>
      <c r="I568" s="31">
        <v>43297</v>
      </c>
      <c r="J568" s="74">
        <v>16</v>
      </c>
      <c r="K568" s="32">
        <f>SUMIFS(BudgetSeasonality[365 Seasonality],BudgetSeasonality[MonthAdjustment],DaybyDay[[#This Row],[Date]])*SUMIFS(Budgets[Service-Budget],Budgets[BudgetMonth],DaybyDay[[#This Row],[RowMonth]],Budgets[BudgetYear],DaybyDay[[#This Row],[RowYear]])</f>
        <v>3182.1703901380693</v>
      </c>
      <c r="L568" s="75">
        <v>2303.6999999999998</v>
      </c>
      <c r="M568" s="32">
        <f>INDEX(BudgetSeasonality[365 Seasonality],MATCH(DaybyDay[[#This Row],[Date]],BudgetSeasonality[MonthAdjustment],0))*SUMIFS(Budgets[Retail-Budget],Budgets[BudgetMonth],DaybyDay[[#This Row],[RowMonth]],Budgets[BudgetYear],DaybyDay[[#This Row],[RowYear]])</f>
        <v>889.07751864056991</v>
      </c>
      <c r="N568" s="75">
        <v>604</v>
      </c>
      <c r="O568" s="33">
        <f>SUMIFS(DaybyDay[Service-Budgets],DaybyDay[Date],"&gt;="&amp;$C$5,DaybyDay[RowYear],"&gt;="&amp;$C$4,DaybyDay[Date],"&lt;="&amp;DaybyDay[[#This Row],[Date]])</f>
        <v>0</v>
      </c>
      <c r="P568" s="33">
        <f>SUMIFS(DaybyDay[Retail-Budgets],DaybyDay[Date],"&gt;="&amp;$C$5,DaybyDay[RowYear],"&gt;="&amp;$C$4,DaybyDay[Date],"&lt;="&amp;DaybyDay[[#This Row],[Date]])</f>
        <v>0</v>
      </c>
      <c r="Q568" s="34">
        <f>SUMIFS(DaybyDay[Service-Actuals],DaybyDay[Date],"&gt;="&amp;$C$5,DaybyDay[RowYear],"&gt;="&amp;$C$4,DaybyDay[Date],"&lt;="&amp;DaybyDay[[#This Row],[Date]])</f>
        <v>0</v>
      </c>
      <c r="R568" s="34">
        <f>SUMIFS(DaybyDay[Retail-Actuals],DaybyDay[Date],"&gt;="&amp;$C$5,DaybyDay[RowYear],"&gt;="&amp;$C$4,DaybyDay[Date],"&lt;="&amp;DaybyDay[[#This Row],[Date]])</f>
        <v>0</v>
      </c>
      <c r="S568" s="35">
        <f>SUMIFS(DaybyDay[Service-LY],DaybyDay[Date],"&gt;="&amp;$C$5,DaybyDay[RowYear],"&gt;="&amp;$C$4,DaybyDay[Date],"&lt;="&amp;DaybyDay[[#This Row],[Date]])</f>
        <v>0</v>
      </c>
      <c r="T568" s="35">
        <f>SUMIFS(DaybyDay[Retail-LY],DaybyDay[Date],"&gt;="&amp;$C$5,DaybyDay[RowYear],"&gt;="&amp;$C$4,DaybyDay[Date],"&lt;="&amp;DaybyDay[[#This Row],[Date]])</f>
        <v>0</v>
      </c>
      <c r="U568" s="32">
        <f>DaybyDay[[#This Row],[Serv-Bud-RU]]+DaybyDay[[#This Row],[Ret-Bud-RU]]</f>
        <v>0</v>
      </c>
      <c r="V568" s="32">
        <f>DaybyDay[[#This Row],[Serv-Act-RU]]+DaybyDay[[#This Row],[Ret-Act-RU]]</f>
        <v>0</v>
      </c>
      <c r="W568" s="36">
        <f>IF(DaybyDay[[#This Row],[_Space]],IFERROR(
((DaybyDay[[#This Row],[Actual-Rollup]]-DaybyDay[[#This Row],[Budget-Rollup]])/DaybyDay[[#This Row],[Budget-Rollup]]),0),"")</f>
        <v>0</v>
      </c>
      <c r="X568" t="b">
        <f>NOT(AND(ISBLANK(DaybyDay[[#This Row],[Appts]]),ISBLANK(DaybyDay[[#This Row],[Service-Actuals]]),ISBLANK(DaybyDay[[#This Row],[Retail-Actuals]])))</f>
        <v>1</v>
      </c>
      <c r="Y568" s="36">
        <f>IF(DaybyDay[[#This Row],[_Space]],IFERROR(
((DaybyDay[[#This Row],[Actual-Rollup]]-DaybyDay[[#This Row],[LY-Rollup]])/DaybyDay[[#This Row],[LY-Rollup]]),0),"")</f>
        <v>0</v>
      </c>
      <c r="Z568"/>
      <c r="AA568" s="37" t="e">
        <f>IF(DaybyDay[[#This Row],[_Space]],DaybyDay[[#This Row],[Ret-Act-RU]]/DaybyDay[[#This Row],[Serv-Act-RU]],"")</f>
        <v>#DIV/0!</v>
      </c>
      <c r="AB568" s="50" t="e">
        <f>IF(DaybyDay[[#This Row],[_Space]],DaybyDay[[#This Row],[RETPEN-Act]]/DaybyDay[[#This Row],[RETPEN-Bud]],"")</f>
        <v>#DIV/0!</v>
      </c>
      <c r="AC568" s="37" t="e">
        <f>IF(DaybyDay[[#This Row],[_Space]],DaybyDay[[#This Row],[Ret-Bud-RU]]/DaybyDay[[#This Row],[Serv-Bud-RU]],"")</f>
        <v>#DIV/0!</v>
      </c>
      <c r="AD568" s="37" t="e">
        <f>IF(DaybyDay[[#This Row],[_Space]],DaybyDay[[#This Row],[Ret-LY-RU]]/DaybyDay[[#This Row],[Serv-LY-RU]],"")</f>
        <v>#DIV/0!</v>
      </c>
      <c r="AE568" s="30">
        <f>WEEKDAY(DaybyDay[[#This Row],[LY-Date]])</f>
        <v>2</v>
      </c>
      <c r="AF568" s="38">
        <f>$E$2+_xlfn.DAYS(DaybyDay[[#This Row],[Date]],minDate)</f>
        <v>42933</v>
      </c>
      <c r="AG568" s="39" cm="1">
        <f t="array" ref="AG568">IFERROR(INDEX(DaybyDay[],DaybyDay[[#This Row],[FORM_MATCH_HELPER]],8),"")</f>
        <v>13</v>
      </c>
      <c r="AH568" s="39" cm="1">
        <f t="array" ref="AH568">IFERROR(INDEX(DaybyDay[],DaybyDay[[#This Row],[FORM_MATCH_HELPER]],10),"")</f>
        <v>2699</v>
      </c>
      <c r="AI568" s="39" cm="1">
        <f t="array" ref="AI568">IFERROR(INDEX(DaybyDay[],DaybyDay[[#This Row],[FORM_MATCH_HELPER]],12),"")</f>
        <v>76</v>
      </c>
      <c r="AJ568" s="32">
        <f>IFERROR(DaybyDay[[#This Row],[Serv-LY-RU]]+DaybyDay[[#This Row],[Ret-LY-RU]],"")</f>
        <v>0</v>
      </c>
      <c r="AK5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8" s="77"/>
      <c r="AM568" s="40" t="str">
        <f>IF(DaybyDay[[#This Row],[Admin Hours]]&gt;0,DaybyDay[[#This Row],[Admin Hours]]*$AM$2+$AM$3,"")</f>
        <v/>
      </c>
      <c r="AN568" s="40">
        <f>SUMIFS(DaybyDay[Est-Admin-Payroll],DaybyDay[Date],"&gt;="&amp;$C$5,DaybyDay[RowYear],"&gt;="&amp;$C$4,DaybyDay[Date],"&lt;="&amp;DaybyDay[[#This Row],[Date]])</f>
        <v>0</v>
      </c>
      <c r="AO568" s="41" t="str">
        <f>IF(AND(DaybyDay[[#This Row],[_Space]],ISNUMBER(DaybyDay[[#This Row],[Admin Hours]])),DaybyDay[[#This Row],[Est-Admin-Payroll]]/(DaybyDay[[#This Row],[Service-Actuals]]+DaybyDay[[#This Row],[Retail-Actuals]]),"")</f>
        <v/>
      </c>
      <c r="AP568" s="41" t="e">
        <f>DaybyDay[[#This Row],[Estimated-Payroll-Rollup]]/DaybyDay[[#This Row],[Simple-Forecast]]</f>
        <v>#DIV/0!</v>
      </c>
      <c r="AQ5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8" s="77"/>
      <c r="AS568" s="40" t="str">
        <f>IF(DaybyDay[[#This Row],[Retail Hours]]&gt;0,DaybyDay[[#This Row],[Retail Hours]]*$AS$2,"")</f>
        <v/>
      </c>
      <c r="AT568" s="40">
        <f>SUMIFS(DaybyDay[Est-Retail-Payroll],DaybyDay[Date],"&gt;="&amp;$C$5,DaybyDay[RowYear],"&gt;="&amp;$C$4,DaybyDay[Date],"&lt;="&amp;DaybyDay[[#This Row],[Date]])</f>
        <v>0</v>
      </c>
      <c r="AU568" s="82" t="str">
        <f>IF(AND(DaybyDay[[#This Row],[_Space]],ISNUMBER(DaybyDay[[#This Row],[Retail Hours]])),DaybyDay[[#This Row],[Est-Retail-Payroll]]/(DaybyDay[[#This Row],[Retail-Actuals]]),"")</f>
        <v/>
      </c>
      <c r="AV568" s="82" t="e">
        <f>DaybyDay[[#This Row],[Est-Retail-PayrollRU]]/DaybyDay[[#This Row],[Simple-Forecast-Retail]]</f>
        <v>#DIV/0!</v>
      </c>
      <c r="AW568" s="8"/>
    </row>
    <row r="569" spans="3:49" hidden="1" x14ac:dyDescent="0.25">
      <c r="C569" s="26" t="str">
        <f>Tools!$C$1</f>
        <v>Example</v>
      </c>
      <c r="D569" s="27" t="s">
        <v>74</v>
      </c>
      <c r="E569" s="28">
        <v>2018</v>
      </c>
      <c r="F569" s="28">
        <f>MATCH(DaybyDay[[#This Row],[RowMonth]],Table3[SummaryMonth],0)</f>
        <v>7</v>
      </c>
      <c r="G569" s="29">
        <f>MATCH(DaybyDay[[#This Row],[LY-Date]],DaybyDay[Date],0)</f>
        <v>199</v>
      </c>
      <c r="H569" s="30">
        <f>WEEKDAY(DaybyDay[[#This Row],[Date]])</f>
        <v>3</v>
      </c>
      <c r="I569" s="31">
        <v>43298</v>
      </c>
      <c r="J569" s="74">
        <v>16</v>
      </c>
      <c r="K569" s="32">
        <f>SUMIFS(BudgetSeasonality[365 Seasonality],BudgetSeasonality[MonthAdjustment],DaybyDay[[#This Row],[Date]])*SUMIFS(Budgets[Service-Budget],Budgets[BudgetMonth],DaybyDay[[#This Row],[RowMonth]],Budgets[BudgetYear],DaybyDay[[#This Row],[RowYear]])</f>
        <v>3406.1525356660181</v>
      </c>
      <c r="L569" s="75">
        <v>3022.4</v>
      </c>
      <c r="M569" s="32">
        <f>INDEX(BudgetSeasonality[365 Seasonality],MATCH(DaybyDay[[#This Row],[Date]],BudgetSeasonality[MonthAdjustment],0))*SUMIFS(Budgets[Retail-Budget],Budgets[BudgetMonth],DaybyDay[[#This Row],[RowMonth]],Budgets[BudgetYear],DaybyDay[[#This Row],[RowYear]])</f>
        <v>951.65665984021484</v>
      </c>
      <c r="N569" s="75">
        <v>809</v>
      </c>
      <c r="O569" s="33">
        <f>SUMIFS(DaybyDay[Service-Budgets],DaybyDay[Date],"&gt;="&amp;$C$5,DaybyDay[RowYear],"&gt;="&amp;$C$4,DaybyDay[Date],"&lt;="&amp;DaybyDay[[#This Row],[Date]])</f>
        <v>0</v>
      </c>
      <c r="P569" s="33">
        <f>SUMIFS(DaybyDay[Retail-Budgets],DaybyDay[Date],"&gt;="&amp;$C$5,DaybyDay[RowYear],"&gt;="&amp;$C$4,DaybyDay[Date],"&lt;="&amp;DaybyDay[[#This Row],[Date]])</f>
        <v>0</v>
      </c>
      <c r="Q569" s="34">
        <f>SUMIFS(DaybyDay[Service-Actuals],DaybyDay[Date],"&gt;="&amp;$C$5,DaybyDay[RowYear],"&gt;="&amp;$C$4,DaybyDay[Date],"&lt;="&amp;DaybyDay[[#This Row],[Date]])</f>
        <v>0</v>
      </c>
      <c r="R569" s="34">
        <f>SUMIFS(DaybyDay[Retail-Actuals],DaybyDay[Date],"&gt;="&amp;$C$5,DaybyDay[RowYear],"&gt;="&amp;$C$4,DaybyDay[Date],"&lt;="&amp;DaybyDay[[#This Row],[Date]])</f>
        <v>0</v>
      </c>
      <c r="S569" s="35">
        <f>SUMIFS(DaybyDay[Service-LY],DaybyDay[Date],"&gt;="&amp;$C$5,DaybyDay[RowYear],"&gt;="&amp;$C$4,DaybyDay[Date],"&lt;="&amp;DaybyDay[[#This Row],[Date]])</f>
        <v>0</v>
      </c>
      <c r="T569" s="35">
        <f>SUMIFS(DaybyDay[Retail-LY],DaybyDay[Date],"&gt;="&amp;$C$5,DaybyDay[RowYear],"&gt;="&amp;$C$4,DaybyDay[Date],"&lt;="&amp;DaybyDay[[#This Row],[Date]])</f>
        <v>0</v>
      </c>
      <c r="U569" s="32">
        <f>DaybyDay[[#This Row],[Serv-Bud-RU]]+DaybyDay[[#This Row],[Ret-Bud-RU]]</f>
        <v>0</v>
      </c>
      <c r="V569" s="32">
        <f>DaybyDay[[#This Row],[Serv-Act-RU]]+DaybyDay[[#This Row],[Ret-Act-RU]]</f>
        <v>0</v>
      </c>
      <c r="W569" s="36">
        <f>IF(DaybyDay[[#This Row],[_Space]],IFERROR(
((DaybyDay[[#This Row],[Actual-Rollup]]-DaybyDay[[#This Row],[Budget-Rollup]])/DaybyDay[[#This Row],[Budget-Rollup]]),0),"")</f>
        <v>0</v>
      </c>
      <c r="X569" t="b">
        <f>NOT(AND(ISBLANK(DaybyDay[[#This Row],[Appts]]),ISBLANK(DaybyDay[[#This Row],[Service-Actuals]]),ISBLANK(DaybyDay[[#This Row],[Retail-Actuals]])))</f>
        <v>1</v>
      </c>
      <c r="Y569" s="36">
        <f>IF(DaybyDay[[#This Row],[_Space]],IFERROR(
((DaybyDay[[#This Row],[Actual-Rollup]]-DaybyDay[[#This Row],[LY-Rollup]])/DaybyDay[[#This Row],[LY-Rollup]]),0),"")</f>
        <v>0</v>
      </c>
      <c r="Z569"/>
      <c r="AA569" s="37" t="e">
        <f>IF(DaybyDay[[#This Row],[_Space]],DaybyDay[[#This Row],[Ret-Act-RU]]/DaybyDay[[#This Row],[Serv-Act-RU]],"")</f>
        <v>#DIV/0!</v>
      </c>
      <c r="AB569" s="50" t="e">
        <f>IF(DaybyDay[[#This Row],[_Space]],DaybyDay[[#This Row],[RETPEN-Act]]/DaybyDay[[#This Row],[RETPEN-Bud]],"")</f>
        <v>#DIV/0!</v>
      </c>
      <c r="AC569" s="37" t="e">
        <f>IF(DaybyDay[[#This Row],[_Space]],DaybyDay[[#This Row],[Ret-Bud-RU]]/DaybyDay[[#This Row],[Serv-Bud-RU]],"")</f>
        <v>#DIV/0!</v>
      </c>
      <c r="AD569" s="37" t="e">
        <f>IF(DaybyDay[[#This Row],[_Space]],DaybyDay[[#This Row],[Ret-LY-RU]]/DaybyDay[[#This Row],[Serv-LY-RU]],"")</f>
        <v>#DIV/0!</v>
      </c>
      <c r="AE569" s="30">
        <f>WEEKDAY(DaybyDay[[#This Row],[LY-Date]])</f>
        <v>3</v>
      </c>
      <c r="AF569" s="38">
        <f>$E$2+_xlfn.DAYS(DaybyDay[[#This Row],[Date]],minDate)</f>
        <v>42934</v>
      </c>
      <c r="AG569" s="39" cm="1">
        <f t="array" ref="AG569">IFERROR(INDEX(DaybyDay[],DaybyDay[[#This Row],[FORM_MATCH_HELPER]],8),"")</f>
        <v>11</v>
      </c>
      <c r="AH569" s="39" cm="1">
        <f t="array" ref="AH569">IFERROR(INDEX(DaybyDay[],DaybyDay[[#This Row],[FORM_MATCH_HELPER]],10),"")</f>
        <v>2540</v>
      </c>
      <c r="AI569" s="39" cm="1">
        <f t="array" ref="AI569">IFERROR(INDEX(DaybyDay[],DaybyDay[[#This Row],[FORM_MATCH_HELPER]],12),"")</f>
        <v>58.5</v>
      </c>
      <c r="AJ569" s="32">
        <f>IFERROR(DaybyDay[[#This Row],[Serv-LY-RU]]+DaybyDay[[#This Row],[Ret-LY-RU]],"")</f>
        <v>0</v>
      </c>
      <c r="AK5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69" s="77"/>
      <c r="AM569" s="40" t="str">
        <f>IF(DaybyDay[[#This Row],[Admin Hours]]&gt;0,DaybyDay[[#This Row],[Admin Hours]]*$AM$2+$AM$3,"")</f>
        <v/>
      </c>
      <c r="AN569" s="40">
        <f>SUMIFS(DaybyDay[Est-Admin-Payroll],DaybyDay[Date],"&gt;="&amp;$C$5,DaybyDay[RowYear],"&gt;="&amp;$C$4,DaybyDay[Date],"&lt;="&amp;DaybyDay[[#This Row],[Date]])</f>
        <v>0</v>
      </c>
      <c r="AO569" s="41" t="str">
        <f>IF(AND(DaybyDay[[#This Row],[_Space]],ISNUMBER(DaybyDay[[#This Row],[Admin Hours]])),DaybyDay[[#This Row],[Est-Admin-Payroll]]/(DaybyDay[[#This Row],[Service-Actuals]]+DaybyDay[[#This Row],[Retail-Actuals]]),"")</f>
        <v/>
      </c>
      <c r="AP569" s="41" t="e">
        <f>DaybyDay[[#This Row],[Estimated-Payroll-Rollup]]/DaybyDay[[#This Row],[Simple-Forecast]]</f>
        <v>#DIV/0!</v>
      </c>
      <c r="AQ5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69" s="77"/>
      <c r="AS569" s="40" t="str">
        <f>IF(DaybyDay[[#This Row],[Retail Hours]]&gt;0,DaybyDay[[#This Row],[Retail Hours]]*$AS$2,"")</f>
        <v/>
      </c>
      <c r="AT569" s="40">
        <f>SUMIFS(DaybyDay[Est-Retail-Payroll],DaybyDay[Date],"&gt;="&amp;$C$5,DaybyDay[RowYear],"&gt;="&amp;$C$4,DaybyDay[Date],"&lt;="&amp;DaybyDay[[#This Row],[Date]])</f>
        <v>0</v>
      </c>
      <c r="AU569" s="82" t="str">
        <f>IF(AND(DaybyDay[[#This Row],[_Space]],ISNUMBER(DaybyDay[[#This Row],[Retail Hours]])),DaybyDay[[#This Row],[Est-Retail-Payroll]]/(DaybyDay[[#This Row],[Retail-Actuals]]),"")</f>
        <v/>
      </c>
      <c r="AV569" s="82" t="e">
        <f>DaybyDay[[#This Row],[Est-Retail-PayrollRU]]/DaybyDay[[#This Row],[Simple-Forecast-Retail]]</f>
        <v>#DIV/0!</v>
      </c>
      <c r="AW569" s="8"/>
    </row>
    <row r="570" spans="3:49" hidden="1" x14ac:dyDescent="0.25">
      <c r="C570" s="26" t="str">
        <f>Tools!$C$1</f>
        <v>Example</v>
      </c>
      <c r="D570" s="27" t="s">
        <v>74</v>
      </c>
      <c r="E570" s="28">
        <v>2018</v>
      </c>
      <c r="F570" s="28">
        <f>MATCH(DaybyDay[[#This Row],[RowMonth]],Table3[SummaryMonth],0)</f>
        <v>7</v>
      </c>
      <c r="G570" s="29">
        <f>MATCH(DaybyDay[[#This Row],[LY-Date]],DaybyDay[Date],0)</f>
        <v>200</v>
      </c>
      <c r="H570" s="30">
        <f>WEEKDAY(DaybyDay[[#This Row],[Date]])</f>
        <v>4</v>
      </c>
      <c r="I570" s="31">
        <v>43299</v>
      </c>
      <c r="J570" s="74">
        <v>23</v>
      </c>
      <c r="K570" s="32">
        <f>SUMIFS(BudgetSeasonality[365 Seasonality],BudgetSeasonality[MonthAdjustment],DaybyDay[[#This Row],[Date]])*SUMIFS(Budgets[Service-Budget],Budgets[BudgetMonth],DaybyDay[[#This Row],[RowMonth]],Budgets[BudgetYear],DaybyDay[[#This Row],[RowYear]])</f>
        <v>4164.2274547032175</v>
      </c>
      <c r="L570" s="75">
        <v>4305.3999999999996</v>
      </c>
      <c r="M570" s="32">
        <f>INDEX(BudgetSeasonality[365 Seasonality],MATCH(DaybyDay[[#This Row],[Date]],BudgetSeasonality[MonthAdjustment],0))*SUMIFS(Budgets[Retail-Budget],Budgets[BudgetMonth],DaybyDay[[#This Row],[RowMonth]],Budgets[BudgetYear],DaybyDay[[#This Row],[RowYear]])</f>
        <v>1163.4578160730844</v>
      </c>
      <c r="N570" s="75">
        <v>1312.75</v>
      </c>
      <c r="O570" s="33">
        <f>SUMIFS(DaybyDay[Service-Budgets],DaybyDay[Date],"&gt;="&amp;$C$5,DaybyDay[RowYear],"&gt;="&amp;$C$4,DaybyDay[Date],"&lt;="&amp;DaybyDay[[#This Row],[Date]])</f>
        <v>0</v>
      </c>
      <c r="P570" s="33">
        <f>SUMIFS(DaybyDay[Retail-Budgets],DaybyDay[Date],"&gt;="&amp;$C$5,DaybyDay[RowYear],"&gt;="&amp;$C$4,DaybyDay[Date],"&lt;="&amp;DaybyDay[[#This Row],[Date]])</f>
        <v>0</v>
      </c>
      <c r="Q570" s="34">
        <f>SUMIFS(DaybyDay[Service-Actuals],DaybyDay[Date],"&gt;="&amp;$C$5,DaybyDay[RowYear],"&gt;="&amp;$C$4,DaybyDay[Date],"&lt;="&amp;DaybyDay[[#This Row],[Date]])</f>
        <v>0</v>
      </c>
      <c r="R570" s="34">
        <f>SUMIFS(DaybyDay[Retail-Actuals],DaybyDay[Date],"&gt;="&amp;$C$5,DaybyDay[RowYear],"&gt;="&amp;$C$4,DaybyDay[Date],"&lt;="&amp;DaybyDay[[#This Row],[Date]])</f>
        <v>0</v>
      </c>
      <c r="S570" s="35">
        <f>SUMIFS(DaybyDay[Service-LY],DaybyDay[Date],"&gt;="&amp;$C$5,DaybyDay[RowYear],"&gt;="&amp;$C$4,DaybyDay[Date],"&lt;="&amp;DaybyDay[[#This Row],[Date]])</f>
        <v>0</v>
      </c>
      <c r="T570" s="35">
        <f>SUMIFS(DaybyDay[Retail-LY],DaybyDay[Date],"&gt;="&amp;$C$5,DaybyDay[RowYear],"&gt;="&amp;$C$4,DaybyDay[Date],"&lt;="&amp;DaybyDay[[#This Row],[Date]])</f>
        <v>0</v>
      </c>
      <c r="U570" s="32">
        <f>DaybyDay[[#This Row],[Serv-Bud-RU]]+DaybyDay[[#This Row],[Ret-Bud-RU]]</f>
        <v>0</v>
      </c>
      <c r="V570" s="32">
        <f>DaybyDay[[#This Row],[Serv-Act-RU]]+DaybyDay[[#This Row],[Ret-Act-RU]]</f>
        <v>0</v>
      </c>
      <c r="W570" s="36">
        <f>IF(DaybyDay[[#This Row],[_Space]],IFERROR(
((DaybyDay[[#This Row],[Actual-Rollup]]-DaybyDay[[#This Row],[Budget-Rollup]])/DaybyDay[[#This Row],[Budget-Rollup]]),0),"")</f>
        <v>0</v>
      </c>
      <c r="X570" t="b">
        <f>NOT(AND(ISBLANK(DaybyDay[[#This Row],[Appts]]),ISBLANK(DaybyDay[[#This Row],[Service-Actuals]]),ISBLANK(DaybyDay[[#This Row],[Retail-Actuals]])))</f>
        <v>1</v>
      </c>
      <c r="Y570" s="36">
        <f>IF(DaybyDay[[#This Row],[_Space]],IFERROR(
((DaybyDay[[#This Row],[Actual-Rollup]]-DaybyDay[[#This Row],[LY-Rollup]])/DaybyDay[[#This Row],[LY-Rollup]]),0),"")</f>
        <v>0</v>
      </c>
      <c r="Z570"/>
      <c r="AA570" s="37" t="e">
        <f>IF(DaybyDay[[#This Row],[_Space]],DaybyDay[[#This Row],[Ret-Act-RU]]/DaybyDay[[#This Row],[Serv-Act-RU]],"")</f>
        <v>#DIV/0!</v>
      </c>
      <c r="AB570" s="50" t="e">
        <f>IF(DaybyDay[[#This Row],[_Space]],DaybyDay[[#This Row],[RETPEN-Act]]/DaybyDay[[#This Row],[RETPEN-Bud]],"")</f>
        <v>#DIV/0!</v>
      </c>
      <c r="AC570" s="37" t="e">
        <f>IF(DaybyDay[[#This Row],[_Space]],DaybyDay[[#This Row],[Ret-Bud-RU]]/DaybyDay[[#This Row],[Serv-Bud-RU]],"")</f>
        <v>#DIV/0!</v>
      </c>
      <c r="AD570" s="37" t="e">
        <f>IF(DaybyDay[[#This Row],[_Space]],DaybyDay[[#This Row],[Ret-LY-RU]]/DaybyDay[[#This Row],[Serv-LY-RU]],"")</f>
        <v>#DIV/0!</v>
      </c>
      <c r="AE570" s="30">
        <f>WEEKDAY(DaybyDay[[#This Row],[LY-Date]])</f>
        <v>4</v>
      </c>
      <c r="AF570" s="38">
        <f>$E$2+_xlfn.DAYS(DaybyDay[[#This Row],[Date]],minDate)</f>
        <v>42935</v>
      </c>
      <c r="AG570" s="39" cm="1">
        <f t="array" ref="AG570">IFERROR(INDEX(DaybyDay[],DaybyDay[[#This Row],[FORM_MATCH_HELPER]],8),"")</f>
        <v>8</v>
      </c>
      <c r="AH570" s="39" cm="1">
        <f t="array" ref="AH570">IFERROR(INDEX(DaybyDay[],DaybyDay[[#This Row],[FORM_MATCH_HELPER]],10),"")</f>
        <v>1577</v>
      </c>
      <c r="AI570" s="39" cm="1">
        <f t="array" ref="AI570">IFERROR(INDEX(DaybyDay[],DaybyDay[[#This Row],[FORM_MATCH_HELPER]],12),"")</f>
        <v>1000</v>
      </c>
      <c r="AJ570" s="32">
        <f>IFERROR(DaybyDay[[#This Row],[Serv-LY-RU]]+DaybyDay[[#This Row],[Ret-LY-RU]],"")</f>
        <v>0</v>
      </c>
      <c r="AK5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0" s="77"/>
      <c r="AM570" s="40" t="str">
        <f>IF(DaybyDay[[#This Row],[Admin Hours]]&gt;0,DaybyDay[[#This Row],[Admin Hours]]*$AM$2+$AM$3,"")</f>
        <v/>
      </c>
      <c r="AN570" s="40">
        <f>SUMIFS(DaybyDay[Est-Admin-Payroll],DaybyDay[Date],"&gt;="&amp;$C$5,DaybyDay[RowYear],"&gt;="&amp;$C$4,DaybyDay[Date],"&lt;="&amp;DaybyDay[[#This Row],[Date]])</f>
        <v>0</v>
      </c>
      <c r="AO570" s="41" t="str">
        <f>IF(AND(DaybyDay[[#This Row],[_Space]],ISNUMBER(DaybyDay[[#This Row],[Admin Hours]])),DaybyDay[[#This Row],[Est-Admin-Payroll]]/(DaybyDay[[#This Row],[Service-Actuals]]+DaybyDay[[#This Row],[Retail-Actuals]]),"")</f>
        <v/>
      </c>
      <c r="AP570" s="41" t="e">
        <f>DaybyDay[[#This Row],[Estimated-Payroll-Rollup]]/DaybyDay[[#This Row],[Simple-Forecast]]</f>
        <v>#DIV/0!</v>
      </c>
      <c r="AQ5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0" s="77"/>
      <c r="AS570" s="40" t="str">
        <f>IF(DaybyDay[[#This Row],[Retail Hours]]&gt;0,DaybyDay[[#This Row],[Retail Hours]]*$AS$2,"")</f>
        <v/>
      </c>
      <c r="AT570" s="40">
        <f>SUMIFS(DaybyDay[Est-Retail-Payroll],DaybyDay[Date],"&gt;="&amp;$C$5,DaybyDay[RowYear],"&gt;="&amp;$C$4,DaybyDay[Date],"&lt;="&amp;DaybyDay[[#This Row],[Date]])</f>
        <v>0</v>
      </c>
      <c r="AU570" s="82" t="str">
        <f>IF(AND(DaybyDay[[#This Row],[_Space]],ISNUMBER(DaybyDay[[#This Row],[Retail Hours]])),DaybyDay[[#This Row],[Est-Retail-Payroll]]/(DaybyDay[[#This Row],[Retail-Actuals]]),"")</f>
        <v/>
      </c>
      <c r="AV570" s="82" t="e">
        <f>DaybyDay[[#This Row],[Est-Retail-PayrollRU]]/DaybyDay[[#This Row],[Simple-Forecast-Retail]]</f>
        <v>#DIV/0!</v>
      </c>
      <c r="AW570" s="8"/>
    </row>
    <row r="571" spans="3:49" hidden="1" x14ac:dyDescent="0.25">
      <c r="C571" s="26" t="str">
        <f>Tools!$C$1</f>
        <v>Example</v>
      </c>
      <c r="D571" s="27" t="s">
        <v>74</v>
      </c>
      <c r="E571" s="28">
        <v>2018</v>
      </c>
      <c r="F571" s="28">
        <f>MATCH(DaybyDay[[#This Row],[RowMonth]],Table3[SummaryMonth],0)</f>
        <v>7</v>
      </c>
      <c r="G571" s="29">
        <f>MATCH(DaybyDay[[#This Row],[LY-Date]],DaybyDay[Date],0)</f>
        <v>201</v>
      </c>
      <c r="H571" s="30">
        <f>WEEKDAY(DaybyDay[[#This Row],[Date]])</f>
        <v>5</v>
      </c>
      <c r="I571" s="31">
        <v>43300</v>
      </c>
      <c r="J571" s="74">
        <v>20</v>
      </c>
      <c r="K571" s="32">
        <f>SUMIFS(BudgetSeasonality[365 Seasonality],BudgetSeasonality[MonthAdjustment],DaybyDay[[#This Row],[Date]])*SUMIFS(Budgets[Service-Budget],Budgets[BudgetMonth],DaybyDay[[#This Row],[RowMonth]],Budgets[BudgetYear],DaybyDay[[#This Row],[RowYear]])</f>
        <v>4378.9679833928385</v>
      </c>
      <c r="L571" s="75">
        <v>4304.8999999999996</v>
      </c>
      <c r="M571" s="32">
        <f>INDEX(BudgetSeasonality[365 Seasonality],MATCH(DaybyDay[[#This Row],[Date]],BudgetSeasonality[MonthAdjustment],0))*SUMIFS(Budgets[Retail-Budget],Budgets[BudgetMonth],DaybyDay[[#This Row],[RowMonth]],Budgets[BudgetYear],DaybyDay[[#This Row],[RowYear]])</f>
        <v>1223.4549101918089</v>
      </c>
      <c r="N571" s="75">
        <v>1053.82</v>
      </c>
      <c r="O571" s="33">
        <f>SUMIFS(DaybyDay[Service-Budgets],DaybyDay[Date],"&gt;="&amp;$C$5,DaybyDay[RowYear],"&gt;="&amp;$C$4,DaybyDay[Date],"&lt;="&amp;DaybyDay[[#This Row],[Date]])</f>
        <v>0</v>
      </c>
      <c r="P571" s="33">
        <f>SUMIFS(DaybyDay[Retail-Budgets],DaybyDay[Date],"&gt;="&amp;$C$5,DaybyDay[RowYear],"&gt;="&amp;$C$4,DaybyDay[Date],"&lt;="&amp;DaybyDay[[#This Row],[Date]])</f>
        <v>0</v>
      </c>
      <c r="Q571" s="34">
        <f>SUMIFS(DaybyDay[Service-Actuals],DaybyDay[Date],"&gt;="&amp;$C$5,DaybyDay[RowYear],"&gt;="&amp;$C$4,DaybyDay[Date],"&lt;="&amp;DaybyDay[[#This Row],[Date]])</f>
        <v>0</v>
      </c>
      <c r="R571" s="34">
        <f>SUMIFS(DaybyDay[Retail-Actuals],DaybyDay[Date],"&gt;="&amp;$C$5,DaybyDay[RowYear],"&gt;="&amp;$C$4,DaybyDay[Date],"&lt;="&amp;DaybyDay[[#This Row],[Date]])</f>
        <v>0</v>
      </c>
      <c r="S571" s="35">
        <f>SUMIFS(DaybyDay[Service-LY],DaybyDay[Date],"&gt;="&amp;$C$5,DaybyDay[RowYear],"&gt;="&amp;$C$4,DaybyDay[Date],"&lt;="&amp;DaybyDay[[#This Row],[Date]])</f>
        <v>0</v>
      </c>
      <c r="T571" s="35">
        <f>SUMIFS(DaybyDay[Retail-LY],DaybyDay[Date],"&gt;="&amp;$C$5,DaybyDay[RowYear],"&gt;="&amp;$C$4,DaybyDay[Date],"&lt;="&amp;DaybyDay[[#This Row],[Date]])</f>
        <v>0</v>
      </c>
      <c r="U571" s="32">
        <f>DaybyDay[[#This Row],[Serv-Bud-RU]]+DaybyDay[[#This Row],[Ret-Bud-RU]]</f>
        <v>0</v>
      </c>
      <c r="V571" s="32">
        <f>DaybyDay[[#This Row],[Serv-Act-RU]]+DaybyDay[[#This Row],[Ret-Act-RU]]</f>
        <v>0</v>
      </c>
      <c r="W571" s="36">
        <f>IF(DaybyDay[[#This Row],[_Space]],IFERROR(
((DaybyDay[[#This Row],[Actual-Rollup]]-DaybyDay[[#This Row],[Budget-Rollup]])/DaybyDay[[#This Row],[Budget-Rollup]]),0),"")</f>
        <v>0</v>
      </c>
      <c r="X571" t="b">
        <f>NOT(AND(ISBLANK(DaybyDay[[#This Row],[Appts]]),ISBLANK(DaybyDay[[#This Row],[Service-Actuals]]),ISBLANK(DaybyDay[[#This Row],[Retail-Actuals]])))</f>
        <v>1</v>
      </c>
      <c r="Y571" s="36">
        <f>IF(DaybyDay[[#This Row],[_Space]],IFERROR(
((DaybyDay[[#This Row],[Actual-Rollup]]-DaybyDay[[#This Row],[LY-Rollup]])/DaybyDay[[#This Row],[LY-Rollup]]),0),"")</f>
        <v>0</v>
      </c>
      <c r="Z571"/>
      <c r="AA571" s="37" t="e">
        <f>IF(DaybyDay[[#This Row],[_Space]],DaybyDay[[#This Row],[Ret-Act-RU]]/DaybyDay[[#This Row],[Serv-Act-RU]],"")</f>
        <v>#DIV/0!</v>
      </c>
      <c r="AB571" s="50" t="e">
        <f>IF(DaybyDay[[#This Row],[_Space]],DaybyDay[[#This Row],[RETPEN-Act]]/DaybyDay[[#This Row],[RETPEN-Bud]],"")</f>
        <v>#DIV/0!</v>
      </c>
      <c r="AC571" s="37" t="e">
        <f>IF(DaybyDay[[#This Row],[_Space]],DaybyDay[[#This Row],[Ret-Bud-RU]]/DaybyDay[[#This Row],[Serv-Bud-RU]],"")</f>
        <v>#DIV/0!</v>
      </c>
      <c r="AD571" s="37" t="e">
        <f>IF(DaybyDay[[#This Row],[_Space]],DaybyDay[[#This Row],[Ret-LY-RU]]/DaybyDay[[#This Row],[Serv-LY-RU]],"")</f>
        <v>#DIV/0!</v>
      </c>
      <c r="AE571" s="30">
        <f>WEEKDAY(DaybyDay[[#This Row],[LY-Date]])</f>
        <v>5</v>
      </c>
      <c r="AF571" s="38">
        <f>$E$2+_xlfn.DAYS(DaybyDay[[#This Row],[Date]],minDate)</f>
        <v>42936</v>
      </c>
      <c r="AG571" s="39" cm="1">
        <f t="array" ref="AG571">IFERROR(INDEX(DaybyDay[],DaybyDay[[#This Row],[FORM_MATCH_HELPER]],8),"")</f>
        <v>13</v>
      </c>
      <c r="AH571" s="39" cm="1">
        <f t="array" ref="AH571">IFERROR(INDEX(DaybyDay[],DaybyDay[[#This Row],[FORM_MATCH_HELPER]],10),"")</f>
        <v>3201</v>
      </c>
      <c r="AI571" s="39" cm="1">
        <f t="array" ref="AI571">IFERROR(INDEX(DaybyDay[],DaybyDay[[#This Row],[FORM_MATCH_HELPER]],12),"")</f>
        <v>254.5</v>
      </c>
      <c r="AJ571" s="32">
        <f>IFERROR(DaybyDay[[#This Row],[Serv-LY-RU]]+DaybyDay[[#This Row],[Ret-LY-RU]],"")</f>
        <v>0</v>
      </c>
      <c r="AK5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1" s="77"/>
      <c r="AM571" s="40" t="str">
        <f>IF(DaybyDay[[#This Row],[Admin Hours]]&gt;0,DaybyDay[[#This Row],[Admin Hours]]*$AM$2+$AM$3,"")</f>
        <v/>
      </c>
      <c r="AN571" s="40">
        <f>SUMIFS(DaybyDay[Est-Admin-Payroll],DaybyDay[Date],"&gt;="&amp;$C$5,DaybyDay[RowYear],"&gt;="&amp;$C$4,DaybyDay[Date],"&lt;="&amp;DaybyDay[[#This Row],[Date]])</f>
        <v>0</v>
      </c>
      <c r="AO571" s="41" t="str">
        <f>IF(AND(DaybyDay[[#This Row],[_Space]],ISNUMBER(DaybyDay[[#This Row],[Admin Hours]])),DaybyDay[[#This Row],[Est-Admin-Payroll]]/(DaybyDay[[#This Row],[Service-Actuals]]+DaybyDay[[#This Row],[Retail-Actuals]]),"")</f>
        <v/>
      </c>
      <c r="AP571" s="41" t="e">
        <f>DaybyDay[[#This Row],[Estimated-Payroll-Rollup]]/DaybyDay[[#This Row],[Simple-Forecast]]</f>
        <v>#DIV/0!</v>
      </c>
      <c r="AQ5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1" s="77"/>
      <c r="AS571" s="40" t="str">
        <f>IF(DaybyDay[[#This Row],[Retail Hours]]&gt;0,DaybyDay[[#This Row],[Retail Hours]]*$AS$2,"")</f>
        <v/>
      </c>
      <c r="AT571" s="40">
        <f>SUMIFS(DaybyDay[Est-Retail-Payroll],DaybyDay[Date],"&gt;="&amp;$C$5,DaybyDay[RowYear],"&gt;="&amp;$C$4,DaybyDay[Date],"&lt;="&amp;DaybyDay[[#This Row],[Date]])</f>
        <v>0</v>
      </c>
      <c r="AU571" s="82" t="str">
        <f>IF(AND(DaybyDay[[#This Row],[_Space]],ISNUMBER(DaybyDay[[#This Row],[Retail Hours]])),DaybyDay[[#This Row],[Est-Retail-Payroll]]/(DaybyDay[[#This Row],[Retail-Actuals]]),"")</f>
        <v/>
      </c>
      <c r="AV571" s="82" t="e">
        <f>DaybyDay[[#This Row],[Est-Retail-PayrollRU]]/DaybyDay[[#This Row],[Simple-Forecast-Retail]]</f>
        <v>#DIV/0!</v>
      </c>
      <c r="AW571" s="8"/>
    </row>
    <row r="572" spans="3:49" hidden="1" x14ac:dyDescent="0.25">
      <c r="C572" s="26" t="str">
        <f>Tools!$C$1</f>
        <v>Example</v>
      </c>
      <c r="D572" s="27" t="s">
        <v>74</v>
      </c>
      <c r="E572" s="28">
        <v>2018</v>
      </c>
      <c r="F572" s="28">
        <f>MATCH(DaybyDay[[#This Row],[RowMonth]],Table3[SummaryMonth],0)</f>
        <v>7</v>
      </c>
      <c r="G572" s="29">
        <f>MATCH(DaybyDay[[#This Row],[LY-Date]],DaybyDay[Date],0)</f>
        <v>202</v>
      </c>
      <c r="H572" s="30">
        <f>WEEKDAY(DaybyDay[[#This Row],[Date]])</f>
        <v>6</v>
      </c>
      <c r="I572" s="31">
        <v>43301</v>
      </c>
      <c r="J572" s="74">
        <v>7</v>
      </c>
      <c r="K572" s="32">
        <f>SUMIFS(BudgetSeasonality[365 Seasonality],BudgetSeasonality[MonthAdjustment],DaybyDay[[#This Row],[Date]])*SUMIFS(Budgets[Service-Budget],Budgets[BudgetMonth],DaybyDay[[#This Row],[RowMonth]],Budgets[BudgetYear],DaybyDay[[#This Row],[RowYear]])</f>
        <v>5715.1321188614802</v>
      </c>
      <c r="L572" s="75">
        <v>4304.8999999999996</v>
      </c>
      <c r="M572" s="32">
        <f>INDEX(BudgetSeasonality[365 Seasonality],MATCH(DaybyDay[[#This Row],[Date]],BudgetSeasonality[MonthAdjustment],0))*SUMIFS(Budgets[Retail-Budget],Budgets[BudgetMonth],DaybyDay[[#This Row],[RowMonth]],Budgets[BudgetYear],DaybyDay[[#This Row],[RowYear]])</f>
        <v>1596.7703988094497</v>
      </c>
      <c r="N572" s="75">
        <v>1053.82</v>
      </c>
      <c r="O572" s="33">
        <f>SUMIFS(DaybyDay[Service-Budgets],DaybyDay[Date],"&gt;="&amp;$C$5,DaybyDay[RowYear],"&gt;="&amp;$C$4,DaybyDay[Date],"&lt;="&amp;DaybyDay[[#This Row],[Date]])</f>
        <v>0</v>
      </c>
      <c r="P572" s="33">
        <f>SUMIFS(DaybyDay[Retail-Budgets],DaybyDay[Date],"&gt;="&amp;$C$5,DaybyDay[RowYear],"&gt;="&amp;$C$4,DaybyDay[Date],"&lt;="&amp;DaybyDay[[#This Row],[Date]])</f>
        <v>0</v>
      </c>
      <c r="Q572" s="34">
        <f>SUMIFS(DaybyDay[Service-Actuals],DaybyDay[Date],"&gt;="&amp;$C$5,DaybyDay[RowYear],"&gt;="&amp;$C$4,DaybyDay[Date],"&lt;="&amp;DaybyDay[[#This Row],[Date]])</f>
        <v>0</v>
      </c>
      <c r="R572" s="34">
        <f>SUMIFS(DaybyDay[Retail-Actuals],DaybyDay[Date],"&gt;="&amp;$C$5,DaybyDay[RowYear],"&gt;="&amp;$C$4,DaybyDay[Date],"&lt;="&amp;DaybyDay[[#This Row],[Date]])</f>
        <v>0</v>
      </c>
      <c r="S572" s="35">
        <f>SUMIFS(DaybyDay[Service-LY],DaybyDay[Date],"&gt;="&amp;$C$5,DaybyDay[RowYear],"&gt;="&amp;$C$4,DaybyDay[Date],"&lt;="&amp;DaybyDay[[#This Row],[Date]])</f>
        <v>0</v>
      </c>
      <c r="T572" s="35">
        <f>SUMIFS(DaybyDay[Retail-LY],DaybyDay[Date],"&gt;="&amp;$C$5,DaybyDay[RowYear],"&gt;="&amp;$C$4,DaybyDay[Date],"&lt;="&amp;DaybyDay[[#This Row],[Date]])</f>
        <v>0</v>
      </c>
      <c r="U572" s="32">
        <f>DaybyDay[[#This Row],[Serv-Bud-RU]]+DaybyDay[[#This Row],[Ret-Bud-RU]]</f>
        <v>0</v>
      </c>
      <c r="V572" s="32">
        <f>DaybyDay[[#This Row],[Serv-Act-RU]]+DaybyDay[[#This Row],[Ret-Act-RU]]</f>
        <v>0</v>
      </c>
      <c r="W572" s="36">
        <f>IF(DaybyDay[[#This Row],[_Space]],IFERROR(
((DaybyDay[[#This Row],[Actual-Rollup]]-DaybyDay[[#This Row],[Budget-Rollup]])/DaybyDay[[#This Row],[Budget-Rollup]]),0),"")</f>
        <v>0</v>
      </c>
      <c r="X572" t="b">
        <f>NOT(AND(ISBLANK(DaybyDay[[#This Row],[Appts]]),ISBLANK(DaybyDay[[#This Row],[Service-Actuals]]),ISBLANK(DaybyDay[[#This Row],[Retail-Actuals]])))</f>
        <v>1</v>
      </c>
      <c r="Y572" s="36">
        <f>IF(DaybyDay[[#This Row],[_Space]],IFERROR(
((DaybyDay[[#This Row],[Actual-Rollup]]-DaybyDay[[#This Row],[LY-Rollup]])/DaybyDay[[#This Row],[LY-Rollup]]),0),"")</f>
        <v>0</v>
      </c>
      <c r="Z572"/>
      <c r="AA572" s="37" t="e">
        <f>IF(DaybyDay[[#This Row],[_Space]],DaybyDay[[#This Row],[Ret-Act-RU]]/DaybyDay[[#This Row],[Serv-Act-RU]],"")</f>
        <v>#DIV/0!</v>
      </c>
      <c r="AB572" s="50" t="e">
        <f>IF(DaybyDay[[#This Row],[_Space]],DaybyDay[[#This Row],[RETPEN-Act]]/DaybyDay[[#This Row],[RETPEN-Bud]],"")</f>
        <v>#DIV/0!</v>
      </c>
      <c r="AC572" s="37" t="e">
        <f>IF(DaybyDay[[#This Row],[_Space]],DaybyDay[[#This Row],[Ret-Bud-RU]]/DaybyDay[[#This Row],[Serv-Bud-RU]],"")</f>
        <v>#DIV/0!</v>
      </c>
      <c r="AD572" s="37" t="e">
        <f>IF(DaybyDay[[#This Row],[_Space]],DaybyDay[[#This Row],[Ret-LY-RU]]/DaybyDay[[#This Row],[Serv-LY-RU]],"")</f>
        <v>#DIV/0!</v>
      </c>
      <c r="AE572" s="30">
        <f>WEEKDAY(DaybyDay[[#This Row],[LY-Date]])</f>
        <v>6</v>
      </c>
      <c r="AF572" s="38">
        <f>$E$2+_xlfn.DAYS(DaybyDay[[#This Row],[Date]],minDate)</f>
        <v>42937</v>
      </c>
      <c r="AG572" s="39" cm="1">
        <f t="array" ref="AG572">IFERROR(INDEX(DaybyDay[],DaybyDay[[#This Row],[FORM_MATCH_HELPER]],8),"")</f>
        <v>13</v>
      </c>
      <c r="AH572" s="39" cm="1">
        <f t="array" ref="AH572">IFERROR(INDEX(DaybyDay[],DaybyDay[[#This Row],[FORM_MATCH_HELPER]],10),"")</f>
        <v>3341</v>
      </c>
      <c r="AI572" s="39" cm="1">
        <f t="array" ref="AI572">IFERROR(INDEX(DaybyDay[],DaybyDay[[#This Row],[FORM_MATCH_HELPER]],12),"")</f>
        <v>257.60000000000002</v>
      </c>
      <c r="AJ572" s="32">
        <f>IFERROR(DaybyDay[[#This Row],[Serv-LY-RU]]+DaybyDay[[#This Row],[Ret-LY-RU]],"")</f>
        <v>0</v>
      </c>
      <c r="AK5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2" s="77"/>
      <c r="AM572" s="40" t="str">
        <f>IF(DaybyDay[[#This Row],[Admin Hours]]&gt;0,DaybyDay[[#This Row],[Admin Hours]]*$AM$2+$AM$3,"")</f>
        <v/>
      </c>
      <c r="AN572" s="40">
        <f>SUMIFS(DaybyDay[Est-Admin-Payroll],DaybyDay[Date],"&gt;="&amp;$C$5,DaybyDay[RowYear],"&gt;="&amp;$C$4,DaybyDay[Date],"&lt;="&amp;DaybyDay[[#This Row],[Date]])</f>
        <v>0</v>
      </c>
      <c r="AO572" s="41" t="str">
        <f>IF(AND(DaybyDay[[#This Row],[_Space]],ISNUMBER(DaybyDay[[#This Row],[Admin Hours]])),DaybyDay[[#This Row],[Est-Admin-Payroll]]/(DaybyDay[[#This Row],[Service-Actuals]]+DaybyDay[[#This Row],[Retail-Actuals]]),"")</f>
        <v/>
      </c>
      <c r="AP572" s="41" t="e">
        <f>DaybyDay[[#This Row],[Estimated-Payroll-Rollup]]/DaybyDay[[#This Row],[Simple-Forecast]]</f>
        <v>#DIV/0!</v>
      </c>
      <c r="AQ5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2" s="77"/>
      <c r="AS572" s="40" t="str">
        <f>IF(DaybyDay[[#This Row],[Retail Hours]]&gt;0,DaybyDay[[#This Row],[Retail Hours]]*$AS$2,"")</f>
        <v/>
      </c>
      <c r="AT572" s="40">
        <f>SUMIFS(DaybyDay[Est-Retail-Payroll],DaybyDay[Date],"&gt;="&amp;$C$5,DaybyDay[RowYear],"&gt;="&amp;$C$4,DaybyDay[Date],"&lt;="&amp;DaybyDay[[#This Row],[Date]])</f>
        <v>0</v>
      </c>
      <c r="AU572" s="82" t="str">
        <f>IF(AND(DaybyDay[[#This Row],[_Space]],ISNUMBER(DaybyDay[[#This Row],[Retail Hours]])),DaybyDay[[#This Row],[Est-Retail-Payroll]]/(DaybyDay[[#This Row],[Retail-Actuals]]),"")</f>
        <v/>
      </c>
      <c r="AV572" s="82" t="e">
        <f>DaybyDay[[#This Row],[Est-Retail-PayrollRU]]/DaybyDay[[#This Row],[Simple-Forecast-Retail]]</f>
        <v>#DIV/0!</v>
      </c>
      <c r="AW572" s="8"/>
    </row>
    <row r="573" spans="3:49" hidden="1" x14ac:dyDescent="0.25">
      <c r="C573" s="26" t="str">
        <f>Tools!$C$1</f>
        <v>Example</v>
      </c>
      <c r="D573" s="27" t="s">
        <v>74</v>
      </c>
      <c r="E573" s="28">
        <v>2018</v>
      </c>
      <c r="F573" s="28">
        <f>MATCH(DaybyDay[[#This Row],[RowMonth]],Table3[SummaryMonth],0)</f>
        <v>7</v>
      </c>
      <c r="G573" s="29">
        <f>MATCH(DaybyDay[[#This Row],[LY-Date]],DaybyDay[Date],0)</f>
        <v>203</v>
      </c>
      <c r="H573" s="30">
        <f>WEEKDAY(DaybyDay[[#This Row],[Date]])</f>
        <v>7</v>
      </c>
      <c r="I573" s="31">
        <v>43302</v>
      </c>
      <c r="J573" s="74">
        <v>22</v>
      </c>
      <c r="K573" s="32">
        <f>SUMIFS(BudgetSeasonality[365 Seasonality],BudgetSeasonality[MonthAdjustment],DaybyDay[[#This Row],[Date]])*SUMIFS(Budgets[Service-Budget],Budgets[BudgetMonth],DaybyDay[[#This Row],[RowMonth]],Budgets[BudgetYear],DaybyDay[[#This Row],[RowYear]])</f>
        <v>8460.509331038329</v>
      </c>
      <c r="L573" s="75">
        <v>5739.5</v>
      </c>
      <c r="M573" s="32">
        <f>INDEX(BudgetSeasonality[365 Seasonality],MATCH(DaybyDay[[#This Row],[Date]],BudgetSeasonality[MonthAdjustment],0))*SUMIFS(Budgets[Retail-Budget],Budgets[BudgetMonth],DaybyDay[[#This Row],[RowMonth]],Budgets[BudgetYear],DaybyDay[[#This Row],[RowYear]])</f>
        <v>2363.8107707200984</v>
      </c>
      <c r="N573" s="75">
        <v>1057.6300000000001</v>
      </c>
      <c r="O573" s="33">
        <f>SUMIFS(DaybyDay[Service-Budgets],DaybyDay[Date],"&gt;="&amp;$C$5,DaybyDay[RowYear],"&gt;="&amp;$C$4,DaybyDay[Date],"&lt;="&amp;DaybyDay[[#This Row],[Date]])</f>
        <v>0</v>
      </c>
      <c r="P573" s="33">
        <f>SUMIFS(DaybyDay[Retail-Budgets],DaybyDay[Date],"&gt;="&amp;$C$5,DaybyDay[RowYear],"&gt;="&amp;$C$4,DaybyDay[Date],"&lt;="&amp;DaybyDay[[#This Row],[Date]])</f>
        <v>0</v>
      </c>
      <c r="Q573" s="34">
        <f>SUMIFS(DaybyDay[Service-Actuals],DaybyDay[Date],"&gt;="&amp;$C$5,DaybyDay[RowYear],"&gt;="&amp;$C$4,DaybyDay[Date],"&lt;="&amp;DaybyDay[[#This Row],[Date]])</f>
        <v>0</v>
      </c>
      <c r="R573" s="34">
        <f>SUMIFS(DaybyDay[Retail-Actuals],DaybyDay[Date],"&gt;="&amp;$C$5,DaybyDay[RowYear],"&gt;="&amp;$C$4,DaybyDay[Date],"&lt;="&amp;DaybyDay[[#This Row],[Date]])</f>
        <v>0</v>
      </c>
      <c r="S573" s="35">
        <f>SUMIFS(DaybyDay[Service-LY],DaybyDay[Date],"&gt;="&amp;$C$5,DaybyDay[RowYear],"&gt;="&amp;$C$4,DaybyDay[Date],"&lt;="&amp;DaybyDay[[#This Row],[Date]])</f>
        <v>0</v>
      </c>
      <c r="T573" s="35">
        <f>SUMIFS(DaybyDay[Retail-LY],DaybyDay[Date],"&gt;="&amp;$C$5,DaybyDay[RowYear],"&gt;="&amp;$C$4,DaybyDay[Date],"&lt;="&amp;DaybyDay[[#This Row],[Date]])</f>
        <v>0</v>
      </c>
      <c r="U573" s="32">
        <f>DaybyDay[[#This Row],[Serv-Bud-RU]]+DaybyDay[[#This Row],[Ret-Bud-RU]]</f>
        <v>0</v>
      </c>
      <c r="V573" s="32">
        <f>DaybyDay[[#This Row],[Serv-Act-RU]]+DaybyDay[[#This Row],[Ret-Act-RU]]</f>
        <v>0</v>
      </c>
      <c r="W573" s="36">
        <f>IF(DaybyDay[[#This Row],[_Space]],IFERROR(
((DaybyDay[[#This Row],[Actual-Rollup]]-DaybyDay[[#This Row],[Budget-Rollup]])/DaybyDay[[#This Row],[Budget-Rollup]]),0),"")</f>
        <v>0</v>
      </c>
      <c r="X573" t="b">
        <f>NOT(AND(ISBLANK(DaybyDay[[#This Row],[Appts]]),ISBLANK(DaybyDay[[#This Row],[Service-Actuals]]),ISBLANK(DaybyDay[[#This Row],[Retail-Actuals]])))</f>
        <v>1</v>
      </c>
      <c r="Y573" s="36">
        <f>IF(DaybyDay[[#This Row],[_Space]],IFERROR(
((DaybyDay[[#This Row],[Actual-Rollup]]-DaybyDay[[#This Row],[LY-Rollup]])/DaybyDay[[#This Row],[LY-Rollup]]),0),"")</f>
        <v>0</v>
      </c>
      <c r="Z573"/>
      <c r="AA573" s="37" t="e">
        <f>IF(DaybyDay[[#This Row],[_Space]],DaybyDay[[#This Row],[Ret-Act-RU]]/DaybyDay[[#This Row],[Serv-Act-RU]],"")</f>
        <v>#DIV/0!</v>
      </c>
      <c r="AB573" s="50" t="e">
        <f>IF(DaybyDay[[#This Row],[_Space]],DaybyDay[[#This Row],[RETPEN-Act]]/DaybyDay[[#This Row],[RETPEN-Bud]],"")</f>
        <v>#DIV/0!</v>
      </c>
      <c r="AC573" s="37" t="e">
        <f>IF(DaybyDay[[#This Row],[_Space]],DaybyDay[[#This Row],[Ret-Bud-RU]]/DaybyDay[[#This Row],[Serv-Bud-RU]],"")</f>
        <v>#DIV/0!</v>
      </c>
      <c r="AD573" s="37" t="e">
        <f>IF(DaybyDay[[#This Row],[_Space]],DaybyDay[[#This Row],[Ret-LY-RU]]/DaybyDay[[#This Row],[Serv-LY-RU]],"")</f>
        <v>#DIV/0!</v>
      </c>
      <c r="AE573" s="30">
        <f>WEEKDAY(DaybyDay[[#This Row],[LY-Date]])</f>
        <v>7</v>
      </c>
      <c r="AF573" s="38">
        <f>$E$2+_xlfn.DAYS(DaybyDay[[#This Row],[Date]],minDate)</f>
        <v>42938</v>
      </c>
      <c r="AG573" s="39" cm="1">
        <f t="array" ref="AG573">IFERROR(INDEX(DaybyDay[],DaybyDay[[#This Row],[FORM_MATCH_HELPER]],8),"")</f>
        <v>18</v>
      </c>
      <c r="AH573" s="39" cm="1">
        <f t="array" ref="AH573">IFERROR(INDEX(DaybyDay[],DaybyDay[[#This Row],[FORM_MATCH_HELPER]],10),"")</f>
        <v>4742</v>
      </c>
      <c r="AI573" s="39" cm="1">
        <f t="array" ref="AI573">IFERROR(INDEX(DaybyDay[],DaybyDay[[#This Row],[FORM_MATCH_HELPER]],12),"")</f>
        <v>865.8</v>
      </c>
      <c r="AJ573" s="32">
        <f>IFERROR(DaybyDay[[#This Row],[Serv-LY-RU]]+DaybyDay[[#This Row],[Ret-LY-RU]],"")</f>
        <v>0</v>
      </c>
      <c r="AK5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3" s="77"/>
      <c r="AM573" s="40" t="str">
        <f>IF(DaybyDay[[#This Row],[Admin Hours]]&gt;0,DaybyDay[[#This Row],[Admin Hours]]*$AM$2+$AM$3,"")</f>
        <v/>
      </c>
      <c r="AN573" s="40">
        <f>SUMIFS(DaybyDay[Est-Admin-Payroll],DaybyDay[Date],"&gt;="&amp;$C$5,DaybyDay[RowYear],"&gt;="&amp;$C$4,DaybyDay[Date],"&lt;="&amp;DaybyDay[[#This Row],[Date]])</f>
        <v>0</v>
      </c>
      <c r="AO573" s="41" t="str">
        <f>IF(AND(DaybyDay[[#This Row],[_Space]],ISNUMBER(DaybyDay[[#This Row],[Admin Hours]])),DaybyDay[[#This Row],[Est-Admin-Payroll]]/(DaybyDay[[#This Row],[Service-Actuals]]+DaybyDay[[#This Row],[Retail-Actuals]]),"")</f>
        <v/>
      </c>
      <c r="AP573" s="41" t="e">
        <f>DaybyDay[[#This Row],[Estimated-Payroll-Rollup]]/DaybyDay[[#This Row],[Simple-Forecast]]</f>
        <v>#DIV/0!</v>
      </c>
      <c r="AQ5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3" s="77"/>
      <c r="AS573" s="40" t="str">
        <f>IF(DaybyDay[[#This Row],[Retail Hours]]&gt;0,DaybyDay[[#This Row],[Retail Hours]]*$AS$2,"")</f>
        <v/>
      </c>
      <c r="AT573" s="40">
        <f>SUMIFS(DaybyDay[Est-Retail-Payroll],DaybyDay[Date],"&gt;="&amp;$C$5,DaybyDay[RowYear],"&gt;="&amp;$C$4,DaybyDay[Date],"&lt;="&amp;DaybyDay[[#This Row],[Date]])</f>
        <v>0</v>
      </c>
      <c r="AU573" s="82" t="str">
        <f>IF(AND(DaybyDay[[#This Row],[_Space]],ISNUMBER(DaybyDay[[#This Row],[Retail Hours]])),DaybyDay[[#This Row],[Est-Retail-Payroll]]/(DaybyDay[[#This Row],[Retail-Actuals]]),"")</f>
        <v/>
      </c>
      <c r="AV573" s="82" t="e">
        <f>DaybyDay[[#This Row],[Est-Retail-PayrollRU]]/DaybyDay[[#This Row],[Simple-Forecast-Retail]]</f>
        <v>#DIV/0!</v>
      </c>
      <c r="AW573" s="8"/>
    </row>
    <row r="574" spans="3:49" hidden="1" x14ac:dyDescent="0.25">
      <c r="C574" s="26" t="str">
        <f>Tools!$C$1</f>
        <v>Example</v>
      </c>
      <c r="D574" s="27" t="s">
        <v>74</v>
      </c>
      <c r="E574" s="28">
        <v>2018</v>
      </c>
      <c r="F574" s="28">
        <f>MATCH(DaybyDay[[#This Row],[RowMonth]],Table3[SummaryMonth],0)</f>
        <v>7</v>
      </c>
      <c r="G574" s="29">
        <f>MATCH(DaybyDay[[#This Row],[LY-Date]],DaybyDay[Date],0)</f>
        <v>204</v>
      </c>
      <c r="H574" s="30">
        <f>WEEKDAY(DaybyDay[[#This Row],[Date]])</f>
        <v>1</v>
      </c>
      <c r="I574" s="31">
        <v>43303</v>
      </c>
      <c r="J574" s="74">
        <v>31</v>
      </c>
      <c r="K574" s="32">
        <f>SUMIFS(BudgetSeasonality[365 Seasonality],BudgetSeasonality[MonthAdjustment],DaybyDay[[#This Row],[Date]])*SUMIFS(Budgets[Service-Budget],Budgets[BudgetMonth],DaybyDay[[#This Row],[RowMonth]],Budgets[BudgetYear],DaybyDay[[#This Row],[RowYear]])</f>
        <v>6538.2390073266151</v>
      </c>
      <c r="L574" s="75">
        <v>6020.4</v>
      </c>
      <c r="M574" s="32">
        <f>INDEX(BudgetSeasonality[365 Seasonality],MATCH(DaybyDay[[#This Row],[Date]],BudgetSeasonality[MonthAdjustment],0))*SUMIFS(Budgets[Retail-Budget],Budgets[BudgetMonth],DaybyDay[[#This Row],[RowMonth]],Budgets[BudgetYear],DaybyDay[[#This Row],[RowYear]])</f>
        <v>1826.7410604184247</v>
      </c>
      <c r="N574" s="75">
        <v>519.97</v>
      </c>
      <c r="O574" s="33">
        <f>SUMIFS(DaybyDay[Service-Budgets],DaybyDay[Date],"&gt;="&amp;$C$5,DaybyDay[RowYear],"&gt;="&amp;$C$4,DaybyDay[Date],"&lt;="&amp;DaybyDay[[#This Row],[Date]])</f>
        <v>0</v>
      </c>
      <c r="P574" s="33">
        <f>SUMIFS(DaybyDay[Retail-Budgets],DaybyDay[Date],"&gt;="&amp;$C$5,DaybyDay[RowYear],"&gt;="&amp;$C$4,DaybyDay[Date],"&lt;="&amp;DaybyDay[[#This Row],[Date]])</f>
        <v>0</v>
      </c>
      <c r="Q574" s="34">
        <f>SUMIFS(DaybyDay[Service-Actuals],DaybyDay[Date],"&gt;="&amp;$C$5,DaybyDay[RowYear],"&gt;="&amp;$C$4,DaybyDay[Date],"&lt;="&amp;DaybyDay[[#This Row],[Date]])</f>
        <v>0</v>
      </c>
      <c r="R574" s="34">
        <f>SUMIFS(DaybyDay[Retail-Actuals],DaybyDay[Date],"&gt;="&amp;$C$5,DaybyDay[RowYear],"&gt;="&amp;$C$4,DaybyDay[Date],"&lt;="&amp;DaybyDay[[#This Row],[Date]])</f>
        <v>0</v>
      </c>
      <c r="S574" s="35">
        <f>SUMIFS(DaybyDay[Service-LY],DaybyDay[Date],"&gt;="&amp;$C$5,DaybyDay[RowYear],"&gt;="&amp;$C$4,DaybyDay[Date],"&lt;="&amp;DaybyDay[[#This Row],[Date]])</f>
        <v>0</v>
      </c>
      <c r="T574" s="35">
        <f>SUMIFS(DaybyDay[Retail-LY],DaybyDay[Date],"&gt;="&amp;$C$5,DaybyDay[RowYear],"&gt;="&amp;$C$4,DaybyDay[Date],"&lt;="&amp;DaybyDay[[#This Row],[Date]])</f>
        <v>0</v>
      </c>
      <c r="U574" s="32">
        <f>DaybyDay[[#This Row],[Serv-Bud-RU]]+DaybyDay[[#This Row],[Ret-Bud-RU]]</f>
        <v>0</v>
      </c>
      <c r="V574" s="32">
        <f>DaybyDay[[#This Row],[Serv-Act-RU]]+DaybyDay[[#This Row],[Ret-Act-RU]]</f>
        <v>0</v>
      </c>
      <c r="W574" s="36">
        <f>IF(DaybyDay[[#This Row],[_Space]],IFERROR(
((DaybyDay[[#This Row],[Actual-Rollup]]-DaybyDay[[#This Row],[Budget-Rollup]])/DaybyDay[[#This Row],[Budget-Rollup]]),0),"")</f>
        <v>0</v>
      </c>
      <c r="X574" t="b">
        <f>NOT(AND(ISBLANK(DaybyDay[[#This Row],[Appts]]),ISBLANK(DaybyDay[[#This Row],[Service-Actuals]]),ISBLANK(DaybyDay[[#This Row],[Retail-Actuals]])))</f>
        <v>1</v>
      </c>
      <c r="Y574" s="36">
        <f>IF(DaybyDay[[#This Row],[_Space]],IFERROR(
((DaybyDay[[#This Row],[Actual-Rollup]]-DaybyDay[[#This Row],[LY-Rollup]])/DaybyDay[[#This Row],[LY-Rollup]]),0),"")</f>
        <v>0</v>
      </c>
      <c r="Z574"/>
      <c r="AA574" s="37" t="e">
        <f>IF(DaybyDay[[#This Row],[_Space]],DaybyDay[[#This Row],[Ret-Act-RU]]/DaybyDay[[#This Row],[Serv-Act-RU]],"")</f>
        <v>#DIV/0!</v>
      </c>
      <c r="AB574" s="50" t="e">
        <f>IF(DaybyDay[[#This Row],[_Space]],DaybyDay[[#This Row],[RETPEN-Act]]/DaybyDay[[#This Row],[RETPEN-Bud]],"")</f>
        <v>#DIV/0!</v>
      </c>
      <c r="AC574" s="37" t="e">
        <f>IF(DaybyDay[[#This Row],[_Space]],DaybyDay[[#This Row],[Ret-Bud-RU]]/DaybyDay[[#This Row],[Serv-Bud-RU]],"")</f>
        <v>#DIV/0!</v>
      </c>
      <c r="AD574" s="37" t="e">
        <f>IF(DaybyDay[[#This Row],[_Space]],DaybyDay[[#This Row],[Ret-LY-RU]]/DaybyDay[[#This Row],[Serv-LY-RU]],"")</f>
        <v>#DIV/0!</v>
      </c>
      <c r="AE574" s="30">
        <f>WEEKDAY(DaybyDay[[#This Row],[LY-Date]])</f>
        <v>1</v>
      </c>
      <c r="AF574" s="38">
        <f>$E$2+_xlfn.DAYS(DaybyDay[[#This Row],[Date]],minDate)</f>
        <v>42939</v>
      </c>
      <c r="AG574" s="39" cm="1">
        <f t="array" ref="AG574">IFERROR(INDEX(DaybyDay[],DaybyDay[[#This Row],[FORM_MATCH_HELPER]],8),"")</f>
        <v>21</v>
      </c>
      <c r="AH574" s="39" cm="1">
        <f t="array" ref="AH574">IFERROR(INDEX(DaybyDay[],DaybyDay[[#This Row],[FORM_MATCH_HELPER]],10),"")</f>
        <v>4304.96</v>
      </c>
      <c r="AI574" s="39" cm="1">
        <f t="array" ref="AI574">IFERROR(INDEX(DaybyDay[],DaybyDay[[#This Row],[FORM_MATCH_HELPER]],12),"")</f>
        <v>0</v>
      </c>
      <c r="AJ574" s="32">
        <f>IFERROR(DaybyDay[[#This Row],[Serv-LY-RU]]+DaybyDay[[#This Row],[Ret-LY-RU]],"")</f>
        <v>0</v>
      </c>
      <c r="AK5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4" s="77"/>
      <c r="AM574" s="40" t="str">
        <f>IF(DaybyDay[[#This Row],[Admin Hours]]&gt;0,DaybyDay[[#This Row],[Admin Hours]]*$AM$2+$AM$3,"")</f>
        <v/>
      </c>
      <c r="AN574" s="40">
        <f>SUMIFS(DaybyDay[Est-Admin-Payroll],DaybyDay[Date],"&gt;="&amp;$C$5,DaybyDay[RowYear],"&gt;="&amp;$C$4,DaybyDay[Date],"&lt;="&amp;DaybyDay[[#This Row],[Date]])</f>
        <v>0</v>
      </c>
      <c r="AO574" s="41" t="str">
        <f>IF(AND(DaybyDay[[#This Row],[_Space]],ISNUMBER(DaybyDay[[#This Row],[Admin Hours]])),DaybyDay[[#This Row],[Est-Admin-Payroll]]/(DaybyDay[[#This Row],[Service-Actuals]]+DaybyDay[[#This Row],[Retail-Actuals]]),"")</f>
        <v/>
      </c>
      <c r="AP574" s="41" t="e">
        <f>DaybyDay[[#This Row],[Estimated-Payroll-Rollup]]/DaybyDay[[#This Row],[Simple-Forecast]]</f>
        <v>#DIV/0!</v>
      </c>
      <c r="AQ5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4" s="77"/>
      <c r="AS574" s="40" t="str">
        <f>IF(DaybyDay[[#This Row],[Retail Hours]]&gt;0,DaybyDay[[#This Row],[Retail Hours]]*$AS$2,"")</f>
        <v/>
      </c>
      <c r="AT574" s="40">
        <f>SUMIFS(DaybyDay[Est-Retail-Payroll],DaybyDay[Date],"&gt;="&amp;$C$5,DaybyDay[RowYear],"&gt;="&amp;$C$4,DaybyDay[Date],"&lt;="&amp;DaybyDay[[#This Row],[Date]])</f>
        <v>0</v>
      </c>
      <c r="AU574" s="82" t="str">
        <f>IF(AND(DaybyDay[[#This Row],[_Space]],ISNUMBER(DaybyDay[[#This Row],[Retail Hours]])),DaybyDay[[#This Row],[Est-Retail-Payroll]]/(DaybyDay[[#This Row],[Retail-Actuals]]),"")</f>
        <v/>
      </c>
      <c r="AV574" s="82" t="e">
        <f>DaybyDay[[#This Row],[Est-Retail-PayrollRU]]/DaybyDay[[#This Row],[Simple-Forecast-Retail]]</f>
        <v>#DIV/0!</v>
      </c>
      <c r="AW574" s="8"/>
    </row>
    <row r="575" spans="3:49" hidden="1" x14ac:dyDescent="0.25">
      <c r="C575" s="26" t="str">
        <f>Tools!$C$1</f>
        <v>Example</v>
      </c>
      <c r="D575" s="27" t="s">
        <v>74</v>
      </c>
      <c r="E575" s="28">
        <v>2018</v>
      </c>
      <c r="F575" s="28">
        <f>MATCH(DaybyDay[[#This Row],[RowMonth]],Table3[SummaryMonth],0)</f>
        <v>7</v>
      </c>
      <c r="G575" s="29">
        <f>MATCH(DaybyDay[[#This Row],[LY-Date]],DaybyDay[Date],0)</f>
        <v>205</v>
      </c>
      <c r="H575" s="30">
        <f>WEEKDAY(DaybyDay[[#This Row],[Date]])</f>
        <v>2</v>
      </c>
      <c r="I575" s="31">
        <v>43304</v>
      </c>
      <c r="J575" s="74">
        <v>17</v>
      </c>
      <c r="K575" s="32">
        <f>SUMIFS(BudgetSeasonality[365 Seasonality],BudgetSeasonality[MonthAdjustment],DaybyDay[[#This Row],[Date]])*SUMIFS(Budgets[Service-Budget],Budgets[BudgetMonth],DaybyDay[[#This Row],[RowMonth]],Budgets[BudgetYear],DaybyDay[[#This Row],[RowYear]])</f>
        <v>3699.620299054116</v>
      </c>
      <c r="L575" s="75">
        <v>2924.4</v>
      </c>
      <c r="M575" s="32">
        <f>INDEX(BudgetSeasonality[365 Seasonality],MATCH(DaybyDay[[#This Row],[Date]],BudgetSeasonality[MonthAdjustment],0))*SUMIFS(Budgets[Retail-Budget],Budgets[BudgetMonth],DaybyDay[[#This Row],[RowMonth]],Budgets[BudgetYear],DaybyDay[[#This Row],[RowYear]])</f>
        <v>1033.6496265533415</v>
      </c>
      <c r="N575" s="75">
        <v>1803.45</v>
      </c>
      <c r="O575" s="33">
        <f>SUMIFS(DaybyDay[Service-Budgets],DaybyDay[Date],"&gt;="&amp;$C$5,DaybyDay[RowYear],"&gt;="&amp;$C$4,DaybyDay[Date],"&lt;="&amp;DaybyDay[[#This Row],[Date]])</f>
        <v>0</v>
      </c>
      <c r="P575" s="33">
        <f>SUMIFS(DaybyDay[Retail-Budgets],DaybyDay[Date],"&gt;="&amp;$C$5,DaybyDay[RowYear],"&gt;="&amp;$C$4,DaybyDay[Date],"&lt;="&amp;DaybyDay[[#This Row],[Date]])</f>
        <v>0</v>
      </c>
      <c r="Q575" s="34">
        <f>SUMIFS(DaybyDay[Service-Actuals],DaybyDay[Date],"&gt;="&amp;$C$5,DaybyDay[RowYear],"&gt;="&amp;$C$4,DaybyDay[Date],"&lt;="&amp;DaybyDay[[#This Row],[Date]])</f>
        <v>0</v>
      </c>
      <c r="R575" s="34">
        <f>SUMIFS(DaybyDay[Retail-Actuals],DaybyDay[Date],"&gt;="&amp;$C$5,DaybyDay[RowYear],"&gt;="&amp;$C$4,DaybyDay[Date],"&lt;="&amp;DaybyDay[[#This Row],[Date]])</f>
        <v>0</v>
      </c>
      <c r="S575" s="35">
        <f>SUMIFS(DaybyDay[Service-LY],DaybyDay[Date],"&gt;="&amp;$C$5,DaybyDay[RowYear],"&gt;="&amp;$C$4,DaybyDay[Date],"&lt;="&amp;DaybyDay[[#This Row],[Date]])</f>
        <v>0</v>
      </c>
      <c r="T575" s="35">
        <f>SUMIFS(DaybyDay[Retail-LY],DaybyDay[Date],"&gt;="&amp;$C$5,DaybyDay[RowYear],"&gt;="&amp;$C$4,DaybyDay[Date],"&lt;="&amp;DaybyDay[[#This Row],[Date]])</f>
        <v>0</v>
      </c>
      <c r="U575" s="32">
        <f>DaybyDay[[#This Row],[Serv-Bud-RU]]+DaybyDay[[#This Row],[Ret-Bud-RU]]</f>
        <v>0</v>
      </c>
      <c r="V575" s="32">
        <f>DaybyDay[[#This Row],[Serv-Act-RU]]+DaybyDay[[#This Row],[Ret-Act-RU]]</f>
        <v>0</v>
      </c>
      <c r="W575" s="36">
        <f>IF(DaybyDay[[#This Row],[_Space]],IFERROR(
((DaybyDay[[#This Row],[Actual-Rollup]]-DaybyDay[[#This Row],[Budget-Rollup]])/DaybyDay[[#This Row],[Budget-Rollup]]),0),"")</f>
        <v>0</v>
      </c>
      <c r="X575" t="b">
        <f>NOT(AND(ISBLANK(DaybyDay[[#This Row],[Appts]]),ISBLANK(DaybyDay[[#This Row],[Service-Actuals]]),ISBLANK(DaybyDay[[#This Row],[Retail-Actuals]])))</f>
        <v>1</v>
      </c>
      <c r="Y575" s="36">
        <f>IF(DaybyDay[[#This Row],[_Space]],IFERROR(
((DaybyDay[[#This Row],[Actual-Rollup]]-DaybyDay[[#This Row],[LY-Rollup]])/DaybyDay[[#This Row],[LY-Rollup]]),0),"")</f>
        <v>0</v>
      </c>
      <c r="Z575"/>
      <c r="AA575" s="37" t="e">
        <f>IF(DaybyDay[[#This Row],[_Space]],DaybyDay[[#This Row],[Ret-Act-RU]]/DaybyDay[[#This Row],[Serv-Act-RU]],"")</f>
        <v>#DIV/0!</v>
      </c>
      <c r="AB575" s="50" t="e">
        <f>IF(DaybyDay[[#This Row],[_Space]],DaybyDay[[#This Row],[RETPEN-Act]]/DaybyDay[[#This Row],[RETPEN-Bud]],"")</f>
        <v>#DIV/0!</v>
      </c>
      <c r="AC575" s="37" t="e">
        <f>IF(DaybyDay[[#This Row],[_Space]],DaybyDay[[#This Row],[Ret-Bud-RU]]/DaybyDay[[#This Row],[Serv-Bud-RU]],"")</f>
        <v>#DIV/0!</v>
      </c>
      <c r="AD575" s="37" t="e">
        <f>IF(DaybyDay[[#This Row],[_Space]],DaybyDay[[#This Row],[Ret-LY-RU]]/DaybyDay[[#This Row],[Serv-LY-RU]],"")</f>
        <v>#DIV/0!</v>
      </c>
      <c r="AE575" s="30">
        <f>WEEKDAY(DaybyDay[[#This Row],[LY-Date]])</f>
        <v>2</v>
      </c>
      <c r="AF575" s="38">
        <f>$E$2+_xlfn.DAYS(DaybyDay[[#This Row],[Date]],minDate)</f>
        <v>42940</v>
      </c>
      <c r="AG575" s="39" cm="1">
        <f t="array" ref="AG575">IFERROR(INDEX(DaybyDay[],DaybyDay[[#This Row],[FORM_MATCH_HELPER]],8),"")</f>
        <v>15</v>
      </c>
      <c r="AH575" s="39" cm="1">
        <f t="array" ref="AH575">IFERROR(INDEX(DaybyDay[],DaybyDay[[#This Row],[FORM_MATCH_HELPER]],10),"")</f>
        <v>3268.8</v>
      </c>
      <c r="AI575" s="39" cm="1">
        <f t="array" ref="AI575">IFERROR(INDEX(DaybyDay[],DaybyDay[[#This Row],[FORM_MATCH_HELPER]],12),"")</f>
        <v>28</v>
      </c>
      <c r="AJ575" s="32">
        <f>IFERROR(DaybyDay[[#This Row],[Serv-LY-RU]]+DaybyDay[[#This Row],[Ret-LY-RU]],"")</f>
        <v>0</v>
      </c>
      <c r="AK5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5" s="77"/>
      <c r="AM575" s="40" t="str">
        <f>IF(DaybyDay[[#This Row],[Admin Hours]]&gt;0,DaybyDay[[#This Row],[Admin Hours]]*$AM$2+$AM$3,"")</f>
        <v/>
      </c>
      <c r="AN575" s="40">
        <f>SUMIFS(DaybyDay[Est-Admin-Payroll],DaybyDay[Date],"&gt;="&amp;$C$5,DaybyDay[RowYear],"&gt;="&amp;$C$4,DaybyDay[Date],"&lt;="&amp;DaybyDay[[#This Row],[Date]])</f>
        <v>0</v>
      </c>
      <c r="AO575" s="41" t="str">
        <f>IF(AND(DaybyDay[[#This Row],[_Space]],ISNUMBER(DaybyDay[[#This Row],[Admin Hours]])),DaybyDay[[#This Row],[Est-Admin-Payroll]]/(DaybyDay[[#This Row],[Service-Actuals]]+DaybyDay[[#This Row],[Retail-Actuals]]),"")</f>
        <v/>
      </c>
      <c r="AP575" s="41" t="e">
        <f>DaybyDay[[#This Row],[Estimated-Payroll-Rollup]]/DaybyDay[[#This Row],[Simple-Forecast]]</f>
        <v>#DIV/0!</v>
      </c>
      <c r="AQ5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5" s="77"/>
      <c r="AS575" s="40" t="str">
        <f>IF(DaybyDay[[#This Row],[Retail Hours]]&gt;0,DaybyDay[[#This Row],[Retail Hours]]*$AS$2,"")</f>
        <v/>
      </c>
      <c r="AT575" s="40">
        <f>SUMIFS(DaybyDay[Est-Retail-Payroll],DaybyDay[Date],"&gt;="&amp;$C$5,DaybyDay[RowYear],"&gt;="&amp;$C$4,DaybyDay[Date],"&lt;="&amp;DaybyDay[[#This Row],[Date]])</f>
        <v>0</v>
      </c>
      <c r="AU575" s="82" t="str">
        <f>IF(AND(DaybyDay[[#This Row],[_Space]],ISNUMBER(DaybyDay[[#This Row],[Retail Hours]])),DaybyDay[[#This Row],[Est-Retail-Payroll]]/(DaybyDay[[#This Row],[Retail-Actuals]]),"")</f>
        <v/>
      </c>
      <c r="AV575" s="82" t="e">
        <f>DaybyDay[[#This Row],[Est-Retail-PayrollRU]]/DaybyDay[[#This Row],[Simple-Forecast-Retail]]</f>
        <v>#DIV/0!</v>
      </c>
      <c r="AW575" s="8"/>
    </row>
    <row r="576" spans="3:49" hidden="1" x14ac:dyDescent="0.25">
      <c r="C576" s="26" t="str">
        <f>Tools!$C$1</f>
        <v>Example</v>
      </c>
      <c r="D576" s="27" t="s">
        <v>74</v>
      </c>
      <c r="E576" s="28">
        <v>2018</v>
      </c>
      <c r="F576" s="28">
        <f>MATCH(DaybyDay[[#This Row],[RowMonth]],Table3[SummaryMonth],0)</f>
        <v>7</v>
      </c>
      <c r="G576" s="29">
        <f>MATCH(DaybyDay[[#This Row],[LY-Date]],DaybyDay[Date],0)</f>
        <v>206</v>
      </c>
      <c r="H576" s="30">
        <f>WEEKDAY(DaybyDay[[#This Row],[Date]])</f>
        <v>3</v>
      </c>
      <c r="I576" s="31">
        <v>43305</v>
      </c>
      <c r="J576" s="74">
        <v>13</v>
      </c>
      <c r="K576" s="32">
        <f>SUMIFS(BudgetSeasonality[365 Seasonality],BudgetSeasonality[MonthAdjustment],DaybyDay[[#This Row],[Date]])*SUMIFS(Budgets[Service-Budget],Budgets[BudgetMonth],DaybyDay[[#This Row],[RowMonth]],Budgets[BudgetYear],DaybyDay[[#This Row],[RowYear]])</f>
        <v>3896.7958540271834</v>
      </c>
      <c r="L576" s="75">
        <v>2902.45</v>
      </c>
      <c r="M576" s="32">
        <f>INDEX(BudgetSeasonality[365 Seasonality],MATCH(DaybyDay[[#This Row],[Date]],BudgetSeasonality[MonthAdjustment],0))*SUMIFS(Budgets[Retail-Budget],Budgets[BudgetMonth],DaybyDay[[#This Row],[RowMonth]],Budgets[BudgetYear],DaybyDay[[#This Row],[RowYear]])</f>
        <v>1088.7391823154471</v>
      </c>
      <c r="N576" s="75">
        <v>1437.65</v>
      </c>
      <c r="O576" s="33">
        <f>SUMIFS(DaybyDay[Service-Budgets],DaybyDay[Date],"&gt;="&amp;$C$5,DaybyDay[RowYear],"&gt;="&amp;$C$4,DaybyDay[Date],"&lt;="&amp;DaybyDay[[#This Row],[Date]])</f>
        <v>0</v>
      </c>
      <c r="P576" s="33">
        <f>SUMIFS(DaybyDay[Retail-Budgets],DaybyDay[Date],"&gt;="&amp;$C$5,DaybyDay[RowYear],"&gt;="&amp;$C$4,DaybyDay[Date],"&lt;="&amp;DaybyDay[[#This Row],[Date]])</f>
        <v>0</v>
      </c>
      <c r="Q576" s="34">
        <f>SUMIFS(DaybyDay[Service-Actuals],DaybyDay[Date],"&gt;="&amp;$C$5,DaybyDay[RowYear],"&gt;="&amp;$C$4,DaybyDay[Date],"&lt;="&amp;DaybyDay[[#This Row],[Date]])</f>
        <v>0</v>
      </c>
      <c r="R576" s="34">
        <f>SUMIFS(DaybyDay[Retail-Actuals],DaybyDay[Date],"&gt;="&amp;$C$5,DaybyDay[RowYear],"&gt;="&amp;$C$4,DaybyDay[Date],"&lt;="&amp;DaybyDay[[#This Row],[Date]])</f>
        <v>0</v>
      </c>
      <c r="S576" s="35">
        <f>SUMIFS(DaybyDay[Service-LY],DaybyDay[Date],"&gt;="&amp;$C$5,DaybyDay[RowYear],"&gt;="&amp;$C$4,DaybyDay[Date],"&lt;="&amp;DaybyDay[[#This Row],[Date]])</f>
        <v>0</v>
      </c>
      <c r="T576" s="35">
        <f>SUMIFS(DaybyDay[Retail-LY],DaybyDay[Date],"&gt;="&amp;$C$5,DaybyDay[RowYear],"&gt;="&amp;$C$4,DaybyDay[Date],"&lt;="&amp;DaybyDay[[#This Row],[Date]])</f>
        <v>0</v>
      </c>
      <c r="U576" s="32">
        <f>DaybyDay[[#This Row],[Serv-Bud-RU]]+DaybyDay[[#This Row],[Ret-Bud-RU]]</f>
        <v>0</v>
      </c>
      <c r="V576" s="32">
        <f>DaybyDay[[#This Row],[Serv-Act-RU]]+DaybyDay[[#This Row],[Ret-Act-RU]]</f>
        <v>0</v>
      </c>
      <c r="W576" s="36">
        <f>IF(DaybyDay[[#This Row],[_Space]],IFERROR(
((DaybyDay[[#This Row],[Actual-Rollup]]-DaybyDay[[#This Row],[Budget-Rollup]])/DaybyDay[[#This Row],[Budget-Rollup]]),0),"")</f>
        <v>0</v>
      </c>
      <c r="X576" t="b">
        <f>NOT(AND(ISBLANK(DaybyDay[[#This Row],[Appts]]),ISBLANK(DaybyDay[[#This Row],[Service-Actuals]]),ISBLANK(DaybyDay[[#This Row],[Retail-Actuals]])))</f>
        <v>1</v>
      </c>
      <c r="Y576" s="36">
        <f>IF(DaybyDay[[#This Row],[_Space]],IFERROR(
((DaybyDay[[#This Row],[Actual-Rollup]]-DaybyDay[[#This Row],[LY-Rollup]])/DaybyDay[[#This Row],[LY-Rollup]]),0),"")</f>
        <v>0</v>
      </c>
      <c r="Z576"/>
      <c r="AA576" s="37" t="e">
        <f>IF(DaybyDay[[#This Row],[_Space]],DaybyDay[[#This Row],[Ret-Act-RU]]/DaybyDay[[#This Row],[Serv-Act-RU]],"")</f>
        <v>#DIV/0!</v>
      </c>
      <c r="AB576" s="50" t="e">
        <f>IF(DaybyDay[[#This Row],[_Space]],DaybyDay[[#This Row],[RETPEN-Act]]/DaybyDay[[#This Row],[RETPEN-Bud]],"")</f>
        <v>#DIV/0!</v>
      </c>
      <c r="AC576" s="37" t="e">
        <f>IF(DaybyDay[[#This Row],[_Space]],DaybyDay[[#This Row],[Ret-Bud-RU]]/DaybyDay[[#This Row],[Serv-Bud-RU]],"")</f>
        <v>#DIV/0!</v>
      </c>
      <c r="AD576" s="37" t="e">
        <f>IF(DaybyDay[[#This Row],[_Space]],DaybyDay[[#This Row],[Ret-LY-RU]]/DaybyDay[[#This Row],[Serv-LY-RU]],"")</f>
        <v>#DIV/0!</v>
      </c>
      <c r="AE576" s="30">
        <f>WEEKDAY(DaybyDay[[#This Row],[LY-Date]])</f>
        <v>3</v>
      </c>
      <c r="AF576" s="38">
        <f>$E$2+_xlfn.DAYS(DaybyDay[[#This Row],[Date]],minDate)</f>
        <v>42941</v>
      </c>
      <c r="AG576" s="39" cm="1">
        <f t="array" ref="AG576">IFERROR(INDEX(DaybyDay[],DaybyDay[[#This Row],[FORM_MATCH_HELPER]],8),"")</f>
        <v>20</v>
      </c>
      <c r="AH576" s="39" cm="1">
        <f t="array" ref="AH576">IFERROR(INDEX(DaybyDay[],DaybyDay[[#This Row],[FORM_MATCH_HELPER]],10),"")</f>
        <v>4577.7</v>
      </c>
      <c r="AI576" s="39" cm="1">
        <f t="array" ref="AI576">IFERROR(INDEX(DaybyDay[],DaybyDay[[#This Row],[FORM_MATCH_HELPER]],12),"")</f>
        <v>290</v>
      </c>
      <c r="AJ576" s="32">
        <f>IFERROR(DaybyDay[[#This Row],[Serv-LY-RU]]+DaybyDay[[#This Row],[Ret-LY-RU]],"")</f>
        <v>0</v>
      </c>
      <c r="AK5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6" s="77"/>
      <c r="AM576" s="40" t="str">
        <f>IF(DaybyDay[[#This Row],[Admin Hours]]&gt;0,DaybyDay[[#This Row],[Admin Hours]]*$AM$2+$AM$3,"")</f>
        <v/>
      </c>
      <c r="AN576" s="40">
        <f>SUMIFS(DaybyDay[Est-Admin-Payroll],DaybyDay[Date],"&gt;="&amp;$C$5,DaybyDay[RowYear],"&gt;="&amp;$C$4,DaybyDay[Date],"&lt;="&amp;DaybyDay[[#This Row],[Date]])</f>
        <v>0</v>
      </c>
      <c r="AO576" s="41" t="str">
        <f>IF(AND(DaybyDay[[#This Row],[_Space]],ISNUMBER(DaybyDay[[#This Row],[Admin Hours]])),DaybyDay[[#This Row],[Est-Admin-Payroll]]/(DaybyDay[[#This Row],[Service-Actuals]]+DaybyDay[[#This Row],[Retail-Actuals]]),"")</f>
        <v/>
      </c>
      <c r="AP576" s="41" t="e">
        <f>DaybyDay[[#This Row],[Estimated-Payroll-Rollup]]/DaybyDay[[#This Row],[Simple-Forecast]]</f>
        <v>#DIV/0!</v>
      </c>
      <c r="AQ5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6" s="77"/>
      <c r="AS576" s="40" t="str">
        <f>IF(DaybyDay[[#This Row],[Retail Hours]]&gt;0,DaybyDay[[#This Row],[Retail Hours]]*$AS$2,"")</f>
        <v/>
      </c>
      <c r="AT576" s="40">
        <f>SUMIFS(DaybyDay[Est-Retail-Payroll],DaybyDay[Date],"&gt;="&amp;$C$5,DaybyDay[RowYear],"&gt;="&amp;$C$4,DaybyDay[Date],"&lt;="&amp;DaybyDay[[#This Row],[Date]])</f>
        <v>0</v>
      </c>
      <c r="AU576" s="82" t="str">
        <f>IF(AND(DaybyDay[[#This Row],[_Space]],ISNUMBER(DaybyDay[[#This Row],[Retail Hours]])),DaybyDay[[#This Row],[Est-Retail-Payroll]]/(DaybyDay[[#This Row],[Retail-Actuals]]),"")</f>
        <v/>
      </c>
      <c r="AV576" s="82" t="e">
        <f>DaybyDay[[#This Row],[Est-Retail-PayrollRU]]/DaybyDay[[#This Row],[Simple-Forecast-Retail]]</f>
        <v>#DIV/0!</v>
      </c>
      <c r="AW576" s="8"/>
    </row>
    <row r="577" spans="3:49" hidden="1" x14ac:dyDescent="0.25">
      <c r="C577" s="26" t="str">
        <f>Tools!$C$1</f>
        <v>Example</v>
      </c>
      <c r="D577" s="27" t="s">
        <v>74</v>
      </c>
      <c r="E577" s="28">
        <v>2018</v>
      </c>
      <c r="F577" s="28">
        <f>MATCH(DaybyDay[[#This Row],[RowMonth]],Table3[SummaryMonth],0)</f>
        <v>7</v>
      </c>
      <c r="G577" s="29">
        <f>MATCH(DaybyDay[[#This Row],[LY-Date]],DaybyDay[Date],0)</f>
        <v>207</v>
      </c>
      <c r="H577" s="30">
        <f>WEEKDAY(DaybyDay[[#This Row],[Date]])</f>
        <v>4</v>
      </c>
      <c r="I577" s="31">
        <v>43306</v>
      </c>
      <c r="J577" s="74">
        <v>19</v>
      </c>
      <c r="K577" s="32">
        <f>SUMIFS(BudgetSeasonality[365 Seasonality],BudgetSeasonality[MonthAdjustment],DaybyDay[[#This Row],[Date]])*SUMIFS(Budgets[Service-Budget],Budgets[BudgetMonth],DaybyDay[[#This Row],[RowMonth]],Budgets[BudgetYear],DaybyDay[[#This Row],[RowYear]])</f>
        <v>4618.0498880946989</v>
      </c>
      <c r="L577" s="75">
        <v>3438.32</v>
      </c>
      <c r="M577" s="32">
        <f>INDEX(BudgetSeasonality[365 Seasonality],MATCH(DaybyDay[[#This Row],[Date]],BudgetSeasonality[MonthAdjustment],0))*SUMIFS(Budgets[Retail-Budget],Budgets[BudgetMonth],DaybyDay[[#This Row],[RowMonth]],Budgets[BudgetYear],DaybyDay[[#This Row],[RowYear]])</f>
        <v>1290.2528249869902</v>
      </c>
      <c r="N577" s="75">
        <v>62</v>
      </c>
      <c r="O577" s="33">
        <f>SUMIFS(DaybyDay[Service-Budgets],DaybyDay[Date],"&gt;="&amp;$C$5,DaybyDay[RowYear],"&gt;="&amp;$C$4,DaybyDay[Date],"&lt;="&amp;DaybyDay[[#This Row],[Date]])</f>
        <v>0</v>
      </c>
      <c r="P577" s="33">
        <f>SUMIFS(DaybyDay[Retail-Budgets],DaybyDay[Date],"&gt;="&amp;$C$5,DaybyDay[RowYear],"&gt;="&amp;$C$4,DaybyDay[Date],"&lt;="&amp;DaybyDay[[#This Row],[Date]])</f>
        <v>0</v>
      </c>
      <c r="Q577" s="34">
        <f>SUMIFS(DaybyDay[Service-Actuals],DaybyDay[Date],"&gt;="&amp;$C$5,DaybyDay[RowYear],"&gt;="&amp;$C$4,DaybyDay[Date],"&lt;="&amp;DaybyDay[[#This Row],[Date]])</f>
        <v>0</v>
      </c>
      <c r="R577" s="34">
        <f>SUMIFS(DaybyDay[Retail-Actuals],DaybyDay[Date],"&gt;="&amp;$C$5,DaybyDay[RowYear],"&gt;="&amp;$C$4,DaybyDay[Date],"&lt;="&amp;DaybyDay[[#This Row],[Date]])</f>
        <v>0</v>
      </c>
      <c r="S577" s="35">
        <f>SUMIFS(DaybyDay[Service-LY],DaybyDay[Date],"&gt;="&amp;$C$5,DaybyDay[RowYear],"&gt;="&amp;$C$4,DaybyDay[Date],"&lt;="&amp;DaybyDay[[#This Row],[Date]])</f>
        <v>0</v>
      </c>
      <c r="T577" s="35">
        <f>SUMIFS(DaybyDay[Retail-LY],DaybyDay[Date],"&gt;="&amp;$C$5,DaybyDay[RowYear],"&gt;="&amp;$C$4,DaybyDay[Date],"&lt;="&amp;DaybyDay[[#This Row],[Date]])</f>
        <v>0</v>
      </c>
      <c r="U577" s="32">
        <f>DaybyDay[[#This Row],[Serv-Bud-RU]]+DaybyDay[[#This Row],[Ret-Bud-RU]]</f>
        <v>0</v>
      </c>
      <c r="V577" s="32">
        <f>DaybyDay[[#This Row],[Serv-Act-RU]]+DaybyDay[[#This Row],[Ret-Act-RU]]</f>
        <v>0</v>
      </c>
      <c r="W577" s="36">
        <f>IF(DaybyDay[[#This Row],[_Space]],IFERROR(
((DaybyDay[[#This Row],[Actual-Rollup]]-DaybyDay[[#This Row],[Budget-Rollup]])/DaybyDay[[#This Row],[Budget-Rollup]]),0),"")</f>
        <v>0</v>
      </c>
      <c r="X577" t="b">
        <f>NOT(AND(ISBLANK(DaybyDay[[#This Row],[Appts]]),ISBLANK(DaybyDay[[#This Row],[Service-Actuals]]),ISBLANK(DaybyDay[[#This Row],[Retail-Actuals]])))</f>
        <v>1</v>
      </c>
      <c r="Y577" s="36">
        <f>IF(DaybyDay[[#This Row],[_Space]],IFERROR(
((DaybyDay[[#This Row],[Actual-Rollup]]-DaybyDay[[#This Row],[LY-Rollup]])/DaybyDay[[#This Row],[LY-Rollup]]),0),"")</f>
        <v>0</v>
      </c>
      <c r="Z577"/>
      <c r="AA577" s="37" t="e">
        <f>IF(DaybyDay[[#This Row],[_Space]],DaybyDay[[#This Row],[Ret-Act-RU]]/DaybyDay[[#This Row],[Serv-Act-RU]],"")</f>
        <v>#DIV/0!</v>
      </c>
      <c r="AB577" s="50" t="e">
        <f>IF(DaybyDay[[#This Row],[_Space]],DaybyDay[[#This Row],[RETPEN-Act]]/DaybyDay[[#This Row],[RETPEN-Bud]],"")</f>
        <v>#DIV/0!</v>
      </c>
      <c r="AC577" s="37" t="e">
        <f>IF(DaybyDay[[#This Row],[_Space]],DaybyDay[[#This Row],[Ret-Bud-RU]]/DaybyDay[[#This Row],[Serv-Bud-RU]],"")</f>
        <v>#DIV/0!</v>
      </c>
      <c r="AD577" s="37" t="e">
        <f>IF(DaybyDay[[#This Row],[_Space]],DaybyDay[[#This Row],[Ret-LY-RU]]/DaybyDay[[#This Row],[Serv-LY-RU]],"")</f>
        <v>#DIV/0!</v>
      </c>
      <c r="AE577" s="30">
        <f>WEEKDAY(DaybyDay[[#This Row],[LY-Date]])</f>
        <v>4</v>
      </c>
      <c r="AF577" s="38">
        <f>$E$2+_xlfn.DAYS(DaybyDay[[#This Row],[Date]],minDate)</f>
        <v>42942</v>
      </c>
      <c r="AG577" s="39" cm="1">
        <f t="array" ref="AG577">IFERROR(INDEX(DaybyDay[],DaybyDay[[#This Row],[FORM_MATCH_HELPER]],8),"")</f>
        <v>8</v>
      </c>
      <c r="AH577" s="39" cm="1">
        <f t="array" ref="AH577">IFERROR(INDEX(DaybyDay[],DaybyDay[[#This Row],[FORM_MATCH_HELPER]],10),"")</f>
        <v>1270.4000000000001</v>
      </c>
      <c r="AI577" s="39" cm="1">
        <f t="array" ref="AI577">IFERROR(INDEX(DaybyDay[],DaybyDay[[#This Row],[FORM_MATCH_HELPER]],12),"")</f>
        <v>201.5</v>
      </c>
      <c r="AJ577" s="32">
        <f>IFERROR(DaybyDay[[#This Row],[Serv-LY-RU]]+DaybyDay[[#This Row],[Ret-LY-RU]],"")</f>
        <v>0</v>
      </c>
      <c r="AK5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7" s="77"/>
      <c r="AM577" s="40" t="str">
        <f>IF(DaybyDay[[#This Row],[Admin Hours]]&gt;0,DaybyDay[[#This Row],[Admin Hours]]*$AM$2+$AM$3,"")</f>
        <v/>
      </c>
      <c r="AN577" s="40">
        <f>SUMIFS(DaybyDay[Est-Admin-Payroll],DaybyDay[Date],"&gt;="&amp;$C$5,DaybyDay[RowYear],"&gt;="&amp;$C$4,DaybyDay[Date],"&lt;="&amp;DaybyDay[[#This Row],[Date]])</f>
        <v>0</v>
      </c>
      <c r="AO577" s="41" t="str">
        <f>IF(AND(DaybyDay[[#This Row],[_Space]],ISNUMBER(DaybyDay[[#This Row],[Admin Hours]])),DaybyDay[[#This Row],[Est-Admin-Payroll]]/(DaybyDay[[#This Row],[Service-Actuals]]+DaybyDay[[#This Row],[Retail-Actuals]]),"")</f>
        <v/>
      </c>
      <c r="AP577" s="41" t="e">
        <f>DaybyDay[[#This Row],[Estimated-Payroll-Rollup]]/DaybyDay[[#This Row],[Simple-Forecast]]</f>
        <v>#DIV/0!</v>
      </c>
      <c r="AQ5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7" s="77"/>
      <c r="AS577" s="40" t="str">
        <f>IF(DaybyDay[[#This Row],[Retail Hours]]&gt;0,DaybyDay[[#This Row],[Retail Hours]]*$AS$2,"")</f>
        <v/>
      </c>
      <c r="AT577" s="40">
        <f>SUMIFS(DaybyDay[Est-Retail-Payroll],DaybyDay[Date],"&gt;="&amp;$C$5,DaybyDay[RowYear],"&gt;="&amp;$C$4,DaybyDay[Date],"&lt;="&amp;DaybyDay[[#This Row],[Date]])</f>
        <v>0</v>
      </c>
      <c r="AU577" s="82" t="str">
        <f>IF(AND(DaybyDay[[#This Row],[_Space]],ISNUMBER(DaybyDay[[#This Row],[Retail Hours]])),DaybyDay[[#This Row],[Est-Retail-Payroll]]/(DaybyDay[[#This Row],[Retail-Actuals]]),"")</f>
        <v/>
      </c>
      <c r="AV577" s="82" t="e">
        <f>DaybyDay[[#This Row],[Est-Retail-PayrollRU]]/DaybyDay[[#This Row],[Simple-Forecast-Retail]]</f>
        <v>#DIV/0!</v>
      </c>
      <c r="AW577" s="8"/>
    </row>
    <row r="578" spans="3:49" hidden="1" x14ac:dyDescent="0.25">
      <c r="C578" s="26" t="str">
        <f>Tools!$C$1</f>
        <v>Example</v>
      </c>
      <c r="D578" s="27" t="s">
        <v>74</v>
      </c>
      <c r="E578" s="28">
        <v>2018</v>
      </c>
      <c r="F578" s="28">
        <f>MATCH(DaybyDay[[#This Row],[RowMonth]],Table3[SummaryMonth],0)</f>
        <v>7</v>
      </c>
      <c r="G578" s="29">
        <f>MATCH(DaybyDay[[#This Row],[LY-Date]],DaybyDay[Date],0)</f>
        <v>208</v>
      </c>
      <c r="H578" s="30">
        <f>WEEKDAY(DaybyDay[[#This Row],[Date]])</f>
        <v>5</v>
      </c>
      <c r="I578" s="31">
        <v>43307</v>
      </c>
      <c r="J578" s="74">
        <v>18</v>
      </c>
      <c r="K578" s="32">
        <f>SUMIFS(BudgetSeasonality[365 Seasonality],BudgetSeasonality[MonthAdjustment],DaybyDay[[#This Row],[Date]])*SUMIFS(Budgets[Service-Budget],Budgets[BudgetMonth],DaybyDay[[#This Row],[RowMonth]],Budgets[BudgetYear],DaybyDay[[#This Row],[RowYear]])</f>
        <v>4787.100408166365</v>
      </c>
      <c r="L578" s="75">
        <v>4402.75</v>
      </c>
      <c r="M578" s="32">
        <f>INDEX(BudgetSeasonality[365 Seasonality],MATCH(DaybyDay[[#This Row],[Date]],BudgetSeasonality[MonthAdjustment],0))*SUMIFS(Budgets[Retail-Budget],Budgets[BudgetMonth],DaybyDay[[#This Row],[RowMonth]],Budgets[BudgetYear],DaybyDay[[#This Row],[RowYear]])</f>
        <v>1337.4844306156544</v>
      </c>
      <c r="N578" s="75">
        <v>408</v>
      </c>
      <c r="O578" s="33">
        <f>SUMIFS(DaybyDay[Service-Budgets],DaybyDay[Date],"&gt;="&amp;$C$5,DaybyDay[RowYear],"&gt;="&amp;$C$4,DaybyDay[Date],"&lt;="&amp;DaybyDay[[#This Row],[Date]])</f>
        <v>0</v>
      </c>
      <c r="P578" s="33">
        <f>SUMIFS(DaybyDay[Retail-Budgets],DaybyDay[Date],"&gt;="&amp;$C$5,DaybyDay[RowYear],"&gt;="&amp;$C$4,DaybyDay[Date],"&lt;="&amp;DaybyDay[[#This Row],[Date]])</f>
        <v>0</v>
      </c>
      <c r="Q578" s="34">
        <f>SUMIFS(DaybyDay[Service-Actuals],DaybyDay[Date],"&gt;="&amp;$C$5,DaybyDay[RowYear],"&gt;="&amp;$C$4,DaybyDay[Date],"&lt;="&amp;DaybyDay[[#This Row],[Date]])</f>
        <v>0</v>
      </c>
      <c r="R578" s="34">
        <f>SUMIFS(DaybyDay[Retail-Actuals],DaybyDay[Date],"&gt;="&amp;$C$5,DaybyDay[RowYear],"&gt;="&amp;$C$4,DaybyDay[Date],"&lt;="&amp;DaybyDay[[#This Row],[Date]])</f>
        <v>0</v>
      </c>
      <c r="S578" s="35">
        <f>SUMIFS(DaybyDay[Service-LY],DaybyDay[Date],"&gt;="&amp;$C$5,DaybyDay[RowYear],"&gt;="&amp;$C$4,DaybyDay[Date],"&lt;="&amp;DaybyDay[[#This Row],[Date]])</f>
        <v>0</v>
      </c>
      <c r="T578" s="35">
        <f>SUMIFS(DaybyDay[Retail-LY],DaybyDay[Date],"&gt;="&amp;$C$5,DaybyDay[RowYear],"&gt;="&amp;$C$4,DaybyDay[Date],"&lt;="&amp;DaybyDay[[#This Row],[Date]])</f>
        <v>0</v>
      </c>
      <c r="U578" s="32">
        <f>DaybyDay[[#This Row],[Serv-Bud-RU]]+DaybyDay[[#This Row],[Ret-Bud-RU]]</f>
        <v>0</v>
      </c>
      <c r="V578" s="32">
        <f>DaybyDay[[#This Row],[Serv-Act-RU]]+DaybyDay[[#This Row],[Ret-Act-RU]]</f>
        <v>0</v>
      </c>
      <c r="W578" s="36">
        <f>IF(DaybyDay[[#This Row],[_Space]],IFERROR(
((DaybyDay[[#This Row],[Actual-Rollup]]-DaybyDay[[#This Row],[Budget-Rollup]])/DaybyDay[[#This Row],[Budget-Rollup]]),0),"")</f>
        <v>0</v>
      </c>
      <c r="X578" t="b">
        <f>NOT(AND(ISBLANK(DaybyDay[[#This Row],[Appts]]),ISBLANK(DaybyDay[[#This Row],[Service-Actuals]]),ISBLANK(DaybyDay[[#This Row],[Retail-Actuals]])))</f>
        <v>1</v>
      </c>
      <c r="Y578" s="36">
        <f>IF(DaybyDay[[#This Row],[_Space]],IFERROR(
((DaybyDay[[#This Row],[Actual-Rollup]]-DaybyDay[[#This Row],[LY-Rollup]])/DaybyDay[[#This Row],[LY-Rollup]]),0),"")</f>
        <v>0</v>
      </c>
      <c r="Z578"/>
      <c r="AA578" s="37" t="e">
        <f>IF(DaybyDay[[#This Row],[_Space]],DaybyDay[[#This Row],[Ret-Act-RU]]/DaybyDay[[#This Row],[Serv-Act-RU]],"")</f>
        <v>#DIV/0!</v>
      </c>
      <c r="AB578" s="50" t="e">
        <f>IF(DaybyDay[[#This Row],[_Space]],DaybyDay[[#This Row],[RETPEN-Act]]/DaybyDay[[#This Row],[RETPEN-Bud]],"")</f>
        <v>#DIV/0!</v>
      </c>
      <c r="AC578" s="37" t="e">
        <f>IF(DaybyDay[[#This Row],[_Space]],DaybyDay[[#This Row],[Ret-Bud-RU]]/DaybyDay[[#This Row],[Serv-Bud-RU]],"")</f>
        <v>#DIV/0!</v>
      </c>
      <c r="AD578" s="37" t="e">
        <f>IF(DaybyDay[[#This Row],[_Space]],DaybyDay[[#This Row],[Ret-LY-RU]]/DaybyDay[[#This Row],[Serv-LY-RU]],"")</f>
        <v>#DIV/0!</v>
      </c>
      <c r="AE578" s="30">
        <f>WEEKDAY(DaybyDay[[#This Row],[LY-Date]])</f>
        <v>5</v>
      </c>
      <c r="AF578" s="38">
        <f>$E$2+_xlfn.DAYS(DaybyDay[[#This Row],[Date]],minDate)</f>
        <v>42943</v>
      </c>
      <c r="AG578" s="39" cm="1">
        <f t="array" ref="AG578">IFERROR(INDEX(DaybyDay[],DaybyDay[[#This Row],[FORM_MATCH_HELPER]],8),"")</f>
        <v>18</v>
      </c>
      <c r="AH578" s="39" cm="1">
        <f t="array" ref="AH578">IFERROR(INDEX(DaybyDay[],DaybyDay[[#This Row],[FORM_MATCH_HELPER]],10),"")</f>
        <v>2831.06</v>
      </c>
      <c r="AI578" s="39" cm="1">
        <f t="array" ref="AI578">IFERROR(INDEX(DaybyDay[],DaybyDay[[#This Row],[FORM_MATCH_HELPER]],12),"")</f>
        <v>488</v>
      </c>
      <c r="AJ578" s="32">
        <f>IFERROR(DaybyDay[[#This Row],[Serv-LY-RU]]+DaybyDay[[#This Row],[Ret-LY-RU]],"")</f>
        <v>0</v>
      </c>
      <c r="AK5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8" s="77"/>
      <c r="AM578" s="40" t="str">
        <f>IF(DaybyDay[[#This Row],[Admin Hours]]&gt;0,DaybyDay[[#This Row],[Admin Hours]]*$AM$2+$AM$3,"")</f>
        <v/>
      </c>
      <c r="AN578" s="40">
        <f>SUMIFS(DaybyDay[Est-Admin-Payroll],DaybyDay[Date],"&gt;="&amp;$C$5,DaybyDay[RowYear],"&gt;="&amp;$C$4,DaybyDay[Date],"&lt;="&amp;DaybyDay[[#This Row],[Date]])</f>
        <v>0</v>
      </c>
      <c r="AO578" s="41" t="str">
        <f>IF(AND(DaybyDay[[#This Row],[_Space]],ISNUMBER(DaybyDay[[#This Row],[Admin Hours]])),DaybyDay[[#This Row],[Est-Admin-Payroll]]/(DaybyDay[[#This Row],[Service-Actuals]]+DaybyDay[[#This Row],[Retail-Actuals]]),"")</f>
        <v/>
      </c>
      <c r="AP578" s="41" t="e">
        <f>DaybyDay[[#This Row],[Estimated-Payroll-Rollup]]/DaybyDay[[#This Row],[Simple-Forecast]]</f>
        <v>#DIV/0!</v>
      </c>
      <c r="AQ5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8" s="77"/>
      <c r="AS578" s="40" t="str">
        <f>IF(DaybyDay[[#This Row],[Retail Hours]]&gt;0,DaybyDay[[#This Row],[Retail Hours]]*$AS$2,"")</f>
        <v/>
      </c>
      <c r="AT578" s="40">
        <f>SUMIFS(DaybyDay[Est-Retail-Payroll],DaybyDay[Date],"&gt;="&amp;$C$5,DaybyDay[RowYear],"&gt;="&amp;$C$4,DaybyDay[Date],"&lt;="&amp;DaybyDay[[#This Row],[Date]])</f>
        <v>0</v>
      </c>
      <c r="AU578" s="82" t="str">
        <f>IF(AND(DaybyDay[[#This Row],[_Space]],ISNUMBER(DaybyDay[[#This Row],[Retail Hours]])),DaybyDay[[#This Row],[Est-Retail-Payroll]]/(DaybyDay[[#This Row],[Retail-Actuals]]),"")</f>
        <v/>
      </c>
      <c r="AV578" s="82" t="e">
        <f>DaybyDay[[#This Row],[Est-Retail-PayrollRU]]/DaybyDay[[#This Row],[Simple-Forecast-Retail]]</f>
        <v>#DIV/0!</v>
      </c>
      <c r="AW578" s="8"/>
    </row>
    <row r="579" spans="3:49" hidden="1" x14ac:dyDescent="0.25">
      <c r="C579" s="26" t="str">
        <f>Tools!$C$1</f>
        <v>Example</v>
      </c>
      <c r="D579" s="27" t="s">
        <v>74</v>
      </c>
      <c r="E579" s="28">
        <v>2018</v>
      </c>
      <c r="F579" s="28">
        <f>MATCH(DaybyDay[[#This Row],[RowMonth]],Table3[SummaryMonth],0)</f>
        <v>7</v>
      </c>
      <c r="G579" s="29">
        <f>MATCH(DaybyDay[[#This Row],[LY-Date]],DaybyDay[Date],0)</f>
        <v>209</v>
      </c>
      <c r="H579" s="30">
        <f>WEEKDAY(DaybyDay[[#This Row],[Date]])</f>
        <v>6</v>
      </c>
      <c r="I579" s="31">
        <v>43308</v>
      </c>
      <c r="J579" s="74">
        <v>29</v>
      </c>
      <c r="K579" s="32">
        <f>SUMIFS(BudgetSeasonality[365 Seasonality],BudgetSeasonality[MonthAdjustment],DaybyDay[[#This Row],[Date]])*SUMIFS(Budgets[Service-Budget],Budgets[BudgetMonth],DaybyDay[[#This Row],[RowMonth]],Budgets[BudgetYear],DaybyDay[[#This Row],[RowYear]])</f>
        <v>6070.053557833091</v>
      </c>
      <c r="L579" s="75">
        <v>5688.25</v>
      </c>
      <c r="M579" s="32">
        <f>INDEX(BudgetSeasonality[365 Seasonality],MATCH(DaybyDay[[#This Row],[Date]],BudgetSeasonality[MonthAdjustment],0))*SUMIFS(Budgets[Retail-Budget],Budgets[BudgetMonth],DaybyDay[[#This Row],[RowMonth]],Budgets[BudgetYear],DaybyDay[[#This Row],[RowYear]])</f>
        <v>1695.9331190871433</v>
      </c>
      <c r="N579" s="75">
        <v>853</v>
      </c>
      <c r="O579" s="33">
        <f>SUMIFS(DaybyDay[Service-Budgets],DaybyDay[Date],"&gt;="&amp;$C$5,DaybyDay[RowYear],"&gt;="&amp;$C$4,DaybyDay[Date],"&lt;="&amp;DaybyDay[[#This Row],[Date]])</f>
        <v>0</v>
      </c>
      <c r="P579" s="33">
        <f>SUMIFS(DaybyDay[Retail-Budgets],DaybyDay[Date],"&gt;="&amp;$C$5,DaybyDay[RowYear],"&gt;="&amp;$C$4,DaybyDay[Date],"&lt;="&amp;DaybyDay[[#This Row],[Date]])</f>
        <v>0</v>
      </c>
      <c r="Q579" s="34">
        <f>SUMIFS(DaybyDay[Service-Actuals],DaybyDay[Date],"&gt;="&amp;$C$5,DaybyDay[RowYear],"&gt;="&amp;$C$4,DaybyDay[Date],"&lt;="&amp;DaybyDay[[#This Row],[Date]])</f>
        <v>0</v>
      </c>
      <c r="R579" s="34">
        <f>SUMIFS(DaybyDay[Retail-Actuals],DaybyDay[Date],"&gt;="&amp;$C$5,DaybyDay[RowYear],"&gt;="&amp;$C$4,DaybyDay[Date],"&lt;="&amp;DaybyDay[[#This Row],[Date]])</f>
        <v>0</v>
      </c>
      <c r="S579" s="35">
        <f>SUMIFS(DaybyDay[Service-LY],DaybyDay[Date],"&gt;="&amp;$C$5,DaybyDay[RowYear],"&gt;="&amp;$C$4,DaybyDay[Date],"&lt;="&amp;DaybyDay[[#This Row],[Date]])</f>
        <v>0</v>
      </c>
      <c r="T579" s="35">
        <f>SUMIFS(DaybyDay[Retail-LY],DaybyDay[Date],"&gt;="&amp;$C$5,DaybyDay[RowYear],"&gt;="&amp;$C$4,DaybyDay[Date],"&lt;="&amp;DaybyDay[[#This Row],[Date]])</f>
        <v>0</v>
      </c>
      <c r="U579" s="32">
        <f>DaybyDay[[#This Row],[Serv-Bud-RU]]+DaybyDay[[#This Row],[Ret-Bud-RU]]</f>
        <v>0</v>
      </c>
      <c r="V579" s="32">
        <f>DaybyDay[[#This Row],[Serv-Act-RU]]+DaybyDay[[#This Row],[Ret-Act-RU]]</f>
        <v>0</v>
      </c>
      <c r="W579" s="36">
        <f>IF(DaybyDay[[#This Row],[_Space]],IFERROR(
((DaybyDay[[#This Row],[Actual-Rollup]]-DaybyDay[[#This Row],[Budget-Rollup]])/DaybyDay[[#This Row],[Budget-Rollup]]),0),"")</f>
        <v>0</v>
      </c>
      <c r="X579" t="b">
        <f>NOT(AND(ISBLANK(DaybyDay[[#This Row],[Appts]]),ISBLANK(DaybyDay[[#This Row],[Service-Actuals]]),ISBLANK(DaybyDay[[#This Row],[Retail-Actuals]])))</f>
        <v>1</v>
      </c>
      <c r="Y579" s="36">
        <f>IF(DaybyDay[[#This Row],[_Space]],IFERROR(
((DaybyDay[[#This Row],[Actual-Rollup]]-DaybyDay[[#This Row],[LY-Rollup]])/DaybyDay[[#This Row],[LY-Rollup]]),0),"")</f>
        <v>0</v>
      </c>
      <c r="Z579"/>
      <c r="AA579" s="37" t="e">
        <f>IF(DaybyDay[[#This Row],[_Space]],DaybyDay[[#This Row],[Ret-Act-RU]]/DaybyDay[[#This Row],[Serv-Act-RU]],"")</f>
        <v>#DIV/0!</v>
      </c>
      <c r="AB579" s="50" t="e">
        <f>IF(DaybyDay[[#This Row],[_Space]],DaybyDay[[#This Row],[RETPEN-Act]]/DaybyDay[[#This Row],[RETPEN-Bud]],"")</f>
        <v>#DIV/0!</v>
      </c>
      <c r="AC579" s="37" t="e">
        <f>IF(DaybyDay[[#This Row],[_Space]],DaybyDay[[#This Row],[Ret-Bud-RU]]/DaybyDay[[#This Row],[Serv-Bud-RU]],"")</f>
        <v>#DIV/0!</v>
      </c>
      <c r="AD579" s="37" t="e">
        <f>IF(DaybyDay[[#This Row],[_Space]],DaybyDay[[#This Row],[Ret-LY-RU]]/DaybyDay[[#This Row],[Serv-LY-RU]],"")</f>
        <v>#DIV/0!</v>
      </c>
      <c r="AE579" s="30">
        <f>WEEKDAY(DaybyDay[[#This Row],[LY-Date]])</f>
        <v>6</v>
      </c>
      <c r="AF579" s="38">
        <f>$E$2+_xlfn.DAYS(DaybyDay[[#This Row],[Date]],minDate)</f>
        <v>42944</v>
      </c>
      <c r="AG579" s="39" cm="1">
        <f t="array" ref="AG579">IFERROR(INDEX(DaybyDay[],DaybyDay[[#This Row],[FORM_MATCH_HELPER]],8),"")</f>
        <v>23</v>
      </c>
      <c r="AH579" s="39" cm="1">
        <f t="array" ref="AH579">IFERROR(INDEX(DaybyDay[],DaybyDay[[#This Row],[FORM_MATCH_HELPER]],10),"")</f>
        <v>4259.34</v>
      </c>
      <c r="AI579" s="39" cm="1">
        <f t="array" ref="AI579">IFERROR(INDEX(DaybyDay[],DaybyDay[[#This Row],[FORM_MATCH_HELPER]],12),"")</f>
        <v>541</v>
      </c>
      <c r="AJ579" s="32">
        <f>IFERROR(DaybyDay[[#This Row],[Serv-LY-RU]]+DaybyDay[[#This Row],[Ret-LY-RU]],"")</f>
        <v>0</v>
      </c>
      <c r="AK5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79" s="77"/>
      <c r="AM579" s="40" t="str">
        <f>IF(DaybyDay[[#This Row],[Admin Hours]]&gt;0,DaybyDay[[#This Row],[Admin Hours]]*$AM$2+$AM$3,"")</f>
        <v/>
      </c>
      <c r="AN579" s="40">
        <f>SUMIFS(DaybyDay[Est-Admin-Payroll],DaybyDay[Date],"&gt;="&amp;$C$5,DaybyDay[RowYear],"&gt;="&amp;$C$4,DaybyDay[Date],"&lt;="&amp;DaybyDay[[#This Row],[Date]])</f>
        <v>0</v>
      </c>
      <c r="AO579" s="41" t="str">
        <f>IF(AND(DaybyDay[[#This Row],[_Space]],ISNUMBER(DaybyDay[[#This Row],[Admin Hours]])),DaybyDay[[#This Row],[Est-Admin-Payroll]]/(DaybyDay[[#This Row],[Service-Actuals]]+DaybyDay[[#This Row],[Retail-Actuals]]),"")</f>
        <v/>
      </c>
      <c r="AP579" s="41" t="e">
        <f>DaybyDay[[#This Row],[Estimated-Payroll-Rollup]]/DaybyDay[[#This Row],[Simple-Forecast]]</f>
        <v>#DIV/0!</v>
      </c>
      <c r="AQ5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79" s="77"/>
      <c r="AS579" s="40" t="str">
        <f>IF(DaybyDay[[#This Row],[Retail Hours]]&gt;0,DaybyDay[[#This Row],[Retail Hours]]*$AS$2,"")</f>
        <v/>
      </c>
      <c r="AT579" s="40">
        <f>SUMIFS(DaybyDay[Est-Retail-Payroll],DaybyDay[Date],"&gt;="&amp;$C$5,DaybyDay[RowYear],"&gt;="&amp;$C$4,DaybyDay[Date],"&lt;="&amp;DaybyDay[[#This Row],[Date]])</f>
        <v>0</v>
      </c>
      <c r="AU579" s="82" t="str">
        <f>IF(AND(DaybyDay[[#This Row],[_Space]],ISNUMBER(DaybyDay[[#This Row],[Retail Hours]])),DaybyDay[[#This Row],[Est-Retail-Payroll]]/(DaybyDay[[#This Row],[Retail-Actuals]]),"")</f>
        <v/>
      </c>
      <c r="AV579" s="82" t="e">
        <f>DaybyDay[[#This Row],[Est-Retail-PayrollRU]]/DaybyDay[[#This Row],[Simple-Forecast-Retail]]</f>
        <v>#DIV/0!</v>
      </c>
      <c r="AW579" s="8"/>
    </row>
    <row r="580" spans="3:49" hidden="1" x14ac:dyDescent="0.25">
      <c r="C580" s="26" t="str">
        <f>Tools!$C$1</f>
        <v>Example</v>
      </c>
      <c r="D580" s="27" t="s">
        <v>74</v>
      </c>
      <c r="E580" s="28">
        <v>2018</v>
      </c>
      <c r="F580" s="28">
        <f>MATCH(DaybyDay[[#This Row],[RowMonth]],Table3[SummaryMonth],0)</f>
        <v>7</v>
      </c>
      <c r="G580" s="29">
        <f>MATCH(DaybyDay[[#This Row],[LY-Date]],DaybyDay[Date],0)</f>
        <v>210</v>
      </c>
      <c r="H580" s="30">
        <f>WEEKDAY(DaybyDay[[#This Row],[Date]])</f>
        <v>7</v>
      </c>
      <c r="I580" s="31">
        <v>43309</v>
      </c>
      <c r="J580" s="74">
        <v>22</v>
      </c>
      <c r="K580" s="32">
        <f>SUMIFS(BudgetSeasonality[365 Seasonality],BudgetSeasonality[MonthAdjustment],DaybyDay[[#This Row],[Date]])*SUMIFS(Budgets[Service-Budget],Budgets[BudgetMonth],DaybyDay[[#This Row],[RowMonth]],Budgets[BudgetYear],DaybyDay[[#This Row],[RowYear]])</f>
        <v>8756.2123205465923</v>
      </c>
      <c r="L580" s="75">
        <v>5346</v>
      </c>
      <c r="M580" s="32">
        <f>INDEX(BudgetSeasonality[365 Seasonality],MATCH(DaybyDay[[#This Row],[Date]],BudgetSeasonality[MonthAdjustment],0))*SUMIFS(Budgets[Retail-Budget],Budgets[BudgetMonth],DaybyDay[[#This Row],[RowMonth]],Budgets[BudgetYear],DaybyDay[[#This Row],[RowYear]])</f>
        <v>2446.4282449387551</v>
      </c>
      <c r="N580" s="75">
        <v>658.95</v>
      </c>
      <c r="O580" s="33">
        <f>SUMIFS(DaybyDay[Service-Budgets],DaybyDay[Date],"&gt;="&amp;$C$5,DaybyDay[RowYear],"&gt;="&amp;$C$4,DaybyDay[Date],"&lt;="&amp;DaybyDay[[#This Row],[Date]])</f>
        <v>0</v>
      </c>
      <c r="P580" s="33">
        <f>SUMIFS(DaybyDay[Retail-Budgets],DaybyDay[Date],"&gt;="&amp;$C$5,DaybyDay[RowYear],"&gt;="&amp;$C$4,DaybyDay[Date],"&lt;="&amp;DaybyDay[[#This Row],[Date]])</f>
        <v>0</v>
      </c>
      <c r="Q580" s="34">
        <f>SUMIFS(DaybyDay[Service-Actuals],DaybyDay[Date],"&gt;="&amp;$C$5,DaybyDay[RowYear],"&gt;="&amp;$C$4,DaybyDay[Date],"&lt;="&amp;DaybyDay[[#This Row],[Date]])</f>
        <v>0</v>
      </c>
      <c r="R580" s="34">
        <f>SUMIFS(DaybyDay[Retail-Actuals],DaybyDay[Date],"&gt;="&amp;$C$5,DaybyDay[RowYear],"&gt;="&amp;$C$4,DaybyDay[Date],"&lt;="&amp;DaybyDay[[#This Row],[Date]])</f>
        <v>0</v>
      </c>
      <c r="S580" s="35">
        <f>SUMIFS(DaybyDay[Service-LY],DaybyDay[Date],"&gt;="&amp;$C$5,DaybyDay[RowYear],"&gt;="&amp;$C$4,DaybyDay[Date],"&lt;="&amp;DaybyDay[[#This Row],[Date]])</f>
        <v>0</v>
      </c>
      <c r="T580" s="35">
        <f>SUMIFS(DaybyDay[Retail-LY],DaybyDay[Date],"&gt;="&amp;$C$5,DaybyDay[RowYear],"&gt;="&amp;$C$4,DaybyDay[Date],"&lt;="&amp;DaybyDay[[#This Row],[Date]])</f>
        <v>0</v>
      </c>
      <c r="U580" s="32">
        <f>DaybyDay[[#This Row],[Serv-Bud-RU]]+DaybyDay[[#This Row],[Ret-Bud-RU]]</f>
        <v>0</v>
      </c>
      <c r="V580" s="32">
        <f>DaybyDay[[#This Row],[Serv-Act-RU]]+DaybyDay[[#This Row],[Ret-Act-RU]]</f>
        <v>0</v>
      </c>
      <c r="W580" s="36">
        <f>IF(DaybyDay[[#This Row],[_Space]],IFERROR(
((DaybyDay[[#This Row],[Actual-Rollup]]-DaybyDay[[#This Row],[Budget-Rollup]])/DaybyDay[[#This Row],[Budget-Rollup]]),0),"")</f>
        <v>0</v>
      </c>
      <c r="X580" t="b">
        <f>NOT(AND(ISBLANK(DaybyDay[[#This Row],[Appts]]),ISBLANK(DaybyDay[[#This Row],[Service-Actuals]]),ISBLANK(DaybyDay[[#This Row],[Retail-Actuals]])))</f>
        <v>1</v>
      </c>
      <c r="Y580" s="36">
        <f>IF(DaybyDay[[#This Row],[_Space]],IFERROR(
((DaybyDay[[#This Row],[Actual-Rollup]]-DaybyDay[[#This Row],[LY-Rollup]])/DaybyDay[[#This Row],[LY-Rollup]]),0),"")</f>
        <v>0</v>
      </c>
      <c r="Z580"/>
      <c r="AA580" s="37" t="e">
        <f>IF(DaybyDay[[#This Row],[_Space]],DaybyDay[[#This Row],[Ret-Act-RU]]/DaybyDay[[#This Row],[Serv-Act-RU]],"")</f>
        <v>#DIV/0!</v>
      </c>
      <c r="AB580" s="50" t="e">
        <f>IF(DaybyDay[[#This Row],[_Space]],DaybyDay[[#This Row],[RETPEN-Act]]/DaybyDay[[#This Row],[RETPEN-Bud]],"")</f>
        <v>#DIV/0!</v>
      </c>
      <c r="AC580" s="37" t="e">
        <f>IF(DaybyDay[[#This Row],[_Space]],DaybyDay[[#This Row],[Ret-Bud-RU]]/DaybyDay[[#This Row],[Serv-Bud-RU]],"")</f>
        <v>#DIV/0!</v>
      </c>
      <c r="AD580" s="37" t="e">
        <f>IF(DaybyDay[[#This Row],[_Space]],DaybyDay[[#This Row],[Ret-LY-RU]]/DaybyDay[[#This Row],[Serv-LY-RU]],"")</f>
        <v>#DIV/0!</v>
      </c>
      <c r="AE580" s="30">
        <f>WEEKDAY(DaybyDay[[#This Row],[LY-Date]])</f>
        <v>7</v>
      </c>
      <c r="AF580" s="38">
        <f>$E$2+_xlfn.DAYS(DaybyDay[[#This Row],[Date]],minDate)</f>
        <v>42945</v>
      </c>
      <c r="AG580" s="39" cm="1">
        <f t="array" ref="AG580">IFERROR(INDEX(DaybyDay[],DaybyDay[[#This Row],[FORM_MATCH_HELPER]],8),"")</f>
        <v>26</v>
      </c>
      <c r="AH580" s="39" cm="1">
        <f t="array" ref="AH580">IFERROR(INDEX(DaybyDay[],DaybyDay[[#This Row],[FORM_MATCH_HELPER]],10),"")</f>
        <v>4901</v>
      </c>
      <c r="AI580" s="39" cm="1">
        <f t="array" ref="AI580">IFERROR(INDEX(DaybyDay[],DaybyDay[[#This Row],[FORM_MATCH_HELPER]],12),"")</f>
        <v>218</v>
      </c>
      <c r="AJ580" s="32">
        <f>IFERROR(DaybyDay[[#This Row],[Serv-LY-RU]]+DaybyDay[[#This Row],[Ret-LY-RU]],"")</f>
        <v>0</v>
      </c>
      <c r="AK5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0" s="77"/>
      <c r="AM580" s="40" t="str">
        <f>IF(DaybyDay[[#This Row],[Admin Hours]]&gt;0,DaybyDay[[#This Row],[Admin Hours]]*$AM$2+$AM$3,"")</f>
        <v/>
      </c>
      <c r="AN580" s="40">
        <f>SUMIFS(DaybyDay[Est-Admin-Payroll],DaybyDay[Date],"&gt;="&amp;$C$5,DaybyDay[RowYear],"&gt;="&amp;$C$4,DaybyDay[Date],"&lt;="&amp;DaybyDay[[#This Row],[Date]])</f>
        <v>0</v>
      </c>
      <c r="AO580" s="41" t="str">
        <f>IF(AND(DaybyDay[[#This Row],[_Space]],ISNUMBER(DaybyDay[[#This Row],[Admin Hours]])),DaybyDay[[#This Row],[Est-Admin-Payroll]]/(DaybyDay[[#This Row],[Service-Actuals]]+DaybyDay[[#This Row],[Retail-Actuals]]),"")</f>
        <v/>
      </c>
      <c r="AP580" s="41" t="e">
        <f>DaybyDay[[#This Row],[Estimated-Payroll-Rollup]]/DaybyDay[[#This Row],[Simple-Forecast]]</f>
        <v>#DIV/0!</v>
      </c>
      <c r="AQ5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0" s="77"/>
      <c r="AS580" s="40" t="str">
        <f>IF(DaybyDay[[#This Row],[Retail Hours]]&gt;0,DaybyDay[[#This Row],[Retail Hours]]*$AS$2,"")</f>
        <v/>
      </c>
      <c r="AT580" s="40">
        <f>SUMIFS(DaybyDay[Est-Retail-Payroll],DaybyDay[Date],"&gt;="&amp;$C$5,DaybyDay[RowYear],"&gt;="&amp;$C$4,DaybyDay[Date],"&lt;="&amp;DaybyDay[[#This Row],[Date]])</f>
        <v>0</v>
      </c>
      <c r="AU580" s="82" t="str">
        <f>IF(AND(DaybyDay[[#This Row],[_Space]],ISNUMBER(DaybyDay[[#This Row],[Retail Hours]])),DaybyDay[[#This Row],[Est-Retail-Payroll]]/(DaybyDay[[#This Row],[Retail-Actuals]]),"")</f>
        <v/>
      </c>
      <c r="AV580" s="82" t="e">
        <f>DaybyDay[[#This Row],[Est-Retail-PayrollRU]]/DaybyDay[[#This Row],[Simple-Forecast-Retail]]</f>
        <v>#DIV/0!</v>
      </c>
      <c r="AW580" s="8"/>
    </row>
    <row r="581" spans="3:49" hidden="1" x14ac:dyDescent="0.25">
      <c r="C581" s="26" t="str">
        <f>Tools!$C$1</f>
        <v>Example</v>
      </c>
      <c r="D581" s="27" t="s">
        <v>74</v>
      </c>
      <c r="E581" s="28">
        <v>2018</v>
      </c>
      <c r="F581" s="28">
        <f>MATCH(DaybyDay[[#This Row],[RowMonth]],Table3[SummaryMonth],0)</f>
        <v>7</v>
      </c>
      <c r="G581" s="29">
        <f>MATCH(DaybyDay[[#This Row],[LY-Date]],DaybyDay[Date],0)</f>
        <v>211</v>
      </c>
      <c r="H581" s="30">
        <f>WEEKDAY(DaybyDay[[#This Row],[Date]])</f>
        <v>1</v>
      </c>
      <c r="I581" s="31">
        <v>43310</v>
      </c>
      <c r="J581" s="74">
        <v>26</v>
      </c>
      <c r="K581" s="32">
        <f>SUMIFS(BudgetSeasonality[365 Seasonality],BudgetSeasonality[MonthAdjustment],DaybyDay[[#This Row],[Date]])*SUMIFS(Budgets[Service-Budget],Budgets[BudgetMonth],DaybyDay[[#This Row],[RowMonth]],Budgets[BudgetYear],DaybyDay[[#This Row],[RowYear]])</f>
        <v>6770.3533987163755</v>
      </c>
      <c r="L581" s="75">
        <v>4914.3999999999996</v>
      </c>
      <c r="M581" s="32">
        <f>INDEX(BudgetSeasonality[365 Seasonality],MATCH(DaybyDay[[#This Row],[Date]],BudgetSeasonality[MonthAdjustment],0))*SUMIFS(Budgets[Retail-Budget],Budgets[BudgetMonth],DaybyDay[[#This Row],[RowMonth]],Budgets[BudgetYear],DaybyDay[[#This Row],[RowYear]])</f>
        <v>1891.5922977302712</v>
      </c>
      <c r="N581" s="75">
        <v>909</v>
      </c>
      <c r="O581" s="33">
        <f>SUMIFS(DaybyDay[Service-Budgets],DaybyDay[Date],"&gt;="&amp;$C$5,DaybyDay[RowYear],"&gt;="&amp;$C$4,DaybyDay[Date],"&lt;="&amp;DaybyDay[[#This Row],[Date]])</f>
        <v>0</v>
      </c>
      <c r="P581" s="33">
        <f>SUMIFS(DaybyDay[Retail-Budgets],DaybyDay[Date],"&gt;="&amp;$C$5,DaybyDay[RowYear],"&gt;="&amp;$C$4,DaybyDay[Date],"&lt;="&amp;DaybyDay[[#This Row],[Date]])</f>
        <v>0</v>
      </c>
      <c r="Q581" s="34">
        <f>SUMIFS(DaybyDay[Service-Actuals],DaybyDay[Date],"&gt;="&amp;$C$5,DaybyDay[RowYear],"&gt;="&amp;$C$4,DaybyDay[Date],"&lt;="&amp;DaybyDay[[#This Row],[Date]])</f>
        <v>0</v>
      </c>
      <c r="R581" s="34">
        <f>SUMIFS(DaybyDay[Retail-Actuals],DaybyDay[Date],"&gt;="&amp;$C$5,DaybyDay[RowYear],"&gt;="&amp;$C$4,DaybyDay[Date],"&lt;="&amp;DaybyDay[[#This Row],[Date]])</f>
        <v>0</v>
      </c>
      <c r="S581" s="35">
        <f>SUMIFS(DaybyDay[Service-LY],DaybyDay[Date],"&gt;="&amp;$C$5,DaybyDay[RowYear],"&gt;="&amp;$C$4,DaybyDay[Date],"&lt;="&amp;DaybyDay[[#This Row],[Date]])</f>
        <v>0</v>
      </c>
      <c r="T581" s="35">
        <f>SUMIFS(DaybyDay[Retail-LY],DaybyDay[Date],"&gt;="&amp;$C$5,DaybyDay[RowYear],"&gt;="&amp;$C$4,DaybyDay[Date],"&lt;="&amp;DaybyDay[[#This Row],[Date]])</f>
        <v>0</v>
      </c>
      <c r="U581" s="32">
        <f>DaybyDay[[#This Row],[Serv-Bud-RU]]+DaybyDay[[#This Row],[Ret-Bud-RU]]</f>
        <v>0</v>
      </c>
      <c r="V581" s="32">
        <f>DaybyDay[[#This Row],[Serv-Act-RU]]+DaybyDay[[#This Row],[Ret-Act-RU]]</f>
        <v>0</v>
      </c>
      <c r="W581" s="36">
        <f>IF(DaybyDay[[#This Row],[_Space]],IFERROR(
((DaybyDay[[#This Row],[Actual-Rollup]]-DaybyDay[[#This Row],[Budget-Rollup]])/DaybyDay[[#This Row],[Budget-Rollup]]),0),"")</f>
        <v>0</v>
      </c>
      <c r="X581" t="b">
        <f>NOT(AND(ISBLANK(DaybyDay[[#This Row],[Appts]]),ISBLANK(DaybyDay[[#This Row],[Service-Actuals]]),ISBLANK(DaybyDay[[#This Row],[Retail-Actuals]])))</f>
        <v>1</v>
      </c>
      <c r="Y581" s="36">
        <f>IF(DaybyDay[[#This Row],[_Space]],IFERROR(
((DaybyDay[[#This Row],[Actual-Rollup]]-DaybyDay[[#This Row],[LY-Rollup]])/DaybyDay[[#This Row],[LY-Rollup]]),0),"")</f>
        <v>0</v>
      </c>
      <c r="Z581"/>
      <c r="AA581" s="37" t="e">
        <f>IF(DaybyDay[[#This Row],[_Space]],DaybyDay[[#This Row],[Ret-Act-RU]]/DaybyDay[[#This Row],[Serv-Act-RU]],"")</f>
        <v>#DIV/0!</v>
      </c>
      <c r="AB581" s="50" t="e">
        <f>IF(DaybyDay[[#This Row],[_Space]],DaybyDay[[#This Row],[RETPEN-Act]]/DaybyDay[[#This Row],[RETPEN-Bud]],"")</f>
        <v>#DIV/0!</v>
      </c>
      <c r="AC581" s="37" t="e">
        <f>IF(DaybyDay[[#This Row],[_Space]],DaybyDay[[#This Row],[Ret-Bud-RU]]/DaybyDay[[#This Row],[Serv-Bud-RU]],"")</f>
        <v>#DIV/0!</v>
      </c>
      <c r="AD581" s="37" t="e">
        <f>IF(DaybyDay[[#This Row],[_Space]],DaybyDay[[#This Row],[Ret-LY-RU]]/DaybyDay[[#This Row],[Serv-LY-RU]],"")</f>
        <v>#DIV/0!</v>
      </c>
      <c r="AE581" s="30">
        <f>WEEKDAY(DaybyDay[[#This Row],[LY-Date]])</f>
        <v>1</v>
      </c>
      <c r="AF581" s="38">
        <f>$E$2+_xlfn.DAYS(DaybyDay[[#This Row],[Date]],minDate)</f>
        <v>42946</v>
      </c>
      <c r="AG581" s="39" cm="1">
        <f t="array" ref="AG581">IFERROR(INDEX(DaybyDay[],DaybyDay[[#This Row],[FORM_MATCH_HELPER]],8),"")</f>
        <v>29</v>
      </c>
      <c r="AH581" s="39" cm="1">
        <f t="array" ref="AH581">IFERROR(INDEX(DaybyDay[],DaybyDay[[#This Row],[FORM_MATCH_HELPER]],10),"")</f>
        <v>5886.8</v>
      </c>
      <c r="AI581" s="39" cm="1">
        <f t="array" ref="AI581">IFERROR(INDEX(DaybyDay[],DaybyDay[[#This Row],[FORM_MATCH_HELPER]],12),"")</f>
        <v>1123</v>
      </c>
      <c r="AJ581" s="32">
        <f>IFERROR(DaybyDay[[#This Row],[Serv-LY-RU]]+DaybyDay[[#This Row],[Ret-LY-RU]],"")</f>
        <v>0</v>
      </c>
      <c r="AK5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1" s="77"/>
      <c r="AM581" s="40" t="str">
        <f>IF(DaybyDay[[#This Row],[Admin Hours]]&gt;0,DaybyDay[[#This Row],[Admin Hours]]*$AM$2+$AM$3,"")</f>
        <v/>
      </c>
      <c r="AN581" s="40">
        <f>SUMIFS(DaybyDay[Est-Admin-Payroll],DaybyDay[Date],"&gt;="&amp;$C$5,DaybyDay[RowYear],"&gt;="&amp;$C$4,DaybyDay[Date],"&lt;="&amp;DaybyDay[[#This Row],[Date]])</f>
        <v>0</v>
      </c>
      <c r="AO581" s="41" t="str">
        <f>IF(AND(DaybyDay[[#This Row],[_Space]],ISNUMBER(DaybyDay[[#This Row],[Admin Hours]])),DaybyDay[[#This Row],[Est-Admin-Payroll]]/(DaybyDay[[#This Row],[Service-Actuals]]+DaybyDay[[#This Row],[Retail-Actuals]]),"")</f>
        <v/>
      </c>
      <c r="AP581" s="41" t="e">
        <f>DaybyDay[[#This Row],[Estimated-Payroll-Rollup]]/DaybyDay[[#This Row],[Simple-Forecast]]</f>
        <v>#DIV/0!</v>
      </c>
      <c r="AQ5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1" s="77"/>
      <c r="AS581" s="40" t="str">
        <f>IF(DaybyDay[[#This Row],[Retail Hours]]&gt;0,DaybyDay[[#This Row],[Retail Hours]]*$AS$2,"")</f>
        <v/>
      </c>
      <c r="AT581" s="40">
        <f>SUMIFS(DaybyDay[Est-Retail-Payroll],DaybyDay[Date],"&gt;="&amp;$C$5,DaybyDay[RowYear],"&gt;="&amp;$C$4,DaybyDay[Date],"&lt;="&amp;DaybyDay[[#This Row],[Date]])</f>
        <v>0</v>
      </c>
      <c r="AU581" s="82" t="str">
        <f>IF(AND(DaybyDay[[#This Row],[_Space]],ISNUMBER(DaybyDay[[#This Row],[Retail Hours]])),DaybyDay[[#This Row],[Est-Retail-Payroll]]/(DaybyDay[[#This Row],[Retail-Actuals]]),"")</f>
        <v/>
      </c>
      <c r="AV581" s="82" t="e">
        <f>DaybyDay[[#This Row],[Est-Retail-PayrollRU]]/DaybyDay[[#This Row],[Simple-Forecast-Retail]]</f>
        <v>#DIV/0!</v>
      </c>
      <c r="AW581" s="8"/>
    </row>
    <row r="582" spans="3:49" hidden="1" x14ac:dyDescent="0.25">
      <c r="C582" s="26" t="str">
        <f>Tools!$C$1</f>
        <v>Example</v>
      </c>
      <c r="D582" s="27" t="s">
        <v>74</v>
      </c>
      <c r="E582" s="28">
        <v>2018</v>
      </c>
      <c r="F582" s="28">
        <f>MATCH(DaybyDay[[#This Row],[RowMonth]],Table3[SummaryMonth],0)</f>
        <v>7</v>
      </c>
      <c r="G582" s="29">
        <f>MATCH(DaybyDay[[#This Row],[LY-Date]],DaybyDay[Date],0)</f>
        <v>212</v>
      </c>
      <c r="H582" s="30">
        <f>WEEKDAY(DaybyDay[[#This Row],[Date]])</f>
        <v>2</v>
      </c>
      <c r="I582" s="31">
        <v>43311</v>
      </c>
      <c r="J582" s="74">
        <v>17</v>
      </c>
      <c r="K582" s="32">
        <f>SUMIFS(BudgetSeasonality[365 Seasonality],BudgetSeasonality[MonthAdjustment],DaybyDay[[#This Row],[Date]])*SUMIFS(Budgets[Service-Budget],Budgets[BudgetMonth],DaybyDay[[#This Row],[RowMonth]],Budgets[BudgetYear],DaybyDay[[#This Row],[RowYear]])</f>
        <v>3865.49267537679</v>
      </c>
      <c r="L582" s="75">
        <v>5172</v>
      </c>
      <c r="M582" s="32">
        <f>INDEX(BudgetSeasonality[365 Seasonality],MATCH(DaybyDay[[#This Row],[Date]],BudgetSeasonality[MonthAdjustment],0))*SUMIFS(Budgets[Retail-Budget],Budgets[BudgetMonth],DaybyDay[[#This Row],[RowMonth]],Budgets[BudgetYear],DaybyDay[[#This Row],[RowYear]])</f>
        <v>1079.9932796804699</v>
      </c>
      <c r="N582" s="75">
        <v>78.400000000000006</v>
      </c>
      <c r="O582" s="33">
        <f>SUMIFS(DaybyDay[Service-Budgets],DaybyDay[Date],"&gt;="&amp;$C$5,DaybyDay[RowYear],"&gt;="&amp;$C$4,DaybyDay[Date],"&lt;="&amp;DaybyDay[[#This Row],[Date]])</f>
        <v>0</v>
      </c>
      <c r="P582" s="33">
        <f>SUMIFS(DaybyDay[Retail-Budgets],DaybyDay[Date],"&gt;="&amp;$C$5,DaybyDay[RowYear],"&gt;="&amp;$C$4,DaybyDay[Date],"&lt;="&amp;DaybyDay[[#This Row],[Date]])</f>
        <v>0</v>
      </c>
      <c r="Q582" s="34">
        <f>SUMIFS(DaybyDay[Service-Actuals],DaybyDay[Date],"&gt;="&amp;$C$5,DaybyDay[RowYear],"&gt;="&amp;$C$4,DaybyDay[Date],"&lt;="&amp;DaybyDay[[#This Row],[Date]])</f>
        <v>0</v>
      </c>
      <c r="R582" s="34">
        <f>SUMIFS(DaybyDay[Retail-Actuals],DaybyDay[Date],"&gt;="&amp;$C$5,DaybyDay[RowYear],"&gt;="&amp;$C$4,DaybyDay[Date],"&lt;="&amp;DaybyDay[[#This Row],[Date]])</f>
        <v>0</v>
      </c>
      <c r="S582" s="35">
        <f>SUMIFS(DaybyDay[Service-LY],DaybyDay[Date],"&gt;="&amp;$C$5,DaybyDay[RowYear],"&gt;="&amp;$C$4,DaybyDay[Date],"&lt;="&amp;DaybyDay[[#This Row],[Date]])</f>
        <v>0</v>
      </c>
      <c r="T582" s="35">
        <f>SUMIFS(DaybyDay[Retail-LY],DaybyDay[Date],"&gt;="&amp;$C$5,DaybyDay[RowYear],"&gt;="&amp;$C$4,DaybyDay[Date],"&lt;="&amp;DaybyDay[[#This Row],[Date]])</f>
        <v>0</v>
      </c>
      <c r="U582" s="32">
        <f>DaybyDay[[#This Row],[Serv-Bud-RU]]+DaybyDay[[#This Row],[Ret-Bud-RU]]</f>
        <v>0</v>
      </c>
      <c r="V582" s="32">
        <f>DaybyDay[[#This Row],[Serv-Act-RU]]+DaybyDay[[#This Row],[Ret-Act-RU]]</f>
        <v>0</v>
      </c>
      <c r="W582" s="36">
        <f>IF(DaybyDay[[#This Row],[_Space]],IFERROR(
((DaybyDay[[#This Row],[Actual-Rollup]]-DaybyDay[[#This Row],[Budget-Rollup]])/DaybyDay[[#This Row],[Budget-Rollup]]),0),"")</f>
        <v>0</v>
      </c>
      <c r="X582" t="b">
        <f>NOT(AND(ISBLANK(DaybyDay[[#This Row],[Appts]]),ISBLANK(DaybyDay[[#This Row],[Service-Actuals]]),ISBLANK(DaybyDay[[#This Row],[Retail-Actuals]])))</f>
        <v>1</v>
      </c>
      <c r="Y582" s="36">
        <f>IF(DaybyDay[[#This Row],[_Space]],IFERROR(
((DaybyDay[[#This Row],[Actual-Rollup]]-DaybyDay[[#This Row],[LY-Rollup]])/DaybyDay[[#This Row],[LY-Rollup]]),0),"")</f>
        <v>0</v>
      </c>
      <c r="Z582"/>
      <c r="AA582" s="37" t="e">
        <f>IF(DaybyDay[[#This Row],[_Space]],DaybyDay[[#This Row],[Ret-Act-RU]]/DaybyDay[[#This Row],[Serv-Act-RU]],"")</f>
        <v>#DIV/0!</v>
      </c>
      <c r="AB582" s="50" t="e">
        <f>IF(DaybyDay[[#This Row],[_Space]],DaybyDay[[#This Row],[RETPEN-Act]]/DaybyDay[[#This Row],[RETPEN-Bud]],"")</f>
        <v>#DIV/0!</v>
      </c>
      <c r="AC582" s="37" t="e">
        <f>IF(DaybyDay[[#This Row],[_Space]],DaybyDay[[#This Row],[Ret-Bud-RU]]/DaybyDay[[#This Row],[Serv-Bud-RU]],"")</f>
        <v>#DIV/0!</v>
      </c>
      <c r="AD582" s="37" t="e">
        <f>IF(DaybyDay[[#This Row],[_Space]],DaybyDay[[#This Row],[Ret-LY-RU]]/DaybyDay[[#This Row],[Serv-LY-RU]],"")</f>
        <v>#DIV/0!</v>
      </c>
      <c r="AE582" s="30">
        <f>WEEKDAY(DaybyDay[[#This Row],[LY-Date]])</f>
        <v>2</v>
      </c>
      <c r="AF582" s="38">
        <f>$E$2+_xlfn.DAYS(DaybyDay[[#This Row],[Date]],minDate)</f>
        <v>42947</v>
      </c>
      <c r="AG582" s="39" cm="1">
        <f t="array" ref="AG582">IFERROR(INDEX(DaybyDay[],DaybyDay[[#This Row],[FORM_MATCH_HELPER]],8),"")</f>
        <v>17</v>
      </c>
      <c r="AH582" s="39" cm="1">
        <f t="array" ref="AH582">IFERROR(INDEX(DaybyDay[],DaybyDay[[#This Row],[FORM_MATCH_HELPER]],10),"")</f>
        <v>3770.2</v>
      </c>
      <c r="AI582" s="39" cm="1">
        <f t="array" ref="AI582">IFERROR(INDEX(DaybyDay[],DaybyDay[[#This Row],[FORM_MATCH_HELPER]],12),"")</f>
        <v>19.5</v>
      </c>
      <c r="AJ582" s="32">
        <f>IFERROR(DaybyDay[[#This Row],[Serv-LY-RU]]+DaybyDay[[#This Row],[Ret-LY-RU]],"")</f>
        <v>0</v>
      </c>
      <c r="AK5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2" s="77"/>
      <c r="AM582" s="40" t="str">
        <f>IF(DaybyDay[[#This Row],[Admin Hours]]&gt;0,DaybyDay[[#This Row],[Admin Hours]]*$AM$2+$AM$3,"")</f>
        <v/>
      </c>
      <c r="AN582" s="40">
        <f>SUMIFS(DaybyDay[Est-Admin-Payroll],DaybyDay[Date],"&gt;="&amp;$C$5,DaybyDay[RowYear],"&gt;="&amp;$C$4,DaybyDay[Date],"&lt;="&amp;DaybyDay[[#This Row],[Date]])</f>
        <v>0</v>
      </c>
      <c r="AO582" s="41" t="str">
        <f>IF(AND(DaybyDay[[#This Row],[_Space]],ISNUMBER(DaybyDay[[#This Row],[Admin Hours]])),DaybyDay[[#This Row],[Est-Admin-Payroll]]/(DaybyDay[[#This Row],[Service-Actuals]]+DaybyDay[[#This Row],[Retail-Actuals]]),"")</f>
        <v/>
      </c>
      <c r="AP582" s="41" t="e">
        <f>DaybyDay[[#This Row],[Estimated-Payroll-Rollup]]/DaybyDay[[#This Row],[Simple-Forecast]]</f>
        <v>#DIV/0!</v>
      </c>
      <c r="AQ5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2" s="77"/>
      <c r="AS582" s="40" t="str">
        <f>IF(DaybyDay[[#This Row],[Retail Hours]]&gt;0,DaybyDay[[#This Row],[Retail Hours]]*$AS$2,"")</f>
        <v/>
      </c>
      <c r="AT582" s="40">
        <f>SUMIFS(DaybyDay[Est-Retail-Payroll],DaybyDay[Date],"&gt;="&amp;$C$5,DaybyDay[RowYear],"&gt;="&amp;$C$4,DaybyDay[Date],"&lt;="&amp;DaybyDay[[#This Row],[Date]])</f>
        <v>0</v>
      </c>
      <c r="AU582" s="82" t="str">
        <f>IF(AND(DaybyDay[[#This Row],[_Space]],ISNUMBER(DaybyDay[[#This Row],[Retail Hours]])),DaybyDay[[#This Row],[Est-Retail-Payroll]]/(DaybyDay[[#This Row],[Retail-Actuals]]),"")</f>
        <v/>
      </c>
      <c r="AV582" s="82" t="e">
        <f>DaybyDay[[#This Row],[Est-Retail-PayrollRU]]/DaybyDay[[#This Row],[Simple-Forecast-Retail]]</f>
        <v>#DIV/0!</v>
      </c>
      <c r="AW582" s="8"/>
    </row>
    <row r="583" spans="3:49" hidden="1" x14ac:dyDescent="0.25">
      <c r="C583" s="26" t="str">
        <f>Tools!$C$1</f>
        <v>Example</v>
      </c>
      <c r="D583" s="27" t="s">
        <v>74</v>
      </c>
      <c r="E583" s="28">
        <v>2018</v>
      </c>
      <c r="F583" s="28">
        <f>MATCH(DaybyDay[[#This Row],[RowMonth]],Table3[SummaryMonth],0)</f>
        <v>7</v>
      </c>
      <c r="G583" s="29">
        <f>MATCH(DaybyDay[[#This Row],[LY-Date]],DaybyDay[Date],0)</f>
        <v>213</v>
      </c>
      <c r="H583" s="30">
        <f>WEEKDAY(DaybyDay[[#This Row],[Date]])</f>
        <v>3</v>
      </c>
      <c r="I583" s="31">
        <v>43312</v>
      </c>
      <c r="J583" s="74">
        <v>16</v>
      </c>
      <c r="K583" s="32">
        <f>SUMIFS(BudgetSeasonality[365 Seasonality],BudgetSeasonality[MonthAdjustment],DaybyDay[[#This Row],[Date]])*SUMIFS(Budgets[Service-Budget],Budgets[BudgetMonth],DaybyDay[[#This Row],[RowMonth]],Budgets[BudgetYear],DaybyDay[[#This Row],[RowYear]])</f>
        <v>3995.5229441578485</v>
      </c>
      <c r="L583" s="75">
        <v>3708.4</v>
      </c>
      <c r="M583" s="32">
        <f>INDEX(BudgetSeasonality[365 Seasonality],MATCH(DaybyDay[[#This Row],[Date]],BudgetSeasonality[MonthAdjustment],0))*SUMIFS(Budgets[Retail-Budget],Budgets[BudgetMonth],DaybyDay[[#This Row],[RowMonth]],Budgets[BudgetYear],DaybyDay[[#This Row],[RowYear]])</f>
        <v>1116.3228832347957</v>
      </c>
      <c r="N583" s="75">
        <v>510</v>
      </c>
      <c r="O583" s="33">
        <f>SUMIFS(DaybyDay[Service-Budgets],DaybyDay[Date],"&gt;="&amp;$C$5,DaybyDay[RowYear],"&gt;="&amp;$C$4,DaybyDay[Date],"&lt;="&amp;DaybyDay[[#This Row],[Date]])</f>
        <v>0</v>
      </c>
      <c r="P583" s="33">
        <f>SUMIFS(DaybyDay[Retail-Budgets],DaybyDay[Date],"&gt;="&amp;$C$5,DaybyDay[RowYear],"&gt;="&amp;$C$4,DaybyDay[Date],"&lt;="&amp;DaybyDay[[#This Row],[Date]])</f>
        <v>0</v>
      </c>
      <c r="Q583" s="34">
        <f>SUMIFS(DaybyDay[Service-Actuals],DaybyDay[Date],"&gt;="&amp;$C$5,DaybyDay[RowYear],"&gt;="&amp;$C$4,DaybyDay[Date],"&lt;="&amp;DaybyDay[[#This Row],[Date]])</f>
        <v>0</v>
      </c>
      <c r="R583" s="34">
        <f>SUMIFS(DaybyDay[Retail-Actuals],DaybyDay[Date],"&gt;="&amp;$C$5,DaybyDay[RowYear],"&gt;="&amp;$C$4,DaybyDay[Date],"&lt;="&amp;DaybyDay[[#This Row],[Date]])</f>
        <v>0</v>
      </c>
      <c r="S583" s="35">
        <f>SUMIFS(DaybyDay[Service-LY],DaybyDay[Date],"&gt;="&amp;$C$5,DaybyDay[RowYear],"&gt;="&amp;$C$4,DaybyDay[Date],"&lt;="&amp;DaybyDay[[#This Row],[Date]])</f>
        <v>0</v>
      </c>
      <c r="T583" s="35">
        <f>SUMIFS(DaybyDay[Retail-LY],DaybyDay[Date],"&gt;="&amp;$C$5,DaybyDay[RowYear],"&gt;="&amp;$C$4,DaybyDay[Date],"&lt;="&amp;DaybyDay[[#This Row],[Date]])</f>
        <v>0</v>
      </c>
      <c r="U583" s="32">
        <f>DaybyDay[[#This Row],[Serv-Bud-RU]]+DaybyDay[[#This Row],[Ret-Bud-RU]]</f>
        <v>0</v>
      </c>
      <c r="V583" s="32">
        <f>DaybyDay[[#This Row],[Serv-Act-RU]]+DaybyDay[[#This Row],[Ret-Act-RU]]</f>
        <v>0</v>
      </c>
      <c r="W583" s="36">
        <f>IF(DaybyDay[[#This Row],[_Space]],IFERROR(
((DaybyDay[[#This Row],[Actual-Rollup]]-DaybyDay[[#This Row],[Budget-Rollup]])/DaybyDay[[#This Row],[Budget-Rollup]]),0),"")</f>
        <v>0</v>
      </c>
      <c r="X583" t="b">
        <f>NOT(AND(ISBLANK(DaybyDay[[#This Row],[Appts]]),ISBLANK(DaybyDay[[#This Row],[Service-Actuals]]),ISBLANK(DaybyDay[[#This Row],[Retail-Actuals]])))</f>
        <v>1</v>
      </c>
      <c r="Y583" s="36">
        <f>IF(DaybyDay[[#This Row],[_Space]],IFERROR(
((DaybyDay[[#This Row],[Actual-Rollup]]-DaybyDay[[#This Row],[LY-Rollup]])/DaybyDay[[#This Row],[LY-Rollup]]),0),"")</f>
        <v>0</v>
      </c>
      <c r="Z583"/>
      <c r="AA583" s="37" t="e">
        <f>IF(DaybyDay[[#This Row],[_Space]],DaybyDay[[#This Row],[Ret-Act-RU]]/DaybyDay[[#This Row],[Serv-Act-RU]],"")</f>
        <v>#DIV/0!</v>
      </c>
      <c r="AB583" s="50" t="e">
        <f>IF(DaybyDay[[#This Row],[_Space]],DaybyDay[[#This Row],[RETPEN-Act]]/DaybyDay[[#This Row],[RETPEN-Bud]],"")</f>
        <v>#DIV/0!</v>
      </c>
      <c r="AC583" s="37" t="e">
        <f>IF(DaybyDay[[#This Row],[_Space]],DaybyDay[[#This Row],[Ret-Bud-RU]]/DaybyDay[[#This Row],[Serv-Bud-RU]],"")</f>
        <v>#DIV/0!</v>
      </c>
      <c r="AD583" s="37" t="e">
        <f>IF(DaybyDay[[#This Row],[_Space]],DaybyDay[[#This Row],[Ret-LY-RU]]/DaybyDay[[#This Row],[Serv-LY-RU]],"")</f>
        <v>#DIV/0!</v>
      </c>
      <c r="AE583" s="30">
        <f>WEEKDAY(DaybyDay[[#This Row],[LY-Date]])</f>
        <v>3</v>
      </c>
      <c r="AF583" s="38">
        <f>$E$2+_xlfn.DAYS(DaybyDay[[#This Row],[Date]],minDate)</f>
        <v>42948</v>
      </c>
      <c r="AG583" s="39" cm="1">
        <f t="array" ref="AG583">IFERROR(INDEX(DaybyDay[],DaybyDay[[#This Row],[FORM_MATCH_HELPER]],8),"")</f>
        <v>19</v>
      </c>
      <c r="AH583" s="39" cm="1">
        <f t="array" ref="AH583">IFERROR(INDEX(DaybyDay[],DaybyDay[[#This Row],[FORM_MATCH_HELPER]],10),"")</f>
        <v>3669.58</v>
      </c>
      <c r="AI583" s="39" cm="1">
        <f t="array" ref="AI583">IFERROR(INDEX(DaybyDay[],DaybyDay[[#This Row],[FORM_MATCH_HELPER]],12),"")</f>
        <v>963</v>
      </c>
      <c r="AJ583" s="32">
        <f>IFERROR(DaybyDay[[#This Row],[Serv-LY-RU]]+DaybyDay[[#This Row],[Ret-LY-RU]],"")</f>
        <v>0</v>
      </c>
      <c r="AK5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3" s="77"/>
      <c r="AM583" s="40" t="str">
        <f>IF(DaybyDay[[#This Row],[Admin Hours]]&gt;0,DaybyDay[[#This Row],[Admin Hours]]*$AM$2+$AM$3,"")</f>
        <v/>
      </c>
      <c r="AN583" s="40">
        <f>SUMIFS(DaybyDay[Est-Admin-Payroll],DaybyDay[Date],"&gt;="&amp;$C$5,DaybyDay[RowYear],"&gt;="&amp;$C$4,DaybyDay[Date],"&lt;="&amp;DaybyDay[[#This Row],[Date]])</f>
        <v>0</v>
      </c>
      <c r="AO583" s="41" t="str">
        <f>IF(AND(DaybyDay[[#This Row],[_Space]],ISNUMBER(DaybyDay[[#This Row],[Admin Hours]])),DaybyDay[[#This Row],[Est-Admin-Payroll]]/(DaybyDay[[#This Row],[Service-Actuals]]+DaybyDay[[#This Row],[Retail-Actuals]]),"")</f>
        <v/>
      </c>
      <c r="AP583" s="41" t="e">
        <f>DaybyDay[[#This Row],[Estimated-Payroll-Rollup]]/DaybyDay[[#This Row],[Simple-Forecast]]</f>
        <v>#DIV/0!</v>
      </c>
      <c r="AQ5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3" s="77"/>
      <c r="AS583" s="40" t="str">
        <f>IF(DaybyDay[[#This Row],[Retail Hours]]&gt;0,DaybyDay[[#This Row],[Retail Hours]]*$AS$2,"")</f>
        <v/>
      </c>
      <c r="AT583" s="40">
        <f>SUMIFS(DaybyDay[Est-Retail-Payroll],DaybyDay[Date],"&gt;="&amp;$C$5,DaybyDay[RowYear],"&gt;="&amp;$C$4,DaybyDay[Date],"&lt;="&amp;DaybyDay[[#This Row],[Date]])</f>
        <v>0</v>
      </c>
      <c r="AU583" s="82" t="str">
        <f>IF(AND(DaybyDay[[#This Row],[_Space]],ISNUMBER(DaybyDay[[#This Row],[Retail Hours]])),DaybyDay[[#This Row],[Est-Retail-Payroll]]/(DaybyDay[[#This Row],[Retail-Actuals]]),"")</f>
        <v/>
      </c>
      <c r="AV583" s="82" t="e">
        <f>DaybyDay[[#This Row],[Est-Retail-PayrollRU]]/DaybyDay[[#This Row],[Simple-Forecast-Retail]]</f>
        <v>#DIV/0!</v>
      </c>
      <c r="AW583" s="8"/>
    </row>
    <row r="584" spans="3:49" hidden="1" x14ac:dyDescent="0.25">
      <c r="C584" s="26" t="str">
        <f>Tools!$C$1</f>
        <v>Example</v>
      </c>
      <c r="D584" s="27" t="s">
        <v>74</v>
      </c>
      <c r="E584" s="28">
        <v>2018</v>
      </c>
      <c r="F584" s="28">
        <f>MATCH(DaybyDay[[#This Row],[RowMonth]],Table3[SummaryMonth],0)</f>
        <v>7</v>
      </c>
      <c r="G584" s="29">
        <f>MATCH(DaybyDay[[#This Row],[LY-Date]],DaybyDay[Date],0)</f>
        <v>214</v>
      </c>
      <c r="H584" s="30">
        <f>WEEKDAY(DaybyDay[[#This Row],[Date]])</f>
        <v>4</v>
      </c>
      <c r="I584" s="31">
        <v>43313</v>
      </c>
      <c r="J584" s="74">
        <v>26</v>
      </c>
      <c r="K584" s="32">
        <f>SUMIFS(BudgetSeasonality[365 Seasonality],BudgetSeasonality[MonthAdjustment],DaybyDay[[#This Row],[Date]])*SUMIFS(Budgets[Service-Budget],Budgets[BudgetMonth],DaybyDay[[#This Row],[RowMonth]],Budgets[BudgetYear],DaybyDay[[#This Row],[RowYear]])</f>
        <v>4650.465663523707</v>
      </c>
      <c r="L584" s="75">
        <v>4099.5</v>
      </c>
      <c r="M584" s="32">
        <f>INDEX(BudgetSeasonality[365 Seasonality],MATCH(DaybyDay[[#This Row],[Date]],BudgetSeasonality[MonthAdjustment],0))*SUMIFS(Budgets[Retail-Budget],Budgets[BudgetMonth],DaybyDay[[#This Row],[RowMonth]],Budgets[BudgetYear],DaybyDay[[#This Row],[RowYear]])</f>
        <v>1299.3095798586178</v>
      </c>
      <c r="N584" s="75">
        <v>895.45</v>
      </c>
      <c r="O584" s="33">
        <f>SUMIFS(DaybyDay[Service-Budgets],DaybyDay[Date],"&gt;="&amp;$C$5,DaybyDay[RowYear],"&gt;="&amp;$C$4,DaybyDay[Date],"&lt;="&amp;DaybyDay[[#This Row],[Date]])</f>
        <v>0</v>
      </c>
      <c r="P584" s="33">
        <f>SUMIFS(DaybyDay[Retail-Budgets],DaybyDay[Date],"&gt;="&amp;$C$5,DaybyDay[RowYear],"&gt;="&amp;$C$4,DaybyDay[Date],"&lt;="&amp;DaybyDay[[#This Row],[Date]])</f>
        <v>0</v>
      </c>
      <c r="Q584" s="34">
        <f>SUMIFS(DaybyDay[Service-Actuals],DaybyDay[Date],"&gt;="&amp;$C$5,DaybyDay[RowYear],"&gt;="&amp;$C$4,DaybyDay[Date],"&lt;="&amp;DaybyDay[[#This Row],[Date]])</f>
        <v>0</v>
      </c>
      <c r="R584" s="34">
        <f>SUMIFS(DaybyDay[Retail-Actuals],DaybyDay[Date],"&gt;="&amp;$C$5,DaybyDay[RowYear],"&gt;="&amp;$C$4,DaybyDay[Date],"&lt;="&amp;DaybyDay[[#This Row],[Date]])</f>
        <v>0</v>
      </c>
      <c r="S584" s="35">
        <f>SUMIFS(DaybyDay[Service-LY],DaybyDay[Date],"&gt;="&amp;$C$5,DaybyDay[RowYear],"&gt;="&amp;$C$4,DaybyDay[Date],"&lt;="&amp;DaybyDay[[#This Row],[Date]])</f>
        <v>0</v>
      </c>
      <c r="T584" s="35">
        <f>SUMIFS(DaybyDay[Retail-LY],DaybyDay[Date],"&gt;="&amp;$C$5,DaybyDay[RowYear],"&gt;="&amp;$C$4,DaybyDay[Date],"&lt;="&amp;DaybyDay[[#This Row],[Date]])</f>
        <v>0</v>
      </c>
      <c r="U584" s="32">
        <f>DaybyDay[[#This Row],[Serv-Bud-RU]]+DaybyDay[[#This Row],[Ret-Bud-RU]]</f>
        <v>0</v>
      </c>
      <c r="V584" s="32">
        <f>DaybyDay[[#This Row],[Serv-Act-RU]]+DaybyDay[[#This Row],[Ret-Act-RU]]</f>
        <v>0</v>
      </c>
      <c r="W584" s="36">
        <f>IF(DaybyDay[[#This Row],[_Space]],IFERROR(
((DaybyDay[[#This Row],[Actual-Rollup]]-DaybyDay[[#This Row],[Budget-Rollup]])/DaybyDay[[#This Row],[Budget-Rollup]]),0),"")</f>
        <v>0</v>
      </c>
      <c r="X584" t="b">
        <f>NOT(AND(ISBLANK(DaybyDay[[#This Row],[Appts]]),ISBLANK(DaybyDay[[#This Row],[Service-Actuals]]),ISBLANK(DaybyDay[[#This Row],[Retail-Actuals]])))</f>
        <v>1</v>
      </c>
      <c r="Y584" s="36">
        <f>IF(DaybyDay[[#This Row],[_Space]],IFERROR(
((DaybyDay[[#This Row],[Actual-Rollup]]-DaybyDay[[#This Row],[LY-Rollup]])/DaybyDay[[#This Row],[LY-Rollup]]),0),"")</f>
        <v>0</v>
      </c>
      <c r="Z584"/>
      <c r="AA584" s="37" t="e">
        <f>IF(DaybyDay[[#This Row],[_Space]],DaybyDay[[#This Row],[Ret-Act-RU]]/DaybyDay[[#This Row],[Serv-Act-RU]],"")</f>
        <v>#DIV/0!</v>
      </c>
      <c r="AB584" s="50" t="e">
        <f>IF(DaybyDay[[#This Row],[_Space]],DaybyDay[[#This Row],[RETPEN-Act]]/DaybyDay[[#This Row],[RETPEN-Bud]],"")</f>
        <v>#DIV/0!</v>
      </c>
      <c r="AC584" s="37" t="e">
        <f>IF(DaybyDay[[#This Row],[_Space]],DaybyDay[[#This Row],[Ret-Bud-RU]]/DaybyDay[[#This Row],[Serv-Bud-RU]],"")</f>
        <v>#DIV/0!</v>
      </c>
      <c r="AD584" s="37" t="e">
        <f>IF(DaybyDay[[#This Row],[_Space]],DaybyDay[[#This Row],[Ret-LY-RU]]/DaybyDay[[#This Row],[Serv-LY-RU]],"")</f>
        <v>#DIV/0!</v>
      </c>
      <c r="AE584" s="30">
        <f>WEEKDAY(DaybyDay[[#This Row],[LY-Date]])</f>
        <v>4</v>
      </c>
      <c r="AF584" s="38">
        <f>$E$2+_xlfn.DAYS(DaybyDay[[#This Row],[Date]],minDate)</f>
        <v>42949</v>
      </c>
      <c r="AG584" s="39" cm="1">
        <f t="array" ref="AG584">IFERROR(INDEX(DaybyDay[],DaybyDay[[#This Row],[FORM_MATCH_HELPER]],8),"")</f>
        <v>24</v>
      </c>
      <c r="AH584" s="39" cm="1">
        <f t="array" ref="AH584">IFERROR(INDEX(DaybyDay[],DaybyDay[[#This Row],[FORM_MATCH_HELPER]],10),"")</f>
        <v>5420.6</v>
      </c>
      <c r="AI584" s="39" cm="1">
        <f t="array" ref="AI584">IFERROR(INDEX(DaybyDay[],DaybyDay[[#This Row],[FORM_MATCH_HELPER]],12),"")</f>
        <v>2312.04</v>
      </c>
      <c r="AJ584" s="32">
        <f>IFERROR(DaybyDay[[#This Row],[Serv-LY-RU]]+DaybyDay[[#This Row],[Ret-LY-RU]],"")</f>
        <v>0</v>
      </c>
      <c r="AK5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4" s="77"/>
      <c r="AM584" s="40" t="str">
        <f>IF(DaybyDay[[#This Row],[Admin Hours]]&gt;0,DaybyDay[[#This Row],[Admin Hours]]*$AM$2+$AM$3,"")</f>
        <v/>
      </c>
      <c r="AN584" s="40">
        <f>SUMIFS(DaybyDay[Est-Admin-Payroll],DaybyDay[Date],"&gt;="&amp;$C$5,DaybyDay[RowYear],"&gt;="&amp;$C$4,DaybyDay[Date],"&lt;="&amp;DaybyDay[[#This Row],[Date]])</f>
        <v>0</v>
      </c>
      <c r="AO584" s="41" t="str">
        <f>IF(AND(DaybyDay[[#This Row],[_Space]],ISNUMBER(DaybyDay[[#This Row],[Admin Hours]])),DaybyDay[[#This Row],[Est-Admin-Payroll]]/(DaybyDay[[#This Row],[Service-Actuals]]+DaybyDay[[#This Row],[Retail-Actuals]]),"")</f>
        <v/>
      </c>
      <c r="AP584" s="41" t="e">
        <f>DaybyDay[[#This Row],[Estimated-Payroll-Rollup]]/DaybyDay[[#This Row],[Simple-Forecast]]</f>
        <v>#DIV/0!</v>
      </c>
      <c r="AQ5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4" s="77"/>
      <c r="AS584" s="40" t="str">
        <f>IF(DaybyDay[[#This Row],[Retail Hours]]&gt;0,DaybyDay[[#This Row],[Retail Hours]]*$AS$2,"")</f>
        <v/>
      </c>
      <c r="AT584" s="40">
        <f>SUMIFS(DaybyDay[Est-Retail-Payroll],DaybyDay[Date],"&gt;="&amp;$C$5,DaybyDay[RowYear],"&gt;="&amp;$C$4,DaybyDay[Date],"&lt;="&amp;DaybyDay[[#This Row],[Date]])</f>
        <v>0</v>
      </c>
      <c r="AU584" s="82" t="str">
        <f>IF(AND(DaybyDay[[#This Row],[_Space]],ISNUMBER(DaybyDay[[#This Row],[Retail Hours]])),DaybyDay[[#This Row],[Est-Retail-Payroll]]/(DaybyDay[[#This Row],[Retail-Actuals]]),"")</f>
        <v/>
      </c>
      <c r="AV584" s="82" t="e">
        <f>DaybyDay[[#This Row],[Est-Retail-PayrollRU]]/DaybyDay[[#This Row],[Simple-Forecast-Retail]]</f>
        <v>#DIV/0!</v>
      </c>
      <c r="AW584" s="8"/>
    </row>
    <row r="585" spans="3:49" hidden="1" x14ac:dyDescent="0.25">
      <c r="C585" s="26" t="str">
        <f>Tools!$C$1</f>
        <v>Example</v>
      </c>
      <c r="D585" s="27" t="s">
        <v>74</v>
      </c>
      <c r="E585" s="28">
        <v>2018</v>
      </c>
      <c r="F585" s="28">
        <f>MATCH(DaybyDay[[#This Row],[RowMonth]],Table3[SummaryMonth],0)</f>
        <v>7</v>
      </c>
      <c r="G585" s="29">
        <f>MATCH(DaybyDay[[#This Row],[LY-Date]],DaybyDay[Date],0)</f>
        <v>215</v>
      </c>
      <c r="H585" s="30">
        <f>WEEKDAY(DaybyDay[[#This Row],[Date]])</f>
        <v>5</v>
      </c>
      <c r="I585" s="31">
        <v>43314</v>
      </c>
      <c r="J585" s="74">
        <v>21</v>
      </c>
      <c r="K585" s="32">
        <f>SUMIFS(BudgetSeasonality[365 Seasonality],BudgetSeasonality[MonthAdjustment],DaybyDay[[#This Row],[Date]])*SUMIFS(Budgets[Service-Budget],Budgets[BudgetMonth],DaybyDay[[#This Row],[RowMonth]],Budgets[BudgetYear],DaybyDay[[#This Row],[RowYear]])</f>
        <v>4755.7177454583789</v>
      </c>
      <c r="L585" s="75">
        <v>4294</v>
      </c>
      <c r="M585" s="32">
        <f>INDEX(BudgetSeasonality[365 Seasonality],MATCH(DaybyDay[[#This Row],[Date]],BudgetSeasonality[MonthAdjustment],0))*SUMIFS(Budgets[Retail-Budget],Budgets[BudgetMonth],DaybyDay[[#This Row],[RowMonth]],Budgets[BudgetYear],DaybyDay[[#This Row],[RowYear]])</f>
        <v>1328.7163206567343</v>
      </c>
      <c r="N585" s="75">
        <v>1580</v>
      </c>
      <c r="O585" s="33">
        <f>SUMIFS(DaybyDay[Service-Budgets],DaybyDay[Date],"&gt;="&amp;$C$5,DaybyDay[RowYear],"&gt;="&amp;$C$4,DaybyDay[Date],"&lt;="&amp;DaybyDay[[#This Row],[Date]])</f>
        <v>0</v>
      </c>
      <c r="P585" s="33">
        <f>SUMIFS(DaybyDay[Retail-Budgets],DaybyDay[Date],"&gt;="&amp;$C$5,DaybyDay[RowYear],"&gt;="&amp;$C$4,DaybyDay[Date],"&lt;="&amp;DaybyDay[[#This Row],[Date]])</f>
        <v>0</v>
      </c>
      <c r="Q585" s="34">
        <f>SUMIFS(DaybyDay[Service-Actuals],DaybyDay[Date],"&gt;="&amp;$C$5,DaybyDay[RowYear],"&gt;="&amp;$C$4,DaybyDay[Date],"&lt;="&amp;DaybyDay[[#This Row],[Date]])</f>
        <v>0</v>
      </c>
      <c r="R585" s="34">
        <f>SUMIFS(DaybyDay[Retail-Actuals],DaybyDay[Date],"&gt;="&amp;$C$5,DaybyDay[RowYear],"&gt;="&amp;$C$4,DaybyDay[Date],"&lt;="&amp;DaybyDay[[#This Row],[Date]])</f>
        <v>0</v>
      </c>
      <c r="S585" s="35">
        <f>SUMIFS(DaybyDay[Service-LY],DaybyDay[Date],"&gt;="&amp;$C$5,DaybyDay[RowYear],"&gt;="&amp;$C$4,DaybyDay[Date],"&lt;="&amp;DaybyDay[[#This Row],[Date]])</f>
        <v>0</v>
      </c>
      <c r="T585" s="35">
        <f>SUMIFS(DaybyDay[Retail-LY],DaybyDay[Date],"&gt;="&amp;$C$5,DaybyDay[RowYear],"&gt;="&amp;$C$4,DaybyDay[Date],"&lt;="&amp;DaybyDay[[#This Row],[Date]])</f>
        <v>0</v>
      </c>
      <c r="U585" s="32">
        <f>DaybyDay[[#This Row],[Serv-Bud-RU]]+DaybyDay[[#This Row],[Ret-Bud-RU]]</f>
        <v>0</v>
      </c>
      <c r="V585" s="32">
        <f>DaybyDay[[#This Row],[Serv-Act-RU]]+DaybyDay[[#This Row],[Ret-Act-RU]]</f>
        <v>0</v>
      </c>
      <c r="W585" s="36">
        <f>IF(DaybyDay[[#This Row],[_Space]],IFERROR(
((DaybyDay[[#This Row],[Actual-Rollup]]-DaybyDay[[#This Row],[Budget-Rollup]])/DaybyDay[[#This Row],[Budget-Rollup]]),0),"")</f>
        <v>0</v>
      </c>
      <c r="X585" t="b">
        <f>NOT(AND(ISBLANK(DaybyDay[[#This Row],[Appts]]),ISBLANK(DaybyDay[[#This Row],[Service-Actuals]]),ISBLANK(DaybyDay[[#This Row],[Retail-Actuals]])))</f>
        <v>1</v>
      </c>
      <c r="Y585" s="36">
        <f>IF(DaybyDay[[#This Row],[_Space]],IFERROR(
((DaybyDay[[#This Row],[Actual-Rollup]]-DaybyDay[[#This Row],[LY-Rollup]])/DaybyDay[[#This Row],[LY-Rollup]]),0),"")</f>
        <v>0</v>
      </c>
      <c r="Z585"/>
      <c r="AA585" s="37" t="e">
        <f>IF(DaybyDay[[#This Row],[_Space]],DaybyDay[[#This Row],[Ret-Act-RU]]/DaybyDay[[#This Row],[Serv-Act-RU]],"")</f>
        <v>#DIV/0!</v>
      </c>
      <c r="AB585" s="50" t="e">
        <f>IF(DaybyDay[[#This Row],[_Space]],DaybyDay[[#This Row],[RETPEN-Act]]/DaybyDay[[#This Row],[RETPEN-Bud]],"")</f>
        <v>#DIV/0!</v>
      </c>
      <c r="AC585" s="37" t="e">
        <f>IF(DaybyDay[[#This Row],[_Space]],DaybyDay[[#This Row],[Ret-Bud-RU]]/DaybyDay[[#This Row],[Serv-Bud-RU]],"")</f>
        <v>#DIV/0!</v>
      </c>
      <c r="AD585" s="37" t="e">
        <f>IF(DaybyDay[[#This Row],[_Space]],DaybyDay[[#This Row],[Ret-LY-RU]]/DaybyDay[[#This Row],[Serv-LY-RU]],"")</f>
        <v>#DIV/0!</v>
      </c>
      <c r="AE585" s="30">
        <f>WEEKDAY(DaybyDay[[#This Row],[LY-Date]])</f>
        <v>5</v>
      </c>
      <c r="AF585" s="38">
        <f>$E$2+_xlfn.DAYS(DaybyDay[[#This Row],[Date]],minDate)</f>
        <v>42950</v>
      </c>
      <c r="AG585" s="39" cm="1">
        <f t="array" ref="AG585">IFERROR(INDEX(DaybyDay[],DaybyDay[[#This Row],[FORM_MATCH_HELPER]],8),"")</f>
        <v>36</v>
      </c>
      <c r="AH585" s="39" cm="1">
        <f t="array" ref="AH585">IFERROR(INDEX(DaybyDay[],DaybyDay[[#This Row],[FORM_MATCH_HELPER]],10),"")</f>
        <v>6152.71</v>
      </c>
      <c r="AI585" s="39" cm="1">
        <f t="array" ref="AI585">IFERROR(INDEX(DaybyDay[],DaybyDay[[#This Row],[FORM_MATCH_HELPER]],12),"")</f>
        <v>1391.45</v>
      </c>
      <c r="AJ585" s="32">
        <f>IFERROR(DaybyDay[[#This Row],[Serv-LY-RU]]+DaybyDay[[#This Row],[Ret-LY-RU]],"")</f>
        <v>0</v>
      </c>
      <c r="AK5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5" s="77"/>
      <c r="AM585" s="40" t="str">
        <f>IF(DaybyDay[[#This Row],[Admin Hours]]&gt;0,DaybyDay[[#This Row],[Admin Hours]]*$AM$2+$AM$3,"")</f>
        <v/>
      </c>
      <c r="AN585" s="40">
        <f>SUMIFS(DaybyDay[Est-Admin-Payroll],DaybyDay[Date],"&gt;="&amp;$C$5,DaybyDay[RowYear],"&gt;="&amp;$C$4,DaybyDay[Date],"&lt;="&amp;DaybyDay[[#This Row],[Date]])</f>
        <v>0</v>
      </c>
      <c r="AO585" s="41" t="str">
        <f>IF(AND(DaybyDay[[#This Row],[_Space]],ISNUMBER(DaybyDay[[#This Row],[Admin Hours]])),DaybyDay[[#This Row],[Est-Admin-Payroll]]/(DaybyDay[[#This Row],[Service-Actuals]]+DaybyDay[[#This Row],[Retail-Actuals]]),"")</f>
        <v/>
      </c>
      <c r="AP585" s="41" t="e">
        <f>DaybyDay[[#This Row],[Estimated-Payroll-Rollup]]/DaybyDay[[#This Row],[Simple-Forecast]]</f>
        <v>#DIV/0!</v>
      </c>
      <c r="AQ5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5" s="77"/>
      <c r="AS585" s="40" t="str">
        <f>IF(DaybyDay[[#This Row],[Retail Hours]]&gt;0,DaybyDay[[#This Row],[Retail Hours]]*$AS$2,"")</f>
        <v/>
      </c>
      <c r="AT585" s="40">
        <f>SUMIFS(DaybyDay[Est-Retail-Payroll],DaybyDay[Date],"&gt;="&amp;$C$5,DaybyDay[RowYear],"&gt;="&amp;$C$4,DaybyDay[Date],"&lt;="&amp;DaybyDay[[#This Row],[Date]])</f>
        <v>0</v>
      </c>
      <c r="AU585" s="82" t="str">
        <f>IF(AND(DaybyDay[[#This Row],[_Space]],ISNUMBER(DaybyDay[[#This Row],[Retail Hours]])),DaybyDay[[#This Row],[Est-Retail-Payroll]]/(DaybyDay[[#This Row],[Retail-Actuals]]),"")</f>
        <v/>
      </c>
      <c r="AV585" s="82" t="e">
        <f>DaybyDay[[#This Row],[Est-Retail-PayrollRU]]/DaybyDay[[#This Row],[Simple-Forecast-Retail]]</f>
        <v>#DIV/0!</v>
      </c>
      <c r="AW585" s="8"/>
    </row>
    <row r="586" spans="3:49" hidden="1" x14ac:dyDescent="0.25">
      <c r="C586" s="26" t="str">
        <f>Tools!$C$1</f>
        <v>Example</v>
      </c>
      <c r="D586" s="27" t="s">
        <v>74</v>
      </c>
      <c r="E586" s="28">
        <v>2018</v>
      </c>
      <c r="F586" s="28">
        <f>MATCH(DaybyDay[[#This Row],[RowMonth]],Table3[SummaryMonth],0)</f>
        <v>7</v>
      </c>
      <c r="G586" s="29">
        <f>MATCH(DaybyDay[[#This Row],[LY-Date]],DaybyDay[Date],0)</f>
        <v>216</v>
      </c>
      <c r="H586" s="30">
        <f>WEEKDAY(DaybyDay[[#This Row],[Date]])</f>
        <v>6</v>
      </c>
      <c r="I586" s="31">
        <v>43315</v>
      </c>
      <c r="J586" s="74">
        <v>22</v>
      </c>
      <c r="K586" s="32">
        <f>SUMIFS(BudgetSeasonality[365 Seasonality],BudgetSeasonality[MonthAdjustment],DaybyDay[[#This Row],[Date]])*SUMIFS(Budgets[Service-Budget],Budgets[BudgetMonth],DaybyDay[[#This Row],[RowMonth]],Budgets[BudgetYear],DaybyDay[[#This Row],[RowYear]])</f>
        <v>5978.9626087155411</v>
      </c>
      <c r="L586" s="75">
        <v>5027.99</v>
      </c>
      <c r="M586" s="32">
        <f>INDEX(BudgetSeasonality[365 Seasonality],MATCH(DaybyDay[[#This Row],[Date]],BudgetSeasonality[MonthAdjustment],0))*SUMIFS(Budgets[Retail-Budget],Budgets[BudgetMonth],DaybyDay[[#This Row],[RowMonth]],Budgets[BudgetYear],DaybyDay[[#This Row],[RowYear]])</f>
        <v>1670.4829058417954</v>
      </c>
      <c r="N586" s="75">
        <v>439</v>
      </c>
      <c r="O586" s="33">
        <f>SUMIFS(DaybyDay[Service-Budgets],DaybyDay[Date],"&gt;="&amp;$C$5,DaybyDay[RowYear],"&gt;="&amp;$C$4,DaybyDay[Date],"&lt;="&amp;DaybyDay[[#This Row],[Date]])</f>
        <v>0</v>
      </c>
      <c r="P586" s="33">
        <f>SUMIFS(DaybyDay[Retail-Budgets],DaybyDay[Date],"&gt;="&amp;$C$5,DaybyDay[RowYear],"&gt;="&amp;$C$4,DaybyDay[Date],"&lt;="&amp;DaybyDay[[#This Row],[Date]])</f>
        <v>0</v>
      </c>
      <c r="Q586" s="34">
        <f>SUMIFS(DaybyDay[Service-Actuals],DaybyDay[Date],"&gt;="&amp;$C$5,DaybyDay[RowYear],"&gt;="&amp;$C$4,DaybyDay[Date],"&lt;="&amp;DaybyDay[[#This Row],[Date]])</f>
        <v>0</v>
      </c>
      <c r="R586" s="34">
        <f>SUMIFS(DaybyDay[Retail-Actuals],DaybyDay[Date],"&gt;="&amp;$C$5,DaybyDay[RowYear],"&gt;="&amp;$C$4,DaybyDay[Date],"&lt;="&amp;DaybyDay[[#This Row],[Date]])</f>
        <v>0</v>
      </c>
      <c r="S586" s="35">
        <f>SUMIFS(DaybyDay[Service-LY],DaybyDay[Date],"&gt;="&amp;$C$5,DaybyDay[RowYear],"&gt;="&amp;$C$4,DaybyDay[Date],"&lt;="&amp;DaybyDay[[#This Row],[Date]])</f>
        <v>0</v>
      </c>
      <c r="T586" s="35">
        <f>SUMIFS(DaybyDay[Retail-LY],DaybyDay[Date],"&gt;="&amp;$C$5,DaybyDay[RowYear],"&gt;="&amp;$C$4,DaybyDay[Date],"&lt;="&amp;DaybyDay[[#This Row],[Date]])</f>
        <v>0</v>
      </c>
      <c r="U586" s="32">
        <f>DaybyDay[[#This Row],[Serv-Bud-RU]]+DaybyDay[[#This Row],[Ret-Bud-RU]]</f>
        <v>0</v>
      </c>
      <c r="V586" s="32">
        <f>DaybyDay[[#This Row],[Serv-Act-RU]]+DaybyDay[[#This Row],[Ret-Act-RU]]</f>
        <v>0</v>
      </c>
      <c r="W586" s="36">
        <f>IF(DaybyDay[[#This Row],[_Space]],IFERROR(
((DaybyDay[[#This Row],[Actual-Rollup]]-DaybyDay[[#This Row],[Budget-Rollup]])/DaybyDay[[#This Row],[Budget-Rollup]]),0),"")</f>
        <v>0</v>
      </c>
      <c r="X586" t="b">
        <f>NOT(AND(ISBLANK(DaybyDay[[#This Row],[Appts]]),ISBLANK(DaybyDay[[#This Row],[Service-Actuals]]),ISBLANK(DaybyDay[[#This Row],[Retail-Actuals]])))</f>
        <v>1</v>
      </c>
      <c r="Y586" s="36">
        <f>IF(DaybyDay[[#This Row],[_Space]],IFERROR(
((DaybyDay[[#This Row],[Actual-Rollup]]-DaybyDay[[#This Row],[LY-Rollup]])/DaybyDay[[#This Row],[LY-Rollup]]),0),"")</f>
        <v>0</v>
      </c>
      <c r="Z586"/>
      <c r="AA586" s="37" t="e">
        <f>IF(DaybyDay[[#This Row],[_Space]],DaybyDay[[#This Row],[Ret-Act-RU]]/DaybyDay[[#This Row],[Serv-Act-RU]],"")</f>
        <v>#DIV/0!</v>
      </c>
      <c r="AB586" s="50" t="e">
        <f>IF(DaybyDay[[#This Row],[_Space]],DaybyDay[[#This Row],[RETPEN-Act]]/DaybyDay[[#This Row],[RETPEN-Bud]],"")</f>
        <v>#DIV/0!</v>
      </c>
      <c r="AC586" s="37" t="e">
        <f>IF(DaybyDay[[#This Row],[_Space]],DaybyDay[[#This Row],[Ret-Bud-RU]]/DaybyDay[[#This Row],[Serv-Bud-RU]],"")</f>
        <v>#DIV/0!</v>
      </c>
      <c r="AD586" s="37" t="e">
        <f>IF(DaybyDay[[#This Row],[_Space]],DaybyDay[[#This Row],[Ret-LY-RU]]/DaybyDay[[#This Row],[Serv-LY-RU]],"")</f>
        <v>#DIV/0!</v>
      </c>
      <c r="AE586" s="30">
        <f>WEEKDAY(DaybyDay[[#This Row],[LY-Date]])</f>
        <v>6</v>
      </c>
      <c r="AF586" s="38">
        <f>$E$2+_xlfn.DAYS(DaybyDay[[#This Row],[Date]],minDate)</f>
        <v>42951</v>
      </c>
      <c r="AG586" s="39" cm="1">
        <f t="array" ref="AG586">IFERROR(INDEX(DaybyDay[],DaybyDay[[#This Row],[FORM_MATCH_HELPER]],8),"")</f>
        <v>25</v>
      </c>
      <c r="AH586" s="39" cm="1">
        <f t="array" ref="AH586">IFERROR(INDEX(DaybyDay[],DaybyDay[[#This Row],[FORM_MATCH_HELPER]],10),"")</f>
        <v>5066.2</v>
      </c>
      <c r="AI586" s="39" cm="1">
        <f t="array" ref="AI586">IFERROR(INDEX(DaybyDay[],DaybyDay[[#This Row],[FORM_MATCH_HELPER]],12),"")</f>
        <v>1262</v>
      </c>
      <c r="AJ586" s="32">
        <f>IFERROR(DaybyDay[[#This Row],[Serv-LY-RU]]+DaybyDay[[#This Row],[Ret-LY-RU]],"")</f>
        <v>0</v>
      </c>
      <c r="AK5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6" s="77"/>
      <c r="AM586" s="40" t="str">
        <f>IF(DaybyDay[[#This Row],[Admin Hours]]&gt;0,DaybyDay[[#This Row],[Admin Hours]]*$AM$2+$AM$3,"")</f>
        <v/>
      </c>
      <c r="AN586" s="40">
        <f>SUMIFS(DaybyDay[Est-Admin-Payroll],DaybyDay[Date],"&gt;="&amp;$C$5,DaybyDay[RowYear],"&gt;="&amp;$C$4,DaybyDay[Date],"&lt;="&amp;DaybyDay[[#This Row],[Date]])</f>
        <v>0</v>
      </c>
      <c r="AO586" s="41" t="str">
        <f>IF(AND(DaybyDay[[#This Row],[_Space]],ISNUMBER(DaybyDay[[#This Row],[Admin Hours]])),DaybyDay[[#This Row],[Est-Admin-Payroll]]/(DaybyDay[[#This Row],[Service-Actuals]]+DaybyDay[[#This Row],[Retail-Actuals]]),"")</f>
        <v/>
      </c>
      <c r="AP586" s="41" t="e">
        <f>DaybyDay[[#This Row],[Estimated-Payroll-Rollup]]/DaybyDay[[#This Row],[Simple-Forecast]]</f>
        <v>#DIV/0!</v>
      </c>
      <c r="AQ5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6" s="77"/>
      <c r="AS586" s="40" t="str">
        <f>IF(DaybyDay[[#This Row],[Retail Hours]]&gt;0,DaybyDay[[#This Row],[Retail Hours]]*$AS$2,"")</f>
        <v/>
      </c>
      <c r="AT586" s="40">
        <f>SUMIFS(DaybyDay[Est-Retail-Payroll],DaybyDay[Date],"&gt;="&amp;$C$5,DaybyDay[RowYear],"&gt;="&amp;$C$4,DaybyDay[Date],"&lt;="&amp;DaybyDay[[#This Row],[Date]])</f>
        <v>0</v>
      </c>
      <c r="AU586" s="82" t="str">
        <f>IF(AND(DaybyDay[[#This Row],[_Space]],ISNUMBER(DaybyDay[[#This Row],[Retail Hours]])),DaybyDay[[#This Row],[Est-Retail-Payroll]]/(DaybyDay[[#This Row],[Retail-Actuals]]),"")</f>
        <v/>
      </c>
      <c r="AV586" s="82" t="e">
        <f>DaybyDay[[#This Row],[Est-Retail-PayrollRU]]/DaybyDay[[#This Row],[Simple-Forecast-Retail]]</f>
        <v>#DIV/0!</v>
      </c>
      <c r="AW586" s="8"/>
    </row>
    <row r="587" spans="3:49" hidden="1" x14ac:dyDescent="0.25">
      <c r="C587" s="26" t="str">
        <f>Tools!$C$1</f>
        <v>Example</v>
      </c>
      <c r="D587" s="27" t="s">
        <v>74</v>
      </c>
      <c r="E587" s="28">
        <v>2018</v>
      </c>
      <c r="F587" s="28">
        <f>MATCH(DaybyDay[[#This Row],[RowMonth]],Table3[SummaryMonth],0)</f>
        <v>7</v>
      </c>
      <c r="G587" s="29">
        <f>MATCH(DaybyDay[[#This Row],[LY-Date]],DaybyDay[Date],0)</f>
        <v>217</v>
      </c>
      <c r="H587" s="30">
        <f>WEEKDAY(DaybyDay[[#This Row],[Date]])</f>
        <v>7</v>
      </c>
      <c r="I587" s="31">
        <v>43316</v>
      </c>
      <c r="J587" s="74">
        <v>38</v>
      </c>
      <c r="K587" s="32">
        <f>SUMIFS(BudgetSeasonality[365 Seasonality],BudgetSeasonality[MonthAdjustment],DaybyDay[[#This Row],[Date]])*SUMIFS(Budgets[Service-Budget],Budgets[BudgetMonth],DaybyDay[[#This Row],[RowMonth]],Budgets[BudgetYear],DaybyDay[[#This Row],[RowYear]])</f>
        <v>8610.9388497206201</v>
      </c>
      <c r="L587" s="75">
        <v>7345.99</v>
      </c>
      <c r="M587" s="32">
        <f>INDEX(BudgetSeasonality[365 Seasonality],MATCH(DaybyDay[[#This Row],[Date]],BudgetSeasonality[MonthAdjustment],0))*SUMIFS(Budgets[Retail-Budget],Budgets[BudgetMonth],DaybyDay[[#This Row],[RowMonth]],Budgets[BudgetYear],DaybyDay[[#This Row],[RowYear]])</f>
        <v>2405.8397907923213</v>
      </c>
      <c r="N587" s="75">
        <v>3906</v>
      </c>
      <c r="O587" s="33">
        <f>SUMIFS(DaybyDay[Service-Budgets],DaybyDay[Date],"&gt;="&amp;$C$5,DaybyDay[RowYear],"&gt;="&amp;$C$4,DaybyDay[Date],"&lt;="&amp;DaybyDay[[#This Row],[Date]])</f>
        <v>0</v>
      </c>
      <c r="P587" s="33">
        <f>SUMIFS(DaybyDay[Retail-Budgets],DaybyDay[Date],"&gt;="&amp;$C$5,DaybyDay[RowYear],"&gt;="&amp;$C$4,DaybyDay[Date],"&lt;="&amp;DaybyDay[[#This Row],[Date]])</f>
        <v>0</v>
      </c>
      <c r="Q587" s="34">
        <f>SUMIFS(DaybyDay[Service-Actuals],DaybyDay[Date],"&gt;="&amp;$C$5,DaybyDay[RowYear],"&gt;="&amp;$C$4,DaybyDay[Date],"&lt;="&amp;DaybyDay[[#This Row],[Date]])</f>
        <v>0</v>
      </c>
      <c r="R587" s="34">
        <f>SUMIFS(DaybyDay[Retail-Actuals],DaybyDay[Date],"&gt;="&amp;$C$5,DaybyDay[RowYear],"&gt;="&amp;$C$4,DaybyDay[Date],"&lt;="&amp;DaybyDay[[#This Row],[Date]])</f>
        <v>0</v>
      </c>
      <c r="S587" s="35">
        <f>SUMIFS(DaybyDay[Service-LY],DaybyDay[Date],"&gt;="&amp;$C$5,DaybyDay[RowYear],"&gt;="&amp;$C$4,DaybyDay[Date],"&lt;="&amp;DaybyDay[[#This Row],[Date]])</f>
        <v>0</v>
      </c>
      <c r="T587" s="35">
        <f>SUMIFS(DaybyDay[Retail-LY],DaybyDay[Date],"&gt;="&amp;$C$5,DaybyDay[RowYear],"&gt;="&amp;$C$4,DaybyDay[Date],"&lt;="&amp;DaybyDay[[#This Row],[Date]])</f>
        <v>0</v>
      </c>
      <c r="U587" s="32">
        <f>DaybyDay[[#This Row],[Serv-Bud-RU]]+DaybyDay[[#This Row],[Ret-Bud-RU]]</f>
        <v>0</v>
      </c>
      <c r="V587" s="32">
        <f>DaybyDay[[#This Row],[Serv-Act-RU]]+DaybyDay[[#This Row],[Ret-Act-RU]]</f>
        <v>0</v>
      </c>
      <c r="W587" s="36">
        <f>IF(DaybyDay[[#This Row],[_Space]],IFERROR(
((DaybyDay[[#This Row],[Actual-Rollup]]-DaybyDay[[#This Row],[Budget-Rollup]])/DaybyDay[[#This Row],[Budget-Rollup]]),0),"")</f>
        <v>0</v>
      </c>
      <c r="X587" t="b">
        <f>NOT(AND(ISBLANK(DaybyDay[[#This Row],[Appts]]),ISBLANK(DaybyDay[[#This Row],[Service-Actuals]]),ISBLANK(DaybyDay[[#This Row],[Retail-Actuals]])))</f>
        <v>1</v>
      </c>
      <c r="Y587" s="36">
        <f>IF(DaybyDay[[#This Row],[_Space]],IFERROR(
((DaybyDay[[#This Row],[Actual-Rollup]]-DaybyDay[[#This Row],[LY-Rollup]])/DaybyDay[[#This Row],[LY-Rollup]]),0),"")</f>
        <v>0</v>
      </c>
      <c r="Z587"/>
      <c r="AA587" s="37" t="e">
        <f>IF(DaybyDay[[#This Row],[_Space]],DaybyDay[[#This Row],[Ret-Act-RU]]/DaybyDay[[#This Row],[Serv-Act-RU]],"")</f>
        <v>#DIV/0!</v>
      </c>
      <c r="AB587" s="50" t="e">
        <f>IF(DaybyDay[[#This Row],[_Space]],DaybyDay[[#This Row],[RETPEN-Act]]/DaybyDay[[#This Row],[RETPEN-Bud]],"")</f>
        <v>#DIV/0!</v>
      </c>
      <c r="AC587" s="37" t="e">
        <f>IF(DaybyDay[[#This Row],[_Space]],DaybyDay[[#This Row],[Ret-Bud-RU]]/DaybyDay[[#This Row],[Serv-Bud-RU]],"")</f>
        <v>#DIV/0!</v>
      </c>
      <c r="AD587" s="37" t="e">
        <f>IF(DaybyDay[[#This Row],[_Space]],DaybyDay[[#This Row],[Ret-LY-RU]]/DaybyDay[[#This Row],[Serv-LY-RU]],"")</f>
        <v>#DIV/0!</v>
      </c>
      <c r="AE587" s="30">
        <f>WEEKDAY(DaybyDay[[#This Row],[LY-Date]])</f>
        <v>7</v>
      </c>
      <c r="AF587" s="38">
        <f>$E$2+_xlfn.DAYS(DaybyDay[[#This Row],[Date]],minDate)</f>
        <v>42952</v>
      </c>
      <c r="AG587" s="39" cm="1">
        <f t="array" ref="AG587">IFERROR(INDEX(DaybyDay[],DaybyDay[[#This Row],[FORM_MATCH_HELPER]],8),"")</f>
        <v>32</v>
      </c>
      <c r="AH587" s="39" cm="1">
        <f t="array" ref="AH587">IFERROR(INDEX(DaybyDay[],DaybyDay[[#This Row],[FORM_MATCH_HELPER]],10),"")</f>
        <v>6602.99</v>
      </c>
      <c r="AI587" s="39" cm="1">
        <f t="array" ref="AI587">IFERROR(INDEX(DaybyDay[],DaybyDay[[#This Row],[FORM_MATCH_HELPER]],12),"")</f>
        <v>694.18</v>
      </c>
      <c r="AJ587" s="32">
        <f>IFERROR(DaybyDay[[#This Row],[Serv-LY-RU]]+DaybyDay[[#This Row],[Ret-LY-RU]],"")</f>
        <v>0</v>
      </c>
      <c r="AK5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7" s="77"/>
      <c r="AM587" s="40" t="str">
        <f>IF(DaybyDay[[#This Row],[Admin Hours]]&gt;0,DaybyDay[[#This Row],[Admin Hours]]*$AM$2+$AM$3,"")</f>
        <v/>
      </c>
      <c r="AN587" s="40">
        <f>SUMIFS(DaybyDay[Est-Admin-Payroll],DaybyDay[Date],"&gt;="&amp;$C$5,DaybyDay[RowYear],"&gt;="&amp;$C$4,DaybyDay[Date],"&lt;="&amp;DaybyDay[[#This Row],[Date]])</f>
        <v>0</v>
      </c>
      <c r="AO587" s="41" t="str">
        <f>IF(AND(DaybyDay[[#This Row],[_Space]],ISNUMBER(DaybyDay[[#This Row],[Admin Hours]])),DaybyDay[[#This Row],[Est-Admin-Payroll]]/(DaybyDay[[#This Row],[Service-Actuals]]+DaybyDay[[#This Row],[Retail-Actuals]]),"")</f>
        <v/>
      </c>
      <c r="AP587" s="41" t="e">
        <f>DaybyDay[[#This Row],[Estimated-Payroll-Rollup]]/DaybyDay[[#This Row],[Simple-Forecast]]</f>
        <v>#DIV/0!</v>
      </c>
      <c r="AQ5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7" s="77"/>
      <c r="AS587" s="40" t="str">
        <f>IF(DaybyDay[[#This Row],[Retail Hours]]&gt;0,DaybyDay[[#This Row],[Retail Hours]]*$AS$2,"")</f>
        <v/>
      </c>
      <c r="AT587" s="40">
        <f>SUMIFS(DaybyDay[Est-Retail-Payroll],DaybyDay[Date],"&gt;="&amp;$C$5,DaybyDay[RowYear],"&gt;="&amp;$C$4,DaybyDay[Date],"&lt;="&amp;DaybyDay[[#This Row],[Date]])</f>
        <v>0</v>
      </c>
      <c r="AU587" s="82" t="str">
        <f>IF(AND(DaybyDay[[#This Row],[_Space]],ISNUMBER(DaybyDay[[#This Row],[Retail Hours]])),DaybyDay[[#This Row],[Est-Retail-Payroll]]/(DaybyDay[[#This Row],[Retail-Actuals]]),"")</f>
        <v/>
      </c>
      <c r="AV587" s="82" t="e">
        <f>DaybyDay[[#This Row],[Est-Retail-PayrollRU]]/DaybyDay[[#This Row],[Simple-Forecast-Retail]]</f>
        <v>#DIV/0!</v>
      </c>
      <c r="AW587" s="8"/>
    </row>
    <row r="588" spans="3:49" hidden="1" x14ac:dyDescent="0.25">
      <c r="C588" s="26" t="str">
        <f>Tools!$C$1</f>
        <v>Example</v>
      </c>
      <c r="D588" s="27" t="s">
        <v>75</v>
      </c>
      <c r="E588" s="28">
        <v>2018</v>
      </c>
      <c r="F588" s="28">
        <f>MATCH(DaybyDay[[#This Row],[RowMonth]],Table3[SummaryMonth],0)</f>
        <v>8</v>
      </c>
      <c r="G588" s="29">
        <f>MATCH(DaybyDay[[#This Row],[LY-Date]],DaybyDay[Date],0)</f>
        <v>218</v>
      </c>
      <c r="H588" s="30">
        <f>WEEKDAY(DaybyDay[[#This Row],[Date]])</f>
        <v>1</v>
      </c>
      <c r="I588" s="31">
        <v>43317</v>
      </c>
      <c r="J588" s="74">
        <v>31</v>
      </c>
      <c r="K588" s="32">
        <f>SUMIFS(BudgetSeasonality[365 Seasonality],BudgetSeasonality[MonthAdjustment],DaybyDay[[#This Row],[Date]])*SUMIFS(Budgets[Service-Budget],Budgets[BudgetMonth],DaybyDay[[#This Row],[RowMonth]],Budgets[BudgetYear],DaybyDay[[#This Row],[RowYear]])</f>
        <v>6578.7331566557732</v>
      </c>
      <c r="L588" s="75">
        <v>7174.35</v>
      </c>
      <c r="M588" s="32">
        <f>INDEX(BudgetSeasonality[365 Seasonality],MATCH(DaybyDay[[#This Row],[Date]],BudgetSeasonality[MonthAdjustment],0))*SUMIFS(Budgets[Retail-Budget],Budgets[BudgetMonth],DaybyDay[[#This Row],[RowMonth]],Budgets[BudgetYear],DaybyDay[[#This Row],[RowYear]])</f>
        <v>1839.5531017861479</v>
      </c>
      <c r="N588" s="75">
        <v>1890</v>
      </c>
      <c r="O588" s="33">
        <f>SUMIFS(DaybyDay[Service-Budgets],DaybyDay[Date],"&gt;="&amp;$C$5,DaybyDay[RowYear],"&gt;="&amp;$C$4,DaybyDay[Date],"&lt;="&amp;DaybyDay[[#This Row],[Date]])</f>
        <v>0</v>
      </c>
      <c r="P588" s="33">
        <f>SUMIFS(DaybyDay[Retail-Budgets],DaybyDay[Date],"&gt;="&amp;$C$5,DaybyDay[RowYear],"&gt;="&amp;$C$4,DaybyDay[Date],"&lt;="&amp;DaybyDay[[#This Row],[Date]])</f>
        <v>0</v>
      </c>
      <c r="Q588" s="34">
        <f>SUMIFS(DaybyDay[Service-Actuals],DaybyDay[Date],"&gt;="&amp;$C$5,DaybyDay[RowYear],"&gt;="&amp;$C$4,DaybyDay[Date],"&lt;="&amp;DaybyDay[[#This Row],[Date]])</f>
        <v>0</v>
      </c>
      <c r="R588" s="34">
        <f>SUMIFS(DaybyDay[Retail-Actuals],DaybyDay[Date],"&gt;="&amp;$C$5,DaybyDay[RowYear],"&gt;="&amp;$C$4,DaybyDay[Date],"&lt;="&amp;DaybyDay[[#This Row],[Date]])</f>
        <v>0</v>
      </c>
      <c r="S588" s="35">
        <f>SUMIFS(DaybyDay[Service-LY],DaybyDay[Date],"&gt;="&amp;$C$5,DaybyDay[RowYear],"&gt;="&amp;$C$4,DaybyDay[Date],"&lt;="&amp;DaybyDay[[#This Row],[Date]])</f>
        <v>0</v>
      </c>
      <c r="T588" s="35">
        <f>SUMIFS(DaybyDay[Retail-LY],DaybyDay[Date],"&gt;="&amp;$C$5,DaybyDay[RowYear],"&gt;="&amp;$C$4,DaybyDay[Date],"&lt;="&amp;DaybyDay[[#This Row],[Date]])</f>
        <v>0</v>
      </c>
      <c r="U588" s="32">
        <f>DaybyDay[[#This Row],[Serv-Bud-RU]]+DaybyDay[[#This Row],[Ret-Bud-RU]]</f>
        <v>0</v>
      </c>
      <c r="V588" s="32">
        <f>DaybyDay[[#This Row],[Serv-Act-RU]]+DaybyDay[[#This Row],[Ret-Act-RU]]</f>
        <v>0</v>
      </c>
      <c r="W588" s="36">
        <f>IF(DaybyDay[[#This Row],[_Space]],IFERROR(
((DaybyDay[[#This Row],[Actual-Rollup]]-DaybyDay[[#This Row],[Budget-Rollup]])/DaybyDay[[#This Row],[Budget-Rollup]]),0),"")</f>
        <v>0</v>
      </c>
      <c r="X588" t="b">
        <f>NOT(AND(ISBLANK(DaybyDay[[#This Row],[Appts]]),ISBLANK(DaybyDay[[#This Row],[Service-Actuals]]),ISBLANK(DaybyDay[[#This Row],[Retail-Actuals]])))</f>
        <v>1</v>
      </c>
      <c r="Y588" s="36">
        <f>IF(DaybyDay[[#This Row],[_Space]],IFERROR(
((DaybyDay[[#This Row],[Actual-Rollup]]-DaybyDay[[#This Row],[LY-Rollup]])/DaybyDay[[#This Row],[LY-Rollup]]),0),"")</f>
        <v>0</v>
      </c>
      <c r="Z588"/>
      <c r="AA588" s="37" t="e">
        <f>IF(DaybyDay[[#This Row],[_Space]],DaybyDay[[#This Row],[Ret-Act-RU]]/DaybyDay[[#This Row],[Serv-Act-RU]],"")</f>
        <v>#DIV/0!</v>
      </c>
      <c r="AB588" s="50" t="e">
        <f>IF(DaybyDay[[#This Row],[_Space]],DaybyDay[[#This Row],[RETPEN-Act]]/DaybyDay[[#This Row],[RETPEN-Bud]],"")</f>
        <v>#DIV/0!</v>
      </c>
      <c r="AC588" s="37" t="e">
        <f>IF(DaybyDay[[#This Row],[_Space]],DaybyDay[[#This Row],[Ret-Bud-RU]]/DaybyDay[[#This Row],[Serv-Bud-RU]],"")</f>
        <v>#DIV/0!</v>
      </c>
      <c r="AD588" s="37" t="e">
        <f>IF(DaybyDay[[#This Row],[_Space]],DaybyDay[[#This Row],[Ret-LY-RU]]/DaybyDay[[#This Row],[Serv-LY-RU]],"")</f>
        <v>#DIV/0!</v>
      </c>
      <c r="AE588" s="30">
        <f>WEEKDAY(DaybyDay[[#This Row],[LY-Date]])</f>
        <v>1</v>
      </c>
      <c r="AF588" s="38">
        <f>$E$2+_xlfn.DAYS(DaybyDay[[#This Row],[Date]],minDate)</f>
        <v>42953</v>
      </c>
      <c r="AG588" s="39" cm="1">
        <f t="array" ref="AG588">IFERROR(INDEX(DaybyDay[],DaybyDay[[#This Row],[FORM_MATCH_HELPER]],8),"")</f>
        <v>18</v>
      </c>
      <c r="AH588" s="39" cm="1">
        <f t="array" ref="AH588">IFERROR(INDEX(DaybyDay[],DaybyDay[[#This Row],[FORM_MATCH_HELPER]],10),"")</f>
        <v>4130.3999999999996</v>
      </c>
      <c r="AI588" s="39" cm="1">
        <f t="array" ref="AI588">IFERROR(INDEX(DaybyDay[],DaybyDay[[#This Row],[FORM_MATCH_HELPER]],12),"")</f>
        <v>319.25</v>
      </c>
      <c r="AJ588" s="32">
        <f>IFERROR(DaybyDay[[#This Row],[Serv-LY-RU]]+DaybyDay[[#This Row],[Ret-LY-RU]],"")</f>
        <v>0</v>
      </c>
      <c r="AK5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8" s="77"/>
      <c r="AM588" s="40" t="str">
        <f>IF(DaybyDay[[#This Row],[Admin Hours]]&gt;0,DaybyDay[[#This Row],[Admin Hours]]*$AM$2+$AM$3,"")</f>
        <v/>
      </c>
      <c r="AN588" s="40">
        <f>SUMIFS(DaybyDay[Est-Admin-Payroll],DaybyDay[Date],"&gt;="&amp;$C$5,DaybyDay[RowYear],"&gt;="&amp;$C$4,DaybyDay[Date],"&lt;="&amp;DaybyDay[[#This Row],[Date]])</f>
        <v>0</v>
      </c>
      <c r="AO588" s="41" t="str">
        <f>IF(AND(DaybyDay[[#This Row],[_Space]],ISNUMBER(DaybyDay[[#This Row],[Admin Hours]])),DaybyDay[[#This Row],[Est-Admin-Payroll]]/(DaybyDay[[#This Row],[Service-Actuals]]+DaybyDay[[#This Row],[Retail-Actuals]]),"")</f>
        <v/>
      </c>
      <c r="AP588" s="41" t="e">
        <f>DaybyDay[[#This Row],[Estimated-Payroll-Rollup]]/DaybyDay[[#This Row],[Simple-Forecast]]</f>
        <v>#DIV/0!</v>
      </c>
      <c r="AQ5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8" s="77"/>
      <c r="AS588" s="40" t="str">
        <f>IF(DaybyDay[[#This Row],[Retail Hours]]&gt;0,DaybyDay[[#This Row],[Retail Hours]]*$AS$2,"")</f>
        <v/>
      </c>
      <c r="AT588" s="40">
        <f>SUMIFS(DaybyDay[Est-Retail-Payroll],DaybyDay[Date],"&gt;="&amp;$C$5,DaybyDay[RowYear],"&gt;="&amp;$C$4,DaybyDay[Date],"&lt;="&amp;DaybyDay[[#This Row],[Date]])</f>
        <v>0</v>
      </c>
      <c r="AU588" s="82" t="str">
        <f>IF(AND(DaybyDay[[#This Row],[_Space]],ISNUMBER(DaybyDay[[#This Row],[Retail Hours]])),DaybyDay[[#This Row],[Est-Retail-Payroll]]/(DaybyDay[[#This Row],[Retail-Actuals]]),"")</f>
        <v/>
      </c>
      <c r="AV588" s="82" t="e">
        <f>DaybyDay[[#This Row],[Est-Retail-PayrollRU]]/DaybyDay[[#This Row],[Simple-Forecast-Retail]]</f>
        <v>#DIV/0!</v>
      </c>
      <c r="AW588" s="8"/>
    </row>
    <row r="589" spans="3:49" hidden="1" x14ac:dyDescent="0.25">
      <c r="C589" s="26" t="str">
        <f>Tools!$C$1</f>
        <v>Example</v>
      </c>
      <c r="D589" s="27" t="s">
        <v>75</v>
      </c>
      <c r="E589" s="28">
        <v>2018</v>
      </c>
      <c r="F589" s="28">
        <f>MATCH(DaybyDay[[#This Row],[RowMonth]],Table3[SummaryMonth],0)</f>
        <v>8</v>
      </c>
      <c r="G589" s="29">
        <f>MATCH(DaybyDay[[#This Row],[LY-Date]],DaybyDay[Date],0)</f>
        <v>219</v>
      </c>
      <c r="H589" s="30">
        <f>WEEKDAY(DaybyDay[[#This Row],[Date]])</f>
        <v>2</v>
      </c>
      <c r="I589" s="31">
        <v>43318</v>
      </c>
      <c r="J589" s="74">
        <v>18</v>
      </c>
      <c r="K589" s="32">
        <f>SUMIFS(BudgetSeasonality[365 Seasonality],BudgetSeasonality[MonthAdjustment],DaybyDay[[#This Row],[Date]])*SUMIFS(Budgets[Service-Budget],Budgets[BudgetMonth],DaybyDay[[#This Row],[RowMonth]],Budgets[BudgetYear],DaybyDay[[#This Row],[RowYear]])</f>
        <v>3633.8374490557862</v>
      </c>
      <c r="L589" s="75">
        <v>4231.2</v>
      </c>
      <c r="M589" s="32">
        <f>INDEX(BudgetSeasonality[365 Seasonality],MATCH(DaybyDay[[#This Row],[Date]],BudgetSeasonality[MonthAdjustment],0))*SUMIFS(Budgets[Retail-Budget],Budgets[BudgetMonth],DaybyDay[[#This Row],[RowMonth]],Budgets[BudgetYear],DaybyDay[[#This Row],[RowYear]])</f>
        <v>1016.0979008601859</v>
      </c>
      <c r="N589" s="75">
        <v>437.5</v>
      </c>
      <c r="O589" s="33">
        <f>SUMIFS(DaybyDay[Service-Budgets],DaybyDay[Date],"&gt;="&amp;$C$5,DaybyDay[RowYear],"&gt;="&amp;$C$4,DaybyDay[Date],"&lt;="&amp;DaybyDay[[#This Row],[Date]])</f>
        <v>0</v>
      </c>
      <c r="P589" s="33">
        <f>SUMIFS(DaybyDay[Retail-Budgets],DaybyDay[Date],"&gt;="&amp;$C$5,DaybyDay[RowYear],"&gt;="&amp;$C$4,DaybyDay[Date],"&lt;="&amp;DaybyDay[[#This Row],[Date]])</f>
        <v>0</v>
      </c>
      <c r="Q589" s="34">
        <f>SUMIFS(DaybyDay[Service-Actuals],DaybyDay[Date],"&gt;="&amp;$C$5,DaybyDay[RowYear],"&gt;="&amp;$C$4,DaybyDay[Date],"&lt;="&amp;DaybyDay[[#This Row],[Date]])</f>
        <v>0</v>
      </c>
      <c r="R589" s="34">
        <f>SUMIFS(DaybyDay[Retail-Actuals],DaybyDay[Date],"&gt;="&amp;$C$5,DaybyDay[RowYear],"&gt;="&amp;$C$4,DaybyDay[Date],"&lt;="&amp;DaybyDay[[#This Row],[Date]])</f>
        <v>0</v>
      </c>
      <c r="S589" s="35">
        <f>SUMIFS(DaybyDay[Service-LY],DaybyDay[Date],"&gt;="&amp;$C$5,DaybyDay[RowYear],"&gt;="&amp;$C$4,DaybyDay[Date],"&lt;="&amp;DaybyDay[[#This Row],[Date]])</f>
        <v>0</v>
      </c>
      <c r="T589" s="35">
        <f>SUMIFS(DaybyDay[Retail-LY],DaybyDay[Date],"&gt;="&amp;$C$5,DaybyDay[RowYear],"&gt;="&amp;$C$4,DaybyDay[Date],"&lt;="&amp;DaybyDay[[#This Row],[Date]])</f>
        <v>0</v>
      </c>
      <c r="U589" s="32">
        <f>DaybyDay[[#This Row],[Serv-Bud-RU]]+DaybyDay[[#This Row],[Ret-Bud-RU]]</f>
        <v>0</v>
      </c>
      <c r="V589" s="32">
        <f>DaybyDay[[#This Row],[Serv-Act-RU]]+DaybyDay[[#This Row],[Ret-Act-RU]]</f>
        <v>0</v>
      </c>
      <c r="W589" s="36">
        <f>IF(DaybyDay[[#This Row],[_Space]],IFERROR(
((DaybyDay[[#This Row],[Actual-Rollup]]-DaybyDay[[#This Row],[Budget-Rollup]])/DaybyDay[[#This Row],[Budget-Rollup]]),0),"")</f>
        <v>0</v>
      </c>
      <c r="X589" t="b">
        <f>NOT(AND(ISBLANK(DaybyDay[[#This Row],[Appts]]),ISBLANK(DaybyDay[[#This Row],[Service-Actuals]]),ISBLANK(DaybyDay[[#This Row],[Retail-Actuals]])))</f>
        <v>1</v>
      </c>
      <c r="Y589" s="36">
        <f>IF(DaybyDay[[#This Row],[_Space]],IFERROR(
((DaybyDay[[#This Row],[Actual-Rollup]]-DaybyDay[[#This Row],[LY-Rollup]])/DaybyDay[[#This Row],[LY-Rollup]]),0),"")</f>
        <v>0</v>
      </c>
      <c r="Z589"/>
      <c r="AA589" s="37" t="e">
        <f>IF(DaybyDay[[#This Row],[_Space]],DaybyDay[[#This Row],[Ret-Act-RU]]/DaybyDay[[#This Row],[Serv-Act-RU]],"")</f>
        <v>#DIV/0!</v>
      </c>
      <c r="AB589" s="50" t="e">
        <f>IF(DaybyDay[[#This Row],[_Space]],DaybyDay[[#This Row],[RETPEN-Act]]/DaybyDay[[#This Row],[RETPEN-Bud]],"")</f>
        <v>#DIV/0!</v>
      </c>
      <c r="AC589" s="37" t="e">
        <f>IF(DaybyDay[[#This Row],[_Space]],DaybyDay[[#This Row],[Ret-Bud-RU]]/DaybyDay[[#This Row],[Serv-Bud-RU]],"")</f>
        <v>#DIV/0!</v>
      </c>
      <c r="AD589" s="37" t="e">
        <f>IF(DaybyDay[[#This Row],[_Space]],DaybyDay[[#This Row],[Ret-LY-RU]]/DaybyDay[[#This Row],[Serv-LY-RU]],"")</f>
        <v>#DIV/0!</v>
      </c>
      <c r="AE589" s="30">
        <f>WEEKDAY(DaybyDay[[#This Row],[LY-Date]])</f>
        <v>2</v>
      </c>
      <c r="AF589" s="38">
        <f>$E$2+_xlfn.DAYS(DaybyDay[[#This Row],[Date]],minDate)</f>
        <v>42954</v>
      </c>
      <c r="AG589" s="39" cm="1">
        <f t="array" ref="AG589">IFERROR(INDEX(DaybyDay[],DaybyDay[[#This Row],[FORM_MATCH_HELPER]],8),"")</f>
        <v>12</v>
      </c>
      <c r="AH589" s="39" cm="1">
        <f t="array" ref="AH589">IFERROR(INDEX(DaybyDay[],DaybyDay[[#This Row],[FORM_MATCH_HELPER]],10),"")</f>
        <v>2151</v>
      </c>
      <c r="AI589" s="39" cm="1">
        <f t="array" ref="AI589">IFERROR(INDEX(DaybyDay[],DaybyDay[[#This Row],[FORM_MATCH_HELPER]],12),"")</f>
        <v>267</v>
      </c>
      <c r="AJ589" s="32">
        <f>IFERROR(DaybyDay[[#This Row],[Serv-LY-RU]]+DaybyDay[[#This Row],[Ret-LY-RU]],"")</f>
        <v>0</v>
      </c>
      <c r="AK5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89" s="77"/>
      <c r="AM589" s="40" t="str">
        <f>IF(DaybyDay[[#This Row],[Admin Hours]]&gt;0,DaybyDay[[#This Row],[Admin Hours]]*$AM$2+$AM$3,"")</f>
        <v/>
      </c>
      <c r="AN589" s="40">
        <f>SUMIFS(DaybyDay[Est-Admin-Payroll],DaybyDay[Date],"&gt;="&amp;$C$5,DaybyDay[RowYear],"&gt;="&amp;$C$4,DaybyDay[Date],"&lt;="&amp;DaybyDay[[#This Row],[Date]])</f>
        <v>0</v>
      </c>
      <c r="AO589" s="41" t="str">
        <f>IF(AND(DaybyDay[[#This Row],[_Space]],ISNUMBER(DaybyDay[[#This Row],[Admin Hours]])),DaybyDay[[#This Row],[Est-Admin-Payroll]]/(DaybyDay[[#This Row],[Service-Actuals]]+DaybyDay[[#This Row],[Retail-Actuals]]),"")</f>
        <v/>
      </c>
      <c r="AP589" s="41" t="e">
        <f>DaybyDay[[#This Row],[Estimated-Payroll-Rollup]]/DaybyDay[[#This Row],[Simple-Forecast]]</f>
        <v>#DIV/0!</v>
      </c>
      <c r="AQ5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89" s="77"/>
      <c r="AS589" s="40" t="str">
        <f>IF(DaybyDay[[#This Row],[Retail Hours]]&gt;0,DaybyDay[[#This Row],[Retail Hours]]*$AS$2,"")</f>
        <v/>
      </c>
      <c r="AT589" s="40">
        <f>SUMIFS(DaybyDay[Est-Retail-Payroll],DaybyDay[Date],"&gt;="&amp;$C$5,DaybyDay[RowYear],"&gt;="&amp;$C$4,DaybyDay[Date],"&lt;="&amp;DaybyDay[[#This Row],[Date]])</f>
        <v>0</v>
      </c>
      <c r="AU589" s="82" t="str">
        <f>IF(AND(DaybyDay[[#This Row],[_Space]],ISNUMBER(DaybyDay[[#This Row],[Retail Hours]])),DaybyDay[[#This Row],[Est-Retail-Payroll]]/(DaybyDay[[#This Row],[Retail-Actuals]]),"")</f>
        <v/>
      </c>
      <c r="AV589" s="82" t="e">
        <f>DaybyDay[[#This Row],[Est-Retail-PayrollRU]]/DaybyDay[[#This Row],[Simple-Forecast-Retail]]</f>
        <v>#DIV/0!</v>
      </c>
      <c r="AW589" s="8"/>
    </row>
    <row r="590" spans="3:49" hidden="1" x14ac:dyDescent="0.25">
      <c r="C590" s="26" t="str">
        <f>Tools!$C$1</f>
        <v>Example</v>
      </c>
      <c r="D590" s="27" t="s">
        <v>75</v>
      </c>
      <c r="E590" s="28">
        <v>2018</v>
      </c>
      <c r="F590" s="28">
        <f>MATCH(DaybyDay[[#This Row],[RowMonth]],Table3[SummaryMonth],0)</f>
        <v>8</v>
      </c>
      <c r="G590" s="29">
        <f>MATCH(DaybyDay[[#This Row],[LY-Date]],DaybyDay[Date],0)</f>
        <v>220</v>
      </c>
      <c r="H590" s="30">
        <f>WEEKDAY(DaybyDay[[#This Row],[Date]])</f>
        <v>3</v>
      </c>
      <c r="I590" s="31">
        <v>43319</v>
      </c>
      <c r="J590" s="74">
        <v>15</v>
      </c>
      <c r="K590" s="32">
        <f>SUMIFS(BudgetSeasonality[365 Seasonality],BudgetSeasonality[MonthAdjustment],DaybyDay[[#This Row],[Date]])*SUMIFS(Budgets[Service-Budget],Budgets[BudgetMonth],DaybyDay[[#This Row],[RowMonth]],Budgets[BudgetYear],DaybyDay[[#This Row],[RowYear]])</f>
        <v>3732.9717387846031</v>
      </c>
      <c r="L590" s="75">
        <v>4060.4</v>
      </c>
      <c r="M590" s="32">
        <f>INDEX(BudgetSeasonality[365 Seasonality],MATCH(DaybyDay[[#This Row],[Date]],BudgetSeasonality[MonthAdjustment],0))*SUMIFS(Budgets[Retail-Budget],Budgets[BudgetMonth],DaybyDay[[#This Row],[RowMonth]],Budgets[BudgetYear],DaybyDay[[#This Row],[RowYear]])</f>
        <v>1043.8179475350555</v>
      </c>
      <c r="N590" s="75">
        <v>420</v>
      </c>
      <c r="O590" s="33">
        <f>SUMIFS(DaybyDay[Service-Budgets],DaybyDay[Date],"&gt;="&amp;$C$5,DaybyDay[RowYear],"&gt;="&amp;$C$4,DaybyDay[Date],"&lt;="&amp;DaybyDay[[#This Row],[Date]])</f>
        <v>0</v>
      </c>
      <c r="P590" s="33">
        <f>SUMIFS(DaybyDay[Retail-Budgets],DaybyDay[Date],"&gt;="&amp;$C$5,DaybyDay[RowYear],"&gt;="&amp;$C$4,DaybyDay[Date],"&lt;="&amp;DaybyDay[[#This Row],[Date]])</f>
        <v>0</v>
      </c>
      <c r="Q590" s="34">
        <f>SUMIFS(DaybyDay[Service-Actuals],DaybyDay[Date],"&gt;="&amp;$C$5,DaybyDay[RowYear],"&gt;="&amp;$C$4,DaybyDay[Date],"&lt;="&amp;DaybyDay[[#This Row],[Date]])</f>
        <v>0</v>
      </c>
      <c r="R590" s="34">
        <f>SUMIFS(DaybyDay[Retail-Actuals],DaybyDay[Date],"&gt;="&amp;$C$5,DaybyDay[RowYear],"&gt;="&amp;$C$4,DaybyDay[Date],"&lt;="&amp;DaybyDay[[#This Row],[Date]])</f>
        <v>0</v>
      </c>
      <c r="S590" s="35">
        <f>SUMIFS(DaybyDay[Service-LY],DaybyDay[Date],"&gt;="&amp;$C$5,DaybyDay[RowYear],"&gt;="&amp;$C$4,DaybyDay[Date],"&lt;="&amp;DaybyDay[[#This Row],[Date]])</f>
        <v>0</v>
      </c>
      <c r="T590" s="35">
        <f>SUMIFS(DaybyDay[Retail-LY],DaybyDay[Date],"&gt;="&amp;$C$5,DaybyDay[RowYear],"&gt;="&amp;$C$4,DaybyDay[Date],"&lt;="&amp;DaybyDay[[#This Row],[Date]])</f>
        <v>0</v>
      </c>
      <c r="U590" s="32">
        <f>DaybyDay[[#This Row],[Serv-Bud-RU]]+DaybyDay[[#This Row],[Ret-Bud-RU]]</f>
        <v>0</v>
      </c>
      <c r="V590" s="32">
        <f>DaybyDay[[#This Row],[Serv-Act-RU]]+DaybyDay[[#This Row],[Ret-Act-RU]]</f>
        <v>0</v>
      </c>
      <c r="W590" s="36">
        <f>IF(DaybyDay[[#This Row],[_Space]],IFERROR(
((DaybyDay[[#This Row],[Actual-Rollup]]-DaybyDay[[#This Row],[Budget-Rollup]])/DaybyDay[[#This Row],[Budget-Rollup]]),0),"")</f>
        <v>0</v>
      </c>
      <c r="X590" t="b">
        <f>NOT(AND(ISBLANK(DaybyDay[[#This Row],[Appts]]),ISBLANK(DaybyDay[[#This Row],[Service-Actuals]]),ISBLANK(DaybyDay[[#This Row],[Retail-Actuals]])))</f>
        <v>1</v>
      </c>
      <c r="Y590" s="36">
        <f>IF(DaybyDay[[#This Row],[_Space]],IFERROR(
((DaybyDay[[#This Row],[Actual-Rollup]]-DaybyDay[[#This Row],[LY-Rollup]])/DaybyDay[[#This Row],[LY-Rollup]]),0),"")</f>
        <v>0</v>
      </c>
      <c r="Z590"/>
      <c r="AA590" s="37" t="e">
        <f>IF(DaybyDay[[#This Row],[_Space]],DaybyDay[[#This Row],[Ret-Act-RU]]/DaybyDay[[#This Row],[Serv-Act-RU]],"")</f>
        <v>#DIV/0!</v>
      </c>
      <c r="AB590" s="50" t="e">
        <f>IF(DaybyDay[[#This Row],[_Space]],DaybyDay[[#This Row],[RETPEN-Act]]/DaybyDay[[#This Row],[RETPEN-Bud]],"")</f>
        <v>#DIV/0!</v>
      </c>
      <c r="AC590" s="37" t="e">
        <f>IF(DaybyDay[[#This Row],[_Space]],DaybyDay[[#This Row],[Ret-Bud-RU]]/DaybyDay[[#This Row],[Serv-Bud-RU]],"")</f>
        <v>#DIV/0!</v>
      </c>
      <c r="AD590" s="37" t="e">
        <f>IF(DaybyDay[[#This Row],[_Space]],DaybyDay[[#This Row],[Ret-LY-RU]]/DaybyDay[[#This Row],[Serv-LY-RU]],"")</f>
        <v>#DIV/0!</v>
      </c>
      <c r="AE590" s="30">
        <f>WEEKDAY(DaybyDay[[#This Row],[LY-Date]])</f>
        <v>3</v>
      </c>
      <c r="AF590" s="38">
        <f>$E$2+_xlfn.DAYS(DaybyDay[[#This Row],[Date]],minDate)</f>
        <v>42955</v>
      </c>
      <c r="AG590" s="39" cm="1">
        <f t="array" ref="AG590">IFERROR(INDEX(DaybyDay[],DaybyDay[[#This Row],[FORM_MATCH_HELPER]],8),"")</f>
        <v>8</v>
      </c>
      <c r="AH590" s="39" cm="1">
        <f t="array" ref="AH590">IFERROR(INDEX(DaybyDay[],DaybyDay[[#This Row],[FORM_MATCH_HELPER]],10),"")</f>
        <v>1509.2</v>
      </c>
      <c r="AI590" s="39" cm="1">
        <f t="array" ref="AI590">IFERROR(INDEX(DaybyDay[],DaybyDay[[#This Row],[FORM_MATCH_HELPER]],12),"")</f>
        <v>260</v>
      </c>
      <c r="AJ590" s="32">
        <f>IFERROR(DaybyDay[[#This Row],[Serv-LY-RU]]+DaybyDay[[#This Row],[Ret-LY-RU]],"")</f>
        <v>0</v>
      </c>
      <c r="AK5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0" s="77"/>
      <c r="AM590" s="40" t="str">
        <f>IF(DaybyDay[[#This Row],[Admin Hours]]&gt;0,DaybyDay[[#This Row],[Admin Hours]]*$AM$2+$AM$3,"")</f>
        <v/>
      </c>
      <c r="AN590" s="40">
        <f>SUMIFS(DaybyDay[Est-Admin-Payroll],DaybyDay[Date],"&gt;="&amp;$C$5,DaybyDay[RowYear],"&gt;="&amp;$C$4,DaybyDay[Date],"&lt;="&amp;DaybyDay[[#This Row],[Date]])</f>
        <v>0</v>
      </c>
      <c r="AO590" s="41" t="str">
        <f>IF(AND(DaybyDay[[#This Row],[_Space]],ISNUMBER(DaybyDay[[#This Row],[Admin Hours]])),DaybyDay[[#This Row],[Est-Admin-Payroll]]/(DaybyDay[[#This Row],[Service-Actuals]]+DaybyDay[[#This Row],[Retail-Actuals]]),"")</f>
        <v/>
      </c>
      <c r="AP590" s="41" t="e">
        <f>DaybyDay[[#This Row],[Estimated-Payroll-Rollup]]/DaybyDay[[#This Row],[Simple-Forecast]]</f>
        <v>#DIV/0!</v>
      </c>
      <c r="AQ5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0" s="77"/>
      <c r="AS590" s="40" t="str">
        <f>IF(DaybyDay[[#This Row],[Retail Hours]]&gt;0,DaybyDay[[#This Row],[Retail Hours]]*$AS$2,"")</f>
        <v/>
      </c>
      <c r="AT590" s="40">
        <f>SUMIFS(DaybyDay[Est-Retail-Payroll],DaybyDay[Date],"&gt;="&amp;$C$5,DaybyDay[RowYear],"&gt;="&amp;$C$4,DaybyDay[Date],"&lt;="&amp;DaybyDay[[#This Row],[Date]])</f>
        <v>0</v>
      </c>
      <c r="AU590" s="82" t="str">
        <f>IF(AND(DaybyDay[[#This Row],[_Space]],ISNUMBER(DaybyDay[[#This Row],[Retail Hours]])),DaybyDay[[#This Row],[Est-Retail-Payroll]]/(DaybyDay[[#This Row],[Retail-Actuals]]),"")</f>
        <v/>
      </c>
      <c r="AV590" s="82" t="e">
        <f>DaybyDay[[#This Row],[Est-Retail-PayrollRU]]/DaybyDay[[#This Row],[Simple-Forecast-Retail]]</f>
        <v>#DIV/0!</v>
      </c>
      <c r="AW590" s="8"/>
    </row>
    <row r="591" spans="3:49" hidden="1" x14ac:dyDescent="0.25">
      <c r="C591" s="26" t="str">
        <f>Tools!$C$1</f>
        <v>Example</v>
      </c>
      <c r="D591" s="27" t="s">
        <v>75</v>
      </c>
      <c r="E591" s="28">
        <v>2018</v>
      </c>
      <c r="F591" s="28">
        <f>MATCH(DaybyDay[[#This Row],[RowMonth]],Table3[SummaryMonth],0)</f>
        <v>8</v>
      </c>
      <c r="G591" s="29">
        <f>MATCH(DaybyDay[[#This Row],[LY-Date]],DaybyDay[Date],0)</f>
        <v>221</v>
      </c>
      <c r="H591" s="30">
        <f>WEEKDAY(DaybyDay[[#This Row],[Date]])</f>
        <v>4</v>
      </c>
      <c r="I591" s="31">
        <v>43320</v>
      </c>
      <c r="J591" s="74">
        <v>14</v>
      </c>
      <c r="K591" s="32">
        <f>SUMIFS(BudgetSeasonality[365 Seasonality],BudgetSeasonality[MonthAdjustment],DaybyDay[[#This Row],[Date]])*SUMIFS(Budgets[Service-Budget],Budgets[BudgetMonth],DaybyDay[[#This Row],[RowMonth]],Budgets[BudgetYear],DaybyDay[[#This Row],[RowYear]])</f>
        <v>4366.3239592083501</v>
      </c>
      <c r="L591" s="75">
        <v>2456.6</v>
      </c>
      <c r="M591" s="32">
        <f>INDEX(BudgetSeasonality[365 Seasonality],MATCH(DaybyDay[[#This Row],[Date]],BudgetSeasonality[MonthAdjustment],0))*SUMIFS(Budgets[Retail-Budget],Budgets[BudgetMonth],DaybyDay[[#This Row],[RowMonth]],Budgets[BudgetYear],DaybyDay[[#This Row],[RowYear]])</f>
        <v>1220.9166402255958</v>
      </c>
      <c r="N591" s="75">
        <v>3539.65</v>
      </c>
      <c r="O591" s="33">
        <f>SUMIFS(DaybyDay[Service-Budgets],DaybyDay[Date],"&gt;="&amp;$C$5,DaybyDay[RowYear],"&gt;="&amp;$C$4,DaybyDay[Date],"&lt;="&amp;DaybyDay[[#This Row],[Date]])</f>
        <v>0</v>
      </c>
      <c r="P591" s="33">
        <f>SUMIFS(DaybyDay[Retail-Budgets],DaybyDay[Date],"&gt;="&amp;$C$5,DaybyDay[RowYear],"&gt;="&amp;$C$4,DaybyDay[Date],"&lt;="&amp;DaybyDay[[#This Row],[Date]])</f>
        <v>0</v>
      </c>
      <c r="Q591" s="34">
        <f>SUMIFS(DaybyDay[Service-Actuals],DaybyDay[Date],"&gt;="&amp;$C$5,DaybyDay[RowYear],"&gt;="&amp;$C$4,DaybyDay[Date],"&lt;="&amp;DaybyDay[[#This Row],[Date]])</f>
        <v>0</v>
      </c>
      <c r="R591" s="34">
        <f>SUMIFS(DaybyDay[Retail-Actuals],DaybyDay[Date],"&gt;="&amp;$C$5,DaybyDay[RowYear],"&gt;="&amp;$C$4,DaybyDay[Date],"&lt;="&amp;DaybyDay[[#This Row],[Date]])</f>
        <v>0</v>
      </c>
      <c r="S591" s="35">
        <f>SUMIFS(DaybyDay[Service-LY],DaybyDay[Date],"&gt;="&amp;$C$5,DaybyDay[RowYear],"&gt;="&amp;$C$4,DaybyDay[Date],"&lt;="&amp;DaybyDay[[#This Row],[Date]])</f>
        <v>0</v>
      </c>
      <c r="T591" s="35">
        <f>SUMIFS(DaybyDay[Retail-LY],DaybyDay[Date],"&gt;="&amp;$C$5,DaybyDay[RowYear],"&gt;="&amp;$C$4,DaybyDay[Date],"&lt;="&amp;DaybyDay[[#This Row],[Date]])</f>
        <v>0</v>
      </c>
      <c r="U591" s="32">
        <f>DaybyDay[[#This Row],[Serv-Bud-RU]]+DaybyDay[[#This Row],[Ret-Bud-RU]]</f>
        <v>0</v>
      </c>
      <c r="V591" s="32">
        <f>DaybyDay[[#This Row],[Serv-Act-RU]]+DaybyDay[[#This Row],[Ret-Act-RU]]</f>
        <v>0</v>
      </c>
      <c r="W591" s="36">
        <f>IF(DaybyDay[[#This Row],[_Space]],IFERROR(
((DaybyDay[[#This Row],[Actual-Rollup]]-DaybyDay[[#This Row],[Budget-Rollup]])/DaybyDay[[#This Row],[Budget-Rollup]]),0),"")</f>
        <v>0</v>
      </c>
      <c r="X591" t="b">
        <f>NOT(AND(ISBLANK(DaybyDay[[#This Row],[Appts]]),ISBLANK(DaybyDay[[#This Row],[Service-Actuals]]),ISBLANK(DaybyDay[[#This Row],[Retail-Actuals]])))</f>
        <v>1</v>
      </c>
      <c r="Y591" s="36">
        <f>IF(DaybyDay[[#This Row],[_Space]],IFERROR(
((DaybyDay[[#This Row],[Actual-Rollup]]-DaybyDay[[#This Row],[LY-Rollup]])/DaybyDay[[#This Row],[LY-Rollup]]),0),"")</f>
        <v>0</v>
      </c>
      <c r="Z591"/>
      <c r="AA591" s="37" t="e">
        <f>IF(DaybyDay[[#This Row],[_Space]],DaybyDay[[#This Row],[Ret-Act-RU]]/DaybyDay[[#This Row],[Serv-Act-RU]],"")</f>
        <v>#DIV/0!</v>
      </c>
      <c r="AB591" s="50" t="e">
        <f>IF(DaybyDay[[#This Row],[_Space]],DaybyDay[[#This Row],[RETPEN-Act]]/DaybyDay[[#This Row],[RETPEN-Bud]],"")</f>
        <v>#DIV/0!</v>
      </c>
      <c r="AC591" s="37" t="e">
        <f>IF(DaybyDay[[#This Row],[_Space]],DaybyDay[[#This Row],[Ret-Bud-RU]]/DaybyDay[[#This Row],[Serv-Bud-RU]],"")</f>
        <v>#DIV/0!</v>
      </c>
      <c r="AD591" s="37" t="e">
        <f>IF(DaybyDay[[#This Row],[_Space]],DaybyDay[[#This Row],[Ret-LY-RU]]/DaybyDay[[#This Row],[Serv-LY-RU]],"")</f>
        <v>#DIV/0!</v>
      </c>
      <c r="AE591" s="30">
        <f>WEEKDAY(DaybyDay[[#This Row],[LY-Date]])</f>
        <v>4</v>
      </c>
      <c r="AF591" s="38">
        <f>$E$2+_xlfn.DAYS(DaybyDay[[#This Row],[Date]],minDate)</f>
        <v>42956</v>
      </c>
      <c r="AG591" s="39" cm="1">
        <f t="array" ref="AG591">IFERROR(INDEX(DaybyDay[],DaybyDay[[#This Row],[FORM_MATCH_HELPER]],8),"")</f>
        <v>18</v>
      </c>
      <c r="AH591" s="39" cm="1">
        <f t="array" ref="AH591">IFERROR(INDEX(DaybyDay[],DaybyDay[[#This Row],[FORM_MATCH_HELPER]],10),"")</f>
        <v>4136.2</v>
      </c>
      <c r="AI591" s="39" cm="1">
        <f t="array" ref="AI591">IFERROR(INDEX(DaybyDay[],DaybyDay[[#This Row],[FORM_MATCH_HELPER]],12),"")</f>
        <v>1480</v>
      </c>
      <c r="AJ591" s="32">
        <f>IFERROR(DaybyDay[[#This Row],[Serv-LY-RU]]+DaybyDay[[#This Row],[Ret-LY-RU]],"")</f>
        <v>0</v>
      </c>
      <c r="AK5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1" s="77"/>
      <c r="AM591" s="40" t="str">
        <f>IF(DaybyDay[[#This Row],[Admin Hours]]&gt;0,DaybyDay[[#This Row],[Admin Hours]]*$AM$2+$AM$3,"")</f>
        <v/>
      </c>
      <c r="AN591" s="40">
        <f>SUMIFS(DaybyDay[Est-Admin-Payroll],DaybyDay[Date],"&gt;="&amp;$C$5,DaybyDay[RowYear],"&gt;="&amp;$C$4,DaybyDay[Date],"&lt;="&amp;DaybyDay[[#This Row],[Date]])</f>
        <v>0</v>
      </c>
      <c r="AO591" s="41" t="str">
        <f>IF(AND(DaybyDay[[#This Row],[_Space]],ISNUMBER(DaybyDay[[#This Row],[Admin Hours]])),DaybyDay[[#This Row],[Est-Admin-Payroll]]/(DaybyDay[[#This Row],[Service-Actuals]]+DaybyDay[[#This Row],[Retail-Actuals]]),"")</f>
        <v/>
      </c>
      <c r="AP591" s="41" t="e">
        <f>DaybyDay[[#This Row],[Estimated-Payroll-Rollup]]/DaybyDay[[#This Row],[Simple-Forecast]]</f>
        <v>#DIV/0!</v>
      </c>
      <c r="AQ5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1" s="77"/>
      <c r="AS591" s="40" t="str">
        <f>IF(DaybyDay[[#This Row],[Retail Hours]]&gt;0,DaybyDay[[#This Row],[Retail Hours]]*$AS$2,"")</f>
        <v/>
      </c>
      <c r="AT591" s="40">
        <f>SUMIFS(DaybyDay[Est-Retail-Payroll],DaybyDay[Date],"&gt;="&amp;$C$5,DaybyDay[RowYear],"&gt;="&amp;$C$4,DaybyDay[Date],"&lt;="&amp;DaybyDay[[#This Row],[Date]])</f>
        <v>0</v>
      </c>
      <c r="AU591" s="82" t="str">
        <f>IF(AND(DaybyDay[[#This Row],[_Space]],ISNUMBER(DaybyDay[[#This Row],[Retail Hours]])),DaybyDay[[#This Row],[Est-Retail-Payroll]]/(DaybyDay[[#This Row],[Retail-Actuals]]),"")</f>
        <v/>
      </c>
      <c r="AV591" s="82" t="e">
        <f>DaybyDay[[#This Row],[Est-Retail-PayrollRU]]/DaybyDay[[#This Row],[Simple-Forecast-Retail]]</f>
        <v>#DIV/0!</v>
      </c>
      <c r="AW591" s="8"/>
    </row>
    <row r="592" spans="3:49" hidden="1" x14ac:dyDescent="0.25">
      <c r="C592" s="26" t="str">
        <f>Tools!$C$1</f>
        <v>Example</v>
      </c>
      <c r="D592" s="27" t="s">
        <v>75</v>
      </c>
      <c r="E592" s="28">
        <v>2018</v>
      </c>
      <c r="F592" s="28">
        <f>MATCH(DaybyDay[[#This Row],[RowMonth]],Table3[SummaryMonth],0)</f>
        <v>8</v>
      </c>
      <c r="G592" s="29">
        <f>MATCH(DaybyDay[[#This Row],[LY-Date]],DaybyDay[Date],0)</f>
        <v>222</v>
      </c>
      <c r="H592" s="30">
        <f>WEEKDAY(DaybyDay[[#This Row],[Date]])</f>
        <v>5</v>
      </c>
      <c r="I592" s="31">
        <v>43321</v>
      </c>
      <c r="J592" s="74">
        <v>18</v>
      </c>
      <c r="K592" s="32">
        <f>SUMIFS(BudgetSeasonality[365 Seasonality],BudgetSeasonality[MonthAdjustment],DaybyDay[[#This Row],[Date]])*SUMIFS(Budgets[Service-Budget],Budgets[BudgetMonth],DaybyDay[[#This Row],[RowMonth]],Budgets[BudgetYear],DaybyDay[[#This Row],[RowYear]])</f>
        <v>4459.4258049183682</v>
      </c>
      <c r="L592" s="75">
        <v>3914.4</v>
      </c>
      <c r="M592" s="32">
        <f>INDEX(BudgetSeasonality[365 Seasonality],MATCH(DaybyDay[[#This Row],[Date]],BudgetSeasonality[MonthAdjustment],0))*SUMIFS(Budgets[Retail-Budget],Budgets[BudgetMonth],DaybyDay[[#This Row],[RowMonth]],Budgets[BudgetYear],DaybyDay[[#This Row],[RowYear]])</f>
        <v>1246.9498878098373</v>
      </c>
      <c r="N592" s="75">
        <v>2859.5</v>
      </c>
      <c r="O592" s="33">
        <f>SUMIFS(DaybyDay[Service-Budgets],DaybyDay[Date],"&gt;="&amp;$C$5,DaybyDay[RowYear],"&gt;="&amp;$C$4,DaybyDay[Date],"&lt;="&amp;DaybyDay[[#This Row],[Date]])</f>
        <v>0</v>
      </c>
      <c r="P592" s="33">
        <f>SUMIFS(DaybyDay[Retail-Budgets],DaybyDay[Date],"&gt;="&amp;$C$5,DaybyDay[RowYear],"&gt;="&amp;$C$4,DaybyDay[Date],"&lt;="&amp;DaybyDay[[#This Row],[Date]])</f>
        <v>0</v>
      </c>
      <c r="Q592" s="34">
        <f>SUMIFS(DaybyDay[Service-Actuals],DaybyDay[Date],"&gt;="&amp;$C$5,DaybyDay[RowYear],"&gt;="&amp;$C$4,DaybyDay[Date],"&lt;="&amp;DaybyDay[[#This Row],[Date]])</f>
        <v>0</v>
      </c>
      <c r="R592" s="34">
        <f>SUMIFS(DaybyDay[Retail-Actuals],DaybyDay[Date],"&gt;="&amp;$C$5,DaybyDay[RowYear],"&gt;="&amp;$C$4,DaybyDay[Date],"&lt;="&amp;DaybyDay[[#This Row],[Date]])</f>
        <v>0</v>
      </c>
      <c r="S592" s="35">
        <f>SUMIFS(DaybyDay[Service-LY],DaybyDay[Date],"&gt;="&amp;$C$5,DaybyDay[RowYear],"&gt;="&amp;$C$4,DaybyDay[Date],"&lt;="&amp;DaybyDay[[#This Row],[Date]])</f>
        <v>0</v>
      </c>
      <c r="T592" s="35">
        <f>SUMIFS(DaybyDay[Retail-LY],DaybyDay[Date],"&gt;="&amp;$C$5,DaybyDay[RowYear],"&gt;="&amp;$C$4,DaybyDay[Date],"&lt;="&amp;DaybyDay[[#This Row],[Date]])</f>
        <v>0</v>
      </c>
      <c r="U592" s="32">
        <f>DaybyDay[[#This Row],[Serv-Bud-RU]]+DaybyDay[[#This Row],[Ret-Bud-RU]]</f>
        <v>0</v>
      </c>
      <c r="V592" s="32">
        <f>DaybyDay[[#This Row],[Serv-Act-RU]]+DaybyDay[[#This Row],[Ret-Act-RU]]</f>
        <v>0</v>
      </c>
      <c r="W592" s="36">
        <f>IF(DaybyDay[[#This Row],[_Space]],IFERROR(
((DaybyDay[[#This Row],[Actual-Rollup]]-DaybyDay[[#This Row],[Budget-Rollup]])/DaybyDay[[#This Row],[Budget-Rollup]]),0),"")</f>
        <v>0</v>
      </c>
      <c r="X592" t="b">
        <f>NOT(AND(ISBLANK(DaybyDay[[#This Row],[Appts]]),ISBLANK(DaybyDay[[#This Row],[Service-Actuals]]),ISBLANK(DaybyDay[[#This Row],[Retail-Actuals]])))</f>
        <v>1</v>
      </c>
      <c r="Y592" s="36">
        <f>IF(DaybyDay[[#This Row],[_Space]],IFERROR(
((DaybyDay[[#This Row],[Actual-Rollup]]-DaybyDay[[#This Row],[LY-Rollup]])/DaybyDay[[#This Row],[LY-Rollup]]),0),"")</f>
        <v>0</v>
      </c>
      <c r="Z592"/>
      <c r="AA592" s="37" t="e">
        <f>IF(DaybyDay[[#This Row],[_Space]],DaybyDay[[#This Row],[Ret-Act-RU]]/DaybyDay[[#This Row],[Serv-Act-RU]],"")</f>
        <v>#DIV/0!</v>
      </c>
      <c r="AB592" s="50" t="e">
        <f>IF(DaybyDay[[#This Row],[_Space]],DaybyDay[[#This Row],[RETPEN-Act]]/DaybyDay[[#This Row],[RETPEN-Bud]],"")</f>
        <v>#DIV/0!</v>
      </c>
      <c r="AC592" s="37" t="e">
        <f>IF(DaybyDay[[#This Row],[_Space]],DaybyDay[[#This Row],[Ret-Bud-RU]]/DaybyDay[[#This Row],[Serv-Bud-RU]],"")</f>
        <v>#DIV/0!</v>
      </c>
      <c r="AD592" s="37" t="e">
        <f>IF(DaybyDay[[#This Row],[_Space]],DaybyDay[[#This Row],[Ret-LY-RU]]/DaybyDay[[#This Row],[Serv-LY-RU]],"")</f>
        <v>#DIV/0!</v>
      </c>
      <c r="AE592" s="30">
        <f>WEEKDAY(DaybyDay[[#This Row],[LY-Date]])</f>
        <v>5</v>
      </c>
      <c r="AF592" s="38">
        <f>$E$2+_xlfn.DAYS(DaybyDay[[#This Row],[Date]],minDate)</f>
        <v>42957</v>
      </c>
      <c r="AG592" s="39" cm="1">
        <f t="array" ref="AG592">IFERROR(INDEX(DaybyDay[],DaybyDay[[#This Row],[FORM_MATCH_HELPER]],8),"")</f>
        <v>15</v>
      </c>
      <c r="AH592" s="39" cm="1">
        <f t="array" ref="AH592">IFERROR(INDEX(DaybyDay[],DaybyDay[[#This Row],[FORM_MATCH_HELPER]],10),"")</f>
        <v>3745.4</v>
      </c>
      <c r="AI592" s="39" cm="1">
        <f t="array" ref="AI592">IFERROR(INDEX(DaybyDay[],DaybyDay[[#This Row],[FORM_MATCH_HELPER]],12),"")</f>
        <v>1274.2</v>
      </c>
      <c r="AJ592" s="32">
        <f>IFERROR(DaybyDay[[#This Row],[Serv-LY-RU]]+DaybyDay[[#This Row],[Ret-LY-RU]],"")</f>
        <v>0</v>
      </c>
      <c r="AK5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2" s="77"/>
      <c r="AM592" s="40" t="str">
        <f>IF(DaybyDay[[#This Row],[Admin Hours]]&gt;0,DaybyDay[[#This Row],[Admin Hours]]*$AM$2+$AM$3,"")</f>
        <v/>
      </c>
      <c r="AN592" s="40">
        <f>SUMIFS(DaybyDay[Est-Admin-Payroll],DaybyDay[Date],"&gt;="&amp;$C$5,DaybyDay[RowYear],"&gt;="&amp;$C$4,DaybyDay[Date],"&lt;="&amp;DaybyDay[[#This Row],[Date]])</f>
        <v>0</v>
      </c>
      <c r="AO592" s="41" t="str">
        <f>IF(AND(DaybyDay[[#This Row],[_Space]],ISNUMBER(DaybyDay[[#This Row],[Admin Hours]])),DaybyDay[[#This Row],[Est-Admin-Payroll]]/(DaybyDay[[#This Row],[Service-Actuals]]+DaybyDay[[#This Row],[Retail-Actuals]]),"")</f>
        <v/>
      </c>
      <c r="AP592" s="41" t="e">
        <f>DaybyDay[[#This Row],[Estimated-Payroll-Rollup]]/DaybyDay[[#This Row],[Simple-Forecast]]</f>
        <v>#DIV/0!</v>
      </c>
      <c r="AQ5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2" s="77"/>
      <c r="AS592" s="40" t="str">
        <f>IF(DaybyDay[[#This Row],[Retail Hours]]&gt;0,DaybyDay[[#This Row],[Retail Hours]]*$AS$2,"")</f>
        <v/>
      </c>
      <c r="AT592" s="40">
        <f>SUMIFS(DaybyDay[Est-Retail-Payroll],DaybyDay[Date],"&gt;="&amp;$C$5,DaybyDay[RowYear],"&gt;="&amp;$C$4,DaybyDay[Date],"&lt;="&amp;DaybyDay[[#This Row],[Date]])</f>
        <v>0</v>
      </c>
      <c r="AU592" s="82" t="str">
        <f>IF(AND(DaybyDay[[#This Row],[_Space]],ISNUMBER(DaybyDay[[#This Row],[Retail Hours]])),DaybyDay[[#This Row],[Est-Retail-Payroll]]/(DaybyDay[[#This Row],[Retail-Actuals]]),"")</f>
        <v/>
      </c>
      <c r="AV592" s="82" t="e">
        <f>DaybyDay[[#This Row],[Est-Retail-PayrollRU]]/DaybyDay[[#This Row],[Simple-Forecast-Retail]]</f>
        <v>#DIV/0!</v>
      </c>
      <c r="AW592" s="8"/>
    </row>
    <row r="593" spans="3:49" hidden="1" x14ac:dyDescent="0.25">
      <c r="C593" s="26" t="str">
        <f>Tools!$C$1</f>
        <v>Example</v>
      </c>
      <c r="D593" s="27" t="s">
        <v>75</v>
      </c>
      <c r="E593" s="28">
        <v>2018</v>
      </c>
      <c r="F593" s="28">
        <f>MATCH(DaybyDay[[#This Row],[RowMonth]],Table3[SummaryMonth],0)</f>
        <v>8</v>
      </c>
      <c r="G593" s="29">
        <f>MATCH(DaybyDay[[#This Row],[LY-Date]],DaybyDay[Date],0)</f>
        <v>223</v>
      </c>
      <c r="H593" s="30">
        <f>WEEKDAY(DaybyDay[[#This Row],[Date]])</f>
        <v>6</v>
      </c>
      <c r="I593" s="31">
        <v>43322</v>
      </c>
      <c r="J593" s="74">
        <v>12</v>
      </c>
      <c r="K593" s="32">
        <f>SUMIFS(BudgetSeasonality[365 Seasonality],BudgetSeasonality[MonthAdjustment],DaybyDay[[#This Row],[Date]])*SUMIFS(Budgets[Service-Budget],Budgets[BudgetMonth],DaybyDay[[#This Row],[RowMonth]],Budgets[BudgetYear],DaybyDay[[#This Row],[RowYear]])</f>
        <v>5680.2690371643648</v>
      </c>
      <c r="L593" s="75">
        <v>3696</v>
      </c>
      <c r="M593" s="32">
        <f>INDEX(BudgetSeasonality[365 Seasonality],MATCH(DaybyDay[[#This Row],[Date]],BudgetSeasonality[MonthAdjustment],0))*SUMIFS(Budgets[Retail-Budget],Budgets[BudgetMonth],DaybyDay[[#This Row],[RowMonth]],Budgets[BudgetYear],DaybyDay[[#This Row],[RowYear]])</f>
        <v>1588.3235081094606</v>
      </c>
      <c r="N593" s="75">
        <v>1533</v>
      </c>
      <c r="O593" s="33">
        <f>SUMIFS(DaybyDay[Service-Budgets],DaybyDay[Date],"&gt;="&amp;$C$5,DaybyDay[RowYear],"&gt;="&amp;$C$4,DaybyDay[Date],"&lt;="&amp;DaybyDay[[#This Row],[Date]])</f>
        <v>0</v>
      </c>
      <c r="P593" s="33">
        <f>SUMIFS(DaybyDay[Retail-Budgets],DaybyDay[Date],"&gt;="&amp;$C$5,DaybyDay[RowYear],"&gt;="&amp;$C$4,DaybyDay[Date],"&lt;="&amp;DaybyDay[[#This Row],[Date]])</f>
        <v>0</v>
      </c>
      <c r="Q593" s="34">
        <f>SUMIFS(DaybyDay[Service-Actuals],DaybyDay[Date],"&gt;="&amp;$C$5,DaybyDay[RowYear],"&gt;="&amp;$C$4,DaybyDay[Date],"&lt;="&amp;DaybyDay[[#This Row],[Date]])</f>
        <v>0</v>
      </c>
      <c r="R593" s="34">
        <f>SUMIFS(DaybyDay[Retail-Actuals],DaybyDay[Date],"&gt;="&amp;$C$5,DaybyDay[RowYear],"&gt;="&amp;$C$4,DaybyDay[Date],"&lt;="&amp;DaybyDay[[#This Row],[Date]])</f>
        <v>0</v>
      </c>
      <c r="S593" s="35">
        <f>SUMIFS(DaybyDay[Service-LY],DaybyDay[Date],"&gt;="&amp;$C$5,DaybyDay[RowYear],"&gt;="&amp;$C$4,DaybyDay[Date],"&lt;="&amp;DaybyDay[[#This Row],[Date]])</f>
        <v>0</v>
      </c>
      <c r="T593" s="35">
        <f>SUMIFS(DaybyDay[Retail-LY],DaybyDay[Date],"&gt;="&amp;$C$5,DaybyDay[RowYear],"&gt;="&amp;$C$4,DaybyDay[Date],"&lt;="&amp;DaybyDay[[#This Row],[Date]])</f>
        <v>0</v>
      </c>
      <c r="U593" s="32">
        <f>DaybyDay[[#This Row],[Serv-Bud-RU]]+DaybyDay[[#This Row],[Ret-Bud-RU]]</f>
        <v>0</v>
      </c>
      <c r="V593" s="32">
        <f>DaybyDay[[#This Row],[Serv-Act-RU]]+DaybyDay[[#This Row],[Ret-Act-RU]]</f>
        <v>0</v>
      </c>
      <c r="W593" s="36">
        <f>IF(DaybyDay[[#This Row],[_Space]],IFERROR(
((DaybyDay[[#This Row],[Actual-Rollup]]-DaybyDay[[#This Row],[Budget-Rollup]])/DaybyDay[[#This Row],[Budget-Rollup]]),0),"")</f>
        <v>0</v>
      </c>
      <c r="X593" t="b">
        <f>NOT(AND(ISBLANK(DaybyDay[[#This Row],[Appts]]),ISBLANK(DaybyDay[[#This Row],[Service-Actuals]]),ISBLANK(DaybyDay[[#This Row],[Retail-Actuals]])))</f>
        <v>1</v>
      </c>
      <c r="Y593" s="36">
        <f>IF(DaybyDay[[#This Row],[_Space]],IFERROR(
((DaybyDay[[#This Row],[Actual-Rollup]]-DaybyDay[[#This Row],[LY-Rollup]])/DaybyDay[[#This Row],[LY-Rollup]]),0),"")</f>
        <v>0</v>
      </c>
      <c r="Z593"/>
      <c r="AA593" s="37" t="e">
        <f>IF(DaybyDay[[#This Row],[_Space]],DaybyDay[[#This Row],[Ret-Act-RU]]/DaybyDay[[#This Row],[Serv-Act-RU]],"")</f>
        <v>#DIV/0!</v>
      </c>
      <c r="AB593" s="50" t="e">
        <f>IF(DaybyDay[[#This Row],[_Space]],DaybyDay[[#This Row],[RETPEN-Act]]/DaybyDay[[#This Row],[RETPEN-Bud]],"")</f>
        <v>#DIV/0!</v>
      </c>
      <c r="AC593" s="37" t="e">
        <f>IF(DaybyDay[[#This Row],[_Space]],DaybyDay[[#This Row],[Ret-Bud-RU]]/DaybyDay[[#This Row],[Serv-Bud-RU]],"")</f>
        <v>#DIV/0!</v>
      </c>
      <c r="AD593" s="37" t="e">
        <f>IF(DaybyDay[[#This Row],[_Space]],DaybyDay[[#This Row],[Ret-LY-RU]]/DaybyDay[[#This Row],[Serv-LY-RU]],"")</f>
        <v>#DIV/0!</v>
      </c>
      <c r="AE593" s="30">
        <f>WEEKDAY(DaybyDay[[#This Row],[LY-Date]])</f>
        <v>6</v>
      </c>
      <c r="AF593" s="38">
        <f>$E$2+_xlfn.DAYS(DaybyDay[[#This Row],[Date]],minDate)</f>
        <v>42958</v>
      </c>
      <c r="AG593" s="39" cm="1">
        <f t="array" ref="AG593">IFERROR(INDEX(DaybyDay[],DaybyDay[[#This Row],[FORM_MATCH_HELPER]],8),"")</f>
        <v>26</v>
      </c>
      <c r="AH593" s="39" cm="1">
        <f t="array" ref="AH593">IFERROR(INDEX(DaybyDay[],DaybyDay[[#This Row],[FORM_MATCH_HELPER]],10),"")</f>
        <v>6096.58</v>
      </c>
      <c r="AI593" s="39" cm="1">
        <f t="array" ref="AI593">IFERROR(INDEX(DaybyDay[],DaybyDay[[#This Row],[FORM_MATCH_HELPER]],12),"")</f>
        <v>1594.85</v>
      </c>
      <c r="AJ593" s="32">
        <f>IFERROR(DaybyDay[[#This Row],[Serv-LY-RU]]+DaybyDay[[#This Row],[Ret-LY-RU]],"")</f>
        <v>0</v>
      </c>
      <c r="AK5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3" s="77"/>
      <c r="AM593" s="40" t="str">
        <f>IF(DaybyDay[[#This Row],[Admin Hours]]&gt;0,DaybyDay[[#This Row],[Admin Hours]]*$AM$2+$AM$3,"")</f>
        <v/>
      </c>
      <c r="AN593" s="40">
        <f>SUMIFS(DaybyDay[Est-Admin-Payroll],DaybyDay[Date],"&gt;="&amp;$C$5,DaybyDay[RowYear],"&gt;="&amp;$C$4,DaybyDay[Date],"&lt;="&amp;DaybyDay[[#This Row],[Date]])</f>
        <v>0</v>
      </c>
      <c r="AO593" s="41" t="str">
        <f>IF(AND(DaybyDay[[#This Row],[_Space]],ISNUMBER(DaybyDay[[#This Row],[Admin Hours]])),DaybyDay[[#This Row],[Est-Admin-Payroll]]/(DaybyDay[[#This Row],[Service-Actuals]]+DaybyDay[[#This Row],[Retail-Actuals]]),"")</f>
        <v/>
      </c>
      <c r="AP593" s="41" t="e">
        <f>DaybyDay[[#This Row],[Estimated-Payroll-Rollup]]/DaybyDay[[#This Row],[Simple-Forecast]]</f>
        <v>#DIV/0!</v>
      </c>
      <c r="AQ5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3" s="77"/>
      <c r="AS593" s="40" t="str">
        <f>IF(DaybyDay[[#This Row],[Retail Hours]]&gt;0,DaybyDay[[#This Row],[Retail Hours]]*$AS$2,"")</f>
        <v/>
      </c>
      <c r="AT593" s="40">
        <f>SUMIFS(DaybyDay[Est-Retail-Payroll],DaybyDay[Date],"&gt;="&amp;$C$5,DaybyDay[RowYear],"&gt;="&amp;$C$4,DaybyDay[Date],"&lt;="&amp;DaybyDay[[#This Row],[Date]])</f>
        <v>0</v>
      </c>
      <c r="AU593" s="82" t="str">
        <f>IF(AND(DaybyDay[[#This Row],[_Space]],ISNUMBER(DaybyDay[[#This Row],[Retail Hours]])),DaybyDay[[#This Row],[Est-Retail-Payroll]]/(DaybyDay[[#This Row],[Retail-Actuals]]),"")</f>
        <v/>
      </c>
      <c r="AV593" s="82" t="e">
        <f>DaybyDay[[#This Row],[Est-Retail-PayrollRU]]/DaybyDay[[#This Row],[Simple-Forecast-Retail]]</f>
        <v>#DIV/0!</v>
      </c>
      <c r="AW593" s="8"/>
    </row>
    <row r="594" spans="3:49" hidden="1" x14ac:dyDescent="0.25">
      <c r="C594" s="26" t="str">
        <f>Tools!$C$1</f>
        <v>Example</v>
      </c>
      <c r="D594" s="27" t="s">
        <v>75</v>
      </c>
      <c r="E594" s="28">
        <v>2018</v>
      </c>
      <c r="F594" s="28">
        <f>MATCH(DaybyDay[[#This Row],[RowMonth]],Table3[SummaryMonth],0)</f>
        <v>8</v>
      </c>
      <c r="G594" s="29">
        <f>MATCH(DaybyDay[[#This Row],[LY-Date]],DaybyDay[Date],0)</f>
        <v>224</v>
      </c>
      <c r="H594" s="30">
        <f>WEEKDAY(DaybyDay[[#This Row],[Date]])</f>
        <v>7</v>
      </c>
      <c r="I594" s="31">
        <v>43323</v>
      </c>
      <c r="J594" s="74">
        <v>28</v>
      </c>
      <c r="K594" s="32">
        <f>SUMIFS(BudgetSeasonality[365 Seasonality],BudgetSeasonality[MonthAdjustment],DaybyDay[[#This Row],[Date]])*SUMIFS(Budgets[Service-Budget],Budgets[BudgetMonth],DaybyDay[[#This Row],[RowMonth]],Budgets[BudgetYear],DaybyDay[[#This Row],[RowYear]])</f>
        <v>8319.4190290579045</v>
      </c>
      <c r="L594" s="75">
        <v>6769.25</v>
      </c>
      <c r="M594" s="32">
        <f>INDEX(BudgetSeasonality[365 Seasonality],MATCH(DaybyDay[[#This Row],[Date]],BudgetSeasonality[MonthAdjustment],0))*SUMIFS(Budgets[Retail-Budget],Budgets[BudgetMonth],DaybyDay[[#This Row],[RowMonth]],Budgets[BudgetYear],DaybyDay[[#This Row],[RowYear]])</f>
        <v>2326.2857324557908</v>
      </c>
      <c r="N594" s="75">
        <v>1704</v>
      </c>
      <c r="O594" s="33">
        <f>SUMIFS(DaybyDay[Service-Budgets],DaybyDay[Date],"&gt;="&amp;$C$5,DaybyDay[RowYear],"&gt;="&amp;$C$4,DaybyDay[Date],"&lt;="&amp;DaybyDay[[#This Row],[Date]])</f>
        <v>0</v>
      </c>
      <c r="P594" s="33">
        <f>SUMIFS(DaybyDay[Retail-Budgets],DaybyDay[Date],"&gt;="&amp;$C$5,DaybyDay[RowYear],"&gt;="&amp;$C$4,DaybyDay[Date],"&lt;="&amp;DaybyDay[[#This Row],[Date]])</f>
        <v>0</v>
      </c>
      <c r="Q594" s="34">
        <f>SUMIFS(DaybyDay[Service-Actuals],DaybyDay[Date],"&gt;="&amp;$C$5,DaybyDay[RowYear],"&gt;="&amp;$C$4,DaybyDay[Date],"&lt;="&amp;DaybyDay[[#This Row],[Date]])</f>
        <v>0</v>
      </c>
      <c r="R594" s="34">
        <f>SUMIFS(DaybyDay[Retail-Actuals],DaybyDay[Date],"&gt;="&amp;$C$5,DaybyDay[RowYear],"&gt;="&amp;$C$4,DaybyDay[Date],"&lt;="&amp;DaybyDay[[#This Row],[Date]])</f>
        <v>0</v>
      </c>
      <c r="S594" s="35">
        <f>SUMIFS(DaybyDay[Service-LY],DaybyDay[Date],"&gt;="&amp;$C$5,DaybyDay[RowYear],"&gt;="&amp;$C$4,DaybyDay[Date],"&lt;="&amp;DaybyDay[[#This Row],[Date]])</f>
        <v>0</v>
      </c>
      <c r="T594" s="35">
        <f>SUMIFS(DaybyDay[Retail-LY],DaybyDay[Date],"&gt;="&amp;$C$5,DaybyDay[RowYear],"&gt;="&amp;$C$4,DaybyDay[Date],"&lt;="&amp;DaybyDay[[#This Row],[Date]])</f>
        <v>0</v>
      </c>
      <c r="U594" s="32">
        <f>DaybyDay[[#This Row],[Serv-Bud-RU]]+DaybyDay[[#This Row],[Ret-Bud-RU]]</f>
        <v>0</v>
      </c>
      <c r="V594" s="32">
        <f>DaybyDay[[#This Row],[Serv-Act-RU]]+DaybyDay[[#This Row],[Ret-Act-RU]]</f>
        <v>0</v>
      </c>
      <c r="W594" s="36">
        <f>IF(DaybyDay[[#This Row],[_Space]],IFERROR(
((DaybyDay[[#This Row],[Actual-Rollup]]-DaybyDay[[#This Row],[Budget-Rollup]])/DaybyDay[[#This Row],[Budget-Rollup]]),0),"")</f>
        <v>0</v>
      </c>
      <c r="X594" t="b">
        <f>NOT(AND(ISBLANK(DaybyDay[[#This Row],[Appts]]),ISBLANK(DaybyDay[[#This Row],[Service-Actuals]]),ISBLANK(DaybyDay[[#This Row],[Retail-Actuals]])))</f>
        <v>1</v>
      </c>
      <c r="Y594" s="36">
        <f>IF(DaybyDay[[#This Row],[_Space]],IFERROR(
((DaybyDay[[#This Row],[Actual-Rollup]]-DaybyDay[[#This Row],[LY-Rollup]])/DaybyDay[[#This Row],[LY-Rollup]]),0),"")</f>
        <v>0</v>
      </c>
      <c r="Z594"/>
      <c r="AA594" s="37" t="e">
        <f>IF(DaybyDay[[#This Row],[_Space]],DaybyDay[[#This Row],[Ret-Act-RU]]/DaybyDay[[#This Row],[Serv-Act-RU]],"")</f>
        <v>#DIV/0!</v>
      </c>
      <c r="AB594" s="50" t="e">
        <f>IF(DaybyDay[[#This Row],[_Space]],DaybyDay[[#This Row],[RETPEN-Act]]/DaybyDay[[#This Row],[RETPEN-Bud]],"")</f>
        <v>#DIV/0!</v>
      </c>
      <c r="AC594" s="37" t="e">
        <f>IF(DaybyDay[[#This Row],[_Space]],DaybyDay[[#This Row],[Ret-Bud-RU]]/DaybyDay[[#This Row],[Serv-Bud-RU]],"")</f>
        <v>#DIV/0!</v>
      </c>
      <c r="AD594" s="37" t="e">
        <f>IF(DaybyDay[[#This Row],[_Space]],DaybyDay[[#This Row],[Ret-LY-RU]]/DaybyDay[[#This Row],[Serv-LY-RU]],"")</f>
        <v>#DIV/0!</v>
      </c>
      <c r="AE594" s="30">
        <f>WEEKDAY(DaybyDay[[#This Row],[LY-Date]])</f>
        <v>7</v>
      </c>
      <c r="AF594" s="38">
        <f>$E$2+_xlfn.DAYS(DaybyDay[[#This Row],[Date]],minDate)</f>
        <v>42959</v>
      </c>
      <c r="AG594" s="39" cm="1">
        <f t="array" ref="AG594">IFERROR(INDEX(DaybyDay[],DaybyDay[[#This Row],[FORM_MATCH_HELPER]],8),"")</f>
        <v>31</v>
      </c>
      <c r="AH594" s="39" cm="1">
        <f t="array" ref="AH594">IFERROR(INDEX(DaybyDay[],DaybyDay[[#This Row],[FORM_MATCH_HELPER]],10),"")</f>
        <v>6030.25</v>
      </c>
      <c r="AI594" s="39" cm="1">
        <f t="array" ref="AI594">IFERROR(INDEX(DaybyDay[],DaybyDay[[#This Row],[FORM_MATCH_HELPER]],12),"")</f>
        <v>3471.2</v>
      </c>
      <c r="AJ594" s="32">
        <f>IFERROR(DaybyDay[[#This Row],[Serv-LY-RU]]+DaybyDay[[#This Row],[Ret-LY-RU]],"")</f>
        <v>0</v>
      </c>
      <c r="AK5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4" s="77"/>
      <c r="AM594" s="40" t="str">
        <f>IF(DaybyDay[[#This Row],[Admin Hours]]&gt;0,DaybyDay[[#This Row],[Admin Hours]]*$AM$2+$AM$3,"")</f>
        <v/>
      </c>
      <c r="AN594" s="40">
        <f>SUMIFS(DaybyDay[Est-Admin-Payroll],DaybyDay[Date],"&gt;="&amp;$C$5,DaybyDay[RowYear],"&gt;="&amp;$C$4,DaybyDay[Date],"&lt;="&amp;DaybyDay[[#This Row],[Date]])</f>
        <v>0</v>
      </c>
      <c r="AO594" s="41" t="str">
        <f>IF(AND(DaybyDay[[#This Row],[_Space]],ISNUMBER(DaybyDay[[#This Row],[Admin Hours]])),DaybyDay[[#This Row],[Est-Admin-Payroll]]/(DaybyDay[[#This Row],[Service-Actuals]]+DaybyDay[[#This Row],[Retail-Actuals]]),"")</f>
        <v/>
      </c>
      <c r="AP594" s="41" t="e">
        <f>DaybyDay[[#This Row],[Estimated-Payroll-Rollup]]/DaybyDay[[#This Row],[Simple-Forecast]]</f>
        <v>#DIV/0!</v>
      </c>
      <c r="AQ5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4" s="77"/>
      <c r="AS594" s="40" t="str">
        <f>IF(DaybyDay[[#This Row],[Retail Hours]]&gt;0,DaybyDay[[#This Row],[Retail Hours]]*$AS$2,"")</f>
        <v/>
      </c>
      <c r="AT594" s="40">
        <f>SUMIFS(DaybyDay[Est-Retail-Payroll],DaybyDay[Date],"&gt;="&amp;$C$5,DaybyDay[RowYear],"&gt;="&amp;$C$4,DaybyDay[Date],"&lt;="&amp;DaybyDay[[#This Row],[Date]])</f>
        <v>0</v>
      </c>
      <c r="AU594" s="82" t="str">
        <f>IF(AND(DaybyDay[[#This Row],[_Space]],ISNUMBER(DaybyDay[[#This Row],[Retail Hours]])),DaybyDay[[#This Row],[Est-Retail-Payroll]]/(DaybyDay[[#This Row],[Retail-Actuals]]),"")</f>
        <v/>
      </c>
      <c r="AV594" s="82" t="e">
        <f>DaybyDay[[#This Row],[Est-Retail-PayrollRU]]/DaybyDay[[#This Row],[Simple-Forecast-Retail]]</f>
        <v>#DIV/0!</v>
      </c>
      <c r="AW594" s="8"/>
    </row>
    <row r="595" spans="3:49" hidden="1" x14ac:dyDescent="0.25">
      <c r="C595" s="26" t="str">
        <f>Tools!$C$1</f>
        <v>Example</v>
      </c>
      <c r="D595" s="27" t="s">
        <v>75</v>
      </c>
      <c r="E595" s="28">
        <v>2018</v>
      </c>
      <c r="F595" s="28">
        <f>MATCH(DaybyDay[[#This Row],[RowMonth]],Table3[SummaryMonth],0)</f>
        <v>8</v>
      </c>
      <c r="G595" s="29">
        <f>MATCH(DaybyDay[[#This Row],[LY-Date]],DaybyDay[Date],0)</f>
        <v>225</v>
      </c>
      <c r="H595" s="30">
        <f>WEEKDAY(DaybyDay[[#This Row],[Date]])</f>
        <v>1</v>
      </c>
      <c r="I595" s="31">
        <v>43324</v>
      </c>
      <c r="J595" s="74">
        <v>33</v>
      </c>
      <c r="K595" s="32">
        <f>SUMIFS(BudgetSeasonality[365 Seasonality],BudgetSeasonality[MonthAdjustment],DaybyDay[[#This Row],[Date]])*SUMIFS(Budgets[Service-Budget],Budgets[BudgetMonth],DaybyDay[[#This Row],[RowMonth]],Budgets[BudgetYear],DaybyDay[[#This Row],[RowYear]])</f>
        <v>6301.4689417249947</v>
      </c>
      <c r="L595" s="75">
        <v>6262.4</v>
      </c>
      <c r="M595" s="32">
        <f>INDEX(BudgetSeasonality[365 Seasonality],MATCH(DaybyDay[[#This Row],[Date]],BudgetSeasonality[MonthAdjustment],0))*SUMIFS(Budgets[Retail-Budget],Budgets[BudgetMonth],DaybyDay[[#This Row],[RowMonth]],Budgets[BudgetYear],DaybyDay[[#This Row],[RowYear]])</f>
        <v>1762.0241559473582</v>
      </c>
      <c r="N595" s="75">
        <v>53</v>
      </c>
      <c r="O595" s="33">
        <f>SUMIFS(DaybyDay[Service-Budgets],DaybyDay[Date],"&gt;="&amp;$C$5,DaybyDay[RowYear],"&gt;="&amp;$C$4,DaybyDay[Date],"&lt;="&amp;DaybyDay[[#This Row],[Date]])</f>
        <v>0</v>
      </c>
      <c r="P595" s="33">
        <f>SUMIFS(DaybyDay[Retail-Budgets],DaybyDay[Date],"&gt;="&amp;$C$5,DaybyDay[RowYear],"&gt;="&amp;$C$4,DaybyDay[Date],"&lt;="&amp;DaybyDay[[#This Row],[Date]])</f>
        <v>0</v>
      </c>
      <c r="Q595" s="34">
        <f>SUMIFS(DaybyDay[Service-Actuals],DaybyDay[Date],"&gt;="&amp;$C$5,DaybyDay[RowYear],"&gt;="&amp;$C$4,DaybyDay[Date],"&lt;="&amp;DaybyDay[[#This Row],[Date]])</f>
        <v>0</v>
      </c>
      <c r="R595" s="34">
        <f>SUMIFS(DaybyDay[Retail-Actuals],DaybyDay[Date],"&gt;="&amp;$C$5,DaybyDay[RowYear],"&gt;="&amp;$C$4,DaybyDay[Date],"&lt;="&amp;DaybyDay[[#This Row],[Date]])</f>
        <v>0</v>
      </c>
      <c r="S595" s="35">
        <f>SUMIFS(DaybyDay[Service-LY],DaybyDay[Date],"&gt;="&amp;$C$5,DaybyDay[RowYear],"&gt;="&amp;$C$4,DaybyDay[Date],"&lt;="&amp;DaybyDay[[#This Row],[Date]])</f>
        <v>0</v>
      </c>
      <c r="T595" s="35">
        <f>SUMIFS(DaybyDay[Retail-LY],DaybyDay[Date],"&gt;="&amp;$C$5,DaybyDay[RowYear],"&gt;="&amp;$C$4,DaybyDay[Date],"&lt;="&amp;DaybyDay[[#This Row],[Date]])</f>
        <v>0</v>
      </c>
      <c r="U595" s="32">
        <f>DaybyDay[[#This Row],[Serv-Bud-RU]]+DaybyDay[[#This Row],[Ret-Bud-RU]]</f>
        <v>0</v>
      </c>
      <c r="V595" s="32">
        <f>DaybyDay[[#This Row],[Serv-Act-RU]]+DaybyDay[[#This Row],[Ret-Act-RU]]</f>
        <v>0</v>
      </c>
      <c r="W595" s="36">
        <f>IF(DaybyDay[[#This Row],[_Space]],IFERROR(
((DaybyDay[[#This Row],[Actual-Rollup]]-DaybyDay[[#This Row],[Budget-Rollup]])/DaybyDay[[#This Row],[Budget-Rollup]]),0),"")</f>
        <v>0</v>
      </c>
      <c r="X595" t="b">
        <f>NOT(AND(ISBLANK(DaybyDay[[#This Row],[Appts]]),ISBLANK(DaybyDay[[#This Row],[Service-Actuals]]),ISBLANK(DaybyDay[[#This Row],[Retail-Actuals]])))</f>
        <v>1</v>
      </c>
      <c r="Y595" s="36">
        <f>IF(DaybyDay[[#This Row],[_Space]],IFERROR(
((DaybyDay[[#This Row],[Actual-Rollup]]-DaybyDay[[#This Row],[LY-Rollup]])/DaybyDay[[#This Row],[LY-Rollup]]),0),"")</f>
        <v>0</v>
      </c>
      <c r="Z595"/>
      <c r="AA595" s="37" t="e">
        <f>IF(DaybyDay[[#This Row],[_Space]],DaybyDay[[#This Row],[Ret-Act-RU]]/DaybyDay[[#This Row],[Serv-Act-RU]],"")</f>
        <v>#DIV/0!</v>
      </c>
      <c r="AB595" s="50" t="e">
        <f>IF(DaybyDay[[#This Row],[_Space]],DaybyDay[[#This Row],[RETPEN-Act]]/DaybyDay[[#This Row],[RETPEN-Bud]],"")</f>
        <v>#DIV/0!</v>
      </c>
      <c r="AC595" s="37" t="e">
        <f>IF(DaybyDay[[#This Row],[_Space]],DaybyDay[[#This Row],[Ret-Bud-RU]]/DaybyDay[[#This Row],[Serv-Bud-RU]],"")</f>
        <v>#DIV/0!</v>
      </c>
      <c r="AD595" s="37" t="e">
        <f>IF(DaybyDay[[#This Row],[_Space]],DaybyDay[[#This Row],[Ret-LY-RU]]/DaybyDay[[#This Row],[Serv-LY-RU]],"")</f>
        <v>#DIV/0!</v>
      </c>
      <c r="AE595" s="30">
        <f>WEEKDAY(DaybyDay[[#This Row],[LY-Date]])</f>
        <v>1</v>
      </c>
      <c r="AF595" s="38">
        <f>$E$2+_xlfn.DAYS(DaybyDay[[#This Row],[Date]],minDate)</f>
        <v>42960</v>
      </c>
      <c r="AG595" s="39" cm="1">
        <f t="array" ref="AG595">IFERROR(INDEX(DaybyDay[],DaybyDay[[#This Row],[FORM_MATCH_HELPER]],8),"")</f>
        <v>20</v>
      </c>
      <c r="AH595" s="39" cm="1">
        <f t="array" ref="AH595">IFERROR(INDEX(DaybyDay[],DaybyDay[[#This Row],[FORM_MATCH_HELPER]],10),"")</f>
        <v>3688</v>
      </c>
      <c r="AI595" s="39" cm="1">
        <f t="array" ref="AI595">IFERROR(INDEX(DaybyDay[],DaybyDay[[#This Row],[FORM_MATCH_HELPER]],12),"")</f>
        <v>3471</v>
      </c>
      <c r="AJ595" s="32">
        <f>IFERROR(DaybyDay[[#This Row],[Serv-LY-RU]]+DaybyDay[[#This Row],[Ret-LY-RU]],"")</f>
        <v>0</v>
      </c>
      <c r="AK5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5" s="77"/>
      <c r="AM595" s="40" t="str">
        <f>IF(DaybyDay[[#This Row],[Admin Hours]]&gt;0,DaybyDay[[#This Row],[Admin Hours]]*$AM$2+$AM$3,"")</f>
        <v/>
      </c>
      <c r="AN595" s="40">
        <f>SUMIFS(DaybyDay[Est-Admin-Payroll],DaybyDay[Date],"&gt;="&amp;$C$5,DaybyDay[RowYear],"&gt;="&amp;$C$4,DaybyDay[Date],"&lt;="&amp;DaybyDay[[#This Row],[Date]])</f>
        <v>0</v>
      </c>
      <c r="AO595" s="41" t="str">
        <f>IF(AND(DaybyDay[[#This Row],[_Space]],ISNUMBER(DaybyDay[[#This Row],[Admin Hours]])),DaybyDay[[#This Row],[Est-Admin-Payroll]]/(DaybyDay[[#This Row],[Service-Actuals]]+DaybyDay[[#This Row],[Retail-Actuals]]),"")</f>
        <v/>
      </c>
      <c r="AP595" s="41" t="e">
        <f>DaybyDay[[#This Row],[Estimated-Payroll-Rollup]]/DaybyDay[[#This Row],[Simple-Forecast]]</f>
        <v>#DIV/0!</v>
      </c>
      <c r="AQ5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5" s="77"/>
      <c r="AS595" s="40" t="str">
        <f>IF(DaybyDay[[#This Row],[Retail Hours]]&gt;0,DaybyDay[[#This Row],[Retail Hours]]*$AS$2,"")</f>
        <v/>
      </c>
      <c r="AT595" s="40">
        <f>SUMIFS(DaybyDay[Est-Retail-Payroll],DaybyDay[Date],"&gt;="&amp;$C$5,DaybyDay[RowYear],"&gt;="&amp;$C$4,DaybyDay[Date],"&lt;="&amp;DaybyDay[[#This Row],[Date]])</f>
        <v>0</v>
      </c>
      <c r="AU595" s="82" t="str">
        <f>IF(AND(DaybyDay[[#This Row],[_Space]],ISNUMBER(DaybyDay[[#This Row],[Retail Hours]])),DaybyDay[[#This Row],[Est-Retail-Payroll]]/(DaybyDay[[#This Row],[Retail-Actuals]]),"")</f>
        <v/>
      </c>
      <c r="AV595" s="82" t="e">
        <f>DaybyDay[[#This Row],[Est-Retail-PayrollRU]]/DaybyDay[[#This Row],[Simple-Forecast-Retail]]</f>
        <v>#DIV/0!</v>
      </c>
      <c r="AW595" s="8"/>
    </row>
    <row r="596" spans="3:49" hidden="1" x14ac:dyDescent="0.25">
      <c r="C596" s="26" t="str">
        <f>Tools!$C$1</f>
        <v>Example</v>
      </c>
      <c r="D596" s="27" t="s">
        <v>75</v>
      </c>
      <c r="E596" s="28">
        <v>2018</v>
      </c>
      <c r="F596" s="28">
        <f>MATCH(DaybyDay[[#This Row],[RowMonth]],Table3[SummaryMonth],0)</f>
        <v>8</v>
      </c>
      <c r="G596" s="29">
        <f>MATCH(DaybyDay[[#This Row],[LY-Date]],DaybyDay[Date],0)</f>
        <v>226</v>
      </c>
      <c r="H596" s="30">
        <f>WEEKDAY(DaybyDay[[#This Row],[Date]])</f>
        <v>2</v>
      </c>
      <c r="I596" s="31">
        <v>43325</v>
      </c>
      <c r="J596" s="74">
        <v>15</v>
      </c>
      <c r="K596" s="32">
        <f>SUMIFS(BudgetSeasonality[365 Seasonality],BudgetSeasonality[MonthAdjustment],DaybyDay[[#This Row],[Date]])*SUMIFS(Budgets[Service-Budget],Budgets[BudgetMonth],DaybyDay[[#This Row],[RowMonth]],Budgets[BudgetYear],DaybyDay[[#This Row],[RowYear]])</f>
        <v>3380.3810863877807</v>
      </c>
      <c r="L596" s="75">
        <v>2559.5500000000002</v>
      </c>
      <c r="M596" s="32">
        <f>INDEX(BudgetSeasonality[365 Seasonality],MATCH(DaybyDay[[#This Row],[Date]],BudgetSeasonality[MonthAdjustment],0))*SUMIFS(Budgets[Retail-Budget],Budgets[BudgetMonth],DaybyDay[[#This Row],[RowMonth]],Budgets[BudgetYear],DaybyDay[[#This Row],[RowYear]])</f>
        <v>945.2261346689005</v>
      </c>
      <c r="N596" s="75">
        <v>851.9</v>
      </c>
      <c r="O596" s="33">
        <f>SUMIFS(DaybyDay[Service-Budgets],DaybyDay[Date],"&gt;="&amp;$C$5,DaybyDay[RowYear],"&gt;="&amp;$C$4,DaybyDay[Date],"&lt;="&amp;DaybyDay[[#This Row],[Date]])</f>
        <v>0</v>
      </c>
      <c r="P596" s="33">
        <f>SUMIFS(DaybyDay[Retail-Budgets],DaybyDay[Date],"&gt;="&amp;$C$5,DaybyDay[RowYear],"&gt;="&amp;$C$4,DaybyDay[Date],"&lt;="&amp;DaybyDay[[#This Row],[Date]])</f>
        <v>0</v>
      </c>
      <c r="Q596" s="34">
        <f>SUMIFS(DaybyDay[Service-Actuals],DaybyDay[Date],"&gt;="&amp;$C$5,DaybyDay[RowYear],"&gt;="&amp;$C$4,DaybyDay[Date],"&lt;="&amp;DaybyDay[[#This Row],[Date]])</f>
        <v>0</v>
      </c>
      <c r="R596" s="34">
        <f>SUMIFS(DaybyDay[Retail-Actuals],DaybyDay[Date],"&gt;="&amp;$C$5,DaybyDay[RowYear],"&gt;="&amp;$C$4,DaybyDay[Date],"&lt;="&amp;DaybyDay[[#This Row],[Date]])</f>
        <v>0</v>
      </c>
      <c r="S596" s="35">
        <f>SUMIFS(DaybyDay[Service-LY],DaybyDay[Date],"&gt;="&amp;$C$5,DaybyDay[RowYear],"&gt;="&amp;$C$4,DaybyDay[Date],"&lt;="&amp;DaybyDay[[#This Row],[Date]])</f>
        <v>0</v>
      </c>
      <c r="T596" s="35">
        <f>SUMIFS(DaybyDay[Retail-LY],DaybyDay[Date],"&gt;="&amp;$C$5,DaybyDay[RowYear],"&gt;="&amp;$C$4,DaybyDay[Date],"&lt;="&amp;DaybyDay[[#This Row],[Date]])</f>
        <v>0</v>
      </c>
      <c r="U596" s="32">
        <f>DaybyDay[[#This Row],[Serv-Bud-RU]]+DaybyDay[[#This Row],[Ret-Bud-RU]]</f>
        <v>0</v>
      </c>
      <c r="V596" s="32">
        <f>DaybyDay[[#This Row],[Serv-Act-RU]]+DaybyDay[[#This Row],[Ret-Act-RU]]</f>
        <v>0</v>
      </c>
      <c r="W596" s="36">
        <f>IF(DaybyDay[[#This Row],[_Space]],IFERROR(
((DaybyDay[[#This Row],[Actual-Rollup]]-DaybyDay[[#This Row],[Budget-Rollup]])/DaybyDay[[#This Row],[Budget-Rollup]]),0),"")</f>
        <v>0</v>
      </c>
      <c r="X596" t="b">
        <f>NOT(AND(ISBLANK(DaybyDay[[#This Row],[Appts]]),ISBLANK(DaybyDay[[#This Row],[Service-Actuals]]),ISBLANK(DaybyDay[[#This Row],[Retail-Actuals]])))</f>
        <v>1</v>
      </c>
      <c r="Y596" s="36">
        <f>IF(DaybyDay[[#This Row],[_Space]],IFERROR(
((DaybyDay[[#This Row],[Actual-Rollup]]-DaybyDay[[#This Row],[LY-Rollup]])/DaybyDay[[#This Row],[LY-Rollup]]),0),"")</f>
        <v>0</v>
      </c>
      <c r="Z596"/>
      <c r="AA596" s="37" t="e">
        <f>IF(DaybyDay[[#This Row],[_Space]],DaybyDay[[#This Row],[Ret-Act-RU]]/DaybyDay[[#This Row],[Serv-Act-RU]],"")</f>
        <v>#DIV/0!</v>
      </c>
      <c r="AB596" s="50" t="e">
        <f>IF(DaybyDay[[#This Row],[_Space]],DaybyDay[[#This Row],[RETPEN-Act]]/DaybyDay[[#This Row],[RETPEN-Bud]],"")</f>
        <v>#DIV/0!</v>
      </c>
      <c r="AC596" s="37" t="e">
        <f>IF(DaybyDay[[#This Row],[_Space]],DaybyDay[[#This Row],[Ret-Bud-RU]]/DaybyDay[[#This Row],[Serv-Bud-RU]],"")</f>
        <v>#DIV/0!</v>
      </c>
      <c r="AD596" s="37" t="e">
        <f>IF(DaybyDay[[#This Row],[_Space]],DaybyDay[[#This Row],[Ret-LY-RU]]/DaybyDay[[#This Row],[Serv-LY-RU]],"")</f>
        <v>#DIV/0!</v>
      </c>
      <c r="AE596" s="30">
        <f>WEEKDAY(DaybyDay[[#This Row],[LY-Date]])</f>
        <v>2</v>
      </c>
      <c r="AF596" s="38">
        <f>$E$2+_xlfn.DAYS(DaybyDay[[#This Row],[Date]],minDate)</f>
        <v>42961</v>
      </c>
      <c r="AG596" s="39" cm="1">
        <f t="array" ref="AG596">IFERROR(INDEX(DaybyDay[],DaybyDay[[#This Row],[FORM_MATCH_HELPER]],8),"")</f>
        <v>5</v>
      </c>
      <c r="AH596" s="39" cm="1">
        <f t="array" ref="AH596">IFERROR(INDEX(DaybyDay[],DaybyDay[[#This Row],[FORM_MATCH_HELPER]],10),"")</f>
        <v>895.6</v>
      </c>
      <c r="AI596" s="39" cm="1">
        <f t="array" ref="AI596">IFERROR(INDEX(DaybyDay[],DaybyDay[[#This Row],[FORM_MATCH_HELPER]],12),"")</f>
        <v>602</v>
      </c>
      <c r="AJ596" s="32">
        <f>IFERROR(DaybyDay[[#This Row],[Serv-LY-RU]]+DaybyDay[[#This Row],[Ret-LY-RU]],"")</f>
        <v>0</v>
      </c>
      <c r="AK5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6" s="77"/>
      <c r="AM596" s="40" t="str">
        <f>IF(DaybyDay[[#This Row],[Admin Hours]]&gt;0,DaybyDay[[#This Row],[Admin Hours]]*$AM$2+$AM$3,"")</f>
        <v/>
      </c>
      <c r="AN596" s="40">
        <f>SUMIFS(DaybyDay[Est-Admin-Payroll],DaybyDay[Date],"&gt;="&amp;$C$5,DaybyDay[RowYear],"&gt;="&amp;$C$4,DaybyDay[Date],"&lt;="&amp;DaybyDay[[#This Row],[Date]])</f>
        <v>0</v>
      </c>
      <c r="AO596" s="41" t="str">
        <f>IF(AND(DaybyDay[[#This Row],[_Space]],ISNUMBER(DaybyDay[[#This Row],[Admin Hours]])),DaybyDay[[#This Row],[Est-Admin-Payroll]]/(DaybyDay[[#This Row],[Service-Actuals]]+DaybyDay[[#This Row],[Retail-Actuals]]),"")</f>
        <v/>
      </c>
      <c r="AP596" s="41" t="e">
        <f>DaybyDay[[#This Row],[Estimated-Payroll-Rollup]]/DaybyDay[[#This Row],[Simple-Forecast]]</f>
        <v>#DIV/0!</v>
      </c>
      <c r="AQ5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6" s="77"/>
      <c r="AS596" s="40" t="str">
        <f>IF(DaybyDay[[#This Row],[Retail Hours]]&gt;0,DaybyDay[[#This Row],[Retail Hours]]*$AS$2,"")</f>
        <v/>
      </c>
      <c r="AT596" s="40">
        <f>SUMIFS(DaybyDay[Est-Retail-Payroll],DaybyDay[Date],"&gt;="&amp;$C$5,DaybyDay[RowYear],"&gt;="&amp;$C$4,DaybyDay[Date],"&lt;="&amp;DaybyDay[[#This Row],[Date]])</f>
        <v>0</v>
      </c>
      <c r="AU596" s="82" t="str">
        <f>IF(AND(DaybyDay[[#This Row],[_Space]],ISNUMBER(DaybyDay[[#This Row],[Retail Hours]])),DaybyDay[[#This Row],[Est-Retail-Payroll]]/(DaybyDay[[#This Row],[Retail-Actuals]]),"")</f>
        <v/>
      </c>
      <c r="AV596" s="82" t="e">
        <f>DaybyDay[[#This Row],[Est-Retail-PayrollRU]]/DaybyDay[[#This Row],[Simple-Forecast-Retail]]</f>
        <v>#DIV/0!</v>
      </c>
      <c r="AW596" s="8"/>
    </row>
    <row r="597" spans="3:49" hidden="1" x14ac:dyDescent="0.25">
      <c r="C597" s="26" t="str">
        <f>Tools!$C$1</f>
        <v>Example</v>
      </c>
      <c r="D597" s="27" t="s">
        <v>75</v>
      </c>
      <c r="E597" s="28">
        <v>2018</v>
      </c>
      <c r="F597" s="28">
        <f>MATCH(DaybyDay[[#This Row],[RowMonth]],Table3[SummaryMonth],0)</f>
        <v>8</v>
      </c>
      <c r="G597" s="29">
        <f>MATCH(DaybyDay[[#This Row],[LY-Date]],DaybyDay[Date],0)</f>
        <v>227</v>
      </c>
      <c r="H597" s="30">
        <f>WEEKDAY(DaybyDay[[#This Row],[Date]])</f>
        <v>3</v>
      </c>
      <c r="I597" s="31">
        <v>43326</v>
      </c>
      <c r="J597" s="74">
        <v>10</v>
      </c>
      <c r="K597" s="32">
        <f>SUMIFS(BudgetSeasonality[365 Seasonality],BudgetSeasonality[MonthAdjustment],DaybyDay[[#This Row],[Date]])*SUMIFS(Budgets[Service-Budget],Budgets[BudgetMonth],DaybyDay[[#This Row],[RowMonth]],Budgets[BudgetYear],DaybyDay[[#This Row],[RowYear]])</f>
        <v>3510.5840898746774</v>
      </c>
      <c r="L597" s="75">
        <v>1487.5</v>
      </c>
      <c r="M597" s="32">
        <f>INDEX(BudgetSeasonality[365 Seasonality],MATCH(DaybyDay[[#This Row],[Date]],BudgetSeasonality[MonthAdjustment],0))*SUMIFS(Budgets[Retail-Budget],Budgets[BudgetMonth],DaybyDay[[#This Row],[RowMonth]],Budgets[BudgetYear],DaybyDay[[#This Row],[RowYear]])</f>
        <v>981.63365162129014</v>
      </c>
      <c r="N597" s="75">
        <v>154</v>
      </c>
      <c r="O597" s="33">
        <f>SUMIFS(DaybyDay[Service-Budgets],DaybyDay[Date],"&gt;="&amp;$C$5,DaybyDay[RowYear],"&gt;="&amp;$C$4,DaybyDay[Date],"&lt;="&amp;DaybyDay[[#This Row],[Date]])</f>
        <v>0</v>
      </c>
      <c r="P597" s="33">
        <f>SUMIFS(DaybyDay[Retail-Budgets],DaybyDay[Date],"&gt;="&amp;$C$5,DaybyDay[RowYear],"&gt;="&amp;$C$4,DaybyDay[Date],"&lt;="&amp;DaybyDay[[#This Row],[Date]])</f>
        <v>0</v>
      </c>
      <c r="Q597" s="34">
        <f>SUMIFS(DaybyDay[Service-Actuals],DaybyDay[Date],"&gt;="&amp;$C$5,DaybyDay[RowYear],"&gt;="&amp;$C$4,DaybyDay[Date],"&lt;="&amp;DaybyDay[[#This Row],[Date]])</f>
        <v>0</v>
      </c>
      <c r="R597" s="34">
        <f>SUMIFS(DaybyDay[Retail-Actuals],DaybyDay[Date],"&gt;="&amp;$C$5,DaybyDay[RowYear],"&gt;="&amp;$C$4,DaybyDay[Date],"&lt;="&amp;DaybyDay[[#This Row],[Date]])</f>
        <v>0</v>
      </c>
      <c r="S597" s="35">
        <f>SUMIFS(DaybyDay[Service-LY],DaybyDay[Date],"&gt;="&amp;$C$5,DaybyDay[RowYear],"&gt;="&amp;$C$4,DaybyDay[Date],"&lt;="&amp;DaybyDay[[#This Row],[Date]])</f>
        <v>0</v>
      </c>
      <c r="T597" s="35">
        <f>SUMIFS(DaybyDay[Retail-LY],DaybyDay[Date],"&gt;="&amp;$C$5,DaybyDay[RowYear],"&gt;="&amp;$C$4,DaybyDay[Date],"&lt;="&amp;DaybyDay[[#This Row],[Date]])</f>
        <v>0</v>
      </c>
      <c r="U597" s="32">
        <f>DaybyDay[[#This Row],[Serv-Bud-RU]]+DaybyDay[[#This Row],[Ret-Bud-RU]]</f>
        <v>0</v>
      </c>
      <c r="V597" s="32">
        <f>DaybyDay[[#This Row],[Serv-Act-RU]]+DaybyDay[[#This Row],[Ret-Act-RU]]</f>
        <v>0</v>
      </c>
      <c r="W597" s="36">
        <f>IF(DaybyDay[[#This Row],[_Space]],IFERROR(
((DaybyDay[[#This Row],[Actual-Rollup]]-DaybyDay[[#This Row],[Budget-Rollup]])/DaybyDay[[#This Row],[Budget-Rollup]]),0),"")</f>
        <v>0</v>
      </c>
      <c r="X597" t="b">
        <f>NOT(AND(ISBLANK(DaybyDay[[#This Row],[Appts]]),ISBLANK(DaybyDay[[#This Row],[Service-Actuals]]),ISBLANK(DaybyDay[[#This Row],[Retail-Actuals]])))</f>
        <v>1</v>
      </c>
      <c r="Y597" s="36">
        <f>IF(DaybyDay[[#This Row],[_Space]],IFERROR(
((DaybyDay[[#This Row],[Actual-Rollup]]-DaybyDay[[#This Row],[LY-Rollup]])/DaybyDay[[#This Row],[LY-Rollup]]),0),"")</f>
        <v>0</v>
      </c>
      <c r="Z597"/>
      <c r="AA597" s="37" t="e">
        <f>IF(DaybyDay[[#This Row],[_Space]],DaybyDay[[#This Row],[Ret-Act-RU]]/DaybyDay[[#This Row],[Serv-Act-RU]],"")</f>
        <v>#DIV/0!</v>
      </c>
      <c r="AB597" s="50" t="e">
        <f>IF(DaybyDay[[#This Row],[_Space]],DaybyDay[[#This Row],[RETPEN-Act]]/DaybyDay[[#This Row],[RETPEN-Bud]],"")</f>
        <v>#DIV/0!</v>
      </c>
      <c r="AC597" s="37" t="e">
        <f>IF(DaybyDay[[#This Row],[_Space]],DaybyDay[[#This Row],[Ret-Bud-RU]]/DaybyDay[[#This Row],[Serv-Bud-RU]],"")</f>
        <v>#DIV/0!</v>
      </c>
      <c r="AD597" s="37" t="e">
        <f>IF(DaybyDay[[#This Row],[_Space]],DaybyDay[[#This Row],[Ret-LY-RU]]/DaybyDay[[#This Row],[Serv-LY-RU]],"")</f>
        <v>#DIV/0!</v>
      </c>
      <c r="AE597" s="30">
        <f>WEEKDAY(DaybyDay[[#This Row],[LY-Date]])</f>
        <v>3</v>
      </c>
      <c r="AF597" s="38">
        <f>$E$2+_xlfn.DAYS(DaybyDay[[#This Row],[Date]],minDate)</f>
        <v>42962</v>
      </c>
      <c r="AG597" s="39" cm="1">
        <f t="array" ref="AG597">IFERROR(INDEX(DaybyDay[],DaybyDay[[#This Row],[FORM_MATCH_HELPER]],8),"")</f>
        <v>14</v>
      </c>
      <c r="AH597" s="39" cm="1">
        <f t="array" ref="AH597">IFERROR(INDEX(DaybyDay[],DaybyDay[[#This Row],[FORM_MATCH_HELPER]],10),"")</f>
        <v>3316.5</v>
      </c>
      <c r="AI597" s="39" cm="1">
        <f t="array" ref="AI597">IFERROR(INDEX(DaybyDay[],DaybyDay[[#This Row],[FORM_MATCH_HELPER]],12),"")</f>
        <v>667.2</v>
      </c>
      <c r="AJ597" s="32">
        <f>IFERROR(DaybyDay[[#This Row],[Serv-LY-RU]]+DaybyDay[[#This Row],[Ret-LY-RU]],"")</f>
        <v>0</v>
      </c>
      <c r="AK5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7" s="77"/>
      <c r="AM597" s="40" t="str">
        <f>IF(DaybyDay[[#This Row],[Admin Hours]]&gt;0,DaybyDay[[#This Row],[Admin Hours]]*$AM$2+$AM$3,"")</f>
        <v/>
      </c>
      <c r="AN597" s="40">
        <f>SUMIFS(DaybyDay[Est-Admin-Payroll],DaybyDay[Date],"&gt;="&amp;$C$5,DaybyDay[RowYear],"&gt;="&amp;$C$4,DaybyDay[Date],"&lt;="&amp;DaybyDay[[#This Row],[Date]])</f>
        <v>0</v>
      </c>
      <c r="AO597" s="41" t="str">
        <f>IF(AND(DaybyDay[[#This Row],[_Space]],ISNUMBER(DaybyDay[[#This Row],[Admin Hours]])),DaybyDay[[#This Row],[Est-Admin-Payroll]]/(DaybyDay[[#This Row],[Service-Actuals]]+DaybyDay[[#This Row],[Retail-Actuals]]),"")</f>
        <v/>
      </c>
      <c r="AP597" s="41" t="e">
        <f>DaybyDay[[#This Row],[Estimated-Payroll-Rollup]]/DaybyDay[[#This Row],[Simple-Forecast]]</f>
        <v>#DIV/0!</v>
      </c>
      <c r="AQ5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7" s="77"/>
      <c r="AS597" s="40" t="str">
        <f>IF(DaybyDay[[#This Row],[Retail Hours]]&gt;0,DaybyDay[[#This Row],[Retail Hours]]*$AS$2,"")</f>
        <v/>
      </c>
      <c r="AT597" s="40">
        <f>SUMIFS(DaybyDay[Est-Retail-Payroll],DaybyDay[Date],"&gt;="&amp;$C$5,DaybyDay[RowYear],"&gt;="&amp;$C$4,DaybyDay[Date],"&lt;="&amp;DaybyDay[[#This Row],[Date]])</f>
        <v>0</v>
      </c>
      <c r="AU597" s="82" t="str">
        <f>IF(AND(DaybyDay[[#This Row],[_Space]],ISNUMBER(DaybyDay[[#This Row],[Retail Hours]])),DaybyDay[[#This Row],[Est-Retail-Payroll]]/(DaybyDay[[#This Row],[Retail-Actuals]]),"")</f>
        <v/>
      </c>
      <c r="AV597" s="82" t="e">
        <f>DaybyDay[[#This Row],[Est-Retail-PayrollRU]]/DaybyDay[[#This Row],[Simple-Forecast-Retail]]</f>
        <v>#DIV/0!</v>
      </c>
      <c r="AW597" s="8"/>
    </row>
    <row r="598" spans="3:49" hidden="1" x14ac:dyDescent="0.25">
      <c r="C598" s="26" t="str">
        <f>Tools!$C$1</f>
        <v>Example</v>
      </c>
      <c r="D598" s="27" t="s">
        <v>75</v>
      </c>
      <c r="E598" s="28">
        <v>2018</v>
      </c>
      <c r="F598" s="28">
        <f>MATCH(DaybyDay[[#This Row],[RowMonth]],Table3[SummaryMonth],0)</f>
        <v>8</v>
      </c>
      <c r="G598" s="29">
        <f>MATCH(DaybyDay[[#This Row],[LY-Date]],DaybyDay[Date],0)</f>
        <v>228</v>
      </c>
      <c r="H598" s="30">
        <f>WEEKDAY(DaybyDay[[#This Row],[Date]])</f>
        <v>4</v>
      </c>
      <c r="I598" s="31">
        <v>43327</v>
      </c>
      <c r="J598" s="74">
        <v>13</v>
      </c>
      <c r="K598" s="32">
        <f>SUMIFS(BudgetSeasonality[365 Seasonality],BudgetSeasonality[MonthAdjustment],DaybyDay[[#This Row],[Date]])*SUMIFS(Budgets[Service-Budget],Budgets[BudgetMonth],DaybyDay[[#This Row],[RowMonth]],Budgets[BudgetYear],DaybyDay[[#This Row],[RowYear]])</f>
        <v>4180.8549018429576</v>
      </c>
      <c r="L598" s="75">
        <v>2141.6</v>
      </c>
      <c r="M598" s="32">
        <f>INDEX(BudgetSeasonality[365 Seasonality],MATCH(DaybyDay[[#This Row],[Date]],BudgetSeasonality[MonthAdjustment],0))*SUMIFS(Budgets[Retail-Budget],Budgets[BudgetMonth],DaybyDay[[#This Row],[RowMonth]],Budgets[BudgetYear],DaybyDay[[#This Row],[RowYear]])</f>
        <v>1169.0555642953941</v>
      </c>
      <c r="N598" s="75">
        <v>634.4</v>
      </c>
      <c r="O598" s="33">
        <f>SUMIFS(DaybyDay[Service-Budgets],DaybyDay[Date],"&gt;="&amp;$C$5,DaybyDay[RowYear],"&gt;="&amp;$C$4,DaybyDay[Date],"&lt;="&amp;DaybyDay[[#This Row],[Date]])</f>
        <v>0</v>
      </c>
      <c r="P598" s="33">
        <f>SUMIFS(DaybyDay[Retail-Budgets],DaybyDay[Date],"&gt;="&amp;$C$5,DaybyDay[RowYear],"&gt;="&amp;$C$4,DaybyDay[Date],"&lt;="&amp;DaybyDay[[#This Row],[Date]])</f>
        <v>0</v>
      </c>
      <c r="Q598" s="34">
        <f>SUMIFS(DaybyDay[Service-Actuals],DaybyDay[Date],"&gt;="&amp;$C$5,DaybyDay[RowYear],"&gt;="&amp;$C$4,DaybyDay[Date],"&lt;="&amp;DaybyDay[[#This Row],[Date]])</f>
        <v>0</v>
      </c>
      <c r="R598" s="34">
        <f>SUMIFS(DaybyDay[Retail-Actuals],DaybyDay[Date],"&gt;="&amp;$C$5,DaybyDay[RowYear],"&gt;="&amp;$C$4,DaybyDay[Date],"&lt;="&amp;DaybyDay[[#This Row],[Date]])</f>
        <v>0</v>
      </c>
      <c r="S598" s="35">
        <f>SUMIFS(DaybyDay[Service-LY],DaybyDay[Date],"&gt;="&amp;$C$5,DaybyDay[RowYear],"&gt;="&amp;$C$4,DaybyDay[Date],"&lt;="&amp;DaybyDay[[#This Row],[Date]])</f>
        <v>0</v>
      </c>
      <c r="T598" s="35">
        <f>SUMIFS(DaybyDay[Retail-LY],DaybyDay[Date],"&gt;="&amp;$C$5,DaybyDay[RowYear],"&gt;="&amp;$C$4,DaybyDay[Date],"&lt;="&amp;DaybyDay[[#This Row],[Date]])</f>
        <v>0</v>
      </c>
      <c r="U598" s="32">
        <f>DaybyDay[[#This Row],[Serv-Bud-RU]]+DaybyDay[[#This Row],[Ret-Bud-RU]]</f>
        <v>0</v>
      </c>
      <c r="V598" s="32">
        <f>DaybyDay[[#This Row],[Serv-Act-RU]]+DaybyDay[[#This Row],[Ret-Act-RU]]</f>
        <v>0</v>
      </c>
      <c r="W598" s="36">
        <f>IF(DaybyDay[[#This Row],[_Space]],IFERROR(
((DaybyDay[[#This Row],[Actual-Rollup]]-DaybyDay[[#This Row],[Budget-Rollup]])/DaybyDay[[#This Row],[Budget-Rollup]]),0),"")</f>
        <v>0</v>
      </c>
      <c r="X598" t="b">
        <f>NOT(AND(ISBLANK(DaybyDay[[#This Row],[Appts]]),ISBLANK(DaybyDay[[#This Row],[Service-Actuals]]),ISBLANK(DaybyDay[[#This Row],[Retail-Actuals]])))</f>
        <v>1</v>
      </c>
      <c r="Y598" s="36">
        <f>IF(DaybyDay[[#This Row],[_Space]],IFERROR(
((DaybyDay[[#This Row],[Actual-Rollup]]-DaybyDay[[#This Row],[LY-Rollup]])/DaybyDay[[#This Row],[LY-Rollup]]),0),"")</f>
        <v>0</v>
      </c>
      <c r="Z598"/>
      <c r="AA598" s="37" t="e">
        <f>IF(DaybyDay[[#This Row],[_Space]],DaybyDay[[#This Row],[Ret-Act-RU]]/DaybyDay[[#This Row],[Serv-Act-RU]],"")</f>
        <v>#DIV/0!</v>
      </c>
      <c r="AB598" s="50" t="e">
        <f>IF(DaybyDay[[#This Row],[_Space]],DaybyDay[[#This Row],[RETPEN-Act]]/DaybyDay[[#This Row],[RETPEN-Bud]],"")</f>
        <v>#DIV/0!</v>
      </c>
      <c r="AC598" s="37" t="e">
        <f>IF(DaybyDay[[#This Row],[_Space]],DaybyDay[[#This Row],[Ret-Bud-RU]]/DaybyDay[[#This Row],[Serv-Bud-RU]],"")</f>
        <v>#DIV/0!</v>
      </c>
      <c r="AD598" s="37" t="e">
        <f>IF(DaybyDay[[#This Row],[_Space]],DaybyDay[[#This Row],[Ret-LY-RU]]/DaybyDay[[#This Row],[Serv-LY-RU]],"")</f>
        <v>#DIV/0!</v>
      </c>
      <c r="AE598" s="30">
        <f>WEEKDAY(DaybyDay[[#This Row],[LY-Date]])</f>
        <v>4</v>
      </c>
      <c r="AF598" s="38">
        <f>$E$2+_xlfn.DAYS(DaybyDay[[#This Row],[Date]],minDate)</f>
        <v>42963</v>
      </c>
      <c r="AG598" s="39" cm="1">
        <f t="array" ref="AG598">IFERROR(INDEX(DaybyDay[],DaybyDay[[#This Row],[FORM_MATCH_HELPER]],8),"")</f>
        <v>15</v>
      </c>
      <c r="AH598" s="39" cm="1">
        <f t="array" ref="AH598">IFERROR(INDEX(DaybyDay[],DaybyDay[[#This Row],[FORM_MATCH_HELPER]],10),"")</f>
        <v>2326.46</v>
      </c>
      <c r="AI598" s="39" cm="1">
        <f t="array" ref="AI598">IFERROR(INDEX(DaybyDay[],DaybyDay[[#This Row],[FORM_MATCH_HELPER]],12),"")</f>
        <v>2713.35</v>
      </c>
      <c r="AJ598" s="32">
        <f>IFERROR(DaybyDay[[#This Row],[Serv-LY-RU]]+DaybyDay[[#This Row],[Ret-LY-RU]],"")</f>
        <v>0</v>
      </c>
      <c r="AK5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8" s="77"/>
      <c r="AM598" s="40" t="str">
        <f>IF(DaybyDay[[#This Row],[Admin Hours]]&gt;0,DaybyDay[[#This Row],[Admin Hours]]*$AM$2+$AM$3,"")</f>
        <v/>
      </c>
      <c r="AN598" s="40">
        <f>SUMIFS(DaybyDay[Est-Admin-Payroll],DaybyDay[Date],"&gt;="&amp;$C$5,DaybyDay[RowYear],"&gt;="&amp;$C$4,DaybyDay[Date],"&lt;="&amp;DaybyDay[[#This Row],[Date]])</f>
        <v>0</v>
      </c>
      <c r="AO598" s="41" t="str">
        <f>IF(AND(DaybyDay[[#This Row],[_Space]],ISNUMBER(DaybyDay[[#This Row],[Admin Hours]])),DaybyDay[[#This Row],[Est-Admin-Payroll]]/(DaybyDay[[#This Row],[Service-Actuals]]+DaybyDay[[#This Row],[Retail-Actuals]]),"")</f>
        <v/>
      </c>
      <c r="AP598" s="41" t="e">
        <f>DaybyDay[[#This Row],[Estimated-Payroll-Rollup]]/DaybyDay[[#This Row],[Simple-Forecast]]</f>
        <v>#DIV/0!</v>
      </c>
      <c r="AQ5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8" s="77"/>
      <c r="AS598" s="40" t="str">
        <f>IF(DaybyDay[[#This Row],[Retail Hours]]&gt;0,DaybyDay[[#This Row],[Retail Hours]]*$AS$2,"")</f>
        <v/>
      </c>
      <c r="AT598" s="40">
        <f>SUMIFS(DaybyDay[Est-Retail-Payroll],DaybyDay[Date],"&gt;="&amp;$C$5,DaybyDay[RowYear],"&gt;="&amp;$C$4,DaybyDay[Date],"&lt;="&amp;DaybyDay[[#This Row],[Date]])</f>
        <v>0</v>
      </c>
      <c r="AU598" s="82" t="str">
        <f>IF(AND(DaybyDay[[#This Row],[_Space]],ISNUMBER(DaybyDay[[#This Row],[Retail Hours]])),DaybyDay[[#This Row],[Est-Retail-Payroll]]/(DaybyDay[[#This Row],[Retail-Actuals]]),"")</f>
        <v/>
      </c>
      <c r="AV598" s="82" t="e">
        <f>DaybyDay[[#This Row],[Est-Retail-PayrollRU]]/DaybyDay[[#This Row],[Simple-Forecast-Retail]]</f>
        <v>#DIV/0!</v>
      </c>
      <c r="AW598" s="8"/>
    </row>
    <row r="599" spans="3:49" hidden="1" x14ac:dyDescent="0.25">
      <c r="C599" s="26" t="str">
        <f>Tools!$C$1</f>
        <v>Example</v>
      </c>
      <c r="D599" s="27" t="s">
        <v>75</v>
      </c>
      <c r="E599" s="28">
        <v>2018</v>
      </c>
      <c r="F599" s="28">
        <f>MATCH(DaybyDay[[#This Row],[RowMonth]],Table3[SummaryMonth],0)</f>
        <v>8</v>
      </c>
      <c r="G599" s="29">
        <f>MATCH(DaybyDay[[#This Row],[LY-Date]],DaybyDay[Date],0)</f>
        <v>229</v>
      </c>
      <c r="H599" s="30">
        <f>WEEKDAY(DaybyDay[[#This Row],[Date]])</f>
        <v>5</v>
      </c>
      <c r="I599" s="31">
        <v>43328</v>
      </c>
      <c r="J599" s="74">
        <v>19</v>
      </c>
      <c r="K599" s="32">
        <f>SUMIFS(BudgetSeasonality[365 Seasonality],BudgetSeasonality[MonthAdjustment],DaybyDay[[#This Row],[Date]])*SUMIFS(Budgets[Service-Budget],Budgets[BudgetMonth],DaybyDay[[#This Row],[RowMonth]],Budgets[BudgetYear],DaybyDay[[#This Row],[RowYear]])</f>
        <v>4315.7955253327746</v>
      </c>
      <c r="L599" s="75">
        <v>3924.2</v>
      </c>
      <c r="M599" s="32">
        <f>INDEX(BudgetSeasonality[365 Seasonality],MATCH(DaybyDay[[#This Row],[Date]],BudgetSeasonality[MonthAdjustment],0))*SUMIFS(Budgets[Retail-Budget],Budgets[BudgetMonth],DaybyDay[[#This Row],[RowMonth]],Budgets[BudgetYear],DaybyDay[[#This Row],[RowYear]])</f>
        <v>1206.7878201243923</v>
      </c>
      <c r="N599" s="75">
        <v>0</v>
      </c>
      <c r="O599" s="33">
        <f>SUMIFS(DaybyDay[Service-Budgets],DaybyDay[Date],"&gt;="&amp;$C$5,DaybyDay[RowYear],"&gt;="&amp;$C$4,DaybyDay[Date],"&lt;="&amp;DaybyDay[[#This Row],[Date]])</f>
        <v>0</v>
      </c>
      <c r="P599" s="33">
        <f>SUMIFS(DaybyDay[Retail-Budgets],DaybyDay[Date],"&gt;="&amp;$C$5,DaybyDay[RowYear],"&gt;="&amp;$C$4,DaybyDay[Date],"&lt;="&amp;DaybyDay[[#This Row],[Date]])</f>
        <v>0</v>
      </c>
      <c r="Q599" s="34">
        <f>SUMIFS(DaybyDay[Service-Actuals],DaybyDay[Date],"&gt;="&amp;$C$5,DaybyDay[RowYear],"&gt;="&amp;$C$4,DaybyDay[Date],"&lt;="&amp;DaybyDay[[#This Row],[Date]])</f>
        <v>0</v>
      </c>
      <c r="R599" s="34">
        <f>SUMIFS(DaybyDay[Retail-Actuals],DaybyDay[Date],"&gt;="&amp;$C$5,DaybyDay[RowYear],"&gt;="&amp;$C$4,DaybyDay[Date],"&lt;="&amp;DaybyDay[[#This Row],[Date]])</f>
        <v>0</v>
      </c>
      <c r="S599" s="35">
        <f>SUMIFS(DaybyDay[Service-LY],DaybyDay[Date],"&gt;="&amp;$C$5,DaybyDay[RowYear],"&gt;="&amp;$C$4,DaybyDay[Date],"&lt;="&amp;DaybyDay[[#This Row],[Date]])</f>
        <v>0</v>
      </c>
      <c r="T599" s="35">
        <f>SUMIFS(DaybyDay[Retail-LY],DaybyDay[Date],"&gt;="&amp;$C$5,DaybyDay[RowYear],"&gt;="&amp;$C$4,DaybyDay[Date],"&lt;="&amp;DaybyDay[[#This Row],[Date]])</f>
        <v>0</v>
      </c>
      <c r="U599" s="32">
        <f>DaybyDay[[#This Row],[Serv-Bud-RU]]+DaybyDay[[#This Row],[Ret-Bud-RU]]</f>
        <v>0</v>
      </c>
      <c r="V599" s="32">
        <f>DaybyDay[[#This Row],[Serv-Act-RU]]+DaybyDay[[#This Row],[Ret-Act-RU]]</f>
        <v>0</v>
      </c>
      <c r="W599" s="36">
        <f>IF(DaybyDay[[#This Row],[_Space]],IFERROR(
((DaybyDay[[#This Row],[Actual-Rollup]]-DaybyDay[[#This Row],[Budget-Rollup]])/DaybyDay[[#This Row],[Budget-Rollup]]),0),"")</f>
        <v>0</v>
      </c>
      <c r="X599" t="b">
        <f>NOT(AND(ISBLANK(DaybyDay[[#This Row],[Appts]]),ISBLANK(DaybyDay[[#This Row],[Service-Actuals]]),ISBLANK(DaybyDay[[#This Row],[Retail-Actuals]])))</f>
        <v>1</v>
      </c>
      <c r="Y599" s="36">
        <f>IF(DaybyDay[[#This Row],[_Space]],IFERROR(
((DaybyDay[[#This Row],[Actual-Rollup]]-DaybyDay[[#This Row],[LY-Rollup]])/DaybyDay[[#This Row],[LY-Rollup]]),0),"")</f>
        <v>0</v>
      </c>
      <c r="Z599"/>
      <c r="AA599" s="37" t="e">
        <f>IF(DaybyDay[[#This Row],[_Space]],DaybyDay[[#This Row],[Ret-Act-RU]]/DaybyDay[[#This Row],[Serv-Act-RU]],"")</f>
        <v>#DIV/0!</v>
      </c>
      <c r="AB599" s="50" t="e">
        <f>IF(DaybyDay[[#This Row],[_Space]],DaybyDay[[#This Row],[RETPEN-Act]]/DaybyDay[[#This Row],[RETPEN-Bud]],"")</f>
        <v>#DIV/0!</v>
      </c>
      <c r="AC599" s="37" t="e">
        <f>IF(DaybyDay[[#This Row],[_Space]],DaybyDay[[#This Row],[Ret-Bud-RU]]/DaybyDay[[#This Row],[Serv-Bud-RU]],"")</f>
        <v>#DIV/0!</v>
      </c>
      <c r="AD599" s="37" t="e">
        <f>IF(DaybyDay[[#This Row],[_Space]],DaybyDay[[#This Row],[Ret-LY-RU]]/DaybyDay[[#This Row],[Serv-LY-RU]],"")</f>
        <v>#DIV/0!</v>
      </c>
      <c r="AE599" s="30">
        <f>WEEKDAY(DaybyDay[[#This Row],[LY-Date]])</f>
        <v>5</v>
      </c>
      <c r="AF599" s="38">
        <f>$E$2+_xlfn.DAYS(DaybyDay[[#This Row],[Date]],minDate)</f>
        <v>42964</v>
      </c>
      <c r="AG599" s="39" cm="1">
        <f t="array" ref="AG599">IFERROR(INDEX(DaybyDay[],DaybyDay[[#This Row],[FORM_MATCH_HELPER]],8),"")</f>
        <v>33</v>
      </c>
      <c r="AH599" s="39" cm="1">
        <f t="array" ref="AH599">IFERROR(INDEX(DaybyDay[],DaybyDay[[#This Row],[FORM_MATCH_HELPER]],10),"")</f>
        <v>5726.9</v>
      </c>
      <c r="AI599" s="39" cm="1">
        <f t="array" ref="AI599">IFERROR(INDEX(DaybyDay[],DaybyDay[[#This Row],[FORM_MATCH_HELPER]],12),"")</f>
        <v>184</v>
      </c>
      <c r="AJ599" s="32">
        <f>IFERROR(DaybyDay[[#This Row],[Serv-LY-RU]]+DaybyDay[[#This Row],[Ret-LY-RU]],"")</f>
        <v>0</v>
      </c>
      <c r="AK5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599" s="77"/>
      <c r="AM599" s="40" t="str">
        <f>IF(DaybyDay[[#This Row],[Admin Hours]]&gt;0,DaybyDay[[#This Row],[Admin Hours]]*$AM$2+$AM$3,"")</f>
        <v/>
      </c>
      <c r="AN599" s="40">
        <f>SUMIFS(DaybyDay[Est-Admin-Payroll],DaybyDay[Date],"&gt;="&amp;$C$5,DaybyDay[RowYear],"&gt;="&amp;$C$4,DaybyDay[Date],"&lt;="&amp;DaybyDay[[#This Row],[Date]])</f>
        <v>0</v>
      </c>
      <c r="AO599" s="41" t="str">
        <f>IF(AND(DaybyDay[[#This Row],[_Space]],ISNUMBER(DaybyDay[[#This Row],[Admin Hours]])),DaybyDay[[#This Row],[Est-Admin-Payroll]]/(DaybyDay[[#This Row],[Service-Actuals]]+DaybyDay[[#This Row],[Retail-Actuals]]),"")</f>
        <v/>
      </c>
      <c r="AP599" s="41" t="e">
        <f>DaybyDay[[#This Row],[Estimated-Payroll-Rollup]]/DaybyDay[[#This Row],[Simple-Forecast]]</f>
        <v>#DIV/0!</v>
      </c>
      <c r="AQ5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599" s="77"/>
      <c r="AS599" s="40" t="str">
        <f>IF(DaybyDay[[#This Row],[Retail Hours]]&gt;0,DaybyDay[[#This Row],[Retail Hours]]*$AS$2,"")</f>
        <v/>
      </c>
      <c r="AT599" s="40">
        <f>SUMIFS(DaybyDay[Est-Retail-Payroll],DaybyDay[Date],"&gt;="&amp;$C$5,DaybyDay[RowYear],"&gt;="&amp;$C$4,DaybyDay[Date],"&lt;="&amp;DaybyDay[[#This Row],[Date]])</f>
        <v>0</v>
      </c>
      <c r="AU599" s="82" t="str">
        <f>IF(AND(DaybyDay[[#This Row],[_Space]],ISNUMBER(DaybyDay[[#This Row],[Retail Hours]])),DaybyDay[[#This Row],[Est-Retail-Payroll]]/(DaybyDay[[#This Row],[Retail-Actuals]]),"")</f>
        <v/>
      </c>
      <c r="AV599" s="82" t="e">
        <f>DaybyDay[[#This Row],[Est-Retail-PayrollRU]]/DaybyDay[[#This Row],[Simple-Forecast-Retail]]</f>
        <v>#DIV/0!</v>
      </c>
      <c r="AW599" s="8"/>
    </row>
    <row r="600" spans="3:49" hidden="1" x14ac:dyDescent="0.25">
      <c r="C600" s="26" t="str">
        <f>Tools!$C$1</f>
        <v>Example</v>
      </c>
      <c r="D600" s="27" t="s">
        <v>75</v>
      </c>
      <c r="E600" s="28">
        <v>2018</v>
      </c>
      <c r="F600" s="28">
        <f>MATCH(DaybyDay[[#This Row],[RowMonth]],Table3[SummaryMonth],0)</f>
        <v>8</v>
      </c>
      <c r="G600" s="29">
        <f>MATCH(DaybyDay[[#This Row],[LY-Date]],DaybyDay[Date],0)</f>
        <v>230</v>
      </c>
      <c r="H600" s="30">
        <f>WEEKDAY(DaybyDay[[#This Row],[Date]])</f>
        <v>6</v>
      </c>
      <c r="I600" s="31">
        <v>43329</v>
      </c>
      <c r="J600" s="74">
        <v>10</v>
      </c>
      <c r="K600" s="32">
        <f>SUMIFS(BudgetSeasonality[365 Seasonality],BudgetSeasonality[MonthAdjustment],DaybyDay[[#This Row],[Date]])*SUMIFS(Budgets[Service-Budget],Budgets[BudgetMonth],DaybyDay[[#This Row],[RowMonth]],Budgets[BudgetYear],DaybyDay[[#This Row],[RowYear]])</f>
        <v>5582.0415852892047</v>
      </c>
      <c r="L600" s="75">
        <v>2490.1999999999998</v>
      </c>
      <c r="M600" s="32">
        <f>INDEX(BudgetSeasonality[365 Seasonality],MATCH(DaybyDay[[#This Row],[Date]],BudgetSeasonality[MonthAdjustment],0))*SUMIFS(Budgets[Retail-Budget],Budgets[BudgetMonth],DaybyDay[[#This Row],[RowMonth]],Budgets[BudgetYear],DaybyDay[[#This Row],[RowYear]])</f>
        <v>1560.8570325016624</v>
      </c>
      <c r="N600" s="75">
        <v>335</v>
      </c>
      <c r="O600" s="33">
        <f>SUMIFS(DaybyDay[Service-Budgets],DaybyDay[Date],"&gt;="&amp;$C$5,DaybyDay[RowYear],"&gt;="&amp;$C$4,DaybyDay[Date],"&lt;="&amp;DaybyDay[[#This Row],[Date]])</f>
        <v>0</v>
      </c>
      <c r="P600" s="33">
        <f>SUMIFS(DaybyDay[Retail-Budgets],DaybyDay[Date],"&gt;="&amp;$C$5,DaybyDay[RowYear],"&gt;="&amp;$C$4,DaybyDay[Date],"&lt;="&amp;DaybyDay[[#This Row],[Date]])</f>
        <v>0</v>
      </c>
      <c r="Q600" s="34">
        <f>SUMIFS(DaybyDay[Service-Actuals],DaybyDay[Date],"&gt;="&amp;$C$5,DaybyDay[RowYear],"&gt;="&amp;$C$4,DaybyDay[Date],"&lt;="&amp;DaybyDay[[#This Row],[Date]])</f>
        <v>0</v>
      </c>
      <c r="R600" s="34">
        <f>SUMIFS(DaybyDay[Retail-Actuals],DaybyDay[Date],"&gt;="&amp;$C$5,DaybyDay[RowYear],"&gt;="&amp;$C$4,DaybyDay[Date],"&lt;="&amp;DaybyDay[[#This Row],[Date]])</f>
        <v>0</v>
      </c>
      <c r="S600" s="35">
        <f>SUMIFS(DaybyDay[Service-LY],DaybyDay[Date],"&gt;="&amp;$C$5,DaybyDay[RowYear],"&gt;="&amp;$C$4,DaybyDay[Date],"&lt;="&amp;DaybyDay[[#This Row],[Date]])</f>
        <v>0</v>
      </c>
      <c r="T600" s="35">
        <f>SUMIFS(DaybyDay[Retail-LY],DaybyDay[Date],"&gt;="&amp;$C$5,DaybyDay[RowYear],"&gt;="&amp;$C$4,DaybyDay[Date],"&lt;="&amp;DaybyDay[[#This Row],[Date]])</f>
        <v>0</v>
      </c>
      <c r="U600" s="32">
        <f>DaybyDay[[#This Row],[Serv-Bud-RU]]+DaybyDay[[#This Row],[Ret-Bud-RU]]</f>
        <v>0</v>
      </c>
      <c r="V600" s="32">
        <f>DaybyDay[[#This Row],[Serv-Act-RU]]+DaybyDay[[#This Row],[Ret-Act-RU]]</f>
        <v>0</v>
      </c>
      <c r="W600" s="36">
        <f>IF(DaybyDay[[#This Row],[_Space]],IFERROR(
((DaybyDay[[#This Row],[Actual-Rollup]]-DaybyDay[[#This Row],[Budget-Rollup]])/DaybyDay[[#This Row],[Budget-Rollup]]),0),"")</f>
        <v>0</v>
      </c>
      <c r="X600" t="b">
        <f>NOT(AND(ISBLANK(DaybyDay[[#This Row],[Appts]]),ISBLANK(DaybyDay[[#This Row],[Service-Actuals]]),ISBLANK(DaybyDay[[#This Row],[Retail-Actuals]])))</f>
        <v>1</v>
      </c>
      <c r="Y600" s="36">
        <f>IF(DaybyDay[[#This Row],[_Space]],IFERROR(
((DaybyDay[[#This Row],[Actual-Rollup]]-DaybyDay[[#This Row],[LY-Rollup]])/DaybyDay[[#This Row],[LY-Rollup]]),0),"")</f>
        <v>0</v>
      </c>
      <c r="Z600"/>
      <c r="AA600" s="37" t="e">
        <f>IF(DaybyDay[[#This Row],[_Space]],DaybyDay[[#This Row],[Ret-Act-RU]]/DaybyDay[[#This Row],[Serv-Act-RU]],"")</f>
        <v>#DIV/0!</v>
      </c>
      <c r="AB600" s="50" t="e">
        <f>IF(DaybyDay[[#This Row],[_Space]],DaybyDay[[#This Row],[RETPEN-Act]]/DaybyDay[[#This Row],[RETPEN-Bud]],"")</f>
        <v>#DIV/0!</v>
      </c>
      <c r="AC600" s="37" t="e">
        <f>IF(DaybyDay[[#This Row],[_Space]],DaybyDay[[#This Row],[Ret-Bud-RU]]/DaybyDay[[#This Row],[Serv-Bud-RU]],"")</f>
        <v>#DIV/0!</v>
      </c>
      <c r="AD600" s="37" t="e">
        <f>IF(DaybyDay[[#This Row],[_Space]],DaybyDay[[#This Row],[Ret-LY-RU]]/DaybyDay[[#This Row],[Serv-LY-RU]],"")</f>
        <v>#DIV/0!</v>
      </c>
      <c r="AE600" s="30">
        <f>WEEKDAY(DaybyDay[[#This Row],[LY-Date]])</f>
        <v>6</v>
      </c>
      <c r="AF600" s="38">
        <f>$E$2+_xlfn.DAYS(DaybyDay[[#This Row],[Date]],minDate)</f>
        <v>42965</v>
      </c>
      <c r="AG600" s="39" cm="1">
        <f t="array" ref="AG600">IFERROR(INDEX(DaybyDay[],DaybyDay[[#This Row],[FORM_MATCH_HELPER]],8),"")</f>
        <v>34</v>
      </c>
      <c r="AH600" s="39" cm="1">
        <f t="array" ref="AH600">IFERROR(INDEX(DaybyDay[],DaybyDay[[#This Row],[FORM_MATCH_HELPER]],10),"")</f>
        <v>5723.48</v>
      </c>
      <c r="AI600" s="39" cm="1">
        <f t="array" ref="AI600">IFERROR(INDEX(DaybyDay[],DaybyDay[[#This Row],[FORM_MATCH_HELPER]],12),"")</f>
        <v>730.5</v>
      </c>
      <c r="AJ600" s="32">
        <f>IFERROR(DaybyDay[[#This Row],[Serv-LY-RU]]+DaybyDay[[#This Row],[Ret-LY-RU]],"")</f>
        <v>0</v>
      </c>
      <c r="AK6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0" s="77"/>
      <c r="AM600" s="40" t="str">
        <f>IF(DaybyDay[[#This Row],[Admin Hours]]&gt;0,DaybyDay[[#This Row],[Admin Hours]]*$AM$2+$AM$3,"")</f>
        <v/>
      </c>
      <c r="AN600" s="40">
        <f>SUMIFS(DaybyDay[Est-Admin-Payroll],DaybyDay[Date],"&gt;="&amp;$C$5,DaybyDay[RowYear],"&gt;="&amp;$C$4,DaybyDay[Date],"&lt;="&amp;DaybyDay[[#This Row],[Date]])</f>
        <v>0</v>
      </c>
      <c r="AO600" s="41" t="str">
        <f>IF(AND(DaybyDay[[#This Row],[_Space]],ISNUMBER(DaybyDay[[#This Row],[Admin Hours]])),DaybyDay[[#This Row],[Est-Admin-Payroll]]/(DaybyDay[[#This Row],[Service-Actuals]]+DaybyDay[[#This Row],[Retail-Actuals]]),"")</f>
        <v/>
      </c>
      <c r="AP600" s="41" t="e">
        <f>DaybyDay[[#This Row],[Estimated-Payroll-Rollup]]/DaybyDay[[#This Row],[Simple-Forecast]]</f>
        <v>#DIV/0!</v>
      </c>
      <c r="AQ6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0" s="77"/>
      <c r="AS600" s="40" t="str">
        <f>IF(DaybyDay[[#This Row],[Retail Hours]]&gt;0,DaybyDay[[#This Row],[Retail Hours]]*$AS$2,"")</f>
        <v/>
      </c>
      <c r="AT600" s="40">
        <f>SUMIFS(DaybyDay[Est-Retail-Payroll],DaybyDay[Date],"&gt;="&amp;$C$5,DaybyDay[RowYear],"&gt;="&amp;$C$4,DaybyDay[Date],"&lt;="&amp;DaybyDay[[#This Row],[Date]])</f>
        <v>0</v>
      </c>
      <c r="AU600" s="82" t="str">
        <f>IF(AND(DaybyDay[[#This Row],[_Space]],ISNUMBER(DaybyDay[[#This Row],[Retail Hours]])),DaybyDay[[#This Row],[Est-Retail-Payroll]]/(DaybyDay[[#This Row],[Retail-Actuals]]),"")</f>
        <v/>
      </c>
      <c r="AV600" s="82" t="e">
        <f>DaybyDay[[#This Row],[Est-Retail-PayrollRU]]/DaybyDay[[#This Row],[Simple-Forecast-Retail]]</f>
        <v>#DIV/0!</v>
      </c>
      <c r="AW600" s="8"/>
    </row>
    <row r="601" spans="3:49" hidden="1" x14ac:dyDescent="0.25">
      <c r="C601" s="26" t="str">
        <f>Tools!$C$1</f>
        <v>Example</v>
      </c>
      <c r="D601" s="27" t="s">
        <v>75</v>
      </c>
      <c r="E601" s="28">
        <v>2018</v>
      </c>
      <c r="F601" s="28">
        <f>MATCH(DaybyDay[[#This Row],[RowMonth]],Table3[SummaryMonth],0)</f>
        <v>8</v>
      </c>
      <c r="G601" s="29">
        <f>MATCH(DaybyDay[[#This Row],[LY-Date]],DaybyDay[Date],0)</f>
        <v>231</v>
      </c>
      <c r="H601" s="30">
        <f>WEEKDAY(DaybyDay[[#This Row],[Date]])</f>
        <v>7</v>
      </c>
      <c r="I601" s="31">
        <v>43330</v>
      </c>
      <c r="J601" s="74">
        <v>24</v>
      </c>
      <c r="K601" s="32">
        <f>SUMIFS(BudgetSeasonality[365 Seasonality],BudgetSeasonality[MonthAdjustment],DaybyDay[[#This Row],[Date]])*SUMIFS(Budgets[Service-Budget],Budgets[BudgetMonth],DaybyDay[[#This Row],[RowMonth]],Budgets[BudgetYear],DaybyDay[[#This Row],[RowYear]])</f>
        <v>8268.7300068626628</v>
      </c>
      <c r="L601" s="75">
        <v>5610.5</v>
      </c>
      <c r="M601" s="32">
        <f>INDEX(BudgetSeasonality[365 Seasonality],MATCH(DaybyDay[[#This Row],[Date]],BudgetSeasonality[MonthAdjustment],0))*SUMIFS(Budgets[Retail-Budget],Budgets[BudgetMonth],DaybyDay[[#This Row],[RowMonth]],Budgets[BudgetYear],DaybyDay[[#This Row],[RowYear]])</f>
        <v>2312.1120084597924</v>
      </c>
      <c r="N601" s="75">
        <v>1280.3</v>
      </c>
      <c r="O601" s="33">
        <f>SUMIFS(DaybyDay[Service-Budgets],DaybyDay[Date],"&gt;="&amp;$C$5,DaybyDay[RowYear],"&gt;="&amp;$C$4,DaybyDay[Date],"&lt;="&amp;DaybyDay[[#This Row],[Date]])</f>
        <v>0</v>
      </c>
      <c r="P601" s="33">
        <f>SUMIFS(DaybyDay[Retail-Budgets],DaybyDay[Date],"&gt;="&amp;$C$5,DaybyDay[RowYear],"&gt;="&amp;$C$4,DaybyDay[Date],"&lt;="&amp;DaybyDay[[#This Row],[Date]])</f>
        <v>0</v>
      </c>
      <c r="Q601" s="34">
        <f>SUMIFS(DaybyDay[Service-Actuals],DaybyDay[Date],"&gt;="&amp;$C$5,DaybyDay[RowYear],"&gt;="&amp;$C$4,DaybyDay[Date],"&lt;="&amp;DaybyDay[[#This Row],[Date]])</f>
        <v>0</v>
      </c>
      <c r="R601" s="34">
        <f>SUMIFS(DaybyDay[Retail-Actuals],DaybyDay[Date],"&gt;="&amp;$C$5,DaybyDay[RowYear],"&gt;="&amp;$C$4,DaybyDay[Date],"&lt;="&amp;DaybyDay[[#This Row],[Date]])</f>
        <v>0</v>
      </c>
      <c r="S601" s="35">
        <f>SUMIFS(DaybyDay[Service-LY],DaybyDay[Date],"&gt;="&amp;$C$5,DaybyDay[RowYear],"&gt;="&amp;$C$4,DaybyDay[Date],"&lt;="&amp;DaybyDay[[#This Row],[Date]])</f>
        <v>0</v>
      </c>
      <c r="T601" s="35">
        <f>SUMIFS(DaybyDay[Retail-LY],DaybyDay[Date],"&gt;="&amp;$C$5,DaybyDay[RowYear],"&gt;="&amp;$C$4,DaybyDay[Date],"&lt;="&amp;DaybyDay[[#This Row],[Date]])</f>
        <v>0</v>
      </c>
      <c r="U601" s="32">
        <f>DaybyDay[[#This Row],[Serv-Bud-RU]]+DaybyDay[[#This Row],[Ret-Bud-RU]]</f>
        <v>0</v>
      </c>
      <c r="V601" s="32">
        <f>DaybyDay[[#This Row],[Serv-Act-RU]]+DaybyDay[[#This Row],[Ret-Act-RU]]</f>
        <v>0</v>
      </c>
      <c r="W601" s="36">
        <f>IF(DaybyDay[[#This Row],[_Space]],IFERROR(
((DaybyDay[[#This Row],[Actual-Rollup]]-DaybyDay[[#This Row],[Budget-Rollup]])/DaybyDay[[#This Row],[Budget-Rollup]]),0),"")</f>
        <v>0</v>
      </c>
      <c r="X601" t="b">
        <f>NOT(AND(ISBLANK(DaybyDay[[#This Row],[Appts]]),ISBLANK(DaybyDay[[#This Row],[Service-Actuals]]),ISBLANK(DaybyDay[[#This Row],[Retail-Actuals]])))</f>
        <v>1</v>
      </c>
      <c r="Y601" s="36">
        <f>IF(DaybyDay[[#This Row],[_Space]],IFERROR(
((DaybyDay[[#This Row],[Actual-Rollup]]-DaybyDay[[#This Row],[LY-Rollup]])/DaybyDay[[#This Row],[LY-Rollup]]),0),"")</f>
        <v>0</v>
      </c>
      <c r="Z601"/>
      <c r="AA601" s="37" t="e">
        <f>IF(DaybyDay[[#This Row],[_Space]],DaybyDay[[#This Row],[Ret-Act-RU]]/DaybyDay[[#This Row],[Serv-Act-RU]],"")</f>
        <v>#DIV/0!</v>
      </c>
      <c r="AB601" s="50" t="e">
        <f>IF(DaybyDay[[#This Row],[_Space]],DaybyDay[[#This Row],[RETPEN-Act]]/DaybyDay[[#This Row],[RETPEN-Bud]],"")</f>
        <v>#DIV/0!</v>
      </c>
      <c r="AC601" s="37" t="e">
        <f>IF(DaybyDay[[#This Row],[_Space]],DaybyDay[[#This Row],[Ret-Bud-RU]]/DaybyDay[[#This Row],[Serv-Bud-RU]],"")</f>
        <v>#DIV/0!</v>
      </c>
      <c r="AD601" s="37" t="e">
        <f>IF(DaybyDay[[#This Row],[_Space]],DaybyDay[[#This Row],[Ret-LY-RU]]/DaybyDay[[#This Row],[Serv-LY-RU]],"")</f>
        <v>#DIV/0!</v>
      </c>
      <c r="AE601" s="30">
        <f>WEEKDAY(DaybyDay[[#This Row],[LY-Date]])</f>
        <v>7</v>
      </c>
      <c r="AF601" s="38">
        <f>$E$2+_xlfn.DAYS(DaybyDay[[#This Row],[Date]],minDate)</f>
        <v>42966</v>
      </c>
      <c r="AG601" s="39" cm="1">
        <f t="array" ref="AG601">IFERROR(INDEX(DaybyDay[],DaybyDay[[#This Row],[FORM_MATCH_HELPER]],8),"")</f>
        <v>23</v>
      </c>
      <c r="AH601" s="39" cm="1">
        <f t="array" ref="AH601">IFERROR(INDEX(DaybyDay[],DaybyDay[[#This Row],[FORM_MATCH_HELPER]],10),"")</f>
        <v>5845</v>
      </c>
      <c r="AI601" s="39" cm="1">
        <f t="array" ref="AI601">IFERROR(INDEX(DaybyDay[],DaybyDay[[#This Row],[FORM_MATCH_HELPER]],12),"")</f>
        <v>1048.75</v>
      </c>
      <c r="AJ601" s="32">
        <f>IFERROR(DaybyDay[[#This Row],[Serv-LY-RU]]+DaybyDay[[#This Row],[Ret-LY-RU]],"")</f>
        <v>0</v>
      </c>
      <c r="AK6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1" s="77"/>
      <c r="AM601" s="40" t="str">
        <f>IF(DaybyDay[[#This Row],[Admin Hours]]&gt;0,DaybyDay[[#This Row],[Admin Hours]]*$AM$2+$AM$3,"")</f>
        <v/>
      </c>
      <c r="AN601" s="40">
        <f>SUMIFS(DaybyDay[Est-Admin-Payroll],DaybyDay[Date],"&gt;="&amp;$C$5,DaybyDay[RowYear],"&gt;="&amp;$C$4,DaybyDay[Date],"&lt;="&amp;DaybyDay[[#This Row],[Date]])</f>
        <v>0</v>
      </c>
      <c r="AO601" s="41" t="str">
        <f>IF(AND(DaybyDay[[#This Row],[_Space]],ISNUMBER(DaybyDay[[#This Row],[Admin Hours]])),DaybyDay[[#This Row],[Est-Admin-Payroll]]/(DaybyDay[[#This Row],[Service-Actuals]]+DaybyDay[[#This Row],[Retail-Actuals]]),"")</f>
        <v/>
      </c>
      <c r="AP601" s="41" t="e">
        <f>DaybyDay[[#This Row],[Estimated-Payroll-Rollup]]/DaybyDay[[#This Row],[Simple-Forecast]]</f>
        <v>#DIV/0!</v>
      </c>
      <c r="AQ6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1" s="77"/>
      <c r="AS601" s="40" t="str">
        <f>IF(DaybyDay[[#This Row],[Retail Hours]]&gt;0,DaybyDay[[#This Row],[Retail Hours]]*$AS$2,"")</f>
        <v/>
      </c>
      <c r="AT601" s="40">
        <f>SUMIFS(DaybyDay[Est-Retail-Payroll],DaybyDay[Date],"&gt;="&amp;$C$5,DaybyDay[RowYear],"&gt;="&amp;$C$4,DaybyDay[Date],"&lt;="&amp;DaybyDay[[#This Row],[Date]])</f>
        <v>0</v>
      </c>
      <c r="AU601" s="82" t="str">
        <f>IF(AND(DaybyDay[[#This Row],[_Space]],ISNUMBER(DaybyDay[[#This Row],[Retail Hours]])),DaybyDay[[#This Row],[Est-Retail-Payroll]]/(DaybyDay[[#This Row],[Retail-Actuals]]),"")</f>
        <v/>
      </c>
      <c r="AV601" s="82" t="e">
        <f>DaybyDay[[#This Row],[Est-Retail-PayrollRU]]/DaybyDay[[#This Row],[Simple-Forecast-Retail]]</f>
        <v>#DIV/0!</v>
      </c>
      <c r="AW601" s="8"/>
    </row>
    <row r="602" spans="3:49" hidden="1" x14ac:dyDescent="0.25">
      <c r="C602" s="26" t="str">
        <f>Tools!$C$1</f>
        <v>Example</v>
      </c>
      <c r="D602" s="27" t="s">
        <v>75</v>
      </c>
      <c r="E602" s="28">
        <v>2018</v>
      </c>
      <c r="F602" s="28">
        <f>MATCH(DaybyDay[[#This Row],[RowMonth]],Table3[SummaryMonth],0)</f>
        <v>8</v>
      </c>
      <c r="G602" s="29">
        <f>MATCH(DaybyDay[[#This Row],[LY-Date]],DaybyDay[Date],0)</f>
        <v>232</v>
      </c>
      <c r="H602" s="30">
        <f>WEEKDAY(DaybyDay[[#This Row],[Date]])</f>
        <v>1</v>
      </c>
      <c r="I602" s="31">
        <v>43331</v>
      </c>
      <c r="J602" s="74">
        <v>30</v>
      </c>
      <c r="K602" s="32">
        <f>SUMIFS(BudgetSeasonality[365 Seasonality],BudgetSeasonality[MonthAdjustment],DaybyDay[[#This Row],[Date]])*SUMIFS(Budgets[Service-Budget],Budgets[BudgetMonth],DaybyDay[[#This Row],[RowMonth]],Budgets[BudgetYear],DaybyDay[[#This Row],[RowYear]])</f>
        <v>6298.9938769734827</v>
      </c>
      <c r="L602" s="75">
        <v>6493.6</v>
      </c>
      <c r="M602" s="32">
        <f>INDEX(BudgetSeasonality[365 Seasonality],MATCH(DaybyDay[[#This Row],[Date]],BudgetSeasonality[MonthAdjustment],0))*SUMIFS(Budgets[Retail-Budget],Budgets[BudgetMonth],DaybyDay[[#This Row],[RowMonth]],Budgets[BudgetYear],DaybyDay[[#This Row],[RowYear]])</f>
        <v>1761.33207543089</v>
      </c>
      <c r="N602" s="75">
        <v>831</v>
      </c>
      <c r="O602" s="33">
        <f>SUMIFS(DaybyDay[Service-Budgets],DaybyDay[Date],"&gt;="&amp;$C$5,DaybyDay[RowYear],"&gt;="&amp;$C$4,DaybyDay[Date],"&lt;="&amp;DaybyDay[[#This Row],[Date]])</f>
        <v>0</v>
      </c>
      <c r="P602" s="33">
        <f>SUMIFS(DaybyDay[Retail-Budgets],DaybyDay[Date],"&gt;="&amp;$C$5,DaybyDay[RowYear],"&gt;="&amp;$C$4,DaybyDay[Date],"&lt;="&amp;DaybyDay[[#This Row],[Date]])</f>
        <v>0</v>
      </c>
      <c r="Q602" s="34">
        <f>SUMIFS(DaybyDay[Service-Actuals],DaybyDay[Date],"&gt;="&amp;$C$5,DaybyDay[RowYear],"&gt;="&amp;$C$4,DaybyDay[Date],"&lt;="&amp;DaybyDay[[#This Row],[Date]])</f>
        <v>0</v>
      </c>
      <c r="R602" s="34">
        <f>SUMIFS(DaybyDay[Retail-Actuals],DaybyDay[Date],"&gt;="&amp;$C$5,DaybyDay[RowYear],"&gt;="&amp;$C$4,DaybyDay[Date],"&lt;="&amp;DaybyDay[[#This Row],[Date]])</f>
        <v>0</v>
      </c>
      <c r="S602" s="35">
        <f>SUMIFS(DaybyDay[Service-LY],DaybyDay[Date],"&gt;="&amp;$C$5,DaybyDay[RowYear],"&gt;="&amp;$C$4,DaybyDay[Date],"&lt;="&amp;DaybyDay[[#This Row],[Date]])</f>
        <v>0</v>
      </c>
      <c r="T602" s="35">
        <f>SUMIFS(DaybyDay[Retail-LY],DaybyDay[Date],"&gt;="&amp;$C$5,DaybyDay[RowYear],"&gt;="&amp;$C$4,DaybyDay[Date],"&lt;="&amp;DaybyDay[[#This Row],[Date]])</f>
        <v>0</v>
      </c>
      <c r="U602" s="32">
        <f>DaybyDay[[#This Row],[Serv-Bud-RU]]+DaybyDay[[#This Row],[Ret-Bud-RU]]</f>
        <v>0</v>
      </c>
      <c r="V602" s="32">
        <f>DaybyDay[[#This Row],[Serv-Act-RU]]+DaybyDay[[#This Row],[Ret-Act-RU]]</f>
        <v>0</v>
      </c>
      <c r="W602" s="36">
        <f>IF(DaybyDay[[#This Row],[_Space]],IFERROR(
((DaybyDay[[#This Row],[Actual-Rollup]]-DaybyDay[[#This Row],[Budget-Rollup]])/DaybyDay[[#This Row],[Budget-Rollup]]),0),"")</f>
        <v>0</v>
      </c>
      <c r="X602" t="b">
        <f>NOT(AND(ISBLANK(DaybyDay[[#This Row],[Appts]]),ISBLANK(DaybyDay[[#This Row],[Service-Actuals]]),ISBLANK(DaybyDay[[#This Row],[Retail-Actuals]])))</f>
        <v>1</v>
      </c>
      <c r="Y602" s="36">
        <f>IF(DaybyDay[[#This Row],[_Space]],IFERROR(
((DaybyDay[[#This Row],[Actual-Rollup]]-DaybyDay[[#This Row],[LY-Rollup]])/DaybyDay[[#This Row],[LY-Rollup]]),0),"")</f>
        <v>0</v>
      </c>
      <c r="Z602"/>
      <c r="AA602" s="37" t="e">
        <f>IF(DaybyDay[[#This Row],[_Space]],DaybyDay[[#This Row],[Ret-Act-RU]]/DaybyDay[[#This Row],[Serv-Act-RU]],"")</f>
        <v>#DIV/0!</v>
      </c>
      <c r="AB602" s="50" t="e">
        <f>IF(DaybyDay[[#This Row],[_Space]],DaybyDay[[#This Row],[RETPEN-Act]]/DaybyDay[[#This Row],[RETPEN-Bud]],"")</f>
        <v>#DIV/0!</v>
      </c>
      <c r="AC602" s="37" t="e">
        <f>IF(DaybyDay[[#This Row],[_Space]],DaybyDay[[#This Row],[Ret-Bud-RU]]/DaybyDay[[#This Row],[Serv-Bud-RU]],"")</f>
        <v>#DIV/0!</v>
      </c>
      <c r="AD602" s="37" t="e">
        <f>IF(DaybyDay[[#This Row],[_Space]],DaybyDay[[#This Row],[Ret-LY-RU]]/DaybyDay[[#This Row],[Serv-LY-RU]],"")</f>
        <v>#DIV/0!</v>
      </c>
      <c r="AE602" s="30">
        <f>WEEKDAY(DaybyDay[[#This Row],[LY-Date]])</f>
        <v>1</v>
      </c>
      <c r="AF602" s="38">
        <f>$E$2+_xlfn.DAYS(DaybyDay[[#This Row],[Date]],minDate)</f>
        <v>42967</v>
      </c>
      <c r="AG602" s="39" cm="1">
        <f t="array" ref="AG602">IFERROR(INDEX(DaybyDay[],DaybyDay[[#This Row],[FORM_MATCH_HELPER]],8),"")</f>
        <v>23</v>
      </c>
      <c r="AH602" s="39" cm="1">
        <f t="array" ref="AH602">IFERROR(INDEX(DaybyDay[],DaybyDay[[#This Row],[FORM_MATCH_HELPER]],10),"")</f>
        <v>4611.78</v>
      </c>
      <c r="AI602" s="39" cm="1">
        <f t="array" ref="AI602">IFERROR(INDEX(DaybyDay[],DaybyDay[[#This Row],[FORM_MATCH_HELPER]],12),"")</f>
        <v>2596</v>
      </c>
      <c r="AJ602" s="32">
        <f>IFERROR(DaybyDay[[#This Row],[Serv-LY-RU]]+DaybyDay[[#This Row],[Ret-LY-RU]],"")</f>
        <v>0</v>
      </c>
      <c r="AK6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2" s="77"/>
      <c r="AM602" s="40" t="str">
        <f>IF(DaybyDay[[#This Row],[Admin Hours]]&gt;0,DaybyDay[[#This Row],[Admin Hours]]*$AM$2+$AM$3,"")</f>
        <v/>
      </c>
      <c r="AN602" s="40">
        <f>SUMIFS(DaybyDay[Est-Admin-Payroll],DaybyDay[Date],"&gt;="&amp;$C$5,DaybyDay[RowYear],"&gt;="&amp;$C$4,DaybyDay[Date],"&lt;="&amp;DaybyDay[[#This Row],[Date]])</f>
        <v>0</v>
      </c>
      <c r="AO602" s="41" t="str">
        <f>IF(AND(DaybyDay[[#This Row],[_Space]],ISNUMBER(DaybyDay[[#This Row],[Admin Hours]])),DaybyDay[[#This Row],[Est-Admin-Payroll]]/(DaybyDay[[#This Row],[Service-Actuals]]+DaybyDay[[#This Row],[Retail-Actuals]]),"")</f>
        <v/>
      </c>
      <c r="AP602" s="41" t="e">
        <f>DaybyDay[[#This Row],[Estimated-Payroll-Rollup]]/DaybyDay[[#This Row],[Simple-Forecast]]</f>
        <v>#DIV/0!</v>
      </c>
      <c r="AQ6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2" s="77"/>
      <c r="AS602" s="40" t="str">
        <f>IF(DaybyDay[[#This Row],[Retail Hours]]&gt;0,DaybyDay[[#This Row],[Retail Hours]]*$AS$2,"")</f>
        <v/>
      </c>
      <c r="AT602" s="40">
        <f>SUMIFS(DaybyDay[Est-Retail-Payroll],DaybyDay[Date],"&gt;="&amp;$C$5,DaybyDay[RowYear],"&gt;="&amp;$C$4,DaybyDay[Date],"&lt;="&amp;DaybyDay[[#This Row],[Date]])</f>
        <v>0</v>
      </c>
      <c r="AU602" s="82" t="str">
        <f>IF(AND(DaybyDay[[#This Row],[_Space]],ISNUMBER(DaybyDay[[#This Row],[Retail Hours]])),DaybyDay[[#This Row],[Est-Retail-Payroll]]/(DaybyDay[[#This Row],[Retail-Actuals]]),"")</f>
        <v/>
      </c>
      <c r="AV602" s="82" t="e">
        <f>DaybyDay[[#This Row],[Est-Retail-PayrollRU]]/DaybyDay[[#This Row],[Simple-Forecast-Retail]]</f>
        <v>#DIV/0!</v>
      </c>
      <c r="AW602" s="8"/>
    </row>
    <row r="603" spans="3:49" hidden="1" x14ac:dyDescent="0.25">
      <c r="C603" s="26" t="str">
        <f>Tools!$C$1</f>
        <v>Example</v>
      </c>
      <c r="D603" s="27" t="s">
        <v>75</v>
      </c>
      <c r="E603" s="28">
        <v>2018</v>
      </c>
      <c r="F603" s="28">
        <f>MATCH(DaybyDay[[#This Row],[RowMonth]],Table3[SummaryMonth],0)</f>
        <v>8</v>
      </c>
      <c r="G603" s="29">
        <f>MATCH(DaybyDay[[#This Row],[LY-Date]],DaybyDay[Date],0)</f>
        <v>233</v>
      </c>
      <c r="H603" s="30">
        <f>WEEKDAY(DaybyDay[[#This Row],[Date]])</f>
        <v>2</v>
      </c>
      <c r="I603" s="31">
        <v>43332</v>
      </c>
      <c r="J603" s="74">
        <v>14</v>
      </c>
      <c r="K603" s="32">
        <f>SUMIFS(BudgetSeasonality[365 Seasonality],BudgetSeasonality[MonthAdjustment],DaybyDay[[#This Row],[Date]])*SUMIFS(Budgets[Service-Budget],Budgets[BudgetMonth],DaybyDay[[#This Row],[RowMonth]],Budgets[BudgetYear],DaybyDay[[#This Row],[RowYear]])</f>
        <v>3425.3447490291505</v>
      </c>
      <c r="L603" s="75">
        <v>3001.2</v>
      </c>
      <c r="M603" s="32">
        <f>INDEX(BudgetSeasonality[365 Seasonality],MATCH(DaybyDay[[#This Row],[Date]],BudgetSeasonality[MonthAdjustment],0))*SUMIFS(Budgets[Retail-Budget],Budgets[BudgetMonth],DaybyDay[[#This Row],[RowMonth]],Budgets[BudgetYear],DaybyDay[[#This Row],[RowYear]])</f>
        <v>957.79892689348185</v>
      </c>
      <c r="N603" s="75">
        <v>686</v>
      </c>
      <c r="O603" s="33">
        <f>SUMIFS(DaybyDay[Service-Budgets],DaybyDay[Date],"&gt;="&amp;$C$5,DaybyDay[RowYear],"&gt;="&amp;$C$4,DaybyDay[Date],"&lt;="&amp;DaybyDay[[#This Row],[Date]])</f>
        <v>0</v>
      </c>
      <c r="P603" s="33">
        <f>SUMIFS(DaybyDay[Retail-Budgets],DaybyDay[Date],"&gt;="&amp;$C$5,DaybyDay[RowYear],"&gt;="&amp;$C$4,DaybyDay[Date],"&lt;="&amp;DaybyDay[[#This Row],[Date]])</f>
        <v>0</v>
      </c>
      <c r="Q603" s="34">
        <f>SUMIFS(DaybyDay[Service-Actuals],DaybyDay[Date],"&gt;="&amp;$C$5,DaybyDay[RowYear],"&gt;="&amp;$C$4,DaybyDay[Date],"&lt;="&amp;DaybyDay[[#This Row],[Date]])</f>
        <v>0</v>
      </c>
      <c r="R603" s="34">
        <f>SUMIFS(DaybyDay[Retail-Actuals],DaybyDay[Date],"&gt;="&amp;$C$5,DaybyDay[RowYear],"&gt;="&amp;$C$4,DaybyDay[Date],"&lt;="&amp;DaybyDay[[#This Row],[Date]])</f>
        <v>0</v>
      </c>
      <c r="S603" s="35">
        <f>SUMIFS(DaybyDay[Service-LY],DaybyDay[Date],"&gt;="&amp;$C$5,DaybyDay[RowYear],"&gt;="&amp;$C$4,DaybyDay[Date],"&lt;="&amp;DaybyDay[[#This Row],[Date]])</f>
        <v>0</v>
      </c>
      <c r="T603" s="35">
        <f>SUMIFS(DaybyDay[Retail-LY],DaybyDay[Date],"&gt;="&amp;$C$5,DaybyDay[RowYear],"&gt;="&amp;$C$4,DaybyDay[Date],"&lt;="&amp;DaybyDay[[#This Row],[Date]])</f>
        <v>0</v>
      </c>
      <c r="U603" s="32">
        <f>DaybyDay[[#This Row],[Serv-Bud-RU]]+DaybyDay[[#This Row],[Ret-Bud-RU]]</f>
        <v>0</v>
      </c>
      <c r="V603" s="32">
        <f>DaybyDay[[#This Row],[Serv-Act-RU]]+DaybyDay[[#This Row],[Ret-Act-RU]]</f>
        <v>0</v>
      </c>
      <c r="W603" s="36">
        <f>IF(DaybyDay[[#This Row],[_Space]],IFERROR(
((DaybyDay[[#This Row],[Actual-Rollup]]-DaybyDay[[#This Row],[Budget-Rollup]])/DaybyDay[[#This Row],[Budget-Rollup]]),0),"")</f>
        <v>0</v>
      </c>
      <c r="X603" t="b">
        <f>NOT(AND(ISBLANK(DaybyDay[[#This Row],[Appts]]),ISBLANK(DaybyDay[[#This Row],[Service-Actuals]]),ISBLANK(DaybyDay[[#This Row],[Retail-Actuals]])))</f>
        <v>1</v>
      </c>
      <c r="Y603" s="36">
        <f>IF(DaybyDay[[#This Row],[_Space]],IFERROR(
((DaybyDay[[#This Row],[Actual-Rollup]]-DaybyDay[[#This Row],[LY-Rollup]])/DaybyDay[[#This Row],[LY-Rollup]]),0),"")</f>
        <v>0</v>
      </c>
      <c r="Z603"/>
      <c r="AA603" s="37" t="e">
        <f>IF(DaybyDay[[#This Row],[_Space]],DaybyDay[[#This Row],[Ret-Act-RU]]/DaybyDay[[#This Row],[Serv-Act-RU]],"")</f>
        <v>#DIV/0!</v>
      </c>
      <c r="AB603" s="50" t="e">
        <f>IF(DaybyDay[[#This Row],[_Space]],DaybyDay[[#This Row],[RETPEN-Act]]/DaybyDay[[#This Row],[RETPEN-Bud]],"")</f>
        <v>#DIV/0!</v>
      </c>
      <c r="AC603" s="37" t="e">
        <f>IF(DaybyDay[[#This Row],[_Space]],DaybyDay[[#This Row],[Ret-Bud-RU]]/DaybyDay[[#This Row],[Serv-Bud-RU]],"")</f>
        <v>#DIV/0!</v>
      </c>
      <c r="AD603" s="37" t="e">
        <f>IF(DaybyDay[[#This Row],[_Space]],DaybyDay[[#This Row],[Ret-LY-RU]]/DaybyDay[[#This Row],[Serv-LY-RU]],"")</f>
        <v>#DIV/0!</v>
      </c>
      <c r="AE603" s="30">
        <f>WEEKDAY(DaybyDay[[#This Row],[LY-Date]])</f>
        <v>2</v>
      </c>
      <c r="AF603" s="38">
        <f>$E$2+_xlfn.DAYS(DaybyDay[[#This Row],[Date]],minDate)</f>
        <v>42968</v>
      </c>
      <c r="AG603" s="39" cm="1">
        <f t="array" ref="AG603">IFERROR(INDEX(DaybyDay[],DaybyDay[[#This Row],[FORM_MATCH_HELPER]],8),"")</f>
        <v>9</v>
      </c>
      <c r="AH603" s="39" cm="1">
        <f t="array" ref="AH603">IFERROR(INDEX(DaybyDay[],DaybyDay[[#This Row],[FORM_MATCH_HELPER]],10),"")</f>
        <v>1604.4</v>
      </c>
      <c r="AI603" s="39" cm="1">
        <f t="array" ref="AI603">IFERROR(INDEX(DaybyDay[],DaybyDay[[#This Row],[FORM_MATCH_HELPER]],12),"")</f>
        <v>133</v>
      </c>
      <c r="AJ603" s="32">
        <f>IFERROR(DaybyDay[[#This Row],[Serv-LY-RU]]+DaybyDay[[#This Row],[Ret-LY-RU]],"")</f>
        <v>0</v>
      </c>
      <c r="AK6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3" s="77"/>
      <c r="AM603" s="40" t="str">
        <f>IF(DaybyDay[[#This Row],[Admin Hours]]&gt;0,DaybyDay[[#This Row],[Admin Hours]]*$AM$2+$AM$3,"")</f>
        <v/>
      </c>
      <c r="AN603" s="40">
        <f>SUMIFS(DaybyDay[Est-Admin-Payroll],DaybyDay[Date],"&gt;="&amp;$C$5,DaybyDay[RowYear],"&gt;="&amp;$C$4,DaybyDay[Date],"&lt;="&amp;DaybyDay[[#This Row],[Date]])</f>
        <v>0</v>
      </c>
      <c r="AO603" s="41" t="str">
        <f>IF(AND(DaybyDay[[#This Row],[_Space]],ISNUMBER(DaybyDay[[#This Row],[Admin Hours]])),DaybyDay[[#This Row],[Est-Admin-Payroll]]/(DaybyDay[[#This Row],[Service-Actuals]]+DaybyDay[[#This Row],[Retail-Actuals]]),"")</f>
        <v/>
      </c>
      <c r="AP603" s="41" t="e">
        <f>DaybyDay[[#This Row],[Estimated-Payroll-Rollup]]/DaybyDay[[#This Row],[Simple-Forecast]]</f>
        <v>#DIV/0!</v>
      </c>
      <c r="AQ6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3" s="77"/>
      <c r="AS603" s="40" t="str">
        <f>IF(DaybyDay[[#This Row],[Retail Hours]]&gt;0,DaybyDay[[#This Row],[Retail Hours]]*$AS$2,"")</f>
        <v/>
      </c>
      <c r="AT603" s="40">
        <f>SUMIFS(DaybyDay[Est-Retail-Payroll],DaybyDay[Date],"&gt;="&amp;$C$5,DaybyDay[RowYear],"&gt;="&amp;$C$4,DaybyDay[Date],"&lt;="&amp;DaybyDay[[#This Row],[Date]])</f>
        <v>0</v>
      </c>
      <c r="AU603" s="82" t="str">
        <f>IF(AND(DaybyDay[[#This Row],[_Space]],ISNUMBER(DaybyDay[[#This Row],[Retail Hours]])),DaybyDay[[#This Row],[Est-Retail-Payroll]]/(DaybyDay[[#This Row],[Retail-Actuals]]),"")</f>
        <v/>
      </c>
      <c r="AV603" s="82" t="e">
        <f>DaybyDay[[#This Row],[Est-Retail-PayrollRU]]/DaybyDay[[#This Row],[Simple-Forecast-Retail]]</f>
        <v>#DIV/0!</v>
      </c>
      <c r="AW603" s="8"/>
    </row>
    <row r="604" spans="3:49" hidden="1" x14ac:dyDescent="0.25">
      <c r="C604" s="26" t="str">
        <f>Tools!$C$1</f>
        <v>Example</v>
      </c>
      <c r="D604" s="27" t="s">
        <v>75</v>
      </c>
      <c r="E604" s="28">
        <v>2018</v>
      </c>
      <c r="F604" s="28">
        <f>MATCH(DaybyDay[[#This Row],[RowMonth]],Table3[SummaryMonth],0)</f>
        <v>8</v>
      </c>
      <c r="G604" s="29">
        <f>MATCH(DaybyDay[[#This Row],[LY-Date]],DaybyDay[Date],0)</f>
        <v>234</v>
      </c>
      <c r="H604" s="30">
        <f>WEEKDAY(DaybyDay[[#This Row],[Date]])</f>
        <v>3</v>
      </c>
      <c r="I604" s="31">
        <v>43333</v>
      </c>
      <c r="J604" s="74">
        <v>17</v>
      </c>
      <c r="K604" s="32">
        <f>SUMIFS(BudgetSeasonality[365 Seasonality],BudgetSeasonality[MonthAdjustment],DaybyDay[[#This Row],[Date]])*SUMIFS(Budgets[Service-Budget],Budgets[BudgetMonth],DaybyDay[[#This Row],[RowMonth]],Budgets[BudgetYear],DaybyDay[[#This Row],[RowYear]])</f>
        <v>3600.8098703856017</v>
      </c>
      <c r="L604" s="75">
        <v>3362.4</v>
      </c>
      <c r="M604" s="32">
        <f>INDEX(BudgetSeasonality[365 Seasonality],MATCH(DaybyDay[[#This Row],[Date]],BudgetSeasonality[MonthAdjustment],0))*SUMIFS(Budgets[Retail-Budget],Budgets[BudgetMonth],DaybyDay[[#This Row],[RowMonth]],Budgets[BudgetYear],DaybyDay[[#This Row],[RowYear]])</f>
        <v>1006.8626904723383</v>
      </c>
      <c r="N604" s="75">
        <v>2197.54</v>
      </c>
      <c r="O604" s="33">
        <f>SUMIFS(DaybyDay[Service-Budgets],DaybyDay[Date],"&gt;="&amp;$C$5,DaybyDay[RowYear],"&gt;="&amp;$C$4,DaybyDay[Date],"&lt;="&amp;DaybyDay[[#This Row],[Date]])</f>
        <v>0</v>
      </c>
      <c r="P604" s="33">
        <f>SUMIFS(DaybyDay[Retail-Budgets],DaybyDay[Date],"&gt;="&amp;$C$5,DaybyDay[RowYear],"&gt;="&amp;$C$4,DaybyDay[Date],"&lt;="&amp;DaybyDay[[#This Row],[Date]])</f>
        <v>0</v>
      </c>
      <c r="Q604" s="34">
        <f>SUMIFS(DaybyDay[Service-Actuals],DaybyDay[Date],"&gt;="&amp;$C$5,DaybyDay[RowYear],"&gt;="&amp;$C$4,DaybyDay[Date],"&lt;="&amp;DaybyDay[[#This Row],[Date]])</f>
        <v>0</v>
      </c>
      <c r="R604" s="34">
        <f>SUMIFS(DaybyDay[Retail-Actuals],DaybyDay[Date],"&gt;="&amp;$C$5,DaybyDay[RowYear],"&gt;="&amp;$C$4,DaybyDay[Date],"&lt;="&amp;DaybyDay[[#This Row],[Date]])</f>
        <v>0</v>
      </c>
      <c r="S604" s="35">
        <f>SUMIFS(DaybyDay[Service-LY],DaybyDay[Date],"&gt;="&amp;$C$5,DaybyDay[RowYear],"&gt;="&amp;$C$4,DaybyDay[Date],"&lt;="&amp;DaybyDay[[#This Row],[Date]])</f>
        <v>0</v>
      </c>
      <c r="T604" s="35">
        <f>SUMIFS(DaybyDay[Retail-LY],DaybyDay[Date],"&gt;="&amp;$C$5,DaybyDay[RowYear],"&gt;="&amp;$C$4,DaybyDay[Date],"&lt;="&amp;DaybyDay[[#This Row],[Date]])</f>
        <v>0</v>
      </c>
      <c r="U604" s="32">
        <f>DaybyDay[[#This Row],[Serv-Bud-RU]]+DaybyDay[[#This Row],[Ret-Bud-RU]]</f>
        <v>0</v>
      </c>
      <c r="V604" s="32">
        <f>DaybyDay[[#This Row],[Serv-Act-RU]]+DaybyDay[[#This Row],[Ret-Act-RU]]</f>
        <v>0</v>
      </c>
      <c r="W604" s="36">
        <f>IF(DaybyDay[[#This Row],[_Space]],IFERROR(
((DaybyDay[[#This Row],[Actual-Rollup]]-DaybyDay[[#This Row],[Budget-Rollup]])/DaybyDay[[#This Row],[Budget-Rollup]]),0),"")</f>
        <v>0</v>
      </c>
      <c r="X604" t="b">
        <f>NOT(AND(ISBLANK(DaybyDay[[#This Row],[Appts]]),ISBLANK(DaybyDay[[#This Row],[Service-Actuals]]),ISBLANK(DaybyDay[[#This Row],[Retail-Actuals]])))</f>
        <v>1</v>
      </c>
      <c r="Y604" s="36">
        <f>IF(DaybyDay[[#This Row],[_Space]],IFERROR(
((DaybyDay[[#This Row],[Actual-Rollup]]-DaybyDay[[#This Row],[LY-Rollup]])/DaybyDay[[#This Row],[LY-Rollup]]),0),"")</f>
        <v>0</v>
      </c>
      <c r="Z604"/>
      <c r="AA604" s="37" t="e">
        <f>IF(DaybyDay[[#This Row],[_Space]],DaybyDay[[#This Row],[Ret-Act-RU]]/DaybyDay[[#This Row],[Serv-Act-RU]],"")</f>
        <v>#DIV/0!</v>
      </c>
      <c r="AB604" s="50" t="e">
        <f>IF(DaybyDay[[#This Row],[_Space]],DaybyDay[[#This Row],[RETPEN-Act]]/DaybyDay[[#This Row],[RETPEN-Bud]],"")</f>
        <v>#DIV/0!</v>
      </c>
      <c r="AC604" s="37" t="e">
        <f>IF(DaybyDay[[#This Row],[_Space]],DaybyDay[[#This Row],[Ret-Bud-RU]]/DaybyDay[[#This Row],[Serv-Bud-RU]],"")</f>
        <v>#DIV/0!</v>
      </c>
      <c r="AD604" s="37" t="e">
        <f>IF(DaybyDay[[#This Row],[_Space]],DaybyDay[[#This Row],[Ret-LY-RU]]/DaybyDay[[#This Row],[Serv-LY-RU]],"")</f>
        <v>#DIV/0!</v>
      </c>
      <c r="AE604" s="30">
        <f>WEEKDAY(DaybyDay[[#This Row],[LY-Date]])</f>
        <v>3</v>
      </c>
      <c r="AF604" s="38">
        <f>$E$2+_xlfn.DAYS(DaybyDay[[#This Row],[Date]],minDate)</f>
        <v>42969</v>
      </c>
      <c r="AG604" s="39" cm="1">
        <f t="array" ref="AG604">IFERROR(INDEX(DaybyDay[],DaybyDay[[#This Row],[FORM_MATCH_HELPER]],8),"")</f>
        <v>16</v>
      </c>
      <c r="AH604" s="39" cm="1">
        <f t="array" ref="AH604">IFERROR(INDEX(DaybyDay[],DaybyDay[[#This Row],[FORM_MATCH_HELPER]],10),"")</f>
        <v>3288.3</v>
      </c>
      <c r="AI604" s="39" cm="1">
        <f t="array" ref="AI604">IFERROR(INDEX(DaybyDay[],DaybyDay[[#This Row],[FORM_MATCH_HELPER]],12),"")</f>
        <v>1634</v>
      </c>
      <c r="AJ604" s="32">
        <f>IFERROR(DaybyDay[[#This Row],[Serv-LY-RU]]+DaybyDay[[#This Row],[Ret-LY-RU]],"")</f>
        <v>0</v>
      </c>
      <c r="AK6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4" s="77"/>
      <c r="AM604" s="40" t="str">
        <f>IF(DaybyDay[[#This Row],[Admin Hours]]&gt;0,DaybyDay[[#This Row],[Admin Hours]]*$AM$2+$AM$3,"")</f>
        <v/>
      </c>
      <c r="AN604" s="40">
        <f>SUMIFS(DaybyDay[Est-Admin-Payroll],DaybyDay[Date],"&gt;="&amp;$C$5,DaybyDay[RowYear],"&gt;="&amp;$C$4,DaybyDay[Date],"&lt;="&amp;DaybyDay[[#This Row],[Date]])</f>
        <v>0</v>
      </c>
      <c r="AO604" s="41" t="str">
        <f>IF(AND(DaybyDay[[#This Row],[_Space]],ISNUMBER(DaybyDay[[#This Row],[Admin Hours]])),DaybyDay[[#This Row],[Est-Admin-Payroll]]/(DaybyDay[[#This Row],[Service-Actuals]]+DaybyDay[[#This Row],[Retail-Actuals]]),"")</f>
        <v/>
      </c>
      <c r="AP604" s="41" t="e">
        <f>DaybyDay[[#This Row],[Estimated-Payroll-Rollup]]/DaybyDay[[#This Row],[Simple-Forecast]]</f>
        <v>#DIV/0!</v>
      </c>
      <c r="AQ6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4" s="77"/>
      <c r="AS604" s="40" t="str">
        <f>IF(DaybyDay[[#This Row],[Retail Hours]]&gt;0,DaybyDay[[#This Row],[Retail Hours]]*$AS$2,"")</f>
        <v/>
      </c>
      <c r="AT604" s="40">
        <f>SUMIFS(DaybyDay[Est-Retail-Payroll],DaybyDay[Date],"&gt;="&amp;$C$5,DaybyDay[RowYear],"&gt;="&amp;$C$4,DaybyDay[Date],"&lt;="&amp;DaybyDay[[#This Row],[Date]])</f>
        <v>0</v>
      </c>
      <c r="AU604" s="82" t="str">
        <f>IF(AND(DaybyDay[[#This Row],[_Space]],ISNUMBER(DaybyDay[[#This Row],[Retail Hours]])),DaybyDay[[#This Row],[Est-Retail-Payroll]]/(DaybyDay[[#This Row],[Retail-Actuals]]),"")</f>
        <v/>
      </c>
      <c r="AV604" s="82" t="e">
        <f>DaybyDay[[#This Row],[Est-Retail-PayrollRU]]/DaybyDay[[#This Row],[Simple-Forecast-Retail]]</f>
        <v>#DIV/0!</v>
      </c>
      <c r="AW604" s="8"/>
    </row>
    <row r="605" spans="3:49" hidden="1" x14ac:dyDescent="0.25">
      <c r="C605" s="26" t="str">
        <f>Tools!$C$1</f>
        <v>Example</v>
      </c>
      <c r="D605" s="27" t="s">
        <v>75</v>
      </c>
      <c r="E605" s="28">
        <v>2018</v>
      </c>
      <c r="F605" s="28">
        <f>MATCH(DaybyDay[[#This Row],[RowMonth]],Table3[SummaryMonth],0)</f>
        <v>8</v>
      </c>
      <c r="G605" s="29">
        <f>MATCH(DaybyDay[[#This Row],[LY-Date]],DaybyDay[Date],0)</f>
        <v>235</v>
      </c>
      <c r="H605" s="30">
        <f>WEEKDAY(DaybyDay[[#This Row],[Date]])</f>
        <v>4</v>
      </c>
      <c r="I605" s="31">
        <v>43334</v>
      </c>
      <c r="J605" s="74">
        <v>25</v>
      </c>
      <c r="K605" s="32">
        <f>SUMIFS(BudgetSeasonality[365 Seasonality],BudgetSeasonality[MonthAdjustment],DaybyDay[[#This Row],[Date]])*SUMIFS(Budgets[Service-Budget],Budgets[BudgetMonth],DaybyDay[[#This Row],[RowMonth]],Budgets[BudgetYear],DaybyDay[[#This Row],[RowYear]])</f>
        <v>4313.1671431131635</v>
      </c>
      <c r="L605" s="75">
        <v>5202.05</v>
      </c>
      <c r="M605" s="32">
        <f>INDEX(BudgetSeasonality[365 Seasonality],MATCH(DaybyDay[[#This Row],[Date]],BudgetSeasonality[MonthAdjustment],0))*SUMIFS(Budgets[Retail-Budget],Budgets[BudgetMonth],DaybyDay[[#This Row],[RowMonth]],Budgets[BudgetYear],DaybyDay[[#This Row],[RowYear]])</f>
        <v>1206.0528687971944</v>
      </c>
      <c r="N605" s="75">
        <v>1163</v>
      </c>
      <c r="O605" s="33">
        <f>SUMIFS(DaybyDay[Service-Budgets],DaybyDay[Date],"&gt;="&amp;$C$5,DaybyDay[RowYear],"&gt;="&amp;$C$4,DaybyDay[Date],"&lt;="&amp;DaybyDay[[#This Row],[Date]])</f>
        <v>0</v>
      </c>
      <c r="P605" s="33">
        <f>SUMIFS(DaybyDay[Retail-Budgets],DaybyDay[Date],"&gt;="&amp;$C$5,DaybyDay[RowYear],"&gt;="&amp;$C$4,DaybyDay[Date],"&lt;="&amp;DaybyDay[[#This Row],[Date]])</f>
        <v>0</v>
      </c>
      <c r="Q605" s="34">
        <f>SUMIFS(DaybyDay[Service-Actuals],DaybyDay[Date],"&gt;="&amp;$C$5,DaybyDay[RowYear],"&gt;="&amp;$C$4,DaybyDay[Date],"&lt;="&amp;DaybyDay[[#This Row],[Date]])</f>
        <v>0</v>
      </c>
      <c r="R605" s="34">
        <f>SUMIFS(DaybyDay[Retail-Actuals],DaybyDay[Date],"&gt;="&amp;$C$5,DaybyDay[RowYear],"&gt;="&amp;$C$4,DaybyDay[Date],"&lt;="&amp;DaybyDay[[#This Row],[Date]])</f>
        <v>0</v>
      </c>
      <c r="S605" s="35">
        <f>SUMIFS(DaybyDay[Service-LY],DaybyDay[Date],"&gt;="&amp;$C$5,DaybyDay[RowYear],"&gt;="&amp;$C$4,DaybyDay[Date],"&lt;="&amp;DaybyDay[[#This Row],[Date]])</f>
        <v>0</v>
      </c>
      <c r="T605" s="35">
        <f>SUMIFS(DaybyDay[Retail-LY],DaybyDay[Date],"&gt;="&amp;$C$5,DaybyDay[RowYear],"&gt;="&amp;$C$4,DaybyDay[Date],"&lt;="&amp;DaybyDay[[#This Row],[Date]])</f>
        <v>0</v>
      </c>
      <c r="U605" s="32">
        <f>DaybyDay[[#This Row],[Serv-Bud-RU]]+DaybyDay[[#This Row],[Ret-Bud-RU]]</f>
        <v>0</v>
      </c>
      <c r="V605" s="32">
        <f>DaybyDay[[#This Row],[Serv-Act-RU]]+DaybyDay[[#This Row],[Ret-Act-RU]]</f>
        <v>0</v>
      </c>
      <c r="W605" s="36">
        <f>IF(DaybyDay[[#This Row],[_Space]],IFERROR(
((DaybyDay[[#This Row],[Actual-Rollup]]-DaybyDay[[#This Row],[Budget-Rollup]])/DaybyDay[[#This Row],[Budget-Rollup]]),0),"")</f>
        <v>0</v>
      </c>
      <c r="X605" t="b">
        <f>NOT(AND(ISBLANK(DaybyDay[[#This Row],[Appts]]),ISBLANK(DaybyDay[[#This Row],[Service-Actuals]]),ISBLANK(DaybyDay[[#This Row],[Retail-Actuals]])))</f>
        <v>1</v>
      </c>
      <c r="Y605" s="36">
        <f>IF(DaybyDay[[#This Row],[_Space]],IFERROR(
((DaybyDay[[#This Row],[Actual-Rollup]]-DaybyDay[[#This Row],[LY-Rollup]])/DaybyDay[[#This Row],[LY-Rollup]]),0),"")</f>
        <v>0</v>
      </c>
      <c r="Z605"/>
      <c r="AA605" s="37" t="e">
        <f>IF(DaybyDay[[#This Row],[_Space]],DaybyDay[[#This Row],[Ret-Act-RU]]/DaybyDay[[#This Row],[Serv-Act-RU]],"")</f>
        <v>#DIV/0!</v>
      </c>
      <c r="AB605" s="50" t="e">
        <f>IF(DaybyDay[[#This Row],[_Space]],DaybyDay[[#This Row],[RETPEN-Act]]/DaybyDay[[#This Row],[RETPEN-Bud]],"")</f>
        <v>#DIV/0!</v>
      </c>
      <c r="AC605" s="37" t="e">
        <f>IF(DaybyDay[[#This Row],[_Space]],DaybyDay[[#This Row],[Ret-Bud-RU]]/DaybyDay[[#This Row],[Serv-Bud-RU]],"")</f>
        <v>#DIV/0!</v>
      </c>
      <c r="AD605" s="37" t="e">
        <f>IF(DaybyDay[[#This Row],[_Space]],DaybyDay[[#This Row],[Ret-LY-RU]]/DaybyDay[[#This Row],[Serv-LY-RU]],"")</f>
        <v>#DIV/0!</v>
      </c>
      <c r="AE605" s="30">
        <f>WEEKDAY(DaybyDay[[#This Row],[LY-Date]])</f>
        <v>4</v>
      </c>
      <c r="AF605" s="38">
        <f>$E$2+_xlfn.DAYS(DaybyDay[[#This Row],[Date]],minDate)</f>
        <v>42970</v>
      </c>
      <c r="AG605" s="39" cm="1">
        <f t="array" ref="AG605">IFERROR(INDEX(DaybyDay[],DaybyDay[[#This Row],[FORM_MATCH_HELPER]],8),"")</f>
        <v>22</v>
      </c>
      <c r="AH605" s="39" cm="1">
        <f t="array" ref="AH605">IFERROR(INDEX(DaybyDay[],DaybyDay[[#This Row],[FORM_MATCH_HELPER]],10),"")</f>
        <v>4650.3900000000003</v>
      </c>
      <c r="AI605" s="39" cm="1">
        <f t="array" ref="AI605">IFERROR(INDEX(DaybyDay[],DaybyDay[[#This Row],[FORM_MATCH_HELPER]],12),"")</f>
        <v>2738.83</v>
      </c>
      <c r="AJ605" s="32">
        <f>IFERROR(DaybyDay[[#This Row],[Serv-LY-RU]]+DaybyDay[[#This Row],[Ret-LY-RU]],"")</f>
        <v>0</v>
      </c>
      <c r="AK6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5" s="77"/>
      <c r="AM605" s="40" t="str">
        <f>IF(DaybyDay[[#This Row],[Admin Hours]]&gt;0,DaybyDay[[#This Row],[Admin Hours]]*$AM$2+$AM$3,"")</f>
        <v/>
      </c>
      <c r="AN605" s="40">
        <f>SUMIFS(DaybyDay[Est-Admin-Payroll],DaybyDay[Date],"&gt;="&amp;$C$5,DaybyDay[RowYear],"&gt;="&amp;$C$4,DaybyDay[Date],"&lt;="&amp;DaybyDay[[#This Row],[Date]])</f>
        <v>0</v>
      </c>
      <c r="AO605" s="41" t="str">
        <f>IF(AND(DaybyDay[[#This Row],[_Space]],ISNUMBER(DaybyDay[[#This Row],[Admin Hours]])),DaybyDay[[#This Row],[Est-Admin-Payroll]]/(DaybyDay[[#This Row],[Service-Actuals]]+DaybyDay[[#This Row],[Retail-Actuals]]),"")</f>
        <v/>
      </c>
      <c r="AP605" s="41" t="e">
        <f>DaybyDay[[#This Row],[Estimated-Payroll-Rollup]]/DaybyDay[[#This Row],[Simple-Forecast]]</f>
        <v>#DIV/0!</v>
      </c>
      <c r="AQ6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5" s="77"/>
      <c r="AS605" s="40" t="str">
        <f>IF(DaybyDay[[#This Row],[Retail Hours]]&gt;0,DaybyDay[[#This Row],[Retail Hours]]*$AS$2,"")</f>
        <v/>
      </c>
      <c r="AT605" s="40">
        <f>SUMIFS(DaybyDay[Est-Retail-Payroll],DaybyDay[Date],"&gt;="&amp;$C$5,DaybyDay[RowYear],"&gt;="&amp;$C$4,DaybyDay[Date],"&lt;="&amp;DaybyDay[[#This Row],[Date]])</f>
        <v>0</v>
      </c>
      <c r="AU605" s="82" t="str">
        <f>IF(AND(DaybyDay[[#This Row],[_Space]],ISNUMBER(DaybyDay[[#This Row],[Retail Hours]])),DaybyDay[[#This Row],[Est-Retail-Payroll]]/(DaybyDay[[#This Row],[Retail-Actuals]]),"")</f>
        <v/>
      </c>
      <c r="AV605" s="82" t="e">
        <f>DaybyDay[[#This Row],[Est-Retail-PayrollRU]]/DaybyDay[[#This Row],[Simple-Forecast-Retail]]</f>
        <v>#DIV/0!</v>
      </c>
      <c r="AW605" s="8"/>
    </row>
    <row r="606" spans="3:49" hidden="1" x14ac:dyDescent="0.25">
      <c r="C606" s="26" t="str">
        <f>Tools!$C$1</f>
        <v>Example</v>
      </c>
      <c r="D606" s="27" t="s">
        <v>75</v>
      </c>
      <c r="E606" s="28">
        <v>2018</v>
      </c>
      <c r="F606" s="28">
        <f>MATCH(DaybyDay[[#This Row],[RowMonth]],Table3[SummaryMonth],0)</f>
        <v>8</v>
      </c>
      <c r="G606" s="29">
        <f>MATCH(DaybyDay[[#This Row],[LY-Date]],DaybyDay[Date],0)</f>
        <v>236</v>
      </c>
      <c r="H606" s="30">
        <f>WEEKDAY(DaybyDay[[#This Row],[Date]])</f>
        <v>5</v>
      </c>
      <c r="I606" s="31">
        <v>43335</v>
      </c>
      <c r="J606" s="74">
        <v>17</v>
      </c>
      <c r="K606" s="32">
        <f>SUMIFS(BudgetSeasonality[365 Seasonality],BudgetSeasonality[MonthAdjustment],DaybyDay[[#This Row],[Date]])*SUMIFS(Budgets[Service-Budget],Budgets[BudgetMonth],DaybyDay[[#This Row],[RowMonth]],Budgets[BudgetYear],DaybyDay[[#This Row],[RowYear]])</f>
        <v>4485.5124162895881</v>
      </c>
      <c r="L606" s="75">
        <v>3422.7</v>
      </c>
      <c r="M606" s="32">
        <f>INDEX(BudgetSeasonality[365 Seasonality],MATCH(DaybyDay[[#This Row],[Date]],BudgetSeasonality[MonthAdjustment],0))*SUMIFS(Budgets[Retail-Budget],Budgets[BudgetMonth],DaybyDay[[#This Row],[RowMonth]],Budgets[BudgetYear],DaybyDay[[#This Row],[RowYear]])</f>
        <v>1254.2442567590429</v>
      </c>
      <c r="N606" s="75">
        <v>709.99</v>
      </c>
      <c r="O606" s="33">
        <f>SUMIFS(DaybyDay[Service-Budgets],DaybyDay[Date],"&gt;="&amp;$C$5,DaybyDay[RowYear],"&gt;="&amp;$C$4,DaybyDay[Date],"&lt;="&amp;DaybyDay[[#This Row],[Date]])</f>
        <v>0</v>
      </c>
      <c r="P606" s="33">
        <f>SUMIFS(DaybyDay[Retail-Budgets],DaybyDay[Date],"&gt;="&amp;$C$5,DaybyDay[RowYear],"&gt;="&amp;$C$4,DaybyDay[Date],"&lt;="&amp;DaybyDay[[#This Row],[Date]])</f>
        <v>0</v>
      </c>
      <c r="Q606" s="34">
        <f>SUMIFS(DaybyDay[Service-Actuals],DaybyDay[Date],"&gt;="&amp;$C$5,DaybyDay[RowYear],"&gt;="&amp;$C$4,DaybyDay[Date],"&lt;="&amp;DaybyDay[[#This Row],[Date]])</f>
        <v>0</v>
      </c>
      <c r="R606" s="34">
        <f>SUMIFS(DaybyDay[Retail-Actuals],DaybyDay[Date],"&gt;="&amp;$C$5,DaybyDay[RowYear],"&gt;="&amp;$C$4,DaybyDay[Date],"&lt;="&amp;DaybyDay[[#This Row],[Date]])</f>
        <v>0</v>
      </c>
      <c r="S606" s="35">
        <f>SUMIFS(DaybyDay[Service-LY],DaybyDay[Date],"&gt;="&amp;$C$5,DaybyDay[RowYear],"&gt;="&amp;$C$4,DaybyDay[Date],"&lt;="&amp;DaybyDay[[#This Row],[Date]])</f>
        <v>0</v>
      </c>
      <c r="T606" s="35">
        <f>SUMIFS(DaybyDay[Retail-LY],DaybyDay[Date],"&gt;="&amp;$C$5,DaybyDay[RowYear],"&gt;="&amp;$C$4,DaybyDay[Date],"&lt;="&amp;DaybyDay[[#This Row],[Date]])</f>
        <v>0</v>
      </c>
      <c r="U606" s="32">
        <f>DaybyDay[[#This Row],[Serv-Bud-RU]]+DaybyDay[[#This Row],[Ret-Bud-RU]]</f>
        <v>0</v>
      </c>
      <c r="V606" s="32">
        <f>DaybyDay[[#This Row],[Serv-Act-RU]]+DaybyDay[[#This Row],[Ret-Act-RU]]</f>
        <v>0</v>
      </c>
      <c r="W606" s="36">
        <f>IF(DaybyDay[[#This Row],[_Space]],IFERROR(
((DaybyDay[[#This Row],[Actual-Rollup]]-DaybyDay[[#This Row],[Budget-Rollup]])/DaybyDay[[#This Row],[Budget-Rollup]]),0),"")</f>
        <v>0</v>
      </c>
      <c r="X606" t="b">
        <f>NOT(AND(ISBLANK(DaybyDay[[#This Row],[Appts]]),ISBLANK(DaybyDay[[#This Row],[Service-Actuals]]),ISBLANK(DaybyDay[[#This Row],[Retail-Actuals]])))</f>
        <v>1</v>
      </c>
      <c r="Y606" s="36">
        <f>IF(DaybyDay[[#This Row],[_Space]],IFERROR(
((DaybyDay[[#This Row],[Actual-Rollup]]-DaybyDay[[#This Row],[LY-Rollup]])/DaybyDay[[#This Row],[LY-Rollup]]),0),"")</f>
        <v>0</v>
      </c>
      <c r="Z606"/>
      <c r="AA606" s="37" t="e">
        <f>IF(DaybyDay[[#This Row],[_Space]],DaybyDay[[#This Row],[Ret-Act-RU]]/DaybyDay[[#This Row],[Serv-Act-RU]],"")</f>
        <v>#DIV/0!</v>
      </c>
      <c r="AB606" s="50" t="e">
        <f>IF(DaybyDay[[#This Row],[_Space]],DaybyDay[[#This Row],[RETPEN-Act]]/DaybyDay[[#This Row],[RETPEN-Bud]],"")</f>
        <v>#DIV/0!</v>
      </c>
      <c r="AC606" s="37" t="e">
        <f>IF(DaybyDay[[#This Row],[_Space]],DaybyDay[[#This Row],[Ret-Bud-RU]]/DaybyDay[[#This Row],[Serv-Bud-RU]],"")</f>
        <v>#DIV/0!</v>
      </c>
      <c r="AD606" s="37" t="e">
        <f>IF(DaybyDay[[#This Row],[_Space]],DaybyDay[[#This Row],[Ret-LY-RU]]/DaybyDay[[#This Row],[Serv-LY-RU]],"")</f>
        <v>#DIV/0!</v>
      </c>
      <c r="AE606" s="30">
        <f>WEEKDAY(DaybyDay[[#This Row],[LY-Date]])</f>
        <v>5</v>
      </c>
      <c r="AF606" s="38">
        <f>$E$2+_xlfn.DAYS(DaybyDay[[#This Row],[Date]],minDate)</f>
        <v>42971</v>
      </c>
      <c r="AG606" s="39" cm="1">
        <f t="array" ref="AG606">IFERROR(INDEX(DaybyDay[],DaybyDay[[#This Row],[FORM_MATCH_HELPER]],8),"")</f>
        <v>25</v>
      </c>
      <c r="AH606" s="39" cm="1">
        <f t="array" ref="AH606">IFERROR(INDEX(DaybyDay[],DaybyDay[[#This Row],[FORM_MATCH_HELPER]],10),"")</f>
        <v>5046.3</v>
      </c>
      <c r="AI606" s="39" cm="1">
        <f t="array" ref="AI606">IFERROR(INDEX(DaybyDay[],DaybyDay[[#This Row],[FORM_MATCH_HELPER]],12),"")</f>
        <v>1529.05</v>
      </c>
      <c r="AJ606" s="32">
        <f>IFERROR(DaybyDay[[#This Row],[Serv-LY-RU]]+DaybyDay[[#This Row],[Ret-LY-RU]],"")</f>
        <v>0</v>
      </c>
      <c r="AK6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6" s="77"/>
      <c r="AM606" s="40" t="str">
        <f>IF(DaybyDay[[#This Row],[Admin Hours]]&gt;0,DaybyDay[[#This Row],[Admin Hours]]*$AM$2+$AM$3,"")</f>
        <v/>
      </c>
      <c r="AN606" s="40">
        <f>SUMIFS(DaybyDay[Est-Admin-Payroll],DaybyDay[Date],"&gt;="&amp;$C$5,DaybyDay[RowYear],"&gt;="&amp;$C$4,DaybyDay[Date],"&lt;="&amp;DaybyDay[[#This Row],[Date]])</f>
        <v>0</v>
      </c>
      <c r="AO606" s="41" t="str">
        <f>IF(AND(DaybyDay[[#This Row],[_Space]],ISNUMBER(DaybyDay[[#This Row],[Admin Hours]])),DaybyDay[[#This Row],[Est-Admin-Payroll]]/(DaybyDay[[#This Row],[Service-Actuals]]+DaybyDay[[#This Row],[Retail-Actuals]]),"")</f>
        <v/>
      </c>
      <c r="AP606" s="41" t="e">
        <f>DaybyDay[[#This Row],[Estimated-Payroll-Rollup]]/DaybyDay[[#This Row],[Simple-Forecast]]</f>
        <v>#DIV/0!</v>
      </c>
      <c r="AQ6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6" s="77"/>
      <c r="AS606" s="40" t="str">
        <f>IF(DaybyDay[[#This Row],[Retail Hours]]&gt;0,DaybyDay[[#This Row],[Retail Hours]]*$AS$2,"")</f>
        <v/>
      </c>
      <c r="AT606" s="40">
        <f>SUMIFS(DaybyDay[Est-Retail-Payroll],DaybyDay[Date],"&gt;="&amp;$C$5,DaybyDay[RowYear],"&gt;="&amp;$C$4,DaybyDay[Date],"&lt;="&amp;DaybyDay[[#This Row],[Date]])</f>
        <v>0</v>
      </c>
      <c r="AU606" s="82" t="str">
        <f>IF(AND(DaybyDay[[#This Row],[_Space]],ISNUMBER(DaybyDay[[#This Row],[Retail Hours]])),DaybyDay[[#This Row],[Est-Retail-Payroll]]/(DaybyDay[[#This Row],[Retail-Actuals]]),"")</f>
        <v/>
      </c>
      <c r="AV606" s="82" t="e">
        <f>DaybyDay[[#This Row],[Est-Retail-PayrollRU]]/DaybyDay[[#This Row],[Simple-Forecast-Retail]]</f>
        <v>#DIV/0!</v>
      </c>
      <c r="AW606" s="8"/>
    </row>
    <row r="607" spans="3:49" hidden="1" x14ac:dyDescent="0.25">
      <c r="C607" s="26" t="str">
        <f>Tools!$C$1</f>
        <v>Example</v>
      </c>
      <c r="D607" s="27" t="s">
        <v>75</v>
      </c>
      <c r="E607" s="28">
        <v>2018</v>
      </c>
      <c r="F607" s="28">
        <f>MATCH(DaybyDay[[#This Row],[RowMonth]],Table3[SummaryMonth],0)</f>
        <v>8</v>
      </c>
      <c r="G607" s="29">
        <f>MATCH(DaybyDay[[#This Row],[LY-Date]],DaybyDay[Date],0)</f>
        <v>237</v>
      </c>
      <c r="H607" s="30">
        <f>WEEKDAY(DaybyDay[[#This Row],[Date]])</f>
        <v>6</v>
      </c>
      <c r="I607" s="31">
        <v>43336</v>
      </c>
      <c r="J607" s="74">
        <v>24</v>
      </c>
      <c r="K607" s="32">
        <f>SUMIFS(BudgetSeasonality[365 Seasonality],BudgetSeasonality[MonthAdjustment],DaybyDay[[#This Row],[Date]])*SUMIFS(Budgets[Service-Budget],Budgets[BudgetMonth],DaybyDay[[#This Row],[RowMonth]],Budgets[BudgetYear],DaybyDay[[#This Row],[RowYear]])</f>
        <v>5783.4437952081707</v>
      </c>
      <c r="L607" s="75">
        <v>5568</v>
      </c>
      <c r="M607" s="32">
        <f>INDEX(BudgetSeasonality[365 Seasonality],MATCH(DaybyDay[[#This Row],[Date]],BudgetSeasonality[MonthAdjustment],0))*SUMIFS(Budgets[Retail-Budget],Budgets[BudgetMonth],DaybyDay[[#This Row],[RowMonth]],Budgets[BudgetYear],DaybyDay[[#This Row],[RowYear]])</f>
        <v>1617.1733552861167</v>
      </c>
      <c r="N607" s="75">
        <v>3595.5</v>
      </c>
      <c r="O607" s="33">
        <f>SUMIFS(DaybyDay[Service-Budgets],DaybyDay[Date],"&gt;="&amp;$C$5,DaybyDay[RowYear],"&gt;="&amp;$C$4,DaybyDay[Date],"&lt;="&amp;DaybyDay[[#This Row],[Date]])</f>
        <v>0</v>
      </c>
      <c r="P607" s="33">
        <f>SUMIFS(DaybyDay[Retail-Budgets],DaybyDay[Date],"&gt;="&amp;$C$5,DaybyDay[RowYear],"&gt;="&amp;$C$4,DaybyDay[Date],"&lt;="&amp;DaybyDay[[#This Row],[Date]])</f>
        <v>0</v>
      </c>
      <c r="Q607" s="34">
        <f>SUMIFS(DaybyDay[Service-Actuals],DaybyDay[Date],"&gt;="&amp;$C$5,DaybyDay[RowYear],"&gt;="&amp;$C$4,DaybyDay[Date],"&lt;="&amp;DaybyDay[[#This Row],[Date]])</f>
        <v>0</v>
      </c>
      <c r="R607" s="34">
        <f>SUMIFS(DaybyDay[Retail-Actuals],DaybyDay[Date],"&gt;="&amp;$C$5,DaybyDay[RowYear],"&gt;="&amp;$C$4,DaybyDay[Date],"&lt;="&amp;DaybyDay[[#This Row],[Date]])</f>
        <v>0</v>
      </c>
      <c r="S607" s="35">
        <f>SUMIFS(DaybyDay[Service-LY],DaybyDay[Date],"&gt;="&amp;$C$5,DaybyDay[RowYear],"&gt;="&amp;$C$4,DaybyDay[Date],"&lt;="&amp;DaybyDay[[#This Row],[Date]])</f>
        <v>0</v>
      </c>
      <c r="T607" s="35">
        <f>SUMIFS(DaybyDay[Retail-LY],DaybyDay[Date],"&gt;="&amp;$C$5,DaybyDay[RowYear],"&gt;="&amp;$C$4,DaybyDay[Date],"&lt;="&amp;DaybyDay[[#This Row],[Date]])</f>
        <v>0</v>
      </c>
      <c r="U607" s="32">
        <f>DaybyDay[[#This Row],[Serv-Bud-RU]]+DaybyDay[[#This Row],[Ret-Bud-RU]]</f>
        <v>0</v>
      </c>
      <c r="V607" s="32">
        <f>DaybyDay[[#This Row],[Serv-Act-RU]]+DaybyDay[[#This Row],[Ret-Act-RU]]</f>
        <v>0</v>
      </c>
      <c r="W607" s="36">
        <f>IF(DaybyDay[[#This Row],[_Space]],IFERROR(
((DaybyDay[[#This Row],[Actual-Rollup]]-DaybyDay[[#This Row],[Budget-Rollup]])/DaybyDay[[#This Row],[Budget-Rollup]]),0),"")</f>
        <v>0</v>
      </c>
      <c r="X607" t="b">
        <f>NOT(AND(ISBLANK(DaybyDay[[#This Row],[Appts]]),ISBLANK(DaybyDay[[#This Row],[Service-Actuals]]),ISBLANK(DaybyDay[[#This Row],[Retail-Actuals]])))</f>
        <v>1</v>
      </c>
      <c r="Y607" s="36">
        <f>IF(DaybyDay[[#This Row],[_Space]],IFERROR(
((DaybyDay[[#This Row],[Actual-Rollup]]-DaybyDay[[#This Row],[LY-Rollup]])/DaybyDay[[#This Row],[LY-Rollup]]),0),"")</f>
        <v>0</v>
      </c>
      <c r="Z607"/>
      <c r="AA607" s="37" t="e">
        <f>IF(DaybyDay[[#This Row],[_Space]],DaybyDay[[#This Row],[Ret-Act-RU]]/DaybyDay[[#This Row],[Serv-Act-RU]],"")</f>
        <v>#DIV/0!</v>
      </c>
      <c r="AB607" s="50" t="e">
        <f>IF(DaybyDay[[#This Row],[_Space]],DaybyDay[[#This Row],[RETPEN-Act]]/DaybyDay[[#This Row],[RETPEN-Bud]],"")</f>
        <v>#DIV/0!</v>
      </c>
      <c r="AC607" s="37" t="e">
        <f>IF(DaybyDay[[#This Row],[_Space]],DaybyDay[[#This Row],[Ret-Bud-RU]]/DaybyDay[[#This Row],[Serv-Bud-RU]],"")</f>
        <v>#DIV/0!</v>
      </c>
      <c r="AD607" s="37" t="e">
        <f>IF(DaybyDay[[#This Row],[_Space]],DaybyDay[[#This Row],[Ret-LY-RU]]/DaybyDay[[#This Row],[Serv-LY-RU]],"")</f>
        <v>#DIV/0!</v>
      </c>
      <c r="AE607" s="30">
        <f>WEEKDAY(DaybyDay[[#This Row],[LY-Date]])</f>
        <v>6</v>
      </c>
      <c r="AF607" s="38">
        <f>$E$2+_xlfn.DAYS(DaybyDay[[#This Row],[Date]],minDate)</f>
        <v>42972</v>
      </c>
      <c r="AG607" s="39" cm="1">
        <f t="array" ref="AG607">IFERROR(INDEX(DaybyDay[],DaybyDay[[#This Row],[FORM_MATCH_HELPER]],8),"")</f>
        <v>29</v>
      </c>
      <c r="AH607" s="39" cm="1">
        <f t="array" ref="AH607">IFERROR(INDEX(DaybyDay[],DaybyDay[[#This Row],[FORM_MATCH_HELPER]],10),"")</f>
        <v>4647.8</v>
      </c>
      <c r="AI607" s="39" cm="1">
        <f t="array" ref="AI607">IFERROR(INDEX(DaybyDay[],DaybyDay[[#This Row],[FORM_MATCH_HELPER]],12),"")</f>
        <v>1735.27</v>
      </c>
      <c r="AJ607" s="32">
        <f>IFERROR(DaybyDay[[#This Row],[Serv-LY-RU]]+DaybyDay[[#This Row],[Ret-LY-RU]],"")</f>
        <v>0</v>
      </c>
      <c r="AK6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7" s="77"/>
      <c r="AM607" s="40" t="str">
        <f>IF(DaybyDay[[#This Row],[Admin Hours]]&gt;0,DaybyDay[[#This Row],[Admin Hours]]*$AM$2+$AM$3,"")</f>
        <v/>
      </c>
      <c r="AN607" s="40">
        <f>SUMIFS(DaybyDay[Est-Admin-Payroll],DaybyDay[Date],"&gt;="&amp;$C$5,DaybyDay[RowYear],"&gt;="&amp;$C$4,DaybyDay[Date],"&lt;="&amp;DaybyDay[[#This Row],[Date]])</f>
        <v>0</v>
      </c>
      <c r="AO607" s="41" t="str">
        <f>IF(AND(DaybyDay[[#This Row],[_Space]],ISNUMBER(DaybyDay[[#This Row],[Admin Hours]])),DaybyDay[[#This Row],[Est-Admin-Payroll]]/(DaybyDay[[#This Row],[Service-Actuals]]+DaybyDay[[#This Row],[Retail-Actuals]]),"")</f>
        <v/>
      </c>
      <c r="AP607" s="41" t="e">
        <f>DaybyDay[[#This Row],[Estimated-Payroll-Rollup]]/DaybyDay[[#This Row],[Simple-Forecast]]</f>
        <v>#DIV/0!</v>
      </c>
      <c r="AQ6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7" s="77"/>
      <c r="AS607" s="40" t="str">
        <f>IF(DaybyDay[[#This Row],[Retail Hours]]&gt;0,DaybyDay[[#This Row],[Retail Hours]]*$AS$2,"")</f>
        <v/>
      </c>
      <c r="AT607" s="40">
        <f>SUMIFS(DaybyDay[Est-Retail-Payroll],DaybyDay[Date],"&gt;="&amp;$C$5,DaybyDay[RowYear],"&gt;="&amp;$C$4,DaybyDay[Date],"&lt;="&amp;DaybyDay[[#This Row],[Date]])</f>
        <v>0</v>
      </c>
      <c r="AU607" s="82" t="str">
        <f>IF(AND(DaybyDay[[#This Row],[_Space]],ISNUMBER(DaybyDay[[#This Row],[Retail Hours]])),DaybyDay[[#This Row],[Est-Retail-Payroll]]/(DaybyDay[[#This Row],[Retail-Actuals]]),"")</f>
        <v/>
      </c>
      <c r="AV607" s="82" t="e">
        <f>DaybyDay[[#This Row],[Est-Retail-PayrollRU]]/DaybyDay[[#This Row],[Simple-Forecast-Retail]]</f>
        <v>#DIV/0!</v>
      </c>
      <c r="AW607" s="8"/>
    </row>
    <row r="608" spans="3:49" hidden="1" x14ac:dyDescent="0.25">
      <c r="C608" s="26" t="str">
        <f>Tools!$C$1</f>
        <v>Example</v>
      </c>
      <c r="D608" s="27" t="s">
        <v>75</v>
      </c>
      <c r="E608" s="28">
        <v>2018</v>
      </c>
      <c r="F608" s="28">
        <f>MATCH(DaybyDay[[#This Row],[RowMonth]],Table3[SummaryMonth],0)</f>
        <v>8</v>
      </c>
      <c r="G608" s="29">
        <f>MATCH(DaybyDay[[#This Row],[LY-Date]],DaybyDay[Date],0)</f>
        <v>238</v>
      </c>
      <c r="H608" s="30">
        <f>WEEKDAY(DaybyDay[[#This Row],[Date]])</f>
        <v>7</v>
      </c>
      <c r="I608" s="31">
        <v>43337</v>
      </c>
      <c r="J608" s="74">
        <v>41</v>
      </c>
      <c r="K608" s="32">
        <f>SUMIFS(BudgetSeasonality[365 Seasonality],BudgetSeasonality[MonthAdjustment],DaybyDay[[#This Row],[Date]])*SUMIFS(Budgets[Service-Budget],Budgets[BudgetMonth],DaybyDay[[#This Row],[RowMonth]],Budgets[BudgetYear],DaybyDay[[#This Row],[RowYear]])</f>
        <v>8495.240943937426</v>
      </c>
      <c r="L608" s="75">
        <v>6532.5</v>
      </c>
      <c r="M608" s="32">
        <f>INDEX(BudgetSeasonality[365 Seasonality],MATCH(DaybyDay[[#This Row],[Date]],BudgetSeasonality[MonthAdjustment],0))*SUMIFS(Budgets[Retail-Budget],Budgets[BudgetMonth],DaybyDay[[#This Row],[RowMonth]],Budgets[BudgetYear],DaybyDay[[#This Row],[RowYear]])</f>
        <v>2375.4492630591535</v>
      </c>
      <c r="N608" s="75">
        <v>5101</v>
      </c>
      <c r="O608" s="33">
        <f>SUMIFS(DaybyDay[Service-Budgets],DaybyDay[Date],"&gt;="&amp;$C$5,DaybyDay[RowYear],"&gt;="&amp;$C$4,DaybyDay[Date],"&lt;="&amp;DaybyDay[[#This Row],[Date]])</f>
        <v>0</v>
      </c>
      <c r="P608" s="33">
        <f>SUMIFS(DaybyDay[Retail-Budgets],DaybyDay[Date],"&gt;="&amp;$C$5,DaybyDay[RowYear],"&gt;="&amp;$C$4,DaybyDay[Date],"&lt;="&amp;DaybyDay[[#This Row],[Date]])</f>
        <v>0</v>
      </c>
      <c r="Q608" s="34">
        <f>SUMIFS(DaybyDay[Service-Actuals],DaybyDay[Date],"&gt;="&amp;$C$5,DaybyDay[RowYear],"&gt;="&amp;$C$4,DaybyDay[Date],"&lt;="&amp;DaybyDay[[#This Row],[Date]])</f>
        <v>0</v>
      </c>
      <c r="R608" s="34">
        <f>SUMIFS(DaybyDay[Retail-Actuals],DaybyDay[Date],"&gt;="&amp;$C$5,DaybyDay[RowYear],"&gt;="&amp;$C$4,DaybyDay[Date],"&lt;="&amp;DaybyDay[[#This Row],[Date]])</f>
        <v>0</v>
      </c>
      <c r="S608" s="35">
        <f>SUMIFS(DaybyDay[Service-LY],DaybyDay[Date],"&gt;="&amp;$C$5,DaybyDay[RowYear],"&gt;="&amp;$C$4,DaybyDay[Date],"&lt;="&amp;DaybyDay[[#This Row],[Date]])</f>
        <v>0</v>
      </c>
      <c r="T608" s="35">
        <f>SUMIFS(DaybyDay[Retail-LY],DaybyDay[Date],"&gt;="&amp;$C$5,DaybyDay[RowYear],"&gt;="&amp;$C$4,DaybyDay[Date],"&lt;="&amp;DaybyDay[[#This Row],[Date]])</f>
        <v>0</v>
      </c>
      <c r="U608" s="32">
        <f>DaybyDay[[#This Row],[Serv-Bud-RU]]+DaybyDay[[#This Row],[Ret-Bud-RU]]</f>
        <v>0</v>
      </c>
      <c r="V608" s="32">
        <f>DaybyDay[[#This Row],[Serv-Act-RU]]+DaybyDay[[#This Row],[Ret-Act-RU]]</f>
        <v>0</v>
      </c>
      <c r="W608" s="36">
        <f>IF(DaybyDay[[#This Row],[_Space]],IFERROR(
((DaybyDay[[#This Row],[Actual-Rollup]]-DaybyDay[[#This Row],[Budget-Rollup]])/DaybyDay[[#This Row],[Budget-Rollup]]),0),"")</f>
        <v>0</v>
      </c>
      <c r="X608" t="b">
        <f>NOT(AND(ISBLANK(DaybyDay[[#This Row],[Appts]]),ISBLANK(DaybyDay[[#This Row],[Service-Actuals]]),ISBLANK(DaybyDay[[#This Row],[Retail-Actuals]])))</f>
        <v>1</v>
      </c>
      <c r="Y608" s="36">
        <f>IF(DaybyDay[[#This Row],[_Space]],IFERROR(
((DaybyDay[[#This Row],[Actual-Rollup]]-DaybyDay[[#This Row],[LY-Rollup]])/DaybyDay[[#This Row],[LY-Rollup]]),0),"")</f>
        <v>0</v>
      </c>
      <c r="Z608"/>
      <c r="AA608" s="37" t="e">
        <f>IF(DaybyDay[[#This Row],[_Space]],DaybyDay[[#This Row],[Ret-Act-RU]]/DaybyDay[[#This Row],[Serv-Act-RU]],"")</f>
        <v>#DIV/0!</v>
      </c>
      <c r="AB608" s="50" t="e">
        <f>IF(DaybyDay[[#This Row],[_Space]],DaybyDay[[#This Row],[RETPEN-Act]]/DaybyDay[[#This Row],[RETPEN-Bud]],"")</f>
        <v>#DIV/0!</v>
      </c>
      <c r="AC608" s="37" t="e">
        <f>IF(DaybyDay[[#This Row],[_Space]],DaybyDay[[#This Row],[Ret-Bud-RU]]/DaybyDay[[#This Row],[Serv-Bud-RU]],"")</f>
        <v>#DIV/0!</v>
      </c>
      <c r="AD608" s="37" t="e">
        <f>IF(DaybyDay[[#This Row],[_Space]],DaybyDay[[#This Row],[Ret-LY-RU]]/DaybyDay[[#This Row],[Serv-LY-RU]],"")</f>
        <v>#DIV/0!</v>
      </c>
      <c r="AE608" s="30">
        <f>WEEKDAY(DaybyDay[[#This Row],[LY-Date]])</f>
        <v>7</v>
      </c>
      <c r="AF608" s="38">
        <f>$E$2+_xlfn.DAYS(DaybyDay[[#This Row],[Date]],minDate)</f>
        <v>42973</v>
      </c>
      <c r="AG608" s="39" cm="1">
        <f t="array" ref="AG608">IFERROR(INDEX(DaybyDay[],DaybyDay[[#This Row],[FORM_MATCH_HELPER]],8),"")</f>
        <v>16</v>
      </c>
      <c r="AH608" s="39" cm="1">
        <f t="array" ref="AH608">IFERROR(INDEX(DaybyDay[],DaybyDay[[#This Row],[FORM_MATCH_HELPER]],10),"")</f>
        <v>3322.5</v>
      </c>
      <c r="AI608" s="39" cm="1">
        <f t="array" ref="AI608">IFERROR(INDEX(DaybyDay[],DaybyDay[[#This Row],[FORM_MATCH_HELPER]],12),"")</f>
        <v>403</v>
      </c>
      <c r="AJ608" s="32">
        <f>IFERROR(DaybyDay[[#This Row],[Serv-LY-RU]]+DaybyDay[[#This Row],[Ret-LY-RU]],"")</f>
        <v>0</v>
      </c>
      <c r="AK6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8" s="77"/>
      <c r="AM608" s="40" t="str">
        <f>IF(DaybyDay[[#This Row],[Admin Hours]]&gt;0,DaybyDay[[#This Row],[Admin Hours]]*$AM$2+$AM$3,"")</f>
        <v/>
      </c>
      <c r="AN608" s="40">
        <f>SUMIFS(DaybyDay[Est-Admin-Payroll],DaybyDay[Date],"&gt;="&amp;$C$5,DaybyDay[RowYear],"&gt;="&amp;$C$4,DaybyDay[Date],"&lt;="&amp;DaybyDay[[#This Row],[Date]])</f>
        <v>0</v>
      </c>
      <c r="AO608" s="41" t="str">
        <f>IF(AND(DaybyDay[[#This Row],[_Space]],ISNUMBER(DaybyDay[[#This Row],[Admin Hours]])),DaybyDay[[#This Row],[Est-Admin-Payroll]]/(DaybyDay[[#This Row],[Service-Actuals]]+DaybyDay[[#This Row],[Retail-Actuals]]),"")</f>
        <v/>
      </c>
      <c r="AP608" s="41" t="e">
        <f>DaybyDay[[#This Row],[Estimated-Payroll-Rollup]]/DaybyDay[[#This Row],[Simple-Forecast]]</f>
        <v>#DIV/0!</v>
      </c>
      <c r="AQ6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8" s="77"/>
      <c r="AS608" s="40" t="str">
        <f>IF(DaybyDay[[#This Row],[Retail Hours]]&gt;0,DaybyDay[[#This Row],[Retail Hours]]*$AS$2,"")</f>
        <v/>
      </c>
      <c r="AT608" s="40">
        <f>SUMIFS(DaybyDay[Est-Retail-Payroll],DaybyDay[Date],"&gt;="&amp;$C$5,DaybyDay[RowYear],"&gt;="&amp;$C$4,DaybyDay[Date],"&lt;="&amp;DaybyDay[[#This Row],[Date]])</f>
        <v>0</v>
      </c>
      <c r="AU608" s="82" t="str">
        <f>IF(AND(DaybyDay[[#This Row],[_Space]],ISNUMBER(DaybyDay[[#This Row],[Retail Hours]])),DaybyDay[[#This Row],[Est-Retail-Payroll]]/(DaybyDay[[#This Row],[Retail-Actuals]]),"")</f>
        <v/>
      </c>
      <c r="AV608" s="82" t="e">
        <f>DaybyDay[[#This Row],[Est-Retail-PayrollRU]]/DaybyDay[[#This Row],[Simple-Forecast-Retail]]</f>
        <v>#DIV/0!</v>
      </c>
      <c r="AW608" s="8"/>
    </row>
    <row r="609" spans="3:49" hidden="1" x14ac:dyDescent="0.25">
      <c r="C609" s="26" t="str">
        <f>Tools!$C$1</f>
        <v>Example</v>
      </c>
      <c r="D609" s="27" t="s">
        <v>75</v>
      </c>
      <c r="E609" s="28">
        <v>2018</v>
      </c>
      <c r="F609" s="28">
        <f>MATCH(DaybyDay[[#This Row],[RowMonth]],Table3[SummaryMonth],0)</f>
        <v>8</v>
      </c>
      <c r="G609" s="29">
        <f>MATCH(DaybyDay[[#This Row],[LY-Date]],DaybyDay[Date],0)</f>
        <v>239</v>
      </c>
      <c r="H609" s="30">
        <f>WEEKDAY(DaybyDay[[#This Row],[Date]])</f>
        <v>1</v>
      </c>
      <c r="I609" s="31">
        <v>43338</v>
      </c>
      <c r="J609" s="74">
        <v>26</v>
      </c>
      <c r="K609" s="32">
        <f>SUMIFS(BudgetSeasonality[365 Seasonality],BudgetSeasonality[MonthAdjustment],DaybyDay[[#This Row],[Date]])*SUMIFS(Budgets[Service-Budget],Budgets[BudgetMonth],DaybyDay[[#This Row],[RowMonth]],Budgets[BudgetYear],DaybyDay[[#This Row],[RowYear]])</f>
        <v>6543.3810416642691</v>
      </c>
      <c r="L609" s="75">
        <v>4653.5</v>
      </c>
      <c r="M609" s="32">
        <f>INDEX(BudgetSeasonality[365 Seasonality],MATCH(DaybyDay[[#This Row],[Date]],BudgetSeasonality[MonthAdjustment],0))*SUMIFS(Budgets[Retail-Budget],Budgets[BudgetMonth],DaybyDay[[#This Row],[RowMonth]],Budgets[BudgetYear],DaybyDay[[#This Row],[RowYear]])</f>
        <v>1829.6679018185025</v>
      </c>
      <c r="N609" s="75">
        <v>1946.6</v>
      </c>
      <c r="O609" s="33">
        <f>SUMIFS(DaybyDay[Service-Budgets],DaybyDay[Date],"&gt;="&amp;$C$5,DaybyDay[RowYear],"&gt;="&amp;$C$4,DaybyDay[Date],"&lt;="&amp;DaybyDay[[#This Row],[Date]])</f>
        <v>0</v>
      </c>
      <c r="P609" s="33">
        <f>SUMIFS(DaybyDay[Retail-Budgets],DaybyDay[Date],"&gt;="&amp;$C$5,DaybyDay[RowYear],"&gt;="&amp;$C$4,DaybyDay[Date],"&lt;="&amp;DaybyDay[[#This Row],[Date]])</f>
        <v>0</v>
      </c>
      <c r="Q609" s="34">
        <f>SUMIFS(DaybyDay[Service-Actuals],DaybyDay[Date],"&gt;="&amp;$C$5,DaybyDay[RowYear],"&gt;="&amp;$C$4,DaybyDay[Date],"&lt;="&amp;DaybyDay[[#This Row],[Date]])</f>
        <v>0</v>
      </c>
      <c r="R609" s="34">
        <f>SUMIFS(DaybyDay[Retail-Actuals],DaybyDay[Date],"&gt;="&amp;$C$5,DaybyDay[RowYear],"&gt;="&amp;$C$4,DaybyDay[Date],"&lt;="&amp;DaybyDay[[#This Row],[Date]])</f>
        <v>0</v>
      </c>
      <c r="S609" s="35">
        <f>SUMIFS(DaybyDay[Service-LY],DaybyDay[Date],"&gt;="&amp;$C$5,DaybyDay[RowYear],"&gt;="&amp;$C$4,DaybyDay[Date],"&lt;="&amp;DaybyDay[[#This Row],[Date]])</f>
        <v>0</v>
      </c>
      <c r="T609" s="35">
        <f>SUMIFS(DaybyDay[Retail-LY],DaybyDay[Date],"&gt;="&amp;$C$5,DaybyDay[RowYear],"&gt;="&amp;$C$4,DaybyDay[Date],"&lt;="&amp;DaybyDay[[#This Row],[Date]])</f>
        <v>0</v>
      </c>
      <c r="U609" s="32">
        <f>DaybyDay[[#This Row],[Serv-Bud-RU]]+DaybyDay[[#This Row],[Ret-Bud-RU]]</f>
        <v>0</v>
      </c>
      <c r="V609" s="32">
        <f>DaybyDay[[#This Row],[Serv-Act-RU]]+DaybyDay[[#This Row],[Ret-Act-RU]]</f>
        <v>0</v>
      </c>
      <c r="W609" s="36">
        <f>IF(DaybyDay[[#This Row],[_Space]],IFERROR(
((DaybyDay[[#This Row],[Actual-Rollup]]-DaybyDay[[#This Row],[Budget-Rollup]])/DaybyDay[[#This Row],[Budget-Rollup]]),0),"")</f>
        <v>0</v>
      </c>
      <c r="X609" t="b">
        <f>NOT(AND(ISBLANK(DaybyDay[[#This Row],[Appts]]),ISBLANK(DaybyDay[[#This Row],[Service-Actuals]]),ISBLANK(DaybyDay[[#This Row],[Retail-Actuals]])))</f>
        <v>1</v>
      </c>
      <c r="Y609" s="36">
        <f>IF(DaybyDay[[#This Row],[_Space]],IFERROR(
((DaybyDay[[#This Row],[Actual-Rollup]]-DaybyDay[[#This Row],[LY-Rollup]])/DaybyDay[[#This Row],[LY-Rollup]]),0),"")</f>
        <v>0</v>
      </c>
      <c r="Z609"/>
      <c r="AA609" s="37" t="e">
        <f>IF(DaybyDay[[#This Row],[_Space]],DaybyDay[[#This Row],[Ret-Act-RU]]/DaybyDay[[#This Row],[Serv-Act-RU]],"")</f>
        <v>#DIV/0!</v>
      </c>
      <c r="AB609" s="50" t="e">
        <f>IF(DaybyDay[[#This Row],[_Space]],DaybyDay[[#This Row],[RETPEN-Act]]/DaybyDay[[#This Row],[RETPEN-Bud]],"")</f>
        <v>#DIV/0!</v>
      </c>
      <c r="AC609" s="37" t="e">
        <f>IF(DaybyDay[[#This Row],[_Space]],DaybyDay[[#This Row],[Ret-Bud-RU]]/DaybyDay[[#This Row],[Serv-Bud-RU]],"")</f>
        <v>#DIV/0!</v>
      </c>
      <c r="AD609" s="37" t="e">
        <f>IF(DaybyDay[[#This Row],[_Space]],DaybyDay[[#This Row],[Ret-LY-RU]]/DaybyDay[[#This Row],[Serv-LY-RU]],"")</f>
        <v>#DIV/0!</v>
      </c>
      <c r="AE609" s="30">
        <f>WEEKDAY(DaybyDay[[#This Row],[LY-Date]])</f>
        <v>1</v>
      </c>
      <c r="AF609" s="38">
        <f>$E$2+_xlfn.DAYS(DaybyDay[[#This Row],[Date]],minDate)</f>
        <v>42974</v>
      </c>
      <c r="AG609" s="39" cm="1">
        <f t="array" ref="AG609">IFERROR(INDEX(DaybyDay[],DaybyDay[[#This Row],[FORM_MATCH_HELPER]],8),"")</f>
        <v>18</v>
      </c>
      <c r="AH609" s="39" cm="1">
        <f t="array" ref="AH609">IFERROR(INDEX(DaybyDay[],DaybyDay[[#This Row],[FORM_MATCH_HELPER]],10),"")</f>
        <v>2923.6</v>
      </c>
      <c r="AI609" s="39" cm="1">
        <f t="array" ref="AI609">IFERROR(INDEX(DaybyDay[],DaybyDay[[#This Row],[FORM_MATCH_HELPER]],12),"")</f>
        <v>127</v>
      </c>
      <c r="AJ609" s="32">
        <f>IFERROR(DaybyDay[[#This Row],[Serv-LY-RU]]+DaybyDay[[#This Row],[Ret-LY-RU]],"")</f>
        <v>0</v>
      </c>
      <c r="AK6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09" s="77"/>
      <c r="AM609" s="40" t="str">
        <f>IF(DaybyDay[[#This Row],[Admin Hours]]&gt;0,DaybyDay[[#This Row],[Admin Hours]]*$AM$2+$AM$3,"")</f>
        <v/>
      </c>
      <c r="AN609" s="40">
        <f>SUMIFS(DaybyDay[Est-Admin-Payroll],DaybyDay[Date],"&gt;="&amp;$C$5,DaybyDay[RowYear],"&gt;="&amp;$C$4,DaybyDay[Date],"&lt;="&amp;DaybyDay[[#This Row],[Date]])</f>
        <v>0</v>
      </c>
      <c r="AO609" s="41" t="str">
        <f>IF(AND(DaybyDay[[#This Row],[_Space]],ISNUMBER(DaybyDay[[#This Row],[Admin Hours]])),DaybyDay[[#This Row],[Est-Admin-Payroll]]/(DaybyDay[[#This Row],[Service-Actuals]]+DaybyDay[[#This Row],[Retail-Actuals]]),"")</f>
        <v/>
      </c>
      <c r="AP609" s="41" t="e">
        <f>DaybyDay[[#This Row],[Estimated-Payroll-Rollup]]/DaybyDay[[#This Row],[Simple-Forecast]]</f>
        <v>#DIV/0!</v>
      </c>
      <c r="AQ6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09" s="77"/>
      <c r="AS609" s="40" t="str">
        <f>IF(DaybyDay[[#This Row],[Retail Hours]]&gt;0,DaybyDay[[#This Row],[Retail Hours]]*$AS$2,"")</f>
        <v/>
      </c>
      <c r="AT609" s="40">
        <f>SUMIFS(DaybyDay[Est-Retail-Payroll],DaybyDay[Date],"&gt;="&amp;$C$5,DaybyDay[RowYear],"&gt;="&amp;$C$4,DaybyDay[Date],"&lt;="&amp;DaybyDay[[#This Row],[Date]])</f>
        <v>0</v>
      </c>
      <c r="AU609" s="82" t="str">
        <f>IF(AND(DaybyDay[[#This Row],[_Space]],ISNUMBER(DaybyDay[[#This Row],[Retail Hours]])),DaybyDay[[#This Row],[Est-Retail-Payroll]]/(DaybyDay[[#This Row],[Retail-Actuals]]),"")</f>
        <v/>
      </c>
      <c r="AV609" s="82" t="e">
        <f>DaybyDay[[#This Row],[Est-Retail-PayrollRU]]/DaybyDay[[#This Row],[Simple-Forecast-Retail]]</f>
        <v>#DIV/0!</v>
      </c>
      <c r="AW609" s="8"/>
    </row>
    <row r="610" spans="3:49" hidden="1" x14ac:dyDescent="0.25">
      <c r="C610" s="26" t="str">
        <f>Tools!$C$1</f>
        <v>Example</v>
      </c>
      <c r="D610" s="27" t="s">
        <v>75</v>
      </c>
      <c r="E610" s="28">
        <v>2018</v>
      </c>
      <c r="F610" s="28">
        <f>MATCH(DaybyDay[[#This Row],[RowMonth]],Table3[SummaryMonth],0)</f>
        <v>8</v>
      </c>
      <c r="G610" s="29">
        <f>MATCH(DaybyDay[[#This Row],[LY-Date]],DaybyDay[Date],0)</f>
        <v>240</v>
      </c>
      <c r="H610" s="30">
        <f>WEEKDAY(DaybyDay[[#This Row],[Date]])</f>
        <v>2</v>
      </c>
      <c r="I610" s="31">
        <v>43339</v>
      </c>
      <c r="J610" s="74">
        <v>11</v>
      </c>
      <c r="K610" s="32">
        <f>SUMIFS(BudgetSeasonality[365 Seasonality],BudgetSeasonality[MonthAdjustment],DaybyDay[[#This Row],[Date]])*SUMIFS(Budgets[Service-Budget],Budgets[BudgetMonth],DaybyDay[[#This Row],[RowMonth]],Budgets[BudgetYear],DaybyDay[[#This Row],[RowYear]])</f>
        <v>3679.9362819721659</v>
      </c>
      <c r="L610" s="75">
        <v>1894.8</v>
      </c>
      <c r="M610" s="32">
        <f>INDEX(BudgetSeasonality[365 Seasonality],MATCH(DaybyDay[[#This Row],[Date]],BudgetSeasonality[MonthAdjustment],0))*SUMIFS(Budgets[Retail-Budget],Budgets[BudgetMonth],DaybyDay[[#This Row],[RowMonth]],Budgets[BudgetYear],DaybyDay[[#This Row],[RowYear]])</f>
        <v>1028.9881107320139</v>
      </c>
      <c r="N610" s="75">
        <v>250</v>
      </c>
      <c r="O610" s="33">
        <f>SUMIFS(DaybyDay[Service-Budgets],DaybyDay[Date],"&gt;="&amp;$C$5,DaybyDay[RowYear],"&gt;="&amp;$C$4,DaybyDay[Date],"&lt;="&amp;DaybyDay[[#This Row],[Date]])</f>
        <v>0</v>
      </c>
      <c r="P610" s="33">
        <f>SUMIFS(DaybyDay[Retail-Budgets],DaybyDay[Date],"&gt;="&amp;$C$5,DaybyDay[RowYear],"&gt;="&amp;$C$4,DaybyDay[Date],"&lt;="&amp;DaybyDay[[#This Row],[Date]])</f>
        <v>0</v>
      </c>
      <c r="Q610" s="34">
        <f>SUMIFS(DaybyDay[Service-Actuals],DaybyDay[Date],"&gt;="&amp;$C$5,DaybyDay[RowYear],"&gt;="&amp;$C$4,DaybyDay[Date],"&lt;="&amp;DaybyDay[[#This Row],[Date]])</f>
        <v>0</v>
      </c>
      <c r="R610" s="34">
        <f>SUMIFS(DaybyDay[Retail-Actuals],DaybyDay[Date],"&gt;="&amp;$C$5,DaybyDay[RowYear],"&gt;="&amp;$C$4,DaybyDay[Date],"&lt;="&amp;DaybyDay[[#This Row],[Date]])</f>
        <v>0</v>
      </c>
      <c r="S610" s="35">
        <f>SUMIFS(DaybyDay[Service-LY],DaybyDay[Date],"&gt;="&amp;$C$5,DaybyDay[RowYear],"&gt;="&amp;$C$4,DaybyDay[Date],"&lt;="&amp;DaybyDay[[#This Row],[Date]])</f>
        <v>0</v>
      </c>
      <c r="T610" s="35">
        <f>SUMIFS(DaybyDay[Retail-LY],DaybyDay[Date],"&gt;="&amp;$C$5,DaybyDay[RowYear],"&gt;="&amp;$C$4,DaybyDay[Date],"&lt;="&amp;DaybyDay[[#This Row],[Date]])</f>
        <v>0</v>
      </c>
      <c r="U610" s="32">
        <f>DaybyDay[[#This Row],[Serv-Bud-RU]]+DaybyDay[[#This Row],[Ret-Bud-RU]]</f>
        <v>0</v>
      </c>
      <c r="V610" s="32">
        <f>DaybyDay[[#This Row],[Serv-Act-RU]]+DaybyDay[[#This Row],[Ret-Act-RU]]</f>
        <v>0</v>
      </c>
      <c r="W610" s="36">
        <f>IF(DaybyDay[[#This Row],[_Space]],IFERROR(
((DaybyDay[[#This Row],[Actual-Rollup]]-DaybyDay[[#This Row],[Budget-Rollup]])/DaybyDay[[#This Row],[Budget-Rollup]]),0),"")</f>
        <v>0</v>
      </c>
      <c r="X610" t="b">
        <f>NOT(AND(ISBLANK(DaybyDay[[#This Row],[Appts]]),ISBLANK(DaybyDay[[#This Row],[Service-Actuals]]),ISBLANK(DaybyDay[[#This Row],[Retail-Actuals]])))</f>
        <v>1</v>
      </c>
      <c r="Y610" s="36">
        <f>IF(DaybyDay[[#This Row],[_Space]],IFERROR(
((DaybyDay[[#This Row],[Actual-Rollup]]-DaybyDay[[#This Row],[LY-Rollup]])/DaybyDay[[#This Row],[LY-Rollup]]),0),"")</f>
        <v>0</v>
      </c>
      <c r="Z610"/>
      <c r="AA610" s="37" t="e">
        <f>IF(DaybyDay[[#This Row],[_Space]],DaybyDay[[#This Row],[Ret-Act-RU]]/DaybyDay[[#This Row],[Serv-Act-RU]],"")</f>
        <v>#DIV/0!</v>
      </c>
      <c r="AB610" s="50" t="e">
        <f>IF(DaybyDay[[#This Row],[_Space]],DaybyDay[[#This Row],[RETPEN-Act]]/DaybyDay[[#This Row],[RETPEN-Bud]],"")</f>
        <v>#DIV/0!</v>
      </c>
      <c r="AC610" s="37" t="e">
        <f>IF(DaybyDay[[#This Row],[_Space]],DaybyDay[[#This Row],[Ret-Bud-RU]]/DaybyDay[[#This Row],[Serv-Bud-RU]],"")</f>
        <v>#DIV/0!</v>
      </c>
      <c r="AD610" s="37" t="e">
        <f>IF(DaybyDay[[#This Row],[_Space]],DaybyDay[[#This Row],[Ret-LY-RU]]/DaybyDay[[#This Row],[Serv-LY-RU]],"")</f>
        <v>#DIV/0!</v>
      </c>
      <c r="AE610" s="30">
        <f>WEEKDAY(DaybyDay[[#This Row],[LY-Date]])</f>
        <v>2</v>
      </c>
      <c r="AF610" s="38">
        <f>$E$2+_xlfn.DAYS(DaybyDay[[#This Row],[Date]],minDate)</f>
        <v>42975</v>
      </c>
      <c r="AG610" s="39" cm="1">
        <f t="array" ref="AG610">IFERROR(INDEX(DaybyDay[],DaybyDay[[#This Row],[FORM_MATCH_HELPER]],8),"")</f>
        <v>21</v>
      </c>
      <c r="AH610" s="39" cm="1">
        <f t="array" ref="AH610">IFERROR(INDEX(DaybyDay[],DaybyDay[[#This Row],[FORM_MATCH_HELPER]],10),"")</f>
        <v>4019.3</v>
      </c>
      <c r="AI610" s="39" cm="1">
        <f t="array" ref="AI610">IFERROR(INDEX(DaybyDay[],DaybyDay[[#This Row],[FORM_MATCH_HELPER]],12),"")</f>
        <v>3535</v>
      </c>
      <c r="AJ610" s="32">
        <f>IFERROR(DaybyDay[[#This Row],[Serv-LY-RU]]+DaybyDay[[#This Row],[Ret-LY-RU]],"")</f>
        <v>0</v>
      </c>
      <c r="AK6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0" s="77"/>
      <c r="AM610" s="40" t="str">
        <f>IF(DaybyDay[[#This Row],[Admin Hours]]&gt;0,DaybyDay[[#This Row],[Admin Hours]]*$AM$2+$AM$3,"")</f>
        <v/>
      </c>
      <c r="AN610" s="40">
        <f>SUMIFS(DaybyDay[Est-Admin-Payroll],DaybyDay[Date],"&gt;="&amp;$C$5,DaybyDay[RowYear],"&gt;="&amp;$C$4,DaybyDay[Date],"&lt;="&amp;DaybyDay[[#This Row],[Date]])</f>
        <v>0</v>
      </c>
      <c r="AO610" s="41" t="str">
        <f>IF(AND(DaybyDay[[#This Row],[_Space]],ISNUMBER(DaybyDay[[#This Row],[Admin Hours]])),DaybyDay[[#This Row],[Est-Admin-Payroll]]/(DaybyDay[[#This Row],[Service-Actuals]]+DaybyDay[[#This Row],[Retail-Actuals]]),"")</f>
        <v/>
      </c>
      <c r="AP610" s="41" t="e">
        <f>DaybyDay[[#This Row],[Estimated-Payroll-Rollup]]/DaybyDay[[#This Row],[Simple-Forecast]]</f>
        <v>#DIV/0!</v>
      </c>
      <c r="AQ6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0" s="77"/>
      <c r="AS610" s="40" t="str">
        <f>IF(DaybyDay[[#This Row],[Retail Hours]]&gt;0,DaybyDay[[#This Row],[Retail Hours]]*$AS$2,"")</f>
        <v/>
      </c>
      <c r="AT610" s="40">
        <f>SUMIFS(DaybyDay[Est-Retail-Payroll],DaybyDay[Date],"&gt;="&amp;$C$5,DaybyDay[RowYear],"&gt;="&amp;$C$4,DaybyDay[Date],"&lt;="&amp;DaybyDay[[#This Row],[Date]])</f>
        <v>0</v>
      </c>
      <c r="AU610" s="82" t="str">
        <f>IF(AND(DaybyDay[[#This Row],[_Space]],ISNUMBER(DaybyDay[[#This Row],[Retail Hours]])),DaybyDay[[#This Row],[Est-Retail-Payroll]]/(DaybyDay[[#This Row],[Retail-Actuals]]),"")</f>
        <v/>
      </c>
      <c r="AV610" s="82" t="e">
        <f>DaybyDay[[#This Row],[Est-Retail-PayrollRU]]/DaybyDay[[#This Row],[Simple-Forecast-Retail]]</f>
        <v>#DIV/0!</v>
      </c>
      <c r="AW610" s="8"/>
    </row>
    <row r="611" spans="3:49" hidden="1" x14ac:dyDescent="0.25">
      <c r="C611" s="26" t="str">
        <f>Tools!$C$1</f>
        <v>Example</v>
      </c>
      <c r="D611" s="27" t="s">
        <v>75</v>
      </c>
      <c r="E611" s="28">
        <v>2018</v>
      </c>
      <c r="F611" s="28">
        <f>MATCH(DaybyDay[[#This Row],[RowMonth]],Table3[SummaryMonth],0)</f>
        <v>8</v>
      </c>
      <c r="G611" s="29">
        <f>MATCH(DaybyDay[[#This Row],[LY-Date]],DaybyDay[Date],0)</f>
        <v>241</v>
      </c>
      <c r="H611" s="30">
        <f>WEEKDAY(DaybyDay[[#This Row],[Date]])</f>
        <v>3</v>
      </c>
      <c r="I611" s="31">
        <v>43340</v>
      </c>
      <c r="J611" s="74">
        <v>16</v>
      </c>
      <c r="K611" s="32">
        <f>SUMIFS(BudgetSeasonality[365 Seasonality],BudgetSeasonality[MonthAdjustment],DaybyDay[[#This Row],[Date]])*SUMIFS(Budgets[Service-Budget],Budgets[BudgetMonth],DaybyDay[[#This Row],[RowMonth]],Budgets[BudgetYear],DaybyDay[[#This Row],[RowYear]])</f>
        <v>3857.720074953626</v>
      </c>
      <c r="L611" s="75">
        <v>2276.8200000000002</v>
      </c>
      <c r="M611" s="32">
        <f>INDEX(BudgetSeasonality[365 Seasonality],MATCH(DaybyDay[[#This Row],[Date]],BudgetSeasonality[MonthAdjustment],0))*SUMIFS(Budgets[Retail-Budget],Budgets[BudgetMonth],DaybyDay[[#This Row],[RowMonth]],Budgets[BudgetYear],DaybyDay[[#This Row],[RowYear]])</f>
        <v>1078.7002239973892</v>
      </c>
      <c r="N611" s="75">
        <v>278</v>
      </c>
      <c r="O611" s="33">
        <f>SUMIFS(DaybyDay[Service-Budgets],DaybyDay[Date],"&gt;="&amp;$C$5,DaybyDay[RowYear],"&gt;="&amp;$C$4,DaybyDay[Date],"&lt;="&amp;DaybyDay[[#This Row],[Date]])</f>
        <v>0</v>
      </c>
      <c r="P611" s="33">
        <f>SUMIFS(DaybyDay[Retail-Budgets],DaybyDay[Date],"&gt;="&amp;$C$5,DaybyDay[RowYear],"&gt;="&amp;$C$4,DaybyDay[Date],"&lt;="&amp;DaybyDay[[#This Row],[Date]])</f>
        <v>0</v>
      </c>
      <c r="Q611" s="34">
        <f>SUMIFS(DaybyDay[Service-Actuals],DaybyDay[Date],"&gt;="&amp;$C$5,DaybyDay[RowYear],"&gt;="&amp;$C$4,DaybyDay[Date],"&lt;="&amp;DaybyDay[[#This Row],[Date]])</f>
        <v>0</v>
      </c>
      <c r="R611" s="34">
        <f>SUMIFS(DaybyDay[Retail-Actuals],DaybyDay[Date],"&gt;="&amp;$C$5,DaybyDay[RowYear],"&gt;="&amp;$C$4,DaybyDay[Date],"&lt;="&amp;DaybyDay[[#This Row],[Date]])</f>
        <v>0</v>
      </c>
      <c r="S611" s="35">
        <f>SUMIFS(DaybyDay[Service-LY],DaybyDay[Date],"&gt;="&amp;$C$5,DaybyDay[RowYear],"&gt;="&amp;$C$4,DaybyDay[Date],"&lt;="&amp;DaybyDay[[#This Row],[Date]])</f>
        <v>0</v>
      </c>
      <c r="T611" s="35">
        <f>SUMIFS(DaybyDay[Retail-LY],DaybyDay[Date],"&gt;="&amp;$C$5,DaybyDay[RowYear],"&gt;="&amp;$C$4,DaybyDay[Date],"&lt;="&amp;DaybyDay[[#This Row],[Date]])</f>
        <v>0</v>
      </c>
      <c r="U611" s="32">
        <f>DaybyDay[[#This Row],[Serv-Bud-RU]]+DaybyDay[[#This Row],[Ret-Bud-RU]]</f>
        <v>0</v>
      </c>
      <c r="V611" s="32">
        <f>DaybyDay[[#This Row],[Serv-Act-RU]]+DaybyDay[[#This Row],[Ret-Act-RU]]</f>
        <v>0</v>
      </c>
      <c r="W611" s="36">
        <f>IF(DaybyDay[[#This Row],[_Space]],IFERROR(
((DaybyDay[[#This Row],[Actual-Rollup]]-DaybyDay[[#This Row],[Budget-Rollup]])/DaybyDay[[#This Row],[Budget-Rollup]]),0),"")</f>
        <v>0</v>
      </c>
      <c r="X611" t="b">
        <f>NOT(AND(ISBLANK(DaybyDay[[#This Row],[Appts]]),ISBLANK(DaybyDay[[#This Row],[Service-Actuals]]),ISBLANK(DaybyDay[[#This Row],[Retail-Actuals]])))</f>
        <v>1</v>
      </c>
      <c r="Y611" s="36">
        <f>IF(DaybyDay[[#This Row],[_Space]],IFERROR(
((DaybyDay[[#This Row],[Actual-Rollup]]-DaybyDay[[#This Row],[LY-Rollup]])/DaybyDay[[#This Row],[LY-Rollup]]),0),"")</f>
        <v>0</v>
      </c>
      <c r="Z611"/>
      <c r="AA611" s="37" t="e">
        <f>IF(DaybyDay[[#This Row],[_Space]],DaybyDay[[#This Row],[Ret-Act-RU]]/DaybyDay[[#This Row],[Serv-Act-RU]],"")</f>
        <v>#DIV/0!</v>
      </c>
      <c r="AB611" s="50" t="e">
        <f>IF(DaybyDay[[#This Row],[_Space]],DaybyDay[[#This Row],[RETPEN-Act]]/DaybyDay[[#This Row],[RETPEN-Bud]],"")</f>
        <v>#DIV/0!</v>
      </c>
      <c r="AC611" s="37" t="e">
        <f>IF(DaybyDay[[#This Row],[_Space]],DaybyDay[[#This Row],[Ret-Bud-RU]]/DaybyDay[[#This Row],[Serv-Bud-RU]],"")</f>
        <v>#DIV/0!</v>
      </c>
      <c r="AD611" s="37" t="e">
        <f>IF(DaybyDay[[#This Row],[_Space]],DaybyDay[[#This Row],[Ret-LY-RU]]/DaybyDay[[#This Row],[Serv-LY-RU]],"")</f>
        <v>#DIV/0!</v>
      </c>
      <c r="AE611" s="30">
        <f>WEEKDAY(DaybyDay[[#This Row],[LY-Date]])</f>
        <v>3</v>
      </c>
      <c r="AF611" s="38">
        <f>$E$2+_xlfn.DAYS(DaybyDay[[#This Row],[Date]],minDate)</f>
        <v>42976</v>
      </c>
      <c r="AG611" s="39" cm="1">
        <f t="array" ref="AG611">IFERROR(INDEX(DaybyDay[],DaybyDay[[#This Row],[FORM_MATCH_HELPER]],8),"")</f>
        <v>10</v>
      </c>
      <c r="AH611" s="39" cm="1">
        <f t="array" ref="AH611">IFERROR(INDEX(DaybyDay[],DaybyDay[[#This Row],[FORM_MATCH_HELPER]],10),"")</f>
        <v>3035.39</v>
      </c>
      <c r="AI611" s="39" cm="1">
        <f t="array" ref="AI611">IFERROR(INDEX(DaybyDay[],DaybyDay[[#This Row],[FORM_MATCH_HELPER]],12),"")</f>
        <v>561.29999999999995</v>
      </c>
      <c r="AJ611" s="32">
        <f>IFERROR(DaybyDay[[#This Row],[Serv-LY-RU]]+DaybyDay[[#This Row],[Ret-LY-RU]],"")</f>
        <v>0</v>
      </c>
      <c r="AK6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1" s="77"/>
      <c r="AM611" s="40" t="str">
        <f>IF(DaybyDay[[#This Row],[Admin Hours]]&gt;0,DaybyDay[[#This Row],[Admin Hours]]*$AM$2+$AM$3,"")</f>
        <v/>
      </c>
      <c r="AN611" s="40">
        <f>SUMIFS(DaybyDay[Est-Admin-Payroll],DaybyDay[Date],"&gt;="&amp;$C$5,DaybyDay[RowYear],"&gt;="&amp;$C$4,DaybyDay[Date],"&lt;="&amp;DaybyDay[[#This Row],[Date]])</f>
        <v>0</v>
      </c>
      <c r="AO611" s="41" t="str">
        <f>IF(AND(DaybyDay[[#This Row],[_Space]],ISNUMBER(DaybyDay[[#This Row],[Admin Hours]])),DaybyDay[[#This Row],[Est-Admin-Payroll]]/(DaybyDay[[#This Row],[Service-Actuals]]+DaybyDay[[#This Row],[Retail-Actuals]]),"")</f>
        <v/>
      </c>
      <c r="AP611" s="41" t="e">
        <f>DaybyDay[[#This Row],[Estimated-Payroll-Rollup]]/DaybyDay[[#This Row],[Simple-Forecast]]</f>
        <v>#DIV/0!</v>
      </c>
      <c r="AQ6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1" s="77"/>
      <c r="AS611" s="40" t="str">
        <f>IF(DaybyDay[[#This Row],[Retail Hours]]&gt;0,DaybyDay[[#This Row],[Retail Hours]]*$AS$2,"")</f>
        <v/>
      </c>
      <c r="AT611" s="40">
        <f>SUMIFS(DaybyDay[Est-Retail-Payroll],DaybyDay[Date],"&gt;="&amp;$C$5,DaybyDay[RowYear],"&gt;="&amp;$C$4,DaybyDay[Date],"&lt;="&amp;DaybyDay[[#This Row],[Date]])</f>
        <v>0</v>
      </c>
      <c r="AU611" s="82" t="str">
        <f>IF(AND(DaybyDay[[#This Row],[_Space]],ISNUMBER(DaybyDay[[#This Row],[Retail Hours]])),DaybyDay[[#This Row],[Est-Retail-Payroll]]/(DaybyDay[[#This Row],[Retail-Actuals]]),"")</f>
        <v/>
      </c>
      <c r="AV611" s="82" t="e">
        <f>DaybyDay[[#This Row],[Est-Retail-PayrollRU]]/DaybyDay[[#This Row],[Simple-Forecast-Retail]]</f>
        <v>#DIV/0!</v>
      </c>
      <c r="AW611" s="8"/>
    </row>
    <row r="612" spans="3:49" hidden="1" x14ac:dyDescent="0.25">
      <c r="C612" s="26" t="str">
        <f>Tools!$C$1</f>
        <v>Example</v>
      </c>
      <c r="D612" s="27" t="s">
        <v>75</v>
      </c>
      <c r="E612" s="28">
        <v>2018</v>
      </c>
      <c r="F612" s="28">
        <f>MATCH(DaybyDay[[#This Row],[RowMonth]],Table3[SummaryMonth],0)</f>
        <v>8</v>
      </c>
      <c r="G612" s="29">
        <f>MATCH(DaybyDay[[#This Row],[LY-Date]],DaybyDay[Date],0)</f>
        <v>242</v>
      </c>
      <c r="H612" s="30">
        <f>WEEKDAY(DaybyDay[[#This Row],[Date]])</f>
        <v>4</v>
      </c>
      <c r="I612" s="31">
        <v>43341</v>
      </c>
      <c r="J612" s="74">
        <v>13</v>
      </c>
      <c r="K612" s="32">
        <f>SUMIFS(BudgetSeasonality[365 Seasonality],BudgetSeasonality[MonthAdjustment],DaybyDay[[#This Row],[Date]])*SUMIFS(Budgets[Service-Budget],Budgets[BudgetMonth],DaybyDay[[#This Row],[RowMonth]],Budgets[BudgetYear],DaybyDay[[#This Row],[RowYear]])</f>
        <v>4564.5245961347218</v>
      </c>
      <c r="L612" s="75">
        <v>2894.2</v>
      </c>
      <c r="M612" s="32">
        <f>INDEX(BudgetSeasonality[365 Seasonality],MATCH(DaybyDay[[#This Row],[Date]],BudgetSeasonality[MonthAdjustment],0))*SUMIFS(Budgets[Retail-Budget],Budgets[BudgetMonth],DaybyDay[[#This Row],[RowMonth]],Budgets[BudgetYear],DaybyDay[[#This Row],[RowYear]])</f>
        <v>1276.3377354048441</v>
      </c>
      <c r="N612" s="75">
        <v>200</v>
      </c>
      <c r="O612" s="33">
        <f>SUMIFS(DaybyDay[Service-Budgets],DaybyDay[Date],"&gt;="&amp;$C$5,DaybyDay[RowYear],"&gt;="&amp;$C$4,DaybyDay[Date],"&lt;="&amp;DaybyDay[[#This Row],[Date]])</f>
        <v>0</v>
      </c>
      <c r="P612" s="33">
        <f>SUMIFS(DaybyDay[Retail-Budgets],DaybyDay[Date],"&gt;="&amp;$C$5,DaybyDay[RowYear],"&gt;="&amp;$C$4,DaybyDay[Date],"&lt;="&amp;DaybyDay[[#This Row],[Date]])</f>
        <v>0</v>
      </c>
      <c r="Q612" s="34">
        <f>SUMIFS(DaybyDay[Service-Actuals],DaybyDay[Date],"&gt;="&amp;$C$5,DaybyDay[RowYear],"&gt;="&amp;$C$4,DaybyDay[Date],"&lt;="&amp;DaybyDay[[#This Row],[Date]])</f>
        <v>0</v>
      </c>
      <c r="R612" s="34">
        <f>SUMIFS(DaybyDay[Retail-Actuals],DaybyDay[Date],"&gt;="&amp;$C$5,DaybyDay[RowYear],"&gt;="&amp;$C$4,DaybyDay[Date],"&lt;="&amp;DaybyDay[[#This Row],[Date]])</f>
        <v>0</v>
      </c>
      <c r="S612" s="35">
        <f>SUMIFS(DaybyDay[Service-LY],DaybyDay[Date],"&gt;="&amp;$C$5,DaybyDay[RowYear],"&gt;="&amp;$C$4,DaybyDay[Date],"&lt;="&amp;DaybyDay[[#This Row],[Date]])</f>
        <v>0</v>
      </c>
      <c r="T612" s="35">
        <f>SUMIFS(DaybyDay[Retail-LY],DaybyDay[Date],"&gt;="&amp;$C$5,DaybyDay[RowYear],"&gt;="&amp;$C$4,DaybyDay[Date],"&lt;="&amp;DaybyDay[[#This Row],[Date]])</f>
        <v>0</v>
      </c>
      <c r="U612" s="32">
        <f>DaybyDay[[#This Row],[Serv-Bud-RU]]+DaybyDay[[#This Row],[Ret-Bud-RU]]</f>
        <v>0</v>
      </c>
      <c r="V612" s="32">
        <f>DaybyDay[[#This Row],[Serv-Act-RU]]+DaybyDay[[#This Row],[Ret-Act-RU]]</f>
        <v>0</v>
      </c>
      <c r="W612" s="36">
        <f>IF(DaybyDay[[#This Row],[_Space]],IFERROR(
((DaybyDay[[#This Row],[Actual-Rollup]]-DaybyDay[[#This Row],[Budget-Rollup]])/DaybyDay[[#This Row],[Budget-Rollup]]),0),"")</f>
        <v>0</v>
      </c>
      <c r="X612" t="b">
        <f>NOT(AND(ISBLANK(DaybyDay[[#This Row],[Appts]]),ISBLANK(DaybyDay[[#This Row],[Service-Actuals]]),ISBLANK(DaybyDay[[#This Row],[Retail-Actuals]])))</f>
        <v>1</v>
      </c>
      <c r="Y612" s="36">
        <f>IF(DaybyDay[[#This Row],[_Space]],IFERROR(
((DaybyDay[[#This Row],[Actual-Rollup]]-DaybyDay[[#This Row],[LY-Rollup]])/DaybyDay[[#This Row],[LY-Rollup]]),0),"")</f>
        <v>0</v>
      </c>
      <c r="Z612"/>
      <c r="AA612" s="37" t="e">
        <f>IF(DaybyDay[[#This Row],[_Space]],DaybyDay[[#This Row],[Ret-Act-RU]]/DaybyDay[[#This Row],[Serv-Act-RU]],"")</f>
        <v>#DIV/0!</v>
      </c>
      <c r="AB612" s="50" t="e">
        <f>IF(DaybyDay[[#This Row],[_Space]],DaybyDay[[#This Row],[RETPEN-Act]]/DaybyDay[[#This Row],[RETPEN-Bud]],"")</f>
        <v>#DIV/0!</v>
      </c>
      <c r="AC612" s="37" t="e">
        <f>IF(DaybyDay[[#This Row],[_Space]],DaybyDay[[#This Row],[Ret-Bud-RU]]/DaybyDay[[#This Row],[Serv-Bud-RU]],"")</f>
        <v>#DIV/0!</v>
      </c>
      <c r="AD612" s="37" t="e">
        <f>IF(DaybyDay[[#This Row],[_Space]],DaybyDay[[#This Row],[Ret-LY-RU]]/DaybyDay[[#This Row],[Serv-LY-RU]],"")</f>
        <v>#DIV/0!</v>
      </c>
      <c r="AE612" s="30">
        <f>WEEKDAY(DaybyDay[[#This Row],[LY-Date]])</f>
        <v>4</v>
      </c>
      <c r="AF612" s="38">
        <f>$E$2+_xlfn.DAYS(DaybyDay[[#This Row],[Date]],minDate)</f>
        <v>42977</v>
      </c>
      <c r="AG612" s="39" cm="1">
        <f t="array" ref="AG612">IFERROR(INDEX(DaybyDay[],DaybyDay[[#This Row],[FORM_MATCH_HELPER]],8),"")</f>
        <v>21</v>
      </c>
      <c r="AH612" s="39" cm="1">
        <f t="array" ref="AH612">IFERROR(INDEX(DaybyDay[],DaybyDay[[#This Row],[FORM_MATCH_HELPER]],10),"")</f>
        <v>4284.6000000000004</v>
      </c>
      <c r="AI612" s="39" cm="1">
        <f t="array" ref="AI612">IFERROR(INDEX(DaybyDay[],DaybyDay[[#This Row],[FORM_MATCH_HELPER]],12),"")</f>
        <v>1039</v>
      </c>
      <c r="AJ612" s="32">
        <f>IFERROR(DaybyDay[[#This Row],[Serv-LY-RU]]+DaybyDay[[#This Row],[Ret-LY-RU]],"")</f>
        <v>0</v>
      </c>
      <c r="AK6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2" s="77"/>
      <c r="AM612" s="40" t="str">
        <f>IF(DaybyDay[[#This Row],[Admin Hours]]&gt;0,DaybyDay[[#This Row],[Admin Hours]]*$AM$2+$AM$3,"")</f>
        <v/>
      </c>
      <c r="AN612" s="40">
        <f>SUMIFS(DaybyDay[Est-Admin-Payroll],DaybyDay[Date],"&gt;="&amp;$C$5,DaybyDay[RowYear],"&gt;="&amp;$C$4,DaybyDay[Date],"&lt;="&amp;DaybyDay[[#This Row],[Date]])</f>
        <v>0</v>
      </c>
      <c r="AO612" s="41" t="str">
        <f>IF(AND(DaybyDay[[#This Row],[_Space]],ISNUMBER(DaybyDay[[#This Row],[Admin Hours]])),DaybyDay[[#This Row],[Est-Admin-Payroll]]/(DaybyDay[[#This Row],[Service-Actuals]]+DaybyDay[[#This Row],[Retail-Actuals]]),"")</f>
        <v/>
      </c>
      <c r="AP612" s="41" t="e">
        <f>DaybyDay[[#This Row],[Estimated-Payroll-Rollup]]/DaybyDay[[#This Row],[Simple-Forecast]]</f>
        <v>#DIV/0!</v>
      </c>
      <c r="AQ6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2" s="77"/>
      <c r="AS612" s="40" t="str">
        <f>IF(DaybyDay[[#This Row],[Retail Hours]]&gt;0,DaybyDay[[#This Row],[Retail Hours]]*$AS$2,"")</f>
        <v/>
      </c>
      <c r="AT612" s="40">
        <f>SUMIFS(DaybyDay[Est-Retail-Payroll],DaybyDay[Date],"&gt;="&amp;$C$5,DaybyDay[RowYear],"&gt;="&amp;$C$4,DaybyDay[Date],"&lt;="&amp;DaybyDay[[#This Row],[Date]])</f>
        <v>0</v>
      </c>
      <c r="AU612" s="82" t="str">
        <f>IF(AND(DaybyDay[[#This Row],[_Space]],ISNUMBER(DaybyDay[[#This Row],[Retail Hours]])),DaybyDay[[#This Row],[Est-Retail-Payroll]]/(DaybyDay[[#This Row],[Retail-Actuals]]),"")</f>
        <v/>
      </c>
      <c r="AV612" s="82" t="e">
        <f>DaybyDay[[#This Row],[Est-Retail-PayrollRU]]/DaybyDay[[#This Row],[Simple-Forecast-Retail]]</f>
        <v>#DIV/0!</v>
      </c>
      <c r="AW612" s="8"/>
    </row>
    <row r="613" spans="3:49" hidden="1" x14ac:dyDescent="0.25">
      <c r="C613" s="26" t="str">
        <f>Tools!$C$1</f>
        <v>Example</v>
      </c>
      <c r="D613" s="27" t="s">
        <v>75</v>
      </c>
      <c r="E613" s="28">
        <v>2018</v>
      </c>
      <c r="F613" s="28">
        <f>MATCH(DaybyDay[[#This Row],[RowMonth]],Table3[SummaryMonth],0)</f>
        <v>8</v>
      </c>
      <c r="G613" s="29">
        <f>MATCH(DaybyDay[[#This Row],[LY-Date]],DaybyDay[Date],0)</f>
        <v>243</v>
      </c>
      <c r="H613" s="30">
        <f>WEEKDAY(DaybyDay[[#This Row],[Date]])</f>
        <v>5</v>
      </c>
      <c r="I613" s="31">
        <v>43342</v>
      </c>
      <c r="J613" s="74">
        <v>24</v>
      </c>
      <c r="K613" s="32">
        <f>SUMIFS(BudgetSeasonality[365 Seasonality],BudgetSeasonality[MonthAdjustment],DaybyDay[[#This Row],[Date]])*SUMIFS(Budgets[Service-Budget],Budgets[BudgetMonth],DaybyDay[[#This Row],[RowMonth]],Budgets[BudgetYear],DaybyDay[[#This Row],[RowYear]])</f>
        <v>4723.6843184052032</v>
      </c>
      <c r="L613" s="75">
        <v>3954.95</v>
      </c>
      <c r="M613" s="32">
        <f>INDEX(BudgetSeasonality[365 Seasonality],MATCH(DaybyDay[[#This Row],[Date]],BudgetSeasonality[MonthAdjustment],0))*SUMIFS(Budgets[Retail-Budget],Budgets[BudgetMonth],DaybyDay[[#This Row],[RowMonth]],Budgets[BudgetYear],DaybyDay[[#This Row],[RowYear]])</f>
        <v>1320.8421641163013</v>
      </c>
      <c r="N613" s="75">
        <v>1023.05</v>
      </c>
      <c r="O613" s="33">
        <f>SUMIFS(DaybyDay[Service-Budgets],DaybyDay[Date],"&gt;="&amp;$C$5,DaybyDay[RowYear],"&gt;="&amp;$C$4,DaybyDay[Date],"&lt;="&amp;DaybyDay[[#This Row],[Date]])</f>
        <v>0</v>
      </c>
      <c r="P613" s="33">
        <f>SUMIFS(DaybyDay[Retail-Budgets],DaybyDay[Date],"&gt;="&amp;$C$5,DaybyDay[RowYear],"&gt;="&amp;$C$4,DaybyDay[Date],"&lt;="&amp;DaybyDay[[#This Row],[Date]])</f>
        <v>0</v>
      </c>
      <c r="Q613" s="34">
        <f>SUMIFS(DaybyDay[Service-Actuals],DaybyDay[Date],"&gt;="&amp;$C$5,DaybyDay[RowYear],"&gt;="&amp;$C$4,DaybyDay[Date],"&lt;="&amp;DaybyDay[[#This Row],[Date]])</f>
        <v>0</v>
      </c>
      <c r="R613" s="34">
        <f>SUMIFS(DaybyDay[Retail-Actuals],DaybyDay[Date],"&gt;="&amp;$C$5,DaybyDay[RowYear],"&gt;="&amp;$C$4,DaybyDay[Date],"&lt;="&amp;DaybyDay[[#This Row],[Date]])</f>
        <v>0</v>
      </c>
      <c r="S613" s="35">
        <f>SUMIFS(DaybyDay[Service-LY],DaybyDay[Date],"&gt;="&amp;$C$5,DaybyDay[RowYear],"&gt;="&amp;$C$4,DaybyDay[Date],"&lt;="&amp;DaybyDay[[#This Row],[Date]])</f>
        <v>0</v>
      </c>
      <c r="T613" s="35">
        <f>SUMIFS(DaybyDay[Retail-LY],DaybyDay[Date],"&gt;="&amp;$C$5,DaybyDay[RowYear],"&gt;="&amp;$C$4,DaybyDay[Date],"&lt;="&amp;DaybyDay[[#This Row],[Date]])</f>
        <v>0</v>
      </c>
      <c r="U613" s="32">
        <f>DaybyDay[[#This Row],[Serv-Bud-RU]]+DaybyDay[[#This Row],[Ret-Bud-RU]]</f>
        <v>0</v>
      </c>
      <c r="V613" s="32">
        <f>DaybyDay[[#This Row],[Serv-Act-RU]]+DaybyDay[[#This Row],[Ret-Act-RU]]</f>
        <v>0</v>
      </c>
      <c r="W613" s="36">
        <f>IF(DaybyDay[[#This Row],[_Space]],IFERROR(
((DaybyDay[[#This Row],[Actual-Rollup]]-DaybyDay[[#This Row],[Budget-Rollup]])/DaybyDay[[#This Row],[Budget-Rollup]]),0),"")</f>
        <v>0</v>
      </c>
      <c r="X613" t="b">
        <f>NOT(AND(ISBLANK(DaybyDay[[#This Row],[Appts]]),ISBLANK(DaybyDay[[#This Row],[Service-Actuals]]),ISBLANK(DaybyDay[[#This Row],[Retail-Actuals]])))</f>
        <v>1</v>
      </c>
      <c r="Y613" s="36">
        <f>IF(DaybyDay[[#This Row],[_Space]],IFERROR(
((DaybyDay[[#This Row],[Actual-Rollup]]-DaybyDay[[#This Row],[LY-Rollup]])/DaybyDay[[#This Row],[LY-Rollup]]),0),"")</f>
        <v>0</v>
      </c>
      <c r="Z613"/>
      <c r="AA613" s="37" t="e">
        <f>IF(DaybyDay[[#This Row],[_Space]],DaybyDay[[#This Row],[Ret-Act-RU]]/DaybyDay[[#This Row],[Serv-Act-RU]],"")</f>
        <v>#DIV/0!</v>
      </c>
      <c r="AB613" s="50" t="e">
        <f>IF(DaybyDay[[#This Row],[_Space]],DaybyDay[[#This Row],[RETPEN-Act]]/DaybyDay[[#This Row],[RETPEN-Bud]],"")</f>
        <v>#DIV/0!</v>
      </c>
      <c r="AC613" s="37" t="e">
        <f>IF(DaybyDay[[#This Row],[_Space]],DaybyDay[[#This Row],[Ret-Bud-RU]]/DaybyDay[[#This Row],[Serv-Bud-RU]],"")</f>
        <v>#DIV/0!</v>
      </c>
      <c r="AD613" s="37" t="e">
        <f>IF(DaybyDay[[#This Row],[_Space]],DaybyDay[[#This Row],[Ret-LY-RU]]/DaybyDay[[#This Row],[Serv-LY-RU]],"")</f>
        <v>#DIV/0!</v>
      </c>
      <c r="AE613" s="30">
        <f>WEEKDAY(DaybyDay[[#This Row],[LY-Date]])</f>
        <v>5</v>
      </c>
      <c r="AF613" s="38">
        <f>$E$2+_xlfn.DAYS(DaybyDay[[#This Row],[Date]],minDate)</f>
        <v>42978</v>
      </c>
      <c r="AG613" s="39" cm="1">
        <f t="array" ref="AG613">IFERROR(INDEX(DaybyDay[],DaybyDay[[#This Row],[FORM_MATCH_HELPER]],8),"")</f>
        <v>24</v>
      </c>
      <c r="AH613" s="39" cm="1">
        <f t="array" ref="AH613">IFERROR(INDEX(DaybyDay[],DaybyDay[[#This Row],[FORM_MATCH_HELPER]],10),"")</f>
        <v>4369.6000000000004</v>
      </c>
      <c r="AI613" s="39" cm="1">
        <f t="array" ref="AI613">IFERROR(INDEX(DaybyDay[],DaybyDay[[#This Row],[FORM_MATCH_HELPER]],12),"")</f>
        <v>1409.4</v>
      </c>
      <c r="AJ613" s="32">
        <f>IFERROR(DaybyDay[[#This Row],[Serv-LY-RU]]+DaybyDay[[#This Row],[Ret-LY-RU]],"")</f>
        <v>0</v>
      </c>
      <c r="AK6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3" s="77"/>
      <c r="AM613" s="40" t="str">
        <f>IF(DaybyDay[[#This Row],[Admin Hours]]&gt;0,DaybyDay[[#This Row],[Admin Hours]]*$AM$2+$AM$3,"")</f>
        <v/>
      </c>
      <c r="AN613" s="40">
        <f>SUMIFS(DaybyDay[Est-Admin-Payroll],DaybyDay[Date],"&gt;="&amp;$C$5,DaybyDay[RowYear],"&gt;="&amp;$C$4,DaybyDay[Date],"&lt;="&amp;DaybyDay[[#This Row],[Date]])</f>
        <v>0</v>
      </c>
      <c r="AO613" s="41" t="str">
        <f>IF(AND(DaybyDay[[#This Row],[_Space]],ISNUMBER(DaybyDay[[#This Row],[Admin Hours]])),DaybyDay[[#This Row],[Est-Admin-Payroll]]/(DaybyDay[[#This Row],[Service-Actuals]]+DaybyDay[[#This Row],[Retail-Actuals]]),"")</f>
        <v/>
      </c>
      <c r="AP613" s="41" t="e">
        <f>DaybyDay[[#This Row],[Estimated-Payroll-Rollup]]/DaybyDay[[#This Row],[Simple-Forecast]]</f>
        <v>#DIV/0!</v>
      </c>
      <c r="AQ6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3" s="77"/>
      <c r="AS613" s="40" t="str">
        <f>IF(DaybyDay[[#This Row],[Retail Hours]]&gt;0,DaybyDay[[#This Row],[Retail Hours]]*$AS$2,"")</f>
        <v/>
      </c>
      <c r="AT613" s="40">
        <f>SUMIFS(DaybyDay[Est-Retail-Payroll],DaybyDay[Date],"&gt;="&amp;$C$5,DaybyDay[RowYear],"&gt;="&amp;$C$4,DaybyDay[Date],"&lt;="&amp;DaybyDay[[#This Row],[Date]])</f>
        <v>0</v>
      </c>
      <c r="AU613" s="82" t="str">
        <f>IF(AND(DaybyDay[[#This Row],[_Space]],ISNUMBER(DaybyDay[[#This Row],[Retail Hours]])),DaybyDay[[#This Row],[Est-Retail-Payroll]]/(DaybyDay[[#This Row],[Retail-Actuals]]),"")</f>
        <v/>
      </c>
      <c r="AV613" s="82" t="e">
        <f>DaybyDay[[#This Row],[Est-Retail-PayrollRU]]/DaybyDay[[#This Row],[Simple-Forecast-Retail]]</f>
        <v>#DIV/0!</v>
      </c>
      <c r="AW613" s="8"/>
    </row>
    <row r="614" spans="3:49" hidden="1" x14ac:dyDescent="0.25">
      <c r="C614" s="26" t="str">
        <f>Tools!$C$1</f>
        <v>Example</v>
      </c>
      <c r="D614" s="27" t="s">
        <v>75</v>
      </c>
      <c r="E614" s="28">
        <v>2018</v>
      </c>
      <c r="F614" s="28">
        <f>MATCH(DaybyDay[[#This Row],[RowMonth]],Table3[SummaryMonth],0)</f>
        <v>8</v>
      </c>
      <c r="G614" s="29">
        <f>MATCH(DaybyDay[[#This Row],[LY-Date]],DaybyDay[Date],0)</f>
        <v>244</v>
      </c>
      <c r="H614" s="30">
        <f>WEEKDAY(DaybyDay[[#This Row],[Date]])</f>
        <v>6</v>
      </c>
      <c r="I614" s="31">
        <v>43343</v>
      </c>
      <c r="J614" s="74">
        <v>21</v>
      </c>
      <c r="K614" s="32">
        <f>SUMIFS(BudgetSeasonality[365 Seasonality],BudgetSeasonality[MonthAdjustment],DaybyDay[[#This Row],[Date]])*SUMIFS(Budgets[Service-Budget],Budgets[BudgetMonth],DaybyDay[[#This Row],[RowMonth]],Budgets[BudgetYear],DaybyDay[[#This Row],[RowYear]])</f>
        <v>6001.250383824532</v>
      </c>
      <c r="L614" s="75">
        <v>4669</v>
      </c>
      <c r="M614" s="32">
        <f>INDEX(BudgetSeasonality[365 Seasonality],MATCH(DaybyDay[[#This Row],[Date]],BudgetSeasonality[MonthAdjustment],0))*SUMIFS(Budgets[Retail-Budget],Budgets[BudgetMonth],DaybyDay[[#This Row],[RowMonth]],Budgets[BudgetYear],DaybyDay[[#This Row],[RowYear]])</f>
        <v>1678.076689733316</v>
      </c>
      <c r="N614" s="75">
        <v>3792.3</v>
      </c>
      <c r="O614" s="33">
        <f>SUMIFS(DaybyDay[Service-Budgets],DaybyDay[Date],"&gt;="&amp;$C$5,DaybyDay[RowYear],"&gt;="&amp;$C$4,DaybyDay[Date],"&lt;="&amp;DaybyDay[[#This Row],[Date]])</f>
        <v>0</v>
      </c>
      <c r="P614" s="33">
        <f>SUMIFS(DaybyDay[Retail-Budgets],DaybyDay[Date],"&gt;="&amp;$C$5,DaybyDay[RowYear],"&gt;="&amp;$C$4,DaybyDay[Date],"&lt;="&amp;DaybyDay[[#This Row],[Date]])</f>
        <v>0</v>
      </c>
      <c r="Q614" s="34">
        <f>SUMIFS(DaybyDay[Service-Actuals],DaybyDay[Date],"&gt;="&amp;$C$5,DaybyDay[RowYear],"&gt;="&amp;$C$4,DaybyDay[Date],"&lt;="&amp;DaybyDay[[#This Row],[Date]])</f>
        <v>0</v>
      </c>
      <c r="R614" s="34">
        <f>SUMIFS(DaybyDay[Retail-Actuals],DaybyDay[Date],"&gt;="&amp;$C$5,DaybyDay[RowYear],"&gt;="&amp;$C$4,DaybyDay[Date],"&lt;="&amp;DaybyDay[[#This Row],[Date]])</f>
        <v>0</v>
      </c>
      <c r="S614" s="35">
        <f>SUMIFS(DaybyDay[Service-LY],DaybyDay[Date],"&gt;="&amp;$C$5,DaybyDay[RowYear],"&gt;="&amp;$C$4,DaybyDay[Date],"&lt;="&amp;DaybyDay[[#This Row],[Date]])</f>
        <v>0</v>
      </c>
      <c r="T614" s="35">
        <f>SUMIFS(DaybyDay[Retail-LY],DaybyDay[Date],"&gt;="&amp;$C$5,DaybyDay[RowYear],"&gt;="&amp;$C$4,DaybyDay[Date],"&lt;="&amp;DaybyDay[[#This Row],[Date]])</f>
        <v>0</v>
      </c>
      <c r="U614" s="32">
        <f>DaybyDay[[#This Row],[Serv-Bud-RU]]+DaybyDay[[#This Row],[Ret-Bud-RU]]</f>
        <v>0</v>
      </c>
      <c r="V614" s="32">
        <f>DaybyDay[[#This Row],[Serv-Act-RU]]+DaybyDay[[#This Row],[Ret-Act-RU]]</f>
        <v>0</v>
      </c>
      <c r="W614" s="36">
        <f>IF(DaybyDay[[#This Row],[_Space]],IFERROR(
((DaybyDay[[#This Row],[Actual-Rollup]]-DaybyDay[[#This Row],[Budget-Rollup]])/DaybyDay[[#This Row],[Budget-Rollup]]),0),"")</f>
        <v>0</v>
      </c>
      <c r="X614" t="b">
        <f>NOT(AND(ISBLANK(DaybyDay[[#This Row],[Appts]]),ISBLANK(DaybyDay[[#This Row],[Service-Actuals]]),ISBLANK(DaybyDay[[#This Row],[Retail-Actuals]])))</f>
        <v>1</v>
      </c>
      <c r="Y614" s="36">
        <f>IF(DaybyDay[[#This Row],[_Space]],IFERROR(
((DaybyDay[[#This Row],[Actual-Rollup]]-DaybyDay[[#This Row],[LY-Rollup]])/DaybyDay[[#This Row],[LY-Rollup]]),0),"")</f>
        <v>0</v>
      </c>
      <c r="Z614"/>
      <c r="AA614" s="37" t="e">
        <f>IF(DaybyDay[[#This Row],[_Space]],DaybyDay[[#This Row],[Ret-Act-RU]]/DaybyDay[[#This Row],[Serv-Act-RU]],"")</f>
        <v>#DIV/0!</v>
      </c>
      <c r="AB614" s="50" t="e">
        <f>IF(DaybyDay[[#This Row],[_Space]],DaybyDay[[#This Row],[RETPEN-Act]]/DaybyDay[[#This Row],[RETPEN-Bud]],"")</f>
        <v>#DIV/0!</v>
      </c>
      <c r="AC614" s="37" t="e">
        <f>IF(DaybyDay[[#This Row],[_Space]],DaybyDay[[#This Row],[Ret-Bud-RU]]/DaybyDay[[#This Row],[Serv-Bud-RU]],"")</f>
        <v>#DIV/0!</v>
      </c>
      <c r="AD614" s="37" t="e">
        <f>IF(DaybyDay[[#This Row],[_Space]],DaybyDay[[#This Row],[Ret-LY-RU]]/DaybyDay[[#This Row],[Serv-LY-RU]],"")</f>
        <v>#DIV/0!</v>
      </c>
      <c r="AE614" s="30">
        <f>WEEKDAY(DaybyDay[[#This Row],[LY-Date]])</f>
        <v>6</v>
      </c>
      <c r="AF614" s="38">
        <f>$E$2+_xlfn.DAYS(DaybyDay[[#This Row],[Date]],minDate)</f>
        <v>42979</v>
      </c>
      <c r="AG614" s="39" cm="1">
        <f t="array" ref="AG614">IFERROR(INDEX(DaybyDay[],DaybyDay[[#This Row],[FORM_MATCH_HELPER]],8),"")</f>
        <v>28</v>
      </c>
      <c r="AH614" s="39" cm="1">
        <f t="array" ref="AH614">IFERROR(INDEX(DaybyDay[],DaybyDay[[#This Row],[FORM_MATCH_HELPER]],10),"")</f>
        <v>6008.9</v>
      </c>
      <c r="AI614" s="39" cm="1">
        <f t="array" ref="AI614">IFERROR(INDEX(DaybyDay[],DaybyDay[[#This Row],[FORM_MATCH_HELPER]],12),"")</f>
        <v>2052.5</v>
      </c>
      <c r="AJ614" s="32">
        <f>IFERROR(DaybyDay[[#This Row],[Serv-LY-RU]]+DaybyDay[[#This Row],[Ret-LY-RU]],"")</f>
        <v>0</v>
      </c>
      <c r="AK6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4" s="77"/>
      <c r="AM614" s="40" t="str">
        <f>IF(DaybyDay[[#This Row],[Admin Hours]]&gt;0,DaybyDay[[#This Row],[Admin Hours]]*$AM$2+$AM$3,"")</f>
        <v/>
      </c>
      <c r="AN614" s="40">
        <f>SUMIFS(DaybyDay[Est-Admin-Payroll],DaybyDay[Date],"&gt;="&amp;$C$5,DaybyDay[RowYear],"&gt;="&amp;$C$4,DaybyDay[Date],"&lt;="&amp;DaybyDay[[#This Row],[Date]])</f>
        <v>0</v>
      </c>
      <c r="AO614" s="41" t="str">
        <f>IF(AND(DaybyDay[[#This Row],[_Space]],ISNUMBER(DaybyDay[[#This Row],[Admin Hours]])),DaybyDay[[#This Row],[Est-Admin-Payroll]]/(DaybyDay[[#This Row],[Service-Actuals]]+DaybyDay[[#This Row],[Retail-Actuals]]),"")</f>
        <v/>
      </c>
      <c r="AP614" s="41" t="e">
        <f>DaybyDay[[#This Row],[Estimated-Payroll-Rollup]]/DaybyDay[[#This Row],[Simple-Forecast]]</f>
        <v>#DIV/0!</v>
      </c>
      <c r="AQ6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4" s="77"/>
      <c r="AS614" s="40" t="str">
        <f>IF(DaybyDay[[#This Row],[Retail Hours]]&gt;0,DaybyDay[[#This Row],[Retail Hours]]*$AS$2,"")</f>
        <v/>
      </c>
      <c r="AT614" s="40">
        <f>SUMIFS(DaybyDay[Est-Retail-Payroll],DaybyDay[Date],"&gt;="&amp;$C$5,DaybyDay[RowYear],"&gt;="&amp;$C$4,DaybyDay[Date],"&lt;="&amp;DaybyDay[[#This Row],[Date]])</f>
        <v>0</v>
      </c>
      <c r="AU614" s="82" t="str">
        <f>IF(AND(DaybyDay[[#This Row],[_Space]],ISNUMBER(DaybyDay[[#This Row],[Retail Hours]])),DaybyDay[[#This Row],[Est-Retail-Payroll]]/(DaybyDay[[#This Row],[Retail-Actuals]]),"")</f>
        <v/>
      </c>
      <c r="AV614" s="82" t="e">
        <f>DaybyDay[[#This Row],[Est-Retail-PayrollRU]]/DaybyDay[[#This Row],[Simple-Forecast-Retail]]</f>
        <v>#DIV/0!</v>
      </c>
      <c r="AW614" s="8"/>
    </row>
    <row r="615" spans="3:49" hidden="1" x14ac:dyDescent="0.25">
      <c r="C615" s="26" t="str">
        <f>Tools!$C$1</f>
        <v>Example</v>
      </c>
      <c r="D615" s="27" t="s">
        <v>75</v>
      </c>
      <c r="E615" s="28">
        <v>2018</v>
      </c>
      <c r="F615" s="28">
        <f>MATCH(DaybyDay[[#This Row],[RowMonth]],Table3[SummaryMonth],0)</f>
        <v>8</v>
      </c>
      <c r="G615" s="29">
        <f>MATCH(DaybyDay[[#This Row],[LY-Date]],DaybyDay[Date],0)</f>
        <v>245</v>
      </c>
      <c r="H615" s="30">
        <f>WEEKDAY(DaybyDay[[#This Row],[Date]])</f>
        <v>7</v>
      </c>
      <c r="I615" s="31">
        <v>43344</v>
      </c>
      <c r="J615" s="74">
        <v>37</v>
      </c>
      <c r="K615" s="32">
        <f>SUMIFS(BudgetSeasonality[365 Seasonality],BudgetSeasonality[MonthAdjustment],DaybyDay[[#This Row],[Date]])*SUMIFS(Budgets[Service-Budget],Budgets[BudgetMonth],DaybyDay[[#This Row],[RowMonth]],Budgets[BudgetYear],DaybyDay[[#This Row],[RowYear]])</f>
        <v>8686.1541959487076</v>
      </c>
      <c r="L615" s="75">
        <v>7346.5</v>
      </c>
      <c r="M615" s="32">
        <f>INDEX(BudgetSeasonality[365 Seasonality],MATCH(DaybyDay[[#This Row],[Date]],BudgetSeasonality[MonthAdjustment],0))*SUMIFS(Budgets[Retail-Budget],Budgets[BudgetMonth],DaybyDay[[#This Row],[RowMonth]],Budgets[BudgetYear],DaybyDay[[#This Row],[RowYear]])</f>
        <v>2428.8326510985553</v>
      </c>
      <c r="N615" s="75">
        <v>113</v>
      </c>
      <c r="O615" s="33">
        <f>SUMIFS(DaybyDay[Service-Budgets],DaybyDay[Date],"&gt;="&amp;$C$5,DaybyDay[RowYear],"&gt;="&amp;$C$4,DaybyDay[Date],"&lt;="&amp;DaybyDay[[#This Row],[Date]])</f>
        <v>0</v>
      </c>
      <c r="P615" s="33">
        <f>SUMIFS(DaybyDay[Retail-Budgets],DaybyDay[Date],"&gt;="&amp;$C$5,DaybyDay[RowYear],"&gt;="&amp;$C$4,DaybyDay[Date],"&lt;="&amp;DaybyDay[[#This Row],[Date]])</f>
        <v>0</v>
      </c>
      <c r="Q615" s="34">
        <f>SUMIFS(DaybyDay[Service-Actuals],DaybyDay[Date],"&gt;="&amp;$C$5,DaybyDay[RowYear],"&gt;="&amp;$C$4,DaybyDay[Date],"&lt;="&amp;DaybyDay[[#This Row],[Date]])</f>
        <v>0</v>
      </c>
      <c r="R615" s="34">
        <f>SUMIFS(DaybyDay[Retail-Actuals],DaybyDay[Date],"&gt;="&amp;$C$5,DaybyDay[RowYear],"&gt;="&amp;$C$4,DaybyDay[Date],"&lt;="&amp;DaybyDay[[#This Row],[Date]])</f>
        <v>0</v>
      </c>
      <c r="S615" s="35">
        <f>SUMIFS(DaybyDay[Service-LY],DaybyDay[Date],"&gt;="&amp;$C$5,DaybyDay[RowYear],"&gt;="&amp;$C$4,DaybyDay[Date],"&lt;="&amp;DaybyDay[[#This Row],[Date]])</f>
        <v>0</v>
      </c>
      <c r="T615" s="35">
        <f>SUMIFS(DaybyDay[Retail-LY],DaybyDay[Date],"&gt;="&amp;$C$5,DaybyDay[RowYear],"&gt;="&amp;$C$4,DaybyDay[Date],"&lt;="&amp;DaybyDay[[#This Row],[Date]])</f>
        <v>0</v>
      </c>
      <c r="U615" s="32">
        <f>DaybyDay[[#This Row],[Serv-Bud-RU]]+DaybyDay[[#This Row],[Ret-Bud-RU]]</f>
        <v>0</v>
      </c>
      <c r="V615" s="32">
        <f>DaybyDay[[#This Row],[Serv-Act-RU]]+DaybyDay[[#This Row],[Ret-Act-RU]]</f>
        <v>0</v>
      </c>
      <c r="W615" s="36">
        <f>IF(DaybyDay[[#This Row],[_Space]],IFERROR(
((DaybyDay[[#This Row],[Actual-Rollup]]-DaybyDay[[#This Row],[Budget-Rollup]])/DaybyDay[[#This Row],[Budget-Rollup]]),0),"")</f>
        <v>0</v>
      </c>
      <c r="X615" t="b">
        <f>NOT(AND(ISBLANK(DaybyDay[[#This Row],[Appts]]),ISBLANK(DaybyDay[[#This Row],[Service-Actuals]]),ISBLANK(DaybyDay[[#This Row],[Retail-Actuals]])))</f>
        <v>1</v>
      </c>
      <c r="Y615" s="36">
        <f>IF(DaybyDay[[#This Row],[_Space]],IFERROR(
((DaybyDay[[#This Row],[Actual-Rollup]]-DaybyDay[[#This Row],[LY-Rollup]])/DaybyDay[[#This Row],[LY-Rollup]]),0),"")</f>
        <v>0</v>
      </c>
      <c r="Z615"/>
      <c r="AA615" s="37" t="e">
        <f>IF(DaybyDay[[#This Row],[_Space]],DaybyDay[[#This Row],[Ret-Act-RU]]/DaybyDay[[#This Row],[Serv-Act-RU]],"")</f>
        <v>#DIV/0!</v>
      </c>
      <c r="AB615" s="50" t="e">
        <f>IF(DaybyDay[[#This Row],[_Space]],DaybyDay[[#This Row],[RETPEN-Act]]/DaybyDay[[#This Row],[RETPEN-Bud]],"")</f>
        <v>#DIV/0!</v>
      </c>
      <c r="AC615" s="37" t="e">
        <f>IF(DaybyDay[[#This Row],[_Space]],DaybyDay[[#This Row],[Ret-Bud-RU]]/DaybyDay[[#This Row],[Serv-Bud-RU]],"")</f>
        <v>#DIV/0!</v>
      </c>
      <c r="AD615" s="37" t="e">
        <f>IF(DaybyDay[[#This Row],[_Space]],DaybyDay[[#This Row],[Ret-LY-RU]]/DaybyDay[[#This Row],[Serv-LY-RU]],"")</f>
        <v>#DIV/0!</v>
      </c>
      <c r="AE615" s="30">
        <f>WEEKDAY(DaybyDay[[#This Row],[LY-Date]])</f>
        <v>7</v>
      </c>
      <c r="AF615" s="38">
        <f>$E$2+_xlfn.DAYS(DaybyDay[[#This Row],[Date]],minDate)</f>
        <v>42980</v>
      </c>
      <c r="AG615" s="39" cm="1">
        <f t="array" ref="AG615">IFERROR(INDEX(DaybyDay[],DaybyDay[[#This Row],[FORM_MATCH_HELPER]],8),"")</f>
        <v>30</v>
      </c>
      <c r="AH615" s="39" cm="1">
        <f t="array" ref="AH615">IFERROR(INDEX(DaybyDay[],DaybyDay[[#This Row],[FORM_MATCH_HELPER]],10),"")</f>
        <v>7031.99</v>
      </c>
      <c r="AI615" s="39" cm="1">
        <f t="array" ref="AI615">IFERROR(INDEX(DaybyDay[],DaybyDay[[#This Row],[FORM_MATCH_HELPER]],12),"")</f>
        <v>677.5</v>
      </c>
      <c r="AJ615" s="32">
        <f>IFERROR(DaybyDay[[#This Row],[Serv-LY-RU]]+DaybyDay[[#This Row],[Ret-LY-RU]],"")</f>
        <v>0</v>
      </c>
      <c r="AK6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5" s="77"/>
      <c r="AM615" s="40" t="str">
        <f>IF(DaybyDay[[#This Row],[Admin Hours]]&gt;0,DaybyDay[[#This Row],[Admin Hours]]*$AM$2+$AM$3,"")</f>
        <v/>
      </c>
      <c r="AN615" s="40">
        <f>SUMIFS(DaybyDay[Est-Admin-Payroll],DaybyDay[Date],"&gt;="&amp;$C$5,DaybyDay[RowYear],"&gt;="&amp;$C$4,DaybyDay[Date],"&lt;="&amp;DaybyDay[[#This Row],[Date]])</f>
        <v>0</v>
      </c>
      <c r="AO615" s="41" t="str">
        <f>IF(AND(DaybyDay[[#This Row],[_Space]],ISNUMBER(DaybyDay[[#This Row],[Admin Hours]])),DaybyDay[[#This Row],[Est-Admin-Payroll]]/(DaybyDay[[#This Row],[Service-Actuals]]+DaybyDay[[#This Row],[Retail-Actuals]]),"")</f>
        <v/>
      </c>
      <c r="AP615" s="41" t="e">
        <f>DaybyDay[[#This Row],[Estimated-Payroll-Rollup]]/DaybyDay[[#This Row],[Simple-Forecast]]</f>
        <v>#DIV/0!</v>
      </c>
      <c r="AQ6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5" s="77"/>
      <c r="AS615" s="40" t="str">
        <f>IF(DaybyDay[[#This Row],[Retail Hours]]&gt;0,DaybyDay[[#This Row],[Retail Hours]]*$AS$2,"")</f>
        <v/>
      </c>
      <c r="AT615" s="40">
        <f>SUMIFS(DaybyDay[Est-Retail-Payroll],DaybyDay[Date],"&gt;="&amp;$C$5,DaybyDay[RowYear],"&gt;="&amp;$C$4,DaybyDay[Date],"&lt;="&amp;DaybyDay[[#This Row],[Date]])</f>
        <v>0</v>
      </c>
      <c r="AU615" s="82" t="str">
        <f>IF(AND(DaybyDay[[#This Row],[_Space]],ISNUMBER(DaybyDay[[#This Row],[Retail Hours]])),DaybyDay[[#This Row],[Est-Retail-Payroll]]/(DaybyDay[[#This Row],[Retail-Actuals]]),"")</f>
        <v/>
      </c>
      <c r="AV615" s="82" t="e">
        <f>DaybyDay[[#This Row],[Est-Retail-PayrollRU]]/DaybyDay[[#This Row],[Simple-Forecast-Retail]]</f>
        <v>#DIV/0!</v>
      </c>
      <c r="AW615" s="8"/>
    </row>
    <row r="616" spans="3:49" hidden="1" x14ac:dyDescent="0.25">
      <c r="C616" s="26" t="str">
        <f>Tools!$C$1</f>
        <v>Example</v>
      </c>
      <c r="D616" s="27" t="s">
        <v>76</v>
      </c>
      <c r="E616" s="28">
        <v>2018</v>
      </c>
      <c r="F616" s="28">
        <f>MATCH(DaybyDay[[#This Row],[RowMonth]],Table3[SummaryMonth],0)</f>
        <v>9</v>
      </c>
      <c r="G616" s="29">
        <f>MATCH(DaybyDay[[#This Row],[LY-Date]],DaybyDay[Date],0)</f>
        <v>246</v>
      </c>
      <c r="H616" s="30">
        <f>WEEKDAY(DaybyDay[[#This Row],[Date]])</f>
        <v>1</v>
      </c>
      <c r="I616" s="31">
        <v>43345</v>
      </c>
      <c r="J616" s="74">
        <v>17</v>
      </c>
      <c r="K616" s="32">
        <f>SUMIFS(BudgetSeasonality[365 Seasonality],BudgetSeasonality[MonthAdjustment],DaybyDay[[#This Row],[Date]])*SUMIFS(Budgets[Service-Budget],Budgets[BudgetMonth],DaybyDay[[#This Row],[RowMonth]],Budgets[BudgetYear],DaybyDay[[#This Row],[RowYear]])</f>
        <v>6696.5751855508352</v>
      </c>
      <c r="L616" s="75">
        <v>4333</v>
      </c>
      <c r="M616" s="32">
        <f>INDEX(BudgetSeasonality[365 Seasonality],MATCH(DaybyDay[[#This Row],[Date]],BudgetSeasonality[MonthAdjustment],0))*SUMIFS(Budgets[Retail-Budget],Budgets[BudgetMonth],DaybyDay[[#This Row],[RowMonth]],Budgets[BudgetYear],DaybyDay[[#This Row],[RowYear]])</f>
        <v>1872.4623642400111</v>
      </c>
      <c r="N616" s="75">
        <v>424</v>
      </c>
      <c r="O616" s="33">
        <f>SUMIFS(DaybyDay[Service-Budgets],DaybyDay[Date],"&gt;="&amp;$C$5,DaybyDay[RowYear],"&gt;="&amp;$C$4,DaybyDay[Date],"&lt;="&amp;DaybyDay[[#This Row],[Date]])</f>
        <v>0</v>
      </c>
      <c r="P616" s="33">
        <f>SUMIFS(DaybyDay[Retail-Budgets],DaybyDay[Date],"&gt;="&amp;$C$5,DaybyDay[RowYear],"&gt;="&amp;$C$4,DaybyDay[Date],"&lt;="&amp;DaybyDay[[#This Row],[Date]])</f>
        <v>0</v>
      </c>
      <c r="Q616" s="34">
        <f>SUMIFS(DaybyDay[Service-Actuals],DaybyDay[Date],"&gt;="&amp;$C$5,DaybyDay[RowYear],"&gt;="&amp;$C$4,DaybyDay[Date],"&lt;="&amp;DaybyDay[[#This Row],[Date]])</f>
        <v>0</v>
      </c>
      <c r="R616" s="34">
        <f>SUMIFS(DaybyDay[Retail-Actuals],DaybyDay[Date],"&gt;="&amp;$C$5,DaybyDay[RowYear],"&gt;="&amp;$C$4,DaybyDay[Date],"&lt;="&amp;DaybyDay[[#This Row],[Date]])</f>
        <v>0</v>
      </c>
      <c r="S616" s="35">
        <f>SUMIFS(DaybyDay[Service-LY],DaybyDay[Date],"&gt;="&amp;$C$5,DaybyDay[RowYear],"&gt;="&amp;$C$4,DaybyDay[Date],"&lt;="&amp;DaybyDay[[#This Row],[Date]])</f>
        <v>0</v>
      </c>
      <c r="T616" s="35">
        <f>SUMIFS(DaybyDay[Retail-LY],DaybyDay[Date],"&gt;="&amp;$C$5,DaybyDay[RowYear],"&gt;="&amp;$C$4,DaybyDay[Date],"&lt;="&amp;DaybyDay[[#This Row],[Date]])</f>
        <v>0</v>
      </c>
      <c r="U616" s="32">
        <f>DaybyDay[[#This Row],[Serv-Bud-RU]]+DaybyDay[[#This Row],[Ret-Bud-RU]]</f>
        <v>0</v>
      </c>
      <c r="V616" s="32">
        <f>DaybyDay[[#This Row],[Serv-Act-RU]]+DaybyDay[[#This Row],[Ret-Act-RU]]</f>
        <v>0</v>
      </c>
      <c r="W616" s="36">
        <f>IF(DaybyDay[[#This Row],[_Space]],IFERROR(
((DaybyDay[[#This Row],[Actual-Rollup]]-DaybyDay[[#This Row],[Budget-Rollup]])/DaybyDay[[#This Row],[Budget-Rollup]]),0),"")</f>
        <v>0</v>
      </c>
      <c r="X616" t="b">
        <f>NOT(AND(ISBLANK(DaybyDay[[#This Row],[Appts]]),ISBLANK(DaybyDay[[#This Row],[Service-Actuals]]),ISBLANK(DaybyDay[[#This Row],[Retail-Actuals]])))</f>
        <v>1</v>
      </c>
      <c r="Y616" s="36">
        <f>IF(DaybyDay[[#This Row],[_Space]],IFERROR(
((DaybyDay[[#This Row],[Actual-Rollup]]-DaybyDay[[#This Row],[LY-Rollup]])/DaybyDay[[#This Row],[LY-Rollup]]),0),"")</f>
        <v>0</v>
      </c>
      <c r="Z616"/>
      <c r="AA616" s="37" t="e">
        <f>IF(DaybyDay[[#This Row],[_Space]],DaybyDay[[#This Row],[Ret-Act-RU]]/DaybyDay[[#This Row],[Serv-Act-RU]],"")</f>
        <v>#DIV/0!</v>
      </c>
      <c r="AB616" s="50" t="e">
        <f>IF(DaybyDay[[#This Row],[_Space]],DaybyDay[[#This Row],[RETPEN-Act]]/DaybyDay[[#This Row],[RETPEN-Bud]],"")</f>
        <v>#DIV/0!</v>
      </c>
      <c r="AC616" s="37" t="e">
        <f>IF(DaybyDay[[#This Row],[_Space]],DaybyDay[[#This Row],[Ret-Bud-RU]]/DaybyDay[[#This Row],[Serv-Bud-RU]],"")</f>
        <v>#DIV/0!</v>
      </c>
      <c r="AD616" s="37" t="e">
        <f>IF(DaybyDay[[#This Row],[_Space]],DaybyDay[[#This Row],[Ret-LY-RU]]/DaybyDay[[#This Row],[Serv-LY-RU]],"")</f>
        <v>#DIV/0!</v>
      </c>
      <c r="AE616" s="30">
        <f>WEEKDAY(DaybyDay[[#This Row],[LY-Date]])</f>
        <v>1</v>
      </c>
      <c r="AF616" s="38">
        <f>$E$2+_xlfn.DAYS(DaybyDay[[#This Row],[Date]],minDate)</f>
        <v>42981</v>
      </c>
      <c r="AG616" s="39" cm="1">
        <f t="array" ref="AG616">IFERROR(INDEX(DaybyDay[],DaybyDay[[#This Row],[FORM_MATCH_HELPER]],8),"")</f>
        <v>18</v>
      </c>
      <c r="AH616" s="39" cm="1">
        <f t="array" ref="AH616">IFERROR(INDEX(DaybyDay[],DaybyDay[[#This Row],[FORM_MATCH_HELPER]],10),"")</f>
        <v>3372</v>
      </c>
      <c r="AI616" s="39" cm="1">
        <f t="array" ref="AI616">IFERROR(INDEX(DaybyDay[],DaybyDay[[#This Row],[FORM_MATCH_HELPER]],12),"")</f>
        <v>3599</v>
      </c>
      <c r="AJ616" s="32">
        <f>IFERROR(DaybyDay[[#This Row],[Serv-LY-RU]]+DaybyDay[[#This Row],[Ret-LY-RU]],"")</f>
        <v>0</v>
      </c>
      <c r="AK6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6" s="77"/>
      <c r="AM616" s="40" t="str">
        <f>IF(DaybyDay[[#This Row],[Admin Hours]]&gt;0,DaybyDay[[#This Row],[Admin Hours]]*$AM$2+$AM$3,"")</f>
        <v/>
      </c>
      <c r="AN616" s="40">
        <f>SUMIFS(DaybyDay[Est-Admin-Payroll],DaybyDay[Date],"&gt;="&amp;$C$5,DaybyDay[RowYear],"&gt;="&amp;$C$4,DaybyDay[Date],"&lt;="&amp;DaybyDay[[#This Row],[Date]])</f>
        <v>0</v>
      </c>
      <c r="AO616" s="41" t="str">
        <f>IF(AND(DaybyDay[[#This Row],[_Space]],ISNUMBER(DaybyDay[[#This Row],[Admin Hours]])),DaybyDay[[#This Row],[Est-Admin-Payroll]]/(DaybyDay[[#This Row],[Service-Actuals]]+DaybyDay[[#This Row],[Retail-Actuals]]),"")</f>
        <v/>
      </c>
      <c r="AP616" s="41" t="e">
        <f>DaybyDay[[#This Row],[Estimated-Payroll-Rollup]]/DaybyDay[[#This Row],[Simple-Forecast]]</f>
        <v>#DIV/0!</v>
      </c>
      <c r="AQ6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6" s="77"/>
      <c r="AS616" s="40" t="str">
        <f>IF(DaybyDay[[#This Row],[Retail Hours]]&gt;0,DaybyDay[[#This Row],[Retail Hours]]*$AS$2,"")</f>
        <v/>
      </c>
      <c r="AT616" s="40">
        <f>SUMIFS(DaybyDay[Est-Retail-Payroll],DaybyDay[Date],"&gt;="&amp;$C$5,DaybyDay[RowYear],"&gt;="&amp;$C$4,DaybyDay[Date],"&lt;="&amp;DaybyDay[[#This Row],[Date]])</f>
        <v>0</v>
      </c>
      <c r="AU616" s="82" t="str">
        <f>IF(AND(DaybyDay[[#This Row],[_Space]],ISNUMBER(DaybyDay[[#This Row],[Retail Hours]])),DaybyDay[[#This Row],[Est-Retail-Payroll]]/(DaybyDay[[#This Row],[Retail-Actuals]]),"")</f>
        <v/>
      </c>
      <c r="AV616" s="82" t="e">
        <f>DaybyDay[[#This Row],[Est-Retail-PayrollRU]]/DaybyDay[[#This Row],[Simple-Forecast-Retail]]</f>
        <v>#DIV/0!</v>
      </c>
      <c r="AW616" s="8"/>
    </row>
    <row r="617" spans="3:49" hidden="1" x14ac:dyDescent="0.25">
      <c r="C617" s="26" t="str">
        <f>Tools!$C$1</f>
        <v>Example</v>
      </c>
      <c r="D617" s="27" t="s">
        <v>76</v>
      </c>
      <c r="E617" s="28">
        <v>2018</v>
      </c>
      <c r="F617" s="28">
        <f>MATCH(DaybyDay[[#This Row],[RowMonth]],Table3[SummaryMonth],0)</f>
        <v>9</v>
      </c>
      <c r="G617" s="29">
        <f>MATCH(DaybyDay[[#This Row],[LY-Date]],DaybyDay[Date],0)</f>
        <v>247</v>
      </c>
      <c r="H617" s="30">
        <f>WEEKDAY(DaybyDay[[#This Row],[Date]])</f>
        <v>2</v>
      </c>
      <c r="I617" s="31">
        <v>43346</v>
      </c>
      <c r="J617" s="74">
        <v>16</v>
      </c>
      <c r="K617" s="32">
        <f>SUMIFS(BudgetSeasonality[365 Seasonality],BudgetSeasonality[MonthAdjustment],DaybyDay[[#This Row],[Date]])*SUMIFS(Budgets[Service-Budget],Budgets[BudgetMonth],DaybyDay[[#This Row],[RowMonth]],Budgets[BudgetYear],DaybyDay[[#This Row],[RowYear]])</f>
        <v>3798.0407812655781</v>
      </c>
      <c r="L617" s="75">
        <v>6122</v>
      </c>
      <c r="M617" s="32">
        <f>INDEX(BudgetSeasonality[365 Seasonality],MATCH(DaybyDay[[#This Row],[Date]],BudgetSeasonality[MonthAdjustment],0))*SUMIFS(Budgets[Retail-Budget],Budgets[BudgetMonth],DaybyDay[[#This Row],[RowMonth]],Budgets[BudgetYear],DaybyDay[[#This Row],[RowYear]])</f>
        <v>1061.9888859178907</v>
      </c>
      <c r="N617" s="75">
        <v>5996.4</v>
      </c>
      <c r="O617" s="33">
        <f>SUMIFS(DaybyDay[Service-Budgets],DaybyDay[Date],"&gt;="&amp;$C$5,DaybyDay[RowYear],"&gt;="&amp;$C$4,DaybyDay[Date],"&lt;="&amp;DaybyDay[[#This Row],[Date]])</f>
        <v>0</v>
      </c>
      <c r="P617" s="33">
        <f>SUMIFS(DaybyDay[Retail-Budgets],DaybyDay[Date],"&gt;="&amp;$C$5,DaybyDay[RowYear],"&gt;="&amp;$C$4,DaybyDay[Date],"&lt;="&amp;DaybyDay[[#This Row],[Date]])</f>
        <v>0</v>
      </c>
      <c r="Q617" s="34">
        <f>SUMIFS(DaybyDay[Service-Actuals],DaybyDay[Date],"&gt;="&amp;$C$5,DaybyDay[RowYear],"&gt;="&amp;$C$4,DaybyDay[Date],"&lt;="&amp;DaybyDay[[#This Row],[Date]])</f>
        <v>0</v>
      </c>
      <c r="R617" s="34">
        <f>SUMIFS(DaybyDay[Retail-Actuals],DaybyDay[Date],"&gt;="&amp;$C$5,DaybyDay[RowYear],"&gt;="&amp;$C$4,DaybyDay[Date],"&lt;="&amp;DaybyDay[[#This Row],[Date]])</f>
        <v>0</v>
      </c>
      <c r="S617" s="35">
        <f>SUMIFS(DaybyDay[Service-LY],DaybyDay[Date],"&gt;="&amp;$C$5,DaybyDay[RowYear],"&gt;="&amp;$C$4,DaybyDay[Date],"&lt;="&amp;DaybyDay[[#This Row],[Date]])</f>
        <v>0</v>
      </c>
      <c r="T617" s="35">
        <f>SUMIFS(DaybyDay[Retail-LY],DaybyDay[Date],"&gt;="&amp;$C$5,DaybyDay[RowYear],"&gt;="&amp;$C$4,DaybyDay[Date],"&lt;="&amp;DaybyDay[[#This Row],[Date]])</f>
        <v>0</v>
      </c>
      <c r="U617" s="32">
        <f>DaybyDay[[#This Row],[Serv-Bud-RU]]+DaybyDay[[#This Row],[Ret-Bud-RU]]</f>
        <v>0</v>
      </c>
      <c r="V617" s="32">
        <f>DaybyDay[[#This Row],[Serv-Act-RU]]+DaybyDay[[#This Row],[Ret-Act-RU]]</f>
        <v>0</v>
      </c>
      <c r="W617" s="36">
        <f>IF(DaybyDay[[#This Row],[_Space]],IFERROR(
((DaybyDay[[#This Row],[Actual-Rollup]]-DaybyDay[[#This Row],[Budget-Rollup]])/DaybyDay[[#This Row],[Budget-Rollup]]),0),"")</f>
        <v>0</v>
      </c>
      <c r="X617" t="b">
        <f>NOT(AND(ISBLANK(DaybyDay[[#This Row],[Appts]]),ISBLANK(DaybyDay[[#This Row],[Service-Actuals]]),ISBLANK(DaybyDay[[#This Row],[Retail-Actuals]])))</f>
        <v>1</v>
      </c>
      <c r="Y617" s="36">
        <f>IF(DaybyDay[[#This Row],[_Space]],IFERROR(
((DaybyDay[[#This Row],[Actual-Rollup]]-DaybyDay[[#This Row],[LY-Rollup]])/DaybyDay[[#This Row],[LY-Rollup]]),0),"")</f>
        <v>0</v>
      </c>
      <c r="Z617"/>
      <c r="AA617" s="37" t="e">
        <f>IF(DaybyDay[[#This Row],[_Space]],DaybyDay[[#This Row],[Ret-Act-RU]]/DaybyDay[[#This Row],[Serv-Act-RU]],"")</f>
        <v>#DIV/0!</v>
      </c>
      <c r="AB617" s="50" t="e">
        <f>IF(DaybyDay[[#This Row],[_Space]],DaybyDay[[#This Row],[RETPEN-Act]]/DaybyDay[[#This Row],[RETPEN-Bud]],"")</f>
        <v>#DIV/0!</v>
      </c>
      <c r="AC617" s="37" t="e">
        <f>IF(DaybyDay[[#This Row],[_Space]],DaybyDay[[#This Row],[Ret-Bud-RU]]/DaybyDay[[#This Row],[Serv-Bud-RU]],"")</f>
        <v>#DIV/0!</v>
      </c>
      <c r="AD617" s="37" t="e">
        <f>IF(DaybyDay[[#This Row],[_Space]],DaybyDay[[#This Row],[Ret-LY-RU]]/DaybyDay[[#This Row],[Serv-LY-RU]],"")</f>
        <v>#DIV/0!</v>
      </c>
      <c r="AE617" s="30">
        <f>WEEKDAY(DaybyDay[[#This Row],[LY-Date]])</f>
        <v>2</v>
      </c>
      <c r="AF617" s="38">
        <f>$E$2+_xlfn.DAYS(DaybyDay[[#This Row],[Date]],minDate)</f>
        <v>42982</v>
      </c>
      <c r="AG617" s="39" cm="1">
        <f t="array" ref="AG617">IFERROR(INDEX(DaybyDay[],DaybyDay[[#This Row],[FORM_MATCH_HELPER]],8),"")</f>
        <v>15</v>
      </c>
      <c r="AH617" s="39" cm="1">
        <f t="array" ref="AH617">IFERROR(INDEX(DaybyDay[],DaybyDay[[#This Row],[FORM_MATCH_HELPER]],10),"")</f>
        <v>4783.2</v>
      </c>
      <c r="AI617" s="39" cm="1">
        <f t="array" ref="AI617">IFERROR(INDEX(DaybyDay[],DaybyDay[[#This Row],[FORM_MATCH_HELPER]],12),"")</f>
        <v>1524</v>
      </c>
      <c r="AJ617" s="32">
        <f>IFERROR(DaybyDay[[#This Row],[Serv-LY-RU]]+DaybyDay[[#This Row],[Ret-LY-RU]],"")</f>
        <v>0</v>
      </c>
      <c r="AK6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7" s="77"/>
      <c r="AM617" s="40" t="str">
        <f>IF(DaybyDay[[#This Row],[Admin Hours]]&gt;0,DaybyDay[[#This Row],[Admin Hours]]*$AM$2+$AM$3,"")</f>
        <v/>
      </c>
      <c r="AN617" s="40">
        <f>SUMIFS(DaybyDay[Est-Admin-Payroll],DaybyDay[Date],"&gt;="&amp;$C$5,DaybyDay[RowYear],"&gt;="&amp;$C$4,DaybyDay[Date],"&lt;="&amp;DaybyDay[[#This Row],[Date]])</f>
        <v>0</v>
      </c>
      <c r="AO617" s="41" t="str">
        <f>IF(AND(DaybyDay[[#This Row],[_Space]],ISNUMBER(DaybyDay[[#This Row],[Admin Hours]])),DaybyDay[[#This Row],[Est-Admin-Payroll]]/(DaybyDay[[#This Row],[Service-Actuals]]+DaybyDay[[#This Row],[Retail-Actuals]]),"")</f>
        <v/>
      </c>
      <c r="AP617" s="41" t="e">
        <f>DaybyDay[[#This Row],[Estimated-Payroll-Rollup]]/DaybyDay[[#This Row],[Simple-Forecast]]</f>
        <v>#DIV/0!</v>
      </c>
      <c r="AQ6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7" s="77"/>
      <c r="AS617" s="40" t="str">
        <f>IF(DaybyDay[[#This Row],[Retail Hours]]&gt;0,DaybyDay[[#This Row],[Retail Hours]]*$AS$2,"")</f>
        <v/>
      </c>
      <c r="AT617" s="40">
        <f>SUMIFS(DaybyDay[Est-Retail-Payroll],DaybyDay[Date],"&gt;="&amp;$C$5,DaybyDay[RowYear],"&gt;="&amp;$C$4,DaybyDay[Date],"&lt;="&amp;DaybyDay[[#This Row],[Date]])</f>
        <v>0</v>
      </c>
      <c r="AU617" s="82" t="str">
        <f>IF(AND(DaybyDay[[#This Row],[_Space]],ISNUMBER(DaybyDay[[#This Row],[Retail Hours]])),DaybyDay[[#This Row],[Est-Retail-Payroll]]/(DaybyDay[[#This Row],[Retail-Actuals]]),"")</f>
        <v/>
      </c>
      <c r="AV617" s="82" t="e">
        <f>DaybyDay[[#This Row],[Est-Retail-PayrollRU]]/DaybyDay[[#This Row],[Simple-Forecast-Retail]]</f>
        <v>#DIV/0!</v>
      </c>
      <c r="AW617" s="8"/>
    </row>
    <row r="618" spans="3:49" hidden="1" x14ac:dyDescent="0.25">
      <c r="C618" s="26" t="str">
        <f>Tools!$C$1</f>
        <v>Example</v>
      </c>
      <c r="D618" s="27" t="s">
        <v>76</v>
      </c>
      <c r="E618" s="28">
        <v>2018</v>
      </c>
      <c r="F618" s="28">
        <f>MATCH(DaybyDay[[#This Row],[RowMonth]],Table3[SummaryMonth],0)</f>
        <v>9</v>
      </c>
      <c r="G618" s="29">
        <f>MATCH(DaybyDay[[#This Row],[LY-Date]],DaybyDay[Date],0)</f>
        <v>248</v>
      </c>
      <c r="H618" s="30">
        <f>WEEKDAY(DaybyDay[[#This Row],[Date]])</f>
        <v>3</v>
      </c>
      <c r="I618" s="31">
        <v>43347</v>
      </c>
      <c r="J618" s="74">
        <v>15</v>
      </c>
      <c r="K618" s="32">
        <f>SUMIFS(BudgetSeasonality[365 Seasonality],BudgetSeasonality[MonthAdjustment],DaybyDay[[#This Row],[Date]])*SUMIFS(Budgets[Service-Budget],Budgets[BudgetMonth],DaybyDay[[#This Row],[RowMonth]],Budgets[BudgetYear],DaybyDay[[#This Row],[RowYear]])</f>
        <v>3934.7983123187018</v>
      </c>
      <c r="L618" s="75">
        <v>2480</v>
      </c>
      <c r="M618" s="32">
        <f>INDEX(BudgetSeasonality[365 Seasonality],MATCH(DaybyDay[[#This Row],[Date]],BudgetSeasonality[MonthAdjustment],0))*SUMIFS(Budgets[Retail-Budget],Budgets[BudgetMonth],DaybyDay[[#This Row],[RowMonth]],Budgets[BudgetYear],DaybyDay[[#This Row],[RowYear]])</f>
        <v>1100.2283326243037</v>
      </c>
      <c r="N618" s="75">
        <v>950.5</v>
      </c>
      <c r="O618" s="33">
        <f>SUMIFS(DaybyDay[Service-Budgets],DaybyDay[Date],"&gt;="&amp;$C$5,DaybyDay[RowYear],"&gt;="&amp;$C$4,DaybyDay[Date],"&lt;="&amp;DaybyDay[[#This Row],[Date]])</f>
        <v>0</v>
      </c>
      <c r="P618" s="33">
        <f>SUMIFS(DaybyDay[Retail-Budgets],DaybyDay[Date],"&gt;="&amp;$C$5,DaybyDay[RowYear],"&gt;="&amp;$C$4,DaybyDay[Date],"&lt;="&amp;DaybyDay[[#This Row],[Date]])</f>
        <v>0</v>
      </c>
      <c r="Q618" s="34">
        <f>SUMIFS(DaybyDay[Service-Actuals],DaybyDay[Date],"&gt;="&amp;$C$5,DaybyDay[RowYear],"&gt;="&amp;$C$4,DaybyDay[Date],"&lt;="&amp;DaybyDay[[#This Row],[Date]])</f>
        <v>0</v>
      </c>
      <c r="R618" s="34">
        <f>SUMIFS(DaybyDay[Retail-Actuals],DaybyDay[Date],"&gt;="&amp;$C$5,DaybyDay[RowYear],"&gt;="&amp;$C$4,DaybyDay[Date],"&lt;="&amp;DaybyDay[[#This Row],[Date]])</f>
        <v>0</v>
      </c>
      <c r="S618" s="35">
        <f>SUMIFS(DaybyDay[Service-LY],DaybyDay[Date],"&gt;="&amp;$C$5,DaybyDay[RowYear],"&gt;="&amp;$C$4,DaybyDay[Date],"&lt;="&amp;DaybyDay[[#This Row],[Date]])</f>
        <v>0</v>
      </c>
      <c r="T618" s="35">
        <f>SUMIFS(DaybyDay[Retail-LY],DaybyDay[Date],"&gt;="&amp;$C$5,DaybyDay[RowYear],"&gt;="&amp;$C$4,DaybyDay[Date],"&lt;="&amp;DaybyDay[[#This Row],[Date]])</f>
        <v>0</v>
      </c>
      <c r="U618" s="32">
        <f>DaybyDay[[#This Row],[Serv-Bud-RU]]+DaybyDay[[#This Row],[Ret-Bud-RU]]</f>
        <v>0</v>
      </c>
      <c r="V618" s="32">
        <f>DaybyDay[[#This Row],[Serv-Act-RU]]+DaybyDay[[#This Row],[Ret-Act-RU]]</f>
        <v>0</v>
      </c>
      <c r="W618" s="36">
        <f>IF(DaybyDay[[#This Row],[_Space]],IFERROR(
((DaybyDay[[#This Row],[Actual-Rollup]]-DaybyDay[[#This Row],[Budget-Rollup]])/DaybyDay[[#This Row],[Budget-Rollup]]),0),"")</f>
        <v>0</v>
      </c>
      <c r="X618" t="b">
        <f>NOT(AND(ISBLANK(DaybyDay[[#This Row],[Appts]]),ISBLANK(DaybyDay[[#This Row],[Service-Actuals]]),ISBLANK(DaybyDay[[#This Row],[Retail-Actuals]])))</f>
        <v>1</v>
      </c>
      <c r="Y618" s="36">
        <f>IF(DaybyDay[[#This Row],[_Space]],IFERROR(
((DaybyDay[[#This Row],[Actual-Rollup]]-DaybyDay[[#This Row],[LY-Rollup]])/DaybyDay[[#This Row],[LY-Rollup]]),0),"")</f>
        <v>0</v>
      </c>
      <c r="Z618"/>
      <c r="AA618" s="37" t="e">
        <f>IF(DaybyDay[[#This Row],[_Space]],DaybyDay[[#This Row],[Ret-Act-RU]]/DaybyDay[[#This Row],[Serv-Act-RU]],"")</f>
        <v>#DIV/0!</v>
      </c>
      <c r="AB618" s="50" t="e">
        <f>IF(DaybyDay[[#This Row],[_Space]],DaybyDay[[#This Row],[RETPEN-Act]]/DaybyDay[[#This Row],[RETPEN-Bud]],"")</f>
        <v>#DIV/0!</v>
      </c>
      <c r="AC618" s="37" t="e">
        <f>IF(DaybyDay[[#This Row],[_Space]],DaybyDay[[#This Row],[Ret-Bud-RU]]/DaybyDay[[#This Row],[Serv-Bud-RU]],"")</f>
        <v>#DIV/0!</v>
      </c>
      <c r="AD618" s="37" t="e">
        <f>IF(DaybyDay[[#This Row],[_Space]],DaybyDay[[#This Row],[Ret-LY-RU]]/DaybyDay[[#This Row],[Serv-LY-RU]],"")</f>
        <v>#DIV/0!</v>
      </c>
      <c r="AE618" s="30">
        <f>WEEKDAY(DaybyDay[[#This Row],[LY-Date]])</f>
        <v>3</v>
      </c>
      <c r="AF618" s="38">
        <f>$E$2+_xlfn.DAYS(DaybyDay[[#This Row],[Date]],minDate)</f>
        <v>42983</v>
      </c>
      <c r="AG618" s="39" cm="1">
        <f t="array" ref="AG618">IFERROR(INDEX(DaybyDay[],DaybyDay[[#This Row],[FORM_MATCH_HELPER]],8),"")</f>
        <v>18</v>
      </c>
      <c r="AH618" s="39" cm="1">
        <f t="array" ref="AH618">IFERROR(INDEX(DaybyDay[],DaybyDay[[#This Row],[FORM_MATCH_HELPER]],10),"")</f>
        <v>3616</v>
      </c>
      <c r="AI618" s="39" cm="1">
        <f t="array" ref="AI618">IFERROR(INDEX(DaybyDay[],DaybyDay[[#This Row],[FORM_MATCH_HELPER]],12),"")</f>
        <v>3354.75</v>
      </c>
      <c r="AJ618" s="32">
        <f>IFERROR(DaybyDay[[#This Row],[Serv-LY-RU]]+DaybyDay[[#This Row],[Ret-LY-RU]],"")</f>
        <v>0</v>
      </c>
      <c r="AK6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8" s="77"/>
      <c r="AM618" s="40" t="str">
        <f>IF(DaybyDay[[#This Row],[Admin Hours]]&gt;0,DaybyDay[[#This Row],[Admin Hours]]*$AM$2+$AM$3,"")</f>
        <v/>
      </c>
      <c r="AN618" s="40">
        <f>SUMIFS(DaybyDay[Est-Admin-Payroll],DaybyDay[Date],"&gt;="&amp;$C$5,DaybyDay[RowYear],"&gt;="&amp;$C$4,DaybyDay[Date],"&lt;="&amp;DaybyDay[[#This Row],[Date]])</f>
        <v>0</v>
      </c>
      <c r="AO618" s="41" t="str">
        <f>IF(AND(DaybyDay[[#This Row],[_Space]],ISNUMBER(DaybyDay[[#This Row],[Admin Hours]])),DaybyDay[[#This Row],[Est-Admin-Payroll]]/(DaybyDay[[#This Row],[Service-Actuals]]+DaybyDay[[#This Row],[Retail-Actuals]]),"")</f>
        <v/>
      </c>
      <c r="AP618" s="41" t="e">
        <f>DaybyDay[[#This Row],[Estimated-Payroll-Rollup]]/DaybyDay[[#This Row],[Simple-Forecast]]</f>
        <v>#DIV/0!</v>
      </c>
      <c r="AQ6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8" s="77"/>
      <c r="AS618" s="40" t="str">
        <f>IF(DaybyDay[[#This Row],[Retail Hours]]&gt;0,DaybyDay[[#This Row],[Retail Hours]]*$AS$2,"")</f>
        <v/>
      </c>
      <c r="AT618" s="40">
        <f>SUMIFS(DaybyDay[Est-Retail-Payroll],DaybyDay[Date],"&gt;="&amp;$C$5,DaybyDay[RowYear],"&gt;="&amp;$C$4,DaybyDay[Date],"&lt;="&amp;DaybyDay[[#This Row],[Date]])</f>
        <v>0</v>
      </c>
      <c r="AU618" s="82" t="str">
        <f>IF(AND(DaybyDay[[#This Row],[_Space]],ISNUMBER(DaybyDay[[#This Row],[Retail Hours]])),DaybyDay[[#This Row],[Est-Retail-Payroll]]/(DaybyDay[[#This Row],[Retail-Actuals]]),"")</f>
        <v/>
      </c>
      <c r="AV618" s="82" t="e">
        <f>DaybyDay[[#This Row],[Est-Retail-PayrollRU]]/DaybyDay[[#This Row],[Simple-Forecast-Retail]]</f>
        <v>#DIV/0!</v>
      </c>
      <c r="AW618" s="8"/>
    </row>
    <row r="619" spans="3:49" hidden="1" x14ac:dyDescent="0.25">
      <c r="C619" s="26" t="str">
        <f>Tools!$C$1</f>
        <v>Example</v>
      </c>
      <c r="D619" s="27" t="s">
        <v>76</v>
      </c>
      <c r="E619" s="28">
        <v>2018</v>
      </c>
      <c r="F619" s="28">
        <f>MATCH(DaybyDay[[#This Row],[RowMonth]],Table3[SummaryMonth],0)</f>
        <v>9</v>
      </c>
      <c r="G619" s="29">
        <f>MATCH(DaybyDay[[#This Row],[LY-Date]],DaybyDay[Date],0)</f>
        <v>249</v>
      </c>
      <c r="H619" s="30">
        <f>WEEKDAY(DaybyDay[[#This Row],[Date]])</f>
        <v>4</v>
      </c>
      <c r="I619" s="31">
        <v>43348</v>
      </c>
      <c r="J619" s="74">
        <v>19</v>
      </c>
      <c r="K619" s="32">
        <f>SUMIFS(BudgetSeasonality[365 Seasonality],BudgetSeasonality[MonthAdjustment],DaybyDay[[#This Row],[Date]])*SUMIFS(Budgets[Service-Budget],Budgets[BudgetMonth],DaybyDay[[#This Row],[RowMonth]],Budgets[BudgetYear],DaybyDay[[#This Row],[RowYear]])</f>
        <v>4597.7557563268138</v>
      </c>
      <c r="L619" s="75">
        <v>4262</v>
      </c>
      <c r="M619" s="32">
        <f>INDEX(BudgetSeasonality[365 Seasonality],MATCH(DaybyDay[[#This Row],[Date]],BudgetSeasonality[MonthAdjustment],0))*SUMIFS(Budgets[Retail-Budget],Budgets[BudgetMonth],DaybyDay[[#This Row],[RowMonth]],Budgets[BudgetYear],DaybyDay[[#This Row],[RowYear]])</f>
        <v>1285.6011282103857</v>
      </c>
      <c r="N619" s="75">
        <v>579</v>
      </c>
      <c r="O619" s="33">
        <f>SUMIFS(DaybyDay[Service-Budgets],DaybyDay[Date],"&gt;="&amp;$C$5,DaybyDay[RowYear],"&gt;="&amp;$C$4,DaybyDay[Date],"&lt;="&amp;DaybyDay[[#This Row],[Date]])</f>
        <v>0</v>
      </c>
      <c r="P619" s="33">
        <f>SUMIFS(DaybyDay[Retail-Budgets],DaybyDay[Date],"&gt;="&amp;$C$5,DaybyDay[RowYear],"&gt;="&amp;$C$4,DaybyDay[Date],"&lt;="&amp;DaybyDay[[#This Row],[Date]])</f>
        <v>0</v>
      </c>
      <c r="Q619" s="34">
        <f>SUMIFS(DaybyDay[Service-Actuals],DaybyDay[Date],"&gt;="&amp;$C$5,DaybyDay[RowYear],"&gt;="&amp;$C$4,DaybyDay[Date],"&lt;="&amp;DaybyDay[[#This Row],[Date]])</f>
        <v>0</v>
      </c>
      <c r="R619" s="34">
        <f>SUMIFS(DaybyDay[Retail-Actuals],DaybyDay[Date],"&gt;="&amp;$C$5,DaybyDay[RowYear],"&gt;="&amp;$C$4,DaybyDay[Date],"&lt;="&amp;DaybyDay[[#This Row],[Date]])</f>
        <v>0</v>
      </c>
      <c r="S619" s="35">
        <f>SUMIFS(DaybyDay[Service-LY],DaybyDay[Date],"&gt;="&amp;$C$5,DaybyDay[RowYear],"&gt;="&amp;$C$4,DaybyDay[Date],"&lt;="&amp;DaybyDay[[#This Row],[Date]])</f>
        <v>0</v>
      </c>
      <c r="T619" s="35">
        <f>SUMIFS(DaybyDay[Retail-LY],DaybyDay[Date],"&gt;="&amp;$C$5,DaybyDay[RowYear],"&gt;="&amp;$C$4,DaybyDay[Date],"&lt;="&amp;DaybyDay[[#This Row],[Date]])</f>
        <v>0</v>
      </c>
      <c r="U619" s="32">
        <f>DaybyDay[[#This Row],[Serv-Bud-RU]]+DaybyDay[[#This Row],[Ret-Bud-RU]]</f>
        <v>0</v>
      </c>
      <c r="V619" s="32">
        <f>DaybyDay[[#This Row],[Serv-Act-RU]]+DaybyDay[[#This Row],[Ret-Act-RU]]</f>
        <v>0</v>
      </c>
      <c r="W619" s="36">
        <f>IF(DaybyDay[[#This Row],[_Space]],IFERROR(
((DaybyDay[[#This Row],[Actual-Rollup]]-DaybyDay[[#This Row],[Budget-Rollup]])/DaybyDay[[#This Row],[Budget-Rollup]]),0),"")</f>
        <v>0</v>
      </c>
      <c r="X619" t="b">
        <f>NOT(AND(ISBLANK(DaybyDay[[#This Row],[Appts]]),ISBLANK(DaybyDay[[#This Row],[Service-Actuals]]),ISBLANK(DaybyDay[[#This Row],[Retail-Actuals]])))</f>
        <v>1</v>
      </c>
      <c r="Y619" s="36">
        <f>IF(DaybyDay[[#This Row],[_Space]],IFERROR(
((DaybyDay[[#This Row],[Actual-Rollup]]-DaybyDay[[#This Row],[LY-Rollup]])/DaybyDay[[#This Row],[LY-Rollup]]),0),"")</f>
        <v>0</v>
      </c>
      <c r="Z619"/>
      <c r="AA619" s="37" t="e">
        <f>IF(DaybyDay[[#This Row],[_Space]],DaybyDay[[#This Row],[Ret-Act-RU]]/DaybyDay[[#This Row],[Serv-Act-RU]],"")</f>
        <v>#DIV/0!</v>
      </c>
      <c r="AB619" s="50" t="e">
        <f>IF(DaybyDay[[#This Row],[_Space]],DaybyDay[[#This Row],[RETPEN-Act]]/DaybyDay[[#This Row],[RETPEN-Bud]],"")</f>
        <v>#DIV/0!</v>
      </c>
      <c r="AC619" s="37" t="e">
        <f>IF(DaybyDay[[#This Row],[_Space]],DaybyDay[[#This Row],[Ret-Bud-RU]]/DaybyDay[[#This Row],[Serv-Bud-RU]],"")</f>
        <v>#DIV/0!</v>
      </c>
      <c r="AD619" s="37" t="e">
        <f>IF(DaybyDay[[#This Row],[_Space]],DaybyDay[[#This Row],[Ret-LY-RU]]/DaybyDay[[#This Row],[Serv-LY-RU]],"")</f>
        <v>#DIV/0!</v>
      </c>
      <c r="AE619" s="30">
        <f>WEEKDAY(DaybyDay[[#This Row],[LY-Date]])</f>
        <v>4</v>
      </c>
      <c r="AF619" s="38">
        <f>$E$2+_xlfn.DAYS(DaybyDay[[#This Row],[Date]],minDate)</f>
        <v>42984</v>
      </c>
      <c r="AG619" s="39" cm="1">
        <f t="array" ref="AG619">IFERROR(INDEX(DaybyDay[],DaybyDay[[#This Row],[FORM_MATCH_HELPER]],8),"")</f>
        <v>11</v>
      </c>
      <c r="AH619" s="39" cm="1">
        <f t="array" ref="AH619">IFERROR(INDEX(DaybyDay[],DaybyDay[[#This Row],[FORM_MATCH_HELPER]],10),"")</f>
        <v>2386.1999999999998</v>
      </c>
      <c r="AI619" s="39" cm="1">
        <f t="array" ref="AI619">IFERROR(INDEX(DaybyDay[],DaybyDay[[#This Row],[FORM_MATCH_HELPER]],12),"")</f>
        <v>98</v>
      </c>
      <c r="AJ619" s="32">
        <f>IFERROR(DaybyDay[[#This Row],[Serv-LY-RU]]+DaybyDay[[#This Row],[Ret-LY-RU]],"")</f>
        <v>0</v>
      </c>
      <c r="AK6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19" s="77"/>
      <c r="AM619" s="40" t="str">
        <f>IF(DaybyDay[[#This Row],[Admin Hours]]&gt;0,DaybyDay[[#This Row],[Admin Hours]]*$AM$2+$AM$3,"")</f>
        <v/>
      </c>
      <c r="AN619" s="40">
        <f>SUMIFS(DaybyDay[Est-Admin-Payroll],DaybyDay[Date],"&gt;="&amp;$C$5,DaybyDay[RowYear],"&gt;="&amp;$C$4,DaybyDay[Date],"&lt;="&amp;DaybyDay[[#This Row],[Date]])</f>
        <v>0</v>
      </c>
      <c r="AO619" s="41" t="str">
        <f>IF(AND(DaybyDay[[#This Row],[_Space]],ISNUMBER(DaybyDay[[#This Row],[Admin Hours]])),DaybyDay[[#This Row],[Est-Admin-Payroll]]/(DaybyDay[[#This Row],[Service-Actuals]]+DaybyDay[[#This Row],[Retail-Actuals]]),"")</f>
        <v/>
      </c>
      <c r="AP619" s="41" t="e">
        <f>DaybyDay[[#This Row],[Estimated-Payroll-Rollup]]/DaybyDay[[#This Row],[Simple-Forecast]]</f>
        <v>#DIV/0!</v>
      </c>
      <c r="AQ6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19" s="77"/>
      <c r="AS619" s="40" t="str">
        <f>IF(DaybyDay[[#This Row],[Retail Hours]]&gt;0,DaybyDay[[#This Row],[Retail Hours]]*$AS$2,"")</f>
        <v/>
      </c>
      <c r="AT619" s="40">
        <f>SUMIFS(DaybyDay[Est-Retail-Payroll],DaybyDay[Date],"&gt;="&amp;$C$5,DaybyDay[RowYear],"&gt;="&amp;$C$4,DaybyDay[Date],"&lt;="&amp;DaybyDay[[#This Row],[Date]])</f>
        <v>0</v>
      </c>
      <c r="AU619" s="82" t="str">
        <f>IF(AND(DaybyDay[[#This Row],[_Space]],ISNUMBER(DaybyDay[[#This Row],[Retail Hours]])),DaybyDay[[#This Row],[Est-Retail-Payroll]]/(DaybyDay[[#This Row],[Retail-Actuals]]),"")</f>
        <v/>
      </c>
      <c r="AV619" s="82" t="e">
        <f>DaybyDay[[#This Row],[Est-Retail-PayrollRU]]/DaybyDay[[#This Row],[Simple-Forecast-Retail]]</f>
        <v>#DIV/0!</v>
      </c>
      <c r="AW619" s="8"/>
    </row>
    <row r="620" spans="3:49" hidden="1" x14ac:dyDescent="0.25">
      <c r="C620" s="26" t="str">
        <f>Tools!$C$1</f>
        <v>Example</v>
      </c>
      <c r="D620" s="27" t="s">
        <v>76</v>
      </c>
      <c r="E620" s="28">
        <v>2018</v>
      </c>
      <c r="F620" s="28">
        <f>MATCH(DaybyDay[[#This Row],[RowMonth]],Table3[SummaryMonth],0)</f>
        <v>9</v>
      </c>
      <c r="G620" s="29">
        <f>MATCH(DaybyDay[[#This Row],[LY-Date]],DaybyDay[Date],0)</f>
        <v>250</v>
      </c>
      <c r="H620" s="30">
        <f>WEEKDAY(DaybyDay[[#This Row],[Date]])</f>
        <v>5</v>
      </c>
      <c r="I620" s="31">
        <v>43349</v>
      </c>
      <c r="J620" s="74">
        <v>21</v>
      </c>
      <c r="K620" s="32">
        <f>SUMIFS(BudgetSeasonality[365 Seasonality],BudgetSeasonality[MonthAdjustment],DaybyDay[[#This Row],[Date]])*SUMIFS(Budgets[Service-Budget],Budgets[BudgetMonth],DaybyDay[[#This Row],[RowMonth]],Budgets[BudgetYear],DaybyDay[[#This Row],[RowYear]])</f>
        <v>4712.3211538945461</v>
      </c>
      <c r="L620" s="75">
        <v>4270</v>
      </c>
      <c r="M620" s="32">
        <f>INDEX(BudgetSeasonality[365 Seasonality],MATCH(DaybyDay[[#This Row],[Date]],BudgetSeasonality[MonthAdjustment],0))*SUMIFS(Budgets[Retail-Budget],Budgets[BudgetMonth],DaybyDay[[#This Row],[RowMonth]],Budgets[BudgetYear],DaybyDay[[#This Row],[RowYear]])</f>
        <v>1317.6353231900282</v>
      </c>
      <c r="N620" s="75">
        <v>629.9</v>
      </c>
      <c r="O620" s="33">
        <f>SUMIFS(DaybyDay[Service-Budgets],DaybyDay[Date],"&gt;="&amp;$C$5,DaybyDay[RowYear],"&gt;="&amp;$C$4,DaybyDay[Date],"&lt;="&amp;DaybyDay[[#This Row],[Date]])</f>
        <v>0</v>
      </c>
      <c r="P620" s="33">
        <f>SUMIFS(DaybyDay[Retail-Budgets],DaybyDay[Date],"&gt;="&amp;$C$5,DaybyDay[RowYear],"&gt;="&amp;$C$4,DaybyDay[Date],"&lt;="&amp;DaybyDay[[#This Row],[Date]])</f>
        <v>0</v>
      </c>
      <c r="Q620" s="34">
        <f>SUMIFS(DaybyDay[Service-Actuals],DaybyDay[Date],"&gt;="&amp;$C$5,DaybyDay[RowYear],"&gt;="&amp;$C$4,DaybyDay[Date],"&lt;="&amp;DaybyDay[[#This Row],[Date]])</f>
        <v>0</v>
      </c>
      <c r="R620" s="34">
        <f>SUMIFS(DaybyDay[Retail-Actuals],DaybyDay[Date],"&gt;="&amp;$C$5,DaybyDay[RowYear],"&gt;="&amp;$C$4,DaybyDay[Date],"&lt;="&amp;DaybyDay[[#This Row],[Date]])</f>
        <v>0</v>
      </c>
      <c r="S620" s="35">
        <f>SUMIFS(DaybyDay[Service-LY],DaybyDay[Date],"&gt;="&amp;$C$5,DaybyDay[RowYear],"&gt;="&amp;$C$4,DaybyDay[Date],"&lt;="&amp;DaybyDay[[#This Row],[Date]])</f>
        <v>0</v>
      </c>
      <c r="T620" s="35">
        <f>SUMIFS(DaybyDay[Retail-LY],DaybyDay[Date],"&gt;="&amp;$C$5,DaybyDay[RowYear],"&gt;="&amp;$C$4,DaybyDay[Date],"&lt;="&amp;DaybyDay[[#This Row],[Date]])</f>
        <v>0</v>
      </c>
      <c r="U620" s="32">
        <f>DaybyDay[[#This Row],[Serv-Bud-RU]]+DaybyDay[[#This Row],[Ret-Bud-RU]]</f>
        <v>0</v>
      </c>
      <c r="V620" s="32">
        <f>DaybyDay[[#This Row],[Serv-Act-RU]]+DaybyDay[[#This Row],[Ret-Act-RU]]</f>
        <v>0</v>
      </c>
      <c r="W620" s="36">
        <f>IF(DaybyDay[[#This Row],[_Space]],IFERROR(
((DaybyDay[[#This Row],[Actual-Rollup]]-DaybyDay[[#This Row],[Budget-Rollup]])/DaybyDay[[#This Row],[Budget-Rollup]]),0),"")</f>
        <v>0</v>
      </c>
      <c r="X620" t="b">
        <f>NOT(AND(ISBLANK(DaybyDay[[#This Row],[Appts]]),ISBLANK(DaybyDay[[#This Row],[Service-Actuals]]),ISBLANK(DaybyDay[[#This Row],[Retail-Actuals]])))</f>
        <v>1</v>
      </c>
      <c r="Y620" s="36">
        <f>IF(DaybyDay[[#This Row],[_Space]],IFERROR(
((DaybyDay[[#This Row],[Actual-Rollup]]-DaybyDay[[#This Row],[LY-Rollup]])/DaybyDay[[#This Row],[LY-Rollup]]),0),"")</f>
        <v>0</v>
      </c>
      <c r="Z620"/>
      <c r="AA620" s="37" t="e">
        <f>IF(DaybyDay[[#This Row],[_Space]],DaybyDay[[#This Row],[Ret-Act-RU]]/DaybyDay[[#This Row],[Serv-Act-RU]],"")</f>
        <v>#DIV/0!</v>
      </c>
      <c r="AB620" s="50" t="e">
        <f>IF(DaybyDay[[#This Row],[_Space]],DaybyDay[[#This Row],[RETPEN-Act]]/DaybyDay[[#This Row],[RETPEN-Bud]],"")</f>
        <v>#DIV/0!</v>
      </c>
      <c r="AC620" s="37" t="e">
        <f>IF(DaybyDay[[#This Row],[_Space]],DaybyDay[[#This Row],[Ret-Bud-RU]]/DaybyDay[[#This Row],[Serv-Bud-RU]],"")</f>
        <v>#DIV/0!</v>
      </c>
      <c r="AD620" s="37" t="e">
        <f>IF(DaybyDay[[#This Row],[_Space]],DaybyDay[[#This Row],[Ret-LY-RU]]/DaybyDay[[#This Row],[Serv-LY-RU]],"")</f>
        <v>#DIV/0!</v>
      </c>
      <c r="AE620" s="30">
        <f>WEEKDAY(DaybyDay[[#This Row],[LY-Date]])</f>
        <v>5</v>
      </c>
      <c r="AF620" s="38">
        <f>$E$2+_xlfn.DAYS(DaybyDay[[#This Row],[Date]],minDate)</f>
        <v>42985</v>
      </c>
      <c r="AG620" s="39" cm="1">
        <f t="array" ref="AG620">IFERROR(INDEX(DaybyDay[],DaybyDay[[#This Row],[FORM_MATCH_HELPER]],8),"")</f>
        <v>16</v>
      </c>
      <c r="AH620" s="39" cm="1">
        <f t="array" ref="AH620">IFERROR(INDEX(DaybyDay[],DaybyDay[[#This Row],[FORM_MATCH_HELPER]],10),"")</f>
        <v>3162.39</v>
      </c>
      <c r="AI620" s="39" cm="1">
        <f t="array" ref="AI620">IFERROR(INDEX(DaybyDay[],DaybyDay[[#This Row],[FORM_MATCH_HELPER]],12),"")</f>
        <v>243</v>
      </c>
      <c r="AJ620" s="32">
        <f>IFERROR(DaybyDay[[#This Row],[Serv-LY-RU]]+DaybyDay[[#This Row],[Ret-LY-RU]],"")</f>
        <v>0</v>
      </c>
      <c r="AK6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0" s="77"/>
      <c r="AM620" s="40" t="str">
        <f>IF(DaybyDay[[#This Row],[Admin Hours]]&gt;0,DaybyDay[[#This Row],[Admin Hours]]*$AM$2+$AM$3,"")</f>
        <v/>
      </c>
      <c r="AN620" s="40">
        <f>SUMIFS(DaybyDay[Est-Admin-Payroll],DaybyDay[Date],"&gt;="&amp;$C$5,DaybyDay[RowYear],"&gt;="&amp;$C$4,DaybyDay[Date],"&lt;="&amp;DaybyDay[[#This Row],[Date]])</f>
        <v>0</v>
      </c>
      <c r="AO620" s="41" t="str">
        <f>IF(AND(DaybyDay[[#This Row],[_Space]],ISNUMBER(DaybyDay[[#This Row],[Admin Hours]])),DaybyDay[[#This Row],[Est-Admin-Payroll]]/(DaybyDay[[#This Row],[Service-Actuals]]+DaybyDay[[#This Row],[Retail-Actuals]]),"")</f>
        <v/>
      </c>
      <c r="AP620" s="41" t="e">
        <f>DaybyDay[[#This Row],[Estimated-Payroll-Rollup]]/DaybyDay[[#This Row],[Simple-Forecast]]</f>
        <v>#DIV/0!</v>
      </c>
      <c r="AQ6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0" s="77"/>
      <c r="AS620" s="40" t="str">
        <f>IF(DaybyDay[[#This Row],[Retail Hours]]&gt;0,DaybyDay[[#This Row],[Retail Hours]]*$AS$2,"")</f>
        <v/>
      </c>
      <c r="AT620" s="40">
        <f>SUMIFS(DaybyDay[Est-Retail-Payroll],DaybyDay[Date],"&gt;="&amp;$C$5,DaybyDay[RowYear],"&gt;="&amp;$C$4,DaybyDay[Date],"&lt;="&amp;DaybyDay[[#This Row],[Date]])</f>
        <v>0</v>
      </c>
      <c r="AU620" s="82" t="str">
        <f>IF(AND(DaybyDay[[#This Row],[_Space]],ISNUMBER(DaybyDay[[#This Row],[Retail Hours]])),DaybyDay[[#This Row],[Est-Retail-Payroll]]/(DaybyDay[[#This Row],[Retail-Actuals]]),"")</f>
        <v/>
      </c>
      <c r="AV620" s="82" t="e">
        <f>DaybyDay[[#This Row],[Est-Retail-PayrollRU]]/DaybyDay[[#This Row],[Simple-Forecast-Retail]]</f>
        <v>#DIV/0!</v>
      </c>
      <c r="AW620" s="8"/>
    </row>
    <row r="621" spans="3:49" hidden="1" x14ac:dyDescent="0.25">
      <c r="C621" s="26" t="str">
        <f>Tools!$C$1</f>
        <v>Example</v>
      </c>
      <c r="D621" s="27" t="s">
        <v>76</v>
      </c>
      <c r="E621" s="28">
        <v>2018</v>
      </c>
      <c r="F621" s="28">
        <f>MATCH(DaybyDay[[#This Row],[RowMonth]],Table3[SummaryMonth],0)</f>
        <v>9</v>
      </c>
      <c r="G621" s="29">
        <f>MATCH(DaybyDay[[#This Row],[LY-Date]],DaybyDay[Date],0)</f>
        <v>251</v>
      </c>
      <c r="H621" s="30">
        <f>WEEKDAY(DaybyDay[[#This Row],[Date]])</f>
        <v>6</v>
      </c>
      <c r="I621" s="31">
        <v>43350</v>
      </c>
      <c r="J621" s="74">
        <v>17</v>
      </c>
      <c r="K621" s="32">
        <f>SUMIFS(BudgetSeasonality[365 Seasonality],BudgetSeasonality[MonthAdjustment],DaybyDay[[#This Row],[Date]])*SUMIFS(Budgets[Service-Budget],Budgets[BudgetMonth],DaybyDay[[#This Row],[RowMonth]],Budgets[BudgetYear],DaybyDay[[#This Row],[RowYear]])</f>
        <v>5944.5416298316077</v>
      </c>
      <c r="L621" s="75">
        <v>3580</v>
      </c>
      <c r="M621" s="32">
        <f>INDEX(BudgetSeasonality[365 Seasonality],MATCH(DaybyDay[[#This Row],[Date]],BudgetSeasonality[MonthAdjustment],0))*SUMIFS(Budgets[Retail-Budget],Budgets[BudgetMonth],DaybyDay[[#This Row],[RowMonth]],Budgets[BudgetYear],DaybyDay[[#This Row],[RowYear]])</f>
        <v>1662.1825584120686</v>
      </c>
      <c r="N621" s="75">
        <v>625.9</v>
      </c>
      <c r="O621" s="33">
        <f>SUMIFS(DaybyDay[Service-Budgets],DaybyDay[Date],"&gt;="&amp;$C$5,DaybyDay[RowYear],"&gt;="&amp;$C$4,DaybyDay[Date],"&lt;="&amp;DaybyDay[[#This Row],[Date]])</f>
        <v>0</v>
      </c>
      <c r="P621" s="33">
        <f>SUMIFS(DaybyDay[Retail-Budgets],DaybyDay[Date],"&gt;="&amp;$C$5,DaybyDay[RowYear],"&gt;="&amp;$C$4,DaybyDay[Date],"&lt;="&amp;DaybyDay[[#This Row],[Date]])</f>
        <v>0</v>
      </c>
      <c r="Q621" s="34">
        <f>SUMIFS(DaybyDay[Service-Actuals],DaybyDay[Date],"&gt;="&amp;$C$5,DaybyDay[RowYear],"&gt;="&amp;$C$4,DaybyDay[Date],"&lt;="&amp;DaybyDay[[#This Row],[Date]])</f>
        <v>0</v>
      </c>
      <c r="R621" s="34">
        <f>SUMIFS(DaybyDay[Retail-Actuals],DaybyDay[Date],"&gt;="&amp;$C$5,DaybyDay[RowYear],"&gt;="&amp;$C$4,DaybyDay[Date],"&lt;="&amp;DaybyDay[[#This Row],[Date]])</f>
        <v>0</v>
      </c>
      <c r="S621" s="35">
        <f>SUMIFS(DaybyDay[Service-LY],DaybyDay[Date],"&gt;="&amp;$C$5,DaybyDay[RowYear],"&gt;="&amp;$C$4,DaybyDay[Date],"&lt;="&amp;DaybyDay[[#This Row],[Date]])</f>
        <v>0</v>
      </c>
      <c r="T621" s="35">
        <f>SUMIFS(DaybyDay[Retail-LY],DaybyDay[Date],"&gt;="&amp;$C$5,DaybyDay[RowYear],"&gt;="&amp;$C$4,DaybyDay[Date],"&lt;="&amp;DaybyDay[[#This Row],[Date]])</f>
        <v>0</v>
      </c>
      <c r="U621" s="32">
        <f>DaybyDay[[#This Row],[Serv-Bud-RU]]+DaybyDay[[#This Row],[Ret-Bud-RU]]</f>
        <v>0</v>
      </c>
      <c r="V621" s="32">
        <f>DaybyDay[[#This Row],[Serv-Act-RU]]+DaybyDay[[#This Row],[Ret-Act-RU]]</f>
        <v>0</v>
      </c>
      <c r="W621" s="36">
        <f>IF(DaybyDay[[#This Row],[_Space]],IFERROR(
((DaybyDay[[#This Row],[Actual-Rollup]]-DaybyDay[[#This Row],[Budget-Rollup]])/DaybyDay[[#This Row],[Budget-Rollup]]),0),"")</f>
        <v>0</v>
      </c>
      <c r="X621" t="b">
        <f>NOT(AND(ISBLANK(DaybyDay[[#This Row],[Appts]]),ISBLANK(DaybyDay[[#This Row],[Service-Actuals]]),ISBLANK(DaybyDay[[#This Row],[Retail-Actuals]])))</f>
        <v>1</v>
      </c>
      <c r="Y621" s="36">
        <f>IF(DaybyDay[[#This Row],[_Space]],IFERROR(
((DaybyDay[[#This Row],[Actual-Rollup]]-DaybyDay[[#This Row],[LY-Rollup]])/DaybyDay[[#This Row],[LY-Rollup]]),0),"")</f>
        <v>0</v>
      </c>
      <c r="Z621"/>
      <c r="AA621" s="37" t="e">
        <f>IF(DaybyDay[[#This Row],[_Space]],DaybyDay[[#This Row],[Ret-Act-RU]]/DaybyDay[[#This Row],[Serv-Act-RU]],"")</f>
        <v>#DIV/0!</v>
      </c>
      <c r="AB621" s="50" t="e">
        <f>IF(DaybyDay[[#This Row],[_Space]],DaybyDay[[#This Row],[RETPEN-Act]]/DaybyDay[[#This Row],[RETPEN-Bud]],"")</f>
        <v>#DIV/0!</v>
      </c>
      <c r="AC621" s="37" t="e">
        <f>IF(DaybyDay[[#This Row],[_Space]],DaybyDay[[#This Row],[Ret-Bud-RU]]/DaybyDay[[#This Row],[Serv-Bud-RU]],"")</f>
        <v>#DIV/0!</v>
      </c>
      <c r="AD621" s="37" t="e">
        <f>IF(DaybyDay[[#This Row],[_Space]],DaybyDay[[#This Row],[Ret-LY-RU]]/DaybyDay[[#This Row],[Serv-LY-RU]],"")</f>
        <v>#DIV/0!</v>
      </c>
      <c r="AE621" s="30">
        <f>WEEKDAY(DaybyDay[[#This Row],[LY-Date]])</f>
        <v>6</v>
      </c>
      <c r="AF621" s="38">
        <f>$E$2+_xlfn.DAYS(DaybyDay[[#This Row],[Date]],minDate)</f>
        <v>42986</v>
      </c>
      <c r="AG621" s="39" cm="1">
        <f t="array" ref="AG621">IFERROR(INDEX(DaybyDay[],DaybyDay[[#This Row],[FORM_MATCH_HELPER]],8),"")</f>
        <v>28</v>
      </c>
      <c r="AH621" s="39" cm="1">
        <f t="array" ref="AH621">IFERROR(INDEX(DaybyDay[],DaybyDay[[#This Row],[FORM_MATCH_HELPER]],10),"")</f>
        <v>5070.2</v>
      </c>
      <c r="AI621" s="39" cm="1">
        <f t="array" ref="AI621">IFERROR(INDEX(DaybyDay[],DaybyDay[[#This Row],[FORM_MATCH_HELPER]],12),"")</f>
        <v>1368</v>
      </c>
      <c r="AJ621" s="32">
        <f>IFERROR(DaybyDay[[#This Row],[Serv-LY-RU]]+DaybyDay[[#This Row],[Ret-LY-RU]],"")</f>
        <v>0</v>
      </c>
      <c r="AK6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1" s="77"/>
      <c r="AM621" s="40" t="str">
        <f>IF(DaybyDay[[#This Row],[Admin Hours]]&gt;0,DaybyDay[[#This Row],[Admin Hours]]*$AM$2+$AM$3,"")</f>
        <v/>
      </c>
      <c r="AN621" s="40">
        <f>SUMIFS(DaybyDay[Est-Admin-Payroll],DaybyDay[Date],"&gt;="&amp;$C$5,DaybyDay[RowYear],"&gt;="&amp;$C$4,DaybyDay[Date],"&lt;="&amp;DaybyDay[[#This Row],[Date]])</f>
        <v>0</v>
      </c>
      <c r="AO621" s="41" t="str">
        <f>IF(AND(DaybyDay[[#This Row],[_Space]],ISNUMBER(DaybyDay[[#This Row],[Admin Hours]])),DaybyDay[[#This Row],[Est-Admin-Payroll]]/(DaybyDay[[#This Row],[Service-Actuals]]+DaybyDay[[#This Row],[Retail-Actuals]]),"")</f>
        <v/>
      </c>
      <c r="AP621" s="41" t="e">
        <f>DaybyDay[[#This Row],[Estimated-Payroll-Rollup]]/DaybyDay[[#This Row],[Simple-Forecast]]</f>
        <v>#DIV/0!</v>
      </c>
      <c r="AQ6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1" s="77"/>
      <c r="AS621" s="40" t="str">
        <f>IF(DaybyDay[[#This Row],[Retail Hours]]&gt;0,DaybyDay[[#This Row],[Retail Hours]]*$AS$2,"")</f>
        <v/>
      </c>
      <c r="AT621" s="40">
        <f>SUMIFS(DaybyDay[Est-Retail-Payroll],DaybyDay[Date],"&gt;="&amp;$C$5,DaybyDay[RowYear],"&gt;="&amp;$C$4,DaybyDay[Date],"&lt;="&amp;DaybyDay[[#This Row],[Date]])</f>
        <v>0</v>
      </c>
      <c r="AU621" s="82" t="str">
        <f>IF(AND(DaybyDay[[#This Row],[_Space]],ISNUMBER(DaybyDay[[#This Row],[Retail Hours]])),DaybyDay[[#This Row],[Est-Retail-Payroll]]/(DaybyDay[[#This Row],[Retail-Actuals]]),"")</f>
        <v/>
      </c>
      <c r="AV621" s="82" t="e">
        <f>DaybyDay[[#This Row],[Est-Retail-PayrollRU]]/DaybyDay[[#This Row],[Simple-Forecast-Retail]]</f>
        <v>#DIV/0!</v>
      </c>
      <c r="AW621" s="8"/>
    </row>
    <row r="622" spans="3:49" hidden="1" x14ac:dyDescent="0.25">
      <c r="C622" s="26" t="str">
        <f>Tools!$C$1</f>
        <v>Example</v>
      </c>
      <c r="D622" s="27" t="s">
        <v>76</v>
      </c>
      <c r="E622" s="28">
        <v>2018</v>
      </c>
      <c r="F622" s="28">
        <f>MATCH(DaybyDay[[#This Row],[RowMonth]],Table3[SummaryMonth],0)</f>
        <v>9</v>
      </c>
      <c r="G622" s="29">
        <f>MATCH(DaybyDay[[#This Row],[LY-Date]],DaybyDay[Date],0)</f>
        <v>252</v>
      </c>
      <c r="H622" s="30">
        <f>WEEKDAY(DaybyDay[[#This Row],[Date]])</f>
        <v>7</v>
      </c>
      <c r="I622" s="31">
        <v>43351</v>
      </c>
      <c r="J622" s="74">
        <v>27</v>
      </c>
      <c r="K622" s="32">
        <f>SUMIFS(BudgetSeasonality[365 Seasonality],BudgetSeasonality[MonthAdjustment],DaybyDay[[#This Row],[Date]])*SUMIFS(Budgets[Service-Budget],Budgets[BudgetMonth],DaybyDay[[#This Row],[RowMonth]],Budgets[BudgetYear],DaybyDay[[#This Row],[RowYear]])</f>
        <v>8584.3836228194796</v>
      </c>
      <c r="L622" s="75">
        <v>6744.5</v>
      </c>
      <c r="M622" s="32">
        <f>INDEX(BudgetSeasonality[365 Seasonality],MATCH(DaybyDay[[#This Row],[Date]],BudgetSeasonality[MonthAdjustment],0))*SUMIFS(Budgets[Retail-Budget],Budgets[BudgetMonth],DaybyDay[[#This Row],[RowMonth]],Budgets[BudgetYear],DaybyDay[[#This Row],[RowYear]])</f>
        <v>2400.3217777066757</v>
      </c>
      <c r="N622" s="75">
        <v>1400.5</v>
      </c>
      <c r="O622" s="33">
        <f>SUMIFS(DaybyDay[Service-Budgets],DaybyDay[Date],"&gt;="&amp;$C$5,DaybyDay[RowYear],"&gt;="&amp;$C$4,DaybyDay[Date],"&lt;="&amp;DaybyDay[[#This Row],[Date]])</f>
        <v>0</v>
      </c>
      <c r="P622" s="33">
        <f>SUMIFS(DaybyDay[Retail-Budgets],DaybyDay[Date],"&gt;="&amp;$C$5,DaybyDay[RowYear],"&gt;="&amp;$C$4,DaybyDay[Date],"&lt;="&amp;DaybyDay[[#This Row],[Date]])</f>
        <v>0</v>
      </c>
      <c r="Q622" s="34">
        <f>SUMIFS(DaybyDay[Service-Actuals],DaybyDay[Date],"&gt;="&amp;$C$5,DaybyDay[RowYear],"&gt;="&amp;$C$4,DaybyDay[Date],"&lt;="&amp;DaybyDay[[#This Row],[Date]])</f>
        <v>0</v>
      </c>
      <c r="R622" s="34">
        <f>SUMIFS(DaybyDay[Retail-Actuals],DaybyDay[Date],"&gt;="&amp;$C$5,DaybyDay[RowYear],"&gt;="&amp;$C$4,DaybyDay[Date],"&lt;="&amp;DaybyDay[[#This Row],[Date]])</f>
        <v>0</v>
      </c>
      <c r="S622" s="35">
        <f>SUMIFS(DaybyDay[Service-LY],DaybyDay[Date],"&gt;="&amp;$C$5,DaybyDay[RowYear],"&gt;="&amp;$C$4,DaybyDay[Date],"&lt;="&amp;DaybyDay[[#This Row],[Date]])</f>
        <v>0</v>
      </c>
      <c r="T622" s="35">
        <f>SUMIFS(DaybyDay[Retail-LY],DaybyDay[Date],"&gt;="&amp;$C$5,DaybyDay[RowYear],"&gt;="&amp;$C$4,DaybyDay[Date],"&lt;="&amp;DaybyDay[[#This Row],[Date]])</f>
        <v>0</v>
      </c>
      <c r="U622" s="32">
        <f>DaybyDay[[#This Row],[Serv-Bud-RU]]+DaybyDay[[#This Row],[Ret-Bud-RU]]</f>
        <v>0</v>
      </c>
      <c r="V622" s="32">
        <f>DaybyDay[[#This Row],[Serv-Act-RU]]+DaybyDay[[#This Row],[Ret-Act-RU]]</f>
        <v>0</v>
      </c>
      <c r="W622" s="36">
        <f>IF(DaybyDay[[#This Row],[_Space]],IFERROR(
((DaybyDay[[#This Row],[Actual-Rollup]]-DaybyDay[[#This Row],[Budget-Rollup]])/DaybyDay[[#This Row],[Budget-Rollup]]),0),"")</f>
        <v>0</v>
      </c>
      <c r="X622" t="b">
        <f>NOT(AND(ISBLANK(DaybyDay[[#This Row],[Appts]]),ISBLANK(DaybyDay[[#This Row],[Service-Actuals]]),ISBLANK(DaybyDay[[#This Row],[Retail-Actuals]])))</f>
        <v>1</v>
      </c>
      <c r="Y622" s="36">
        <f>IF(DaybyDay[[#This Row],[_Space]],IFERROR(
((DaybyDay[[#This Row],[Actual-Rollup]]-DaybyDay[[#This Row],[LY-Rollup]])/DaybyDay[[#This Row],[LY-Rollup]]),0),"")</f>
        <v>0</v>
      </c>
      <c r="Z622"/>
      <c r="AA622" s="37" t="e">
        <f>IF(DaybyDay[[#This Row],[_Space]],DaybyDay[[#This Row],[Ret-Act-RU]]/DaybyDay[[#This Row],[Serv-Act-RU]],"")</f>
        <v>#DIV/0!</v>
      </c>
      <c r="AB622" s="50" t="e">
        <f>IF(DaybyDay[[#This Row],[_Space]],DaybyDay[[#This Row],[RETPEN-Act]]/DaybyDay[[#This Row],[RETPEN-Bud]],"")</f>
        <v>#DIV/0!</v>
      </c>
      <c r="AC622" s="37" t="e">
        <f>IF(DaybyDay[[#This Row],[_Space]],DaybyDay[[#This Row],[Ret-Bud-RU]]/DaybyDay[[#This Row],[Serv-Bud-RU]],"")</f>
        <v>#DIV/0!</v>
      </c>
      <c r="AD622" s="37" t="e">
        <f>IF(DaybyDay[[#This Row],[_Space]],DaybyDay[[#This Row],[Ret-LY-RU]]/DaybyDay[[#This Row],[Serv-LY-RU]],"")</f>
        <v>#DIV/0!</v>
      </c>
      <c r="AE622" s="30">
        <f>WEEKDAY(DaybyDay[[#This Row],[LY-Date]])</f>
        <v>7</v>
      </c>
      <c r="AF622" s="38">
        <f>$E$2+_xlfn.DAYS(DaybyDay[[#This Row],[Date]],minDate)</f>
        <v>42987</v>
      </c>
      <c r="AG622" s="39" cm="1">
        <f t="array" ref="AG622">IFERROR(INDEX(DaybyDay[],DaybyDay[[#This Row],[FORM_MATCH_HELPER]],8),"")</f>
        <v>23</v>
      </c>
      <c r="AH622" s="39" cm="1">
        <f t="array" ref="AH622">IFERROR(INDEX(DaybyDay[],DaybyDay[[#This Row],[FORM_MATCH_HELPER]],10),"")</f>
        <v>5540.85</v>
      </c>
      <c r="AI622" s="39" cm="1">
        <f t="array" ref="AI622">IFERROR(INDEX(DaybyDay[],DaybyDay[[#This Row],[FORM_MATCH_HELPER]],12),"")</f>
        <v>1040</v>
      </c>
      <c r="AJ622" s="32">
        <f>IFERROR(DaybyDay[[#This Row],[Serv-LY-RU]]+DaybyDay[[#This Row],[Ret-LY-RU]],"")</f>
        <v>0</v>
      </c>
      <c r="AK6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2" s="77"/>
      <c r="AM622" s="40" t="str">
        <f>IF(DaybyDay[[#This Row],[Admin Hours]]&gt;0,DaybyDay[[#This Row],[Admin Hours]]*$AM$2+$AM$3,"")</f>
        <v/>
      </c>
      <c r="AN622" s="40">
        <f>SUMIFS(DaybyDay[Est-Admin-Payroll],DaybyDay[Date],"&gt;="&amp;$C$5,DaybyDay[RowYear],"&gt;="&amp;$C$4,DaybyDay[Date],"&lt;="&amp;DaybyDay[[#This Row],[Date]])</f>
        <v>0</v>
      </c>
      <c r="AO622" s="41" t="str">
        <f>IF(AND(DaybyDay[[#This Row],[_Space]],ISNUMBER(DaybyDay[[#This Row],[Admin Hours]])),DaybyDay[[#This Row],[Est-Admin-Payroll]]/(DaybyDay[[#This Row],[Service-Actuals]]+DaybyDay[[#This Row],[Retail-Actuals]]),"")</f>
        <v/>
      </c>
      <c r="AP622" s="41" t="e">
        <f>DaybyDay[[#This Row],[Estimated-Payroll-Rollup]]/DaybyDay[[#This Row],[Simple-Forecast]]</f>
        <v>#DIV/0!</v>
      </c>
      <c r="AQ6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2" s="77"/>
      <c r="AS622" s="40" t="str">
        <f>IF(DaybyDay[[#This Row],[Retail Hours]]&gt;0,DaybyDay[[#This Row],[Retail Hours]]*$AS$2,"")</f>
        <v/>
      </c>
      <c r="AT622" s="40">
        <f>SUMIFS(DaybyDay[Est-Retail-Payroll],DaybyDay[Date],"&gt;="&amp;$C$5,DaybyDay[RowYear],"&gt;="&amp;$C$4,DaybyDay[Date],"&lt;="&amp;DaybyDay[[#This Row],[Date]])</f>
        <v>0</v>
      </c>
      <c r="AU622" s="82" t="str">
        <f>IF(AND(DaybyDay[[#This Row],[_Space]],ISNUMBER(DaybyDay[[#This Row],[Retail Hours]])),DaybyDay[[#This Row],[Est-Retail-Payroll]]/(DaybyDay[[#This Row],[Retail-Actuals]]),"")</f>
        <v/>
      </c>
      <c r="AV622" s="82" t="e">
        <f>DaybyDay[[#This Row],[Est-Retail-PayrollRU]]/DaybyDay[[#This Row],[Simple-Forecast-Retail]]</f>
        <v>#DIV/0!</v>
      </c>
      <c r="AW622" s="8"/>
    </row>
    <row r="623" spans="3:49" hidden="1" x14ac:dyDescent="0.25">
      <c r="C623" s="26" t="str">
        <f>Tools!$C$1</f>
        <v>Example</v>
      </c>
      <c r="D623" s="27" t="s">
        <v>76</v>
      </c>
      <c r="E623" s="28">
        <v>2018</v>
      </c>
      <c r="F623" s="28">
        <f>MATCH(DaybyDay[[#This Row],[RowMonth]],Table3[SummaryMonth],0)</f>
        <v>9</v>
      </c>
      <c r="G623" s="29">
        <f>MATCH(DaybyDay[[#This Row],[LY-Date]],DaybyDay[Date],0)</f>
        <v>253</v>
      </c>
      <c r="H623" s="30">
        <f>WEEKDAY(DaybyDay[[#This Row],[Date]])</f>
        <v>1</v>
      </c>
      <c r="I623" s="31">
        <v>43352</v>
      </c>
      <c r="J623" s="74">
        <v>20</v>
      </c>
      <c r="K623" s="32">
        <f>SUMIFS(BudgetSeasonality[365 Seasonality],BudgetSeasonality[MonthAdjustment],DaybyDay[[#This Row],[Date]])*SUMIFS(Budgets[Service-Budget],Budgets[BudgetMonth],DaybyDay[[#This Row],[RowMonth]],Budgets[BudgetYear],DaybyDay[[#This Row],[RowYear]])</f>
        <v>6561.0100663724297</v>
      </c>
      <c r="L623" s="75">
        <v>6450.5</v>
      </c>
      <c r="M623" s="32">
        <f>INDEX(BudgetSeasonality[365 Seasonality],MATCH(DaybyDay[[#This Row],[Date]],BudgetSeasonality[MonthAdjustment],0))*SUMIFS(Budgets[Retail-Budget],Budgets[BudgetMonth],DaybyDay[[#This Row],[RowMonth]],Budgets[BudgetYear],DaybyDay[[#This Row],[RowYear]])</f>
        <v>1834.5563336898001</v>
      </c>
      <c r="N623" s="75">
        <v>791.5</v>
      </c>
      <c r="O623" s="33">
        <f>SUMIFS(DaybyDay[Service-Budgets],DaybyDay[Date],"&gt;="&amp;$C$5,DaybyDay[RowYear],"&gt;="&amp;$C$4,DaybyDay[Date],"&lt;="&amp;DaybyDay[[#This Row],[Date]])</f>
        <v>0</v>
      </c>
      <c r="P623" s="33">
        <f>SUMIFS(DaybyDay[Retail-Budgets],DaybyDay[Date],"&gt;="&amp;$C$5,DaybyDay[RowYear],"&gt;="&amp;$C$4,DaybyDay[Date],"&lt;="&amp;DaybyDay[[#This Row],[Date]])</f>
        <v>0</v>
      </c>
      <c r="Q623" s="34">
        <f>SUMIFS(DaybyDay[Service-Actuals],DaybyDay[Date],"&gt;="&amp;$C$5,DaybyDay[RowYear],"&gt;="&amp;$C$4,DaybyDay[Date],"&lt;="&amp;DaybyDay[[#This Row],[Date]])</f>
        <v>0</v>
      </c>
      <c r="R623" s="34">
        <f>SUMIFS(DaybyDay[Retail-Actuals],DaybyDay[Date],"&gt;="&amp;$C$5,DaybyDay[RowYear],"&gt;="&amp;$C$4,DaybyDay[Date],"&lt;="&amp;DaybyDay[[#This Row],[Date]])</f>
        <v>0</v>
      </c>
      <c r="S623" s="35">
        <f>SUMIFS(DaybyDay[Service-LY],DaybyDay[Date],"&gt;="&amp;$C$5,DaybyDay[RowYear],"&gt;="&amp;$C$4,DaybyDay[Date],"&lt;="&amp;DaybyDay[[#This Row],[Date]])</f>
        <v>0</v>
      </c>
      <c r="T623" s="35">
        <f>SUMIFS(DaybyDay[Retail-LY],DaybyDay[Date],"&gt;="&amp;$C$5,DaybyDay[RowYear],"&gt;="&amp;$C$4,DaybyDay[Date],"&lt;="&amp;DaybyDay[[#This Row],[Date]])</f>
        <v>0</v>
      </c>
      <c r="U623" s="32">
        <f>DaybyDay[[#This Row],[Serv-Bud-RU]]+DaybyDay[[#This Row],[Ret-Bud-RU]]</f>
        <v>0</v>
      </c>
      <c r="V623" s="32">
        <f>DaybyDay[[#This Row],[Serv-Act-RU]]+DaybyDay[[#This Row],[Ret-Act-RU]]</f>
        <v>0</v>
      </c>
      <c r="W623" s="36">
        <f>IF(DaybyDay[[#This Row],[_Space]],IFERROR(
((DaybyDay[[#This Row],[Actual-Rollup]]-DaybyDay[[#This Row],[Budget-Rollup]])/DaybyDay[[#This Row],[Budget-Rollup]]),0),"")</f>
        <v>0</v>
      </c>
      <c r="X623" t="b">
        <f>NOT(AND(ISBLANK(DaybyDay[[#This Row],[Appts]]),ISBLANK(DaybyDay[[#This Row],[Service-Actuals]]),ISBLANK(DaybyDay[[#This Row],[Retail-Actuals]])))</f>
        <v>1</v>
      </c>
      <c r="Y623" s="36">
        <f>IF(DaybyDay[[#This Row],[_Space]],IFERROR(
((DaybyDay[[#This Row],[Actual-Rollup]]-DaybyDay[[#This Row],[LY-Rollup]])/DaybyDay[[#This Row],[LY-Rollup]]),0),"")</f>
        <v>0</v>
      </c>
      <c r="Z623"/>
      <c r="AA623" s="37" t="e">
        <f>IF(DaybyDay[[#This Row],[_Space]],DaybyDay[[#This Row],[Ret-Act-RU]]/DaybyDay[[#This Row],[Serv-Act-RU]],"")</f>
        <v>#DIV/0!</v>
      </c>
      <c r="AB623" s="50" t="e">
        <f>IF(DaybyDay[[#This Row],[_Space]],DaybyDay[[#This Row],[RETPEN-Act]]/DaybyDay[[#This Row],[RETPEN-Bud]],"")</f>
        <v>#DIV/0!</v>
      </c>
      <c r="AC623" s="37" t="e">
        <f>IF(DaybyDay[[#This Row],[_Space]],DaybyDay[[#This Row],[Ret-Bud-RU]]/DaybyDay[[#This Row],[Serv-Bud-RU]],"")</f>
        <v>#DIV/0!</v>
      </c>
      <c r="AD623" s="37" t="e">
        <f>IF(DaybyDay[[#This Row],[_Space]],DaybyDay[[#This Row],[Ret-LY-RU]]/DaybyDay[[#This Row],[Serv-LY-RU]],"")</f>
        <v>#DIV/0!</v>
      </c>
      <c r="AE623" s="30">
        <f>WEEKDAY(DaybyDay[[#This Row],[LY-Date]])</f>
        <v>1</v>
      </c>
      <c r="AF623" s="38">
        <f>$E$2+_xlfn.DAYS(DaybyDay[[#This Row],[Date]],minDate)</f>
        <v>42988</v>
      </c>
      <c r="AG623" s="39" cm="1">
        <f t="array" ref="AG623">IFERROR(INDEX(DaybyDay[],DaybyDay[[#This Row],[FORM_MATCH_HELPER]],8),"")</f>
        <v>21</v>
      </c>
      <c r="AH623" s="39" cm="1">
        <f t="array" ref="AH623">IFERROR(INDEX(DaybyDay[],DaybyDay[[#This Row],[FORM_MATCH_HELPER]],10),"")</f>
        <v>5025.3999999999996</v>
      </c>
      <c r="AI623" s="39" cm="1">
        <f t="array" ref="AI623">IFERROR(INDEX(DaybyDay[],DaybyDay[[#This Row],[FORM_MATCH_HELPER]],12),"")</f>
        <v>358</v>
      </c>
      <c r="AJ623" s="32">
        <f>IFERROR(DaybyDay[[#This Row],[Serv-LY-RU]]+DaybyDay[[#This Row],[Ret-LY-RU]],"")</f>
        <v>0</v>
      </c>
      <c r="AK6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3" s="77"/>
      <c r="AM623" s="40" t="str">
        <f>IF(DaybyDay[[#This Row],[Admin Hours]]&gt;0,DaybyDay[[#This Row],[Admin Hours]]*$AM$2+$AM$3,"")</f>
        <v/>
      </c>
      <c r="AN623" s="40">
        <f>SUMIFS(DaybyDay[Est-Admin-Payroll],DaybyDay[Date],"&gt;="&amp;$C$5,DaybyDay[RowYear],"&gt;="&amp;$C$4,DaybyDay[Date],"&lt;="&amp;DaybyDay[[#This Row],[Date]])</f>
        <v>0</v>
      </c>
      <c r="AO623" s="41" t="str">
        <f>IF(AND(DaybyDay[[#This Row],[_Space]],ISNUMBER(DaybyDay[[#This Row],[Admin Hours]])),DaybyDay[[#This Row],[Est-Admin-Payroll]]/(DaybyDay[[#This Row],[Service-Actuals]]+DaybyDay[[#This Row],[Retail-Actuals]]),"")</f>
        <v/>
      </c>
      <c r="AP623" s="41" t="e">
        <f>DaybyDay[[#This Row],[Estimated-Payroll-Rollup]]/DaybyDay[[#This Row],[Simple-Forecast]]</f>
        <v>#DIV/0!</v>
      </c>
      <c r="AQ6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3" s="77"/>
      <c r="AS623" s="40" t="str">
        <f>IF(DaybyDay[[#This Row],[Retail Hours]]&gt;0,DaybyDay[[#This Row],[Retail Hours]]*$AS$2,"")</f>
        <v/>
      </c>
      <c r="AT623" s="40">
        <f>SUMIFS(DaybyDay[Est-Retail-Payroll],DaybyDay[Date],"&gt;="&amp;$C$5,DaybyDay[RowYear],"&gt;="&amp;$C$4,DaybyDay[Date],"&lt;="&amp;DaybyDay[[#This Row],[Date]])</f>
        <v>0</v>
      </c>
      <c r="AU623" s="82" t="str">
        <f>IF(AND(DaybyDay[[#This Row],[_Space]],ISNUMBER(DaybyDay[[#This Row],[Retail Hours]])),DaybyDay[[#This Row],[Est-Retail-Payroll]]/(DaybyDay[[#This Row],[Retail-Actuals]]),"")</f>
        <v/>
      </c>
      <c r="AV623" s="82" t="e">
        <f>DaybyDay[[#This Row],[Est-Retail-PayrollRU]]/DaybyDay[[#This Row],[Simple-Forecast-Retail]]</f>
        <v>#DIV/0!</v>
      </c>
      <c r="AW623" s="8"/>
    </row>
    <row r="624" spans="3:49" hidden="1" x14ac:dyDescent="0.25">
      <c r="C624" s="26" t="str">
        <f>Tools!$C$1</f>
        <v>Example</v>
      </c>
      <c r="D624" s="27" t="s">
        <v>76</v>
      </c>
      <c r="E624" s="28">
        <v>2018</v>
      </c>
      <c r="F624" s="28">
        <f>MATCH(DaybyDay[[#This Row],[RowMonth]],Table3[SummaryMonth],0)</f>
        <v>9</v>
      </c>
      <c r="G624" s="29">
        <f>MATCH(DaybyDay[[#This Row],[LY-Date]],DaybyDay[Date],0)</f>
        <v>254</v>
      </c>
      <c r="H624" s="30">
        <f>WEEKDAY(DaybyDay[[#This Row],[Date]])</f>
        <v>2</v>
      </c>
      <c r="I624" s="31">
        <v>43353</v>
      </c>
      <c r="J624" s="74">
        <v>14</v>
      </c>
      <c r="K624" s="32">
        <f>SUMIFS(BudgetSeasonality[365 Seasonality],BudgetSeasonality[MonthAdjustment],DaybyDay[[#This Row],[Date]])*SUMIFS(Budgets[Service-Budget],Budgets[BudgetMonth],DaybyDay[[#This Row],[RowMonth]],Budgets[BudgetYear],DaybyDay[[#This Row],[RowYear]])</f>
        <v>3625.7295502829238</v>
      </c>
      <c r="L624" s="75">
        <v>4020</v>
      </c>
      <c r="M624" s="32">
        <f>INDEX(BudgetSeasonality[365 Seasonality],MATCH(DaybyDay[[#This Row],[Date]],BudgetSeasonality[MonthAdjustment],0))*SUMIFS(Budgets[Retail-Budget],Budgets[BudgetMonth],DaybyDay[[#This Row],[RowMonth]],Budgets[BudgetYear],DaybyDay[[#This Row],[RowYear]])</f>
        <v>1013.8080940935772</v>
      </c>
      <c r="N624" s="75">
        <v>0</v>
      </c>
      <c r="O624" s="33">
        <f>SUMIFS(DaybyDay[Service-Budgets],DaybyDay[Date],"&gt;="&amp;$C$5,DaybyDay[RowYear],"&gt;="&amp;$C$4,DaybyDay[Date],"&lt;="&amp;DaybyDay[[#This Row],[Date]])</f>
        <v>0</v>
      </c>
      <c r="P624" s="33">
        <f>SUMIFS(DaybyDay[Retail-Budgets],DaybyDay[Date],"&gt;="&amp;$C$5,DaybyDay[RowYear],"&gt;="&amp;$C$4,DaybyDay[Date],"&lt;="&amp;DaybyDay[[#This Row],[Date]])</f>
        <v>0</v>
      </c>
      <c r="Q624" s="34">
        <f>SUMIFS(DaybyDay[Service-Actuals],DaybyDay[Date],"&gt;="&amp;$C$5,DaybyDay[RowYear],"&gt;="&amp;$C$4,DaybyDay[Date],"&lt;="&amp;DaybyDay[[#This Row],[Date]])</f>
        <v>0</v>
      </c>
      <c r="R624" s="34">
        <f>SUMIFS(DaybyDay[Retail-Actuals],DaybyDay[Date],"&gt;="&amp;$C$5,DaybyDay[RowYear],"&gt;="&amp;$C$4,DaybyDay[Date],"&lt;="&amp;DaybyDay[[#This Row],[Date]])</f>
        <v>0</v>
      </c>
      <c r="S624" s="35">
        <f>SUMIFS(DaybyDay[Service-LY],DaybyDay[Date],"&gt;="&amp;$C$5,DaybyDay[RowYear],"&gt;="&amp;$C$4,DaybyDay[Date],"&lt;="&amp;DaybyDay[[#This Row],[Date]])</f>
        <v>0</v>
      </c>
      <c r="T624" s="35">
        <f>SUMIFS(DaybyDay[Retail-LY],DaybyDay[Date],"&gt;="&amp;$C$5,DaybyDay[RowYear],"&gt;="&amp;$C$4,DaybyDay[Date],"&lt;="&amp;DaybyDay[[#This Row],[Date]])</f>
        <v>0</v>
      </c>
      <c r="U624" s="32">
        <f>DaybyDay[[#This Row],[Serv-Bud-RU]]+DaybyDay[[#This Row],[Ret-Bud-RU]]</f>
        <v>0</v>
      </c>
      <c r="V624" s="32">
        <f>DaybyDay[[#This Row],[Serv-Act-RU]]+DaybyDay[[#This Row],[Ret-Act-RU]]</f>
        <v>0</v>
      </c>
      <c r="W624" s="36">
        <f>IF(DaybyDay[[#This Row],[_Space]],IFERROR(
((DaybyDay[[#This Row],[Actual-Rollup]]-DaybyDay[[#This Row],[Budget-Rollup]])/DaybyDay[[#This Row],[Budget-Rollup]]),0),"")</f>
        <v>0</v>
      </c>
      <c r="X624" t="b">
        <f>NOT(AND(ISBLANK(DaybyDay[[#This Row],[Appts]]),ISBLANK(DaybyDay[[#This Row],[Service-Actuals]]),ISBLANK(DaybyDay[[#This Row],[Retail-Actuals]])))</f>
        <v>1</v>
      </c>
      <c r="Y624" s="36">
        <f>IF(DaybyDay[[#This Row],[_Space]],IFERROR(
((DaybyDay[[#This Row],[Actual-Rollup]]-DaybyDay[[#This Row],[LY-Rollup]])/DaybyDay[[#This Row],[LY-Rollup]]),0),"")</f>
        <v>0</v>
      </c>
      <c r="Z624"/>
      <c r="AA624" s="37" t="e">
        <f>IF(DaybyDay[[#This Row],[_Space]],DaybyDay[[#This Row],[Ret-Act-RU]]/DaybyDay[[#This Row],[Serv-Act-RU]],"")</f>
        <v>#DIV/0!</v>
      </c>
      <c r="AB624" s="50" t="e">
        <f>IF(DaybyDay[[#This Row],[_Space]],DaybyDay[[#This Row],[RETPEN-Act]]/DaybyDay[[#This Row],[RETPEN-Bud]],"")</f>
        <v>#DIV/0!</v>
      </c>
      <c r="AC624" s="37" t="e">
        <f>IF(DaybyDay[[#This Row],[_Space]],DaybyDay[[#This Row],[Ret-Bud-RU]]/DaybyDay[[#This Row],[Serv-Bud-RU]],"")</f>
        <v>#DIV/0!</v>
      </c>
      <c r="AD624" s="37" t="e">
        <f>IF(DaybyDay[[#This Row],[_Space]],DaybyDay[[#This Row],[Ret-LY-RU]]/DaybyDay[[#This Row],[Serv-LY-RU]],"")</f>
        <v>#DIV/0!</v>
      </c>
      <c r="AE624" s="30">
        <f>WEEKDAY(DaybyDay[[#This Row],[LY-Date]])</f>
        <v>2</v>
      </c>
      <c r="AF624" s="38">
        <f>$E$2+_xlfn.DAYS(DaybyDay[[#This Row],[Date]],minDate)</f>
        <v>42989</v>
      </c>
      <c r="AG624" s="39" cm="1">
        <f t="array" ref="AG624">IFERROR(INDEX(DaybyDay[],DaybyDay[[#This Row],[FORM_MATCH_HELPER]],8),"")</f>
        <v>9</v>
      </c>
      <c r="AH624" s="39" cm="1">
        <f t="array" ref="AH624">IFERROR(INDEX(DaybyDay[],DaybyDay[[#This Row],[FORM_MATCH_HELPER]],10),"")</f>
        <v>2755</v>
      </c>
      <c r="AI624" s="39" cm="1">
        <f t="array" ref="AI624">IFERROR(INDEX(DaybyDay[],DaybyDay[[#This Row],[FORM_MATCH_HELPER]],12),"")</f>
        <v>125</v>
      </c>
      <c r="AJ624" s="32">
        <f>IFERROR(DaybyDay[[#This Row],[Serv-LY-RU]]+DaybyDay[[#This Row],[Ret-LY-RU]],"")</f>
        <v>0</v>
      </c>
      <c r="AK6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4" s="77"/>
      <c r="AM624" s="40" t="str">
        <f>IF(DaybyDay[[#This Row],[Admin Hours]]&gt;0,DaybyDay[[#This Row],[Admin Hours]]*$AM$2+$AM$3,"")</f>
        <v/>
      </c>
      <c r="AN624" s="40">
        <f>SUMIFS(DaybyDay[Est-Admin-Payroll],DaybyDay[Date],"&gt;="&amp;$C$5,DaybyDay[RowYear],"&gt;="&amp;$C$4,DaybyDay[Date],"&lt;="&amp;DaybyDay[[#This Row],[Date]])</f>
        <v>0</v>
      </c>
      <c r="AO624" s="41" t="str">
        <f>IF(AND(DaybyDay[[#This Row],[_Space]],ISNUMBER(DaybyDay[[#This Row],[Admin Hours]])),DaybyDay[[#This Row],[Est-Admin-Payroll]]/(DaybyDay[[#This Row],[Service-Actuals]]+DaybyDay[[#This Row],[Retail-Actuals]]),"")</f>
        <v/>
      </c>
      <c r="AP624" s="41" t="e">
        <f>DaybyDay[[#This Row],[Estimated-Payroll-Rollup]]/DaybyDay[[#This Row],[Simple-Forecast]]</f>
        <v>#DIV/0!</v>
      </c>
      <c r="AQ6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4" s="77"/>
      <c r="AS624" s="40" t="str">
        <f>IF(DaybyDay[[#This Row],[Retail Hours]]&gt;0,DaybyDay[[#This Row],[Retail Hours]]*$AS$2,"")</f>
        <v/>
      </c>
      <c r="AT624" s="40">
        <f>SUMIFS(DaybyDay[Est-Retail-Payroll],DaybyDay[Date],"&gt;="&amp;$C$5,DaybyDay[RowYear],"&gt;="&amp;$C$4,DaybyDay[Date],"&lt;="&amp;DaybyDay[[#This Row],[Date]])</f>
        <v>0</v>
      </c>
      <c r="AU624" s="82" t="str">
        <f>IF(AND(DaybyDay[[#This Row],[_Space]],ISNUMBER(DaybyDay[[#This Row],[Retail Hours]])),DaybyDay[[#This Row],[Est-Retail-Payroll]]/(DaybyDay[[#This Row],[Retail-Actuals]]),"")</f>
        <v/>
      </c>
      <c r="AV624" s="82" t="e">
        <f>DaybyDay[[#This Row],[Est-Retail-PayrollRU]]/DaybyDay[[#This Row],[Simple-Forecast-Retail]]</f>
        <v>#DIV/0!</v>
      </c>
      <c r="AW624" s="8"/>
    </row>
    <row r="625" spans="3:49" hidden="1" x14ac:dyDescent="0.25">
      <c r="C625" s="26" t="str">
        <f>Tools!$C$1</f>
        <v>Example</v>
      </c>
      <c r="D625" s="27" t="s">
        <v>76</v>
      </c>
      <c r="E625" s="28">
        <v>2018</v>
      </c>
      <c r="F625" s="28">
        <f>MATCH(DaybyDay[[#This Row],[RowMonth]],Table3[SummaryMonth],0)</f>
        <v>9</v>
      </c>
      <c r="G625" s="29">
        <f>MATCH(DaybyDay[[#This Row],[LY-Date]],DaybyDay[Date],0)</f>
        <v>255</v>
      </c>
      <c r="H625" s="30">
        <f>WEEKDAY(DaybyDay[[#This Row],[Date]])</f>
        <v>3</v>
      </c>
      <c r="I625" s="31">
        <v>43354</v>
      </c>
      <c r="J625" s="74">
        <v>15</v>
      </c>
      <c r="K625" s="32">
        <f>SUMIFS(BudgetSeasonality[365 Seasonality],BudgetSeasonality[MonthAdjustment],DaybyDay[[#This Row],[Date]])*SUMIFS(Budgets[Service-Budget],Budgets[BudgetMonth],DaybyDay[[#This Row],[RowMonth]],Budgets[BudgetYear],DaybyDay[[#This Row],[RowYear]])</f>
        <v>3730.4502524669451</v>
      </c>
      <c r="L625" s="75">
        <v>3140</v>
      </c>
      <c r="M625" s="32">
        <f>INDEX(BudgetSeasonality[365 Seasonality],MATCH(DaybyDay[[#This Row],[Date]],BudgetSeasonality[MonthAdjustment],0))*SUMIFS(Budgets[Retail-Budget],Budgets[BudgetMonth],DaybyDay[[#This Row],[RowMonth]],Budgets[BudgetYear],DaybyDay[[#This Row],[RowYear]])</f>
        <v>1043.0895653177724</v>
      </c>
      <c r="N625" s="75">
        <v>59</v>
      </c>
      <c r="O625" s="33">
        <f>SUMIFS(DaybyDay[Service-Budgets],DaybyDay[Date],"&gt;="&amp;$C$5,DaybyDay[RowYear],"&gt;="&amp;$C$4,DaybyDay[Date],"&lt;="&amp;DaybyDay[[#This Row],[Date]])</f>
        <v>0</v>
      </c>
      <c r="P625" s="33">
        <f>SUMIFS(DaybyDay[Retail-Budgets],DaybyDay[Date],"&gt;="&amp;$C$5,DaybyDay[RowYear],"&gt;="&amp;$C$4,DaybyDay[Date],"&lt;="&amp;DaybyDay[[#This Row],[Date]])</f>
        <v>0</v>
      </c>
      <c r="Q625" s="34">
        <f>SUMIFS(DaybyDay[Service-Actuals],DaybyDay[Date],"&gt;="&amp;$C$5,DaybyDay[RowYear],"&gt;="&amp;$C$4,DaybyDay[Date],"&lt;="&amp;DaybyDay[[#This Row],[Date]])</f>
        <v>0</v>
      </c>
      <c r="R625" s="34">
        <f>SUMIFS(DaybyDay[Retail-Actuals],DaybyDay[Date],"&gt;="&amp;$C$5,DaybyDay[RowYear],"&gt;="&amp;$C$4,DaybyDay[Date],"&lt;="&amp;DaybyDay[[#This Row],[Date]])</f>
        <v>0</v>
      </c>
      <c r="S625" s="35">
        <f>SUMIFS(DaybyDay[Service-LY],DaybyDay[Date],"&gt;="&amp;$C$5,DaybyDay[RowYear],"&gt;="&amp;$C$4,DaybyDay[Date],"&lt;="&amp;DaybyDay[[#This Row],[Date]])</f>
        <v>0</v>
      </c>
      <c r="T625" s="35">
        <f>SUMIFS(DaybyDay[Retail-LY],DaybyDay[Date],"&gt;="&amp;$C$5,DaybyDay[RowYear],"&gt;="&amp;$C$4,DaybyDay[Date],"&lt;="&amp;DaybyDay[[#This Row],[Date]])</f>
        <v>0</v>
      </c>
      <c r="U625" s="32">
        <f>DaybyDay[[#This Row],[Serv-Bud-RU]]+DaybyDay[[#This Row],[Ret-Bud-RU]]</f>
        <v>0</v>
      </c>
      <c r="V625" s="32">
        <f>DaybyDay[[#This Row],[Serv-Act-RU]]+DaybyDay[[#This Row],[Ret-Act-RU]]</f>
        <v>0</v>
      </c>
      <c r="W625" s="36">
        <f>IF(DaybyDay[[#This Row],[_Space]],IFERROR(
((DaybyDay[[#This Row],[Actual-Rollup]]-DaybyDay[[#This Row],[Budget-Rollup]])/DaybyDay[[#This Row],[Budget-Rollup]]),0),"")</f>
        <v>0</v>
      </c>
      <c r="X625" t="b">
        <f>NOT(AND(ISBLANK(DaybyDay[[#This Row],[Appts]]),ISBLANK(DaybyDay[[#This Row],[Service-Actuals]]),ISBLANK(DaybyDay[[#This Row],[Retail-Actuals]])))</f>
        <v>1</v>
      </c>
      <c r="Y625" s="36">
        <f>IF(DaybyDay[[#This Row],[_Space]],IFERROR(
((DaybyDay[[#This Row],[Actual-Rollup]]-DaybyDay[[#This Row],[LY-Rollup]])/DaybyDay[[#This Row],[LY-Rollup]]),0),"")</f>
        <v>0</v>
      </c>
      <c r="Z625"/>
      <c r="AA625" s="37" t="e">
        <f>IF(DaybyDay[[#This Row],[_Space]],DaybyDay[[#This Row],[Ret-Act-RU]]/DaybyDay[[#This Row],[Serv-Act-RU]],"")</f>
        <v>#DIV/0!</v>
      </c>
      <c r="AB625" s="50" t="e">
        <f>IF(DaybyDay[[#This Row],[_Space]],DaybyDay[[#This Row],[RETPEN-Act]]/DaybyDay[[#This Row],[RETPEN-Bud]],"")</f>
        <v>#DIV/0!</v>
      </c>
      <c r="AC625" s="37" t="e">
        <f>IF(DaybyDay[[#This Row],[_Space]],DaybyDay[[#This Row],[Ret-Bud-RU]]/DaybyDay[[#This Row],[Serv-Bud-RU]],"")</f>
        <v>#DIV/0!</v>
      </c>
      <c r="AD625" s="37" t="e">
        <f>IF(DaybyDay[[#This Row],[_Space]],DaybyDay[[#This Row],[Ret-LY-RU]]/DaybyDay[[#This Row],[Serv-LY-RU]],"")</f>
        <v>#DIV/0!</v>
      </c>
      <c r="AE625" s="30">
        <f>WEEKDAY(DaybyDay[[#This Row],[LY-Date]])</f>
        <v>3</v>
      </c>
      <c r="AF625" s="38">
        <f>$E$2+_xlfn.DAYS(DaybyDay[[#This Row],[Date]],minDate)</f>
        <v>42990</v>
      </c>
      <c r="AG625" s="39" cm="1">
        <f t="array" ref="AG625">IFERROR(INDEX(DaybyDay[],DaybyDay[[#This Row],[FORM_MATCH_HELPER]],8),"")</f>
        <v>17</v>
      </c>
      <c r="AH625" s="39" cm="1">
        <f t="array" ref="AH625">IFERROR(INDEX(DaybyDay[],DaybyDay[[#This Row],[FORM_MATCH_HELPER]],10),"")</f>
        <v>3444</v>
      </c>
      <c r="AI625" s="39" cm="1">
        <f t="array" ref="AI625">IFERROR(INDEX(DaybyDay[],DaybyDay[[#This Row],[FORM_MATCH_HELPER]],12),"")</f>
        <v>2801.6</v>
      </c>
      <c r="AJ625" s="32">
        <f>IFERROR(DaybyDay[[#This Row],[Serv-LY-RU]]+DaybyDay[[#This Row],[Ret-LY-RU]],"")</f>
        <v>0</v>
      </c>
      <c r="AK6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5" s="77"/>
      <c r="AM625" s="40" t="str">
        <f>IF(DaybyDay[[#This Row],[Admin Hours]]&gt;0,DaybyDay[[#This Row],[Admin Hours]]*$AM$2+$AM$3,"")</f>
        <v/>
      </c>
      <c r="AN625" s="40">
        <f>SUMIFS(DaybyDay[Est-Admin-Payroll],DaybyDay[Date],"&gt;="&amp;$C$5,DaybyDay[RowYear],"&gt;="&amp;$C$4,DaybyDay[Date],"&lt;="&amp;DaybyDay[[#This Row],[Date]])</f>
        <v>0</v>
      </c>
      <c r="AO625" s="41" t="str">
        <f>IF(AND(DaybyDay[[#This Row],[_Space]],ISNUMBER(DaybyDay[[#This Row],[Admin Hours]])),DaybyDay[[#This Row],[Est-Admin-Payroll]]/(DaybyDay[[#This Row],[Service-Actuals]]+DaybyDay[[#This Row],[Retail-Actuals]]),"")</f>
        <v/>
      </c>
      <c r="AP625" s="41" t="e">
        <f>DaybyDay[[#This Row],[Estimated-Payroll-Rollup]]/DaybyDay[[#This Row],[Simple-Forecast]]</f>
        <v>#DIV/0!</v>
      </c>
      <c r="AQ6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5" s="77"/>
      <c r="AS625" s="40" t="str">
        <f>IF(DaybyDay[[#This Row],[Retail Hours]]&gt;0,DaybyDay[[#This Row],[Retail Hours]]*$AS$2,"")</f>
        <v/>
      </c>
      <c r="AT625" s="40">
        <f>SUMIFS(DaybyDay[Est-Retail-Payroll],DaybyDay[Date],"&gt;="&amp;$C$5,DaybyDay[RowYear],"&gt;="&amp;$C$4,DaybyDay[Date],"&lt;="&amp;DaybyDay[[#This Row],[Date]])</f>
        <v>0</v>
      </c>
      <c r="AU625" s="82" t="str">
        <f>IF(AND(DaybyDay[[#This Row],[_Space]],ISNUMBER(DaybyDay[[#This Row],[Retail Hours]])),DaybyDay[[#This Row],[Est-Retail-Payroll]]/(DaybyDay[[#This Row],[Retail-Actuals]]),"")</f>
        <v/>
      </c>
      <c r="AV625" s="82" t="e">
        <f>DaybyDay[[#This Row],[Est-Retail-PayrollRU]]/DaybyDay[[#This Row],[Simple-Forecast-Retail]]</f>
        <v>#DIV/0!</v>
      </c>
      <c r="AW625" s="8"/>
    </row>
    <row r="626" spans="3:49" hidden="1" x14ac:dyDescent="0.25">
      <c r="C626" s="26" t="str">
        <f>Tools!$C$1</f>
        <v>Example</v>
      </c>
      <c r="D626" s="27" t="s">
        <v>76</v>
      </c>
      <c r="E626" s="28">
        <v>2018</v>
      </c>
      <c r="F626" s="28">
        <f>MATCH(DaybyDay[[#This Row],[RowMonth]],Table3[SummaryMonth],0)</f>
        <v>9</v>
      </c>
      <c r="G626" s="29">
        <f>MATCH(DaybyDay[[#This Row],[LY-Date]],DaybyDay[Date],0)</f>
        <v>256</v>
      </c>
      <c r="H626" s="30">
        <f>WEEKDAY(DaybyDay[[#This Row],[Date]])</f>
        <v>4</v>
      </c>
      <c r="I626" s="31">
        <v>43355</v>
      </c>
      <c r="J626" s="74">
        <v>19</v>
      </c>
      <c r="K626" s="32">
        <f>SUMIFS(BudgetSeasonality[365 Seasonality],BudgetSeasonality[MonthAdjustment],DaybyDay[[#This Row],[Date]])*SUMIFS(Budgets[Service-Budget],Budgets[BudgetMonth],DaybyDay[[#This Row],[RowMonth]],Budgets[BudgetYear],DaybyDay[[#This Row],[RowYear]])</f>
        <v>4366.9589347265937</v>
      </c>
      <c r="L626" s="75">
        <v>3754.3</v>
      </c>
      <c r="M626" s="32">
        <f>INDEX(BudgetSeasonality[365 Seasonality],MATCH(DaybyDay[[#This Row],[Date]],BudgetSeasonality[MonthAdjustment],0))*SUMIFS(Budgets[Retail-Budget],Budgets[BudgetMonth],DaybyDay[[#This Row],[RowMonth]],Budgets[BudgetYear],DaybyDay[[#This Row],[RowYear]])</f>
        <v>1221.0668923871106</v>
      </c>
      <c r="N626" s="75">
        <v>1465.95</v>
      </c>
      <c r="O626" s="33">
        <f>SUMIFS(DaybyDay[Service-Budgets],DaybyDay[Date],"&gt;="&amp;$C$5,DaybyDay[RowYear],"&gt;="&amp;$C$4,DaybyDay[Date],"&lt;="&amp;DaybyDay[[#This Row],[Date]])</f>
        <v>0</v>
      </c>
      <c r="P626" s="33">
        <f>SUMIFS(DaybyDay[Retail-Budgets],DaybyDay[Date],"&gt;="&amp;$C$5,DaybyDay[RowYear],"&gt;="&amp;$C$4,DaybyDay[Date],"&lt;="&amp;DaybyDay[[#This Row],[Date]])</f>
        <v>0</v>
      </c>
      <c r="Q626" s="34">
        <f>SUMIFS(DaybyDay[Service-Actuals],DaybyDay[Date],"&gt;="&amp;$C$5,DaybyDay[RowYear],"&gt;="&amp;$C$4,DaybyDay[Date],"&lt;="&amp;DaybyDay[[#This Row],[Date]])</f>
        <v>0</v>
      </c>
      <c r="R626" s="34">
        <f>SUMIFS(DaybyDay[Retail-Actuals],DaybyDay[Date],"&gt;="&amp;$C$5,DaybyDay[RowYear],"&gt;="&amp;$C$4,DaybyDay[Date],"&lt;="&amp;DaybyDay[[#This Row],[Date]])</f>
        <v>0</v>
      </c>
      <c r="S626" s="35">
        <f>SUMIFS(DaybyDay[Service-LY],DaybyDay[Date],"&gt;="&amp;$C$5,DaybyDay[RowYear],"&gt;="&amp;$C$4,DaybyDay[Date],"&lt;="&amp;DaybyDay[[#This Row],[Date]])</f>
        <v>0</v>
      </c>
      <c r="T626" s="35">
        <f>SUMIFS(DaybyDay[Retail-LY],DaybyDay[Date],"&gt;="&amp;$C$5,DaybyDay[RowYear],"&gt;="&amp;$C$4,DaybyDay[Date],"&lt;="&amp;DaybyDay[[#This Row],[Date]])</f>
        <v>0</v>
      </c>
      <c r="U626" s="32">
        <f>DaybyDay[[#This Row],[Serv-Bud-RU]]+DaybyDay[[#This Row],[Ret-Bud-RU]]</f>
        <v>0</v>
      </c>
      <c r="V626" s="32">
        <f>DaybyDay[[#This Row],[Serv-Act-RU]]+DaybyDay[[#This Row],[Ret-Act-RU]]</f>
        <v>0</v>
      </c>
      <c r="W626" s="36">
        <f>IF(DaybyDay[[#This Row],[_Space]],IFERROR(
((DaybyDay[[#This Row],[Actual-Rollup]]-DaybyDay[[#This Row],[Budget-Rollup]])/DaybyDay[[#This Row],[Budget-Rollup]]),0),"")</f>
        <v>0</v>
      </c>
      <c r="X626" t="b">
        <f>NOT(AND(ISBLANK(DaybyDay[[#This Row],[Appts]]),ISBLANK(DaybyDay[[#This Row],[Service-Actuals]]),ISBLANK(DaybyDay[[#This Row],[Retail-Actuals]])))</f>
        <v>1</v>
      </c>
      <c r="Y626" s="36">
        <f>IF(DaybyDay[[#This Row],[_Space]],IFERROR(
((DaybyDay[[#This Row],[Actual-Rollup]]-DaybyDay[[#This Row],[LY-Rollup]])/DaybyDay[[#This Row],[LY-Rollup]]),0),"")</f>
        <v>0</v>
      </c>
      <c r="Z626"/>
      <c r="AA626" s="37" t="e">
        <f>IF(DaybyDay[[#This Row],[_Space]],DaybyDay[[#This Row],[Ret-Act-RU]]/DaybyDay[[#This Row],[Serv-Act-RU]],"")</f>
        <v>#DIV/0!</v>
      </c>
      <c r="AB626" s="50" t="e">
        <f>IF(DaybyDay[[#This Row],[_Space]],DaybyDay[[#This Row],[RETPEN-Act]]/DaybyDay[[#This Row],[RETPEN-Bud]],"")</f>
        <v>#DIV/0!</v>
      </c>
      <c r="AC626" s="37" t="e">
        <f>IF(DaybyDay[[#This Row],[_Space]],DaybyDay[[#This Row],[Ret-Bud-RU]]/DaybyDay[[#This Row],[Serv-Bud-RU]],"")</f>
        <v>#DIV/0!</v>
      </c>
      <c r="AD626" s="37" t="e">
        <f>IF(DaybyDay[[#This Row],[_Space]],DaybyDay[[#This Row],[Ret-LY-RU]]/DaybyDay[[#This Row],[Serv-LY-RU]],"")</f>
        <v>#DIV/0!</v>
      </c>
      <c r="AE626" s="30">
        <f>WEEKDAY(DaybyDay[[#This Row],[LY-Date]])</f>
        <v>4</v>
      </c>
      <c r="AF626" s="38">
        <f>$E$2+_xlfn.DAYS(DaybyDay[[#This Row],[Date]],minDate)</f>
        <v>42991</v>
      </c>
      <c r="AG626" s="39" cm="1">
        <f t="array" ref="AG626">IFERROR(INDEX(DaybyDay[],DaybyDay[[#This Row],[FORM_MATCH_HELPER]],8),"")</f>
        <v>14</v>
      </c>
      <c r="AH626" s="39" cm="1">
        <f t="array" ref="AH626">IFERROR(INDEX(DaybyDay[],DaybyDay[[#This Row],[FORM_MATCH_HELPER]],10),"")</f>
        <v>2588.6</v>
      </c>
      <c r="AI626" s="39" cm="1">
        <f t="array" ref="AI626">IFERROR(INDEX(DaybyDay[],DaybyDay[[#This Row],[FORM_MATCH_HELPER]],12),"")</f>
        <v>383</v>
      </c>
      <c r="AJ626" s="32">
        <f>IFERROR(DaybyDay[[#This Row],[Serv-LY-RU]]+DaybyDay[[#This Row],[Ret-LY-RU]],"")</f>
        <v>0</v>
      </c>
      <c r="AK6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6" s="77"/>
      <c r="AM626" s="40" t="str">
        <f>IF(DaybyDay[[#This Row],[Admin Hours]]&gt;0,DaybyDay[[#This Row],[Admin Hours]]*$AM$2+$AM$3,"")</f>
        <v/>
      </c>
      <c r="AN626" s="40">
        <f>SUMIFS(DaybyDay[Est-Admin-Payroll],DaybyDay[Date],"&gt;="&amp;$C$5,DaybyDay[RowYear],"&gt;="&amp;$C$4,DaybyDay[Date],"&lt;="&amp;DaybyDay[[#This Row],[Date]])</f>
        <v>0</v>
      </c>
      <c r="AO626" s="41" t="str">
        <f>IF(AND(DaybyDay[[#This Row],[_Space]],ISNUMBER(DaybyDay[[#This Row],[Admin Hours]])),DaybyDay[[#This Row],[Est-Admin-Payroll]]/(DaybyDay[[#This Row],[Service-Actuals]]+DaybyDay[[#This Row],[Retail-Actuals]]),"")</f>
        <v/>
      </c>
      <c r="AP626" s="41" t="e">
        <f>DaybyDay[[#This Row],[Estimated-Payroll-Rollup]]/DaybyDay[[#This Row],[Simple-Forecast]]</f>
        <v>#DIV/0!</v>
      </c>
      <c r="AQ6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6" s="77"/>
      <c r="AS626" s="40" t="str">
        <f>IF(DaybyDay[[#This Row],[Retail Hours]]&gt;0,DaybyDay[[#This Row],[Retail Hours]]*$AS$2,"")</f>
        <v/>
      </c>
      <c r="AT626" s="40">
        <f>SUMIFS(DaybyDay[Est-Retail-Payroll],DaybyDay[Date],"&gt;="&amp;$C$5,DaybyDay[RowYear],"&gt;="&amp;$C$4,DaybyDay[Date],"&lt;="&amp;DaybyDay[[#This Row],[Date]])</f>
        <v>0</v>
      </c>
      <c r="AU626" s="82" t="str">
        <f>IF(AND(DaybyDay[[#This Row],[_Space]],ISNUMBER(DaybyDay[[#This Row],[Retail Hours]])),DaybyDay[[#This Row],[Est-Retail-Payroll]]/(DaybyDay[[#This Row],[Retail-Actuals]]),"")</f>
        <v/>
      </c>
      <c r="AV626" s="82" t="e">
        <f>DaybyDay[[#This Row],[Est-Retail-PayrollRU]]/DaybyDay[[#This Row],[Simple-Forecast-Retail]]</f>
        <v>#DIV/0!</v>
      </c>
      <c r="AW626" s="8"/>
    </row>
    <row r="627" spans="3:49" hidden="1" x14ac:dyDescent="0.25">
      <c r="C627" s="26" t="str">
        <f>Tools!$C$1</f>
        <v>Example</v>
      </c>
      <c r="D627" s="27" t="s">
        <v>76</v>
      </c>
      <c r="E627" s="28">
        <v>2018</v>
      </c>
      <c r="F627" s="28">
        <f>MATCH(DaybyDay[[#This Row],[RowMonth]],Table3[SummaryMonth],0)</f>
        <v>9</v>
      </c>
      <c r="G627" s="29">
        <f>MATCH(DaybyDay[[#This Row],[LY-Date]],DaybyDay[Date],0)</f>
        <v>257</v>
      </c>
      <c r="H627" s="30">
        <f>WEEKDAY(DaybyDay[[#This Row],[Date]])</f>
        <v>5</v>
      </c>
      <c r="I627" s="31">
        <v>43356</v>
      </c>
      <c r="J627" s="74">
        <v>21</v>
      </c>
      <c r="K627" s="32">
        <f>SUMIFS(BudgetSeasonality[365 Seasonality],BudgetSeasonality[MonthAdjustment],DaybyDay[[#This Row],[Date]])*SUMIFS(Budgets[Service-Budget],Budgets[BudgetMonth],DaybyDay[[#This Row],[RowMonth]],Budgets[BudgetYear],DaybyDay[[#This Row],[RowYear]])</f>
        <v>4461.3841068488719</v>
      </c>
      <c r="L627" s="75">
        <v>4846.8900000000003</v>
      </c>
      <c r="M627" s="32">
        <f>INDEX(BudgetSeasonality[365 Seasonality],MATCH(DaybyDay[[#This Row],[Date]],BudgetSeasonality[MonthAdjustment],0))*SUMIFS(Budgets[Retail-Budget],Budgets[BudgetMonth],DaybyDay[[#This Row],[RowMonth]],Budgets[BudgetYear],DaybyDay[[#This Row],[RowYear]])</f>
        <v>1247.4695797514439</v>
      </c>
      <c r="N627" s="75">
        <v>625.5</v>
      </c>
      <c r="O627" s="33">
        <f>SUMIFS(DaybyDay[Service-Budgets],DaybyDay[Date],"&gt;="&amp;$C$5,DaybyDay[RowYear],"&gt;="&amp;$C$4,DaybyDay[Date],"&lt;="&amp;DaybyDay[[#This Row],[Date]])</f>
        <v>0</v>
      </c>
      <c r="P627" s="33">
        <f>SUMIFS(DaybyDay[Retail-Budgets],DaybyDay[Date],"&gt;="&amp;$C$5,DaybyDay[RowYear],"&gt;="&amp;$C$4,DaybyDay[Date],"&lt;="&amp;DaybyDay[[#This Row],[Date]])</f>
        <v>0</v>
      </c>
      <c r="Q627" s="34">
        <f>SUMIFS(DaybyDay[Service-Actuals],DaybyDay[Date],"&gt;="&amp;$C$5,DaybyDay[RowYear],"&gt;="&amp;$C$4,DaybyDay[Date],"&lt;="&amp;DaybyDay[[#This Row],[Date]])</f>
        <v>0</v>
      </c>
      <c r="R627" s="34">
        <f>SUMIFS(DaybyDay[Retail-Actuals],DaybyDay[Date],"&gt;="&amp;$C$5,DaybyDay[RowYear],"&gt;="&amp;$C$4,DaybyDay[Date],"&lt;="&amp;DaybyDay[[#This Row],[Date]])</f>
        <v>0</v>
      </c>
      <c r="S627" s="35">
        <f>SUMIFS(DaybyDay[Service-LY],DaybyDay[Date],"&gt;="&amp;$C$5,DaybyDay[RowYear],"&gt;="&amp;$C$4,DaybyDay[Date],"&lt;="&amp;DaybyDay[[#This Row],[Date]])</f>
        <v>0</v>
      </c>
      <c r="T627" s="35">
        <f>SUMIFS(DaybyDay[Retail-LY],DaybyDay[Date],"&gt;="&amp;$C$5,DaybyDay[RowYear],"&gt;="&amp;$C$4,DaybyDay[Date],"&lt;="&amp;DaybyDay[[#This Row],[Date]])</f>
        <v>0</v>
      </c>
      <c r="U627" s="32">
        <f>DaybyDay[[#This Row],[Serv-Bud-RU]]+DaybyDay[[#This Row],[Ret-Bud-RU]]</f>
        <v>0</v>
      </c>
      <c r="V627" s="32">
        <f>DaybyDay[[#This Row],[Serv-Act-RU]]+DaybyDay[[#This Row],[Ret-Act-RU]]</f>
        <v>0</v>
      </c>
      <c r="W627" s="36">
        <f>IF(DaybyDay[[#This Row],[_Space]],IFERROR(
((DaybyDay[[#This Row],[Actual-Rollup]]-DaybyDay[[#This Row],[Budget-Rollup]])/DaybyDay[[#This Row],[Budget-Rollup]]),0),"")</f>
        <v>0</v>
      </c>
      <c r="X627" t="b">
        <f>NOT(AND(ISBLANK(DaybyDay[[#This Row],[Appts]]),ISBLANK(DaybyDay[[#This Row],[Service-Actuals]]),ISBLANK(DaybyDay[[#This Row],[Retail-Actuals]])))</f>
        <v>1</v>
      </c>
      <c r="Y627" s="36">
        <f>IF(DaybyDay[[#This Row],[_Space]],IFERROR(
((DaybyDay[[#This Row],[Actual-Rollup]]-DaybyDay[[#This Row],[LY-Rollup]])/DaybyDay[[#This Row],[LY-Rollup]]),0),"")</f>
        <v>0</v>
      </c>
      <c r="Z627"/>
      <c r="AA627" s="37" t="e">
        <f>IF(DaybyDay[[#This Row],[_Space]],DaybyDay[[#This Row],[Ret-Act-RU]]/DaybyDay[[#This Row],[Serv-Act-RU]],"")</f>
        <v>#DIV/0!</v>
      </c>
      <c r="AB627" s="50" t="e">
        <f>IF(DaybyDay[[#This Row],[_Space]],DaybyDay[[#This Row],[RETPEN-Act]]/DaybyDay[[#This Row],[RETPEN-Bud]],"")</f>
        <v>#DIV/0!</v>
      </c>
      <c r="AC627" s="37" t="e">
        <f>IF(DaybyDay[[#This Row],[_Space]],DaybyDay[[#This Row],[Ret-Bud-RU]]/DaybyDay[[#This Row],[Serv-Bud-RU]],"")</f>
        <v>#DIV/0!</v>
      </c>
      <c r="AD627" s="37" t="e">
        <f>IF(DaybyDay[[#This Row],[_Space]],DaybyDay[[#This Row],[Ret-LY-RU]]/DaybyDay[[#This Row],[Serv-LY-RU]],"")</f>
        <v>#DIV/0!</v>
      </c>
      <c r="AE627" s="30">
        <f>WEEKDAY(DaybyDay[[#This Row],[LY-Date]])</f>
        <v>5</v>
      </c>
      <c r="AF627" s="38">
        <f>$E$2+_xlfn.DAYS(DaybyDay[[#This Row],[Date]],minDate)</f>
        <v>42992</v>
      </c>
      <c r="AG627" s="39" cm="1">
        <f t="array" ref="AG627">IFERROR(INDEX(DaybyDay[],DaybyDay[[#This Row],[FORM_MATCH_HELPER]],8),"")</f>
        <v>11</v>
      </c>
      <c r="AH627" s="39" cm="1">
        <f t="array" ref="AH627">IFERROR(INDEX(DaybyDay[],DaybyDay[[#This Row],[FORM_MATCH_HELPER]],10),"")</f>
        <v>2420</v>
      </c>
      <c r="AI627" s="39" cm="1">
        <f t="array" ref="AI627">IFERROR(INDEX(DaybyDay[],DaybyDay[[#This Row],[FORM_MATCH_HELPER]],12),"")</f>
        <v>921.3</v>
      </c>
      <c r="AJ627" s="32">
        <f>IFERROR(DaybyDay[[#This Row],[Serv-LY-RU]]+DaybyDay[[#This Row],[Ret-LY-RU]],"")</f>
        <v>0</v>
      </c>
      <c r="AK6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7" s="77"/>
      <c r="AM627" s="40" t="str">
        <f>IF(DaybyDay[[#This Row],[Admin Hours]]&gt;0,DaybyDay[[#This Row],[Admin Hours]]*$AM$2+$AM$3,"")</f>
        <v/>
      </c>
      <c r="AN627" s="40">
        <f>SUMIFS(DaybyDay[Est-Admin-Payroll],DaybyDay[Date],"&gt;="&amp;$C$5,DaybyDay[RowYear],"&gt;="&amp;$C$4,DaybyDay[Date],"&lt;="&amp;DaybyDay[[#This Row],[Date]])</f>
        <v>0</v>
      </c>
      <c r="AO627" s="41" t="str">
        <f>IF(AND(DaybyDay[[#This Row],[_Space]],ISNUMBER(DaybyDay[[#This Row],[Admin Hours]])),DaybyDay[[#This Row],[Est-Admin-Payroll]]/(DaybyDay[[#This Row],[Service-Actuals]]+DaybyDay[[#This Row],[Retail-Actuals]]),"")</f>
        <v/>
      </c>
      <c r="AP627" s="41" t="e">
        <f>DaybyDay[[#This Row],[Estimated-Payroll-Rollup]]/DaybyDay[[#This Row],[Simple-Forecast]]</f>
        <v>#DIV/0!</v>
      </c>
      <c r="AQ6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7" s="77"/>
      <c r="AS627" s="40" t="str">
        <f>IF(DaybyDay[[#This Row],[Retail Hours]]&gt;0,DaybyDay[[#This Row],[Retail Hours]]*$AS$2,"")</f>
        <v/>
      </c>
      <c r="AT627" s="40">
        <f>SUMIFS(DaybyDay[Est-Retail-Payroll],DaybyDay[Date],"&gt;="&amp;$C$5,DaybyDay[RowYear],"&gt;="&amp;$C$4,DaybyDay[Date],"&lt;="&amp;DaybyDay[[#This Row],[Date]])</f>
        <v>0</v>
      </c>
      <c r="AU627" s="82" t="str">
        <f>IF(AND(DaybyDay[[#This Row],[_Space]],ISNUMBER(DaybyDay[[#This Row],[Retail Hours]])),DaybyDay[[#This Row],[Est-Retail-Payroll]]/(DaybyDay[[#This Row],[Retail-Actuals]]),"")</f>
        <v/>
      </c>
      <c r="AV627" s="82" t="e">
        <f>DaybyDay[[#This Row],[Est-Retail-PayrollRU]]/DaybyDay[[#This Row],[Simple-Forecast-Retail]]</f>
        <v>#DIV/0!</v>
      </c>
      <c r="AW627" s="8"/>
    </row>
    <row r="628" spans="3:49" hidden="1" x14ac:dyDescent="0.25">
      <c r="C628" s="26" t="str">
        <f>Tools!$C$1</f>
        <v>Example</v>
      </c>
      <c r="D628" s="27" t="s">
        <v>76</v>
      </c>
      <c r="E628" s="28">
        <v>2018</v>
      </c>
      <c r="F628" s="28">
        <f>MATCH(DaybyDay[[#This Row],[RowMonth]],Table3[SummaryMonth],0)</f>
        <v>9</v>
      </c>
      <c r="G628" s="29">
        <f>MATCH(DaybyDay[[#This Row],[LY-Date]],DaybyDay[Date],0)</f>
        <v>258</v>
      </c>
      <c r="H628" s="30">
        <f>WEEKDAY(DaybyDay[[#This Row],[Date]])</f>
        <v>6</v>
      </c>
      <c r="I628" s="31">
        <v>43357</v>
      </c>
      <c r="J628" s="74">
        <v>27</v>
      </c>
      <c r="K628" s="32">
        <f>SUMIFS(BudgetSeasonality[365 Seasonality],BudgetSeasonality[MonthAdjustment],DaybyDay[[#This Row],[Date]])*SUMIFS(Budgets[Service-Budget],Budgets[BudgetMonth],DaybyDay[[#This Row],[RowMonth]],Budgets[BudgetYear],DaybyDay[[#This Row],[RowYear]])</f>
        <v>5680.3181550468198</v>
      </c>
      <c r="L628" s="75">
        <v>5672.72</v>
      </c>
      <c r="M628" s="32">
        <f>INDEX(BudgetSeasonality[365 Seasonality],MATCH(DaybyDay[[#This Row],[Date]],BudgetSeasonality[MonthAdjustment],0))*SUMIFS(Budgets[Retail-Budget],Budgets[BudgetMonth],DaybyDay[[#This Row],[RowMonth]],Budgets[BudgetYear],DaybyDay[[#This Row],[RowYear]])</f>
        <v>1588.3017314856793</v>
      </c>
      <c r="N628" s="75">
        <v>301.10000000000002</v>
      </c>
      <c r="O628" s="33">
        <f>SUMIFS(DaybyDay[Service-Budgets],DaybyDay[Date],"&gt;="&amp;$C$5,DaybyDay[RowYear],"&gt;="&amp;$C$4,DaybyDay[Date],"&lt;="&amp;DaybyDay[[#This Row],[Date]])</f>
        <v>0</v>
      </c>
      <c r="P628" s="33">
        <f>SUMIFS(DaybyDay[Retail-Budgets],DaybyDay[Date],"&gt;="&amp;$C$5,DaybyDay[RowYear],"&gt;="&amp;$C$4,DaybyDay[Date],"&lt;="&amp;DaybyDay[[#This Row],[Date]])</f>
        <v>0</v>
      </c>
      <c r="Q628" s="34">
        <f>SUMIFS(DaybyDay[Service-Actuals],DaybyDay[Date],"&gt;="&amp;$C$5,DaybyDay[RowYear],"&gt;="&amp;$C$4,DaybyDay[Date],"&lt;="&amp;DaybyDay[[#This Row],[Date]])</f>
        <v>0</v>
      </c>
      <c r="R628" s="34">
        <f>SUMIFS(DaybyDay[Retail-Actuals],DaybyDay[Date],"&gt;="&amp;$C$5,DaybyDay[RowYear],"&gt;="&amp;$C$4,DaybyDay[Date],"&lt;="&amp;DaybyDay[[#This Row],[Date]])</f>
        <v>0</v>
      </c>
      <c r="S628" s="35">
        <f>SUMIFS(DaybyDay[Service-LY],DaybyDay[Date],"&gt;="&amp;$C$5,DaybyDay[RowYear],"&gt;="&amp;$C$4,DaybyDay[Date],"&lt;="&amp;DaybyDay[[#This Row],[Date]])</f>
        <v>0</v>
      </c>
      <c r="T628" s="35">
        <f>SUMIFS(DaybyDay[Retail-LY],DaybyDay[Date],"&gt;="&amp;$C$5,DaybyDay[RowYear],"&gt;="&amp;$C$4,DaybyDay[Date],"&lt;="&amp;DaybyDay[[#This Row],[Date]])</f>
        <v>0</v>
      </c>
      <c r="U628" s="32">
        <f>DaybyDay[[#This Row],[Serv-Bud-RU]]+DaybyDay[[#This Row],[Ret-Bud-RU]]</f>
        <v>0</v>
      </c>
      <c r="V628" s="32">
        <f>DaybyDay[[#This Row],[Serv-Act-RU]]+DaybyDay[[#This Row],[Ret-Act-RU]]</f>
        <v>0</v>
      </c>
      <c r="W628" s="36">
        <f>IF(DaybyDay[[#This Row],[_Space]],IFERROR(
((DaybyDay[[#This Row],[Actual-Rollup]]-DaybyDay[[#This Row],[Budget-Rollup]])/DaybyDay[[#This Row],[Budget-Rollup]]),0),"")</f>
        <v>0</v>
      </c>
      <c r="X628" t="b">
        <f>NOT(AND(ISBLANK(DaybyDay[[#This Row],[Appts]]),ISBLANK(DaybyDay[[#This Row],[Service-Actuals]]),ISBLANK(DaybyDay[[#This Row],[Retail-Actuals]])))</f>
        <v>1</v>
      </c>
      <c r="Y628" s="36">
        <f>IF(DaybyDay[[#This Row],[_Space]],IFERROR(
((DaybyDay[[#This Row],[Actual-Rollup]]-DaybyDay[[#This Row],[LY-Rollup]])/DaybyDay[[#This Row],[LY-Rollup]]),0),"")</f>
        <v>0</v>
      </c>
      <c r="Z628"/>
      <c r="AA628" s="37" t="e">
        <f>IF(DaybyDay[[#This Row],[_Space]],DaybyDay[[#This Row],[Ret-Act-RU]]/DaybyDay[[#This Row],[Serv-Act-RU]],"")</f>
        <v>#DIV/0!</v>
      </c>
      <c r="AB628" s="50" t="e">
        <f>IF(DaybyDay[[#This Row],[_Space]],DaybyDay[[#This Row],[RETPEN-Act]]/DaybyDay[[#This Row],[RETPEN-Bud]],"")</f>
        <v>#DIV/0!</v>
      </c>
      <c r="AC628" s="37" t="e">
        <f>IF(DaybyDay[[#This Row],[_Space]],DaybyDay[[#This Row],[Ret-Bud-RU]]/DaybyDay[[#This Row],[Serv-Bud-RU]],"")</f>
        <v>#DIV/0!</v>
      </c>
      <c r="AD628" s="37" t="e">
        <f>IF(DaybyDay[[#This Row],[_Space]],DaybyDay[[#This Row],[Ret-LY-RU]]/DaybyDay[[#This Row],[Serv-LY-RU]],"")</f>
        <v>#DIV/0!</v>
      </c>
      <c r="AE628" s="30">
        <f>WEEKDAY(DaybyDay[[#This Row],[LY-Date]])</f>
        <v>6</v>
      </c>
      <c r="AF628" s="38">
        <f>$E$2+_xlfn.DAYS(DaybyDay[[#This Row],[Date]],minDate)</f>
        <v>42993</v>
      </c>
      <c r="AG628" s="39" cm="1">
        <f t="array" ref="AG628">IFERROR(INDEX(DaybyDay[],DaybyDay[[#This Row],[FORM_MATCH_HELPER]],8),"")</f>
        <v>30</v>
      </c>
      <c r="AH628" s="39" cm="1">
        <f t="array" ref="AH628">IFERROR(INDEX(DaybyDay[],DaybyDay[[#This Row],[FORM_MATCH_HELPER]],10),"")</f>
        <v>5801</v>
      </c>
      <c r="AI628" s="39" cm="1">
        <f t="array" ref="AI628">IFERROR(INDEX(DaybyDay[],DaybyDay[[#This Row],[FORM_MATCH_HELPER]],12),"")</f>
        <v>250</v>
      </c>
      <c r="AJ628" s="32">
        <f>IFERROR(DaybyDay[[#This Row],[Serv-LY-RU]]+DaybyDay[[#This Row],[Ret-LY-RU]],"")</f>
        <v>0</v>
      </c>
      <c r="AK6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8" s="77"/>
      <c r="AM628" s="40" t="str">
        <f>IF(DaybyDay[[#This Row],[Admin Hours]]&gt;0,DaybyDay[[#This Row],[Admin Hours]]*$AM$2+$AM$3,"")</f>
        <v/>
      </c>
      <c r="AN628" s="40">
        <f>SUMIFS(DaybyDay[Est-Admin-Payroll],DaybyDay[Date],"&gt;="&amp;$C$5,DaybyDay[RowYear],"&gt;="&amp;$C$4,DaybyDay[Date],"&lt;="&amp;DaybyDay[[#This Row],[Date]])</f>
        <v>0</v>
      </c>
      <c r="AO628" s="41" t="str">
        <f>IF(AND(DaybyDay[[#This Row],[_Space]],ISNUMBER(DaybyDay[[#This Row],[Admin Hours]])),DaybyDay[[#This Row],[Est-Admin-Payroll]]/(DaybyDay[[#This Row],[Service-Actuals]]+DaybyDay[[#This Row],[Retail-Actuals]]),"")</f>
        <v/>
      </c>
      <c r="AP628" s="41" t="e">
        <f>DaybyDay[[#This Row],[Estimated-Payroll-Rollup]]/DaybyDay[[#This Row],[Simple-Forecast]]</f>
        <v>#DIV/0!</v>
      </c>
      <c r="AQ6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8" s="77"/>
      <c r="AS628" s="40" t="str">
        <f>IF(DaybyDay[[#This Row],[Retail Hours]]&gt;0,DaybyDay[[#This Row],[Retail Hours]]*$AS$2,"")</f>
        <v/>
      </c>
      <c r="AT628" s="40">
        <f>SUMIFS(DaybyDay[Est-Retail-Payroll],DaybyDay[Date],"&gt;="&amp;$C$5,DaybyDay[RowYear],"&gt;="&amp;$C$4,DaybyDay[Date],"&lt;="&amp;DaybyDay[[#This Row],[Date]])</f>
        <v>0</v>
      </c>
      <c r="AU628" s="82" t="str">
        <f>IF(AND(DaybyDay[[#This Row],[_Space]],ISNUMBER(DaybyDay[[#This Row],[Retail Hours]])),DaybyDay[[#This Row],[Est-Retail-Payroll]]/(DaybyDay[[#This Row],[Retail-Actuals]]),"")</f>
        <v/>
      </c>
      <c r="AV628" s="82" t="e">
        <f>DaybyDay[[#This Row],[Est-Retail-PayrollRU]]/DaybyDay[[#This Row],[Simple-Forecast-Retail]]</f>
        <v>#DIV/0!</v>
      </c>
      <c r="AW628" s="8"/>
    </row>
    <row r="629" spans="3:49" hidden="1" x14ac:dyDescent="0.25">
      <c r="C629" s="26" t="str">
        <f>Tools!$C$1</f>
        <v>Example</v>
      </c>
      <c r="D629" s="27" t="s">
        <v>76</v>
      </c>
      <c r="E629" s="28">
        <v>2018</v>
      </c>
      <c r="F629" s="28">
        <f>MATCH(DaybyDay[[#This Row],[RowMonth]],Table3[SummaryMonth],0)</f>
        <v>9</v>
      </c>
      <c r="G629" s="29">
        <f>MATCH(DaybyDay[[#This Row],[LY-Date]],DaybyDay[Date],0)</f>
        <v>259</v>
      </c>
      <c r="H629" s="30">
        <f>WEEKDAY(DaybyDay[[#This Row],[Date]])</f>
        <v>7</v>
      </c>
      <c r="I629" s="31">
        <v>43358</v>
      </c>
      <c r="J629" s="74">
        <v>32</v>
      </c>
      <c r="K629" s="32">
        <f>SUMIFS(BudgetSeasonality[365 Seasonality],BudgetSeasonality[MonthAdjustment],DaybyDay[[#This Row],[Date]])*SUMIFS(Budgets[Service-Budget],Budgets[BudgetMonth],DaybyDay[[#This Row],[RowMonth]],Budgets[BudgetYear],DaybyDay[[#This Row],[RowYear]])</f>
        <v>8314.0858622226933</v>
      </c>
      <c r="L629" s="75">
        <v>6987.4</v>
      </c>
      <c r="M629" s="32">
        <f>INDEX(BudgetSeasonality[365 Seasonality],MATCH(DaybyDay[[#This Row],[Date]],BudgetSeasonality[MonthAdjustment],0))*SUMIFS(Budgets[Retail-Budget],Budgets[BudgetMonth],DaybyDay[[#This Row],[RowMonth]],Budgets[BudgetYear],DaybyDay[[#This Row],[RowYear]])</f>
        <v>2324.7424898121867</v>
      </c>
      <c r="N629" s="75">
        <v>1221</v>
      </c>
      <c r="O629" s="33">
        <f>SUMIFS(DaybyDay[Service-Budgets],DaybyDay[Date],"&gt;="&amp;$C$5,DaybyDay[RowYear],"&gt;="&amp;$C$4,DaybyDay[Date],"&lt;="&amp;DaybyDay[[#This Row],[Date]])</f>
        <v>0</v>
      </c>
      <c r="P629" s="33">
        <f>SUMIFS(DaybyDay[Retail-Budgets],DaybyDay[Date],"&gt;="&amp;$C$5,DaybyDay[RowYear],"&gt;="&amp;$C$4,DaybyDay[Date],"&lt;="&amp;DaybyDay[[#This Row],[Date]])</f>
        <v>0</v>
      </c>
      <c r="Q629" s="34">
        <f>SUMIFS(DaybyDay[Service-Actuals],DaybyDay[Date],"&gt;="&amp;$C$5,DaybyDay[RowYear],"&gt;="&amp;$C$4,DaybyDay[Date],"&lt;="&amp;DaybyDay[[#This Row],[Date]])</f>
        <v>0</v>
      </c>
      <c r="R629" s="34">
        <f>SUMIFS(DaybyDay[Retail-Actuals],DaybyDay[Date],"&gt;="&amp;$C$5,DaybyDay[RowYear],"&gt;="&amp;$C$4,DaybyDay[Date],"&lt;="&amp;DaybyDay[[#This Row],[Date]])</f>
        <v>0</v>
      </c>
      <c r="S629" s="35">
        <f>SUMIFS(DaybyDay[Service-LY],DaybyDay[Date],"&gt;="&amp;$C$5,DaybyDay[RowYear],"&gt;="&amp;$C$4,DaybyDay[Date],"&lt;="&amp;DaybyDay[[#This Row],[Date]])</f>
        <v>0</v>
      </c>
      <c r="T629" s="35">
        <f>SUMIFS(DaybyDay[Retail-LY],DaybyDay[Date],"&gt;="&amp;$C$5,DaybyDay[RowYear],"&gt;="&amp;$C$4,DaybyDay[Date],"&lt;="&amp;DaybyDay[[#This Row],[Date]])</f>
        <v>0</v>
      </c>
      <c r="U629" s="32">
        <f>DaybyDay[[#This Row],[Serv-Bud-RU]]+DaybyDay[[#This Row],[Ret-Bud-RU]]</f>
        <v>0</v>
      </c>
      <c r="V629" s="32">
        <f>DaybyDay[[#This Row],[Serv-Act-RU]]+DaybyDay[[#This Row],[Ret-Act-RU]]</f>
        <v>0</v>
      </c>
      <c r="W629" s="36">
        <f>IF(DaybyDay[[#This Row],[_Space]],IFERROR(
((DaybyDay[[#This Row],[Actual-Rollup]]-DaybyDay[[#This Row],[Budget-Rollup]])/DaybyDay[[#This Row],[Budget-Rollup]]),0),"")</f>
        <v>0</v>
      </c>
      <c r="X629" t="b">
        <f>NOT(AND(ISBLANK(DaybyDay[[#This Row],[Appts]]),ISBLANK(DaybyDay[[#This Row],[Service-Actuals]]),ISBLANK(DaybyDay[[#This Row],[Retail-Actuals]])))</f>
        <v>1</v>
      </c>
      <c r="Y629" s="36">
        <f>IF(DaybyDay[[#This Row],[_Space]],IFERROR(
((DaybyDay[[#This Row],[Actual-Rollup]]-DaybyDay[[#This Row],[LY-Rollup]])/DaybyDay[[#This Row],[LY-Rollup]]),0),"")</f>
        <v>0</v>
      </c>
      <c r="Z629"/>
      <c r="AA629" s="37" t="e">
        <f>IF(DaybyDay[[#This Row],[_Space]],DaybyDay[[#This Row],[Ret-Act-RU]]/DaybyDay[[#This Row],[Serv-Act-RU]],"")</f>
        <v>#DIV/0!</v>
      </c>
      <c r="AB629" s="50" t="e">
        <f>IF(DaybyDay[[#This Row],[_Space]],DaybyDay[[#This Row],[RETPEN-Act]]/DaybyDay[[#This Row],[RETPEN-Bud]],"")</f>
        <v>#DIV/0!</v>
      </c>
      <c r="AC629" s="37" t="e">
        <f>IF(DaybyDay[[#This Row],[_Space]],DaybyDay[[#This Row],[Ret-Bud-RU]]/DaybyDay[[#This Row],[Serv-Bud-RU]],"")</f>
        <v>#DIV/0!</v>
      </c>
      <c r="AD629" s="37" t="e">
        <f>IF(DaybyDay[[#This Row],[_Space]],DaybyDay[[#This Row],[Ret-LY-RU]]/DaybyDay[[#This Row],[Serv-LY-RU]],"")</f>
        <v>#DIV/0!</v>
      </c>
      <c r="AE629" s="30">
        <f>WEEKDAY(DaybyDay[[#This Row],[LY-Date]])</f>
        <v>7</v>
      </c>
      <c r="AF629" s="38">
        <f>$E$2+_xlfn.DAYS(DaybyDay[[#This Row],[Date]],minDate)</f>
        <v>42994</v>
      </c>
      <c r="AG629" s="39" cm="1">
        <f t="array" ref="AG629">IFERROR(INDEX(DaybyDay[],DaybyDay[[#This Row],[FORM_MATCH_HELPER]],8),"")</f>
        <v>28</v>
      </c>
      <c r="AH629" s="39" cm="1">
        <f t="array" ref="AH629">IFERROR(INDEX(DaybyDay[],DaybyDay[[#This Row],[FORM_MATCH_HELPER]],10),"")</f>
        <v>5314</v>
      </c>
      <c r="AI629" s="39" cm="1">
        <f t="array" ref="AI629">IFERROR(INDEX(DaybyDay[],DaybyDay[[#This Row],[FORM_MATCH_HELPER]],12),"")</f>
        <v>129</v>
      </c>
      <c r="AJ629" s="32">
        <f>IFERROR(DaybyDay[[#This Row],[Serv-LY-RU]]+DaybyDay[[#This Row],[Ret-LY-RU]],"")</f>
        <v>0</v>
      </c>
      <c r="AK6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29" s="77"/>
      <c r="AM629" s="40" t="str">
        <f>IF(DaybyDay[[#This Row],[Admin Hours]]&gt;0,DaybyDay[[#This Row],[Admin Hours]]*$AM$2+$AM$3,"")</f>
        <v/>
      </c>
      <c r="AN629" s="40">
        <f>SUMIFS(DaybyDay[Est-Admin-Payroll],DaybyDay[Date],"&gt;="&amp;$C$5,DaybyDay[RowYear],"&gt;="&amp;$C$4,DaybyDay[Date],"&lt;="&amp;DaybyDay[[#This Row],[Date]])</f>
        <v>0</v>
      </c>
      <c r="AO629" s="41" t="str">
        <f>IF(AND(DaybyDay[[#This Row],[_Space]],ISNUMBER(DaybyDay[[#This Row],[Admin Hours]])),DaybyDay[[#This Row],[Est-Admin-Payroll]]/(DaybyDay[[#This Row],[Service-Actuals]]+DaybyDay[[#This Row],[Retail-Actuals]]),"")</f>
        <v/>
      </c>
      <c r="AP629" s="41" t="e">
        <f>DaybyDay[[#This Row],[Estimated-Payroll-Rollup]]/DaybyDay[[#This Row],[Simple-Forecast]]</f>
        <v>#DIV/0!</v>
      </c>
      <c r="AQ6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29" s="77"/>
      <c r="AS629" s="40" t="str">
        <f>IF(DaybyDay[[#This Row],[Retail Hours]]&gt;0,DaybyDay[[#This Row],[Retail Hours]]*$AS$2,"")</f>
        <v/>
      </c>
      <c r="AT629" s="40">
        <f>SUMIFS(DaybyDay[Est-Retail-Payroll],DaybyDay[Date],"&gt;="&amp;$C$5,DaybyDay[RowYear],"&gt;="&amp;$C$4,DaybyDay[Date],"&lt;="&amp;DaybyDay[[#This Row],[Date]])</f>
        <v>0</v>
      </c>
      <c r="AU629" s="82" t="str">
        <f>IF(AND(DaybyDay[[#This Row],[_Space]],ISNUMBER(DaybyDay[[#This Row],[Retail Hours]])),DaybyDay[[#This Row],[Est-Retail-Payroll]]/(DaybyDay[[#This Row],[Retail-Actuals]]),"")</f>
        <v/>
      </c>
      <c r="AV629" s="82" t="e">
        <f>DaybyDay[[#This Row],[Est-Retail-PayrollRU]]/DaybyDay[[#This Row],[Simple-Forecast-Retail]]</f>
        <v>#DIV/0!</v>
      </c>
      <c r="AW629" s="8"/>
    </row>
    <row r="630" spans="3:49" hidden="1" x14ac:dyDescent="0.25">
      <c r="C630" s="26" t="str">
        <f>Tools!$C$1</f>
        <v>Example</v>
      </c>
      <c r="D630" s="27" t="s">
        <v>76</v>
      </c>
      <c r="E630" s="28">
        <v>2018</v>
      </c>
      <c r="F630" s="28">
        <f>MATCH(DaybyDay[[#This Row],[RowMonth]],Table3[SummaryMonth],0)</f>
        <v>9</v>
      </c>
      <c r="G630" s="29">
        <f>MATCH(DaybyDay[[#This Row],[LY-Date]],DaybyDay[Date],0)</f>
        <v>260</v>
      </c>
      <c r="H630" s="30">
        <f>WEEKDAY(DaybyDay[[#This Row],[Date]])</f>
        <v>1</v>
      </c>
      <c r="I630" s="31">
        <v>43359</v>
      </c>
      <c r="J630" s="74">
        <v>22</v>
      </c>
      <c r="K630" s="32">
        <f>SUMIFS(BudgetSeasonality[365 Seasonality],BudgetSeasonality[MonthAdjustment],DaybyDay[[#This Row],[Date]])*SUMIFS(Budgets[Service-Budget],Budgets[BudgetMonth],DaybyDay[[#This Row],[RowMonth]],Budgets[BudgetYear],DaybyDay[[#This Row],[RowYear]])</f>
        <v>6292.0153076852448</v>
      </c>
      <c r="L630" s="75">
        <v>5805</v>
      </c>
      <c r="M630" s="32">
        <f>INDEX(BudgetSeasonality[365 Seasonality],MATCH(DaybyDay[[#This Row],[Date]],BudgetSeasonality[MonthAdjustment],0))*SUMIFS(Budgets[Retail-Budget],Budgets[BudgetMonth],DaybyDay[[#This Row],[RowMonth]],Budgets[BudgetYear],DaybyDay[[#This Row],[RowYear]])</f>
        <v>1759.3413845757557</v>
      </c>
      <c r="N630" s="75">
        <v>163.75</v>
      </c>
      <c r="O630" s="33">
        <f>SUMIFS(DaybyDay[Service-Budgets],DaybyDay[Date],"&gt;="&amp;$C$5,DaybyDay[RowYear],"&gt;="&amp;$C$4,DaybyDay[Date],"&lt;="&amp;DaybyDay[[#This Row],[Date]])</f>
        <v>0</v>
      </c>
      <c r="P630" s="33">
        <f>SUMIFS(DaybyDay[Retail-Budgets],DaybyDay[Date],"&gt;="&amp;$C$5,DaybyDay[RowYear],"&gt;="&amp;$C$4,DaybyDay[Date],"&lt;="&amp;DaybyDay[[#This Row],[Date]])</f>
        <v>0</v>
      </c>
      <c r="Q630" s="34">
        <f>SUMIFS(DaybyDay[Service-Actuals],DaybyDay[Date],"&gt;="&amp;$C$5,DaybyDay[RowYear],"&gt;="&amp;$C$4,DaybyDay[Date],"&lt;="&amp;DaybyDay[[#This Row],[Date]])</f>
        <v>0</v>
      </c>
      <c r="R630" s="34">
        <f>SUMIFS(DaybyDay[Retail-Actuals],DaybyDay[Date],"&gt;="&amp;$C$5,DaybyDay[RowYear],"&gt;="&amp;$C$4,DaybyDay[Date],"&lt;="&amp;DaybyDay[[#This Row],[Date]])</f>
        <v>0</v>
      </c>
      <c r="S630" s="35">
        <f>SUMIFS(DaybyDay[Service-LY],DaybyDay[Date],"&gt;="&amp;$C$5,DaybyDay[RowYear],"&gt;="&amp;$C$4,DaybyDay[Date],"&lt;="&amp;DaybyDay[[#This Row],[Date]])</f>
        <v>0</v>
      </c>
      <c r="T630" s="35">
        <f>SUMIFS(DaybyDay[Retail-LY],DaybyDay[Date],"&gt;="&amp;$C$5,DaybyDay[RowYear],"&gt;="&amp;$C$4,DaybyDay[Date],"&lt;="&amp;DaybyDay[[#This Row],[Date]])</f>
        <v>0</v>
      </c>
      <c r="U630" s="32">
        <f>DaybyDay[[#This Row],[Serv-Bud-RU]]+DaybyDay[[#This Row],[Ret-Bud-RU]]</f>
        <v>0</v>
      </c>
      <c r="V630" s="32">
        <f>DaybyDay[[#This Row],[Serv-Act-RU]]+DaybyDay[[#This Row],[Ret-Act-RU]]</f>
        <v>0</v>
      </c>
      <c r="W630" s="36">
        <f>IF(DaybyDay[[#This Row],[_Space]],IFERROR(
((DaybyDay[[#This Row],[Actual-Rollup]]-DaybyDay[[#This Row],[Budget-Rollup]])/DaybyDay[[#This Row],[Budget-Rollup]]),0),"")</f>
        <v>0</v>
      </c>
      <c r="X630" t="b">
        <f>NOT(AND(ISBLANK(DaybyDay[[#This Row],[Appts]]),ISBLANK(DaybyDay[[#This Row],[Service-Actuals]]),ISBLANK(DaybyDay[[#This Row],[Retail-Actuals]])))</f>
        <v>1</v>
      </c>
      <c r="Y630" s="36">
        <f>IF(DaybyDay[[#This Row],[_Space]],IFERROR(
((DaybyDay[[#This Row],[Actual-Rollup]]-DaybyDay[[#This Row],[LY-Rollup]])/DaybyDay[[#This Row],[LY-Rollup]]),0),"")</f>
        <v>0</v>
      </c>
      <c r="Z630"/>
      <c r="AA630" s="37" t="e">
        <f>IF(DaybyDay[[#This Row],[_Space]],DaybyDay[[#This Row],[Ret-Act-RU]]/DaybyDay[[#This Row],[Serv-Act-RU]],"")</f>
        <v>#DIV/0!</v>
      </c>
      <c r="AB630" s="50" t="e">
        <f>IF(DaybyDay[[#This Row],[_Space]],DaybyDay[[#This Row],[RETPEN-Act]]/DaybyDay[[#This Row],[RETPEN-Bud]],"")</f>
        <v>#DIV/0!</v>
      </c>
      <c r="AC630" s="37" t="e">
        <f>IF(DaybyDay[[#This Row],[_Space]],DaybyDay[[#This Row],[Ret-Bud-RU]]/DaybyDay[[#This Row],[Serv-Bud-RU]],"")</f>
        <v>#DIV/0!</v>
      </c>
      <c r="AD630" s="37" t="e">
        <f>IF(DaybyDay[[#This Row],[_Space]],DaybyDay[[#This Row],[Ret-LY-RU]]/DaybyDay[[#This Row],[Serv-LY-RU]],"")</f>
        <v>#DIV/0!</v>
      </c>
      <c r="AE630" s="30">
        <f>WEEKDAY(DaybyDay[[#This Row],[LY-Date]])</f>
        <v>1</v>
      </c>
      <c r="AF630" s="38">
        <f>$E$2+_xlfn.DAYS(DaybyDay[[#This Row],[Date]],minDate)</f>
        <v>42995</v>
      </c>
      <c r="AG630" s="39" cm="1">
        <f t="array" ref="AG630">IFERROR(INDEX(DaybyDay[],DaybyDay[[#This Row],[FORM_MATCH_HELPER]],8),"")</f>
        <v>21</v>
      </c>
      <c r="AH630" s="39" cm="1">
        <f t="array" ref="AH630">IFERROR(INDEX(DaybyDay[],DaybyDay[[#This Row],[FORM_MATCH_HELPER]],10),"")</f>
        <v>4005.4</v>
      </c>
      <c r="AI630" s="39" cm="1">
        <f t="array" ref="AI630">IFERROR(INDEX(DaybyDay[],DaybyDay[[#This Row],[FORM_MATCH_HELPER]],12),"")</f>
        <v>816</v>
      </c>
      <c r="AJ630" s="32">
        <f>IFERROR(DaybyDay[[#This Row],[Serv-LY-RU]]+DaybyDay[[#This Row],[Ret-LY-RU]],"")</f>
        <v>0</v>
      </c>
      <c r="AK6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0" s="77"/>
      <c r="AM630" s="40" t="str">
        <f>IF(DaybyDay[[#This Row],[Admin Hours]]&gt;0,DaybyDay[[#This Row],[Admin Hours]]*$AM$2+$AM$3,"")</f>
        <v/>
      </c>
      <c r="AN630" s="40">
        <f>SUMIFS(DaybyDay[Est-Admin-Payroll],DaybyDay[Date],"&gt;="&amp;$C$5,DaybyDay[RowYear],"&gt;="&amp;$C$4,DaybyDay[Date],"&lt;="&amp;DaybyDay[[#This Row],[Date]])</f>
        <v>0</v>
      </c>
      <c r="AO630" s="41" t="str">
        <f>IF(AND(DaybyDay[[#This Row],[_Space]],ISNUMBER(DaybyDay[[#This Row],[Admin Hours]])),DaybyDay[[#This Row],[Est-Admin-Payroll]]/(DaybyDay[[#This Row],[Service-Actuals]]+DaybyDay[[#This Row],[Retail-Actuals]]),"")</f>
        <v/>
      </c>
      <c r="AP630" s="41" t="e">
        <f>DaybyDay[[#This Row],[Estimated-Payroll-Rollup]]/DaybyDay[[#This Row],[Simple-Forecast]]</f>
        <v>#DIV/0!</v>
      </c>
      <c r="AQ6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0" s="77"/>
      <c r="AS630" s="40" t="str">
        <f>IF(DaybyDay[[#This Row],[Retail Hours]]&gt;0,DaybyDay[[#This Row],[Retail Hours]]*$AS$2,"")</f>
        <v/>
      </c>
      <c r="AT630" s="40">
        <f>SUMIFS(DaybyDay[Est-Retail-Payroll],DaybyDay[Date],"&gt;="&amp;$C$5,DaybyDay[RowYear],"&gt;="&amp;$C$4,DaybyDay[Date],"&lt;="&amp;DaybyDay[[#This Row],[Date]])</f>
        <v>0</v>
      </c>
      <c r="AU630" s="82" t="str">
        <f>IF(AND(DaybyDay[[#This Row],[_Space]],ISNUMBER(DaybyDay[[#This Row],[Retail Hours]])),DaybyDay[[#This Row],[Est-Retail-Payroll]]/(DaybyDay[[#This Row],[Retail-Actuals]]),"")</f>
        <v/>
      </c>
      <c r="AV630" s="82" t="e">
        <f>DaybyDay[[#This Row],[Est-Retail-PayrollRU]]/DaybyDay[[#This Row],[Simple-Forecast-Retail]]</f>
        <v>#DIV/0!</v>
      </c>
      <c r="AW630" s="8"/>
    </row>
    <row r="631" spans="3:49" hidden="1" x14ac:dyDescent="0.25">
      <c r="C631" s="26" t="str">
        <f>Tools!$C$1</f>
        <v>Example</v>
      </c>
      <c r="D631" s="27" t="s">
        <v>76</v>
      </c>
      <c r="E631" s="28">
        <v>2018</v>
      </c>
      <c r="F631" s="28">
        <f>MATCH(DaybyDay[[#This Row],[RowMonth]],Table3[SummaryMonth],0)</f>
        <v>9</v>
      </c>
      <c r="G631" s="29">
        <f>MATCH(DaybyDay[[#This Row],[LY-Date]],DaybyDay[Date],0)</f>
        <v>261</v>
      </c>
      <c r="H631" s="30">
        <f>WEEKDAY(DaybyDay[[#This Row],[Date]])</f>
        <v>2</v>
      </c>
      <c r="I631" s="31">
        <v>43360</v>
      </c>
      <c r="J631" s="74">
        <v>6</v>
      </c>
      <c r="K631" s="32">
        <f>SUMIFS(BudgetSeasonality[365 Seasonality],BudgetSeasonality[MonthAdjustment],DaybyDay[[#This Row],[Date]])*SUMIFS(Budgets[Service-Budget],Budgets[BudgetMonth],DaybyDay[[#This Row],[RowMonth]],Budgets[BudgetYear],DaybyDay[[#This Row],[RowYear]])</f>
        <v>3365.3862330361999</v>
      </c>
      <c r="L631" s="75">
        <v>1298.3499999999999</v>
      </c>
      <c r="M631" s="32">
        <f>INDEX(BudgetSeasonality[365 Seasonality],MATCH(DaybyDay[[#This Row],[Date]],BudgetSeasonality[MonthAdjustment],0))*SUMIFS(Budgets[Retail-Budget],Budgets[BudgetMonth],DaybyDay[[#This Row],[RowMonth]],Budgets[BudgetYear],DaybyDay[[#This Row],[RowYear]])</f>
        <v>941.01221712384984</v>
      </c>
      <c r="N631" s="75">
        <v>155</v>
      </c>
      <c r="O631" s="33">
        <f>SUMIFS(DaybyDay[Service-Budgets],DaybyDay[Date],"&gt;="&amp;$C$5,DaybyDay[RowYear],"&gt;="&amp;$C$4,DaybyDay[Date],"&lt;="&amp;DaybyDay[[#This Row],[Date]])</f>
        <v>0</v>
      </c>
      <c r="P631" s="33">
        <f>SUMIFS(DaybyDay[Retail-Budgets],DaybyDay[Date],"&gt;="&amp;$C$5,DaybyDay[RowYear],"&gt;="&amp;$C$4,DaybyDay[Date],"&lt;="&amp;DaybyDay[[#This Row],[Date]])</f>
        <v>0</v>
      </c>
      <c r="Q631" s="34">
        <f>SUMIFS(DaybyDay[Service-Actuals],DaybyDay[Date],"&gt;="&amp;$C$5,DaybyDay[RowYear],"&gt;="&amp;$C$4,DaybyDay[Date],"&lt;="&amp;DaybyDay[[#This Row],[Date]])</f>
        <v>0</v>
      </c>
      <c r="R631" s="34">
        <f>SUMIFS(DaybyDay[Retail-Actuals],DaybyDay[Date],"&gt;="&amp;$C$5,DaybyDay[RowYear],"&gt;="&amp;$C$4,DaybyDay[Date],"&lt;="&amp;DaybyDay[[#This Row],[Date]])</f>
        <v>0</v>
      </c>
      <c r="S631" s="35">
        <f>SUMIFS(DaybyDay[Service-LY],DaybyDay[Date],"&gt;="&amp;$C$5,DaybyDay[RowYear],"&gt;="&amp;$C$4,DaybyDay[Date],"&lt;="&amp;DaybyDay[[#This Row],[Date]])</f>
        <v>0</v>
      </c>
      <c r="T631" s="35">
        <f>SUMIFS(DaybyDay[Retail-LY],DaybyDay[Date],"&gt;="&amp;$C$5,DaybyDay[RowYear],"&gt;="&amp;$C$4,DaybyDay[Date],"&lt;="&amp;DaybyDay[[#This Row],[Date]])</f>
        <v>0</v>
      </c>
      <c r="U631" s="32">
        <f>DaybyDay[[#This Row],[Serv-Bud-RU]]+DaybyDay[[#This Row],[Ret-Bud-RU]]</f>
        <v>0</v>
      </c>
      <c r="V631" s="32">
        <f>DaybyDay[[#This Row],[Serv-Act-RU]]+DaybyDay[[#This Row],[Ret-Act-RU]]</f>
        <v>0</v>
      </c>
      <c r="W631" s="36">
        <f>IF(DaybyDay[[#This Row],[_Space]],IFERROR(
((DaybyDay[[#This Row],[Actual-Rollup]]-DaybyDay[[#This Row],[Budget-Rollup]])/DaybyDay[[#This Row],[Budget-Rollup]]),0),"")</f>
        <v>0</v>
      </c>
      <c r="X631" t="b">
        <f>NOT(AND(ISBLANK(DaybyDay[[#This Row],[Appts]]),ISBLANK(DaybyDay[[#This Row],[Service-Actuals]]),ISBLANK(DaybyDay[[#This Row],[Retail-Actuals]])))</f>
        <v>1</v>
      </c>
      <c r="Y631" s="36">
        <f>IF(DaybyDay[[#This Row],[_Space]],IFERROR(
((DaybyDay[[#This Row],[Actual-Rollup]]-DaybyDay[[#This Row],[LY-Rollup]])/DaybyDay[[#This Row],[LY-Rollup]]),0),"")</f>
        <v>0</v>
      </c>
      <c r="Z631"/>
      <c r="AA631" s="37" t="e">
        <f>IF(DaybyDay[[#This Row],[_Space]],DaybyDay[[#This Row],[Ret-Act-RU]]/DaybyDay[[#This Row],[Serv-Act-RU]],"")</f>
        <v>#DIV/0!</v>
      </c>
      <c r="AB631" s="50" t="e">
        <f>IF(DaybyDay[[#This Row],[_Space]],DaybyDay[[#This Row],[RETPEN-Act]]/DaybyDay[[#This Row],[RETPEN-Bud]],"")</f>
        <v>#DIV/0!</v>
      </c>
      <c r="AC631" s="37" t="e">
        <f>IF(DaybyDay[[#This Row],[_Space]],DaybyDay[[#This Row],[Ret-Bud-RU]]/DaybyDay[[#This Row],[Serv-Bud-RU]],"")</f>
        <v>#DIV/0!</v>
      </c>
      <c r="AD631" s="37" t="e">
        <f>IF(DaybyDay[[#This Row],[_Space]],DaybyDay[[#This Row],[Ret-LY-RU]]/DaybyDay[[#This Row],[Serv-LY-RU]],"")</f>
        <v>#DIV/0!</v>
      </c>
      <c r="AE631" s="30">
        <f>WEEKDAY(DaybyDay[[#This Row],[LY-Date]])</f>
        <v>2</v>
      </c>
      <c r="AF631" s="38">
        <f>$E$2+_xlfn.DAYS(DaybyDay[[#This Row],[Date]],minDate)</f>
        <v>42996</v>
      </c>
      <c r="AG631" s="39" cm="1">
        <f t="array" ref="AG631">IFERROR(INDEX(DaybyDay[],DaybyDay[[#This Row],[FORM_MATCH_HELPER]],8),"")</f>
        <v>8</v>
      </c>
      <c r="AH631" s="39" cm="1">
        <f t="array" ref="AH631">IFERROR(INDEX(DaybyDay[],DaybyDay[[#This Row],[FORM_MATCH_HELPER]],10),"")</f>
        <v>2100.9899999999998</v>
      </c>
      <c r="AI631" s="39" cm="1">
        <f t="array" ref="AI631">IFERROR(INDEX(DaybyDay[],DaybyDay[[#This Row],[FORM_MATCH_HELPER]],12),"")</f>
        <v>372</v>
      </c>
      <c r="AJ631" s="32">
        <f>IFERROR(DaybyDay[[#This Row],[Serv-LY-RU]]+DaybyDay[[#This Row],[Ret-LY-RU]],"")</f>
        <v>0</v>
      </c>
      <c r="AK6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1" s="77"/>
      <c r="AM631" s="40" t="str">
        <f>IF(DaybyDay[[#This Row],[Admin Hours]]&gt;0,DaybyDay[[#This Row],[Admin Hours]]*$AM$2+$AM$3,"")</f>
        <v/>
      </c>
      <c r="AN631" s="40">
        <f>SUMIFS(DaybyDay[Est-Admin-Payroll],DaybyDay[Date],"&gt;="&amp;$C$5,DaybyDay[RowYear],"&gt;="&amp;$C$4,DaybyDay[Date],"&lt;="&amp;DaybyDay[[#This Row],[Date]])</f>
        <v>0</v>
      </c>
      <c r="AO631" s="41" t="str">
        <f>IF(AND(DaybyDay[[#This Row],[_Space]],ISNUMBER(DaybyDay[[#This Row],[Admin Hours]])),DaybyDay[[#This Row],[Est-Admin-Payroll]]/(DaybyDay[[#This Row],[Service-Actuals]]+DaybyDay[[#This Row],[Retail-Actuals]]),"")</f>
        <v/>
      </c>
      <c r="AP631" s="41" t="e">
        <f>DaybyDay[[#This Row],[Estimated-Payroll-Rollup]]/DaybyDay[[#This Row],[Simple-Forecast]]</f>
        <v>#DIV/0!</v>
      </c>
      <c r="AQ6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1" s="77"/>
      <c r="AS631" s="40" t="str">
        <f>IF(DaybyDay[[#This Row],[Retail Hours]]&gt;0,DaybyDay[[#This Row],[Retail Hours]]*$AS$2,"")</f>
        <v/>
      </c>
      <c r="AT631" s="40">
        <f>SUMIFS(DaybyDay[Est-Retail-Payroll],DaybyDay[Date],"&gt;="&amp;$C$5,DaybyDay[RowYear],"&gt;="&amp;$C$4,DaybyDay[Date],"&lt;="&amp;DaybyDay[[#This Row],[Date]])</f>
        <v>0</v>
      </c>
      <c r="AU631" s="82" t="str">
        <f>IF(AND(DaybyDay[[#This Row],[_Space]],ISNUMBER(DaybyDay[[#This Row],[Retail Hours]])),DaybyDay[[#This Row],[Est-Retail-Payroll]]/(DaybyDay[[#This Row],[Retail-Actuals]]),"")</f>
        <v/>
      </c>
      <c r="AV631" s="82" t="e">
        <f>DaybyDay[[#This Row],[Est-Retail-PayrollRU]]/DaybyDay[[#This Row],[Simple-Forecast-Retail]]</f>
        <v>#DIV/0!</v>
      </c>
      <c r="AW631" s="8"/>
    </row>
    <row r="632" spans="3:49" hidden="1" x14ac:dyDescent="0.25">
      <c r="C632" s="26" t="str">
        <f>Tools!$C$1</f>
        <v>Example</v>
      </c>
      <c r="D632" s="27" t="s">
        <v>76</v>
      </c>
      <c r="E632" s="28">
        <v>2018</v>
      </c>
      <c r="F632" s="28">
        <f>MATCH(DaybyDay[[#This Row],[RowMonth]],Table3[SummaryMonth],0)</f>
        <v>9</v>
      </c>
      <c r="G632" s="29">
        <f>MATCH(DaybyDay[[#This Row],[LY-Date]],DaybyDay[Date],0)</f>
        <v>262</v>
      </c>
      <c r="H632" s="30">
        <f>WEEKDAY(DaybyDay[[#This Row],[Date]])</f>
        <v>3</v>
      </c>
      <c r="I632" s="31">
        <v>43361</v>
      </c>
      <c r="J632" s="74">
        <v>11</v>
      </c>
      <c r="K632" s="32">
        <f>SUMIFS(BudgetSeasonality[365 Seasonality],BudgetSeasonality[MonthAdjustment],DaybyDay[[#This Row],[Date]])*SUMIFS(Budgets[Service-Budget],Budgets[BudgetMonth],DaybyDay[[#This Row],[RowMonth]],Budgets[BudgetYear],DaybyDay[[#This Row],[RowYear]])</f>
        <v>3485.5598204697508</v>
      </c>
      <c r="L632" s="75">
        <v>2174</v>
      </c>
      <c r="M632" s="32">
        <f>INDEX(BudgetSeasonality[365 Seasonality],MATCH(DaybyDay[[#This Row],[Date]],BudgetSeasonality[MonthAdjustment],0))*SUMIFS(Budgets[Retail-Budget],Budgets[BudgetMonth],DaybyDay[[#This Row],[RowMonth]],Budgets[BudgetYear],DaybyDay[[#This Row],[RowYear]])</f>
        <v>974.6145456888388</v>
      </c>
      <c r="N632" s="75">
        <v>274</v>
      </c>
      <c r="O632" s="33">
        <f>SUMIFS(DaybyDay[Service-Budgets],DaybyDay[Date],"&gt;="&amp;$C$5,DaybyDay[RowYear],"&gt;="&amp;$C$4,DaybyDay[Date],"&lt;="&amp;DaybyDay[[#This Row],[Date]])</f>
        <v>0</v>
      </c>
      <c r="P632" s="33">
        <f>SUMIFS(DaybyDay[Retail-Budgets],DaybyDay[Date],"&gt;="&amp;$C$5,DaybyDay[RowYear],"&gt;="&amp;$C$4,DaybyDay[Date],"&lt;="&amp;DaybyDay[[#This Row],[Date]])</f>
        <v>0</v>
      </c>
      <c r="Q632" s="34">
        <f>SUMIFS(DaybyDay[Service-Actuals],DaybyDay[Date],"&gt;="&amp;$C$5,DaybyDay[RowYear],"&gt;="&amp;$C$4,DaybyDay[Date],"&lt;="&amp;DaybyDay[[#This Row],[Date]])</f>
        <v>0</v>
      </c>
      <c r="R632" s="34">
        <f>SUMIFS(DaybyDay[Retail-Actuals],DaybyDay[Date],"&gt;="&amp;$C$5,DaybyDay[RowYear],"&gt;="&amp;$C$4,DaybyDay[Date],"&lt;="&amp;DaybyDay[[#This Row],[Date]])</f>
        <v>0</v>
      </c>
      <c r="S632" s="35">
        <f>SUMIFS(DaybyDay[Service-LY],DaybyDay[Date],"&gt;="&amp;$C$5,DaybyDay[RowYear],"&gt;="&amp;$C$4,DaybyDay[Date],"&lt;="&amp;DaybyDay[[#This Row],[Date]])</f>
        <v>0</v>
      </c>
      <c r="T632" s="35">
        <f>SUMIFS(DaybyDay[Retail-LY],DaybyDay[Date],"&gt;="&amp;$C$5,DaybyDay[RowYear],"&gt;="&amp;$C$4,DaybyDay[Date],"&lt;="&amp;DaybyDay[[#This Row],[Date]])</f>
        <v>0</v>
      </c>
      <c r="U632" s="32">
        <f>DaybyDay[[#This Row],[Serv-Bud-RU]]+DaybyDay[[#This Row],[Ret-Bud-RU]]</f>
        <v>0</v>
      </c>
      <c r="V632" s="32">
        <f>DaybyDay[[#This Row],[Serv-Act-RU]]+DaybyDay[[#This Row],[Ret-Act-RU]]</f>
        <v>0</v>
      </c>
      <c r="W632" s="36">
        <f>IF(DaybyDay[[#This Row],[_Space]],IFERROR(
((DaybyDay[[#This Row],[Actual-Rollup]]-DaybyDay[[#This Row],[Budget-Rollup]])/DaybyDay[[#This Row],[Budget-Rollup]]),0),"")</f>
        <v>0</v>
      </c>
      <c r="X632" t="b">
        <f>NOT(AND(ISBLANK(DaybyDay[[#This Row],[Appts]]),ISBLANK(DaybyDay[[#This Row],[Service-Actuals]]),ISBLANK(DaybyDay[[#This Row],[Retail-Actuals]])))</f>
        <v>1</v>
      </c>
      <c r="Y632" s="36">
        <f>IF(DaybyDay[[#This Row],[_Space]],IFERROR(
((DaybyDay[[#This Row],[Actual-Rollup]]-DaybyDay[[#This Row],[LY-Rollup]])/DaybyDay[[#This Row],[LY-Rollup]]),0),"")</f>
        <v>0</v>
      </c>
      <c r="Z632"/>
      <c r="AA632" s="37" t="e">
        <f>IF(DaybyDay[[#This Row],[_Space]],DaybyDay[[#This Row],[Ret-Act-RU]]/DaybyDay[[#This Row],[Serv-Act-RU]],"")</f>
        <v>#DIV/0!</v>
      </c>
      <c r="AB632" s="50" t="e">
        <f>IF(DaybyDay[[#This Row],[_Space]],DaybyDay[[#This Row],[RETPEN-Act]]/DaybyDay[[#This Row],[RETPEN-Bud]],"")</f>
        <v>#DIV/0!</v>
      </c>
      <c r="AC632" s="37" t="e">
        <f>IF(DaybyDay[[#This Row],[_Space]],DaybyDay[[#This Row],[Ret-Bud-RU]]/DaybyDay[[#This Row],[Serv-Bud-RU]],"")</f>
        <v>#DIV/0!</v>
      </c>
      <c r="AD632" s="37" t="e">
        <f>IF(DaybyDay[[#This Row],[_Space]],DaybyDay[[#This Row],[Ret-LY-RU]]/DaybyDay[[#This Row],[Serv-LY-RU]],"")</f>
        <v>#DIV/0!</v>
      </c>
      <c r="AE632" s="30">
        <f>WEEKDAY(DaybyDay[[#This Row],[LY-Date]])</f>
        <v>3</v>
      </c>
      <c r="AF632" s="38">
        <f>$E$2+_xlfn.DAYS(DaybyDay[[#This Row],[Date]],minDate)</f>
        <v>42997</v>
      </c>
      <c r="AG632" s="39" cm="1">
        <f t="array" ref="AG632">IFERROR(INDEX(DaybyDay[],DaybyDay[[#This Row],[FORM_MATCH_HELPER]],8),"")</f>
        <v>12</v>
      </c>
      <c r="AH632" s="39" cm="1">
        <f t="array" ref="AH632">IFERROR(INDEX(DaybyDay[],DaybyDay[[#This Row],[FORM_MATCH_HELPER]],10),"")</f>
        <v>2753.9</v>
      </c>
      <c r="AI632" s="39" cm="1">
        <f t="array" ref="AI632">IFERROR(INDEX(DaybyDay[],DaybyDay[[#This Row],[FORM_MATCH_HELPER]],12),"")</f>
        <v>89.5</v>
      </c>
      <c r="AJ632" s="32">
        <f>IFERROR(DaybyDay[[#This Row],[Serv-LY-RU]]+DaybyDay[[#This Row],[Ret-LY-RU]],"")</f>
        <v>0</v>
      </c>
      <c r="AK6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2" s="77"/>
      <c r="AM632" s="40" t="str">
        <f>IF(DaybyDay[[#This Row],[Admin Hours]]&gt;0,DaybyDay[[#This Row],[Admin Hours]]*$AM$2+$AM$3,"")</f>
        <v/>
      </c>
      <c r="AN632" s="40">
        <f>SUMIFS(DaybyDay[Est-Admin-Payroll],DaybyDay[Date],"&gt;="&amp;$C$5,DaybyDay[RowYear],"&gt;="&amp;$C$4,DaybyDay[Date],"&lt;="&amp;DaybyDay[[#This Row],[Date]])</f>
        <v>0</v>
      </c>
      <c r="AO632" s="41" t="str">
        <f>IF(AND(DaybyDay[[#This Row],[_Space]],ISNUMBER(DaybyDay[[#This Row],[Admin Hours]])),DaybyDay[[#This Row],[Est-Admin-Payroll]]/(DaybyDay[[#This Row],[Service-Actuals]]+DaybyDay[[#This Row],[Retail-Actuals]]),"")</f>
        <v/>
      </c>
      <c r="AP632" s="41" t="e">
        <f>DaybyDay[[#This Row],[Estimated-Payroll-Rollup]]/DaybyDay[[#This Row],[Simple-Forecast]]</f>
        <v>#DIV/0!</v>
      </c>
      <c r="AQ6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2" s="77"/>
      <c r="AS632" s="40" t="str">
        <f>IF(DaybyDay[[#This Row],[Retail Hours]]&gt;0,DaybyDay[[#This Row],[Retail Hours]]*$AS$2,"")</f>
        <v/>
      </c>
      <c r="AT632" s="40">
        <f>SUMIFS(DaybyDay[Est-Retail-Payroll],DaybyDay[Date],"&gt;="&amp;$C$5,DaybyDay[RowYear],"&gt;="&amp;$C$4,DaybyDay[Date],"&lt;="&amp;DaybyDay[[#This Row],[Date]])</f>
        <v>0</v>
      </c>
      <c r="AU632" s="82" t="str">
        <f>IF(AND(DaybyDay[[#This Row],[_Space]],ISNUMBER(DaybyDay[[#This Row],[Retail Hours]])),DaybyDay[[#This Row],[Est-Retail-Payroll]]/(DaybyDay[[#This Row],[Retail-Actuals]]),"")</f>
        <v/>
      </c>
      <c r="AV632" s="82" t="e">
        <f>DaybyDay[[#This Row],[Est-Retail-PayrollRU]]/DaybyDay[[#This Row],[Simple-Forecast-Retail]]</f>
        <v>#DIV/0!</v>
      </c>
      <c r="AW632" s="8"/>
    </row>
    <row r="633" spans="3:49" hidden="1" x14ac:dyDescent="0.25">
      <c r="C633" s="26" t="str">
        <f>Tools!$C$1</f>
        <v>Example</v>
      </c>
      <c r="D633" s="27" t="s">
        <v>76</v>
      </c>
      <c r="E633" s="28">
        <v>2018</v>
      </c>
      <c r="F633" s="28">
        <f>MATCH(DaybyDay[[#This Row],[RowMonth]],Table3[SummaryMonth],0)</f>
        <v>9</v>
      </c>
      <c r="G633" s="29">
        <f>MATCH(DaybyDay[[#This Row],[LY-Date]],DaybyDay[Date],0)</f>
        <v>263</v>
      </c>
      <c r="H633" s="30">
        <f>WEEKDAY(DaybyDay[[#This Row],[Date]])</f>
        <v>4</v>
      </c>
      <c r="I633" s="31">
        <v>43362</v>
      </c>
      <c r="J633" s="74">
        <v>13</v>
      </c>
      <c r="K633" s="32">
        <f>SUMIFS(BudgetSeasonality[365 Seasonality],BudgetSeasonality[MonthAdjustment],DaybyDay[[#This Row],[Date]])*SUMIFS(Budgets[Service-Budget],Budgets[BudgetMonth],DaybyDay[[#This Row],[RowMonth]],Budgets[BudgetYear],DaybyDay[[#This Row],[RowYear]])</f>
        <v>4144.2538507090858</v>
      </c>
      <c r="L633" s="75">
        <v>3335</v>
      </c>
      <c r="M633" s="32">
        <f>INDEX(BudgetSeasonality[365 Seasonality],MATCH(DaybyDay[[#This Row],[Date]],BudgetSeasonality[MonthAdjustment],0))*SUMIFS(Budgets[Retail-Budget],Budgets[BudgetMonth],DaybyDay[[#This Row],[RowMonth]],Budgets[BudgetYear],DaybyDay[[#This Row],[RowYear]])</f>
        <v>1158.7952271562826</v>
      </c>
      <c r="N633" s="75">
        <v>287</v>
      </c>
      <c r="O633" s="33">
        <f>SUMIFS(DaybyDay[Service-Budgets],DaybyDay[Date],"&gt;="&amp;$C$5,DaybyDay[RowYear],"&gt;="&amp;$C$4,DaybyDay[Date],"&lt;="&amp;DaybyDay[[#This Row],[Date]])</f>
        <v>0</v>
      </c>
      <c r="P633" s="33">
        <f>SUMIFS(DaybyDay[Retail-Budgets],DaybyDay[Date],"&gt;="&amp;$C$5,DaybyDay[RowYear],"&gt;="&amp;$C$4,DaybyDay[Date],"&lt;="&amp;DaybyDay[[#This Row],[Date]])</f>
        <v>0</v>
      </c>
      <c r="Q633" s="34">
        <f>SUMIFS(DaybyDay[Service-Actuals],DaybyDay[Date],"&gt;="&amp;$C$5,DaybyDay[RowYear],"&gt;="&amp;$C$4,DaybyDay[Date],"&lt;="&amp;DaybyDay[[#This Row],[Date]])</f>
        <v>0</v>
      </c>
      <c r="R633" s="34">
        <f>SUMIFS(DaybyDay[Retail-Actuals],DaybyDay[Date],"&gt;="&amp;$C$5,DaybyDay[RowYear],"&gt;="&amp;$C$4,DaybyDay[Date],"&lt;="&amp;DaybyDay[[#This Row],[Date]])</f>
        <v>0</v>
      </c>
      <c r="S633" s="35">
        <f>SUMIFS(DaybyDay[Service-LY],DaybyDay[Date],"&gt;="&amp;$C$5,DaybyDay[RowYear],"&gt;="&amp;$C$4,DaybyDay[Date],"&lt;="&amp;DaybyDay[[#This Row],[Date]])</f>
        <v>0</v>
      </c>
      <c r="T633" s="35">
        <f>SUMIFS(DaybyDay[Retail-LY],DaybyDay[Date],"&gt;="&amp;$C$5,DaybyDay[RowYear],"&gt;="&amp;$C$4,DaybyDay[Date],"&lt;="&amp;DaybyDay[[#This Row],[Date]])</f>
        <v>0</v>
      </c>
      <c r="U633" s="32">
        <f>DaybyDay[[#This Row],[Serv-Bud-RU]]+DaybyDay[[#This Row],[Ret-Bud-RU]]</f>
        <v>0</v>
      </c>
      <c r="V633" s="32">
        <f>DaybyDay[[#This Row],[Serv-Act-RU]]+DaybyDay[[#This Row],[Ret-Act-RU]]</f>
        <v>0</v>
      </c>
      <c r="W633" s="36">
        <f>IF(DaybyDay[[#This Row],[_Space]],IFERROR(
((DaybyDay[[#This Row],[Actual-Rollup]]-DaybyDay[[#This Row],[Budget-Rollup]])/DaybyDay[[#This Row],[Budget-Rollup]]),0),"")</f>
        <v>0</v>
      </c>
      <c r="X633" t="b">
        <f>NOT(AND(ISBLANK(DaybyDay[[#This Row],[Appts]]),ISBLANK(DaybyDay[[#This Row],[Service-Actuals]]),ISBLANK(DaybyDay[[#This Row],[Retail-Actuals]])))</f>
        <v>1</v>
      </c>
      <c r="Y633" s="36">
        <f>IF(DaybyDay[[#This Row],[_Space]],IFERROR(
((DaybyDay[[#This Row],[Actual-Rollup]]-DaybyDay[[#This Row],[LY-Rollup]])/DaybyDay[[#This Row],[LY-Rollup]]),0),"")</f>
        <v>0</v>
      </c>
      <c r="Z633"/>
      <c r="AA633" s="37" t="e">
        <f>IF(DaybyDay[[#This Row],[_Space]],DaybyDay[[#This Row],[Ret-Act-RU]]/DaybyDay[[#This Row],[Serv-Act-RU]],"")</f>
        <v>#DIV/0!</v>
      </c>
      <c r="AB633" s="50" t="e">
        <f>IF(DaybyDay[[#This Row],[_Space]],DaybyDay[[#This Row],[RETPEN-Act]]/DaybyDay[[#This Row],[RETPEN-Bud]],"")</f>
        <v>#DIV/0!</v>
      </c>
      <c r="AC633" s="37" t="e">
        <f>IF(DaybyDay[[#This Row],[_Space]],DaybyDay[[#This Row],[Ret-Bud-RU]]/DaybyDay[[#This Row],[Serv-Bud-RU]],"")</f>
        <v>#DIV/0!</v>
      </c>
      <c r="AD633" s="37" t="e">
        <f>IF(DaybyDay[[#This Row],[_Space]],DaybyDay[[#This Row],[Ret-LY-RU]]/DaybyDay[[#This Row],[Serv-LY-RU]],"")</f>
        <v>#DIV/0!</v>
      </c>
      <c r="AE633" s="30">
        <f>WEEKDAY(DaybyDay[[#This Row],[LY-Date]])</f>
        <v>4</v>
      </c>
      <c r="AF633" s="38">
        <f>$E$2+_xlfn.DAYS(DaybyDay[[#This Row],[Date]],minDate)</f>
        <v>42998</v>
      </c>
      <c r="AG633" s="39" cm="1">
        <f t="array" ref="AG633">IFERROR(INDEX(DaybyDay[],DaybyDay[[#This Row],[FORM_MATCH_HELPER]],8),"")</f>
        <v>6</v>
      </c>
      <c r="AH633" s="39" cm="1">
        <f t="array" ref="AH633">IFERROR(INDEX(DaybyDay[],DaybyDay[[#This Row],[FORM_MATCH_HELPER]],10),"")</f>
        <v>1506</v>
      </c>
      <c r="AI633" s="39" cm="1">
        <f t="array" ref="AI633">IFERROR(INDEX(DaybyDay[],DaybyDay[[#This Row],[FORM_MATCH_HELPER]],12),"")</f>
        <v>143.5</v>
      </c>
      <c r="AJ633" s="32">
        <f>IFERROR(DaybyDay[[#This Row],[Serv-LY-RU]]+DaybyDay[[#This Row],[Ret-LY-RU]],"")</f>
        <v>0</v>
      </c>
      <c r="AK6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3" s="77"/>
      <c r="AM633" s="40" t="str">
        <f>IF(DaybyDay[[#This Row],[Admin Hours]]&gt;0,DaybyDay[[#This Row],[Admin Hours]]*$AM$2+$AM$3,"")</f>
        <v/>
      </c>
      <c r="AN633" s="40">
        <f>SUMIFS(DaybyDay[Est-Admin-Payroll],DaybyDay[Date],"&gt;="&amp;$C$5,DaybyDay[RowYear],"&gt;="&amp;$C$4,DaybyDay[Date],"&lt;="&amp;DaybyDay[[#This Row],[Date]])</f>
        <v>0</v>
      </c>
      <c r="AO633" s="41" t="str">
        <f>IF(AND(DaybyDay[[#This Row],[_Space]],ISNUMBER(DaybyDay[[#This Row],[Admin Hours]])),DaybyDay[[#This Row],[Est-Admin-Payroll]]/(DaybyDay[[#This Row],[Service-Actuals]]+DaybyDay[[#This Row],[Retail-Actuals]]),"")</f>
        <v/>
      </c>
      <c r="AP633" s="41" t="e">
        <f>DaybyDay[[#This Row],[Estimated-Payroll-Rollup]]/DaybyDay[[#This Row],[Simple-Forecast]]</f>
        <v>#DIV/0!</v>
      </c>
      <c r="AQ6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3" s="77"/>
      <c r="AS633" s="40" t="str">
        <f>IF(DaybyDay[[#This Row],[Retail Hours]]&gt;0,DaybyDay[[#This Row],[Retail Hours]]*$AS$2,"")</f>
        <v/>
      </c>
      <c r="AT633" s="40">
        <f>SUMIFS(DaybyDay[Est-Retail-Payroll],DaybyDay[Date],"&gt;="&amp;$C$5,DaybyDay[RowYear],"&gt;="&amp;$C$4,DaybyDay[Date],"&lt;="&amp;DaybyDay[[#This Row],[Date]])</f>
        <v>0</v>
      </c>
      <c r="AU633" s="82" t="str">
        <f>IF(AND(DaybyDay[[#This Row],[_Space]],ISNUMBER(DaybyDay[[#This Row],[Retail Hours]])),DaybyDay[[#This Row],[Est-Retail-Payroll]]/(DaybyDay[[#This Row],[Retail-Actuals]]),"")</f>
        <v/>
      </c>
      <c r="AV633" s="82" t="e">
        <f>DaybyDay[[#This Row],[Est-Retail-PayrollRU]]/DaybyDay[[#This Row],[Simple-Forecast-Retail]]</f>
        <v>#DIV/0!</v>
      </c>
      <c r="AW633" s="8"/>
    </row>
    <row r="634" spans="3:49" hidden="1" x14ac:dyDescent="0.25">
      <c r="C634" s="26" t="str">
        <f>Tools!$C$1</f>
        <v>Example</v>
      </c>
      <c r="D634" s="27" t="s">
        <v>76</v>
      </c>
      <c r="E634" s="28">
        <v>2018</v>
      </c>
      <c r="F634" s="28">
        <f>MATCH(DaybyDay[[#This Row],[RowMonth]],Table3[SummaryMonth],0)</f>
        <v>9</v>
      </c>
      <c r="G634" s="29">
        <f>MATCH(DaybyDay[[#This Row],[LY-Date]],DaybyDay[Date],0)</f>
        <v>264</v>
      </c>
      <c r="H634" s="30">
        <f>WEEKDAY(DaybyDay[[#This Row],[Date]])</f>
        <v>5</v>
      </c>
      <c r="I634" s="31">
        <v>43363</v>
      </c>
      <c r="J634" s="74">
        <v>11</v>
      </c>
      <c r="K634" s="32">
        <f>SUMIFS(BudgetSeasonality[365 Seasonality],BudgetSeasonality[MonthAdjustment],DaybyDay[[#This Row],[Date]])*SUMIFS(Budgets[Service-Budget],Budgets[BudgetMonth],DaybyDay[[#This Row],[RowMonth]],Budgets[BudgetYear],DaybyDay[[#This Row],[RowYear]])</f>
        <v>4267.0341236946424</v>
      </c>
      <c r="L634" s="75">
        <v>2174</v>
      </c>
      <c r="M634" s="32">
        <f>INDEX(BudgetSeasonality[365 Seasonality],MATCH(DaybyDay[[#This Row],[Date]],BudgetSeasonality[MonthAdjustment],0))*SUMIFS(Budgets[Retail-Budget],Budgets[BudgetMonth],DaybyDay[[#This Row],[RowMonth]],Budgets[BudgetYear],DaybyDay[[#This Row],[RowYear]])</f>
        <v>1193.1264239048276</v>
      </c>
      <c r="N634" s="75">
        <v>274</v>
      </c>
      <c r="O634" s="33">
        <f>SUMIFS(DaybyDay[Service-Budgets],DaybyDay[Date],"&gt;="&amp;$C$5,DaybyDay[RowYear],"&gt;="&amp;$C$4,DaybyDay[Date],"&lt;="&amp;DaybyDay[[#This Row],[Date]])</f>
        <v>0</v>
      </c>
      <c r="P634" s="33">
        <f>SUMIFS(DaybyDay[Retail-Budgets],DaybyDay[Date],"&gt;="&amp;$C$5,DaybyDay[RowYear],"&gt;="&amp;$C$4,DaybyDay[Date],"&lt;="&amp;DaybyDay[[#This Row],[Date]])</f>
        <v>0</v>
      </c>
      <c r="Q634" s="34">
        <f>SUMIFS(DaybyDay[Service-Actuals],DaybyDay[Date],"&gt;="&amp;$C$5,DaybyDay[RowYear],"&gt;="&amp;$C$4,DaybyDay[Date],"&lt;="&amp;DaybyDay[[#This Row],[Date]])</f>
        <v>0</v>
      </c>
      <c r="R634" s="34">
        <f>SUMIFS(DaybyDay[Retail-Actuals],DaybyDay[Date],"&gt;="&amp;$C$5,DaybyDay[RowYear],"&gt;="&amp;$C$4,DaybyDay[Date],"&lt;="&amp;DaybyDay[[#This Row],[Date]])</f>
        <v>0</v>
      </c>
      <c r="S634" s="35">
        <f>SUMIFS(DaybyDay[Service-LY],DaybyDay[Date],"&gt;="&amp;$C$5,DaybyDay[RowYear],"&gt;="&amp;$C$4,DaybyDay[Date],"&lt;="&amp;DaybyDay[[#This Row],[Date]])</f>
        <v>0</v>
      </c>
      <c r="T634" s="35">
        <f>SUMIFS(DaybyDay[Retail-LY],DaybyDay[Date],"&gt;="&amp;$C$5,DaybyDay[RowYear],"&gt;="&amp;$C$4,DaybyDay[Date],"&lt;="&amp;DaybyDay[[#This Row],[Date]])</f>
        <v>0</v>
      </c>
      <c r="U634" s="32">
        <f>DaybyDay[[#This Row],[Serv-Bud-RU]]+DaybyDay[[#This Row],[Ret-Bud-RU]]</f>
        <v>0</v>
      </c>
      <c r="V634" s="32">
        <f>DaybyDay[[#This Row],[Serv-Act-RU]]+DaybyDay[[#This Row],[Ret-Act-RU]]</f>
        <v>0</v>
      </c>
      <c r="W634" s="36">
        <f>IF(DaybyDay[[#This Row],[_Space]],IFERROR(
((DaybyDay[[#This Row],[Actual-Rollup]]-DaybyDay[[#This Row],[Budget-Rollup]])/DaybyDay[[#This Row],[Budget-Rollup]]),0),"")</f>
        <v>0</v>
      </c>
      <c r="X634" t="b">
        <f>NOT(AND(ISBLANK(DaybyDay[[#This Row],[Appts]]),ISBLANK(DaybyDay[[#This Row],[Service-Actuals]]),ISBLANK(DaybyDay[[#This Row],[Retail-Actuals]])))</f>
        <v>1</v>
      </c>
      <c r="Y634" s="36">
        <f>IF(DaybyDay[[#This Row],[_Space]],IFERROR(
((DaybyDay[[#This Row],[Actual-Rollup]]-DaybyDay[[#This Row],[LY-Rollup]])/DaybyDay[[#This Row],[LY-Rollup]]),0),"")</f>
        <v>0</v>
      </c>
      <c r="Z634"/>
      <c r="AA634" s="37" t="e">
        <f>IF(DaybyDay[[#This Row],[_Space]],DaybyDay[[#This Row],[Ret-Act-RU]]/DaybyDay[[#This Row],[Serv-Act-RU]],"")</f>
        <v>#DIV/0!</v>
      </c>
      <c r="AB634" s="50" t="e">
        <f>IF(DaybyDay[[#This Row],[_Space]],DaybyDay[[#This Row],[RETPEN-Act]]/DaybyDay[[#This Row],[RETPEN-Bud]],"")</f>
        <v>#DIV/0!</v>
      </c>
      <c r="AC634" s="37" t="e">
        <f>IF(DaybyDay[[#This Row],[_Space]],DaybyDay[[#This Row],[Ret-Bud-RU]]/DaybyDay[[#This Row],[Serv-Bud-RU]],"")</f>
        <v>#DIV/0!</v>
      </c>
      <c r="AD634" s="37" t="e">
        <f>IF(DaybyDay[[#This Row],[_Space]],DaybyDay[[#This Row],[Ret-LY-RU]]/DaybyDay[[#This Row],[Serv-LY-RU]],"")</f>
        <v>#DIV/0!</v>
      </c>
      <c r="AE634" s="30">
        <f>WEEKDAY(DaybyDay[[#This Row],[LY-Date]])</f>
        <v>5</v>
      </c>
      <c r="AF634" s="38">
        <f>$E$2+_xlfn.DAYS(DaybyDay[[#This Row],[Date]],minDate)</f>
        <v>42999</v>
      </c>
      <c r="AG634" s="39" cm="1">
        <f t="array" ref="AG634">IFERROR(INDEX(DaybyDay[],DaybyDay[[#This Row],[FORM_MATCH_HELPER]],8),"")</f>
        <v>14</v>
      </c>
      <c r="AH634" s="39" cm="1">
        <f t="array" ref="AH634">IFERROR(INDEX(DaybyDay[],DaybyDay[[#This Row],[FORM_MATCH_HELPER]],10),"")</f>
        <v>3033.2</v>
      </c>
      <c r="AI634" s="39" cm="1">
        <f t="array" ref="AI634">IFERROR(INDEX(DaybyDay[],DaybyDay[[#This Row],[FORM_MATCH_HELPER]],12),"")</f>
        <v>2047.5</v>
      </c>
      <c r="AJ634" s="32">
        <f>IFERROR(DaybyDay[[#This Row],[Serv-LY-RU]]+DaybyDay[[#This Row],[Ret-LY-RU]],"")</f>
        <v>0</v>
      </c>
      <c r="AK6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4" s="77"/>
      <c r="AM634" s="40" t="str">
        <f>IF(DaybyDay[[#This Row],[Admin Hours]]&gt;0,DaybyDay[[#This Row],[Admin Hours]]*$AM$2+$AM$3,"")</f>
        <v/>
      </c>
      <c r="AN634" s="40">
        <f>SUMIFS(DaybyDay[Est-Admin-Payroll],DaybyDay[Date],"&gt;="&amp;$C$5,DaybyDay[RowYear],"&gt;="&amp;$C$4,DaybyDay[Date],"&lt;="&amp;DaybyDay[[#This Row],[Date]])</f>
        <v>0</v>
      </c>
      <c r="AO634" s="41" t="str">
        <f>IF(AND(DaybyDay[[#This Row],[_Space]],ISNUMBER(DaybyDay[[#This Row],[Admin Hours]])),DaybyDay[[#This Row],[Est-Admin-Payroll]]/(DaybyDay[[#This Row],[Service-Actuals]]+DaybyDay[[#This Row],[Retail-Actuals]]),"")</f>
        <v/>
      </c>
      <c r="AP634" s="41" t="e">
        <f>DaybyDay[[#This Row],[Estimated-Payroll-Rollup]]/DaybyDay[[#This Row],[Simple-Forecast]]</f>
        <v>#DIV/0!</v>
      </c>
      <c r="AQ6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4" s="77"/>
      <c r="AS634" s="40" t="str">
        <f>IF(DaybyDay[[#This Row],[Retail Hours]]&gt;0,DaybyDay[[#This Row],[Retail Hours]]*$AS$2,"")</f>
        <v/>
      </c>
      <c r="AT634" s="40">
        <f>SUMIFS(DaybyDay[Est-Retail-Payroll],DaybyDay[Date],"&gt;="&amp;$C$5,DaybyDay[RowYear],"&gt;="&amp;$C$4,DaybyDay[Date],"&lt;="&amp;DaybyDay[[#This Row],[Date]])</f>
        <v>0</v>
      </c>
      <c r="AU634" s="82" t="str">
        <f>IF(AND(DaybyDay[[#This Row],[_Space]],ISNUMBER(DaybyDay[[#This Row],[Retail Hours]])),DaybyDay[[#This Row],[Est-Retail-Payroll]]/(DaybyDay[[#This Row],[Retail-Actuals]]),"")</f>
        <v/>
      </c>
      <c r="AV634" s="82" t="e">
        <f>DaybyDay[[#This Row],[Est-Retail-PayrollRU]]/DaybyDay[[#This Row],[Simple-Forecast-Retail]]</f>
        <v>#DIV/0!</v>
      </c>
      <c r="AW634" s="8"/>
    </row>
    <row r="635" spans="3:49" hidden="1" x14ac:dyDescent="0.25">
      <c r="C635" s="26" t="str">
        <f>Tools!$C$1</f>
        <v>Example</v>
      </c>
      <c r="D635" s="27" t="s">
        <v>76</v>
      </c>
      <c r="E635" s="28">
        <v>2018</v>
      </c>
      <c r="F635" s="28">
        <f>MATCH(DaybyDay[[#This Row],[RowMonth]],Table3[SummaryMonth],0)</f>
        <v>9</v>
      </c>
      <c r="G635" s="29">
        <f>MATCH(DaybyDay[[#This Row],[LY-Date]],DaybyDay[Date],0)</f>
        <v>265</v>
      </c>
      <c r="H635" s="30">
        <f>WEEKDAY(DaybyDay[[#This Row],[Date]])</f>
        <v>6</v>
      </c>
      <c r="I635" s="31">
        <v>43364</v>
      </c>
      <c r="J635" s="74">
        <v>20</v>
      </c>
      <c r="K635" s="32">
        <f>SUMIFS(BudgetSeasonality[365 Seasonality],BudgetSeasonality[MonthAdjustment],DaybyDay[[#This Row],[Date]])*SUMIFS(Budgets[Service-Budget],Budgets[BudgetMonth],DaybyDay[[#This Row],[RowMonth]],Budgets[BudgetYear],DaybyDay[[#This Row],[RowYear]])</f>
        <v>5519.7842829957126</v>
      </c>
      <c r="L635" s="75">
        <v>3088.37</v>
      </c>
      <c r="M635" s="32">
        <f>INDEX(BudgetSeasonality[365 Seasonality],MATCH(DaybyDay[[#This Row],[Date]],BudgetSeasonality[MonthAdjustment],0))*SUMIFS(Budgets[Retail-Budget],Budgets[BudgetMonth],DaybyDay[[#This Row],[RowMonth]],Budgets[BudgetYear],DaybyDay[[#This Row],[RowYear]])</f>
        <v>1543.4140649886306</v>
      </c>
      <c r="N635" s="75">
        <v>113.9</v>
      </c>
      <c r="O635" s="33">
        <f>SUMIFS(DaybyDay[Service-Budgets],DaybyDay[Date],"&gt;="&amp;$C$5,DaybyDay[RowYear],"&gt;="&amp;$C$4,DaybyDay[Date],"&lt;="&amp;DaybyDay[[#This Row],[Date]])</f>
        <v>0</v>
      </c>
      <c r="P635" s="33">
        <f>SUMIFS(DaybyDay[Retail-Budgets],DaybyDay[Date],"&gt;="&amp;$C$5,DaybyDay[RowYear],"&gt;="&amp;$C$4,DaybyDay[Date],"&lt;="&amp;DaybyDay[[#This Row],[Date]])</f>
        <v>0</v>
      </c>
      <c r="Q635" s="34">
        <f>SUMIFS(DaybyDay[Service-Actuals],DaybyDay[Date],"&gt;="&amp;$C$5,DaybyDay[RowYear],"&gt;="&amp;$C$4,DaybyDay[Date],"&lt;="&amp;DaybyDay[[#This Row],[Date]])</f>
        <v>0</v>
      </c>
      <c r="R635" s="34">
        <f>SUMIFS(DaybyDay[Retail-Actuals],DaybyDay[Date],"&gt;="&amp;$C$5,DaybyDay[RowYear],"&gt;="&amp;$C$4,DaybyDay[Date],"&lt;="&amp;DaybyDay[[#This Row],[Date]])</f>
        <v>0</v>
      </c>
      <c r="S635" s="35">
        <f>SUMIFS(DaybyDay[Service-LY],DaybyDay[Date],"&gt;="&amp;$C$5,DaybyDay[RowYear],"&gt;="&amp;$C$4,DaybyDay[Date],"&lt;="&amp;DaybyDay[[#This Row],[Date]])</f>
        <v>0</v>
      </c>
      <c r="T635" s="35">
        <f>SUMIFS(DaybyDay[Retail-LY],DaybyDay[Date],"&gt;="&amp;$C$5,DaybyDay[RowYear],"&gt;="&amp;$C$4,DaybyDay[Date],"&lt;="&amp;DaybyDay[[#This Row],[Date]])</f>
        <v>0</v>
      </c>
      <c r="U635" s="32">
        <f>DaybyDay[[#This Row],[Serv-Bud-RU]]+DaybyDay[[#This Row],[Ret-Bud-RU]]</f>
        <v>0</v>
      </c>
      <c r="V635" s="32">
        <f>DaybyDay[[#This Row],[Serv-Act-RU]]+DaybyDay[[#This Row],[Ret-Act-RU]]</f>
        <v>0</v>
      </c>
      <c r="W635" s="36">
        <f>IF(DaybyDay[[#This Row],[_Space]],IFERROR(
((DaybyDay[[#This Row],[Actual-Rollup]]-DaybyDay[[#This Row],[Budget-Rollup]])/DaybyDay[[#This Row],[Budget-Rollup]]),0),"")</f>
        <v>0</v>
      </c>
      <c r="X635" t="b">
        <f>NOT(AND(ISBLANK(DaybyDay[[#This Row],[Appts]]),ISBLANK(DaybyDay[[#This Row],[Service-Actuals]]),ISBLANK(DaybyDay[[#This Row],[Retail-Actuals]])))</f>
        <v>1</v>
      </c>
      <c r="Y635" s="36">
        <f>IF(DaybyDay[[#This Row],[_Space]],IFERROR(
((DaybyDay[[#This Row],[Actual-Rollup]]-DaybyDay[[#This Row],[LY-Rollup]])/DaybyDay[[#This Row],[LY-Rollup]]),0),"")</f>
        <v>0</v>
      </c>
      <c r="Z635"/>
      <c r="AA635" s="37" t="e">
        <f>IF(DaybyDay[[#This Row],[_Space]],DaybyDay[[#This Row],[Ret-Act-RU]]/DaybyDay[[#This Row],[Serv-Act-RU]],"")</f>
        <v>#DIV/0!</v>
      </c>
      <c r="AB635" s="50" t="e">
        <f>IF(DaybyDay[[#This Row],[_Space]],DaybyDay[[#This Row],[RETPEN-Act]]/DaybyDay[[#This Row],[RETPEN-Bud]],"")</f>
        <v>#DIV/0!</v>
      </c>
      <c r="AC635" s="37" t="e">
        <f>IF(DaybyDay[[#This Row],[_Space]],DaybyDay[[#This Row],[Ret-Bud-RU]]/DaybyDay[[#This Row],[Serv-Bud-RU]],"")</f>
        <v>#DIV/0!</v>
      </c>
      <c r="AD635" s="37" t="e">
        <f>IF(DaybyDay[[#This Row],[_Space]],DaybyDay[[#This Row],[Ret-LY-RU]]/DaybyDay[[#This Row],[Serv-LY-RU]],"")</f>
        <v>#DIV/0!</v>
      </c>
      <c r="AE635" s="30">
        <f>WEEKDAY(DaybyDay[[#This Row],[LY-Date]])</f>
        <v>6</v>
      </c>
      <c r="AF635" s="38">
        <f>$E$2+_xlfn.DAYS(DaybyDay[[#This Row],[Date]],minDate)</f>
        <v>43000</v>
      </c>
      <c r="AG635" s="39" cm="1">
        <f t="array" ref="AG635">IFERROR(INDEX(DaybyDay[],DaybyDay[[#This Row],[FORM_MATCH_HELPER]],8),"")</f>
        <v>24</v>
      </c>
      <c r="AH635" s="39" cm="1">
        <f t="array" ref="AH635">IFERROR(INDEX(DaybyDay[],DaybyDay[[#This Row],[FORM_MATCH_HELPER]],10),"")</f>
        <v>3136.4</v>
      </c>
      <c r="AI635" s="39" cm="1">
        <f t="array" ref="AI635">IFERROR(INDEX(DaybyDay[],DaybyDay[[#This Row],[FORM_MATCH_HELPER]],12),"")</f>
        <v>800.75</v>
      </c>
      <c r="AJ635" s="32">
        <f>IFERROR(DaybyDay[[#This Row],[Serv-LY-RU]]+DaybyDay[[#This Row],[Ret-LY-RU]],"")</f>
        <v>0</v>
      </c>
      <c r="AK6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5" s="77"/>
      <c r="AM635" s="40" t="str">
        <f>IF(DaybyDay[[#This Row],[Admin Hours]]&gt;0,DaybyDay[[#This Row],[Admin Hours]]*$AM$2+$AM$3,"")</f>
        <v/>
      </c>
      <c r="AN635" s="40">
        <f>SUMIFS(DaybyDay[Est-Admin-Payroll],DaybyDay[Date],"&gt;="&amp;$C$5,DaybyDay[RowYear],"&gt;="&amp;$C$4,DaybyDay[Date],"&lt;="&amp;DaybyDay[[#This Row],[Date]])</f>
        <v>0</v>
      </c>
      <c r="AO635" s="41" t="str">
        <f>IF(AND(DaybyDay[[#This Row],[_Space]],ISNUMBER(DaybyDay[[#This Row],[Admin Hours]])),DaybyDay[[#This Row],[Est-Admin-Payroll]]/(DaybyDay[[#This Row],[Service-Actuals]]+DaybyDay[[#This Row],[Retail-Actuals]]),"")</f>
        <v/>
      </c>
      <c r="AP635" s="41" t="e">
        <f>DaybyDay[[#This Row],[Estimated-Payroll-Rollup]]/DaybyDay[[#This Row],[Simple-Forecast]]</f>
        <v>#DIV/0!</v>
      </c>
      <c r="AQ6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5" s="77"/>
      <c r="AS635" s="40" t="str">
        <f>IF(DaybyDay[[#This Row],[Retail Hours]]&gt;0,DaybyDay[[#This Row],[Retail Hours]]*$AS$2,"")</f>
        <v/>
      </c>
      <c r="AT635" s="40">
        <f>SUMIFS(DaybyDay[Est-Retail-Payroll],DaybyDay[Date],"&gt;="&amp;$C$5,DaybyDay[RowYear],"&gt;="&amp;$C$4,DaybyDay[Date],"&lt;="&amp;DaybyDay[[#This Row],[Date]])</f>
        <v>0</v>
      </c>
      <c r="AU635" s="82" t="str">
        <f>IF(AND(DaybyDay[[#This Row],[_Space]],ISNUMBER(DaybyDay[[#This Row],[Retail Hours]])),DaybyDay[[#This Row],[Est-Retail-Payroll]]/(DaybyDay[[#This Row],[Retail-Actuals]]),"")</f>
        <v/>
      </c>
      <c r="AV635" s="82" t="e">
        <f>DaybyDay[[#This Row],[Est-Retail-PayrollRU]]/DaybyDay[[#This Row],[Simple-Forecast-Retail]]</f>
        <v>#DIV/0!</v>
      </c>
      <c r="AW635" s="8"/>
    </row>
    <row r="636" spans="3:49" hidden="1" x14ac:dyDescent="0.25">
      <c r="C636" s="26" t="str">
        <f>Tools!$C$1</f>
        <v>Example</v>
      </c>
      <c r="D636" s="27" t="s">
        <v>76</v>
      </c>
      <c r="E636" s="28">
        <v>2018</v>
      </c>
      <c r="F636" s="28">
        <f>MATCH(DaybyDay[[#This Row],[RowMonth]],Table3[SummaryMonth],0)</f>
        <v>9</v>
      </c>
      <c r="G636" s="29">
        <f>MATCH(DaybyDay[[#This Row],[LY-Date]],DaybyDay[Date],0)</f>
        <v>266</v>
      </c>
      <c r="H636" s="30">
        <f>WEEKDAY(DaybyDay[[#This Row],[Date]])</f>
        <v>7</v>
      </c>
      <c r="I636" s="31">
        <v>43365</v>
      </c>
      <c r="J636" s="74">
        <v>39</v>
      </c>
      <c r="K636" s="32">
        <f>SUMIFS(BudgetSeasonality[365 Seasonality],BudgetSeasonality[MonthAdjustment],DaybyDay[[#This Row],[Date]])*SUMIFS(Budgets[Service-Budget],Budgets[BudgetMonth],DaybyDay[[#This Row],[RowMonth]],Budgets[BudgetYear],DaybyDay[[#This Row],[RowYear]])</f>
        <v>8191.9969103642525</v>
      </c>
      <c r="L636" s="75">
        <v>8168.59</v>
      </c>
      <c r="M636" s="32">
        <f>INDEX(BudgetSeasonality[365 Seasonality],MATCH(DaybyDay[[#This Row],[Date]],BudgetSeasonality[MonthAdjustment],0))*SUMIFS(Budgets[Retail-Budget],Budgets[BudgetMonth],DaybyDay[[#This Row],[RowMonth]],Budgets[BudgetYear],DaybyDay[[#This Row],[RowYear]])</f>
        <v>2290.6045967683358</v>
      </c>
      <c r="N636" s="75">
        <v>772</v>
      </c>
      <c r="O636" s="33">
        <f>SUMIFS(DaybyDay[Service-Budgets],DaybyDay[Date],"&gt;="&amp;$C$5,DaybyDay[RowYear],"&gt;="&amp;$C$4,DaybyDay[Date],"&lt;="&amp;DaybyDay[[#This Row],[Date]])</f>
        <v>0</v>
      </c>
      <c r="P636" s="33">
        <f>SUMIFS(DaybyDay[Retail-Budgets],DaybyDay[Date],"&gt;="&amp;$C$5,DaybyDay[RowYear],"&gt;="&amp;$C$4,DaybyDay[Date],"&lt;="&amp;DaybyDay[[#This Row],[Date]])</f>
        <v>0</v>
      </c>
      <c r="Q636" s="34">
        <f>SUMIFS(DaybyDay[Service-Actuals],DaybyDay[Date],"&gt;="&amp;$C$5,DaybyDay[RowYear],"&gt;="&amp;$C$4,DaybyDay[Date],"&lt;="&amp;DaybyDay[[#This Row],[Date]])</f>
        <v>0</v>
      </c>
      <c r="R636" s="34">
        <f>SUMIFS(DaybyDay[Retail-Actuals],DaybyDay[Date],"&gt;="&amp;$C$5,DaybyDay[RowYear],"&gt;="&amp;$C$4,DaybyDay[Date],"&lt;="&amp;DaybyDay[[#This Row],[Date]])</f>
        <v>0</v>
      </c>
      <c r="S636" s="35">
        <f>SUMIFS(DaybyDay[Service-LY],DaybyDay[Date],"&gt;="&amp;$C$5,DaybyDay[RowYear],"&gt;="&amp;$C$4,DaybyDay[Date],"&lt;="&amp;DaybyDay[[#This Row],[Date]])</f>
        <v>0</v>
      </c>
      <c r="T636" s="35">
        <f>SUMIFS(DaybyDay[Retail-LY],DaybyDay[Date],"&gt;="&amp;$C$5,DaybyDay[RowYear],"&gt;="&amp;$C$4,DaybyDay[Date],"&lt;="&amp;DaybyDay[[#This Row],[Date]])</f>
        <v>0</v>
      </c>
      <c r="U636" s="32">
        <f>DaybyDay[[#This Row],[Serv-Bud-RU]]+DaybyDay[[#This Row],[Ret-Bud-RU]]</f>
        <v>0</v>
      </c>
      <c r="V636" s="32">
        <f>DaybyDay[[#This Row],[Serv-Act-RU]]+DaybyDay[[#This Row],[Ret-Act-RU]]</f>
        <v>0</v>
      </c>
      <c r="W636" s="36">
        <f>IF(DaybyDay[[#This Row],[_Space]],IFERROR(
((DaybyDay[[#This Row],[Actual-Rollup]]-DaybyDay[[#This Row],[Budget-Rollup]])/DaybyDay[[#This Row],[Budget-Rollup]]),0),"")</f>
        <v>0</v>
      </c>
      <c r="X636" t="b">
        <f>NOT(AND(ISBLANK(DaybyDay[[#This Row],[Appts]]),ISBLANK(DaybyDay[[#This Row],[Service-Actuals]]),ISBLANK(DaybyDay[[#This Row],[Retail-Actuals]])))</f>
        <v>1</v>
      </c>
      <c r="Y636" s="36">
        <f>IF(DaybyDay[[#This Row],[_Space]],IFERROR(
((DaybyDay[[#This Row],[Actual-Rollup]]-DaybyDay[[#This Row],[LY-Rollup]])/DaybyDay[[#This Row],[LY-Rollup]]),0),"")</f>
        <v>0</v>
      </c>
      <c r="Z636"/>
      <c r="AA636" s="37" t="e">
        <f>IF(DaybyDay[[#This Row],[_Space]],DaybyDay[[#This Row],[Ret-Act-RU]]/DaybyDay[[#This Row],[Serv-Act-RU]],"")</f>
        <v>#DIV/0!</v>
      </c>
      <c r="AB636" s="50" t="e">
        <f>IF(DaybyDay[[#This Row],[_Space]],DaybyDay[[#This Row],[RETPEN-Act]]/DaybyDay[[#This Row],[RETPEN-Bud]],"")</f>
        <v>#DIV/0!</v>
      </c>
      <c r="AC636" s="37" t="e">
        <f>IF(DaybyDay[[#This Row],[_Space]],DaybyDay[[#This Row],[Ret-Bud-RU]]/DaybyDay[[#This Row],[Serv-Bud-RU]],"")</f>
        <v>#DIV/0!</v>
      </c>
      <c r="AD636" s="37" t="e">
        <f>IF(DaybyDay[[#This Row],[_Space]],DaybyDay[[#This Row],[Ret-LY-RU]]/DaybyDay[[#This Row],[Serv-LY-RU]],"")</f>
        <v>#DIV/0!</v>
      </c>
      <c r="AE636" s="30">
        <f>WEEKDAY(DaybyDay[[#This Row],[LY-Date]])</f>
        <v>7</v>
      </c>
      <c r="AF636" s="38">
        <f>$E$2+_xlfn.DAYS(DaybyDay[[#This Row],[Date]],minDate)</f>
        <v>43001</v>
      </c>
      <c r="AG636" s="39" cm="1">
        <f t="array" ref="AG636">IFERROR(INDEX(DaybyDay[],DaybyDay[[#This Row],[FORM_MATCH_HELPER]],8),"")</f>
        <v>23</v>
      </c>
      <c r="AH636" s="39" cm="1">
        <f t="array" ref="AH636">IFERROR(INDEX(DaybyDay[],DaybyDay[[#This Row],[FORM_MATCH_HELPER]],10),"")</f>
        <v>5265</v>
      </c>
      <c r="AI636" s="39" cm="1">
        <f t="array" ref="AI636">IFERROR(INDEX(DaybyDay[],DaybyDay[[#This Row],[FORM_MATCH_HELPER]],12),"")</f>
        <v>393</v>
      </c>
      <c r="AJ636" s="32">
        <f>IFERROR(DaybyDay[[#This Row],[Serv-LY-RU]]+DaybyDay[[#This Row],[Ret-LY-RU]],"")</f>
        <v>0</v>
      </c>
      <c r="AK6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6" s="77"/>
      <c r="AM636" s="40" t="str">
        <f>IF(DaybyDay[[#This Row],[Admin Hours]]&gt;0,DaybyDay[[#This Row],[Admin Hours]]*$AM$2+$AM$3,"")</f>
        <v/>
      </c>
      <c r="AN636" s="40">
        <f>SUMIFS(DaybyDay[Est-Admin-Payroll],DaybyDay[Date],"&gt;="&amp;$C$5,DaybyDay[RowYear],"&gt;="&amp;$C$4,DaybyDay[Date],"&lt;="&amp;DaybyDay[[#This Row],[Date]])</f>
        <v>0</v>
      </c>
      <c r="AO636" s="41" t="str">
        <f>IF(AND(DaybyDay[[#This Row],[_Space]],ISNUMBER(DaybyDay[[#This Row],[Admin Hours]])),DaybyDay[[#This Row],[Est-Admin-Payroll]]/(DaybyDay[[#This Row],[Service-Actuals]]+DaybyDay[[#This Row],[Retail-Actuals]]),"")</f>
        <v/>
      </c>
      <c r="AP636" s="41" t="e">
        <f>DaybyDay[[#This Row],[Estimated-Payroll-Rollup]]/DaybyDay[[#This Row],[Simple-Forecast]]</f>
        <v>#DIV/0!</v>
      </c>
      <c r="AQ6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6" s="77"/>
      <c r="AS636" s="40" t="str">
        <f>IF(DaybyDay[[#This Row],[Retail Hours]]&gt;0,DaybyDay[[#This Row],[Retail Hours]]*$AS$2,"")</f>
        <v/>
      </c>
      <c r="AT636" s="40">
        <f>SUMIFS(DaybyDay[Est-Retail-Payroll],DaybyDay[Date],"&gt;="&amp;$C$5,DaybyDay[RowYear],"&gt;="&amp;$C$4,DaybyDay[Date],"&lt;="&amp;DaybyDay[[#This Row],[Date]])</f>
        <v>0</v>
      </c>
      <c r="AU636" s="82" t="str">
        <f>IF(AND(DaybyDay[[#This Row],[_Space]],ISNUMBER(DaybyDay[[#This Row],[Retail Hours]])),DaybyDay[[#This Row],[Est-Retail-Payroll]]/(DaybyDay[[#This Row],[Retail-Actuals]]),"")</f>
        <v/>
      </c>
      <c r="AV636" s="82" t="e">
        <f>DaybyDay[[#This Row],[Est-Retail-PayrollRU]]/DaybyDay[[#This Row],[Simple-Forecast-Retail]]</f>
        <v>#DIV/0!</v>
      </c>
      <c r="AW636" s="8"/>
    </row>
    <row r="637" spans="3:49" hidden="1" x14ac:dyDescent="0.25">
      <c r="C637" s="26" t="str">
        <f>Tools!$C$1</f>
        <v>Example</v>
      </c>
      <c r="D637" s="27" t="s">
        <v>76</v>
      </c>
      <c r="E637" s="28">
        <v>2018</v>
      </c>
      <c r="F637" s="28">
        <f>MATCH(DaybyDay[[#This Row],[RowMonth]],Table3[SummaryMonth],0)</f>
        <v>9</v>
      </c>
      <c r="G637" s="29">
        <f>MATCH(DaybyDay[[#This Row],[LY-Date]],DaybyDay[Date],0)</f>
        <v>267</v>
      </c>
      <c r="H637" s="30">
        <f>WEEKDAY(DaybyDay[[#This Row],[Date]])</f>
        <v>1</v>
      </c>
      <c r="I637" s="31">
        <v>43366</v>
      </c>
      <c r="J637" s="74">
        <v>26</v>
      </c>
      <c r="K637" s="32">
        <f>SUMIFS(BudgetSeasonality[365 Seasonality],BudgetSeasonality[MonthAdjustment],DaybyDay[[#This Row],[Date]])*SUMIFS(Budgets[Service-Budget],Budgets[BudgetMonth],DaybyDay[[#This Row],[RowMonth]],Budgets[BudgetYear],DaybyDay[[#This Row],[RowYear]])</f>
        <v>6212.0699531023129</v>
      </c>
      <c r="L637" s="75">
        <v>6262.4</v>
      </c>
      <c r="M637" s="32">
        <f>INDEX(BudgetSeasonality[365 Seasonality],MATCH(DaybyDay[[#This Row],[Date]],BudgetSeasonality[MonthAdjustment],0))*SUMIFS(Budgets[Retail-Budget],Budgets[BudgetMonth],DaybyDay[[#This Row],[RowMonth]],Budgets[BudgetYear],DaybyDay[[#This Row],[RowYear]])</f>
        <v>1736.987470297998</v>
      </c>
      <c r="N637" s="75">
        <v>53</v>
      </c>
      <c r="O637" s="33">
        <f>SUMIFS(DaybyDay[Service-Budgets],DaybyDay[Date],"&gt;="&amp;$C$5,DaybyDay[RowYear],"&gt;="&amp;$C$4,DaybyDay[Date],"&lt;="&amp;DaybyDay[[#This Row],[Date]])</f>
        <v>0</v>
      </c>
      <c r="P637" s="33">
        <f>SUMIFS(DaybyDay[Retail-Budgets],DaybyDay[Date],"&gt;="&amp;$C$5,DaybyDay[RowYear],"&gt;="&amp;$C$4,DaybyDay[Date],"&lt;="&amp;DaybyDay[[#This Row],[Date]])</f>
        <v>0</v>
      </c>
      <c r="Q637" s="34">
        <f>SUMIFS(DaybyDay[Service-Actuals],DaybyDay[Date],"&gt;="&amp;$C$5,DaybyDay[RowYear],"&gt;="&amp;$C$4,DaybyDay[Date],"&lt;="&amp;DaybyDay[[#This Row],[Date]])</f>
        <v>0</v>
      </c>
      <c r="R637" s="34">
        <f>SUMIFS(DaybyDay[Retail-Actuals],DaybyDay[Date],"&gt;="&amp;$C$5,DaybyDay[RowYear],"&gt;="&amp;$C$4,DaybyDay[Date],"&lt;="&amp;DaybyDay[[#This Row],[Date]])</f>
        <v>0</v>
      </c>
      <c r="S637" s="35">
        <f>SUMIFS(DaybyDay[Service-LY],DaybyDay[Date],"&gt;="&amp;$C$5,DaybyDay[RowYear],"&gt;="&amp;$C$4,DaybyDay[Date],"&lt;="&amp;DaybyDay[[#This Row],[Date]])</f>
        <v>0</v>
      </c>
      <c r="T637" s="35">
        <f>SUMIFS(DaybyDay[Retail-LY],DaybyDay[Date],"&gt;="&amp;$C$5,DaybyDay[RowYear],"&gt;="&amp;$C$4,DaybyDay[Date],"&lt;="&amp;DaybyDay[[#This Row],[Date]])</f>
        <v>0</v>
      </c>
      <c r="U637" s="32">
        <f>DaybyDay[[#This Row],[Serv-Bud-RU]]+DaybyDay[[#This Row],[Ret-Bud-RU]]</f>
        <v>0</v>
      </c>
      <c r="V637" s="32">
        <f>DaybyDay[[#This Row],[Serv-Act-RU]]+DaybyDay[[#This Row],[Ret-Act-RU]]</f>
        <v>0</v>
      </c>
      <c r="W637" s="36">
        <f>IF(DaybyDay[[#This Row],[_Space]],IFERROR(
((DaybyDay[[#This Row],[Actual-Rollup]]-DaybyDay[[#This Row],[Budget-Rollup]])/DaybyDay[[#This Row],[Budget-Rollup]]),0),"")</f>
        <v>0</v>
      </c>
      <c r="X637" t="b">
        <f>NOT(AND(ISBLANK(DaybyDay[[#This Row],[Appts]]),ISBLANK(DaybyDay[[#This Row],[Service-Actuals]]),ISBLANK(DaybyDay[[#This Row],[Retail-Actuals]])))</f>
        <v>1</v>
      </c>
      <c r="Y637" s="36">
        <f>IF(DaybyDay[[#This Row],[_Space]],IFERROR(
((DaybyDay[[#This Row],[Actual-Rollup]]-DaybyDay[[#This Row],[LY-Rollup]])/DaybyDay[[#This Row],[LY-Rollup]]),0),"")</f>
        <v>0</v>
      </c>
      <c r="Z637"/>
      <c r="AA637" s="37" t="e">
        <f>IF(DaybyDay[[#This Row],[_Space]],DaybyDay[[#This Row],[Ret-Act-RU]]/DaybyDay[[#This Row],[Serv-Act-RU]],"")</f>
        <v>#DIV/0!</v>
      </c>
      <c r="AB637" s="50" t="e">
        <f>IF(DaybyDay[[#This Row],[_Space]],DaybyDay[[#This Row],[RETPEN-Act]]/DaybyDay[[#This Row],[RETPEN-Bud]],"")</f>
        <v>#DIV/0!</v>
      </c>
      <c r="AC637" s="37" t="e">
        <f>IF(DaybyDay[[#This Row],[_Space]],DaybyDay[[#This Row],[Ret-Bud-RU]]/DaybyDay[[#This Row],[Serv-Bud-RU]],"")</f>
        <v>#DIV/0!</v>
      </c>
      <c r="AD637" s="37" t="e">
        <f>IF(DaybyDay[[#This Row],[_Space]],DaybyDay[[#This Row],[Ret-LY-RU]]/DaybyDay[[#This Row],[Serv-LY-RU]],"")</f>
        <v>#DIV/0!</v>
      </c>
      <c r="AE637" s="30">
        <f>WEEKDAY(DaybyDay[[#This Row],[LY-Date]])</f>
        <v>1</v>
      </c>
      <c r="AF637" s="38">
        <f>$E$2+_xlfn.DAYS(DaybyDay[[#This Row],[Date]],minDate)</f>
        <v>43002</v>
      </c>
      <c r="AG637" s="39" cm="1">
        <f t="array" ref="AG637">IFERROR(INDEX(DaybyDay[],DaybyDay[[#This Row],[FORM_MATCH_HELPER]],8),"")</f>
        <v>22</v>
      </c>
      <c r="AH637" s="39" cm="1">
        <f t="array" ref="AH637">IFERROR(INDEX(DaybyDay[],DaybyDay[[#This Row],[FORM_MATCH_HELPER]],10),"")</f>
        <v>5678.4</v>
      </c>
      <c r="AI637" s="39" cm="1">
        <f t="array" ref="AI637">IFERROR(INDEX(DaybyDay[],DaybyDay[[#This Row],[FORM_MATCH_HELPER]],12),"")</f>
        <v>1796</v>
      </c>
      <c r="AJ637" s="32">
        <f>IFERROR(DaybyDay[[#This Row],[Serv-LY-RU]]+DaybyDay[[#This Row],[Ret-LY-RU]],"")</f>
        <v>0</v>
      </c>
      <c r="AK6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7" s="77"/>
      <c r="AM637" s="40" t="str">
        <f>IF(DaybyDay[[#This Row],[Admin Hours]]&gt;0,DaybyDay[[#This Row],[Admin Hours]]*$AM$2+$AM$3,"")</f>
        <v/>
      </c>
      <c r="AN637" s="40">
        <f>SUMIFS(DaybyDay[Est-Admin-Payroll],DaybyDay[Date],"&gt;="&amp;$C$5,DaybyDay[RowYear],"&gt;="&amp;$C$4,DaybyDay[Date],"&lt;="&amp;DaybyDay[[#This Row],[Date]])</f>
        <v>0</v>
      </c>
      <c r="AO637" s="41" t="str">
        <f>IF(AND(DaybyDay[[#This Row],[_Space]],ISNUMBER(DaybyDay[[#This Row],[Admin Hours]])),DaybyDay[[#This Row],[Est-Admin-Payroll]]/(DaybyDay[[#This Row],[Service-Actuals]]+DaybyDay[[#This Row],[Retail-Actuals]]),"")</f>
        <v/>
      </c>
      <c r="AP637" s="41" t="e">
        <f>DaybyDay[[#This Row],[Estimated-Payroll-Rollup]]/DaybyDay[[#This Row],[Simple-Forecast]]</f>
        <v>#DIV/0!</v>
      </c>
      <c r="AQ6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7" s="77"/>
      <c r="AS637" s="40" t="str">
        <f>IF(DaybyDay[[#This Row],[Retail Hours]]&gt;0,DaybyDay[[#This Row],[Retail Hours]]*$AS$2,"")</f>
        <v/>
      </c>
      <c r="AT637" s="40">
        <f>SUMIFS(DaybyDay[Est-Retail-Payroll],DaybyDay[Date],"&gt;="&amp;$C$5,DaybyDay[RowYear],"&gt;="&amp;$C$4,DaybyDay[Date],"&lt;="&amp;DaybyDay[[#This Row],[Date]])</f>
        <v>0</v>
      </c>
      <c r="AU637" s="82" t="str">
        <f>IF(AND(DaybyDay[[#This Row],[_Space]],ISNUMBER(DaybyDay[[#This Row],[Retail Hours]])),DaybyDay[[#This Row],[Est-Retail-Payroll]]/(DaybyDay[[#This Row],[Retail-Actuals]]),"")</f>
        <v/>
      </c>
      <c r="AV637" s="82" t="e">
        <f>DaybyDay[[#This Row],[Est-Retail-PayrollRU]]/DaybyDay[[#This Row],[Simple-Forecast-Retail]]</f>
        <v>#DIV/0!</v>
      </c>
      <c r="AW637" s="8"/>
    </row>
    <row r="638" spans="3:49" hidden="1" x14ac:dyDescent="0.25">
      <c r="C638" s="26" t="str">
        <f>Tools!$C$1</f>
        <v>Example</v>
      </c>
      <c r="D638" s="27" t="s">
        <v>76</v>
      </c>
      <c r="E638" s="28">
        <v>2018</v>
      </c>
      <c r="F638" s="28">
        <f>MATCH(DaybyDay[[#This Row],[RowMonth]],Table3[SummaryMonth],0)</f>
        <v>9</v>
      </c>
      <c r="G638" s="29">
        <f>MATCH(DaybyDay[[#This Row],[LY-Date]],DaybyDay[Date],0)</f>
        <v>268</v>
      </c>
      <c r="H638" s="30">
        <f>WEEKDAY(DaybyDay[[#This Row],[Date]])</f>
        <v>2</v>
      </c>
      <c r="I638" s="31">
        <v>43367</v>
      </c>
      <c r="J638" s="74">
        <v>11</v>
      </c>
      <c r="K638" s="32">
        <f>SUMIFS(BudgetSeasonality[365 Seasonality],BudgetSeasonality[MonthAdjustment],DaybyDay[[#This Row],[Date]])*SUMIFS(Budgets[Service-Budget],Budgets[BudgetMonth],DaybyDay[[#This Row],[RowMonth]],Budgets[BudgetYear],DaybyDay[[#This Row],[RowYear]])</f>
        <v>3330.2827790710917</v>
      </c>
      <c r="L638" s="75">
        <v>3158</v>
      </c>
      <c r="M638" s="32">
        <f>INDEX(BudgetSeasonality[365 Seasonality],MATCH(DaybyDay[[#This Row],[Date]],BudgetSeasonality[MonthAdjustment],0))*SUMIFS(Budgets[Retail-Budget],Budgets[BudgetMonth],DaybyDay[[#This Row],[RowMonth]],Budgets[BudgetYear],DaybyDay[[#This Row],[RowYear]])</f>
        <v>931.19676749725249</v>
      </c>
      <c r="N638" s="75">
        <v>1266.0999999999999</v>
      </c>
      <c r="O638" s="33">
        <f>SUMIFS(DaybyDay[Service-Budgets],DaybyDay[Date],"&gt;="&amp;$C$5,DaybyDay[RowYear],"&gt;="&amp;$C$4,DaybyDay[Date],"&lt;="&amp;DaybyDay[[#This Row],[Date]])</f>
        <v>0</v>
      </c>
      <c r="P638" s="33">
        <f>SUMIFS(DaybyDay[Retail-Budgets],DaybyDay[Date],"&gt;="&amp;$C$5,DaybyDay[RowYear],"&gt;="&amp;$C$4,DaybyDay[Date],"&lt;="&amp;DaybyDay[[#This Row],[Date]])</f>
        <v>0</v>
      </c>
      <c r="Q638" s="34">
        <f>SUMIFS(DaybyDay[Service-Actuals],DaybyDay[Date],"&gt;="&amp;$C$5,DaybyDay[RowYear],"&gt;="&amp;$C$4,DaybyDay[Date],"&lt;="&amp;DaybyDay[[#This Row],[Date]])</f>
        <v>0</v>
      </c>
      <c r="R638" s="34">
        <f>SUMIFS(DaybyDay[Retail-Actuals],DaybyDay[Date],"&gt;="&amp;$C$5,DaybyDay[RowYear],"&gt;="&amp;$C$4,DaybyDay[Date],"&lt;="&amp;DaybyDay[[#This Row],[Date]])</f>
        <v>0</v>
      </c>
      <c r="S638" s="35">
        <f>SUMIFS(DaybyDay[Service-LY],DaybyDay[Date],"&gt;="&amp;$C$5,DaybyDay[RowYear],"&gt;="&amp;$C$4,DaybyDay[Date],"&lt;="&amp;DaybyDay[[#This Row],[Date]])</f>
        <v>0</v>
      </c>
      <c r="T638" s="35">
        <f>SUMIFS(DaybyDay[Retail-LY],DaybyDay[Date],"&gt;="&amp;$C$5,DaybyDay[RowYear],"&gt;="&amp;$C$4,DaybyDay[Date],"&lt;="&amp;DaybyDay[[#This Row],[Date]])</f>
        <v>0</v>
      </c>
      <c r="U638" s="32">
        <f>DaybyDay[[#This Row],[Serv-Bud-RU]]+DaybyDay[[#This Row],[Ret-Bud-RU]]</f>
        <v>0</v>
      </c>
      <c r="V638" s="32">
        <f>DaybyDay[[#This Row],[Serv-Act-RU]]+DaybyDay[[#This Row],[Ret-Act-RU]]</f>
        <v>0</v>
      </c>
      <c r="W638" s="36">
        <f>IF(DaybyDay[[#This Row],[_Space]],IFERROR(
((DaybyDay[[#This Row],[Actual-Rollup]]-DaybyDay[[#This Row],[Budget-Rollup]])/DaybyDay[[#This Row],[Budget-Rollup]]),0),"")</f>
        <v>0</v>
      </c>
      <c r="X638" t="b">
        <f>NOT(AND(ISBLANK(DaybyDay[[#This Row],[Appts]]),ISBLANK(DaybyDay[[#This Row],[Service-Actuals]]),ISBLANK(DaybyDay[[#This Row],[Retail-Actuals]])))</f>
        <v>1</v>
      </c>
      <c r="Y638" s="36">
        <f>IF(DaybyDay[[#This Row],[_Space]],IFERROR(
((DaybyDay[[#This Row],[Actual-Rollup]]-DaybyDay[[#This Row],[LY-Rollup]])/DaybyDay[[#This Row],[LY-Rollup]]),0),"")</f>
        <v>0</v>
      </c>
      <c r="Z638"/>
      <c r="AA638" s="37" t="e">
        <f>IF(DaybyDay[[#This Row],[_Space]],DaybyDay[[#This Row],[Ret-Act-RU]]/DaybyDay[[#This Row],[Serv-Act-RU]],"")</f>
        <v>#DIV/0!</v>
      </c>
      <c r="AB638" s="50" t="e">
        <f>IF(DaybyDay[[#This Row],[_Space]],DaybyDay[[#This Row],[RETPEN-Act]]/DaybyDay[[#This Row],[RETPEN-Bud]],"")</f>
        <v>#DIV/0!</v>
      </c>
      <c r="AC638" s="37" t="e">
        <f>IF(DaybyDay[[#This Row],[_Space]],DaybyDay[[#This Row],[Ret-Bud-RU]]/DaybyDay[[#This Row],[Serv-Bud-RU]],"")</f>
        <v>#DIV/0!</v>
      </c>
      <c r="AD638" s="37" t="e">
        <f>IF(DaybyDay[[#This Row],[_Space]],DaybyDay[[#This Row],[Ret-LY-RU]]/DaybyDay[[#This Row],[Serv-LY-RU]],"")</f>
        <v>#DIV/0!</v>
      </c>
      <c r="AE638" s="30">
        <f>WEEKDAY(DaybyDay[[#This Row],[LY-Date]])</f>
        <v>2</v>
      </c>
      <c r="AF638" s="38">
        <f>$E$2+_xlfn.DAYS(DaybyDay[[#This Row],[Date]],minDate)</f>
        <v>43003</v>
      </c>
      <c r="AG638" s="39" cm="1">
        <f t="array" ref="AG638">IFERROR(INDEX(DaybyDay[],DaybyDay[[#This Row],[FORM_MATCH_HELPER]],8),"")</f>
        <v>9</v>
      </c>
      <c r="AH638" s="39" cm="1">
        <f t="array" ref="AH638">IFERROR(INDEX(DaybyDay[],DaybyDay[[#This Row],[FORM_MATCH_HELPER]],10),"")</f>
        <v>1902</v>
      </c>
      <c r="AI638" s="39" cm="1">
        <f t="array" ref="AI638">IFERROR(INDEX(DaybyDay[],DaybyDay[[#This Row],[FORM_MATCH_HELPER]],12),"")</f>
        <v>1494</v>
      </c>
      <c r="AJ638" s="32">
        <f>IFERROR(DaybyDay[[#This Row],[Serv-LY-RU]]+DaybyDay[[#This Row],[Ret-LY-RU]],"")</f>
        <v>0</v>
      </c>
      <c r="AK6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8" s="77"/>
      <c r="AM638" s="40" t="str">
        <f>IF(DaybyDay[[#This Row],[Admin Hours]]&gt;0,DaybyDay[[#This Row],[Admin Hours]]*$AM$2+$AM$3,"")</f>
        <v/>
      </c>
      <c r="AN638" s="40">
        <f>SUMIFS(DaybyDay[Est-Admin-Payroll],DaybyDay[Date],"&gt;="&amp;$C$5,DaybyDay[RowYear],"&gt;="&amp;$C$4,DaybyDay[Date],"&lt;="&amp;DaybyDay[[#This Row],[Date]])</f>
        <v>0</v>
      </c>
      <c r="AO638" s="41" t="str">
        <f>IF(AND(DaybyDay[[#This Row],[_Space]],ISNUMBER(DaybyDay[[#This Row],[Admin Hours]])),DaybyDay[[#This Row],[Est-Admin-Payroll]]/(DaybyDay[[#This Row],[Service-Actuals]]+DaybyDay[[#This Row],[Retail-Actuals]]),"")</f>
        <v/>
      </c>
      <c r="AP638" s="41" t="e">
        <f>DaybyDay[[#This Row],[Estimated-Payroll-Rollup]]/DaybyDay[[#This Row],[Simple-Forecast]]</f>
        <v>#DIV/0!</v>
      </c>
      <c r="AQ6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8" s="77"/>
      <c r="AS638" s="40" t="str">
        <f>IF(DaybyDay[[#This Row],[Retail Hours]]&gt;0,DaybyDay[[#This Row],[Retail Hours]]*$AS$2,"")</f>
        <v/>
      </c>
      <c r="AT638" s="40">
        <f>SUMIFS(DaybyDay[Est-Retail-Payroll],DaybyDay[Date],"&gt;="&amp;$C$5,DaybyDay[RowYear],"&gt;="&amp;$C$4,DaybyDay[Date],"&lt;="&amp;DaybyDay[[#This Row],[Date]])</f>
        <v>0</v>
      </c>
      <c r="AU638" s="82" t="str">
        <f>IF(AND(DaybyDay[[#This Row],[_Space]],ISNUMBER(DaybyDay[[#This Row],[Retail Hours]])),DaybyDay[[#This Row],[Est-Retail-Payroll]]/(DaybyDay[[#This Row],[Retail-Actuals]]),"")</f>
        <v/>
      </c>
      <c r="AV638" s="82" t="e">
        <f>DaybyDay[[#This Row],[Est-Retail-PayrollRU]]/DaybyDay[[#This Row],[Simple-Forecast-Retail]]</f>
        <v>#DIV/0!</v>
      </c>
      <c r="AW638" s="8"/>
    </row>
    <row r="639" spans="3:49" hidden="1" x14ac:dyDescent="0.25">
      <c r="C639" s="26" t="str">
        <f>Tools!$C$1</f>
        <v>Example</v>
      </c>
      <c r="D639" s="27" t="s">
        <v>76</v>
      </c>
      <c r="E639" s="28">
        <v>2018</v>
      </c>
      <c r="F639" s="28">
        <f>MATCH(DaybyDay[[#This Row],[RowMonth]],Table3[SummaryMonth],0)</f>
        <v>9</v>
      </c>
      <c r="G639" s="29">
        <f>MATCH(DaybyDay[[#This Row],[LY-Date]],DaybyDay[Date],0)</f>
        <v>269</v>
      </c>
      <c r="H639" s="30">
        <f>WEEKDAY(DaybyDay[[#This Row],[Date]])</f>
        <v>3</v>
      </c>
      <c r="I639" s="31">
        <v>43368</v>
      </c>
      <c r="J639" s="74">
        <v>9</v>
      </c>
      <c r="K639" s="32">
        <f>SUMIFS(BudgetSeasonality[365 Seasonality],BudgetSeasonality[MonthAdjustment],DaybyDay[[#This Row],[Date]])*SUMIFS(Budgets[Service-Budget],Budgets[BudgetMonth],DaybyDay[[#This Row],[RowMonth]],Budgets[BudgetYear],DaybyDay[[#This Row],[RowYear]])</f>
        <v>3497.2837398720694</v>
      </c>
      <c r="L639" s="75">
        <v>2582.5</v>
      </c>
      <c r="M639" s="32">
        <f>INDEX(BudgetSeasonality[365 Seasonality],MATCH(DaybyDay[[#This Row],[Date]],BudgetSeasonality[MonthAdjustment],0))*SUMIFS(Budgets[Retail-Budget],Budgets[BudgetMonth],DaybyDay[[#This Row],[RowMonth]],Budgets[BudgetYear],DaybyDay[[#This Row],[RowYear]])</f>
        <v>977.89272852617808</v>
      </c>
      <c r="N639" s="75">
        <v>848.9</v>
      </c>
      <c r="O639" s="33">
        <f>SUMIFS(DaybyDay[Service-Budgets],DaybyDay[Date],"&gt;="&amp;$C$5,DaybyDay[RowYear],"&gt;="&amp;$C$4,DaybyDay[Date],"&lt;="&amp;DaybyDay[[#This Row],[Date]])</f>
        <v>0</v>
      </c>
      <c r="P639" s="33">
        <f>SUMIFS(DaybyDay[Retail-Budgets],DaybyDay[Date],"&gt;="&amp;$C$5,DaybyDay[RowYear],"&gt;="&amp;$C$4,DaybyDay[Date],"&lt;="&amp;DaybyDay[[#This Row],[Date]])</f>
        <v>0</v>
      </c>
      <c r="Q639" s="34">
        <f>SUMIFS(DaybyDay[Service-Actuals],DaybyDay[Date],"&gt;="&amp;$C$5,DaybyDay[RowYear],"&gt;="&amp;$C$4,DaybyDay[Date],"&lt;="&amp;DaybyDay[[#This Row],[Date]])</f>
        <v>0</v>
      </c>
      <c r="R639" s="34">
        <f>SUMIFS(DaybyDay[Retail-Actuals],DaybyDay[Date],"&gt;="&amp;$C$5,DaybyDay[RowYear],"&gt;="&amp;$C$4,DaybyDay[Date],"&lt;="&amp;DaybyDay[[#This Row],[Date]])</f>
        <v>0</v>
      </c>
      <c r="S639" s="35">
        <f>SUMIFS(DaybyDay[Service-LY],DaybyDay[Date],"&gt;="&amp;$C$5,DaybyDay[RowYear],"&gt;="&amp;$C$4,DaybyDay[Date],"&lt;="&amp;DaybyDay[[#This Row],[Date]])</f>
        <v>0</v>
      </c>
      <c r="T639" s="35">
        <f>SUMIFS(DaybyDay[Retail-LY],DaybyDay[Date],"&gt;="&amp;$C$5,DaybyDay[RowYear],"&gt;="&amp;$C$4,DaybyDay[Date],"&lt;="&amp;DaybyDay[[#This Row],[Date]])</f>
        <v>0</v>
      </c>
      <c r="U639" s="32">
        <f>DaybyDay[[#This Row],[Serv-Bud-RU]]+DaybyDay[[#This Row],[Ret-Bud-RU]]</f>
        <v>0</v>
      </c>
      <c r="V639" s="32">
        <f>DaybyDay[[#This Row],[Serv-Act-RU]]+DaybyDay[[#This Row],[Ret-Act-RU]]</f>
        <v>0</v>
      </c>
      <c r="W639" s="36">
        <f>IF(DaybyDay[[#This Row],[_Space]],IFERROR(
((DaybyDay[[#This Row],[Actual-Rollup]]-DaybyDay[[#This Row],[Budget-Rollup]])/DaybyDay[[#This Row],[Budget-Rollup]]),0),"")</f>
        <v>0</v>
      </c>
      <c r="X639" t="b">
        <f>NOT(AND(ISBLANK(DaybyDay[[#This Row],[Appts]]),ISBLANK(DaybyDay[[#This Row],[Service-Actuals]]),ISBLANK(DaybyDay[[#This Row],[Retail-Actuals]])))</f>
        <v>1</v>
      </c>
      <c r="Y639" s="36">
        <f>IF(DaybyDay[[#This Row],[_Space]],IFERROR(
((DaybyDay[[#This Row],[Actual-Rollup]]-DaybyDay[[#This Row],[LY-Rollup]])/DaybyDay[[#This Row],[LY-Rollup]]),0),"")</f>
        <v>0</v>
      </c>
      <c r="Z639"/>
      <c r="AA639" s="37" t="e">
        <f>IF(DaybyDay[[#This Row],[_Space]],DaybyDay[[#This Row],[Ret-Act-RU]]/DaybyDay[[#This Row],[Serv-Act-RU]],"")</f>
        <v>#DIV/0!</v>
      </c>
      <c r="AB639" s="50" t="e">
        <f>IF(DaybyDay[[#This Row],[_Space]],DaybyDay[[#This Row],[RETPEN-Act]]/DaybyDay[[#This Row],[RETPEN-Bud]],"")</f>
        <v>#DIV/0!</v>
      </c>
      <c r="AC639" s="37" t="e">
        <f>IF(DaybyDay[[#This Row],[_Space]],DaybyDay[[#This Row],[Ret-Bud-RU]]/DaybyDay[[#This Row],[Serv-Bud-RU]],"")</f>
        <v>#DIV/0!</v>
      </c>
      <c r="AD639" s="37" t="e">
        <f>IF(DaybyDay[[#This Row],[_Space]],DaybyDay[[#This Row],[Ret-LY-RU]]/DaybyDay[[#This Row],[Serv-LY-RU]],"")</f>
        <v>#DIV/0!</v>
      </c>
      <c r="AE639" s="30">
        <f>WEEKDAY(DaybyDay[[#This Row],[LY-Date]])</f>
        <v>3</v>
      </c>
      <c r="AF639" s="38">
        <f>$E$2+_xlfn.DAYS(DaybyDay[[#This Row],[Date]],minDate)</f>
        <v>43004</v>
      </c>
      <c r="AG639" s="39" cm="1">
        <f t="array" ref="AG639">IFERROR(INDEX(DaybyDay[],DaybyDay[[#This Row],[FORM_MATCH_HELPER]],8),"")</f>
        <v>19</v>
      </c>
      <c r="AH639" s="39" cm="1">
        <f t="array" ref="AH639">IFERROR(INDEX(DaybyDay[],DaybyDay[[#This Row],[FORM_MATCH_HELPER]],10),"")</f>
        <v>4245.2</v>
      </c>
      <c r="AI639" s="39" cm="1">
        <f t="array" ref="AI639">IFERROR(INDEX(DaybyDay[],DaybyDay[[#This Row],[FORM_MATCH_HELPER]],12),"")</f>
        <v>32</v>
      </c>
      <c r="AJ639" s="32">
        <f>IFERROR(DaybyDay[[#This Row],[Serv-LY-RU]]+DaybyDay[[#This Row],[Ret-LY-RU]],"")</f>
        <v>0</v>
      </c>
      <c r="AK6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39" s="77"/>
      <c r="AM639" s="40" t="str">
        <f>IF(DaybyDay[[#This Row],[Admin Hours]]&gt;0,DaybyDay[[#This Row],[Admin Hours]]*$AM$2+$AM$3,"")</f>
        <v/>
      </c>
      <c r="AN639" s="40">
        <f>SUMIFS(DaybyDay[Est-Admin-Payroll],DaybyDay[Date],"&gt;="&amp;$C$5,DaybyDay[RowYear],"&gt;="&amp;$C$4,DaybyDay[Date],"&lt;="&amp;DaybyDay[[#This Row],[Date]])</f>
        <v>0</v>
      </c>
      <c r="AO639" s="41" t="str">
        <f>IF(AND(DaybyDay[[#This Row],[_Space]],ISNUMBER(DaybyDay[[#This Row],[Admin Hours]])),DaybyDay[[#This Row],[Est-Admin-Payroll]]/(DaybyDay[[#This Row],[Service-Actuals]]+DaybyDay[[#This Row],[Retail-Actuals]]),"")</f>
        <v/>
      </c>
      <c r="AP639" s="41" t="e">
        <f>DaybyDay[[#This Row],[Estimated-Payroll-Rollup]]/DaybyDay[[#This Row],[Simple-Forecast]]</f>
        <v>#DIV/0!</v>
      </c>
      <c r="AQ6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39" s="77"/>
      <c r="AS639" s="40" t="str">
        <f>IF(DaybyDay[[#This Row],[Retail Hours]]&gt;0,DaybyDay[[#This Row],[Retail Hours]]*$AS$2,"")</f>
        <v/>
      </c>
      <c r="AT639" s="40">
        <f>SUMIFS(DaybyDay[Est-Retail-Payroll],DaybyDay[Date],"&gt;="&amp;$C$5,DaybyDay[RowYear],"&gt;="&amp;$C$4,DaybyDay[Date],"&lt;="&amp;DaybyDay[[#This Row],[Date]])</f>
        <v>0</v>
      </c>
      <c r="AU639" s="82" t="str">
        <f>IF(AND(DaybyDay[[#This Row],[_Space]],ISNUMBER(DaybyDay[[#This Row],[Retail Hours]])),DaybyDay[[#This Row],[Est-Retail-Payroll]]/(DaybyDay[[#This Row],[Retail-Actuals]]),"")</f>
        <v/>
      </c>
      <c r="AV639" s="82" t="e">
        <f>DaybyDay[[#This Row],[Est-Retail-PayrollRU]]/DaybyDay[[#This Row],[Simple-Forecast-Retail]]</f>
        <v>#DIV/0!</v>
      </c>
      <c r="AW639" s="8"/>
    </row>
    <row r="640" spans="3:49" hidden="1" x14ac:dyDescent="0.25">
      <c r="C640" s="26" t="str">
        <f>Tools!$C$1</f>
        <v>Example</v>
      </c>
      <c r="D640" s="27" t="s">
        <v>76</v>
      </c>
      <c r="E640" s="28">
        <v>2018</v>
      </c>
      <c r="F640" s="28">
        <f>MATCH(DaybyDay[[#This Row],[RowMonth]],Table3[SummaryMonth],0)</f>
        <v>9</v>
      </c>
      <c r="G640" s="29">
        <f>MATCH(DaybyDay[[#This Row],[LY-Date]],DaybyDay[Date],0)</f>
        <v>270</v>
      </c>
      <c r="H640" s="30">
        <f>WEEKDAY(DaybyDay[[#This Row],[Date]])</f>
        <v>4</v>
      </c>
      <c r="I640" s="31">
        <v>43369</v>
      </c>
      <c r="J640" s="74">
        <v>10</v>
      </c>
      <c r="K640" s="32">
        <f>SUMIFS(BudgetSeasonality[365 Seasonality],BudgetSeasonality[MonthAdjustment],DaybyDay[[#This Row],[Date]])*SUMIFS(Budgets[Service-Budget],Budgets[BudgetMonth],DaybyDay[[#This Row],[RowMonth]],Budgets[BudgetYear],DaybyDay[[#This Row],[RowYear]])</f>
        <v>4203.4084415180687</v>
      </c>
      <c r="L640" s="75">
        <v>2350.6</v>
      </c>
      <c r="M640" s="32">
        <f>INDEX(BudgetSeasonality[365 Seasonality],MATCH(DaybyDay[[#This Row],[Date]],BudgetSeasonality[MonthAdjustment],0))*SUMIFS(Budgets[Retail-Budget],Budgets[BudgetMonth],DaybyDay[[#This Row],[RowMonth]],Budgets[BudgetYear],DaybyDay[[#This Row],[RowYear]])</f>
        <v>1175.3357335931898</v>
      </c>
      <c r="N640" s="75">
        <v>652.5</v>
      </c>
      <c r="O640" s="33">
        <f>SUMIFS(DaybyDay[Service-Budgets],DaybyDay[Date],"&gt;="&amp;$C$5,DaybyDay[RowYear],"&gt;="&amp;$C$4,DaybyDay[Date],"&lt;="&amp;DaybyDay[[#This Row],[Date]])</f>
        <v>0</v>
      </c>
      <c r="P640" s="33">
        <f>SUMIFS(DaybyDay[Retail-Budgets],DaybyDay[Date],"&gt;="&amp;$C$5,DaybyDay[RowYear],"&gt;="&amp;$C$4,DaybyDay[Date],"&lt;="&amp;DaybyDay[[#This Row],[Date]])</f>
        <v>0</v>
      </c>
      <c r="Q640" s="34">
        <f>SUMIFS(DaybyDay[Service-Actuals],DaybyDay[Date],"&gt;="&amp;$C$5,DaybyDay[RowYear],"&gt;="&amp;$C$4,DaybyDay[Date],"&lt;="&amp;DaybyDay[[#This Row],[Date]])</f>
        <v>0</v>
      </c>
      <c r="R640" s="34">
        <f>SUMIFS(DaybyDay[Retail-Actuals],DaybyDay[Date],"&gt;="&amp;$C$5,DaybyDay[RowYear],"&gt;="&amp;$C$4,DaybyDay[Date],"&lt;="&amp;DaybyDay[[#This Row],[Date]])</f>
        <v>0</v>
      </c>
      <c r="S640" s="35">
        <f>SUMIFS(DaybyDay[Service-LY],DaybyDay[Date],"&gt;="&amp;$C$5,DaybyDay[RowYear],"&gt;="&amp;$C$4,DaybyDay[Date],"&lt;="&amp;DaybyDay[[#This Row],[Date]])</f>
        <v>0</v>
      </c>
      <c r="T640" s="35">
        <f>SUMIFS(DaybyDay[Retail-LY],DaybyDay[Date],"&gt;="&amp;$C$5,DaybyDay[RowYear],"&gt;="&amp;$C$4,DaybyDay[Date],"&lt;="&amp;DaybyDay[[#This Row],[Date]])</f>
        <v>0</v>
      </c>
      <c r="U640" s="32">
        <f>DaybyDay[[#This Row],[Serv-Bud-RU]]+DaybyDay[[#This Row],[Ret-Bud-RU]]</f>
        <v>0</v>
      </c>
      <c r="V640" s="32">
        <f>DaybyDay[[#This Row],[Serv-Act-RU]]+DaybyDay[[#This Row],[Ret-Act-RU]]</f>
        <v>0</v>
      </c>
      <c r="W640" s="36">
        <f>IF(DaybyDay[[#This Row],[_Space]],IFERROR(
((DaybyDay[[#This Row],[Actual-Rollup]]-DaybyDay[[#This Row],[Budget-Rollup]])/DaybyDay[[#This Row],[Budget-Rollup]]),0),"")</f>
        <v>0</v>
      </c>
      <c r="X640" t="b">
        <f>NOT(AND(ISBLANK(DaybyDay[[#This Row],[Appts]]),ISBLANK(DaybyDay[[#This Row],[Service-Actuals]]),ISBLANK(DaybyDay[[#This Row],[Retail-Actuals]])))</f>
        <v>1</v>
      </c>
      <c r="Y640" s="36">
        <f>IF(DaybyDay[[#This Row],[_Space]],IFERROR(
((DaybyDay[[#This Row],[Actual-Rollup]]-DaybyDay[[#This Row],[LY-Rollup]])/DaybyDay[[#This Row],[LY-Rollup]]),0),"")</f>
        <v>0</v>
      </c>
      <c r="Z640"/>
      <c r="AA640" s="37" t="e">
        <f>IF(DaybyDay[[#This Row],[_Space]],DaybyDay[[#This Row],[Ret-Act-RU]]/DaybyDay[[#This Row],[Serv-Act-RU]],"")</f>
        <v>#DIV/0!</v>
      </c>
      <c r="AB640" s="50" t="e">
        <f>IF(DaybyDay[[#This Row],[_Space]],DaybyDay[[#This Row],[RETPEN-Act]]/DaybyDay[[#This Row],[RETPEN-Bud]],"")</f>
        <v>#DIV/0!</v>
      </c>
      <c r="AC640" s="37" t="e">
        <f>IF(DaybyDay[[#This Row],[_Space]],DaybyDay[[#This Row],[Ret-Bud-RU]]/DaybyDay[[#This Row],[Serv-Bud-RU]],"")</f>
        <v>#DIV/0!</v>
      </c>
      <c r="AD640" s="37" t="e">
        <f>IF(DaybyDay[[#This Row],[_Space]],DaybyDay[[#This Row],[Ret-LY-RU]]/DaybyDay[[#This Row],[Serv-LY-RU]],"")</f>
        <v>#DIV/0!</v>
      </c>
      <c r="AE640" s="30">
        <f>WEEKDAY(DaybyDay[[#This Row],[LY-Date]])</f>
        <v>4</v>
      </c>
      <c r="AF640" s="38">
        <f>$E$2+_xlfn.DAYS(DaybyDay[[#This Row],[Date]],minDate)</f>
        <v>43005</v>
      </c>
      <c r="AG640" s="39" cm="1">
        <f t="array" ref="AG640">IFERROR(INDEX(DaybyDay[],DaybyDay[[#This Row],[FORM_MATCH_HELPER]],8),"")</f>
        <v>19</v>
      </c>
      <c r="AH640" s="39" cm="1">
        <f t="array" ref="AH640">IFERROR(INDEX(DaybyDay[],DaybyDay[[#This Row],[FORM_MATCH_HELPER]],10),"")</f>
        <v>4103.7</v>
      </c>
      <c r="AI640" s="39" cm="1">
        <f t="array" ref="AI640">IFERROR(INDEX(DaybyDay[],DaybyDay[[#This Row],[FORM_MATCH_HELPER]],12),"")</f>
        <v>178</v>
      </c>
      <c r="AJ640" s="32">
        <f>IFERROR(DaybyDay[[#This Row],[Serv-LY-RU]]+DaybyDay[[#This Row],[Ret-LY-RU]],"")</f>
        <v>0</v>
      </c>
      <c r="AK6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0" s="77"/>
      <c r="AM640" s="40" t="str">
        <f>IF(DaybyDay[[#This Row],[Admin Hours]]&gt;0,DaybyDay[[#This Row],[Admin Hours]]*$AM$2+$AM$3,"")</f>
        <v/>
      </c>
      <c r="AN640" s="40">
        <f>SUMIFS(DaybyDay[Est-Admin-Payroll],DaybyDay[Date],"&gt;="&amp;$C$5,DaybyDay[RowYear],"&gt;="&amp;$C$4,DaybyDay[Date],"&lt;="&amp;DaybyDay[[#This Row],[Date]])</f>
        <v>0</v>
      </c>
      <c r="AO640" s="41" t="str">
        <f>IF(AND(DaybyDay[[#This Row],[_Space]],ISNUMBER(DaybyDay[[#This Row],[Admin Hours]])),DaybyDay[[#This Row],[Est-Admin-Payroll]]/(DaybyDay[[#This Row],[Service-Actuals]]+DaybyDay[[#This Row],[Retail-Actuals]]),"")</f>
        <v/>
      </c>
      <c r="AP640" s="41" t="e">
        <f>DaybyDay[[#This Row],[Estimated-Payroll-Rollup]]/DaybyDay[[#This Row],[Simple-Forecast]]</f>
        <v>#DIV/0!</v>
      </c>
      <c r="AQ6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0" s="77"/>
      <c r="AS640" s="40" t="str">
        <f>IF(DaybyDay[[#This Row],[Retail Hours]]&gt;0,DaybyDay[[#This Row],[Retail Hours]]*$AS$2,"")</f>
        <v/>
      </c>
      <c r="AT640" s="40">
        <f>SUMIFS(DaybyDay[Est-Retail-Payroll],DaybyDay[Date],"&gt;="&amp;$C$5,DaybyDay[RowYear],"&gt;="&amp;$C$4,DaybyDay[Date],"&lt;="&amp;DaybyDay[[#This Row],[Date]])</f>
        <v>0</v>
      </c>
      <c r="AU640" s="82" t="str">
        <f>IF(AND(DaybyDay[[#This Row],[_Space]],ISNUMBER(DaybyDay[[#This Row],[Retail Hours]])),DaybyDay[[#This Row],[Est-Retail-Payroll]]/(DaybyDay[[#This Row],[Retail-Actuals]]),"")</f>
        <v/>
      </c>
      <c r="AV640" s="82" t="e">
        <f>DaybyDay[[#This Row],[Est-Retail-PayrollRU]]/DaybyDay[[#This Row],[Simple-Forecast-Retail]]</f>
        <v>#DIV/0!</v>
      </c>
      <c r="AW640" s="8"/>
    </row>
    <row r="641" spans="3:49" hidden="1" x14ac:dyDescent="0.25">
      <c r="C641" s="26" t="str">
        <f>Tools!$C$1</f>
        <v>Example</v>
      </c>
      <c r="D641" s="27" t="s">
        <v>76</v>
      </c>
      <c r="E641" s="28">
        <v>2018</v>
      </c>
      <c r="F641" s="28">
        <f>MATCH(DaybyDay[[#This Row],[RowMonth]],Table3[SummaryMonth],0)</f>
        <v>9</v>
      </c>
      <c r="G641" s="29">
        <f>MATCH(DaybyDay[[#This Row],[LY-Date]],DaybyDay[Date],0)</f>
        <v>271</v>
      </c>
      <c r="H641" s="30">
        <f>WEEKDAY(DaybyDay[[#This Row],[Date]])</f>
        <v>5</v>
      </c>
      <c r="I641" s="31">
        <v>43370</v>
      </c>
      <c r="J641" s="74">
        <v>12</v>
      </c>
      <c r="K641" s="32">
        <f>SUMIFS(BudgetSeasonality[365 Seasonality],BudgetSeasonality[MonthAdjustment],DaybyDay[[#This Row],[Date]])*SUMIFS(Budgets[Service-Budget],Budgets[BudgetMonth],DaybyDay[[#This Row],[RowMonth]],Budgets[BudgetYear],DaybyDay[[#This Row],[RowYear]])</f>
        <v>4373.1865749257986</v>
      </c>
      <c r="L641" s="75">
        <v>2905</v>
      </c>
      <c r="M641" s="32">
        <f>INDEX(BudgetSeasonality[365 Seasonality],MATCH(DaybyDay[[#This Row],[Date]],BudgetSeasonality[MonthAdjustment],0))*SUMIFS(Budgets[Retail-Budget],Budgets[BudgetMonth],DaybyDay[[#This Row],[RowMonth]],Budgets[BudgetYear],DaybyDay[[#This Row],[RowYear]])</f>
        <v>1222.8082335305955</v>
      </c>
      <c r="N641" s="75">
        <v>455</v>
      </c>
      <c r="O641" s="33">
        <f>SUMIFS(DaybyDay[Service-Budgets],DaybyDay[Date],"&gt;="&amp;$C$5,DaybyDay[RowYear],"&gt;="&amp;$C$4,DaybyDay[Date],"&lt;="&amp;DaybyDay[[#This Row],[Date]])</f>
        <v>0</v>
      </c>
      <c r="P641" s="33">
        <f>SUMIFS(DaybyDay[Retail-Budgets],DaybyDay[Date],"&gt;="&amp;$C$5,DaybyDay[RowYear],"&gt;="&amp;$C$4,DaybyDay[Date],"&lt;="&amp;DaybyDay[[#This Row],[Date]])</f>
        <v>0</v>
      </c>
      <c r="Q641" s="34">
        <f>SUMIFS(DaybyDay[Service-Actuals],DaybyDay[Date],"&gt;="&amp;$C$5,DaybyDay[RowYear],"&gt;="&amp;$C$4,DaybyDay[Date],"&lt;="&amp;DaybyDay[[#This Row],[Date]])</f>
        <v>0</v>
      </c>
      <c r="R641" s="34">
        <f>SUMIFS(DaybyDay[Retail-Actuals],DaybyDay[Date],"&gt;="&amp;$C$5,DaybyDay[RowYear],"&gt;="&amp;$C$4,DaybyDay[Date],"&lt;="&amp;DaybyDay[[#This Row],[Date]])</f>
        <v>0</v>
      </c>
      <c r="S641" s="35">
        <f>SUMIFS(DaybyDay[Service-LY],DaybyDay[Date],"&gt;="&amp;$C$5,DaybyDay[RowYear],"&gt;="&amp;$C$4,DaybyDay[Date],"&lt;="&amp;DaybyDay[[#This Row],[Date]])</f>
        <v>0</v>
      </c>
      <c r="T641" s="35">
        <f>SUMIFS(DaybyDay[Retail-LY],DaybyDay[Date],"&gt;="&amp;$C$5,DaybyDay[RowYear],"&gt;="&amp;$C$4,DaybyDay[Date],"&lt;="&amp;DaybyDay[[#This Row],[Date]])</f>
        <v>0</v>
      </c>
      <c r="U641" s="32">
        <f>DaybyDay[[#This Row],[Serv-Bud-RU]]+DaybyDay[[#This Row],[Ret-Bud-RU]]</f>
        <v>0</v>
      </c>
      <c r="V641" s="32">
        <f>DaybyDay[[#This Row],[Serv-Act-RU]]+DaybyDay[[#This Row],[Ret-Act-RU]]</f>
        <v>0</v>
      </c>
      <c r="W641" s="36">
        <f>IF(DaybyDay[[#This Row],[_Space]],IFERROR(
((DaybyDay[[#This Row],[Actual-Rollup]]-DaybyDay[[#This Row],[Budget-Rollup]])/DaybyDay[[#This Row],[Budget-Rollup]]),0),"")</f>
        <v>0</v>
      </c>
      <c r="X641" t="b">
        <f>NOT(AND(ISBLANK(DaybyDay[[#This Row],[Appts]]),ISBLANK(DaybyDay[[#This Row],[Service-Actuals]]),ISBLANK(DaybyDay[[#This Row],[Retail-Actuals]])))</f>
        <v>1</v>
      </c>
      <c r="Y641" s="36">
        <f>IF(DaybyDay[[#This Row],[_Space]],IFERROR(
((DaybyDay[[#This Row],[Actual-Rollup]]-DaybyDay[[#This Row],[LY-Rollup]])/DaybyDay[[#This Row],[LY-Rollup]]),0),"")</f>
        <v>0</v>
      </c>
      <c r="Z641"/>
      <c r="AA641" s="37" t="e">
        <f>IF(DaybyDay[[#This Row],[_Space]],DaybyDay[[#This Row],[Ret-Act-RU]]/DaybyDay[[#This Row],[Serv-Act-RU]],"")</f>
        <v>#DIV/0!</v>
      </c>
      <c r="AB641" s="50" t="e">
        <f>IF(DaybyDay[[#This Row],[_Space]],DaybyDay[[#This Row],[RETPEN-Act]]/DaybyDay[[#This Row],[RETPEN-Bud]],"")</f>
        <v>#DIV/0!</v>
      </c>
      <c r="AC641" s="37" t="e">
        <f>IF(DaybyDay[[#This Row],[_Space]],DaybyDay[[#This Row],[Ret-Bud-RU]]/DaybyDay[[#This Row],[Serv-Bud-RU]],"")</f>
        <v>#DIV/0!</v>
      </c>
      <c r="AD641" s="37" t="e">
        <f>IF(DaybyDay[[#This Row],[_Space]],DaybyDay[[#This Row],[Ret-LY-RU]]/DaybyDay[[#This Row],[Serv-LY-RU]],"")</f>
        <v>#DIV/0!</v>
      </c>
      <c r="AE641" s="30">
        <f>WEEKDAY(DaybyDay[[#This Row],[LY-Date]])</f>
        <v>5</v>
      </c>
      <c r="AF641" s="38">
        <f>$E$2+_xlfn.DAYS(DaybyDay[[#This Row],[Date]],minDate)</f>
        <v>43006</v>
      </c>
      <c r="AG641" s="39" cm="1">
        <f t="array" ref="AG641">IFERROR(INDEX(DaybyDay[],DaybyDay[[#This Row],[FORM_MATCH_HELPER]],8),"")</f>
        <v>19</v>
      </c>
      <c r="AH641" s="39" cm="1">
        <f t="array" ref="AH641">IFERROR(INDEX(DaybyDay[],DaybyDay[[#This Row],[FORM_MATCH_HELPER]],10),"")</f>
        <v>4216.2</v>
      </c>
      <c r="AI641" s="39" cm="1">
        <f t="array" ref="AI641">IFERROR(INDEX(DaybyDay[],DaybyDay[[#This Row],[FORM_MATCH_HELPER]],12),"")</f>
        <v>3186</v>
      </c>
      <c r="AJ641" s="32">
        <f>IFERROR(DaybyDay[[#This Row],[Serv-LY-RU]]+DaybyDay[[#This Row],[Ret-LY-RU]],"")</f>
        <v>0</v>
      </c>
      <c r="AK6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1" s="77"/>
      <c r="AM641" s="40" t="str">
        <f>IF(DaybyDay[[#This Row],[Admin Hours]]&gt;0,DaybyDay[[#This Row],[Admin Hours]]*$AM$2+$AM$3,"")</f>
        <v/>
      </c>
      <c r="AN641" s="40">
        <f>SUMIFS(DaybyDay[Est-Admin-Payroll],DaybyDay[Date],"&gt;="&amp;$C$5,DaybyDay[RowYear],"&gt;="&amp;$C$4,DaybyDay[Date],"&lt;="&amp;DaybyDay[[#This Row],[Date]])</f>
        <v>0</v>
      </c>
      <c r="AO641" s="41" t="str">
        <f>IF(AND(DaybyDay[[#This Row],[_Space]],ISNUMBER(DaybyDay[[#This Row],[Admin Hours]])),DaybyDay[[#This Row],[Est-Admin-Payroll]]/(DaybyDay[[#This Row],[Service-Actuals]]+DaybyDay[[#This Row],[Retail-Actuals]]),"")</f>
        <v/>
      </c>
      <c r="AP641" s="41" t="e">
        <f>DaybyDay[[#This Row],[Estimated-Payroll-Rollup]]/DaybyDay[[#This Row],[Simple-Forecast]]</f>
        <v>#DIV/0!</v>
      </c>
      <c r="AQ6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1" s="77"/>
      <c r="AS641" s="40" t="str">
        <f>IF(DaybyDay[[#This Row],[Retail Hours]]&gt;0,DaybyDay[[#This Row],[Retail Hours]]*$AS$2,"")</f>
        <v/>
      </c>
      <c r="AT641" s="40">
        <f>SUMIFS(DaybyDay[Est-Retail-Payroll],DaybyDay[Date],"&gt;="&amp;$C$5,DaybyDay[RowYear],"&gt;="&amp;$C$4,DaybyDay[Date],"&lt;="&amp;DaybyDay[[#This Row],[Date]])</f>
        <v>0</v>
      </c>
      <c r="AU641" s="82" t="str">
        <f>IF(AND(DaybyDay[[#This Row],[_Space]],ISNUMBER(DaybyDay[[#This Row],[Retail Hours]])),DaybyDay[[#This Row],[Est-Retail-Payroll]]/(DaybyDay[[#This Row],[Retail-Actuals]]),"")</f>
        <v/>
      </c>
      <c r="AV641" s="82" t="e">
        <f>DaybyDay[[#This Row],[Est-Retail-PayrollRU]]/DaybyDay[[#This Row],[Simple-Forecast-Retail]]</f>
        <v>#DIV/0!</v>
      </c>
      <c r="AW641" s="8"/>
    </row>
    <row r="642" spans="3:49" hidden="1" x14ac:dyDescent="0.25">
      <c r="C642" s="26" t="str">
        <f>Tools!$C$1</f>
        <v>Example</v>
      </c>
      <c r="D642" s="27" t="s">
        <v>76</v>
      </c>
      <c r="E642" s="28">
        <v>2018</v>
      </c>
      <c r="F642" s="28">
        <f>MATCH(DaybyDay[[#This Row],[RowMonth]],Table3[SummaryMonth],0)</f>
        <v>9</v>
      </c>
      <c r="G642" s="29">
        <f>MATCH(DaybyDay[[#This Row],[LY-Date]],DaybyDay[Date],0)</f>
        <v>272</v>
      </c>
      <c r="H642" s="30">
        <f>WEEKDAY(DaybyDay[[#This Row],[Date]])</f>
        <v>6</v>
      </c>
      <c r="I642" s="31">
        <v>43371</v>
      </c>
      <c r="J642" s="74">
        <v>26</v>
      </c>
      <c r="K642" s="32">
        <f>SUMIFS(BudgetSeasonality[365 Seasonality],BudgetSeasonality[MonthAdjustment],DaybyDay[[#This Row],[Date]])*SUMIFS(Budgets[Service-Budget],Budgets[BudgetMonth],DaybyDay[[#This Row],[RowMonth]],Budgets[BudgetYear],DaybyDay[[#This Row],[RowYear]])</f>
        <v>5671.5107742645969</v>
      </c>
      <c r="L642" s="75">
        <v>6030.65</v>
      </c>
      <c r="M642" s="32">
        <f>INDEX(BudgetSeasonality[365 Seasonality],MATCH(DaybyDay[[#This Row],[Date]],BudgetSeasonality[MonthAdjustment],0))*SUMIFS(Budgets[Retail-Budget],Budgets[BudgetMonth],DaybyDay[[#This Row],[RowMonth]],Budgets[BudgetYear],DaybyDay[[#This Row],[RowYear]])</f>
        <v>1585.839056374105</v>
      </c>
      <c r="N642" s="75">
        <v>1229.0999999999999</v>
      </c>
      <c r="O642" s="33">
        <f>SUMIFS(DaybyDay[Service-Budgets],DaybyDay[Date],"&gt;="&amp;$C$5,DaybyDay[RowYear],"&gt;="&amp;$C$4,DaybyDay[Date],"&lt;="&amp;DaybyDay[[#This Row],[Date]])</f>
        <v>0</v>
      </c>
      <c r="P642" s="33">
        <f>SUMIFS(DaybyDay[Retail-Budgets],DaybyDay[Date],"&gt;="&amp;$C$5,DaybyDay[RowYear],"&gt;="&amp;$C$4,DaybyDay[Date],"&lt;="&amp;DaybyDay[[#This Row],[Date]])</f>
        <v>0</v>
      </c>
      <c r="Q642" s="34">
        <f>SUMIFS(DaybyDay[Service-Actuals],DaybyDay[Date],"&gt;="&amp;$C$5,DaybyDay[RowYear],"&gt;="&amp;$C$4,DaybyDay[Date],"&lt;="&amp;DaybyDay[[#This Row],[Date]])</f>
        <v>0</v>
      </c>
      <c r="R642" s="34">
        <f>SUMIFS(DaybyDay[Retail-Actuals],DaybyDay[Date],"&gt;="&amp;$C$5,DaybyDay[RowYear],"&gt;="&amp;$C$4,DaybyDay[Date],"&lt;="&amp;DaybyDay[[#This Row],[Date]])</f>
        <v>0</v>
      </c>
      <c r="S642" s="35">
        <f>SUMIFS(DaybyDay[Service-LY],DaybyDay[Date],"&gt;="&amp;$C$5,DaybyDay[RowYear],"&gt;="&amp;$C$4,DaybyDay[Date],"&lt;="&amp;DaybyDay[[#This Row],[Date]])</f>
        <v>0</v>
      </c>
      <c r="T642" s="35">
        <f>SUMIFS(DaybyDay[Retail-LY],DaybyDay[Date],"&gt;="&amp;$C$5,DaybyDay[RowYear],"&gt;="&amp;$C$4,DaybyDay[Date],"&lt;="&amp;DaybyDay[[#This Row],[Date]])</f>
        <v>0</v>
      </c>
      <c r="U642" s="32">
        <f>DaybyDay[[#This Row],[Serv-Bud-RU]]+DaybyDay[[#This Row],[Ret-Bud-RU]]</f>
        <v>0</v>
      </c>
      <c r="V642" s="32">
        <f>DaybyDay[[#This Row],[Serv-Act-RU]]+DaybyDay[[#This Row],[Ret-Act-RU]]</f>
        <v>0</v>
      </c>
      <c r="W642" s="36">
        <f>IF(DaybyDay[[#This Row],[_Space]],IFERROR(
((DaybyDay[[#This Row],[Actual-Rollup]]-DaybyDay[[#This Row],[Budget-Rollup]])/DaybyDay[[#This Row],[Budget-Rollup]]),0),"")</f>
        <v>0</v>
      </c>
      <c r="X642" t="b">
        <f>NOT(AND(ISBLANK(DaybyDay[[#This Row],[Appts]]),ISBLANK(DaybyDay[[#This Row],[Service-Actuals]]),ISBLANK(DaybyDay[[#This Row],[Retail-Actuals]])))</f>
        <v>1</v>
      </c>
      <c r="Y642" s="36">
        <f>IF(DaybyDay[[#This Row],[_Space]],IFERROR(
((DaybyDay[[#This Row],[Actual-Rollup]]-DaybyDay[[#This Row],[LY-Rollup]])/DaybyDay[[#This Row],[LY-Rollup]]),0),"")</f>
        <v>0</v>
      </c>
      <c r="Z642"/>
      <c r="AA642" s="37" t="e">
        <f>IF(DaybyDay[[#This Row],[_Space]],DaybyDay[[#This Row],[Ret-Act-RU]]/DaybyDay[[#This Row],[Serv-Act-RU]],"")</f>
        <v>#DIV/0!</v>
      </c>
      <c r="AB642" s="50" t="e">
        <f>IF(DaybyDay[[#This Row],[_Space]],DaybyDay[[#This Row],[RETPEN-Act]]/DaybyDay[[#This Row],[RETPEN-Bud]],"")</f>
        <v>#DIV/0!</v>
      </c>
      <c r="AC642" s="37" t="e">
        <f>IF(DaybyDay[[#This Row],[_Space]],DaybyDay[[#This Row],[Ret-Bud-RU]]/DaybyDay[[#This Row],[Serv-Bud-RU]],"")</f>
        <v>#DIV/0!</v>
      </c>
      <c r="AD642" s="37" t="e">
        <f>IF(DaybyDay[[#This Row],[_Space]],DaybyDay[[#This Row],[Ret-LY-RU]]/DaybyDay[[#This Row],[Serv-LY-RU]],"")</f>
        <v>#DIV/0!</v>
      </c>
      <c r="AE642" s="30">
        <f>WEEKDAY(DaybyDay[[#This Row],[LY-Date]])</f>
        <v>6</v>
      </c>
      <c r="AF642" s="38">
        <f>$E$2+_xlfn.DAYS(DaybyDay[[#This Row],[Date]],minDate)</f>
        <v>43007</v>
      </c>
      <c r="AG642" s="39" cm="1">
        <f t="array" ref="AG642">IFERROR(INDEX(DaybyDay[],DaybyDay[[#This Row],[FORM_MATCH_HELPER]],8),"")</f>
        <v>25</v>
      </c>
      <c r="AH642" s="39" cm="1">
        <f t="array" ref="AH642">IFERROR(INDEX(DaybyDay[],DaybyDay[[#This Row],[FORM_MATCH_HELPER]],10),"")</f>
        <v>4644.2</v>
      </c>
      <c r="AI642" s="39" cm="1">
        <f t="array" ref="AI642">IFERROR(INDEX(DaybyDay[],DaybyDay[[#This Row],[FORM_MATCH_HELPER]],12),"")</f>
        <v>249</v>
      </c>
      <c r="AJ642" s="32">
        <f>IFERROR(DaybyDay[[#This Row],[Serv-LY-RU]]+DaybyDay[[#This Row],[Ret-LY-RU]],"")</f>
        <v>0</v>
      </c>
      <c r="AK6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2" s="77"/>
      <c r="AM642" s="40" t="str">
        <f>IF(DaybyDay[[#This Row],[Admin Hours]]&gt;0,DaybyDay[[#This Row],[Admin Hours]]*$AM$2+$AM$3,"")</f>
        <v/>
      </c>
      <c r="AN642" s="40">
        <f>SUMIFS(DaybyDay[Est-Admin-Payroll],DaybyDay[Date],"&gt;="&amp;$C$5,DaybyDay[RowYear],"&gt;="&amp;$C$4,DaybyDay[Date],"&lt;="&amp;DaybyDay[[#This Row],[Date]])</f>
        <v>0</v>
      </c>
      <c r="AO642" s="41" t="str">
        <f>IF(AND(DaybyDay[[#This Row],[_Space]],ISNUMBER(DaybyDay[[#This Row],[Admin Hours]])),DaybyDay[[#This Row],[Est-Admin-Payroll]]/(DaybyDay[[#This Row],[Service-Actuals]]+DaybyDay[[#This Row],[Retail-Actuals]]),"")</f>
        <v/>
      </c>
      <c r="AP642" s="41" t="e">
        <f>DaybyDay[[#This Row],[Estimated-Payroll-Rollup]]/DaybyDay[[#This Row],[Simple-Forecast]]</f>
        <v>#DIV/0!</v>
      </c>
      <c r="AQ6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2" s="77"/>
      <c r="AS642" s="40" t="str">
        <f>IF(DaybyDay[[#This Row],[Retail Hours]]&gt;0,DaybyDay[[#This Row],[Retail Hours]]*$AS$2,"")</f>
        <v/>
      </c>
      <c r="AT642" s="40">
        <f>SUMIFS(DaybyDay[Est-Retail-Payroll],DaybyDay[Date],"&gt;="&amp;$C$5,DaybyDay[RowYear],"&gt;="&amp;$C$4,DaybyDay[Date],"&lt;="&amp;DaybyDay[[#This Row],[Date]])</f>
        <v>0</v>
      </c>
      <c r="AU642" s="82" t="str">
        <f>IF(AND(DaybyDay[[#This Row],[_Space]],ISNUMBER(DaybyDay[[#This Row],[Retail Hours]])),DaybyDay[[#This Row],[Est-Retail-Payroll]]/(DaybyDay[[#This Row],[Retail-Actuals]]),"")</f>
        <v/>
      </c>
      <c r="AV642" s="82" t="e">
        <f>DaybyDay[[#This Row],[Est-Retail-PayrollRU]]/DaybyDay[[#This Row],[Simple-Forecast-Retail]]</f>
        <v>#DIV/0!</v>
      </c>
      <c r="AW642" s="8"/>
    </row>
    <row r="643" spans="3:49" hidden="1" x14ac:dyDescent="0.25">
      <c r="C643" s="26" t="str">
        <f>Tools!$C$1</f>
        <v>Example</v>
      </c>
      <c r="D643" s="27" t="s">
        <v>76</v>
      </c>
      <c r="E643" s="28">
        <v>2018</v>
      </c>
      <c r="F643" s="28">
        <f>MATCH(DaybyDay[[#This Row],[RowMonth]],Table3[SummaryMonth],0)</f>
        <v>9</v>
      </c>
      <c r="G643" s="29">
        <f>MATCH(DaybyDay[[#This Row],[LY-Date]],DaybyDay[Date],0)</f>
        <v>273</v>
      </c>
      <c r="H643" s="30">
        <f>WEEKDAY(DaybyDay[[#This Row],[Date]])</f>
        <v>7</v>
      </c>
      <c r="I643" s="31">
        <v>43372</v>
      </c>
      <c r="J643" s="74">
        <v>27</v>
      </c>
      <c r="K643" s="32">
        <f>SUMIFS(BudgetSeasonality[365 Seasonality],BudgetSeasonality[MonthAdjustment],DaybyDay[[#This Row],[Date]])*SUMIFS(Budgets[Service-Budget],Budgets[BudgetMonth],DaybyDay[[#This Row],[RowMonth]],Budgets[BudgetYear],DaybyDay[[#This Row],[RowYear]])</f>
        <v>8386.9535035307417</v>
      </c>
      <c r="L643" s="75">
        <v>6811</v>
      </c>
      <c r="M643" s="32">
        <f>INDEX(BudgetSeasonality[365 Seasonality],MATCH(DaybyDay[[#This Row],[Date]],BudgetSeasonality[MonthAdjustment],0))*SUMIFS(Budgets[Retail-Budget],Budgets[BudgetMonth],DaybyDay[[#This Row],[RowMonth]],Budgets[BudgetYear],DaybyDay[[#This Row],[RowYear]])</f>
        <v>2345.1173698276698</v>
      </c>
      <c r="N643" s="75">
        <v>253</v>
      </c>
      <c r="O643" s="33">
        <f>SUMIFS(DaybyDay[Service-Budgets],DaybyDay[Date],"&gt;="&amp;$C$5,DaybyDay[RowYear],"&gt;="&amp;$C$4,DaybyDay[Date],"&lt;="&amp;DaybyDay[[#This Row],[Date]])</f>
        <v>0</v>
      </c>
      <c r="P643" s="33">
        <f>SUMIFS(DaybyDay[Retail-Budgets],DaybyDay[Date],"&gt;="&amp;$C$5,DaybyDay[RowYear],"&gt;="&amp;$C$4,DaybyDay[Date],"&lt;="&amp;DaybyDay[[#This Row],[Date]])</f>
        <v>0</v>
      </c>
      <c r="Q643" s="34">
        <f>SUMIFS(DaybyDay[Service-Actuals],DaybyDay[Date],"&gt;="&amp;$C$5,DaybyDay[RowYear],"&gt;="&amp;$C$4,DaybyDay[Date],"&lt;="&amp;DaybyDay[[#This Row],[Date]])</f>
        <v>0</v>
      </c>
      <c r="R643" s="34">
        <f>SUMIFS(DaybyDay[Retail-Actuals],DaybyDay[Date],"&gt;="&amp;$C$5,DaybyDay[RowYear],"&gt;="&amp;$C$4,DaybyDay[Date],"&lt;="&amp;DaybyDay[[#This Row],[Date]])</f>
        <v>0</v>
      </c>
      <c r="S643" s="35">
        <f>SUMIFS(DaybyDay[Service-LY],DaybyDay[Date],"&gt;="&amp;$C$5,DaybyDay[RowYear],"&gt;="&amp;$C$4,DaybyDay[Date],"&lt;="&amp;DaybyDay[[#This Row],[Date]])</f>
        <v>0</v>
      </c>
      <c r="T643" s="35">
        <f>SUMIFS(DaybyDay[Retail-LY],DaybyDay[Date],"&gt;="&amp;$C$5,DaybyDay[RowYear],"&gt;="&amp;$C$4,DaybyDay[Date],"&lt;="&amp;DaybyDay[[#This Row],[Date]])</f>
        <v>0</v>
      </c>
      <c r="U643" s="32">
        <f>DaybyDay[[#This Row],[Serv-Bud-RU]]+DaybyDay[[#This Row],[Ret-Bud-RU]]</f>
        <v>0</v>
      </c>
      <c r="V643" s="32">
        <f>DaybyDay[[#This Row],[Serv-Act-RU]]+DaybyDay[[#This Row],[Ret-Act-RU]]</f>
        <v>0</v>
      </c>
      <c r="W643" s="36">
        <f>IF(DaybyDay[[#This Row],[_Space]],IFERROR(
((DaybyDay[[#This Row],[Actual-Rollup]]-DaybyDay[[#This Row],[Budget-Rollup]])/DaybyDay[[#This Row],[Budget-Rollup]]),0),"")</f>
        <v>0</v>
      </c>
      <c r="X643" t="b">
        <f>NOT(AND(ISBLANK(DaybyDay[[#This Row],[Appts]]),ISBLANK(DaybyDay[[#This Row],[Service-Actuals]]),ISBLANK(DaybyDay[[#This Row],[Retail-Actuals]])))</f>
        <v>1</v>
      </c>
      <c r="Y643" s="36">
        <f>IF(DaybyDay[[#This Row],[_Space]],IFERROR(
((DaybyDay[[#This Row],[Actual-Rollup]]-DaybyDay[[#This Row],[LY-Rollup]])/DaybyDay[[#This Row],[LY-Rollup]]),0),"")</f>
        <v>0</v>
      </c>
      <c r="Z643"/>
      <c r="AA643" s="37" t="e">
        <f>IF(DaybyDay[[#This Row],[_Space]],DaybyDay[[#This Row],[Ret-Act-RU]]/DaybyDay[[#This Row],[Serv-Act-RU]],"")</f>
        <v>#DIV/0!</v>
      </c>
      <c r="AB643" s="50" t="e">
        <f>IF(DaybyDay[[#This Row],[_Space]],DaybyDay[[#This Row],[RETPEN-Act]]/DaybyDay[[#This Row],[RETPEN-Bud]],"")</f>
        <v>#DIV/0!</v>
      </c>
      <c r="AC643" s="37" t="e">
        <f>IF(DaybyDay[[#This Row],[_Space]],DaybyDay[[#This Row],[Ret-Bud-RU]]/DaybyDay[[#This Row],[Serv-Bud-RU]],"")</f>
        <v>#DIV/0!</v>
      </c>
      <c r="AD643" s="37" t="e">
        <f>IF(DaybyDay[[#This Row],[_Space]],DaybyDay[[#This Row],[Ret-LY-RU]]/DaybyDay[[#This Row],[Serv-LY-RU]],"")</f>
        <v>#DIV/0!</v>
      </c>
      <c r="AE643" s="30">
        <f>WEEKDAY(DaybyDay[[#This Row],[LY-Date]])</f>
        <v>7</v>
      </c>
      <c r="AF643" s="38">
        <f>$E$2+_xlfn.DAYS(DaybyDay[[#This Row],[Date]],minDate)</f>
        <v>43008</v>
      </c>
      <c r="AG643" s="39" cm="1">
        <f t="array" ref="AG643">IFERROR(INDEX(DaybyDay[],DaybyDay[[#This Row],[FORM_MATCH_HELPER]],8),"")</f>
        <v>29</v>
      </c>
      <c r="AH643" s="39" cm="1">
        <f t="array" ref="AH643">IFERROR(INDEX(DaybyDay[],DaybyDay[[#This Row],[FORM_MATCH_HELPER]],10),"")</f>
        <v>7238</v>
      </c>
      <c r="AI643" s="39" cm="1">
        <f t="array" ref="AI643">IFERROR(INDEX(DaybyDay[],DaybyDay[[#This Row],[FORM_MATCH_HELPER]],12),"")</f>
        <v>200</v>
      </c>
      <c r="AJ643" s="32">
        <f>IFERROR(DaybyDay[[#This Row],[Serv-LY-RU]]+DaybyDay[[#This Row],[Ret-LY-RU]],"")</f>
        <v>0</v>
      </c>
      <c r="AK6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3" s="77"/>
      <c r="AM643" s="40" t="str">
        <f>IF(DaybyDay[[#This Row],[Admin Hours]]&gt;0,DaybyDay[[#This Row],[Admin Hours]]*$AM$2+$AM$3,"")</f>
        <v/>
      </c>
      <c r="AN643" s="40">
        <f>SUMIFS(DaybyDay[Est-Admin-Payroll],DaybyDay[Date],"&gt;="&amp;$C$5,DaybyDay[RowYear],"&gt;="&amp;$C$4,DaybyDay[Date],"&lt;="&amp;DaybyDay[[#This Row],[Date]])</f>
        <v>0</v>
      </c>
      <c r="AO643" s="41" t="str">
        <f>IF(AND(DaybyDay[[#This Row],[_Space]],ISNUMBER(DaybyDay[[#This Row],[Admin Hours]])),DaybyDay[[#This Row],[Est-Admin-Payroll]]/(DaybyDay[[#This Row],[Service-Actuals]]+DaybyDay[[#This Row],[Retail-Actuals]]),"")</f>
        <v/>
      </c>
      <c r="AP643" s="41" t="e">
        <f>DaybyDay[[#This Row],[Estimated-Payroll-Rollup]]/DaybyDay[[#This Row],[Simple-Forecast]]</f>
        <v>#DIV/0!</v>
      </c>
      <c r="AQ6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3" s="77"/>
      <c r="AS643" s="40" t="str">
        <f>IF(DaybyDay[[#This Row],[Retail Hours]]&gt;0,DaybyDay[[#This Row],[Retail Hours]]*$AS$2,"")</f>
        <v/>
      </c>
      <c r="AT643" s="40">
        <f>SUMIFS(DaybyDay[Est-Retail-Payroll],DaybyDay[Date],"&gt;="&amp;$C$5,DaybyDay[RowYear],"&gt;="&amp;$C$4,DaybyDay[Date],"&lt;="&amp;DaybyDay[[#This Row],[Date]])</f>
        <v>0</v>
      </c>
      <c r="AU643" s="82" t="str">
        <f>IF(AND(DaybyDay[[#This Row],[_Space]],ISNUMBER(DaybyDay[[#This Row],[Retail Hours]])),DaybyDay[[#This Row],[Est-Retail-Payroll]]/(DaybyDay[[#This Row],[Retail-Actuals]]),"")</f>
        <v/>
      </c>
      <c r="AV643" s="82" t="e">
        <f>DaybyDay[[#This Row],[Est-Retail-PayrollRU]]/DaybyDay[[#This Row],[Simple-Forecast-Retail]]</f>
        <v>#DIV/0!</v>
      </c>
      <c r="AW643" s="8"/>
    </row>
    <row r="644" spans="3:49" hidden="1" x14ac:dyDescent="0.25">
      <c r="C644" s="26" t="str">
        <f>Tools!$C$1</f>
        <v>Example</v>
      </c>
      <c r="D644" s="27" t="s">
        <v>76</v>
      </c>
      <c r="E644" s="28">
        <v>2018</v>
      </c>
      <c r="F644" s="28">
        <f>MATCH(DaybyDay[[#This Row],[RowMonth]],Table3[SummaryMonth],0)</f>
        <v>9</v>
      </c>
      <c r="G644" s="29">
        <f>MATCH(DaybyDay[[#This Row],[LY-Date]],DaybyDay[Date],0)</f>
        <v>274</v>
      </c>
      <c r="H644" s="30">
        <f>WEEKDAY(DaybyDay[[#This Row],[Date]])</f>
        <v>1</v>
      </c>
      <c r="I644" s="31">
        <v>43373</v>
      </c>
      <c r="J644" s="74">
        <v>15</v>
      </c>
      <c r="K644" s="32">
        <f>SUMIFS(BudgetSeasonality[365 Seasonality],BudgetSeasonality[MonthAdjustment],DaybyDay[[#This Row],[Date]])*SUMIFS(Budgets[Service-Budget],Budgets[BudgetMonth],DaybyDay[[#This Row],[RowMonth]],Budgets[BudgetYear],DaybyDay[[#This Row],[RowYear]])</f>
        <v>6447.0865661392781</v>
      </c>
      <c r="L644" s="75">
        <v>2890.5</v>
      </c>
      <c r="M644" s="32">
        <f>INDEX(BudgetSeasonality[365 Seasonality],MATCH(DaybyDay[[#This Row],[Date]],BudgetSeasonality[MonthAdjustment],0))*SUMIFS(Budgets[Retail-Budget],Budgets[BudgetMonth],DaybyDay[[#This Row],[RowMonth]],Budgets[BudgetYear],DaybyDay[[#This Row],[RowYear]])</f>
        <v>1802.7016227848378</v>
      </c>
      <c r="N644" s="75">
        <v>871.5</v>
      </c>
      <c r="O644" s="33">
        <f>SUMIFS(DaybyDay[Service-Budgets],DaybyDay[Date],"&gt;="&amp;$C$5,DaybyDay[RowYear],"&gt;="&amp;$C$4,DaybyDay[Date],"&lt;="&amp;DaybyDay[[#This Row],[Date]])</f>
        <v>0</v>
      </c>
      <c r="P644" s="33">
        <f>SUMIFS(DaybyDay[Retail-Budgets],DaybyDay[Date],"&gt;="&amp;$C$5,DaybyDay[RowYear],"&gt;="&amp;$C$4,DaybyDay[Date],"&lt;="&amp;DaybyDay[[#This Row],[Date]])</f>
        <v>0</v>
      </c>
      <c r="Q644" s="34">
        <f>SUMIFS(DaybyDay[Service-Actuals],DaybyDay[Date],"&gt;="&amp;$C$5,DaybyDay[RowYear],"&gt;="&amp;$C$4,DaybyDay[Date],"&lt;="&amp;DaybyDay[[#This Row],[Date]])</f>
        <v>0</v>
      </c>
      <c r="R644" s="34">
        <f>SUMIFS(DaybyDay[Retail-Actuals],DaybyDay[Date],"&gt;="&amp;$C$5,DaybyDay[RowYear],"&gt;="&amp;$C$4,DaybyDay[Date],"&lt;="&amp;DaybyDay[[#This Row],[Date]])</f>
        <v>0</v>
      </c>
      <c r="S644" s="35">
        <f>SUMIFS(DaybyDay[Service-LY],DaybyDay[Date],"&gt;="&amp;$C$5,DaybyDay[RowYear],"&gt;="&amp;$C$4,DaybyDay[Date],"&lt;="&amp;DaybyDay[[#This Row],[Date]])</f>
        <v>0</v>
      </c>
      <c r="T644" s="35">
        <f>SUMIFS(DaybyDay[Retail-LY],DaybyDay[Date],"&gt;="&amp;$C$5,DaybyDay[RowYear],"&gt;="&amp;$C$4,DaybyDay[Date],"&lt;="&amp;DaybyDay[[#This Row],[Date]])</f>
        <v>0</v>
      </c>
      <c r="U644" s="32">
        <f>DaybyDay[[#This Row],[Serv-Bud-RU]]+DaybyDay[[#This Row],[Ret-Bud-RU]]</f>
        <v>0</v>
      </c>
      <c r="V644" s="32">
        <f>DaybyDay[[#This Row],[Serv-Act-RU]]+DaybyDay[[#This Row],[Ret-Act-RU]]</f>
        <v>0</v>
      </c>
      <c r="W644" s="36">
        <f>IF(DaybyDay[[#This Row],[_Space]],IFERROR(
((DaybyDay[[#This Row],[Actual-Rollup]]-DaybyDay[[#This Row],[Budget-Rollup]])/DaybyDay[[#This Row],[Budget-Rollup]]),0),"")</f>
        <v>0</v>
      </c>
      <c r="X644" t="b">
        <f>NOT(AND(ISBLANK(DaybyDay[[#This Row],[Appts]]),ISBLANK(DaybyDay[[#This Row],[Service-Actuals]]),ISBLANK(DaybyDay[[#This Row],[Retail-Actuals]])))</f>
        <v>1</v>
      </c>
      <c r="Y644" s="36">
        <f>IF(DaybyDay[[#This Row],[_Space]],IFERROR(
((DaybyDay[[#This Row],[Actual-Rollup]]-DaybyDay[[#This Row],[LY-Rollup]])/DaybyDay[[#This Row],[LY-Rollup]]),0),"")</f>
        <v>0</v>
      </c>
      <c r="Z644"/>
      <c r="AA644" s="37" t="e">
        <f>IF(DaybyDay[[#This Row],[_Space]],DaybyDay[[#This Row],[Ret-Act-RU]]/DaybyDay[[#This Row],[Serv-Act-RU]],"")</f>
        <v>#DIV/0!</v>
      </c>
      <c r="AB644" s="50" t="e">
        <f>IF(DaybyDay[[#This Row],[_Space]],DaybyDay[[#This Row],[RETPEN-Act]]/DaybyDay[[#This Row],[RETPEN-Bud]],"")</f>
        <v>#DIV/0!</v>
      </c>
      <c r="AC644" s="37" t="e">
        <f>IF(DaybyDay[[#This Row],[_Space]],DaybyDay[[#This Row],[Ret-Bud-RU]]/DaybyDay[[#This Row],[Serv-Bud-RU]],"")</f>
        <v>#DIV/0!</v>
      </c>
      <c r="AD644" s="37" t="e">
        <f>IF(DaybyDay[[#This Row],[_Space]],DaybyDay[[#This Row],[Ret-LY-RU]]/DaybyDay[[#This Row],[Serv-LY-RU]],"")</f>
        <v>#DIV/0!</v>
      </c>
      <c r="AE644" s="30">
        <f>WEEKDAY(DaybyDay[[#This Row],[LY-Date]])</f>
        <v>1</v>
      </c>
      <c r="AF644" s="38">
        <f>$E$2+_xlfn.DAYS(DaybyDay[[#This Row],[Date]],minDate)</f>
        <v>43009</v>
      </c>
      <c r="AG644" s="39" cm="1">
        <f t="array" ref="AG644">IFERROR(INDEX(DaybyDay[],DaybyDay[[#This Row],[FORM_MATCH_HELPER]],8),"")</f>
        <v>29</v>
      </c>
      <c r="AH644" s="39" cm="1">
        <f t="array" ref="AH644">IFERROR(INDEX(DaybyDay[],DaybyDay[[#This Row],[FORM_MATCH_HELPER]],10),"")</f>
        <v>6183.96</v>
      </c>
      <c r="AI644" s="39" cm="1">
        <f t="array" ref="AI644">IFERROR(INDEX(DaybyDay[],DaybyDay[[#This Row],[FORM_MATCH_HELPER]],12),"")</f>
        <v>400</v>
      </c>
      <c r="AJ644" s="32">
        <f>IFERROR(DaybyDay[[#This Row],[Serv-LY-RU]]+DaybyDay[[#This Row],[Ret-LY-RU]],"")</f>
        <v>0</v>
      </c>
      <c r="AK6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4" s="77"/>
      <c r="AM644" s="40" t="str">
        <f>IF(DaybyDay[[#This Row],[Admin Hours]]&gt;0,DaybyDay[[#This Row],[Admin Hours]]*$AM$2+$AM$3,"")</f>
        <v/>
      </c>
      <c r="AN644" s="40">
        <f>SUMIFS(DaybyDay[Est-Admin-Payroll],DaybyDay[Date],"&gt;="&amp;$C$5,DaybyDay[RowYear],"&gt;="&amp;$C$4,DaybyDay[Date],"&lt;="&amp;DaybyDay[[#This Row],[Date]])</f>
        <v>0</v>
      </c>
      <c r="AO644" s="41" t="str">
        <f>IF(AND(DaybyDay[[#This Row],[_Space]],ISNUMBER(DaybyDay[[#This Row],[Admin Hours]])),DaybyDay[[#This Row],[Est-Admin-Payroll]]/(DaybyDay[[#This Row],[Service-Actuals]]+DaybyDay[[#This Row],[Retail-Actuals]]),"")</f>
        <v/>
      </c>
      <c r="AP644" s="41" t="e">
        <f>DaybyDay[[#This Row],[Estimated-Payroll-Rollup]]/DaybyDay[[#This Row],[Simple-Forecast]]</f>
        <v>#DIV/0!</v>
      </c>
      <c r="AQ6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4" s="77"/>
      <c r="AS644" s="40" t="str">
        <f>IF(DaybyDay[[#This Row],[Retail Hours]]&gt;0,DaybyDay[[#This Row],[Retail Hours]]*$AS$2,"")</f>
        <v/>
      </c>
      <c r="AT644" s="40">
        <f>SUMIFS(DaybyDay[Est-Retail-Payroll],DaybyDay[Date],"&gt;="&amp;$C$5,DaybyDay[RowYear],"&gt;="&amp;$C$4,DaybyDay[Date],"&lt;="&amp;DaybyDay[[#This Row],[Date]])</f>
        <v>0</v>
      </c>
      <c r="AU644" s="82" t="str">
        <f>IF(AND(DaybyDay[[#This Row],[_Space]],ISNUMBER(DaybyDay[[#This Row],[Retail Hours]])),DaybyDay[[#This Row],[Est-Retail-Payroll]]/(DaybyDay[[#This Row],[Retail-Actuals]]),"")</f>
        <v/>
      </c>
      <c r="AV644" s="82" t="e">
        <f>DaybyDay[[#This Row],[Est-Retail-PayrollRU]]/DaybyDay[[#This Row],[Simple-Forecast-Retail]]</f>
        <v>#DIV/0!</v>
      </c>
      <c r="AW644" s="8"/>
    </row>
    <row r="645" spans="3:49" hidden="1" x14ac:dyDescent="0.25">
      <c r="C645" s="26" t="str">
        <f>Tools!$C$1</f>
        <v>Example</v>
      </c>
      <c r="D645" s="27" t="s">
        <v>76</v>
      </c>
      <c r="E645" s="28">
        <v>2018</v>
      </c>
      <c r="F645" s="28">
        <f>MATCH(DaybyDay[[#This Row],[RowMonth]],Table3[SummaryMonth],0)</f>
        <v>9</v>
      </c>
      <c r="G645" s="29">
        <f>MATCH(DaybyDay[[#This Row],[LY-Date]],DaybyDay[Date],0)</f>
        <v>275</v>
      </c>
      <c r="H645" s="30">
        <f>WEEKDAY(DaybyDay[[#This Row],[Date]])</f>
        <v>2</v>
      </c>
      <c r="I645" s="31">
        <v>43374</v>
      </c>
      <c r="J645" s="74">
        <v>10</v>
      </c>
      <c r="K645" s="32">
        <f>SUMIFS(BudgetSeasonality[365 Seasonality],BudgetSeasonality[MonthAdjustment],DaybyDay[[#This Row],[Date]])*SUMIFS(Budgets[Service-Budget],Budgets[BudgetMonth],DaybyDay[[#This Row],[RowMonth]],Budgets[BudgetYear],DaybyDay[[#This Row],[RowYear]])</f>
        <v>3601.4768738833627</v>
      </c>
      <c r="L645" s="75">
        <v>2279</v>
      </c>
      <c r="M645" s="32">
        <f>INDEX(BudgetSeasonality[365 Seasonality],MATCH(DaybyDay[[#This Row],[Date]],BudgetSeasonality[MonthAdjustment],0))*SUMIFS(Budgets[Retail-Budget],Budgets[BudgetMonth],DaybyDay[[#This Row],[RowMonth]],Budgets[BudgetYear],DaybyDay[[#This Row],[RowYear]])</f>
        <v>1007.0266838156406</v>
      </c>
      <c r="N645" s="75">
        <v>480.3</v>
      </c>
      <c r="O645" s="33">
        <f>SUMIFS(DaybyDay[Service-Budgets],DaybyDay[Date],"&gt;="&amp;$C$5,DaybyDay[RowYear],"&gt;="&amp;$C$4,DaybyDay[Date],"&lt;="&amp;DaybyDay[[#This Row],[Date]])</f>
        <v>0</v>
      </c>
      <c r="P645" s="33">
        <f>SUMIFS(DaybyDay[Retail-Budgets],DaybyDay[Date],"&gt;="&amp;$C$5,DaybyDay[RowYear],"&gt;="&amp;$C$4,DaybyDay[Date],"&lt;="&amp;DaybyDay[[#This Row],[Date]])</f>
        <v>0</v>
      </c>
      <c r="Q645" s="34">
        <f>SUMIFS(DaybyDay[Service-Actuals],DaybyDay[Date],"&gt;="&amp;$C$5,DaybyDay[RowYear],"&gt;="&amp;$C$4,DaybyDay[Date],"&lt;="&amp;DaybyDay[[#This Row],[Date]])</f>
        <v>0</v>
      </c>
      <c r="R645" s="34">
        <f>SUMIFS(DaybyDay[Retail-Actuals],DaybyDay[Date],"&gt;="&amp;$C$5,DaybyDay[RowYear],"&gt;="&amp;$C$4,DaybyDay[Date],"&lt;="&amp;DaybyDay[[#This Row],[Date]])</f>
        <v>0</v>
      </c>
      <c r="S645" s="35">
        <f>SUMIFS(DaybyDay[Service-LY],DaybyDay[Date],"&gt;="&amp;$C$5,DaybyDay[RowYear],"&gt;="&amp;$C$4,DaybyDay[Date],"&lt;="&amp;DaybyDay[[#This Row],[Date]])</f>
        <v>0</v>
      </c>
      <c r="T645" s="35">
        <f>SUMIFS(DaybyDay[Retail-LY],DaybyDay[Date],"&gt;="&amp;$C$5,DaybyDay[RowYear],"&gt;="&amp;$C$4,DaybyDay[Date],"&lt;="&amp;DaybyDay[[#This Row],[Date]])</f>
        <v>0</v>
      </c>
      <c r="U645" s="32">
        <f>DaybyDay[[#This Row],[Serv-Bud-RU]]+DaybyDay[[#This Row],[Ret-Bud-RU]]</f>
        <v>0</v>
      </c>
      <c r="V645" s="32">
        <f>DaybyDay[[#This Row],[Serv-Act-RU]]+DaybyDay[[#This Row],[Ret-Act-RU]]</f>
        <v>0</v>
      </c>
      <c r="W645" s="36">
        <f>IF(DaybyDay[[#This Row],[_Space]],IFERROR(
((DaybyDay[[#This Row],[Actual-Rollup]]-DaybyDay[[#This Row],[Budget-Rollup]])/DaybyDay[[#This Row],[Budget-Rollup]]),0),"")</f>
        <v>0</v>
      </c>
      <c r="X645" t="b">
        <f>NOT(AND(ISBLANK(DaybyDay[[#This Row],[Appts]]),ISBLANK(DaybyDay[[#This Row],[Service-Actuals]]),ISBLANK(DaybyDay[[#This Row],[Retail-Actuals]])))</f>
        <v>1</v>
      </c>
      <c r="Y645" s="36">
        <f>IF(DaybyDay[[#This Row],[_Space]],IFERROR(
((DaybyDay[[#This Row],[Actual-Rollup]]-DaybyDay[[#This Row],[LY-Rollup]])/DaybyDay[[#This Row],[LY-Rollup]]),0),"")</f>
        <v>0</v>
      </c>
      <c r="Z645"/>
      <c r="AA645" s="37" t="e">
        <f>IF(DaybyDay[[#This Row],[_Space]],DaybyDay[[#This Row],[Ret-Act-RU]]/DaybyDay[[#This Row],[Serv-Act-RU]],"")</f>
        <v>#DIV/0!</v>
      </c>
      <c r="AB645" s="50" t="e">
        <f>IF(DaybyDay[[#This Row],[_Space]],DaybyDay[[#This Row],[RETPEN-Act]]/DaybyDay[[#This Row],[RETPEN-Bud]],"")</f>
        <v>#DIV/0!</v>
      </c>
      <c r="AC645" s="37" t="e">
        <f>IF(DaybyDay[[#This Row],[_Space]],DaybyDay[[#This Row],[Ret-Bud-RU]]/DaybyDay[[#This Row],[Serv-Bud-RU]],"")</f>
        <v>#DIV/0!</v>
      </c>
      <c r="AD645" s="37" t="e">
        <f>IF(DaybyDay[[#This Row],[_Space]],DaybyDay[[#This Row],[Ret-LY-RU]]/DaybyDay[[#This Row],[Serv-LY-RU]],"")</f>
        <v>#DIV/0!</v>
      </c>
      <c r="AE645" s="30">
        <f>WEEKDAY(DaybyDay[[#This Row],[LY-Date]])</f>
        <v>2</v>
      </c>
      <c r="AF645" s="38">
        <f>$E$2+_xlfn.DAYS(DaybyDay[[#This Row],[Date]],minDate)</f>
        <v>43010</v>
      </c>
      <c r="AG645" s="39" cm="1">
        <f t="array" ref="AG645">IFERROR(INDEX(DaybyDay[],DaybyDay[[#This Row],[FORM_MATCH_HELPER]],8),"")</f>
        <v>13</v>
      </c>
      <c r="AH645" s="39" cm="1">
        <f t="array" ref="AH645">IFERROR(INDEX(DaybyDay[],DaybyDay[[#This Row],[FORM_MATCH_HELPER]],10),"")</f>
        <v>2451.38</v>
      </c>
      <c r="AI645" s="39" cm="1">
        <f t="array" ref="AI645">IFERROR(INDEX(DaybyDay[],DaybyDay[[#This Row],[FORM_MATCH_HELPER]],12),"")</f>
        <v>0</v>
      </c>
      <c r="AJ645" s="32">
        <f>IFERROR(DaybyDay[[#This Row],[Serv-LY-RU]]+DaybyDay[[#This Row],[Ret-LY-RU]],"")</f>
        <v>0</v>
      </c>
      <c r="AK6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5" s="77"/>
      <c r="AM645" s="40" t="str">
        <f>IF(DaybyDay[[#This Row],[Admin Hours]]&gt;0,DaybyDay[[#This Row],[Admin Hours]]*$AM$2+$AM$3,"")</f>
        <v/>
      </c>
      <c r="AN645" s="40">
        <f>SUMIFS(DaybyDay[Est-Admin-Payroll],DaybyDay[Date],"&gt;="&amp;$C$5,DaybyDay[RowYear],"&gt;="&amp;$C$4,DaybyDay[Date],"&lt;="&amp;DaybyDay[[#This Row],[Date]])</f>
        <v>0</v>
      </c>
      <c r="AO645" s="41" t="str">
        <f>IF(AND(DaybyDay[[#This Row],[_Space]],ISNUMBER(DaybyDay[[#This Row],[Admin Hours]])),DaybyDay[[#This Row],[Est-Admin-Payroll]]/(DaybyDay[[#This Row],[Service-Actuals]]+DaybyDay[[#This Row],[Retail-Actuals]]),"")</f>
        <v/>
      </c>
      <c r="AP645" s="41" t="e">
        <f>DaybyDay[[#This Row],[Estimated-Payroll-Rollup]]/DaybyDay[[#This Row],[Simple-Forecast]]</f>
        <v>#DIV/0!</v>
      </c>
      <c r="AQ6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5" s="77"/>
      <c r="AS645" s="40" t="str">
        <f>IF(DaybyDay[[#This Row],[Retail Hours]]&gt;0,DaybyDay[[#This Row],[Retail Hours]]*$AS$2,"")</f>
        <v/>
      </c>
      <c r="AT645" s="40">
        <f>SUMIFS(DaybyDay[Est-Retail-Payroll],DaybyDay[Date],"&gt;="&amp;$C$5,DaybyDay[RowYear],"&gt;="&amp;$C$4,DaybyDay[Date],"&lt;="&amp;DaybyDay[[#This Row],[Date]])</f>
        <v>0</v>
      </c>
      <c r="AU645" s="82" t="str">
        <f>IF(AND(DaybyDay[[#This Row],[_Space]],ISNUMBER(DaybyDay[[#This Row],[Retail Hours]])),DaybyDay[[#This Row],[Est-Retail-Payroll]]/(DaybyDay[[#This Row],[Retail-Actuals]]),"")</f>
        <v/>
      </c>
      <c r="AV645" s="82" t="e">
        <f>DaybyDay[[#This Row],[Est-Retail-PayrollRU]]/DaybyDay[[#This Row],[Simple-Forecast-Retail]]</f>
        <v>#DIV/0!</v>
      </c>
      <c r="AW645" s="8"/>
    </row>
    <row r="646" spans="3:49" hidden="1" x14ac:dyDescent="0.25">
      <c r="C646" s="26" t="str">
        <f>Tools!$C$1</f>
        <v>Example</v>
      </c>
      <c r="D646" s="27" t="s">
        <v>76</v>
      </c>
      <c r="E646" s="28">
        <v>2018</v>
      </c>
      <c r="F646" s="28">
        <f>MATCH(DaybyDay[[#This Row],[RowMonth]],Table3[SummaryMonth],0)</f>
        <v>9</v>
      </c>
      <c r="G646" s="29">
        <f>MATCH(DaybyDay[[#This Row],[LY-Date]],DaybyDay[Date],0)</f>
        <v>276</v>
      </c>
      <c r="H646" s="30">
        <f>WEEKDAY(DaybyDay[[#This Row],[Date]])</f>
        <v>3</v>
      </c>
      <c r="I646" s="31">
        <v>43375</v>
      </c>
      <c r="J646" s="74">
        <v>6</v>
      </c>
      <c r="K646" s="32">
        <f>SUMIFS(BudgetSeasonality[365 Seasonality],BudgetSeasonality[MonthAdjustment],DaybyDay[[#This Row],[Date]])*SUMIFS(Budgets[Service-Budget],Budgets[BudgetMonth],DaybyDay[[#This Row],[RowMonth]],Budgets[BudgetYear],DaybyDay[[#This Row],[RowYear]])</f>
        <v>3800.189894367385</v>
      </c>
      <c r="L646" s="75">
        <v>2009.75</v>
      </c>
      <c r="M646" s="32">
        <f>INDEX(BudgetSeasonality[365 Seasonality],MATCH(DaybyDay[[#This Row],[Date]],BudgetSeasonality[MonthAdjustment],0))*SUMIFS(Budgets[Retail-Budget],Budgets[BudgetMonth],DaybyDay[[#This Row],[RowMonth]],Budgets[BudgetYear],DaybyDay[[#This Row],[RowYear]])</f>
        <v>1062.5898100153772</v>
      </c>
      <c r="N646" s="75">
        <v>115.5</v>
      </c>
      <c r="O646" s="33">
        <f>SUMIFS(DaybyDay[Service-Budgets],DaybyDay[Date],"&gt;="&amp;$C$5,DaybyDay[RowYear],"&gt;="&amp;$C$4,DaybyDay[Date],"&lt;="&amp;DaybyDay[[#This Row],[Date]])</f>
        <v>0</v>
      </c>
      <c r="P646" s="33">
        <f>SUMIFS(DaybyDay[Retail-Budgets],DaybyDay[Date],"&gt;="&amp;$C$5,DaybyDay[RowYear],"&gt;="&amp;$C$4,DaybyDay[Date],"&lt;="&amp;DaybyDay[[#This Row],[Date]])</f>
        <v>0</v>
      </c>
      <c r="Q646" s="34">
        <f>SUMIFS(DaybyDay[Service-Actuals],DaybyDay[Date],"&gt;="&amp;$C$5,DaybyDay[RowYear],"&gt;="&amp;$C$4,DaybyDay[Date],"&lt;="&amp;DaybyDay[[#This Row],[Date]])</f>
        <v>0</v>
      </c>
      <c r="R646" s="34">
        <f>SUMIFS(DaybyDay[Retail-Actuals],DaybyDay[Date],"&gt;="&amp;$C$5,DaybyDay[RowYear],"&gt;="&amp;$C$4,DaybyDay[Date],"&lt;="&amp;DaybyDay[[#This Row],[Date]])</f>
        <v>0</v>
      </c>
      <c r="S646" s="35">
        <f>SUMIFS(DaybyDay[Service-LY],DaybyDay[Date],"&gt;="&amp;$C$5,DaybyDay[RowYear],"&gt;="&amp;$C$4,DaybyDay[Date],"&lt;="&amp;DaybyDay[[#This Row],[Date]])</f>
        <v>0</v>
      </c>
      <c r="T646" s="35">
        <f>SUMIFS(DaybyDay[Retail-LY],DaybyDay[Date],"&gt;="&amp;$C$5,DaybyDay[RowYear],"&gt;="&amp;$C$4,DaybyDay[Date],"&lt;="&amp;DaybyDay[[#This Row],[Date]])</f>
        <v>0</v>
      </c>
      <c r="U646" s="32">
        <f>DaybyDay[[#This Row],[Serv-Bud-RU]]+DaybyDay[[#This Row],[Ret-Bud-RU]]</f>
        <v>0</v>
      </c>
      <c r="V646" s="32">
        <f>DaybyDay[[#This Row],[Serv-Act-RU]]+DaybyDay[[#This Row],[Ret-Act-RU]]</f>
        <v>0</v>
      </c>
      <c r="W646" s="36">
        <f>IF(DaybyDay[[#This Row],[_Space]],IFERROR(
((DaybyDay[[#This Row],[Actual-Rollup]]-DaybyDay[[#This Row],[Budget-Rollup]])/DaybyDay[[#This Row],[Budget-Rollup]]),0),"")</f>
        <v>0</v>
      </c>
      <c r="X646" t="b">
        <f>NOT(AND(ISBLANK(DaybyDay[[#This Row],[Appts]]),ISBLANK(DaybyDay[[#This Row],[Service-Actuals]]),ISBLANK(DaybyDay[[#This Row],[Retail-Actuals]])))</f>
        <v>1</v>
      </c>
      <c r="Y646" s="36">
        <f>IF(DaybyDay[[#This Row],[_Space]],IFERROR(
((DaybyDay[[#This Row],[Actual-Rollup]]-DaybyDay[[#This Row],[LY-Rollup]])/DaybyDay[[#This Row],[LY-Rollup]]),0),"")</f>
        <v>0</v>
      </c>
      <c r="Z646"/>
      <c r="AA646" s="37" t="e">
        <f>IF(DaybyDay[[#This Row],[_Space]],DaybyDay[[#This Row],[Ret-Act-RU]]/DaybyDay[[#This Row],[Serv-Act-RU]],"")</f>
        <v>#DIV/0!</v>
      </c>
      <c r="AB646" s="50" t="e">
        <f>IF(DaybyDay[[#This Row],[_Space]],DaybyDay[[#This Row],[RETPEN-Act]]/DaybyDay[[#This Row],[RETPEN-Bud]],"")</f>
        <v>#DIV/0!</v>
      </c>
      <c r="AC646" s="37" t="e">
        <f>IF(DaybyDay[[#This Row],[_Space]],DaybyDay[[#This Row],[Ret-Bud-RU]]/DaybyDay[[#This Row],[Serv-Bud-RU]],"")</f>
        <v>#DIV/0!</v>
      </c>
      <c r="AD646" s="37" t="e">
        <f>IF(DaybyDay[[#This Row],[_Space]],DaybyDay[[#This Row],[Ret-LY-RU]]/DaybyDay[[#This Row],[Serv-LY-RU]],"")</f>
        <v>#DIV/0!</v>
      </c>
      <c r="AE646" s="30">
        <f>WEEKDAY(DaybyDay[[#This Row],[LY-Date]])</f>
        <v>3</v>
      </c>
      <c r="AF646" s="38">
        <f>$E$2+_xlfn.DAYS(DaybyDay[[#This Row],[Date]],minDate)</f>
        <v>43011</v>
      </c>
      <c r="AG646" s="39" cm="1">
        <f t="array" ref="AG646">IFERROR(INDEX(DaybyDay[],DaybyDay[[#This Row],[FORM_MATCH_HELPER]],8),"")</f>
        <v>14</v>
      </c>
      <c r="AH646" s="39" cm="1">
        <f t="array" ref="AH646">IFERROR(INDEX(DaybyDay[],DaybyDay[[#This Row],[FORM_MATCH_HELPER]],10),"")</f>
        <v>2821.1</v>
      </c>
      <c r="AI646" s="39" cm="1">
        <f t="array" ref="AI646">IFERROR(INDEX(DaybyDay[],DaybyDay[[#This Row],[FORM_MATCH_HELPER]],12),"")</f>
        <v>1113</v>
      </c>
      <c r="AJ646" s="32">
        <f>IFERROR(DaybyDay[[#This Row],[Serv-LY-RU]]+DaybyDay[[#This Row],[Ret-LY-RU]],"")</f>
        <v>0</v>
      </c>
      <c r="AK6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6" s="77"/>
      <c r="AM646" s="40" t="str">
        <f>IF(DaybyDay[[#This Row],[Admin Hours]]&gt;0,DaybyDay[[#This Row],[Admin Hours]]*$AM$2+$AM$3,"")</f>
        <v/>
      </c>
      <c r="AN646" s="40">
        <f>SUMIFS(DaybyDay[Est-Admin-Payroll],DaybyDay[Date],"&gt;="&amp;$C$5,DaybyDay[RowYear],"&gt;="&amp;$C$4,DaybyDay[Date],"&lt;="&amp;DaybyDay[[#This Row],[Date]])</f>
        <v>0</v>
      </c>
      <c r="AO646" s="41" t="str">
        <f>IF(AND(DaybyDay[[#This Row],[_Space]],ISNUMBER(DaybyDay[[#This Row],[Admin Hours]])),DaybyDay[[#This Row],[Est-Admin-Payroll]]/(DaybyDay[[#This Row],[Service-Actuals]]+DaybyDay[[#This Row],[Retail-Actuals]]),"")</f>
        <v/>
      </c>
      <c r="AP646" s="41" t="e">
        <f>DaybyDay[[#This Row],[Estimated-Payroll-Rollup]]/DaybyDay[[#This Row],[Simple-Forecast]]</f>
        <v>#DIV/0!</v>
      </c>
      <c r="AQ6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6" s="77"/>
      <c r="AS646" s="40" t="str">
        <f>IF(DaybyDay[[#This Row],[Retail Hours]]&gt;0,DaybyDay[[#This Row],[Retail Hours]]*$AS$2,"")</f>
        <v/>
      </c>
      <c r="AT646" s="40">
        <f>SUMIFS(DaybyDay[Est-Retail-Payroll],DaybyDay[Date],"&gt;="&amp;$C$5,DaybyDay[RowYear],"&gt;="&amp;$C$4,DaybyDay[Date],"&lt;="&amp;DaybyDay[[#This Row],[Date]])</f>
        <v>0</v>
      </c>
      <c r="AU646" s="82" t="str">
        <f>IF(AND(DaybyDay[[#This Row],[_Space]],ISNUMBER(DaybyDay[[#This Row],[Retail Hours]])),DaybyDay[[#This Row],[Est-Retail-Payroll]]/(DaybyDay[[#This Row],[Retail-Actuals]]),"")</f>
        <v/>
      </c>
      <c r="AV646" s="82" t="e">
        <f>DaybyDay[[#This Row],[Est-Retail-PayrollRU]]/DaybyDay[[#This Row],[Simple-Forecast-Retail]]</f>
        <v>#DIV/0!</v>
      </c>
      <c r="AW646" s="8"/>
    </row>
    <row r="647" spans="3:49" hidden="1" x14ac:dyDescent="0.25">
      <c r="C647" s="26" t="str">
        <f>Tools!$C$1</f>
        <v>Example</v>
      </c>
      <c r="D647" s="27" t="s">
        <v>76</v>
      </c>
      <c r="E647" s="28">
        <v>2018</v>
      </c>
      <c r="F647" s="28">
        <f>MATCH(DaybyDay[[#This Row],[RowMonth]],Table3[SummaryMonth],0)</f>
        <v>9</v>
      </c>
      <c r="G647" s="29">
        <f>MATCH(DaybyDay[[#This Row],[LY-Date]],DaybyDay[Date],0)</f>
        <v>277</v>
      </c>
      <c r="H647" s="30">
        <f>WEEKDAY(DaybyDay[[#This Row],[Date]])</f>
        <v>4</v>
      </c>
      <c r="I647" s="31">
        <v>43376</v>
      </c>
      <c r="J647" s="74">
        <v>17</v>
      </c>
      <c r="K647" s="32">
        <f>SUMIFS(BudgetSeasonality[365 Seasonality],BudgetSeasonality[MonthAdjustment],DaybyDay[[#This Row],[Date]])*SUMIFS(Budgets[Service-Budget],Budgets[BudgetMonth],DaybyDay[[#This Row],[RowMonth]],Budgets[BudgetYear],DaybyDay[[#This Row],[RowYear]])</f>
        <v>4533.1195662128803</v>
      </c>
      <c r="L647" s="75">
        <v>3418.2</v>
      </c>
      <c r="M647" s="32">
        <f>INDEX(BudgetSeasonality[365 Seasonality],MATCH(DaybyDay[[#This Row],[Date]],BudgetSeasonality[MonthAdjustment],0))*SUMIFS(Budgets[Retail-Budget],Budgets[BudgetMonth],DaybyDay[[#This Row],[RowMonth]],Budgets[BudgetYear],DaybyDay[[#This Row],[RowYear]])</f>
        <v>1267.5278847982386</v>
      </c>
      <c r="N647" s="75">
        <v>676.97</v>
      </c>
      <c r="O647" s="33">
        <f>SUMIFS(DaybyDay[Service-Budgets],DaybyDay[Date],"&gt;="&amp;$C$5,DaybyDay[RowYear],"&gt;="&amp;$C$4,DaybyDay[Date],"&lt;="&amp;DaybyDay[[#This Row],[Date]])</f>
        <v>0</v>
      </c>
      <c r="P647" s="33">
        <f>SUMIFS(DaybyDay[Retail-Budgets],DaybyDay[Date],"&gt;="&amp;$C$5,DaybyDay[RowYear],"&gt;="&amp;$C$4,DaybyDay[Date],"&lt;="&amp;DaybyDay[[#This Row],[Date]])</f>
        <v>0</v>
      </c>
      <c r="Q647" s="34">
        <f>SUMIFS(DaybyDay[Service-Actuals],DaybyDay[Date],"&gt;="&amp;$C$5,DaybyDay[RowYear],"&gt;="&amp;$C$4,DaybyDay[Date],"&lt;="&amp;DaybyDay[[#This Row],[Date]])</f>
        <v>0</v>
      </c>
      <c r="R647" s="34">
        <f>SUMIFS(DaybyDay[Retail-Actuals],DaybyDay[Date],"&gt;="&amp;$C$5,DaybyDay[RowYear],"&gt;="&amp;$C$4,DaybyDay[Date],"&lt;="&amp;DaybyDay[[#This Row],[Date]])</f>
        <v>0</v>
      </c>
      <c r="S647" s="35">
        <f>SUMIFS(DaybyDay[Service-LY],DaybyDay[Date],"&gt;="&amp;$C$5,DaybyDay[RowYear],"&gt;="&amp;$C$4,DaybyDay[Date],"&lt;="&amp;DaybyDay[[#This Row],[Date]])</f>
        <v>0</v>
      </c>
      <c r="T647" s="35">
        <f>SUMIFS(DaybyDay[Retail-LY],DaybyDay[Date],"&gt;="&amp;$C$5,DaybyDay[RowYear],"&gt;="&amp;$C$4,DaybyDay[Date],"&lt;="&amp;DaybyDay[[#This Row],[Date]])</f>
        <v>0</v>
      </c>
      <c r="U647" s="32">
        <f>DaybyDay[[#This Row],[Serv-Bud-RU]]+DaybyDay[[#This Row],[Ret-Bud-RU]]</f>
        <v>0</v>
      </c>
      <c r="V647" s="32">
        <f>DaybyDay[[#This Row],[Serv-Act-RU]]+DaybyDay[[#This Row],[Ret-Act-RU]]</f>
        <v>0</v>
      </c>
      <c r="W647" s="36">
        <f>IF(DaybyDay[[#This Row],[_Space]],IFERROR(
((DaybyDay[[#This Row],[Actual-Rollup]]-DaybyDay[[#This Row],[Budget-Rollup]])/DaybyDay[[#This Row],[Budget-Rollup]]),0),"")</f>
        <v>0</v>
      </c>
      <c r="X647" t="b">
        <f>NOT(AND(ISBLANK(DaybyDay[[#This Row],[Appts]]),ISBLANK(DaybyDay[[#This Row],[Service-Actuals]]),ISBLANK(DaybyDay[[#This Row],[Retail-Actuals]])))</f>
        <v>1</v>
      </c>
      <c r="Y647" s="36">
        <f>IF(DaybyDay[[#This Row],[_Space]],IFERROR(
((DaybyDay[[#This Row],[Actual-Rollup]]-DaybyDay[[#This Row],[LY-Rollup]])/DaybyDay[[#This Row],[LY-Rollup]]),0),"")</f>
        <v>0</v>
      </c>
      <c r="Z647"/>
      <c r="AA647" s="37" t="e">
        <f>IF(DaybyDay[[#This Row],[_Space]],DaybyDay[[#This Row],[Ret-Act-RU]]/DaybyDay[[#This Row],[Serv-Act-RU]],"")</f>
        <v>#DIV/0!</v>
      </c>
      <c r="AB647" s="50" t="e">
        <f>IF(DaybyDay[[#This Row],[_Space]],DaybyDay[[#This Row],[RETPEN-Act]]/DaybyDay[[#This Row],[RETPEN-Bud]],"")</f>
        <v>#DIV/0!</v>
      </c>
      <c r="AC647" s="37" t="e">
        <f>IF(DaybyDay[[#This Row],[_Space]],DaybyDay[[#This Row],[Ret-Bud-RU]]/DaybyDay[[#This Row],[Serv-Bud-RU]],"")</f>
        <v>#DIV/0!</v>
      </c>
      <c r="AD647" s="37" t="e">
        <f>IF(DaybyDay[[#This Row],[_Space]],DaybyDay[[#This Row],[Ret-LY-RU]]/DaybyDay[[#This Row],[Serv-LY-RU]],"")</f>
        <v>#DIV/0!</v>
      </c>
      <c r="AE647" s="30">
        <f>WEEKDAY(DaybyDay[[#This Row],[LY-Date]])</f>
        <v>4</v>
      </c>
      <c r="AF647" s="38">
        <f>$E$2+_xlfn.DAYS(DaybyDay[[#This Row],[Date]],minDate)</f>
        <v>43012</v>
      </c>
      <c r="AG647" s="39" cm="1">
        <f t="array" ref="AG647">IFERROR(INDEX(DaybyDay[],DaybyDay[[#This Row],[FORM_MATCH_HELPER]],8),"")</f>
        <v>14</v>
      </c>
      <c r="AH647" s="39" cm="1">
        <f t="array" ref="AH647">IFERROR(INDEX(DaybyDay[],DaybyDay[[#This Row],[FORM_MATCH_HELPER]],10),"")</f>
        <v>3430</v>
      </c>
      <c r="AI647" s="39" cm="1">
        <f t="array" ref="AI647">IFERROR(INDEX(DaybyDay[],DaybyDay[[#This Row],[FORM_MATCH_HELPER]],12),"")</f>
        <v>780</v>
      </c>
      <c r="AJ647" s="32">
        <f>IFERROR(DaybyDay[[#This Row],[Serv-LY-RU]]+DaybyDay[[#This Row],[Ret-LY-RU]],"")</f>
        <v>0</v>
      </c>
      <c r="AK6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7" s="77"/>
      <c r="AM647" s="40" t="str">
        <f>IF(DaybyDay[[#This Row],[Admin Hours]]&gt;0,DaybyDay[[#This Row],[Admin Hours]]*$AM$2+$AM$3,"")</f>
        <v/>
      </c>
      <c r="AN647" s="40">
        <f>SUMIFS(DaybyDay[Est-Admin-Payroll],DaybyDay[Date],"&gt;="&amp;$C$5,DaybyDay[RowYear],"&gt;="&amp;$C$4,DaybyDay[Date],"&lt;="&amp;DaybyDay[[#This Row],[Date]])</f>
        <v>0</v>
      </c>
      <c r="AO647" s="41" t="str">
        <f>IF(AND(DaybyDay[[#This Row],[_Space]],ISNUMBER(DaybyDay[[#This Row],[Admin Hours]])),DaybyDay[[#This Row],[Est-Admin-Payroll]]/(DaybyDay[[#This Row],[Service-Actuals]]+DaybyDay[[#This Row],[Retail-Actuals]]),"")</f>
        <v/>
      </c>
      <c r="AP647" s="41" t="e">
        <f>DaybyDay[[#This Row],[Estimated-Payroll-Rollup]]/DaybyDay[[#This Row],[Simple-Forecast]]</f>
        <v>#DIV/0!</v>
      </c>
      <c r="AQ6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7" s="77"/>
      <c r="AS647" s="40" t="str">
        <f>IF(DaybyDay[[#This Row],[Retail Hours]]&gt;0,DaybyDay[[#This Row],[Retail Hours]]*$AS$2,"")</f>
        <v/>
      </c>
      <c r="AT647" s="40">
        <f>SUMIFS(DaybyDay[Est-Retail-Payroll],DaybyDay[Date],"&gt;="&amp;$C$5,DaybyDay[RowYear],"&gt;="&amp;$C$4,DaybyDay[Date],"&lt;="&amp;DaybyDay[[#This Row],[Date]])</f>
        <v>0</v>
      </c>
      <c r="AU647" s="82" t="str">
        <f>IF(AND(DaybyDay[[#This Row],[_Space]],ISNUMBER(DaybyDay[[#This Row],[Retail Hours]])),DaybyDay[[#This Row],[Est-Retail-Payroll]]/(DaybyDay[[#This Row],[Retail-Actuals]]),"")</f>
        <v/>
      </c>
      <c r="AV647" s="82" t="e">
        <f>DaybyDay[[#This Row],[Est-Retail-PayrollRU]]/DaybyDay[[#This Row],[Simple-Forecast-Retail]]</f>
        <v>#DIV/0!</v>
      </c>
      <c r="AW647" s="8"/>
    </row>
    <row r="648" spans="3:49" hidden="1" x14ac:dyDescent="0.25">
      <c r="C648" s="26" t="str">
        <f>Tools!$C$1</f>
        <v>Example</v>
      </c>
      <c r="D648" s="27" t="s">
        <v>76</v>
      </c>
      <c r="E648" s="28">
        <v>2018</v>
      </c>
      <c r="F648" s="28">
        <f>MATCH(DaybyDay[[#This Row],[RowMonth]],Table3[SummaryMonth],0)</f>
        <v>9</v>
      </c>
      <c r="G648" s="29">
        <f>MATCH(DaybyDay[[#This Row],[LY-Date]],DaybyDay[Date],0)</f>
        <v>278</v>
      </c>
      <c r="H648" s="30">
        <f>WEEKDAY(DaybyDay[[#This Row],[Date]])</f>
        <v>5</v>
      </c>
      <c r="I648" s="31">
        <v>43377</v>
      </c>
      <c r="J648" s="74">
        <v>17</v>
      </c>
      <c r="K648" s="32">
        <f>SUMIFS(BudgetSeasonality[365 Seasonality],BudgetSeasonality[MonthAdjustment],DaybyDay[[#This Row],[Date]])*SUMIFS(Budgets[Service-Budget],Budgets[BudgetMonth],DaybyDay[[#This Row],[RowMonth]],Budgets[BudgetYear],DaybyDay[[#This Row],[RowYear]])</f>
        <v>4724.5022871335777</v>
      </c>
      <c r="L648" s="75">
        <v>4883</v>
      </c>
      <c r="M648" s="32">
        <f>INDEX(BudgetSeasonality[365 Seasonality],MATCH(DaybyDay[[#This Row],[Date]],BudgetSeasonality[MonthAdjustment],0))*SUMIFS(Budgets[Retail-Budget],Budgets[BudgetMonth],DaybyDay[[#This Row],[RowMonth]],Budgets[BudgetYear],DaybyDay[[#This Row],[RowYear]])</f>
        <v>1321.0413498397543</v>
      </c>
      <c r="N648" s="75">
        <v>517.1</v>
      </c>
      <c r="O648" s="33">
        <f>SUMIFS(DaybyDay[Service-Budgets],DaybyDay[Date],"&gt;="&amp;$C$5,DaybyDay[RowYear],"&gt;="&amp;$C$4,DaybyDay[Date],"&lt;="&amp;DaybyDay[[#This Row],[Date]])</f>
        <v>0</v>
      </c>
      <c r="P648" s="33">
        <f>SUMIFS(DaybyDay[Retail-Budgets],DaybyDay[Date],"&gt;="&amp;$C$5,DaybyDay[RowYear],"&gt;="&amp;$C$4,DaybyDay[Date],"&lt;="&amp;DaybyDay[[#This Row],[Date]])</f>
        <v>0</v>
      </c>
      <c r="Q648" s="34">
        <f>SUMIFS(DaybyDay[Service-Actuals],DaybyDay[Date],"&gt;="&amp;$C$5,DaybyDay[RowYear],"&gt;="&amp;$C$4,DaybyDay[Date],"&lt;="&amp;DaybyDay[[#This Row],[Date]])</f>
        <v>0</v>
      </c>
      <c r="R648" s="34">
        <f>SUMIFS(DaybyDay[Retail-Actuals],DaybyDay[Date],"&gt;="&amp;$C$5,DaybyDay[RowYear],"&gt;="&amp;$C$4,DaybyDay[Date],"&lt;="&amp;DaybyDay[[#This Row],[Date]])</f>
        <v>0</v>
      </c>
      <c r="S648" s="35">
        <f>SUMIFS(DaybyDay[Service-LY],DaybyDay[Date],"&gt;="&amp;$C$5,DaybyDay[RowYear],"&gt;="&amp;$C$4,DaybyDay[Date],"&lt;="&amp;DaybyDay[[#This Row],[Date]])</f>
        <v>0</v>
      </c>
      <c r="T648" s="35">
        <f>SUMIFS(DaybyDay[Retail-LY],DaybyDay[Date],"&gt;="&amp;$C$5,DaybyDay[RowYear],"&gt;="&amp;$C$4,DaybyDay[Date],"&lt;="&amp;DaybyDay[[#This Row],[Date]])</f>
        <v>0</v>
      </c>
      <c r="U648" s="32">
        <f>DaybyDay[[#This Row],[Serv-Bud-RU]]+DaybyDay[[#This Row],[Ret-Bud-RU]]</f>
        <v>0</v>
      </c>
      <c r="V648" s="32">
        <f>DaybyDay[[#This Row],[Serv-Act-RU]]+DaybyDay[[#This Row],[Ret-Act-RU]]</f>
        <v>0</v>
      </c>
      <c r="W648" s="36">
        <f>IF(DaybyDay[[#This Row],[_Space]],IFERROR(
((DaybyDay[[#This Row],[Actual-Rollup]]-DaybyDay[[#This Row],[Budget-Rollup]])/DaybyDay[[#This Row],[Budget-Rollup]]),0),"")</f>
        <v>0</v>
      </c>
      <c r="X648" t="b">
        <f>NOT(AND(ISBLANK(DaybyDay[[#This Row],[Appts]]),ISBLANK(DaybyDay[[#This Row],[Service-Actuals]]),ISBLANK(DaybyDay[[#This Row],[Retail-Actuals]])))</f>
        <v>1</v>
      </c>
      <c r="Y648" s="36">
        <f>IF(DaybyDay[[#This Row],[_Space]],IFERROR(
((DaybyDay[[#This Row],[Actual-Rollup]]-DaybyDay[[#This Row],[LY-Rollup]])/DaybyDay[[#This Row],[LY-Rollup]]),0),"")</f>
        <v>0</v>
      </c>
      <c r="Z648"/>
      <c r="AA648" s="37" t="e">
        <f>IF(DaybyDay[[#This Row],[_Space]],DaybyDay[[#This Row],[Ret-Act-RU]]/DaybyDay[[#This Row],[Serv-Act-RU]],"")</f>
        <v>#DIV/0!</v>
      </c>
      <c r="AB648" s="50" t="e">
        <f>IF(DaybyDay[[#This Row],[_Space]],DaybyDay[[#This Row],[RETPEN-Act]]/DaybyDay[[#This Row],[RETPEN-Bud]],"")</f>
        <v>#DIV/0!</v>
      </c>
      <c r="AC648" s="37" t="e">
        <f>IF(DaybyDay[[#This Row],[_Space]],DaybyDay[[#This Row],[Ret-Bud-RU]]/DaybyDay[[#This Row],[Serv-Bud-RU]],"")</f>
        <v>#DIV/0!</v>
      </c>
      <c r="AD648" s="37" t="e">
        <f>IF(DaybyDay[[#This Row],[_Space]],DaybyDay[[#This Row],[Ret-LY-RU]]/DaybyDay[[#This Row],[Serv-LY-RU]],"")</f>
        <v>#DIV/0!</v>
      </c>
      <c r="AE648" s="30">
        <f>WEEKDAY(DaybyDay[[#This Row],[LY-Date]])</f>
        <v>5</v>
      </c>
      <c r="AF648" s="38">
        <f>$E$2+_xlfn.DAYS(DaybyDay[[#This Row],[Date]],minDate)</f>
        <v>43013</v>
      </c>
      <c r="AG648" s="39" cm="1">
        <f t="array" ref="AG648">IFERROR(INDEX(DaybyDay[],DaybyDay[[#This Row],[FORM_MATCH_HELPER]],8),"")</f>
        <v>18</v>
      </c>
      <c r="AH648" s="39" cm="1">
        <f t="array" ref="AH648">IFERROR(INDEX(DaybyDay[],DaybyDay[[#This Row],[FORM_MATCH_HELPER]],10),"")</f>
        <v>4721.2</v>
      </c>
      <c r="AI648" s="39" cm="1">
        <f t="array" ref="AI648">IFERROR(INDEX(DaybyDay[],DaybyDay[[#This Row],[FORM_MATCH_HELPER]],12),"")</f>
        <v>751</v>
      </c>
      <c r="AJ648" s="32">
        <f>IFERROR(DaybyDay[[#This Row],[Serv-LY-RU]]+DaybyDay[[#This Row],[Ret-LY-RU]],"")</f>
        <v>0</v>
      </c>
      <c r="AK6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8" s="77"/>
      <c r="AM648" s="40" t="str">
        <f>IF(DaybyDay[[#This Row],[Admin Hours]]&gt;0,DaybyDay[[#This Row],[Admin Hours]]*$AM$2+$AM$3,"")</f>
        <v/>
      </c>
      <c r="AN648" s="40">
        <f>SUMIFS(DaybyDay[Est-Admin-Payroll],DaybyDay[Date],"&gt;="&amp;$C$5,DaybyDay[RowYear],"&gt;="&amp;$C$4,DaybyDay[Date],"&lt;="&amp;DaybyDay[[#This Row],[Date]])</f>
        <v>0</v>
      </c>
      <c r="AO648" s="41" t="str">
        <f>IF(AND(DaybyDay[[#This Row],[_Space]],ISNUMBER(DaybyDay[[#This Row],[Admin Hours]])),DaybyDay[[#This Row],[Est-Admin-Payroll]]/(DaybyDay[[#This Row],[Service-Actuals]]+DaybyDay[[#This Row],[Retail-Actuals]]),"")</f>
        <v/>
      </c>
      <c r="AP648" s="41" t="e">
        <f>DaybyDay[[#This Row],[Estimated-Payroll-Rollup]]/DaybyDay[[#This Row],[Simple-Forecast]]</f>
        <v>#DIV/0!</v>
      </c>
      <c r="AQ6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8" s="77"/>
      <c r="AS648" s="40" t="str">
        <f>IF(DaybyDay[[#This Row],[Retail Hours]]&gt;0,DaybyDay[[#This Row],[Retail Hours]]*$AS$2,"")</f>
        <v/>
      </c>
      <c r="AT648" s="40">
        <f>SUMIFS(DaybyDay[Est-Retail-Payroll],DaybyDay[Date],"&gt;="&amp;$C$5,DaybyDay[RowYear],"&gt;="&amp;$C$4,DaybyDay[Date],"&lt;="&amp;DaybyDay[[#This Row],[Date]])</f>
        <v>0</v>
      </c>
      <c r="AU648" s="82" t="str">
        <f>IF(AND(DaybyDay[[#This Row],[_Space]],ISNUMBER(DaybyDay[[#This Row],[Retail Hours]])),DaybyDay[[#This Row],[Est-Retail-Payroll]]/(DaybyDay[[#This Row],[Retail-Actuals]]),"")</f>
        <v/>
      </c>
      <c r="AV648" s="82" t="e">
        <f>DaybyDay[[#This Row],[Est-Retail-PayrollRU]]/DaybyDay[[#This Row],[Simple-Forecast-Retail]]</f>
        <v>#DIV/0!</v>
      </c>
      <c r="AW648" s="8"/>
    </row>
    <row r="649" spans="3:49" hidden="1" x14ac:dyDescent="0.25">
      <c r="C649" s="26" t="str">
        <f>Tools!$C$1</f>
        <v>Example</v>
      </c>
      <c r="D649" s="27" t="s">
        <v>76</v>
      </c>
      <c r="E649" s="28">
        <v>2018</v>
      </c>
      <c r="F649" s="28">
        <f>MATCH(DaybyDay[[#This Row],[RowMonth]],Table3[SummaryMonth],0)</f>
        <v>9</v>
      </c>
      <c r="G649" s="29">
        <f>MATCH(DaybyDay[[#This Row],[LY-Date]],DaybyDay[Date],0)</f>
        <v>279</v>
      </c>
      <c r="H649" s="30">
        <f>WEEKDAY(DaybyDay[[#This Row],[Date]])</f>
        <v>6</v>
      </c>
      <c r="I649" s="31">
        <v>43378</v>
      </c>
      <c r="J649" s="74">
        <v>22</v>
      </c>
      <c r="K649" s="32">
        <f>SUMIFS(BudgetSeasonality[365 Seasonality],BudgetSeasonality[MonthAdjustment],DaybyDay[[#This Row],[Date]])*SUMIFS(Budgets[Service-Budget],Budgets[BudgetMonth],DaybyDay[[#This Row],[RowMonth]],Budgets[BudgetYear],DaybyDay[[#This Row],[RowYear]])</f>
        <v>6039.0883425514521</v>
      </c>
      <c r="L649" s="75">
        <v>5116.2</v>
      </c>
      <c r="M649" s="32">
        <f>INDEX(BudgetSeasonality[365 Seasonality],MATCH(DaybyDay[[#This Row],[Date]],BudgetSeasonality[MonthAdjustment],0))*SUMIFS(Budgets[Retail-Budget],Budgets[BudgetMonth],DaybyDay[[#This Row],[RowMonth]],Budgets[BudgetYear],DaybyDay[[#This Row],[RowYear]])</f>
        <v>1688.6192303414018</v>
      </c>
      <c r="N649" s="75">
        <v>852.5</v>
      </c>
      <c r="O649" s="33">
        <f>SUMIFS(DaybyDay[Service-Budgets],DaybyDay[Date],"&gt;="&amp;$C$5,DaybyDay[RowYear],"&gt;="&amp;$C$4,DaybyDay[Date],"&lt;="&amp;DaybyDay[[#This Row],[Date]])</f>
        <v>0</v>
      </c>
      <c r="P649" s="33">
        <f>SUMIFS(DaybyDay[Retail-Budgets],DaybyDay[Date],"&gt;="&amp;$C$5,DaybyDay[RowYear],"&gt;="&amp;$C$4,DaybyDay[Date],"&lt;="&amp;DaybyDay[[#This Row],[Date]])</f>
        <v>0</v>
      </c>
      <c r="Q649" s="34">
        <f>SUMIFS(DaybyDay[Service-Actuals],DaybyDay[Date],"&gt;="&amp;$C$5,DaybyDay[RowYear],"&gt;="&amp;$C$4,DaybyDay[Date],"&lt;="&amp;DaybyDay[[#This Row],[Date]])</f>
        <v>0</v>
      </c>
      <c r="R649" s="34">
        <f>SUMIFS(DaybyDay[Retail-Actuals],DaybyDay[Date],"&gt;="&amp;$C$5,DaybyDay[RowYear],"&gt;="&amp;$C$4,DaybyDay[Date],"&lt;="&amp;DaybyDay[[#This Row],[Date]])</f>
        <v>0</v>
      </c>
      <c r="S649" s="35">
        <f>SUMIFS(DaybyDay[Service-LY],DaybyDay[Date],"&gt;="&amp;$C$5,DaybyDay[RowYear],"&gt;="&amp;$C$4,DaybyDay[Date],"&lt;="&amp;DaybyDay[[#This Row],[Date]])</f>
        <v>0</v>
      </c>
      <c r="T649" s="35">
        <f>SUMIFS(DaybyDay[Retail-LY],DaybyDay[Date],"&gt;="&amp;$C$5,DaybyDay[RowYear],"&gt;="&amp;$C$4,DaybyDay[Date],"&lt;="&amp;DaybyDay[[#This Row],[Date]])</f>
        <v>0</v>
      </c>
      <c r="U649" s="32">
        <f>DaybyDay[[#This Row],[Serv-Bud-RU]]+DaybyDay[[#This Row],[Ret-Bud-RU]]</f>
        <v>0</v>
      </c>
      <c r="V649" s="32">
        <f>DaybyDay[[#This Row],[Serv-Act-RU]]+DaybyDay[[#This Row],[Ret-Act-RU]]</f>
        <v>0</v>
      </c>
      <c r="W649" s="36">
        <f>IF(DaybyDay[[#This Row],[_Space]],IFERROR(
((DaybyDay[[#This Row],[Actual-Rollup]]-DaybyDay[[#This Row],[Budget-Rollup]])/DaybyDay[[#This Row],[Budget-Rollup]]),0),"")</f>
        <v>0</v>
      </c>
      <c r="X649" t="b">
        <f>NOT(AND(ISBLANK(DaybyDay[[#This Row],[Appts]]),ISBLANK(DaybyDay[[#This Row],[Service-Actuals]]),ISBLANK(DaybyDay[[#This Row],[Retail-Actuals]])))</f>
        <v>1</v>
      </c>
      <c r="Y649" s="36">
        <f>IF(DaybyDay[[#This Row],[_Space]],IFERROR(
((DaybyDay[[#This Row],[Actual-Rollup]]-DaybyDay[[#This Row],[LY-Rollup]])/DaybyDay[[#This Row],[LY-Rollup]]),0),"")</f>
        <v>0</v>
      </c>
      <c r="Z649"/>
      <c r="AA649" s="37" t="e">
        <f>IF(DaybyDay[[#This Row],[_Space]],DaybyDay[[#This Row],[Ret-Act-RU]]/DaybyDay[[#This Row],[Serv-Act-RU]],"")</f>
        <v>#DIV/0!</v>
      </c>
      <c r="AB649" s="50" t="e">
        <f>IF(DaybyDay[[#This Row],[_Space]],DaybyDay[[#This Row],[RETPEN-Act]]/DaybyDay[[#This Row],[RETPEN-Bud]],"")</f>
        <v>#DIV/0!</v>
      </c>
      <c r="AC649" s="37" t="e">
        <f>IF(DaybyDay[[#This Row],[_Space]],DaybyDay[[#This Row],[Ret-Bud-RU]]/DaybyDay[[#This Row],[Serv-Bud-RU]],"")</f>
        <v>#DIV/0!</v>
      </c>
      <c r="AD649" s="37" t="e">
        <f>IF(DaybyDay[[#This Row],[_Space]],DaybyDay[[#This Row],[Ret-LY-RU]]/DaybyDay[[#This Row],[Serv-LY-RU]],"")</f>
        <v>#DIV/0!</v>
      </c>
      <c r="AE649" s="30">
        <f>WEEKDAY(DaybyDay[[#This Row],[LY-Date]])</f>
        <v>6</v>
      </c>
      <c r="AF649" s="38">
        <f>$E$2+_xlfn.DAYS(DaybyDay[[#This Row],[Date]],minDate)</f>
        <v>43014</v>
      </c>
      <c r="AG649" s="39" cm="1">
        <f t="array" ref="AG649">IFERROR(INDEX(DaybyDay[],DaybyDay[[#This Row],[FORM_MATCH_HELPER]],8),"")</f>
        <v>16</v>
      </c>
      <c r="AH649" s="39" cm="1">
        <f t="array" ref="AH649">IFERROR(INDEX(DaybyDay[],DaybyDay[[#This Row],[FORM_MATCH_HELPER]],10),"")</f>
        <v>2677.25</v>
      </c>
      <c r="AI649" s="39" cm="1">
        <f t="array" ref="AI649">IFERROR(INDEX(DaybyDay[],DaybyDay[[#This Row],[FORM_MATCH_HELPER]],12),"")</f>
        <v>1406</v>
      </c>
      <c r="AJ649" s="32">
        <f>IFERROR(DaybyDay[[#This Row],[Serv-LY-RU]]+DaybyDay[[#This Row],[Ret-LY-RU]],"")</f>
        <v>0</v>
      </c>
      <c r="AK6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49" s="77"/>
      <c r="AM649" s="40" t="str">
        <f>IF(DaybyDay[[#This Row],[Admin Hours]]&gt;0,DaybyDay[[#This Row],[Admin Hours]]*$AM$2+$AM$3,"")</f>
        <v/>
      </c>
      <c r="AN649" s="40">
        <f>SUMIFS(DaybyDay[Est-Admin-Payroll],DaybyDay[Date],"&gt;="&amp;$C$5,DaybyDay[RowYear],"&gt;="&amp;$C$4,DaybyDay[Date],"&lt;="&amp;DaybyDay[[#This Row],[Date]])</f>
        <v>0</v>
      </c>
      <c r="AO649" s="41" t="str">
        <f>IF(AND(DaybyDay[[#This Row],[_Space]],ISNUMBER(DaybyDay[[#This Row],[Admin Hours]])),DaybyDay[[#This Row],[Est-Admin-Payroll]]/(DaybyDay[[#This Row],[Service-Actuals]]+DaybyDay[[#This Row],[Retail-Actuals]]),"")</f>
        <v/>
      </c>
      <c r="AP649" s="41" t="e">
        <f>DaybyDay[[#This Row],[Estimated-Payroll-Rollup]]/DaybyDay[[#This Row],[Simple-Forecast]]</f>
        <v>#DIV/0!</v>
      </c>
      <c r="AQ6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49" s="77"/>
      <c r="AS649" s="40" t="str">
        <f>IF(DaybyDay[[#This Row],[Retail Hours]]&gt;0,DaybyDay[[#This Row],[Retail Hours]]*$AS$2,"")</f>
        <v/>
      </c>
      <c r="AT649" s="40">
        <f>SUMIFS(DaybyDay[Est-Retail-Payroll],DaybyDay[Date],"&gt;="&amp;$C$5,DaybyDay[RowYear],"&gt;="&amp;$C$4,DaybyDay[Date],"&lt;="&amp;DaybyDay[[#This Row],[Date]])</f>
        <v>0</v>
      </c>
      <c r="AU649" s="82" t="str">
        <f>IF(AND(DaybyDay[[#This Row],[_Space]],ISNUMBER(DaybyDay[[#This Row],[Retail Hours]])),DaybyDay[[#This Row],[Est-Retail-Payroll]]/(DaybyDay[[#This Row],[Retail-Actuals]]),"")</f>
        <v/>
      </c>
      <c r="AV649" s="82" t="e">
        <f>DaybyDay[[#This Row],[Est-Retail-PayrollRU]]/DaybyDay[[#This Row],[Simple-Forecast-Retail]]</f>
        <v>#DIV/0!</v>
      </c>
      <c r="AW649" s="8"/>
    </row>
    <row r="650" spans="3:49" hidden="1" x14ac:dyDescent="0.25">
      <c r="C650" s="26" t="str">
        <f>Tools!$C$1</f>
        <v>Example</v>
      </c>
      <c r="D650" s="27" t="s">
        <v>76</v>
      </c>
      <c r="E650" s="28">
        <v>2018</v>
      </c>
      <c r="F650" s="28">
        <f>MATCH(DaybyDay[[#This Row],[RowMonth]],Table3[SummaryMonth],0)</f>
        <v>9</v>
      </c>
      <c r="G650" s="29">
        <f>MATCH(DaybyDay[[#This Row],[LY-Date]],DaybyDay[Date],0)</f>
        <v>280</v>
      </c>
      <c r="H650" s="30">
        <f>WEEKDAY(DaybyDay[[#This Row],[Date]])</f>
        <v>7</v>
      </c>
      <c r="I650" s="31">
        <v>43379</v>
      </c>
      <c r="J650" s="74">
        <v>35</v>
      </c>
      <c r="K650" s="32">
        <f>SUMIFS(BudgetSeasonality[365 Seasonality],BudgetSeasonality[MonthAdjustment],DaybyDay[[#This Row],[Date]])*SUMIFS(Budgets[Service-Budget],Budgets[BudgetMonth],DaybyDay[[#This Row],[RowMonth]],Budgets[BudgetYear],DaybyDay[[#This Row],[RowYear]])</f>
        <v>8765.4568044976477</v>
      </c>
      <c r="L650" s="75">
        <v>8783</v>
      </c>
      <c r="M650" s="32">
        <f>INDEX(BudgetSeasonality[365 Seasonality],MATCH(DaybyDay[[#This Row],[Date]],BudgetSeasonality[MonthAdjustment],0))*SUMIFS(Budgets[Retail-Budget],Budgets[BudgetMonth],DaybyDay[[#This Row],[RowMonth]],Budgets[BudgetYear],DaybyDay[[#This Row],[RowYear]])</f>
        <v>2450.9525417123032</v>
      </c>
      <c r="N650" s="75">
        <v>5843</v>
      </c>
      <c r="O650" s="33">
        <f>SUMIFS(DaybyDay[Service-Budgets],DaybyDay[Date],"&gt;="&amp;$C$5,DaybyDay[RowYear],"&gt;="&amp;$C$4,DaybyDay[Date],"&lt;="&amp;DaybyDay[[#This Row],[Date]])</f>
        <v>0</v>
      </c>
      <c r="P650" s="33">
        <f>SUMIFS(DaybyDay[Retail-Budgets],DaybyDay[Date],"&gt;="&amp;$C$5,DaybyDay[RowYear],"&gt;="&amp;$C$4,DaybyDay[Date],"&lt;="&amp;DaybyDay[[#This Row],[Date]])</f>
        <v>0</v>
      </c>
      <c r="Q650" s="34">
        <f>SUMIFS(DaybyDay[Service-Actuals],DaybyDay[Date],"&gt;="&amp;$C$5,DaybyDay[RowYear],"&gt;="&amp;$C$4,DaybyDay[Date],"&lt;="&amp;DaybyDay[[#This Row],[Date]])</f>
        <v>0</v>
      </c>
      <c r="R650" s="34">
        <f>SUMIFS(DaybyDay[Retail-Actuals],DaybyDay[Date],"&gt;="&amp;$C$5,DaybyDay[RowYear],"&gt;="&amp;$C$4,DaybyDay[Date],"&lt;="&amp;DaybyDay[[#This Row],[Date]])</f>
        <v>0</v>
      </c>
      <c r="S650" s="35">
        <f>SUMIFS(DaybyDay[Service-LY],DaybyDay[Date],"&gt;="&amp;$C$5,DaybyDay[RowYear],"&gt;="&amp;$C$4,DaybyDay[Date],"&lt;="&amp;DaybyDay[[#This Row],[Date]])</f>
        <v>0</v>
      </c>
      <c r="T650" s="35">
        <f>SUMIFS(DaybyDay[Retail-LY],DaybyDay[Date],"&gt;="&amp;$C$5,DaybyDay[RowYear],"&gt;="&amp;$C$4,DaybyDay[Date],"&lt;="&amp;DaybyDay[[#This Row],[Date]])</f>
        <v>0</v>
      </c>
      <c r="U650" s="32">
        <f>DaybyDay[[#This Row],[Serv-Bud-RU]]+DaybyDay[[#This Row],[Ret-Bud-RU]]</f>
        <v>0</v>
      </c>
      <c r="V650" s="32">
        <f>DaybyDay[[#This Row],[Serv-Act-RU]]+DaybyDay[[#This Row],[Ret-Act-RU]]</f>
        <v>0</v>
      </c>
      <c r="W650" s="36">
        <f>IF(DaybyDay[[#This Row],[_Space]],IFERROR(
((DaybyDay[[#This Row],[Actual-Rollup]]-DaybyDay[[#This Row],[Budget-Rollup]])/DaybyDay[[#This Row],[Budget-Rollup]]),0),"")</f>
        <v>0</v>
      </c>
      <c r="X650" t="b">
        <f>NOT(AND(ISBLANK(DaybyDay[[#This Row],[Appts]]),ISBLANK(DaybyDay[[#This Row],[Service-Actuals]]),ISBLANK(DaybyDay[[#This Row],[Retail-Actuals]])))</f>
        <v>1</v>
      </c>
      <c r="Y650" s="36">
        <f>IF(DaybyDay[[#This Row],[_Space]],IFERROR(
((DaybyDay[[#This Row],[Actual-Rollup]]-DaybyDay[[#This Row],[LY-Rollup]])/DaybyDay[[#This Row],[LY-Rollup]]),0),"")</f>
        <v>0</v>
      </c>
      <c r="Z650"/>
      <c r="AA650" s="37" t="e">
        <f>IF(DaybyDay[[#This Row],[_Space]],DaybyDay[[#This Row],[Ret-Act-RU]]/DaybyDay[[#This Row],[Serv-Act-RU]],"")</f>
        <v>#DIV/0!</v>
      </c>
      <c r="AB650" s="50" t="e">
        <f>IF(DaybyDay[[#This Row],[_Space]],DaybyDay[[#This Row],[RETPEN-Act]]/DaybyDay[[#This Row],[RETPEN-Bud]],"")</f>
        <v>#DIV/0!</v>
      </c>
      <c r="AC650" s="37" t="e">
        <f>IF(DaybyDay[[#This Row],[_Space]],DaybyDay[[#This Row],[Ret-Bud-RU]]/DaybyDay[[#This Row],[Serv-Bud-RU]],"")</f>
        <v>#DIV/0!</v>
      </c>
      <c r="AD650" s="37" t="e">
        <f>IF(DaybyDay[[#This Row],[_Space]],DaybyDay[[#This Row],[Ret-LY-RU]]/DaybyDay[[#This Row],[Serv-LY-RU]],"")</f>
        <v>#DIV/0!</v>
      </c>
      <c r="AE650" s="30">
        <f>WEEKDAY(DaybyDay[[#This Row],[LY-Date]])</f>
        <v>7</v>
      </c>
      <c r="AF650" s="38">
        <f>$E$2+_xlfn.DAYS(DaybyDay[[#This Row],[Date]],minDate)</f>
        <v>43015</v>
      </c>
      <c r="AG650" s="39" cm="1">
        <f t="array" ref="AG650">IFERROR(INDEX(DaybyDay[],DaybyDay[[#This Row],[FORM_MATCH_HELPER]],8),"")</f>
        <v>38</v>
      </c>
      <c r="AH650" s="39" cm="1">
        <f t="array" ref="AH650">IFERROR(INDEX(DaybyDay[],DaybyDay[[#This Row],[FORM_MATCH_HELPER]],10),"")</f>
        <v>9889.99</v>
      </c>
      <c r="AI650" s="39" cm="1">
        <f t="array" ref="AI650">IFERROR(INDEX(DaybyDay[],DaybyDay[[#This Row],[FORM_MATCH_HELPER]],12),"")</f>
        <v>1836.34</v>
      </c>
      <c r="AJ650" s="32">
        <f>IFERROR(DaybyDay[[#This Row],[Serv-LY-RU]]+DaybyDay[[#This Row],[Ret-LY-RU]],"")</f>
        <v>0</v>
      </c>
      <c r="AK6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0" s="77"/>
      <c r="AM650" s="40" t="str">
        <f>IF(DaybyDay[[#This Row],[Admin Hours]]&gt;0,DaybyDay[[#This Row],[Admin Hours]]*$AM$2+$AM$3,"")</f>
        <v/>
      </c>
      <c r="AN650" s="40">
        <f>SUMIFS(DaybyDay[Est-Admin-Payroll],DaybyDay[Date],"&gt;="&amp;$C$5,DaybyDay[RowYear],"&gt;="&amp;$C$4,DaybyDay[Date],"&lt;="&amp;DaybyDay[[#This Row],[Date]])</f>
        <v>0</v>
      </c>
      <c r="AO650" s="41" t="str">
        <f>IF(AND(DaybyDay[[#This Row],[_Space]],ISNUMBER(DaybyDay[[#This Row],[Admin Hours]])),DaybyDay[[#This Row],[Est-Admin-Payroll]]/(DaybyDay[[#This Row],[Service-Actuals]]+DaybyDay[[#This Row],[Retail-Actuals]]),"")</f>
        <v/>
      </c>
      <c r="AP650" s="41" t="e">
        <f>DaybyDay[[#This Row],[Estimated-Payroll-Rollup]]/DaybyDay[[#This Row],[Simple-Forecast]]</f>
        <v>#DIV/0!</v>
      </c>
      <c r="AQ6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0" s="77"/>
      <c r="AS650" s="40" t="str">
        <f>IF(DaybyDay[[#This Row],[Retail Hours]]&gt;0,DaybyDay[[#This Row],[Retail Hours]]*$AS$2,"")</f>
        <v/>
      </c>
      <c r="AT650" s="40">
        <f>SUMIFS(DaybyDay[Est-Retail-Payroll],DaybyDay[Date],"&gt;="&amp;$C$5,DaybyDay[RowYear],"&gt;="&amp;$C$4,DaybyDay[Date],"&lt;="&amp;DaybyDay[[#This Row],[Date]])</f>
        <v>0</v>
      </c>
      <c r="AU650" s="82" t="str">
        <f>IF(AND(DaybyDay[[#This Row],[_Space]],ISNUMBER(DaybyDay[[#This Row],[Retail Hours]])),DaybyDay[[#This Row],[Est-Retail-Payroll]]/(DaybyDay[[#This Row],[Retail-Actuals]]),"")</f>
        <v/>
      </c>
      <c r="AV650" s="82" t="e">
        <f>DaybyDay[[#This Row],[Est-Retail-PayrollRU]]/DaybyDay[[#This Row],[Simple-Forecast-Retail]]</f>
        <v>#DIV/0!</v>
      </c>
      <c r="AW650" s="8"/>
    </row>
    <row r="651" spans="3:49" hidden="1" x14ac:dyDescent="0.25">
      <c r="C651" s="26" t="str">
        <f>Tools!$C$1</f>
        <v>Example</v>
      </c>
      <c r="D651" s="27" t="s">
        <v>77</v>
      </c>
      <c r="E651" s="28">
        <v>2018</v>
      </c>
      <c r="F651" s="28">
        <f>MATCH(DaybyDay[[#This Row],[RowMonth]],Table3[SummaryMonth],0)</f>
        <v>10</v>
      </c>
      <c r="G651" s="29">
        <f>MATCH(DaybyDay[[#This Row],[LY-Date]],DaybyDay[Date],0)</f>
        <v>281</v>
      </c>
      <c r="H651" s="30">
        <f>WEEKDAY(DaybyDay[[#This Row],[Date]])</f>
        <v>1</v>
      </c>
      <c r="I651" s="31">
        <v>43380</v>
      </c>
      <c r="J651" s="74">
        <v>23</v>
      </c>
      <c r="K651" s="32">
        <f>SUMIFS(BudgetSeasonality[365 Seasonality],BudgetSeasonality[MonthAdjustment],DaybyDay[[#This Row],[Date]])*SUMIFS(Budgets[Service-Budget],Budgets[BudgetMonth],DaybyDay[[#This Row],[RowMonth]],Budgets[BudgetYear],DaybyDay[[#This Row],[RowYear]])</f>
        <v>7336.216915793254</v>
      </c>
      <c r="L651" s="75">
        <v>5710.5</v>
      </c>
      <c r="M651" s="32">
        <f>INDEX(BudgetSeasonality[365 Seasonality],MATCH(DaybyDay[[#This Row],[Date]],BudgetSeasonality[MonthAdjustment],0))*SUMIFS(Budgets[Retail-Budget],Budgets[BudgetMonth],DaybyDay[[#This Row],[RowMonth]],Budgets[BudgetYear],DaybyDay[[#This Row],[RowYear]])</f>
        <v>2204.0582050604107</v>
      </c>
      <c r="N651" s="75">
        <v>572</v>
      </c>
      <c r="O651" s="33">
        <f>SUMIFS(DaybyDay[Service-Budgets],DaybyDay[Date],"&gt;="&amp;$C$5,DaybyDay[RowYear],"&gt;="&amp;$C$4,DaybyDay[Date],"&lt;="&amp;DaybyDay[[#This Row],[Date]])</f>
        <v>0</v>
      </c>
      <c r="P651" s="33">
        <f>SUMIFS(DaybyDay[Retail-Budgets],DaybyDay[Date],"&gt;="&amp;$C$5,DaybyDay[RowYear],"&gt;="&amp;$C$4,DaybyDay[Date],"&lt;="&amp;DaybyDay[[#This Row],[Date]])</f>
        <v>0</v>
      </c>
      <c r="Q651" s="34">
        <f>SUMIFS(DaybyDay[Service-Actuals],DaybyDay[Date],"&gt;="&amp;$C$5,DaybyDay[RowYear],"&gt;="&amp;$C$4,DaybyDay[Date],"&lt;="&amp;DaybyDay[[#This Row],[Date]])</f>
        <v>0</v>
      </c>
      <c r="R651" s="34">
        <f>SUMIFS(DaybyDay[Retail-Actuals],DaybyDay[Date],"&gt;="&amp;$C$5,DaybyDay[RowYear],"&gt;="&amp;$C$4,DaybyDay[Date],"&lt;="&amp;DaybyDay[[#This Row],[Date]])</f>
        <v>0</v>
      </c>
      <c r="S651" s="35">
        <f>SUMIFS(DaybyDay[Service-LY],DaybyDay[Date],"&gt;="&amp;$C$5,DaybyDay[RowYear],"&gt;="&amp;$C$4,DaybyDay[Date],"&lt;="&amp;DaybyDay[[#This Row],[Date]])</f>
        <v>0</v>
      </c>
      <c r="T651" s="35">
        <f>SUMIFS(DaybyDay[Retail-LY],DaybyDay[Date],"&gt;="&amp;$C$5,DaybyDay[RowYear],"&gt;="&amp;$C$4,DaybyDay[Date],"&lt;="&amp;DaybyDay[[#This Row],[Date]])</f>
        <v>0</v>
      </c>
      <c r="U651" s="32">
        <f>DaybyDay[[#This Row],[Serv-Bud-RU]]+DaybyDay[[#This Row],[Ret-Bud-RU]]</f>
        <v>0</v>
      </c>
      <c r="V651" s="32">
        <f>DaybyDay[[#This Row],[Serv-Act-RU]]+DaybyDay[[#This Row],[Ret-Act-RU]]</f>
        <v>0</v>
      </c>
      <c r="W651" s="36">
        <f>IF(DaybyDay[[#This Row],[_Space]],IFERROR(
((DaybyDay[[#This Row],[Actual-Rollup]]-DaybyDay[[#This Row],[Budget-Rollup]])/DaybyDay[[#This Row],[Budget-Rollup]]),0),"")</f>
        <v>0</v>
      </c>
      <c r="X651" t="b">
        <f>NOT(AND(ISBLANK(DaybyDay[[#This Row],[Appts]]),ISBLANK(DaybyDay[[#This Row],[Service-Actuals]]),ISBLANK(DaybyDay[[#This Row],[Retail-Actuals]])))</f>
        <v>1</v>
      </c>
      <c r="Y651" s="36">
        <f>IF(DaybyDay[[#This Row],[_Space]],IFERROR(
((DaybyDay[[#This Row],[Actual-Rollup]]-DaybyDay[[#This Row],[LY-Rollup]])/DaybyDay[[#This Row],[LY-Rollup]]),0),"")</f>
        <v>0</v>
      </c>
      <c r="Z651"/>
      <c r="AA651" s="37" t="e">
        <f>IF(DaybyDay[[#This Row],[_Space]],DaybyDay[[#This Row],[Ret-Act-RU]]/DaybyDay[[#This Row],[Serv-Act-RU]],"")</f>
        <v>#DIV/0!</v>
      </c>
      <c r="AB651" s="50" t="e">
        <f>IF(DaybyDay[[#This Row],[_Space]],DaybyDay[[#This Row],[RETPEN-Act]]/DaybyDay[[#This Row],[RETPEN-Bud]],"")</f>
        <v>#DIV/0!</v>
      </c>
      <c r="AC651" s="37" t="e">
        <f>IF(DaybyDay[[#This Row],[_Space]],DaybyDay[[#This Row],[Ret-Bud-RU]]/DaybyDay[[#This Row],[Serv-Bud-RU]],"")</f>
        <v>#DIV/0!</v>
      </c>
      <c r="AD651" s="37" t="e">
        <f>IF(DaybyDay[[#This Row],[_Space]],DaybyDay[[#This Row],[Ret-LY-RU]]/DaybyDay[[#This Row],[Serv-LY-RU]],"")</f>
        <v>#DIV/0!</v>
      </c>
      <c r="AE651" s="30">
        <f>WEEKDAY(DaybyDay[[#This Row],[LY-Date]])</f>
        <v>1</v>
      </c>
      <c r="AF651" s="38">
        <f>$E$2+_xlfn.DAYS(DaybyDay[[#This Row],[Date]],minDate)</f>
        <v>43016</v>
      </c>
      <c r="AG651" s="39" cm="1">
        <f t="array" ref="AG651">IFERROR(INDEX(DaybyDay[],DaybyDay[[#This Row],[FORM_MATCH_HELPER]],8),"")</f>
        <v>37</v>
      </c>
      <c r="AH651" s="39" cm="1">
        <f t="array" ref="AH651">IFERROR(INDEX(DaybyDay[],DaybyDay[[#This Row],[FORM_MATCH_HELPER]],10),"")</f>
        <v>6044.3</v>
      </c>
      <c r="AI651" s="39" cm="1">
        <f t="array" ref="AI651">IFERROR(INDEX(DaybyDay[],DaybyDay[[#This Row],[FORM_MATCH_HELPER]],12),"")</f>
        <v>700.5</v>
      </c>
      <c r="AJ651" s="32">
        <f>IFERROR(DaybyDay[[#This Row],[Serv-LY-RU]]+DaybyDay[[#This Row],[Ret-LY-RU]],"")</f>
        <v>0</v>
      </c>
      <c r="AK6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1" s="77"/>
      <c r="AM651" s="40" t="str">
        <f>IF(DaybyDay[[#This Row],[Admin Hours]]&gt;0,DaybyDay[[#This Row],[Admin Hours]]*$AM$2+$AM$3,"")</f>
        <v/>
      </c>
      <c r="AN651" s="40">
        <f>SUMIFS(DaybyDay[Est-Admin-Payroll],DaybyDay[Date],"&gt;="&amp;$C$5,DaybyDay[RowYear],"&gt;="&amp;$C$4,DaybyDay[Date],"&lt;="&amp;DaybyDay[[#This Row],[Date]])</f>
        <v>0</v>
      </c>
      <c r="AO651" s="41" t="str">
        <f>IF(AND(DaybyDay[[#This Row],[_Space]],ISNUMBER(DaybyDay[[#This Row],[Admin Hours]])),DaybyDay[[#This Row],[Est-Admin-Payroll]]/(DaybyDay[[#This Row],[Service-Actuals]]+DaybyDay[[#This Row],[Retail-Actuals]]),"")</f>
        <v/>
      </c>
      <c r="AP651" s="41" t="e">
        <f>DaybyDay[[#This Row],[Estimated-Payroll-Rollup]]/DaybyDay[[#This Row],[Simple-Forecast]]</f>
        <v>#DIV/0!</v>
      </c>
      <c r="AQ6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1" s="77"/>
      <c r="AS651" s="40" t="str">
        <f>IF(DaybyDay[[#This Row],[Retail Hours]]&gt;0,DaybyDay[[#This Row],[Retail Hours]]*$AS$2,"")</f>
        <v/>
      </c>
      <c r="AT651" s="40">
        <f>SUMIFS(DaybyDay[Est-Retail-Payroll],DaybyDay[Date],"&gt;="&amp;$C$5,DaybyDay[RowYear],"&gt;="&amp;$C$4,DaybyDay[Date],"&lt;="&amp;DaybyDay[[#This Row],[Date]])</f>
        <v>0</v>
      </c>
      <c r="AU651" s="82" t="str">
        <f>IF(AND(DaybyDay[[#This Row],[_Space]],ISNUMBER(DaybyDay[[#This Row],[Retail Hours]])),DaybyDay[[#This Row],[Est-Retail-Payroll]]/(DaybyDay[[#This Row],[Retail-Actuals]]),"")</f>
        <v/>
      </c>
      <c r="AV651" s="82" t="e">
        <f>DaybyDay[[#This Row],[Est-Retail-PayrollRU]]/DaybyDay[[#This Row],[Simple-Forecast-Retail]]</f>
        <v>#DIV/0!</v>
      </c>
      <c r="AW651" s="8"/>
    </row>
    <row r="652" spans="3:49" hidden="1" x14ac:dyDescent="0.25">
      <c r="C652" s="26" t="str">
        <f>Tools!$C$1</f>
        <v>Example</v>
      </c>
      <c r="D652" s="27" t="s">
        <v>77</v>
      </c>
      <c r="E652" s="28">
        <v>2018</v>
      </c>
      <c r="F652" s="28">
        <f>MATCH(DaybyDay[[#This Row],[RowMonth]],Table3[SummaryMonth],0)</f>
        <v>10</v>
      </c>
      <c r="G652" s="29">
        <f>MATCH(DaybyDay[[#This Row],[LY-Date]],DaybyDay[Date],0)</f>
        <v>282</v>
      </c>
      <c r="H652" s="30">
        <f>WEEKDAY(DaybyDay[[#This Row],[Date]])</f>
        <v>2</v>
      </c>
      <c r="I652" s="31">
        <v>43381</v>
      </c>
      <c r="J652" s="74">
        <v>11</v>
      </c>
      <c r="K652" s="32">
        <f>SUMIFS(BudgetSeasonality[365 Seasonality],BudgetSeasonality[MonthAdjustment],DaybyDay[[#This Row],[Date]])*SUMIFS(Budgets[Service-Budget],Budgets[BudgetMonth],DaybyDay[[#This Row],[RowMonth]],Budgets[BudgetYear],DaybyDay[[#This Row],[RowYear]])</f>
        <v>4281.1890834312117</v>
      </c>
      <c r="L652" s="75">
        <v>3518</v>
      </c>
      <c r="M652" s="32">
        <f>INDEX(BudgetSeasonality[365 Seasonality],MATCH(DaybyDay[[#This Row],[Date]],BudgetSeasonality[MonthAdjustment],0))*SUMIFS(Budgets[Retail-Budget],Budgets[BudgetMonth],DaybyDay[[#This Row],[RowMonth]],Budgets[BudgetYear],DaybyDay[[#This Row],[RowYear]])</f>
        <v>1286.2201370352095</v>
      </c>
      <c r="N652" s="75">
        <v>573</v>
      </c>
      <c r="O652" s="33">
        <f>SUMIFS(DaybyDay[Service-Budgets],DaybyDay[Date],"&gt;="&amp;$C$5,DaybyDay[RowYear],"&gt;="&amp;$C$4,DaybyDay[Date],"&lt;="&amp;DaybyDay[[#This Row],[Date]])</f>
        <v>0</v>
      </c>
      <c r="P652" s="33">
        <f>SUMIFS(DaybyDay[Retail-Budgets],DaybyDay[Date],"&gt;="&amp;$C$5,DaybyDay[RowYear],"&gt;="&amp;$C$4,DaybyDay[Date],"&lt;="&amp;DaybyDay[[#This Row],[Date]])</f>
        <v>0</v>
      </c>
      <c r="Q652" s="34">
        <f>SUMIFS(DaybyDay[Service-Actuals],DaybyDay[Date],"&gt;="&amp;$C$5,DaybyDay[RowYear],"&gt;="&amp;$C$4,DaybyDay[Date],"&lt;="&amp;DaybyDay[[#This Row],[Date]])</f>
        <v>0</v>
      </c>
      <c r="R652" s="34">
        <f>SUMIFS(DaybyDay[Retail-Actuals],DaybyDay[Date],"&gt;="&amp;$C$5,DaybyDay[RowYear],"&gt;="&amp;$C$4,DaybyDay[Date],"&lt;="&amp;DaybyDay[[#This Row],[Date]])</f>
        <v>0</v>
      </c>
      <c r="S652" s="35">
        <f>SUMIFS(DaybyDay[Service-LY],DaybyDay[Date],"&gt;="&amp;$C$5,DaybyDay[RowYear],"&gt;="&amp;$C$4,DaybyDay[Date],"&lt;="&amp;DaybyDay[[#This Row],[Date]])</f>
        <v>0</v>
      </c>
      <c r="T652" s="35">
        <f>SUMIFS(DaybyDay[Retail-LY],DaybyDay[Date],"&gt;="&amp;$C$5,DaybyDay[RowYear],"&gt;="&amp;$C$4,DaybyDay[Date],"&lt;="&amp;DaybyDay[[#This Row],[Date]])</f>
        <v>0</v>
      </c>
      <c r="U652" s="32">
        <f>DaybyDay[[#This Row],[Serv-Bud-RU]]+DaybyDay[[#This Row],[Ret-Bud-RU]]</f>
        <v>0</v>
      </c>
      <c r="V652" s="32">
        <f>DaybyDay[[#This Row],[Serv-Act-RU]]+DaybyDay[[#This Row],[Ret-Act-RU]]</f>
        <v>0</v>
      </c>
      <c r="W652" s="36">
        <f>IF(DaybyDay[[#This Row],[_Space]],IFERROR(
((DaybyDay[[#This Row],[Actual-Rollup]]-DaybyDay[[#This Row],[Budget-Rollup]])/DaybyDay[[#This Row],[Budget-Rollup]]),0),"")</f>
        <v>0</v>
      </c>
      <c r="X652" t="b">
        <f>NOT(AND(ISBLANK(DaybyDay[[#This Row],[Appts]]),ISBLANK(DaybyDay[[#This Row],[Service-Actuals]]),ISBLANK(DaybyDay[[#This Row],[Retail-Actuals]])))</f>
        <v>1</v>
      </c>
      <c r="Y652" s="36">
        <f>IF(DaybyDay[[#This Row],[_Space]],IFERROR(
((DaybyDay[[#This Row],[Actual-Rollup]]-DaybyDay[[#This Row],[LY-Rollup]])/DaybyDay[[#This Row],[LY-Rollup]]),0),"")</f>
        <v>0</v>
      </c>
      <c r="Z652"/>
      <c r="AA652" s="37" t="e">
        <f>IF(DaybyDay[[#This Row],[_Space]],DaybyDay[[#This Row],[Ret-Act-RU]]/DaybyDay[[#This Row],[Serv-Act-RU]],"")</f>
        <v>#DIV/0!</v>
      </c>
      <c r="AB652" s="50" t="e">
        <f>IF(DaybyDay[[#This Row],[_Space]],DaybyDay[[#This Row],[RETPEN-Act]]/DaybyDay[[#This Row],[RETPEN-Bud]],"")</f>
        <v>#DIV/0!</v>
      </c>
      <c r="AC652" s="37" t="e">
        <f>IF(DaybyDay[[#This Row],[_Space]],DaybyDay[[#This Row],[Ret-Bud-RU]]/DaybyDay[[#This Row],[Serv-Bud-RU]],"")</f>
        <v>#DIV/0!</v>
      </c>
      <c r="AD652" s="37" t="e">
        <f>IF(DaybyDay[[#This Row],[_Space]],DaybyDay[[#This Row],[Ret-LY-RU]]/DaybyDay[[#This Row],[Serv-LY-RU]],"")</f>
        <v>#DIV/0!</v>
      </c>
      <c r="AE652" s="30">
        <f>WEEKDAY(DaybyDay[[#This Row],[LY-Date]])</f>
        <v>2</v>
      </c>
      <c r="AF652" s="38">
        <f>$E$2+_xlfn.DAYS(DaybyDay[[#This Row],[Date]],minDate)</f>
        <v>43017</v>
      </c>
      <c r="AG652" s="39" cm="1">
        <f t="array" ref="AG652">IFERROR(INDEX(DaybyDay[],DaybyDay[[#This Row],[FORM_MATCH_HELPER]],8),"")</f>
        <v>19</v>
      </c>
      <c r="AH652" s="39" cm="1">
        <f t="array" ref="AH652">IFERROR(INDEX(DaybyDay[],DaybyDay[[#This Row],[FORM_MATCH_HELPER]],10),"")</f>
        <v>2887</v>
      </c>
      <c r="AI652" s="39" cm="1">
        <f t="array" ref="AI652">IFERROR(INDEX(DaybyDay[],DaybyDay[[#This Row],[FORM_MATCH_HELPER]],12),"")</f>
        <v>0</v>
      </c>
      <c r="AJ652" s="32">
        <f>IFERROR(DaybyDay[[#This Row],[Serv-LY-RU]]+DaybyDay[[#This Row],[Ret-LY-RU]],"")</f>
        <v>0</v>
      </c>
      <c r="AK6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2" s="77"/>
      <c r="AM652" s="40" t="str">
        <f>IF(DaybyDay[[#This Row],[Admin Hours]]&gt;0,DaybyDay[[#This Row],[Admin Hours]]*$AM$2+$AM$3,"")</f>
        <v/>
      </c>
      <c r="AN652" s="40">
        <f>SUMIFS(DaybyDay[Est-Admin-Payroll],DaybyDay[Date],"&gt;="&amp;$C$5,DaybyDay[RowYear],"&gt;="&amp;$C$4,DaybyDay[Date],"&lt;="&amp;DaybyDay[[#This Row],[Date]])</f>
        <v>0</v>
      </c>
      <c r="AO652" s="41" t="str">
        <f>IF(AND(DaybyDay[[#This Row],[_Space]],ISNUMBER(DaybyDay[[#This Row],[Admin Hours]])),DaybyDay[[#This Row],[Est-Admin-Payroll]]/(DaybyDay[[#This Row],[Service-Actuals]]+DaybyDay[[#This Row],[Retail-Actuals]]),"")</f>
        <v/>
      </c>
      <c r="AP652" s="41" t="e">
        <f>DaybyDay[[#This Row],[Estimated-Payroll-Rollup]]/DaybyDay[[#This Row],[Simple-Forecast]]</f>
        <v>#DIV/0!</v>
      </c>
      <c r="AQ6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2" s="77"/>
      <c r="AS652" s="40" t="str">
        <f>IF(DaybyDay[[#This Row],[Retail Hours]]&gt;0,DaybyDay[[#This Row],[Retail Hours]]*$AS$2,"")</f>
        <v/>
      </c>
      <c r="AT652" s="40">
        <f>SUMIFS(DaybyDay[Est-Retail-Payroll],DaybyDay[Date],"&gt;="&amp;$C$5,DaybyDay[RowYear],"&gt;="&amp;$C$4,DaybyDay[Date],"&lt;="&amp;DaybyDay[[#This Row],[Date]])</f>
        <v>0</v>
      </c>
      <c r="AU652" s="82" t="str">
        <f>IF(AND(DaybyDay[[#This Row],[_Space]],ISNUMBER(DaybyDay[[#This Row],[Retail Hours]])),DaybyDay[[#This Row],[Est-Retail-Payroll]]/(DaybyDay[[#This Row],[Retail-Actuals]]),"")</f>
        <v/>
      </c>
      <c r="AV652" s="82" t="e">
        <f>DaybyDay[[#This Row],[Est-Retail-PayrollRU]]/DaybyDay[[#This Row],[Simple-Forecast-Retail]]</f>
        <v>#DIV/0!</v>
      </c>
      <c r="AW652" s="8"/>
    </row>
    <row r="653" spans="3:49" hidden="1" x14ac:dyDescent="0.25">
      <c r="C653" s="26" t="str">
        <f>Tools!$C$1</f>
        <v>Example</v>
      </c>
      <c r="D653" s="27" t="s">
        <v>77</v>
      </c>
      <c r="E653" s="28">
        <v>2018</v>
      </c>
      <c r="F653" s="28">
        <f>MATCH(DaybyDay[[#This Row],[RowMonth]],Table3[SummaryMonth],0)</f>
        <v>10</v>
      </c>
      <c r="G653" s="29">
        <f>MATCH(DaybyDay[[#This Row],[LY-Date]],DaybyDay[Date],0)</f>
        <v>283</v>
      </c>
      <c r="H653" s="30">
        <f>WEEKDAY(DaybyDay[[#This Row],[Date]])</f>
        <v>3</v>
      </c>
      <c r="I653" s="31">
        <v>43382</v>
      </c>
      <c r="J653" s="74">
        <v>12</v>
      </c>
      <c r="K653" s="32">
        <f>SUMIFS(BudgetSeasonality[365 Seasonality],BudgetSeasonality[MonthAdjustment],DaybyDay[[#This Row],[Date]])*SUMIFS(Budgets[Service-Budget],Budgets[BudgetMonth],DaybyDay[[#This Row],[RowMonth]],Budgets[BudgetYear],DaybyDay[[#This Row],[RowYear]])</f>
        <v>4490.6432165346123</v>
      </c>
      <c r="L653" s="75">
        <v>3265</v>
      </c>
      <c r="M653" s="32">
        <f>INDEX(BudgetSeasonality[365 Seasonality],MATCH(DaybyDay[[#This Row],[Date]],BudgetSeasonality[MonthAdjustment],0))*SUMIFS(Budgets[Retail-Budget],Budgets[BudgetMonth],DaybyDay[[#This Row],[RowMonth]],Budgets[BudgetYear],DaybyDay[[#This Row],[RowYear]])</f>
        <v>1349.147543074218</v>
      </c>
      <c r="N653" s="75">
        <v>165.8</v>
      </c>
      <c r="O653" s="33">
        <f>SUMIFS(DaybyDay[Service-Budgets],DaybyDay[Date],"&gt;="&amp;$C$5,DaybyDay[RowYear],"&gt;="&amp;$C$4,DaybyDay[Date],"&lt;="&amp;DaybyDay[[#This Row],[Date]])</f>
        <v>0</v>
      </c>
      <c r="P653" s="33">
        <f>SUMIFS(DaybyDay[Retail-Budgets],DaybyDay[Date],"&gt;="&amp;$C$5,DaybyDay[RowYear],"&gt;="&amp;$C$4,DaybyDay[Date],"&lt;="&amp;DaybyDay[[#This Row],[Date]])</f>
        <v>0</v>
      </c>
      <c r="Q653" s="34">
        <f>SUMIFS(DaybyDay[Service-Actuals],DaybyDay[Date],"&gt;="&amp;$C$5,DaybyDay[RowYear],"&gt;="&amp;$C$4,DaybyDay[Date],"&lt;="&amp;DaybyDay[[#This Row],[Date]])</f>
        <v>0</v>
      </c>
      <c r="R653" s="34">
        <f>SUMIFS(DaybyDay[Retail-Actuals],DaybyDay[Date],"&gt;="&amp;$C$5,DaybyDay[RowYear],"&gt;="&amp;$C$4,DaybyDay[Date],"&lt;="&amp;DaybyDay[[#This Row],[Date]])</f>
        <v>0</v>
      </c>
      <c r="S653" s="35">
        <f>SUMIFS(DaybyDay[Service-LY],DaybyDay[Date],"&gt;="&amp;$C$5,DaybyDay[RowYear],"&gt;="&amp;$C$4,DaybyDay[Date],"&lt;="&amp;DaybyDay[[#This Row],[Date]])</f>
        <v>0</v>
      </c>
      <c r="T653" s="35">
        <f>SUMIFS(DaybyDay[Retail-LY],DaybyDay[Date],"&gt;="&amp;$C$5,DaybyDay[RowYear],"&gt;="&amp;$C$4,DaybyDay[Date],"&lt;="&amp;DaybyDay[[#This Row],[Date]])</f>
        <v>0</v>
      </c>
      <c r="U653" s="32">
        <f>DaybyDay[[#This Row],[Serv-Bud-RU]]+DaybyDay[[#This Row],[Ret-Bud-RU]]</f>
        <v>0</v>
      </c>
      <c r="V653" s="32">
        <f>DaybyDay[[#This Row],[Serv-Act-RU]]+DaybyDay[[#This Row],[Ret-Act-RU]]</f>
        <v>0</v>
      </c>
      <c r="W653" s="36">
        <f>IF(DaybyDay[[#This Row],[_Space]],IFERROR(
((DaybyDay[[#This Row],[Actual-Rollup]]-DaybyDay[[#This Row],[Budget-Rollup]])/DaybyDay[[#This Row],[Budget-Rollup]]),0),"")</f>
        <v>0</v>
      </c>
      <c r="X653" t="b">
        <f>NOT(AND(ISBLANK(DaybyDay[[#This Row],[Appts]]),ISBLANK(DaybyDay[[#This Row],[Service-Actuals]]),ISBLANK(DaybyDay[[#This Row],[Retail-Actuals]])))</f>
        <v>1</v>
      </c>
      <c r="Y653" s="36">
        <f>IF(DaybyDay[[#This Row],[_Space]],IFERROR(
((DaybyDay[[#This Row],[Actual-Rollup]]-DaybyDay[[#This Row],[LY-Rollup]])/DaybyDay[[#This Row],[LY-Rollup]]),0),"")</f>
        <v>0</v>
      </c>
      <c r="Z653"/>
      <c r="AA653" s="37" t="e">
        <f>IF(DaybyDay[[#This Row],[_Space]],DaybyDay[[#This Row],[Ret-Act-RU]]/DaybyDay[[#This Row],[Serv-Act-RU]],"")</f>
        <v>#DIV/0!</v>
      </c>
      <c r="AB653" s="50" t="e">
        <f>IF(DaybyDay[[#This Row],[_Space]],DaybyDay[[#This Row],[RETPEN-Act]]/DaybyDay[[#This Row],[RETPEN-Bud]],"")</f>
        <v>#DIV/0!</v>
      </c>
      <c r="AC653" s="37" t="e">
        <f>IF(DaybyDay[[#This Row],[_Space]],DaybyDay[[#This Row],[Ret-Bud-RU]]/DaybyDay[[#This Row],[Serv-Bud-RU]],"")</f>
        <v>#DIV/0!</v>
      </c>
      <c r="AD653" s="37" t="e">
        <f>IF(DaybyDay[[#This Row],[_Space]],DaybyDay[[#This Row],[Ret-LY-RU]]/DaybyDay[[#This Row],[Serv-LY-RU]],"")</f>
        <v>#DIV/0!</v>
      </c>
      <c r="AE653" s="30">
        <f>WEEKDAY(DaybyDay[[#This Row],[LY-Date]])</f>
        <v>3</v>
      </c>
      <c r="AF653" s="38">
        <f>$E$2+_xlfn.DAYS(DaybyDay[[#This Row],[Date]],minDate)</f>
        <v>43018</v>
      </c>
      <c r="AG653" s="39" cm="1">
        <f t="array" ref="AG653">IFERROR(INDEX(DaybyDay[],DaybyDay[[#This Row],[FORM_MATCH_HELPER]],8),"")</f>
        <v>16</v>
      </c>
      <c r="AH653" s="39" cm="1">
        <f t="array" ref="AH653">IFERROR(INDEX(DaybyDay[],DaybyDay[[#This Row],[FORM_MATCH_HELPER]],10),"")</f>
        <v>3547.93</v>
      </c>
      <c r="AI653" s="39" cm="1">
        <f t="array" ref="AI653">IFERROR(INDEX(DaybyDay[],DaybyDay[[#This Row],[FORM_MATCH_HELPER]],12),"")</f>
        <v>1158.32</v>
      </c>
      <c r="AJ653" s="32">
        <f>IFERROR(DaybyDay[[#This Row],[Serv-LY-RU]]+DaybyDay[[#This Row],[Ret-LY-RU]],"")</f>
        <v>0</v>
      </c>
      <c r="AK6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3" s="77"/>
      <c r="AM653" s="40" t="str">
        <f>IF(DaybyDay[[#This Row],[Admin Hours]]&gt;0,DaybyDay[[#This Row],[Admin Hours]]*$AM$2+$AM$3,"")</f>
        <v/>
      </c>
      <c r="AN653" s="40">
        <f>SUMIFS(DaybyDay[Est-Admin-Payroll],DaybyDay[Date],"&gt;="&amp;$C$5,DaybyDay[RowYear],"&gt;="&amp;$C$4,DaybyDay[Date],"&lt;="&amp;DaybyDay[[#This Row],[Date]])</f>
        <v>0</v>
      </c>
      <c r="AO653" s="41" t="str">
        <f>IF(AND(DaybyDay[[#This Row],[_Space]],ISNUMBER(DaybyDay[[#This Row],[Admin Hours]])),DaybyDay[[#This Row],[Est-Admin-Payroll]]/(DaybyDay[[#This Row],[Service-Actuals]]+DaybyDay[[#This Row],[Retail-Actuals]]),"")</f>
        <v/>
      </c>
      <c r="AP653" s="41" t="e">
        <f>DaybyDay[[#This Row],[Estimated-Payroll-Rollup]]/DaybyDay[[#This Row],[Simple-Forecast]]</f>
        <v>#DIV/0!</v>
      </c>
      <c r="AQ6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3" s="77"/>
      <c r="AS653" s="40" t="str">
        <f>IF(DaybyDay[[#This Row],[Retail Hours]]&gt;0,DaybyDay[[#This Row],[Retail Hours]]*$AS$2,"")</f>
        <v/>
      </c>
      <c r="AT653" s="40">
        <f>SUMIFS(DaybyDay[Est-Retail-Payroll],DaybyDay[Date],"&gt;="&amp;$C$5,DaybyDay[RowYear],"&gt;="&amp;$C$4,DaybyDay[Date],"&lt;="&amp;DaybyDay[[#This Row],[Date]])</f>
        <v>0</v>
      </c>
      <c r="AU653" s="82" t="str">
        <f>IF(AND(DaybyDay[[#This Row],[_Space]],ISNUMBER(DaybyDay[[#This Row],[Retail Hours]])),DaybyDay[[#This Row],[Est-Retail-Payroll]]/(DaybyDay[[#This Row],[Retail-Actuals]]),"")</f>
        <v/>
      </c>
      <c r="AV653" s="82" t="e">
        <f>DaybyDay[[#This Row],[Est-Retail-PayrollRU]]/DaybyDay[[#This Row],[Simple-Forecast-Retail]]</f>
        <v>#DIV/0!</v>
      </c>
      <c r="AW653" s="8"/>
    </row>
    <row r="654" spans="3:49" hidden="1" x14ac:dyDescent="0.25">
      <c r="C654" s="26" t="str">
        <f>Tools!$C$1</f>
        <v>Example</v>
      </c>
      <c r="D654" s="27" t="s">
        <v>77</v>
      </c>
      <c r="E654" s="28">
        <v>2018</v>
      </c>
      <c r="F654" s="28">
        <f>MATCH(DaybyDay[[#This Row],[RowMonth]],Table3[SummaryMonth],0)</f>
        <v>10</v>
      </c>
      <c r="G654" s="29">
        <f>MATCH(DaybyDay[[#This Row],[LY-Date]],DaybyDay[Date],0)</f>
        <v>284</v>
      </c>
      <c r="H654" s="30">
        <f>WEEKDAY(DaybyDay[[#This Row],[Date]])</f>
        <v>4</v>
      </c>
      <c r="I654" s="31">
        <v>43383</v>
      </c>
      <c r="J654" s="74">
        <v>15</v>
      </c>
      <c r="K654" s="32">
        <f>SUMIFS(BudgetSeasonality[365 Seasonality],BudgetSeasonality[MonthAdjustment],DaybyDay[[#This Row],[Date]])*SUMIFS(Budgets[Service-Budget],Budgets[BudgetMonth],DaybyDay[[#This Row],[RowMonth]],Budgets[BudgetYear],DaybyDay[[#This Row],[RowYear]])</f>
        <v>5269.4932580889617</v>
      </c>
      <c r="L654" s="75">
        <v>4327.8500000000004</v>
      </c>
      <c r="M654" s="32">
        <f>INDEX(BudgetSeasonality[365 Seasonality],MATCH(DaybyDay[[#This Row],[Date]],BudgetSeasonality[MonthAdjustment],0))*SUMIFS(Budgets[Retail-Budget],Budgets[BudgetMonth],DaybyDay[[#This Row],[RowMonth]],Budgets[BudgetYear],DaybyDay[[#This Row],[RowYear]])</f>
        <v>1583.1415544704705</v>
      </c>
      <c r="N654" s="75">
        <v>661</v>
      </c>
      <c r="O654" s="33">
        <f>SUMIFS(DaybyDay[Service-Budgets],DaybyDay[Date],"&gt;="&amp;$C$5,DaybyDay[RowYear],"&gt;="&amp;$C$4,DaybyDay[Date],"&lt;="&amp;DaybyDay[[#This Row],[Date]])</f>
        <v>0</v>
      </c>
      <c r="P654" s="33">
        <f>SUMIFS(DaybyDay[Retail-Budgets],DaybyDay[Date],"&gt;="&amp;$C$5,DaybyDay[RowYear],"&gt;="&amp;$C$4,DaybyDay[Date],"&lt;="&amp;DaybyDay[[#This Row],[Date]])</f>
        <v>0</v>
      </c>
      <c r="Q654" s="34">
        <f>SUMIFS(DaybyDay[Service-Actuals],DaybyDay[Date],"&gt;="&amp;$C$5,DaybyDay[RowYear],"&gt;="&amp;$C$4,DaybyDay[Date],"&lt;="&amp;DaybyDay[[#This Row],[Date]])</f>
        <v>0</v>
      </c>
      <c r="R654" s="34">
        <f>SUMIFS(DaybyDay[Retail-Actuals],DaybyDay[Date],"&gt;="&amp;$C$5,DaybyDay[RowYear],"&gt;="&amp;$C$4,DaybyDay[Date],"&lt;="&amp;DaybyDay[[#This Row],[Date]])</f>
        <v>0</v>
      </c>
      <c r="S654" s="35">
        <f>SUMIFS(DaybyDay[Service-LY],DaybyDay[Date],"&gt;="&amp;$C$5,DaybyDay[RowYear],"&gt;="&amp;$C$4,DaybyDay[Date],"&lt;="&amp;DaybyDay[[#This Row],[Date]])</f>
        <v>0</v>
      </c>
      <c r="T654" s="35">
        <f>SUMIFS(DaybyDay[Retail-LY],DaybyDay[Date],"&gt;="&amp;$C$5,DaybyDay[RowYear],"&gt;="&amp;$C$4,DaybyDay[Date],"&lt;="&amp;DaybyDay[[#This Row],[Date]])</f>
        <v>0</v>
      </c>
      <c r="U654" s="32">
        <f>DaybyDay[[#This Row],[Serv-Bud-RU]]+DaybyDay[[#This Row],[Ret-Bud-RU]]</f>
        <v>0</v>
      </c>
      <c r="V654" s="32">
        <f>DaybyDay[[#This Row],[Serv-Act-RU]]+DaybyDay[[#This Row],[Ret-Act-RU]]</f>
        <v>0</v>
      </c>
      <c r="W654" s="36">
        <f>IF(DaybyDay[[#This Row],[_Space]],IFERROR(
((DaybyDay[[#This Row],[Actual-Rollup]]-DaybyDay[[#This Row],[Budget-Rollup]])/DaybyDay[[#This Row],[Budget-Rollup]]),0),"")</f>
        <v>0</v>
      </c>
      <c r="X654" t="b">
        <f>NOT(AND(ISBLANK(DaybyDay[[#This Row],[Appts]]),ISBLANK(DaybyDay[[#This Row],[Service-Actuals]]),ISBLANK(DaybyDay[[#This Row],[Retail-Actuals]])))</f>
        <v>1</v>
      </c>
      <c r="Y654" s="36">
        <f>IF(DaybyDay[[#This Row],[_Space]],IFERROR(
((DaybyDay[[#This Row],[Actual-Rollup]]-DaybyDay[[#This Row],[LY-Rollup]])/DaybyDay[[#This Row],[LY-Rollup]]),0),"")</f>
        <v>0</v>
      </c>
      <c r="Z654"/>
      <c r="AA654" s="37" t="e">
        <f>IF(DaybyDay[[#This Row],[_Space]],DaybyDay[[#This Row],[Ret-Act-RU]]/DaybyDay[[#This Row],[Serv-Act-RU]],"")</f>
        <v>#DIV/0!</v>
      </c>
      <c r="AB654" s="50" t="e">
        <f>IF(DaybyDay[[#This Row],[_Space]],DaybyDay[[#This Row],[RETPEN-Act]]/DaybyDay[[#This Row],[RETPEN-Bud]],"")</f>
        <v>#DIV/0!</v>
      </c>
      <c r="AC654" s="37" t="e">
        <f>IF(DaybyDay[[#This Row],[_Space]],DaybyDay[[#This Row],[Ret-Bud-RU]]/DaybyDay[[#This Row],[Serv-Bud-RU]],"")</f>
        <v>#DIV/0!</v>
      </c>
      <c r="AD654" s="37" t="e">
        <f>IF(DaybyDay[[#This Row],[_Space]],DaybyDay[[#This Row],[Ret-LY-RU]]/DaybyDay[[#This Row],[Serv-LY-RU]],"")</f>
        <v>#DIV/0!</v>
      </c>
      <c r="AE654" s="30">
        <f>WEEKDAY(DaybyDay[[#This Row],[LY-Date]])</f>
        <v>4</v>
      </c>
      <c r="AF654" s="38">
        <f>$E$2+_xlfn.DAYS(DaybyDay[[#This Row],[Date]],minDate)</f>
        <v>43019</v>
      </c>
      <c r="AG654" s="39" cm="1">
        <f t="array" ref="AG654">IFERROR(INDEX(DaybyDay[],DaybyDay[[#This Row],[FORM_MATCH_HELPER]],8),"")</f>
        <v>22</v>
      </c>
      <c r="AH654" s="39" cm="1">
        <f t="array" ref="AH654">IFERROR(INDEX(DaybyDay[],DaybyDay[[#This Row],[FORM_MATCH_HELPER]],10),"")</f>
        <v>4134.8</v>
      </c>
      <c r="AI654" s="39" cm="1">
        <f t="array" ref="AI654">IFERROR(INDEX(DaybyDay[],DaybyDay[[#This Row],[FORM_MATCH_HELPER]],12),"")</f>
        <v>1370.2</v>
      </c>
      <c r="AJ654" s="32">
        <f>IFERROR(DaybyDay[[#This Row],[Serv-LY-RU]]+DaybyDay[[#This Row],[Ret-LY-RU]],"")</f>
        <v>0</v>
      </c>
      <c r="AK6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4" s="77"/>
      <c r="AM654" s="40" t="str">
        <f>IF(DaybyDay[[#This Row],[Admin Hours]]&gt;0,DaybyDay[[#This Row],[Admin Hours]]*$AM$2+$AM$3,"")</f>
        <v/>
      </c>
      <c r="AN654" s="40">
        <f>SUMIFS(DaybyDay[Est-Admin-Payroll],DaybyDay[Date],"&gt;="&amp;$C$5,DaybyDay[RowYear],"&gt;="&amp;$C$4,DaybyDay[Date],"&lt;="&amp;DaybyDay[[#This Row],[Date]])</f>
        <v>0</v>
      </c>
      <c r="AO654" s="41" t="str">
        <f>IF(AND(DaybyDay[[#This Row],[_Space]],ISNUMBER(DaybyDay[[#This Row],[Admin Hours]])),DaybyDay[[#This Row],[Est-Admin-Payroll]]/(DaybyDay[[#This Row],[Service-Actuals]]+DaybyDay[[#This Row],[Retail-Actuals]]),"")</f>
        <v/>
      </c>
      <c r="AP654" s="41" t="e">
        <f>DaybyDay[[#This Row],[Estimated-Payroll-Rollup]]/DaybyDay[[#This Row],[Simple-Forecast]]</f>
        <v>#DIV/0!</v>
      </c>
      <c r="AQ6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4" s="77"/>
      <c r="AS654" s="40" t="str">
        <f>IF(DaybyDay[[#This Row],[Retail Hours]]&gt;0,DaybyDay[[#This Row],[Retail Hours]]*$AS$2,"")</f>
        <v/>
      </c>
      <c r="AT654" s="40">
        <f>SUMIFS(DaybyDay[Est-Retail-Payroll],DaybyDay[Date],"&gt;="&amp;$C$5,DaybyDay[RowYear],"&gt;="&amp;$C$4,DaybyDay[Date],"&lt;="&amp;DaybyDay[[#This Row],[Date]])</f>
        <v>0</v>
      </c>
      <c r="AU654" s="82" t="str">
        <f>IF(AND(DaybyDay[[#This Row],[_Space]],ISNUMBER(DaybyDay[[#This Row],[Retail Hours]])),DaybyDay[[#This Row],[Est-Retail-Payroll]]/(DaybyDay[[#This Row],[Retail-Actuals]]),"")</f>
        <v/>
      </c>
      <c r="AV654" s="82" t="e">
        <f>DaybyDay[[#This Row],[Est-Retail-PayrollRU]]/DaybyDay[[#This Row],[Simple-Forecast-Retail]]</f>
        <v>#DIV/0!</v>
      </c>
      <c r="AW654" s="8"/>
    </row>
    <row r="655" spans="3:49" hidden="1" x14ac:dyDescent="0.25">
      <c r="C655" s="26" t="str">
        <f>Tools!$C$1</f>
        <v>Example</v>
      </c>
      <c r="D655" s="27" t="s">
        <v>77</v>
      </c>
      <c r="E655" s="28">
        <v>2018</v>
      </c>
      <c r="F655" s="28">
        <f>MATCH(DaybyDay[[#This Row],[RowMonth]],Table3[SummaryMonth],0)</f>
        <v>10</v>
      </c>
      <c r="G655" s="29">
        <f>MATCH(DaybyDay[[#This Row],[LY-Date]],DaybyDay[Date],0)</f>
        <v>285</v>
      </c>
      <c r="H655" s="30">
        <f>WEEKDAY(DaybyDay[[#This Row],[Date]])</f>
        <v>5</v>
      </c>
      <c r="I655" s="31">
        <v>43384</v>
      </c>
      <c r="J655" s="74">
        <v>16</v>
      </c>
      <c r="K655" s="32">
        <f>SUMIFS(BudgetSeasonality[365 Seasonality],BudgetSeasonality[MonthAdjustment],DaybyDay[[#This Row],[Date]])*SUMIFS(Budgets[Service-Budget],Budgets[BudgetMonth],DaybyDay[[#This Row],[RowMonth]],Budgets[BudgetYear],DaybyDay[[#This Row],[RowYear]])</f>
        <v>5463.09106567459</v>
      </c>
      <c r="L655" s="75">
        <v>3884</v>
      </c>
      <c r="M655" s="32">
        <f>INDEX(BudgetSeasonality[365 Seasonality],MATCH(DaybyDay[[#This Row],[Date]],BudgetSeasonality[MonthAdjustment],0))*SUMIFS(Budgets[Retail-Budget],Budgets[BudgetMonth],DaybyDay[[#This Row],[RowMonth]],Budgets[BudgetYear],DaybyDay[[#This Row],[RowYear]])</f>
        <v>1641.3051612978827</v>
      </c>
      <c r="N655" s="75">
        <v>5235</v>
      </c>
      <c r="O655" s="33">
        <f>SUMIFS(DaybyDay[Service-Budgets],DaybyDay[Date],"&gt;="&amp;$C$5,DaybyDay[RowYear],"&gt;="&amp;$C$4,DaybyDay[Date],"&lt;="&amp;DaybyDay[[#This Row],[Date]])</f>
        <v>0</v>
      </c>
      <c r="P655" s="33">
        <f>SUMIFS(DaybyDay[Retail-Budgets],DaybyDay[Date],"&gt;="&amp;$C$5,DaybyDay[RowYear],"&gt;="&amp;$C$4,DaybyDay[Date],"&lt;="&amp;DaybyDay[[#This Row],[Date]])</f>
        <v>0</v>
      </c>
      <c r="Q655" s="34">
        <f>SUMIFS(DaybyDay[Service-Actuals],DaybyDay[Date],"&gt;="&amp;$C$5,DaybyDay[RowYear],"&gt;="&amp;$C$4,DaybyDay[Date],"&lt;="&amp;DaybyDay[[#This Row],[Date]])</f>
        <v>0</v>
      </c>
      <c r="R655" s="34">
        <f>SUMIFS(DaybyDay[Retail-Actuals],DaybyDay[Date],"&gt;="&amp;$C$5,DaybyDay[RowYear],"&gt;="&amp;$C$4,DaybyDay[Date],"&lt;="&amp;DaybyDay[[#This Row],[Date]])</f>
        <v>0</v>
      </c>
      <c r="S655" s="35">
        <f>SUMIFS(DaybyDay[Service-LY],DaybyDay[Date],"&gt;="&amp;$C$5,DaybyDay[RowYear],"&gt;="&amp;$C$4,DaybyDay[Date],"&lt;="&amp;DaybyDay[[#This Row],[Date]])</f>
        <v>0</v>
      </c>
      <c r="T655" s="35">
        <f>SUMIFS(DaybyDay[Retail-LY],DaybyDay[Date],"&gt;="&amp;$C$5,DaybyDay[RowYear],"&gt;="&amp;$C$4,DaybyDay[Date],"&lt;="&amp;DaybyDay[[#This Row],[Date]])</f>
        <v>0</v>
      </c>
      <c r="U655" s="32">
        <f>DaybyDay[[#This Row],[Serv-Bud-RU]]+DaybyDay[[#This Row],[Ret-Bud-RU]]</f>
        <v>0</v>
      </c>
      <c r="V655" s="32">
        <f>DaybyDay[[#This Row],[Serv-Act-RU]]+DaybyDay[[#This Row],[Ret-Act-RU]]</f>
        <v>0</v>
      </c>
      <c r="W655" s="36">
        <f>IF(DaybyDay[[#This Row],[_Space]],IFERROR(
((DaybyDay[[#This Row],[Actual-Rollup]]-DaybyDay[[#This Row],[Budget-Rollup]])/DaybyDay[[#This Row],[Budget-Rollup]]),0),"")</f>
        <v>0</v>
      </c>
      <c r="X655" t="b">
        <f>NOT(AND(ISBLANK(DaybyDay[[#This Row],[Appts]]),ISBLANK(DaybyDay[[#This Row],[Service-Actuals]]),ISBLANK(DaybyDay[[#This Row],[Retail-Actuals]])))</f>
        <v>1</v>
      </c>
      <c r="Y655" s="36">
        <f>IF(DaybyDay[[#This Row],[_Space]],IFERROR(
((DaybyDay[[#This Row],[Actual-Rollup]]-DaybyDay[[#This Row],[LY-Rollup]])/DaybyDay[[#This Row],[LY-Rollup]]),0),"")</f>
        <v>0</v>
      </c>
      <c r="Z655"/>
      <c r="AA655" s="37" t="e">
        <f>IF(DaybyDay[[#This Row],[_Space]],DaybyDay[[#This Row],[Ret-Act-RU]]/DaybyDay[[#This Row],[Serv-Act-RU]],"")</f>
        <v>#DIV/0!</v>
      </c>
      <c r="AB655" s="50" t="e">
        <f>IF(DaybyDay[[#This Row],[_Space]],DaybyDay[[#This Row],[RETPEN-Act]]/DaybyDay[[#This Row],[RETPEN-Bud]],"")</f>
        <v>#DIV/0!</v>
      </c>
      <c r="AC655" s="37" t="e">
        <f>IF(DaybyDay[[#This Row],[_Space]],DaybyDay[[#This Row],[Ret-Bud-RU]]/DaybyDay[[#This Row],[Serv-Bud-RU]],"")</f>
        <v>#DIV/0!</v>
      </c>
      <c r="AD655" s="37" t="e">
        <f>IF(DaybyDay[[#This Row],[_Space]],DaybyDay[[#This Row],[Ret-LY-RU]]/DaybyDay[[#This Row],[Serv-LY-RU]],"")</f>
        <v>#DIV/0!</v>
      </c>
      <c r="AE655" s="30">
        <f>WEEKDAY(DaybyDay[[#This Row],[LY-Date]])</f>
        <v>5</v>
      </c>
      <c r="AF655" s="38">
        <f>$E$2+_xlfn.DAYS(DaybyDay[[#This Row],[Date]],minDate)</f>
        <v>43020</v>
      </c>
      <c r="AG655" s="39" cm="1">
        <f t="array" ref="AG655">IFERROR(INDEX(DaybyDay[],DaybyDay[[#This Row],[FORM_MATCH_HELPER]],8),"")</f>
        <v>19</v>
      </c>
      <c r="AH655" s="39" cm="1">
        <f t="array" ref="AH655">IFERROR(INDEX(DaybyDay[],DaybyDay[[#This Row],[FORM_MATCH_HELPER]],10),"")</f>
        <v>3958.2</v>
      </c>
      <c r="AI655" s="39" cm="1">
        <f t="array" ref="AI655">IFERROR(INDEX(DaybyDay[],DaybyDay[[#This Row],[FORM_MATCH_HELPER]],12),"")</f>
        <v>791.39</v>
      </c>
      <c r="AJ655" s="32">
        <f>IFERROR(DaybyDay[[#This Row],[Serv-LY-RU]]+DaybyDay[[#This Row],[Ret-LY-RU]],"")</f>
        <v>0</v>
      </c>
      <c r="AK6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5" s="77"/>
      <c r="AM655" s="40" t="str">
        <f>IF(DaybyDay[[#This Row],[Admin Hours]]&gt;0,DaybyDay[[#This Row],[Admin Hours]]*$AM$2+$AM$3,"")</f>
        <v/>
      </c>
      <c r="AN655" s="40">
        <f>SUMIFS(DaybyDay[Est-Admin-Payroll],DaybyDay[Date],"&gt;="&amp;$C$5,DaybyDay[RowYear],"&gt;="&amp;$C$4,DaybyDay[Date],"&lt;="&amp;DaybyDay[[#This Row],[Date]])</f>
        <v>0</v>
      </c>
      <c r="AO655" s="41" t="str">
        <f>IF(AND(DaybyDay[[#This Row],[_Space]],ISNUMBER(DaybyDay[[#This Row],[Admin Hours]])),DaybyDay[[#This Row],[Est-Admin-Payroll]]/(DaybyDay[[#This Row],[Service-Actuals]]+DaybyDay[[#This Row],[Retail-Actuals]]),"")</f>
        <v/>
      </c>
      <c r="AP655" s="41" t="e">
        <f>DaybyDay[[#This Row],[Estimated-Payroll-Rollup]]/DaybyDay[[#This Row],[Simple-Forecast]]</f>
        <v>#DIV/0!</v>
      </c>
      <c r="AQ6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5" s="77"/>
      <c r="AS655" s="40" t="str">
        <f>IF(DaybyDay[[#This Row],[Retail Hours]]&gt;0,DaybyDay[[#This Row],[Retail Hours]]*$AS$2,"")</f>
        <v/>
      </c>
      <c r="AT655" s="40">
        <f>SUMIFS(DaybyDay[Est-Retail-Payroll],DaybyDay[Date],"&gt;="&amp;$C$5,DaybyDay[RowYear],"&gt;="&amp;$C$4,DaybyDay[Date],"&lt;="&amp;DaybyDay[[#This Row],[Date]])</f>
        <v>0</v>
      </c>
      <c r="AU655" s="82" t="str">
        <f>IF(AND(DaybyDay[[#This Row],[_Space]],ISNUMBER(DaybyDay[[#This Row],[Retail Hours]])),DaybyDay[[#This Row],[Est-Retail-Payroll]]/(DaybyDay[[#This Row],[Retail-Actuals]]),"")</f>
        <v/>
      </c>
      <c r="AV655" s="82" t="e">
        <f>DaybyDay[[#This Row],[Est-Retail-PayrollRU]]/DaybyDay[[#This Row],[Simple-Forecast-Retail]]</f>
        <v>#DIV/0!</v>
      </c>
      <c r="AW655" s="8"/>
    </row>
    <row r="656" spans="3:49" hidden="1" x14ac:dyDescent="0.25">
      <c r="C656" s="26" t="str">
        <f>Tools!$C$1</f>
        <v>Example</v>
      </c>
      <c r="D656" s="27" t="s">
        <v>77</v>
      </c>
      <c r="E656" s="28">
        <v>2018</v>
      </c>
      <c r="F656" s="28">
        <f>MATCH(DaybyDay[[#This Row],[RowMonth]],Table3[SummaryMonth],0)</f>
        <v>10</v>
      </c>
      <c r="G656" s="29">
        <f>MATCH(DaybyDay[[#This Row],[LY-Date]],DaybyDay[Date],0)</f>
        <v>286</v>
      </c>
      <c r="H656" s="30">
        <f>WEEKDAY(DaybyDay[[#This Row],[Date]])</f>
        <v>6</v>
      </c>
      <c r="I656" s="31">
        <v>43385</v>
      </c>
      <c r="J656" s="74">
        <v>26</v>
      </c>
      <c r="K656" s="32">
        <f>SUMIFS(BudgetSeasonality[365 Seasonality],BudgetSeasonality[MonthAdjustment],DaybyDay[[#This Row],[Date]])*SUMIFS(Budgets[Service-Budget],Budgets[BudgetMonth],DaybyDay[[#This Row],[RowMonth]],Budgets[BudgetYear],DaybyDay[[#This Row],[RowYear]])</f>
        <v>6859.9105608715117</v>
      </c>
      <c r="L656" s="75">
        <v>5238.99</v>
      </c>
      <c r="M656" s="32">
        <f>INDEX(BudgetSeasonality[365 Seasonality],MATCH(DaybyDay[[#This Row],[Date]],BudgetSeasonality[MonthAdjustment],0))*SUMIFS(Budgets[Retail-Budget],Budgets[BudgetMonth],DaybyDay[[#This Row],[RowMonth]],Budgets[BudgetYear],DaybyDay[[#This Row],[RowYear]])</f>
        <v>2060.9589835218981</v>
      </c>
      <c r="N656" s="75">
        <v>637.5</v>
      </c>
      <c r="O656" s="33">
        <f>SUMIFS(DaybyDay[Service-Budgets],DaybyDay[Date],"&gt;="&amp;$C$5,DaybyDay[RowYear],"&gt;="&amp;$C$4,DaybyDay[Date],"&lt;="&amp;DaybyDay[[#This Row],[Date]])</f>
        <v>0</v>
      </c>
      <c r="P656" s="33">
        <f>SUMIFS(DaybyDay[Retail-Budgets],DaybyDay[Date],"&gt;="&amp;$C$5,DaybyDay[RowYear],"&gt;="&amp;$C$4,DaybyDay[Date],"&lt;="&amp;DaybyDay[[#This Row],[Date]])</f>
        <v>0</v>
      </c>
      <c r="Q656" s="34">
        <f>SUMIFS(DaybyDay[Service-Actuals],DaybyDay[Date],"&gt;="&amp;$C$5,DaybyDay[RowYear],"&gt;="&amp;$C$4,DaybyDay[Date],"&lt;="&amp;DaybyDay[[#This Row],[Date]])</f>
        <v>0</v>
      </c>
      <c r="R656" s="34">
        <f>SUMIFS(DaybyDay[Retail-Actuals],DaybyDay[Date],"&gt;="&amp;$C$5,DaybyDay[RowYear],"&gt;="&amp;$C$4,DaybyDay[Date],"&lt;="&amp;DaybyDay[[#This Row],[Date]])</f>
        <v>0</v>
      </c>
      <c r="S656" s="35">
        <f>SUMIFS(DaybyDay[Service-LY],DaybyDay[Date],"&gt;="&amp;$C$5,DaybyDay[RowYear],"&gt;="&amp;$C$4,DaybyDay[Date],"&lt;="&amp;DaybyDay[[#This Row],[Date]])</f>
        <v>0</v>
      </c>
      <c r="T656" s="35">
        <f>SUMIFS(DaybyDay[Retail-LY],DaybyDay[Date],"&gt;="&amp;$C$5,DaybyDay[RowYear],"&gt;="&amp;$C$4,DaybyDay[Date],"&lt;="&amp;DaybyDay[[#This Row],[Date]])</f>
        <v>0</v>
      </c>
      <c r="U656" s="32">
        <f>DaybyDay[[#This Row],[Serv-Bud-RU]]+DaybyDay[[#This Row],[Ret-Bud-RU]]</f>
        <v>0</v>
      </c>
      <c r="V656" s="32">
        <f>DaybyDay[[#This Row],[Serv-Act-RU]]+DaybyDay[[#This Row],[Ret-Act-RU]]</f>
        <v>0</v>
      </c>
      <c r="W656" s="36">
        <f>IF(DaybyDay[[#This Row],[_Space]],IFERROR(
((DaybyDay[[#This Row],[Actual-Rollup]]-DaybyDay[[#This Row],[Budget-Rollup]])/DaybyDay[[#This Row],[Budget-Rollup]]),0),"")</f>
        <v>0</v>
      </c>
      <c r="X656" t="b">
        <f>NOT(AND(ISBLANK(DaybyDay[[#This Row],[Appts]]),ISBLANK(DaybyDay[[#This Row],[Service-Actuals]]),ISBLANK(DaybyDay[[#This Row],[Retail-Actuals]])))</f>
        <v>1</v>
      </c>
      <c r="Y656" s="36">
        <f>IF(DaybyDay[[#This Row],[_Space]],IFERROR(
((DaybyDay[[#This Row],[Actual-Rollup]]-DaybyDay[[#This Row],[LY-Rollup]])/DaybyDay[[#This Row],[LY-Rollup]]),0),"")</f>
        <v>0</v>
      </c>
      <c r="Z656"/>
      <c r="AA656" s="37" t="e">
        <f>IF(DaybyDay[[#This Row],[_Space]],DaybyDay[[#This Row],[Ret-Act-RU]]/DaybyDay[[#This Row],[Serv-Act-RU]],"")</f>
        <v>#DIV/0!</v>
      </c>
      <c r="AB656" s="50" t="e">
        <f>IF(DaybyDay[[#This Row],[_Space]],DaybyDay[[#This Row],[RETPEN-Act]]/DaybyDay[[#This Row],[RETPEN-Bud]],"")</f>
        <v>#DIV/0!</v>
      </c>
      <c r="AC656" s="37" t="e">
        <f>IF(DaybyDay[[#This Row],[_Space]],DaybyDay[[#This Row],[Ret-Bud-RU]]/DaybyDay[[#This Row],[Serv-Bud-RU]],"")</f>
        <v>#DIV/0!</v>
      </c>
      <c r="AD656" s="37" t="e">
        <f>IF(DaybyDay[[#This Row],[_Space]],DaybyDay[[#This Row],[Ret-LY-RU]]/DaybyDay[[#This Row],[Serv-LY-RU]],"")</f>
        <v>#DIV/0!</v>
      </c>
      <c r="AE656" s="30">
        <f>WEEKDAY(DaybyDay[[#This Row],[LY-Date]])</f>
        <v>6</v>
      </c>
      <c r="AF656" s="38">
        <f>$E$2+_xlfn.DAYS(DaybyDay[[#This Row],[Date]],minDate)</f>
        <v>43021</v>
      </c>
      <c r="AG656" s="39" cm="1">
        <f t="array" ref="AG656">IFERROR(INDEX(DaybyDay[],DaybyDay[[#This Row],[FORM_MATCH_HELPER]],8),"")</f>
        <v>18</v>
      </c>
      <c r="AH656" s="39" cm="1">
        <f t="array" ref="AH656">IFERROR(INDEX(DaybyDay[],DaybyDay[[#This Row],[FORM_MATCH_HELPER]],10),"")</f>
        <v>3973</v>
      </c>
      <c r="AI656" s="39" cm="1">
        <f t="array" ref="AI656">IFERROR(INDEX(DaybyDay[],DaybyDay[[#This Row],[FORM_MATCH_HELPER]],12),"")</f>
        <v>609.20000000000005</v>
      </c>
      <c r="AJ656" s="32">
        <f>IFERROR(DaybyDay[[#This Row],[Serv-LY-RU]]+DaybyDay[[#This Row],[Ret-LY-RU]],"")</f>
        <v>0</v>
      </c>
      <c r="AK6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6" s="77"/>
      <c r="AM656" s="40" t="str">
        <f>IF(DaybyDay[[#This Row],[Admin Hours]]&gt;0,DaybyDay[[#This Row],[Admin Hours]]*$AM$2+$AM$3,"")</f>
        <v/>
      </c>
      <c r="AN656" s="40">
        <f>SUMIFS(DaybyDay[Est-Admin-Payroll],DaybyDay[Date],"&gt;="&amp;$C$5,DaybyDay[RowYear],"&gt;="&amp;$C$4,DaybyDay[Date],"&lt;="&amp;DaybyDay[[#This Row],[Date]])</f>
        <v>0</v>
      </c>
      <c r="AO656" s="41" t="str">
        <f>IF(AND(DaybyDay[[#This Row],[_Space]],ISNUMBER(DaybyDay[[#This Row],[Admin Hours]])),DaybyDay[[#This Row],[Est-Admin-Payroll]]/(DaybyDay[[#This Row],[Service-Actuals]]+DaybyDay[[#This Row],[Retail-Actuals]]),"")</f>
        <v/>
      </c>
      <c r="AP656" s="41" t="e">
        <f>DaybyDay[[#This Row],[Estimated-Payroll-Rollup]]/DaybyDay[[#This Row],[Simple-Forecast]]</f>
        <v>#DIV/0!</v>
      </c>
      <c r="AQ6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6" s="77"/>
      <c r="AS656" s="40" t="str">
        <f>IF(DaybyDay[[#This Row],[Retail Hours]]&gt;0,DaybyDay[[#This Row],[Retail Hours]]*$AS$2,"")</f>
        <v/>
      </c>
      <c r="AT656" s="40">
        <f>SUMIFS(DaybyDay[Est-Retail-Payroll],DaybyDay[Date],"&gt;="&amp;$C$5,DaybyDay[RowYear],"&gt;="&amp;$C$4,DaybyDay[Date],"&lt;="&amp;DaybyDay[[#This Row],[Date]])</f>
        <v>0</v>
      </c>
      <c r="AU656" s="82" t="str">
        <f>IF(AND(DaybyDay[[#This Row],[_Space]],ISNUMBER(DaybyDay[[#This Row],[Retail Hours]])),DaybyDay[[#This Row],[Est-Retail-Payroll]]/(DaybyDay[[#This Row],[Retail-Actuals]]),"")</f>
        <v/>
      </c>
      <c r="AV656" s="82" t="e">
        <f>DaybyDay[[#This Row],[Est-Retail-PayrollRU]]/DaybyDay[[#This Row],[Simple-Forecast-Retail]]</f>
        <v>#DIV/0!</v>
      </c>
      <c r="AW656" s="8"/>
    </row>
    <row r="657" spans="3:49" hidden="1" x14ac:dyDescent="0.25">
      <c r="C657" s="26" t="str">
        <f>Tools!$C$1</f>
        <v>Example</v>
      </c>
      <c r="D657" s="27" t="s">
        <v>77</v>
      </c>
      <c r="E657" s="28">
        <v>2018</v>
      </c>
      <c r="F657" s="28">
        <f>MATCH(DaybyDay[[#This Row],[RowMonth]],Table3[SummaryMonth],0)</f>
        <v>10</v>
      </c>
      <c r="G657" s="29">
        <f>MATCH(DaybyDay[[#This Row],[LY-Date]],DaybyDay[Date],0)</f>
        <v>287</v>
      </c>
      <c r="H657" s="30">
        <f>WEEKDAY(DaybyDay[[#This Row],[Date]])</f>
        <v>7</v>
      </c>
      <c r="I657" s="31">
        <v>43386</v>
      </c>
      <c r="J657" s="74">
        <v>51</v>
      </c>
      <c r="K657" s="32">
        <f>SUMIFS(BudgetSeasonality[365 Seasonality],BudgetSeasonality[MonthAdjustment],DaybyDay[[#This Row],[Date]])*SUMIFS(Budgets[Service-Budget],Budgets[BudgetMonth],DaybyDay[[#This Row],[RowMonth]],Budgets[BudgetYear],DaybyDay[[#This Row],[RowYear]])</f>
        <v>9770.5828241706276</v>
      </c>
      <c r="L657" s="75">
        <v>7669.5</v>
      </c>
      <c r="M657" s="32">
        <f>INDEX(BudgetSeasonality[365 Seasonality],MATCH(DaybyDay[[#This Row],[Date]],BudgetSeasonality[MonthAdjustment],0))*SUMIFS(Budgets[Retail-Budget],Budgets[BudgetMonth],DaybyDay[[#This Row],[RowMonth]],Budgets[BudgetYear],DaybyDay[[#This Row],[RowYear]])</f>
        <v>2935.4275492421225</v>
      </c>
      <c r="N657" s="75">
        <v>173.5</v>
      </c>
      <c r="O657" s="33">
        <f>SUMIFS(DaybyDay[Service-Budgets],DaybyDay[Date],"&gt;="&amp;$C$5,DaybyDay[RowYear],"&gt;="&amp;$C$4,DaybyDay[Date],"&lt;="&amp;DaybyDay[[#This Row],[Date]])</f>
        <v>0</v>
      </c>
      <c r="P657" s="33">
        <f>SUMIFS(DaybyDay[Retail-Budgets],DaybyDay[Date],"&gt;="&amp;$C$5,DaybyDay[RowYear],"&gt;="&amp;$C$4,DaybyDay[Date],"&lt;="&amp;DaybyDay[[#This Row],[Date]])</f>
        <v>0</v>
      </c>
      <c r="Q657" s="34">
        <f>SUMIFS(DaybyDay[Service-Actuals],DaybyDay[Date],"&gt;="&amp;$C$5,DaybyDay[RowYear],"&gt;="&amp;$C$4,DaybyDay[Date],"&lt;="&amp;DaybyDay[[#This Row],[Date]])</f>
        <v>0</v>
      </c>
      <c r="R657" s="34">
        <f>SUMIFS(DaybyDay[Retail-Actuals],DaybyDay[Date],"&gt;="&amp;$C$5,DaybyDay[RowYear],"&gt;="&amp;$C$4,DaybyDay[Date],"&lt;="&amp;DaybyDay[[#This Row],[Date]])</f>
        <v>0</v>
      </c>
      <c r="S657" s="35">
        <f>SUMIFS(DaybyDay[Service-LY],DaybyDay[Date],"&gt;="&amp;$C$5,DaybyDay[RowYear],"&gt;="&amp;$C$4,DaybyDay[Date],"&lt;="&amp;DaybyDay[[#This Row],[Date]])</f>
        <v>0</v>
      </c>
      <c r="T657" s="35">
        <f>SUMIFS(DaybyDay[Retail-LY],DaybyDay[Date],"&gt;="&amp;$C$5,DaybyDay[RowYear],"&gt;="&amp;$C$4,DaybyDay[Date],"&lt;="&amp;DaybyDay[[#This Row],[Date]])</f>
        <v>0</v>
      </c>
      <c r="U657" s="32">
        <f>DaybyDay[[#This Row],[Serv-Bud-RU]]+DaybyDay[[#This Row],[Ret-Bud-RU]]</f>
        <v>0</v>
      </c>
      <c r="V657" s="32">
        <f>DaybyDay[[#This Row],[Serv-Act-RU]]+DaybyDay[[#This Row],[Ret-Act-RU]]</f>
        <v>0</v>
      </c>
      <c r="W657" s="36">
        <f>IF(DaybyDay[[#This Row],[_Space]],IFERROR(
((DaybyDay[[#This Row],[Actual-Rollup]]-DaybyDay[[#This Row],[Budget-Rollup]])/DaybyDay[[#This Row],[Budget-Rollup]]),0),"")</f>
        <v>0</v>
      </c>
      <c r="X657" t="b">
        <f>NOT(AND(ISBLANK(DaybyDay[[#This Row],[Appts]]),ISBLANK(DaybyDay[[#This Row],[Service-Actuals]]),ISBLANK(DaybyDay[[#This Row],[Retail-Actuals]])))</f>
        <v>1</v>
      </c>
      <c r="Y657" s="36">
        <f>IF(DaybyDay[[#This Row],[_Space]],IFERROR(
((DaybyDay[[#This Row],[Actual-Rollup]]-DaybyDay[[#This Row],[LY-Rollup]])/DaybyDay[[#This Row],[LY-Rollup]]),0),"")</f>
        <v>0</v>
      </c>
      <c r="Z657"/>
      <c r="AA657" s="37" t="e">
        <f>IF(DaybyDay[[#This Row],[_Space]],DaybyDay[[#This Row],[Ret-Act-RU]]/DaybyDay[[#This Row],[Serv-Act-RU]],"")</f>
        <v>#DIV/0!</v>
      </c>
      <c r="AB657" s="50" t="e">
        <f>IF(DaybyDay[[#This Row],[_Space]],DaybyDay[[#This Row],[RETPEN-Act]]/DaybyDay[[#This Row],[RETPEN-Bud]],"")</f>
        <v>#DIV/0!</v>
      </c>
      <c r="AC657" s="37" t="e">
        <f>IF(DaybyDay[[#This Row],[_Space]],DaybyDay[[#This Row],[Ret-Bud-RU]]/DaybyDay[[#This Row],[Serv-Bud-RU]],"")</f>
        <v>#DIV/0!</v>
      </c>
      <c r="AD657" s="37" t="e">
        <f>IF(DaybyDay[[#This Row],[_Space]],DaybyDay[[#This Row],[Ret-LY-RU]]/DaybyDay[[#This Row],[Serv-LY-RU]],"")</f>
        <v>#DIV/0!</v>
      </c>
      <c r="AE657" s="30">
        <f>WEEKDAY(DaybyDay[[#This Row],[LY-Date]])</f>
        <v>7</v>
      </c>
      <c r="AF657" s="38">
        <f>$E$2+_xlfn.DAYS(DaybyDay[[#This Row],[Date]],minDate)</f>
        <v>43022</v>
      </c>
      <c r="AG657" s="39" cm="1">
        <f t="array" ref="AG657">IFERROR(INDEX(DaybyDay[],DaybyDay[[#This Row],[FORM_MATCH_HELPER]],8),"")</f>
        <v>22</v>
      </c>
      <c r="AH657" s="39" cm="1">
        <f t="array" ref="AH657">IFERROR(INDEX(DaybyDay[],DaybyDay[[#This Row],[FORM_MATCH_HELPER]],10),"")</f>
        <v>5296</v>
      </c>
      <c r="AI657" s="39" cm="1">
        <f t="array" ref="AI657">IFERROR(INDEX(DaybyDay[],DaybyDay[[#This Row],[FORM_MATCH_HELPER]],12),"")</f>
        <v>7385</v>
      </c>
      <c r="AJ657" s="32">
        <f>IFERROR(DaybyDay[[#This Row],[Serv-LY-RU]]+DaybyDay[[#This Row],[Ret-LY-RU]],"")</f>
        <v>0</v>
      </c>
      <c r="AK6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7" s="77"/>
      <c r="AM657" s="40" t="str">
        <f>IF(DaybyDay[[#This Row],[Admin Hours]]&gt;0,DaybyDay[[#This Row],[Admin Hours]]*$AM$2+$AM$3,"")</f>
        <v/>
      </c>
      <c r="AN657" s="40">
        <f>SUMIFS(DaybyDay[Est-Admin-Payroll],DaybyDay[Date],"&gt;="&amp;$C$5,DaybyDay[RowYear],"&gt;="&amp;$C$4,DaybyDay[Date],"&lt;="&amp;DaybyDay[[#This Row],[Date]])</f>
        <v>0</v>
      </c>
      <c r="AO657" s="41" t="str">
        <f>IF(AND(DaybyDay[[#This Row],[_Space]],ISNUMBER(DaybyDay[[#This Row],[Admin Hours]])),DaybyDay[[#This Row],[Est-Admin-Payroll]]/(DaybyDay[[#This Row],[Service-Actuals]]+DaybyDay[[#This Row],[Retail-Actuals]]),"")</f>
        <v/>
      </c>
      <c r="AP657" s="41" t="e">
        <f>DaybyDay[[#This Row],[Estimated-Payroll-Rollup]]/DaybyDay[[#This Row],[Simple-Forecast]]</f>
        <v>#DIV/0!</v>
      </c>
      <c r="AQ6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7" s="77"/>
      <c r="AS657" s="40" t="str">
        <f>IF(DaybyDay[[#This Row],[Retail Hours]]&gt;0,DaybyDay[[#This Row],[Retail Hours]]*$AS$2,"")</f>
        <v/>
      </c>
      <c r="AT657" s="40">
        <f>SUMIFS(DaybyDay[Est-Retail-Payroll],DaybyDay[Date],"&gt;="&amp;$C$5,DaybyDay[RowYear],"&gt;="&amp;$C$4,DaybyDay[Date],"&lt;="&amp;DaybyDay[[#This Row],[Date]])</f>
        <v>0</v>
      </c>
      <c r="AU657" s="82" t="str">
        <f>IF(AND(DaybyDay[[#This Row],[_Space]],ISNUMBER(DaybyDay[[#This Row],[Retail Hours]])),DaybyDay[[#This Row],[Est-Retail-Payroll]]/(DaybyDay[[#This Row],[Retail-Actuals]]),"")</f>
        <v/>
      </c>
      <c r="AV657" s="82" t="e">
        <f>DaybyDay[[#This Row],[Est-Retail-PayrollRU]]/DaybyDay[[#This Row],[Simple-Forecast-Retail]]</f>
        <v>#DIV/0!</v>
      </c>
      <c r="AW657" s="8"/>
    </row>
    <row r="658" spans="3:49" hidden="1" x14ac:dyDescent="0.25">
      <c r="C658" s="26" t="str">
        <f>Tools!$C$1</f>
        <v>Example</v>
      </c>
      <c r="D658" s="27" t="s">
        <v>77</v>
      </c>
      <c r="E658" s="28">
        <v>2018</v>
      </c>
      <c r="F658" s="28">
        <f>MATCH(DaybyDay[[#This Row],[RowMonth]],Table3[SummaryMonth],0)</f>
        <v>10</v>
      </c>
      <c r="G658" s="29">
        <f>MATCH(DaybyDay[[#This Row],[LY-Date]],DaybyDay[Date],0)</f>
        <v>288</v>
      </c>
      <c r="H658" s="30">
        <f>WEEKDAY(DaybyDay[[#This Row],[Date]])</f>
        <v>1</v>
      </c>
      <c r="I658" s="31">
        <v>43387</v>
      </c>
      <c r="J658" s="74">
        <v>25</v>
      </c>
      <c r="K658" s="32">
        <f>SUMIFS(BudgetSeasonality[365 Seasonality],BudgetSeasonality[MonthAdjustment],DaybyDay[[#This Row],[Date]])*SUMIFS(Budgets[Service-Budget],Budgets[BudgetMonth],DaybyDay[[#This Row],[RowMonth]],Budgets[BudgetYear],DaybyDay[[#This Row],[RowYear]])</f>
        <v>7674.7768161914728</v>
      </c>
      <c r="L658" s="75">
        <v>7818</v>
      </c>
      <c r="M658" s="32">
        <f>INDEX(BudgetSeasonality[365 Seasonality],MATCH(DaybyDay[[#This Row],[Date]],BudgetSeasonality[MonthAdjustment],0))*SUMIFS(Budgets[Retail-Budget],Budgets[BudgetMonth],DaybyDay[[#This Row],[RowMonth]],Budgets[BudgetYear],DaybyDay[[#This Row],[RowYear]])</f>
        <v>2305.7735353106264</v>
      </c>
      <c r="N658" s="75">
        <v>2286</v>
      </c>
      <c r="O658" s="33">
        <f>SUMIFS(DaybyDay[Service-Budgets],DaybyDay[Date],"&gt;="&amp;$C$5,DaybyDay[RowYear],"&gt;="&amp;$C$4,DaybyDay[Date],"&lt;="&amp;DaybyDay[[#This Row],[Date]])</f>
        <v>0</v>
      </c>
      <c r="P658" s="33">
        <f>SUMIFS(DaybyDay[Retail-Budgets],DaybyDay[Date],"&gt;="&amp;$C$5,DaybyDay[RowYear],"&gt;="&amp;$C$4,DaybyDay[Date],"&lt;="&amp;DaybyDay[[#This Row],[Date]])</f>
        <v>0</v>
      </c>
      <c r="Q658" s="34">
        <f>SUMIFS(DaybyDay[Service-Actuals],DaybyDay[Date],"&gt;="&amp;$C$5,DaybyDay[RowYear],"&gt;="&amp;$C$4,DaybyDay[Date],"&lt;="&amp;DaybyDay[[#This Row],[Date]])</f>
        <v>0</v>
      </c>
      <c r="R658" s="34">
        <f>SUMIFS(DaybyDay[Retail-Actuals],DaybyDay[Date],"&gt;="&amp;$C$5,DaybyDay[RowYear],"&gt;="&amp;$C$4,DaybyDay[Date],"&lt;="&amp;DaybyDay[[#This Row],[Date]])</f>
        <v>0</v>
      </c>
      <c r="S658" s="35">
        <f>SUMIFS(DaybyDay[Service-LY],DaybyDay[Date],"&gt;="&amp;$C$5,DaybyDay[RowYear],"&gt;="&amp;$C$4,DaybyDay[Date],"&lt;="&amp;DaybyDay[[#This Row],[Date]])</f>
        <v>0</v>
      </c>
      <c r="T658" s="35">
        <f>SUMIFS(DaybyDay[Retail-LY],DaybyDay[Date],"&gt;="&amp;$C$5,DaybyDay[RowYear],"&gt;="&amp;$C$4,DaybyDay[Date],"&lt;="&amp;DaybyDay[[#This Row],[Date]])</f>
        <v>0</v>
      </c>
      <c r="U658" s="32">
        <f>DaybyDay[[#This Row],[Serv-Bud-RU]]+DaybyDay[[#This Row],[Ret-Bud-RU]]</f>
        <v>0</v>
      </c>
      <c r="V658" s="32">
        <f>DaybyDay[[#This Row],[Serv-Act-RU]]+DaybyDay[[#This Row],[Ret-Act-RU]]</f>
        <v>0</v>
      </c>
      <c r="W658" s="36">
        <f>IF(DaybyDay[[#This Row],[_Space]],IFERROR(
((DaybyDay[[#This Row],[Actual-Rollup]]-DaybyDay[[#This Row],[Budget-Rollup]])/DaybyDay[[#This Row],[Budget-Rollup]]),0),"")</f>
        <v>0</v>
      </c>
      <c r="X658" t="b">
        <f>NOT(AND(ISBLANK(DaybyDay[[#This Row],[Appts]]),ISBLANK(DaybyDay[[#This Row],[Service-Actuals]]),ISBLANK(DaybyDay[[#This Row],[Retail-Actuals]])))</f>
        <v>1</v>
      </c>
      <c r="Y658" s="36">
        <f>IF(DaybyDay[[#This Row],[_Space]],IFERROR(
((DaybyDay[[#This Row],[Actual-Rollup]]-DaybyDay[[#This Row],[LY-Rollup]])/DaybyDay[[#This Row],[LY-Rollup]]),0),"")</f>
        <v>0</v>
      </c>
      <c r="Z658"/>
      <c r="AA658" s="37" t="e">
        <f>IF(DaybyDay[[#This Row],[_Space]],DaybyDay[[#This Row],[Ret-Act-RU]]/DaybyDay[[#This Row],[Serv-Act-RU]],"")</f>
        <v>#DIV/0!</v>
      </c>
      <c r="AB658" s="50" t="e">
        <f>IF(DaybyDay[[#This Row],[_Space]],DaybyDay[[#This Row],[RETPEN-Act]]/DaybyDay[[#This Row],[RETPEN-Bud]],"")</f>
        <v>#DIV/0!</v>
      </c>
      <c r="AC658" s="37" t="e">
        <f>IF(DaybyDay[[#This Row],[_Space]],DaybyDay[[#This Row],[Ret-Bud-RU]]/DaybyDay[[#This Row],[Serv-Bud-RU]],"")</f>
        <v>#DIV/0!</v>
      </c>
      <c r="AD658" s="37" t="e">
        <f>IF(DaybyDay[[#This Row],[_Space]],DaybyDay[[#This Row],[Ret-LY-RU]]/DaybyDay[[#This Row],[Serv-LY-RU]],"")</f>
        <v>#DIV/0!</v>
      </c>
      <c r="AE658" s="30">
        <f>WEEKDAY(DaybyDay[[#This Row],[LY-Date]])</f>
        <v>1</v>
      </c>
      <c r="AF658" s="38">
        <f>$E$2+_xlfn.DAYS(DaybyDay[[#This Row],[Date]],minDate)</f>
        <v>43023</v>
      </c>
      <c r="AG658" s="39" cm="1">
        <f t="array" ref="AG658">IFERROR(INDEX(DaybyDay[],DaybyDay[[#This Row],[FORM_MATCH_HELPER]],8),"")</f>
        <v>30</v>
      </c>
      <c r="AH658" s="39" cm="1">
        <f t="array" ref="AH658">IFERROR(INDEX(DaybyDay[],DaybyDay[[#This Row],[FORM_MATCH_HELPER]],10),"")</f>
        <v>5819.3</v>
      </c>
      <c r="AI658" s="39" cm="1">
        <f t="array" ref="AI658">IFERROR(INDEX(DaybyDay[],DaybyDay[[#This Row],[FORM_MATCH_HELPER]],12),"")</f>
        <v>464</v>
      </c>
      <c r="AJ658" s="32">
        <f>IFERROR(DaybyDay[[#This Row],[Serv-LY-RU]]+DaybyDay[[#This Row],[Ret-LY-RU]],"")</f>
        <v>0</v>
      </c>
      <c r="AK6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8" s="77"/>
      <c r="AM658" s="40" t="str">
        <f>IF(DaybyDay[[#This Row],[Admin Hours]]&gt;0,DaybyDay[[#This Row],[Admin Hours]]*$AM$2+$AM$3,"")</f>
        <v/>
      </c>
      <c r="AN658" s="40">
        <f>SUMIFS(DaybyDay[Est-Admin-Payroll],DaybyDay[Date],"&gt;="&amp;$C$5,DaybyDay[RowYear],"&gt;="&amp;$C$4,DaybyDay[Date],"&lt;="&amp;DaybyDay[[#This Row],[Date]])</f>
        <v>0</v>
      </c>
      <c r="AO658" s="41" t="str">
        <f>IF(AND(DaybyDay[[#This Row],[_Space]],ISNUMBER(DaybyDay[[#This Row],[Admin Hours]])),DaybyDay[[#This Row],[Est-Admin-Payroll]]/(DaybyDay[[#This Row],[Service-Actuals]]+DaybyDay[[#This Row],[Retail-Actuals]]),"")</f>
        <v/>
      </c>
      <c r="AP658" s="41" t="e">
        <f>DaybyDay[[#This Row],[Estimated-Payroll-Rollup]]/DaybyDay[[#This Row],[Simple-Forecast]]</f>
        <v>#DIV/0!</v>
      </c>
      <c r="AQ6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8" s="77"/>
      <c r="AS658" s="40" t="str">
        <f>IF(DaybyDay[[#This Row],[Retail Hours]]&gt;0,DaybyDay[[#This Row],[Retail Hours]]*$AS$2,"")</f>
        <v/>
      </c>
      <c r="AT658" s="40">
        <f>SUMIFS(DaybyDay[Est-Retail-Payroll],DaybyDay[Date],"&gt;="&amp;$C$5,DaybyDay[RowYear],"&gt;="&amp;$C$4,DaybyDay[Date],"&lt;="&amp;DaybyDay[[#This Row],[Date]])</f>
        <v>0</v>
      </c>
      <c r="AU658" s="82" t="str">
        <f>IF(AND(DaybyDay[[#This Row],[_Space]],ISNUMBER(DaybyDay[[#This Row],[Retail Hours]])),DaybyDay[[#This Row],[Est-Retail-Payroll]]/(DaybyDay[[#This Row],[Retail-Actuals]]),"")</f>
        <v/>
      </c>
      <c r="AV658" s="82" t="e">
        <f>DaybyDay[[#This Row],[Est-Retail-PayrollRU]]/DaybyDay[[#This Row],[Simple-Forecast-Retail]]</f>
        <v>#DIV/0!</v>
      </c>
      <c r="AW658" s="8"/>
    </row>
    <row r="659" spans="3:49" hidden="1" x14ac:dyDescent="0.25">
      <c r="C659" s="26" t="str">
        <f>Tools!$C$1</f>
        <v>Example</v>
      </c>
      <c r="D659" s="27" t="s">
        <v>77</v>
      </c>
      <c r="E659" s="28">
        <v>2018</v>
      </c>
      <c r="F659" s="28">
        <f>MATCH(DaybyDay[[#This Row],[RowMonth]],Table3[SummaryMonth],0)</f>
        <v>10</v>
      </c>
      <c r="G659" s="29">
        <f>MATCH(DaybyDay[[#This Row],[LY-Date]],DaybyDay[Date],0)</f>
        <v>289</v>
      </c>
      <c r="H659" s="30">
        <f>WEEKDAY(DaybyDay[[#This Row],[Date]])</f>
        <v>2</v>
      </c>
      <c r="I659" s="31">
        <v>43388</v>
      </c>
      <c r="J659" s="74">
        <v>16</v>
      </c>
      <c r="K659" s="32">
        <f>SUMIFS(BudgetSeasonality[365 Seasonality],BudgetSeasonality[MonthAdjustment],DaybyDay[[#This Row],[Date]])*SUMIFS(Budgets[Service-Budget],Budgets[BudgetMonth],DaybyDay[[#This Row],[RowMonth]],Budgets[BudgetYear],DaybyDay[[#This Row],[RowYear]])</f>
        <v>4600.2081271165498</v>
      </c>
      <c r="L659" s="75">
        <v>3118</v>
      </c>
      <c r="M659" s="32">
        <f>INDEX(BudgetSeasonality[365 Seasonality],MATCH(DaybyDay[[#This Row],[Date]],BudgetSeasonality[MonthAdjustment],0))*SUMIFS(Budgets[Retail-Budget],Budgets[BudgetMonth],DaybyDay[[#This Row],[RowMonth]],Budgets[BudgetYear],DaybyDay[[#This Row],[RowYear]])</f>
        <v>1382.064705002045</v>
      </c>
      <c r="N659" s="75">
        <v>1293</v>
      </c>
      <c r="O659" s="33">
        <f>SUMIFS(DaybyDay[Service-Budgets],DaybyDay[Date],"&gt;="&amp;$C$5,DaybyDay[RowYear],"&gt;="&amp;$C$4,DaybyDay[Date],"&lt;="&amp;DaybyDay[[#This Row],[Date]])</f>
        <v>0</v>
      </c>
      <c r="P659" s="33">
        <f>SUMIFS(DaybyDay[Retail-Budgets],DaybyDay[Date],"&gt;="&amp;$C$5,DaybyDay[RowYear],"&gt;="&amp;$C$4,DaybyDay[Date],"&lt;="&amp;DaybyDay[[#This Row],[Date]])</f>
        <v>0</v>
      </c>
      <c r="Q659" s="34">
        <f>SUMIFS(DaybyDay[Service-Actuals],DaybyDay[Date],"&gt;="&amp;$C$5,DaybyDay[RowYear],"&gt;="&amp;$C$4,DaybyDay[Date],"&lt;="&amp;DaybyDay[[#This Row],[Date]])</f>
        <v>0</v>
      </c>
      <c r="R659" s="34">
        <f>SUMIFS(DaybyDay[Retail-Actuals],DaybyDay[Date],"&gt;="&amp;$C$5,DaybyDay[RowYear],"&gt;="&amp;$C$4,DaybyDay[Date],"&lt;="&amp;DaybyDay[[#This Row],[Date]])</f>
        <v>0</v>
      </c>
      <c r="S659" s="35">
        <f>SUMIFS(DaybyDay[Service-LY],DaybyDay[Date],"&gt;="&amp;$C$5,DaybyDay[RowYear],"&gt;="&amp;$C$4,DaybyDay[Date],"&lt;="&amp;DaybyDay[[#This Row],[Date]])</f>
        <v>0</v>
      </c>
      <c r="T659" s="35">
        <f>SUMIFS(DaybyDay[Retail-LY],DaybyDay[Date],"&gt;="&amp;$C$5,DaybyDay[RowYear],"&gt;="&amp;$C$4,DaybyDay[Date],"&lt;="&amp;DaybyDay[[#This Row],[Date]])</f>
        <v>0</v>
      </c>
      <c r="U659" s="32">
        <f>DaybyDay[[#This Row],[Serv-Bud-RU]]+DaybyDay[[#This Row],[Ret-Bud-RU]]</f>
        <v>0</v>
      </c>
      <c r="V659" s="32">
        <f>DaybyDay[[#This Row],[Serv-Act-RU]]+DaybyDay[[#This Row],[Ret-Act-RU]]</f>
        <v>0</v>
      </c>
      <c r="W659" s="36">
        <f>IF(DaybyDay[[#This Row],[_Space]],IFERROR(
((DaybyDay[[#This Row],[Actual-Rollup]]-DaybyDay[[#This Row],[Budget-Rollup]])/DaybyDay[[#This Row],[Budget-Rollup]]),0),"")</f>
        <v>0</v>
      </c>
      <c r="X659" t="b">
        <f>NOT(AND(ISBLANK(DaybyDay[[#This Row],[Appts]]),ISBLANK(DaybyDay[[#This Row],[Service-Actuals]]),ISBLANK(DaybyDay[[#This Row],[Retail-Actuals]])))</f>
        <v>1</v>
      </c>
      <c r="Y659" s="36">
        <f>IF(DaybyDay[[#This Row],[_Space]],IFERROR(
((DaybyDay[[#This Row],[Actual-Rollup]]-DaybyDay[[#This Row],[LY-Rollup]])/DaybyDay[[#This Row],[LY-Rollup]]),0),"")</f>
        <v>0</v>
      </c>
      <c r="Z659"/>
      <c r="AA659" s="37" t="e">
        <f>IF(DaybyDay[[#This Row],[_Space]],DaybyDay[[#This Row],[Ret-Act-RU]]/DaybyDay[[#This Row],[Serv-Act-RU]],"")</f>
        <v>#DIV/0!</v>
      </c>
      <c r="AB659" s="50" t="e">
        <f>IF(DaybyDay[[#This Row],[_Space]],DaybyDay[[#This Row],[RETPEN-Act]]/DaybyDay[[#This Row],[RETPEN-Bud]],"")</f>
        <v>#DIV/0!</v>
      </c>
      <c r="AC659" s="37" t="e">
        <f>IF(DaybyDay[[#This Row],[_Space]],DaybyDay[[#This Row],[Ret-Bud-RU]]/DaybyDay[[#This Row],[Serv-Bud-RU]],"")</f>
        <v>#DIV/0!</v>
      </c>
      <c r="AD659" s="37" t="e">
        <f>IF(DaybyDay[[#This Row],[_Space]],DaybyDay[[#This Row],[Ret-LY-RU]]/DaybyDay[[#This Row],[Serv-LY-RU]],"")</f>
        <v>#DIV/0!</v>
      </c>
      <c r="AE659" s="30">
        <f>WEEKDAY(DaybyDay[[#This Row],[LY-Date]])</f>
        <v>2</v>
      </c>
      <c r="AF659" s="38">
        <f>$E$2+_xlfn.DAYS(DaybyDay[[#This Row],[Date]],minDate)</f>
        <v>43024</v>
      </c>
      <c r="AG659" s="39" cm="1">
        <f t="array" ref="AG659">IFERROR(INDEX(DaybyDay[],DaybyDay[[#This Row],[FORM_MATCH_HELPER]],8),"")</f>
        <v>17</v>
      </c>
      <c r="AH659" s="39" cm="1">
        <f t="array" ref="AH659">IFERROR(INDEX(DaybyDay[],DaybyDay[[#This Row],[FORM_MATCH_HELPER]],10),"")</f>
        <v>3200.1</v>
      </c>
      <c r="AI659" s="39" cm="1">
        <f t="array" ref="AI659">IFERROR(INDEX(DaybyDay[],DaybyDay[[#This Row],[FORM_MATCH_HELPER]],12),"")</f>
        <v>112</v>
      </c>
      <c r="AJ659" s="32">
        <f>IFERROR(DaybyDay[[#This Row],[Serv-LY-RU]]+DaybyDay[[#This Row],[Ret-LY-RU]],"")</f>
        <v>0</v>
      </c>
      <c r="AK6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59" s="77"/>
      <c r="AM659" s="40" t="str">
        <f>IF(DaybyDay[[#This Row],[Admin Hours]]&gt;0,DaybyDay[[#This Row],[Admin Hours]]*$AM$2+$AM$3,"")</f>
        <v/>
      </c>
      <c r="AN659" s="40">
        <f>SUMIFS(DaybyDay[Est-Admin-Payroll],DaybyDay[Date],"&gt;="&amp;$C$5,DaybyDay[RowYear],"&gt;="&amp;$C$4,DaybyDay[Date],"&lt;="&amp;DaybyDay[[#This Row],[Date]])</f>
        <v>0</v>
      </c>
      <c r="AO659" s="41" t="str">
        <f>IF(AND(DaybyDay[[#This Row],[_Space]],ISNUMBER(DaybyDay[[#This Row],[Admin Hours]])),DaybyDay[[#This Row],[Est-Admin-Payroll]]/(DaybyDay[[#This Row],[Service-Actuals]]+DaybyDay[[#This Row],[Retail-Actuals]]),"")</f>
        <v/>
      </c>
      <c r="AP659" s="41" t="e">
        <f>DaybyDay[[#This Row],[Estimated-Payroll-Rollup]]/DaybyDay[[#This Row],[Simple-Forecast]]</f>
        <v>#DIV/0!</v>
      </c>
      <c r="AQ6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59" s="77"/>
      <c r="AS659" s="40" t="str">
        <f>IF(DaybyDay[[#This Row],[Retail Hours]]&gt;0,DaybyDay[[#This Row],[Retail Hours]]*$AS$2,"")</f>
        <v/>
      </c>
      <c r="AT659" s="40">
        <f>SUMIFS(DaybyDay[Est-Retail-Payroll],DaybyDay[Date],"&gt;="&amp;$C$5,DaybyDay[RowYear],"&gt;="&amp;$C$4,DaybyDay[Date],"&lt;="&amp;DaybyDay[[#This Row],[Date]])</f>
        <v>0</v>
      </c>
      <c r="AU659" s="82" t="str">
        <f>IF(AND(DaybyDay[[#This Row],[_Space]],ISNUMBER(DaybyDay[[#This Row],[Retail Hours]])),DaybyDay[[#This Row],[Est-Retail-Payroll]]/(DaybyDay[[#This Row],[Retail-Actuals]]),"")</f>
        <v/>
      </c>
      <c r="AV659" s="82" t="e">
        <f>DaybyDay[[#This Row],[Est-Retail-PayrollRU]]/DaybyDay[[#This Row],[Simple-Forecast-Retail]]</f>
        <v>#DIV/0!</v>
      </c>
      <c r="AW659" s="8"/>
    </row>
    <row r="660" spans="3:49" hidden="1" x14ac:dyDescent="0.25">
      <c r="C660" s="26" t="str">
        <f>Tools!$C$1</f>
        <v>Example</v>
      </c>
      <c r="D660" s="27" t="s">
        <v>77</v>
      </c>
      <c r="E660" s="28">
        <v>2018</v>
      </c>
      <c r="F660" s="28">
        <f>MATCH(DaybyDay[[#This Row],[RowMonth]],Table3[SummaryMonth],0)</f>
        <v>10</v>
      </c>
      <c r="G660" s="29">
        <f>MATCH(DaybyDay[[#This Row],[LY-Date]],DaybyDay[Date],0)</f>
        <v>290</v>
      </c>
      <c r="H660" s="30">
        <f>WEEKDAY(DaybyDay[[#This Row],[Date]])</f>
        <v>3</v>
      </c>
      <c r="I660" s="31">
        <v>43389</v>
      </c>
      <c r="J660" s="74">
        <v>19</v>
      </c>
      <c r="K660" s="32">
        <f>SUMIFS(BudgetSeasonality[365 Seasonality],BudgetSeasonality[MonthAdjustment],DaybyDay[[#This Row],[Date]])*SUMIFS(Budgets[Service-Budget],Budgets[BudgetMonth],DaybyDay[[#This Row],[RowMonth]],Budgets[BudgetYear],DaybyDay[[#This Row],[RowYear]])</f>
        <v>4789.9999362978842</v>
      </c>
      <c r="L660" s="75">
        <v>5505.94</v>
      </c>
      <c r="M660" s="32">
        <f>INDEX(BudgetSeasonality[365 Seasonality],MATCH(DaybyDay[[#This Row],[Date]],BudgetSeasonality[MonthAdjustment],0))*SUMIFS(Budgets[Retail-Budget],Budgets[BudgetMonth],DaybyDay[[#This Row],[RowMonth]],Budgets[BudgetYear],DaybyDay[[#This Row],[RowYear]])</f>
        <v>1439.0848557256211</v>
      </c>
      <c r="N660" s="75">
        <v>245</v>
      </c>
      <c r="O660" s="33">
        <f>SUMIFS(DaybyDay[Service-Budgets],DaybyDay[Date],"&gt;="&amp;$C$5,DaybyDay[RowYear],"&gt;="&amp;$C$4,DaybyDay[Date],"&lt;="&amp;DaybyDay[[#This Row],[Date]])</f>
        <v>0</v>
      </c>
      <c r="P660" s="33">
        <f>SUMIFS(DaybyDay[Retail-Budgets],DaybyDay[Date],"&gt;="&amp;$C$5,DaybyDay[RowYear],"&gt;="&amp;$C$4,DaybyDay[Date],"&lt;="&amp;DaybyDay[[#This Row],[Date]])</f>
        <v>0</v>
      </c>
      <c r="Q660" s="34">
        <f>SUMIFS(DaybyDay[Service-Actuals],DaybyDay[Date],"&gt;="&amp;$C$5,DaybyDay[RowYear],"&gt;="&amp;$C$4,DaybyDay[Date],"&lt;="&amp;DaybyDay[[#This Row],[Date]])</f>
        <v>0</v>
      </c>
      <c r="R660" s="34">
        <f>SUMIFS(DaybyDay[Retail-Actuals],DaybyDay[Date],"&gt;="&amp;$C$5,DaybyDay[RowYear],"&gt;="&amp;$C$4,DaybyDay[Date],"&lt;="&amp;DaybyDay[[#This Row],[Date]])</f>
        <v>0</v>
      </c>
      <c r="S660" s="35">
        <f>SUMIFS(DaybyDay[Service-LY],DaybyDay[Date],"&gt;="&amp;$C$5,DaybyDay[RowYear],"&gt;="&amp;$C$4,DaybyDay[Date],"&lt;="&amp;DaybyDay[[#This Row],[Date]])</f>
        <v>0</v>
      </c>
      <c r="T660" s="35">
        <f>SUMIFS(DaybyDay[Retail-LY],DaybyDay[Date],"&gt;="&amp;$C$5,DaybyDay[RowYear],"&gt;="&amp;$C$4,DaybyDay[Date],"&lt;="&amp;DaybyDay[[#This Row],[Date]])</f>
        <v>0</v>
      </c>
      <c r="U660" s="32">
        <f>DaybyDay[[#This Row],[Serv-Bud-RU]]+DaybyDay[[#This Row],[Ret-Bud-RU]]</f>
        <v>0</v>
      </c>
      <c r="V660" s="32">
        <f>DaybyDay[[#This Row],[Serv-Act-RU]]+DaybyDay[[#This Row],[Ret-Act-RU]]</f>
        <v>0</v>
      </c>
      <c r="W660" s="36">
        <f>IF(DaybyDay[[#This Row],[_Space]],IFERROR(
((DaybyDay[[#This Row],[Actual-Rollup]]-DaybyDay[[#This Row],[Budget-Rollup]])/DaybyDay[[#This Row],[Budget-Rollup]]),0),"")</f>
        <v>0</v>
      </c>
      <c r="X660" t="b">
        <f>NOT(AND(ISBLANK(DaybyDay[[#This Row],[Appts]]),ISBLANK(DaybyDay[[#This Row],[Service-Actuals]]),ISBLANK(DaybyDay[[#This Row],[Retail-Actuals]])))</f>
        <v>1</v>
      </c>
      <c r="Y660" s="36">
        <f>IF(DaybyDay[[#This Row],[_Space]],IFERROR(
((DaybyDay[[#This Row],[Actual-Rollup]]-DaybyDay[[#This Row],[LY-Rollup]])/DaybyDay[[#This Row],[LY-Rollup]]),0),"")</f>
        <v>0</v>
      </c>
      <c r="Z660"/>
      <c r="AA660" s="37" t="e">
        <f>IF(DaybyDay[[#This Row],[_Space]],DaybyDay[[#This Row],[Ret-Act-RU]]/DaybyDay[[#This Row],[Serv-Act-RU]],"")</f>
        <v>#DIV/0!</v>
      </c>
      <c r="AB660" s="50" t="e">
        <f>IF(DaybyDay[[#This Row],[_Space]],DaybyDay[[#This Row],[RETPEN-Act]]/DaybyDay[[#This Row],[RETPEN-Bud]],"")</f>
        <v>#DIV/0!</v>
      </c>
      <c r="AC660" s="37" t="e">
        <f>IF(DaybyDay[[#This Row],[_Space]],DaybyDay[[#This Row],[Ret-Bud-RU]]/DaybyDay[[#This Row],[Serv-Bud-RU]],"")</f>
        <v>#DIV/0!</v>
      </c>
      <c r="AD660" s="37" t="e">
        <f>IF(DaybyDay[[#This Row],[_Space]],DaybyDay[[#This Row],[Ret-LY-RU]]/DaybyDay[[#This Row],[Serv-LY-RU]],"")</f>
        <v>#DIV/0!</v>
      </c>
      <c r="AE660" s="30">
        <f>WEEKDAY(DaybyDay[[#This Row],[LY-Date]])</f>
        <v>3</v>
      </c>
      <c r="AF660" s="38">
        <f>$E$2+_xlfn.DAYS(DaybyDay[[#This Row],[Date]],minDate)</f>
        <v>43025</v>
      </c>
      <c r="AG660" s="39" cm="1">
        <f t="array" ref="AG660">IFERROR(INDEX(DaybyDay[],DaybyDay[[#This Row],[FORM_MATCH_HELPER]],8),"")</f>
        <v>21</v>
      </c>
      <c r="AH660" s="39" cm="1">
        <f t="array" ref="AH660">IFERROR(INDEX(DaybyDay[],DaybyDay[[#This Row],[FORM_MATCH_HELPER]],10),"")</f>
        <v>3021.1</v>
      </c>
      <c r="AI660" s="39" cm="1">
        <f t="array" ref="AI660">IFERROR(INDEX(DaybyDay[],DaybyDay[[#This Row],[FORM_MATCH_HELPER]],12),"")</f>
        <v>3764.3</v>
      </c>
      <c r="AJ660" s="32">
        <f>IFERROR(DaybyDay[[#This Row],[Serv-LY-RU]]+DaybyDay[[#This Row],[Ret-LY-RU]],"")</f>
        <v>0</v>
      </c>
      <c r="AK6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0" s="77"/>
      <c r="AM660" s="40" t="str">
        <f>IF(DaybyDay[[#This Row],[Admin Hours]]&gt;0,DaybyDay[[#This Row],[Admin Hours]]*$AM$2+$AM$3,"")</f>
        <v/>
      </c>
      <c r="AN660" s="40">
        <f>SUMIFS(DaybyDay[Est-Admin-Payroll],DaybyDay[Date],"&gt;="&amp;$C$5,DaybyDay[RowYear],"&gt;="&amp;$C$4,DaybyDay[Date],"&lt;="&amp;DaybyDay[[#This Row],[Date]])</f>
        <v>0</v>
      </c>
      <c r="AO660" s="41" t="str">
        <f>IF(AND(DaybyDay[[#This Row],[_Space]],ISNUMBER(DaybyDay[[#This Row],[Admin Hours]])),DaybyDay[[#This Row],[Est-Admin-Payroll]]/(DaybyDay[[#This Row],[Service-Actuals]]+DaybyDay[[#This Row],[Retail-Actuals]]),"")</f>
        <v/>
      </c>
      <c r="AP660" s="41" t="e">
        <f>DaybyDay[[#This Row],[Estimated-Payroll-Rollup]]/DaybyDay[[#This Row],[Simple-Forecast]]</f>
        <v>#DIV/0!</v>
      </c>
      <c r="AQ6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0" s="77"/>
      <c r="AS660" s="40" t="str">
        <f>IF(DaybyDay[[#This Row],[Retail Hours]]&gt;0,DaybyDay[[#This Row],[Retail Hours]]*$AS$2,"")</f>
        <v/>
      </c>
      <c r="AT660" s="40">
        <f>SUMIFS(DaybyDay[Est-Retail-Payroll],DaybyDay[Date],"&gt;="&amp;$C$5,DaybyDay[RowYear],"&gt;="&amp;$C$4,DaybyDay[Date],"&lt;="&amp;DaybyDay[[#This Row],[Date]])</f>
        <v>0</v>
      </c>
      <c r="AU660" s="82" t="str">
        <f>IF(AND(DaybyDay[[#This Row],[_Space]],ISNUMBER(DaybyDay[[#This Row],[Retail Hours]])),DaybyDay[[#This Row],[Est-Retail-Payroll]]/(DaybyDay[[#This Row],[Retail-Actuals]]),"")</f>
        <v/>
      </c>
      <c r="AV660" s="82" t="e">
        <f>DaybyDay[[#This Row],[Est-Retail-PayrollRU]]/DaybyDay[[#This Row],[Simple-Forecast-Retail]]</f>
        <v>#DIV/0!</v>
      </c>
      <c r="AW660" s="8"/>
    </row>
    <row r="661" spans="3:49" hidden="1" x14ac:dyDescent="0.25">
      <c r="C661" s="26" t="str">
        <f>Tools!$C$1</f>
        <v>Example</v>
      </c>
      <c r="D661" s="27" t="s">
        <v>77</v>
      </c>
      <c r="E661" s="28">
        <v>2018</v>
      </c>
      <c r="F661" s="28">
        <f>MATCH(DaybyDay[[#This Row],[RowMonth]],Table3[SummaryMonth],0)</f>
        <v>10</v>
      </c>
      <c r="G661" s="29">
        <f>MATCH(DaybyDay[[#This Row],[LY-Date]],DaybyDay[Date],0)</f>
        <v>291</v>
      </c>
      <c r="H661" s="30">
        <f>WEEKDAY(DaybyDay[[#This Row],[Date]])</f>
        <v>4</v>
      </c>
      <c r="I661" s="31">
        <v>43390</v>
      </c>
      <c r="J661" s="74">
        <v>14</v>
      </c>
      <c r="K661" s="32">
        <f>SUMIFS(BudgetSeasonality[365 Seasonality],BudgetSeasonality[MonthAdjustment],DaybyDay[[#This Row],[Date]])*SUMIFS(Budgets[Service-Budget],Budgets[BudgetMonth],DaybyDay[[#This Row],[RowMonth]],Budgets[BudgetYear],DaybyDay[[#This Row],[RowYear]])</f>
        <v>5549.6969505480338</v>
      </c>
      <c r="L661" s="75">
        <v>2124.6</v>
      </c>
      <c r="M661" s="32">
        <f>INDEX(BudgetSeasonality[365 Seasonality],MATCH(DaybyDay[[#This Row],[Date]],BudgetSeasonality[MonthAdjustment],0))*SUMIFS(Budgets[Retail-Budget],Budgets[BudgetMonth],DaybyDay[[#This Row],[RowMonth]],Budgets[BudgetYear],DaybyDay[[#This Row],[RowYear]])</f>
        <v>1667.3246224660634</v>
      </c>
      <c r="N661" s="75">
        <v>2431.87</v>
      </c>
      <c r="O661" s="33">
        <f>SUMIFS(DaybyDay[Service-Budgets],DaybyDay[Date],"&gt;="&amp;$C$5,DaybyDay[RowYear],"&gt;="&amp;$C$4,DaybyDay[Date],"&lt;="&amp;DaybyDay[[#This Row],[Date]])</f>
        <v>0</v>
      </c>
      <c r="P661" s="33">
        <f>SUMIFS(DaybyDay[Retail-Budgets],DaybyDay[Date],"&gt;="&amp;$C$5,DaybyDay[RowYear],"&gt;="&amp;$C$4,DaybyDay[Date],"&lt;="&amp;DaybyDay[[#This Row],[Date]])</f>
        <v>0</v>
      </c>
      <c r="Q661" s="34">
        <f>SUMIFS(DaybyDay[Service-Actuals],DaybyDay[Date],"&gt;="&amp;$C$5,DaybyDay[RowYear],"&gt;="&amp;$C$4,DaybyDay[Date],"&lt;="&amp;DaybyDay[[#This Row],[Date]])</f>
        <v>0</v>
      </c>
      <c r="R661" s="34">
        <f>SUMIFS(DaybyDay[Retail-Actuals],DaybyDay[Date],"&gt;="&amp;$C$5,DaybyDay[RowYear],"&gt;="&amp;$C$4,DaybyDay[Date],"&lt;="&amp;DaybyDay[[#This Row],[Date]])</f>
        <v>0</v>
      </c>
      <c r="S661" s="35">
        <f>SUMIFS(DaybyDay[Service-LY],DaybyDay[Date],"&gt;="&amp;$C$5,DaybyDay[RowYear],"&gt;="&amp;$C$4,DaybyDay[Date],"&lt;="&amp;DaybyDay[[#This Row],[Date]])</f>
        <v>0</v>
      </c>
      <c r="T661" s="35">
        <f>SUMIFS(DaybyDay[Retail-LY],DaybyDay[Date],"&gt;="&amp;$C$5,DaybyDay[RowYear],"&gt;="&amp;$C$4,DaybyDay[Date],"&lt;="&amp;DaybyDay[[#This Row],[Date]])</f>
        <v>0</v>
      </c>
      <c r="U661" s="32">
        <f>DaybyDay[[#This Row],[Serv-Bud-RU]]+DaybyDay[[#This Row],[Ret-Bud-RU]]</f>
        <v>0</v>
      </c>
      <c r="V661" s="32">
        <f>DaybyDay[[#This Row],[Serv-Act-RU]]+DaybyDay[[#This Row],[Ret-Act-RU]]</f>
        <v>0</v>
      </c>
      <c r="W661" s="36">
        <f>IF(DaybyDay[[#This Row],[_Space]],IFERROR(
((DaybyDay[[#This Row],[Actual-Rollup]]-DaybyDay[[#This Row],[Budget-Rollup]])/DaybyDay[[#This Row],[Budget-Rollup]]),0),"")</f>
        <v>0</v>
      </c>
      <c r="X661" t="b">
        <f>NOT(AND(ISBLANK(DaybyDay[[#This Row],[Appts]]),ISBLANK(DaybyDay[[#This Row],[Service-Actuals]]),ISBLANK(DaybyDay[[#This Row],[Retail-Actuals]])))</f>
        <v>1</v>
      </c>
      <c r="Y661" s="36">
        <f>IF(DaybyDay[[#This Row],[_Space]],IFERROR(
((DaybyDay[[#This Row],[Actual-Rollup]]-DaybyDay[[#This Row],[LY-Rollup]])/DaybyDay[[#This Row],[LY-Rollup]]),0),"")</f>
        <v>0</v>
      </c>
      <c r="Z661"/>
      <c r="AA661" s="37" t="e">
        <f>IF(DaybyDay[[#This Row],[_Space]],DaybyDay[[#This Row],[Ret-Act-RU]]/DaybyDay[[#This Row],[Serv-Act-RU]],"")</f>
        <v>#DIV/0!</v>
      </c>
      <c r="AB661" s="50" t="e">
        <f>IF(DaybyDay[[#This Row],[_Space]],DaybyDay[[#This Row],[RETPEN-Act]]/DaybyDay[[#This Row],[RETPEN-Bud]],"")</f>
        <v>#DIV/0!</v>
      </c>
      <c r="AC661" s="37" t="e">
        <f>IF(DaybyDay[[#This Row],[_Space]],DaybyDay[[#This Row],[Ret-Bud-RU]]/DaybyDay[[#This Row],[Serv-Bud-RU]],"")</f>
        <v>#DIV/0!</v>
      </c>
      <c r="AD661" s="37" t="e">
        <f>IF(DaybyDay[[#This Row],[_Space]],DaybyDay[[#This Row],[Ret-LY-RU]]/DaybyDay[[#This Row],[Serv-LY-RU]],"")</f>
        <v>#DIV/0!</v>
      </c>
      <c r="AE661" s="30">
        <f>WEEKDAY(DaybyDay[[#This Row],[LY-Date]])</f>
        <v>4</v>
      </c>
      <c r="AF661" s="38">
        <f>$E$2+_xlfn.DAYS(DaybyDay[[#This Row],[Date]],minDate)</f>
        <v>43026</v>
      </c>
      <c r="AG661" s="39" cm="1">
        <f t="array" ref="AG661">IFERROR(INDEX(DaybyDay[],DaybyDay[[#This Row],[FORM_MATCH_HELPER]],8),"")</f>
        <v>27</v>
      </c>
      <c r="AH661" s="39" cm="1">
        <f t="array" ref="AH661">IFERROR(INDEX(DaybyDay[],DaybyDay[[#This Row],[FORM_MATCH_HELPER]],10),"")</f>
        <v>6163</v>
      </c>
      <c r="AI661" s="39" cm="1">
        <f t="array" ref="AI661">IFERROR(INDEX(DaybyDay[],DaybyDay[[#This Row],[FORM_MATCH_HELPER]],12),"")</f>
        <v>308</v>
      </c>
      <c r="AJ661" s="32">
        <f>IFERROR(DaybyDay[[#This Row],[Serv-LY-RU]]+DaybyDay[[#This Row],[Ret-LY-RU]],"")</f>
        <v>0</v>
      </c>
      <c r="AK6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1" s="77"/>
      <c r="AM661" s="40" t="str">
        <f>IF(DaybyDay[[#This Row],[Admin Hours]]&gt;0,DaybyDay[[#This Row],[Admin Hours]]*$AM$2+$AM$3,"")</f>
        <v/>
      </c>
      <c r="AN661" s="40">
        <f>SUMIFS(DaybyDay[Est-Admin-Payroll],DaybyDay[Date],"&gt;="&amp;$C$5,DaybyDay[RowYear],"&gt;="&amp;$C$4,DaybyDay[Date],"&lt;="&amp;DaybyDay[[#This Row],[Date]])</f>
        <v>0</v>
      </c>
      <c r="AO661" s="41" t="str">
        <f>IF(AND(DaybyDay[[#This Row],[_Space]],ISNUMBER(DaybyDay[[#This Row],[Admin Hours]])),DaybyDay[[#This Row],[Est-Admin-Payroll]]/(DaybyDay[[#This Row],[Service-Actuals]]+DaybyDay[[#This Row],[Retail-Actuals]]),"")</f>
        <v/>
      </c>
      <c r="AP661" s="41" t="e">
        <f>DaybyDay[[#This Row],[Estimated-Payroll-Rollup]]/DaybyDay[[#This Row],[Simple-Forecast]]</f>
        <v>#DIV/0!</v>
      </c>
      <c r="AQ6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1" s="77"/>
      <c r="AS661" s="40" t="str">
        <f>IF(DaybyDay[[#This Row],[Retail Hours]]&gt;0,DaybyDay[[#This Row],[Retail Hours]]*$AS$2,"")</f>
        <v/>
      </c>
      <c r="AT661" s="40">
        <f>SUMIFS(DaybyDay[Est-Retail-Payroll],DaybyDay[Date],"&gt;="&amp;$C$5,DaybyDay[RowYear],"&gt;="&amp;$C$4,DaybyDay[Date],"&lt;="&amp;DaybyDay[[#This Row],[Date]])</f>
        <v>0</v>
      </c>
      <c r="AU661" s="82" t="str">
        <f>IF(AND(DaybyDay[[#This Row],[_Space]],ISNUMBER(DaybyDay[[#This Row],[Retail Hours]])),DaybyDay[[#This Row],[Est-Retail-Payroll]]/(DaybyDay[[#This Row],[Retail-Actuals]]),"")</f>
        <v/>
      </c>
      <c r="AV661" s="82" t="e">
        <f>DaybyDay[[#This Row],[Est-Retail-PayrollRU]]/DaybyDay[[#This Row],[Simple-Forecast-Retail]]</f>
        <v>#DIV/0!</v>
      </c>
      <c r="AW661" s="8"/>
    </row>
    <row r="662" spans="3:49" hidden="1" x14ac:dyDescent="0.25">
      <c r="C662" s="26" t="str">
        <f>Tools!$C$1</f>
        <v>Example</v>
      </c>
      <c r="D662" s="27" t="s">
        <v>77</v>
      </c>
      <c r="E662" s="28">
        <v>2018</v>
      </c>
      <c r="F662" s="28">
        <f>MATCH(DaybyDay[[#This Row],[RowMonth]],Table3[SummaryMonth],0)</f>
        <v>10</v>
      </c>
      <c r="G662" s="29">
        <f>MATCH(DaybyDay[[#This Row],[LY-Date]],DaybyDay[Date],0)</f>
        <v>292</v>
      </c>
      <c r="H662" s="30">
        <f>WEEKDAY(DaybyDay[[#This Row],[Date]])</f>
        <v>5</v>
      </c>
      <c r="I662" s="31">
        <v>43391</v>
      </c>
      <c r="J662" s="74">
        <v>17</v>
      </c>
      <c r="K662" s="32">
        <f>SUMIFS(BudgetSeasonality[365 Seasonality],BudgetSeasonality[MonthAdjustment],DaybyDay[[#This Row],[Date]])*SUMIFS(Budgets[Service-Budget],Budgets[BudgetMonth],DaybyDay[[#This Row],[RowMonth]],Budgets[BudgetYear],DaybyDay[[#This Row],[RowYear]])</f>
        <v>5725.2044036246425</v>
      </c>
      <c r="L662" s="75">
        <v>3534</v>
      </c>
      <c r="M662" s="32">
        <f>INDEX(BudgetSeasonality[365 Seasonality],MATCH(DaybyDay[[#This Row],[Date]],BudgetSeasonality[MonthAdjustment],0))*SUMIFS(Budgets[Retail-Budget],Budgets[BudgetMonth],DaybyDay[[#This Row],[RowMonth]],Budgets[BudgetYear],DaybyDay[[#This Row],[RowYear]])</f>
        <v>1720.0532490106243</v>
      </c>
      <c r="N662" s="75">
        <v>1210.1500000000001</v>
      </c>
      <c r="O662" s="33">
        <f>SUMIFS(DaybyDay[Service-Budgets],DaybyDay[Date],"&gt;="&amp;$C$5,DaybyDay[RowYear],"&gt;="&amp;$C$4,DaybyDay[Date],"&lt;="&amp;DaybyDay[[#This Row],[Date]])</f>
        <v>0</v>
      </c>
      <c r="P662" s="33">
        <f>SUMIFS(DaybyDay[Retail-Budgets],DaybyDay[Date],"&gt;="&amp;$C$5,DaybyDay[RowYear],"&gt;="&amp;$C$4,DaybyDay[Date],"&lt;="&amp;DaybyDay[[#This Row],[Date]])</f>
        <v>0</v>
      </c>
      <c r="Q662" s="34">
        <f>SUMIFS(DaybyDay[Service-Actuals],DaybyDay[Date],"&gt;="&amp;$C$5,DaybyDay[RowYear],"&gt;="&amp;$C$4,DaybyDay[Date],"&lt;="&amp;DaybyDay[[#This Row],[Date]])</f>
        <v>0</v>
      </c>
      <c r="R662" s="34">
        <f>SUMIFS(DaybyDay[Retail-Actuals],DaybyDay[Date],"&gt;="&amp;$C$5,DaybyDay[RowYear],"&gt;="&amp;$C$4,DaybyDay[Date],"&lt;="&amp;DaybyDay[[#This Row],[Date]])</f>
        <v>0</v>
      </c>
      <c r="S662" s="35">
        <f>SUMIFS(DaybyDay[Service-LY],DaybyDay[Date],"&gt;="&amp;$C$5,DaybyDay[RowYear],"&gt;="&amp;$C$4,DaybyDay[Date],"&lt;="&amp;DaybyDay[[#This Row],[Date]])</f>
        <v>0</v>
      </c>
      <c r="T662" s="35">
        <f>SUMIFS(DaybyDay[Retail-LY],DaybyDay[Date],"&gt;="&amp;$C$5,DaybyDay[RowYear],"&gt;="&amp;$C$4,DaybyDay[Date],"&lt;="&amp;DaybyDay[[#This Row],[Date]])</f>
        <v>0</v>
      </c>
      <c r="U662" s="32">
        <f>DaybyDay[[#This Row],[Serv-Bud-RU]]+DaybyDay[[#This Row],[Ret-Bud-RU]]</f>
        <v>0</v>
      </c>
      <c r="V662" s="32">
        <f>DaybyDay[[#This Row],[Serv-Act-RU]]+DaybyDay[[#This Row],[Ret-Act-RU]]</f>
        <v>0</v>
      </c>
      <c r="W662" s="36">
        <f>IF(DaybyDay[[#This Row],[_Space]],IFERROR(
((DaybyDay[[#This Row],[Actual-Rollup]]-DaybyDay[[#This Row],[Budget-Rollup]])/DaybyDay[[#This Row],[Budget-Rollup]]),0),"")</f>
        <v>0</v>
      </c>
      <c r="X662" t="b">
        <f>NOT(AND(ISBLANK(DaybyDay[[#This Row],[Appts]]),ISBLANK(DaybyDay[[#This Row],[Service-Actuals]]),ISBLANK(DaybyDay[[#This Row],[Retail-Actuals]])))</f>
        <v>1</v>
      </c>
      <c r="Y662" s="36">
        <f>IF(DaybyDay[[#This Row],[_Space]],IFERROR(
((DaybyDay[[#This Row],[Actual-Rollup]]-DaybyDay[[#This Row],[LY-Rollup]])/DaybyDay[[#This Row],[LY-Rollup]]),0),"")</f>
        <v>0</v>
      </c>
      <c r="Z662"/>
      <c r="AA662" s="37" t="e">
        <f>IF(DaybyDay[[#This Row],[_Space]],DaybyDay[[#This Row],[Ret-Act-RU]]/DaybyDay[[#This Row],[Serv-Act-RU]],"")</f>
        <v>#DIV/0!</v>
      </c>
      <c r="AB662" s="50" t="e">
        <f>IF(DaybyDay[[#This Row],[_Space]],DaybyDay[[#This Row],[RETPEN-Act]]/DaybyDay[[#This Row],[RETPEN-Bud]],"")</f>
        <v>#DIV/0!</v>
      </c>
      <c r="AC662" s="37" t="e">
        <f>IF(DaybyDay[[#This Row],[_Space]],DaybyDay[[#This Row],[Ret-Bud-RU]]/DaybyDay[[#This Row],[Serv-Bud-RU]],"")</f>
        <v>#DIV/0!</v>
      </c>
      <c r="AD662" s="37" t="e">
        <f>IF(DaybyDay[[#This Row],[_Space]],DaybyDay[[#This Row],[Ret-LY-RU]]/DaybyDay[[#This Row],[Serv-LY-RU]],"")</f>
        <v>#DIV/0!</v>
      </c>
      <c r="AE662" s="30">
        <f>WEEKDAY(DaybyDay[[#This Row],[LY-Date]])</f>
        <v>5</v>
      </c>
      <c r="AF662" s="38">
        <f>$E$2+_xlfn.DAYS(DaybyDay[[#This Row],[Date]],minDate)</f>
        <v>43027</v>
      </c>
      <c r="AG662" s="39" cm="1">
        <f t="array" ref="AG662">IFERROR(INDEX(DaybyDay[],DaybyDay[[#This Row],[FORM_MATCH_HELPER]],8),"")</f>
        <v>18</v>
      </c>
      <c r="AH662" s="39" cm="1">
        <f t="array" ref="AH662">IFERROR(INDEX(DaybyDay[],DaybyDay[[#This Row],[FORM_MATCH_HELPER]],10),"")</f>
        <v>4424.8900000000003</v>
      </c>
      <c r="AI662" s="39" cm="1">
        <f t="array" ref="AI662">IFERROR(INDEX(DaybyDay[],DaybyDay[[#This Row],[FORM_MATCH_HELPER]],12),"")</f>
        <v>-600.74</v>
      </c>
      <c r="AJ662" s="32">
        <f>IFERROR(DaybyDay[[#This Row],[Serv-LY-RU]]+DaybyDay[[#This Row],[Ret-LY-RU]],"")</f>
        <v>0</v>
      </c>
      <c r="AK6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2" s="77"/>
      <c r="AM662" s="40" t="str">
        <f>IF(DaybyDay[[#This Row],[Admin Hours]]&gt;0,DaybyDay[[#This Row],[Admin Hours]]*$AM$2+$AM$3,"")</f>
        <v/>
      </c>
      <c r="AN662" s="40">
        <f>SUMIFS(DaybyDay[Est-Admin-Payroll],DaybyDay[Date],"&gt;="&amp;$C$5,DaybyDay[RowYear],"&gt;="&amp;$C$4,DaybyDay[Date],"&lt;="&amp;DaybyDay[[#This Row],[Date]])</f>
        <v>0</v>
      </c>
      <c r="AO662" s="41" t="str">
        <f>IF(AND(DaybyDay[[#This Row],[_Space]],ISNUMBER(DaybyDay[[#This Row],[Admin Hours]])),DaybyDay[[#This Row],[Est-Admin-Payroll]]/(DaybyDay[[#This Row],[Service-Actuals]]+DaybyDay[[#This Row],[Retail-Actuals]]),"")</f>
        <v/>
      </c>
      <c r="AP662" s="41" t="e">
        <f>DaybyDay[[#This Row],[Estimated-Payroll-Rollup]]/DaybyDay[[#This Row],[Simple-Forecast]]</f>
        <v>#DIV/0!</v>
      </c>
      <c r="AQ6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2" s="77"/>
      <c r="AS662" s="40" t="str">
        <f>IF(DaybyDay[[#This Row],[Retail Hours]]&gt;0,DaybyDay[[#This Row],[Retail Hours]]*$AS$2,"")</f>
        <v/>
      </c>
      <c r="AT662" s="40">
        <f>SUMIFS(DaybyDay[Est-Retail-Payroll],DaybyDay[Date],"&gt;="&amp;$C$5,DaybyDay[RowYear],"&gt;="&amp;$C$4,DaybyDay[Date],"&lt;="&amp;DaybyDay[[#This Row],[Date]])</f>
        <v>0</v>
      </c>
      <c r="AU662" s="82" t="str">
        <f>IF(AND(DaybyDay[[#This Row],[_Space]],ISNUMBER(DaybyDay[[#This Row],[Retail Hours]])),DaybyDay[[#This Row],[Est-Retail-Payroll]]/(DaybyDay[[#This Row],[Retail-Actuals]]),"")</f>
        <v/>
      </c>
      <c r="AV662" s="82" t="e">
        <f>DaybyDay[[#This Row],[Est-Retail-PayrollRU]]/DaybyDay[[#This Row],[Simple-Forecast-Retail]]</f>
        <v>#DIV/0!</v>
      </c>
      <c r="AW662" s="8"/>
    </row>
    <row r="663" spans="3:49" hidden="1" x14ac:dyDescent="0.25">
      <c r="C663" s="26" t="str">
        <f>Tools!$C$1</f>
        <v>Example</v>
      </c>
      <c r="D663" s="27" t="s">
        <v>77</v>
      </c>
      <c r="E663" s="28">
        <v>2018</v>
      </c>
      <c r="F663" s="28">
        <f>MATCH(DaybyDay[[#This Row],[RowMonth]],Table3[SummaryMonth],0)</f>
        <v>10</v>
      </c>
      <c r="G663" s="29">
        <f>MATCH(DaybyDay[[#This Row],[LY-Date]],DaybyDay[Date],0)</f>
        <v>293</v>
      </c>
      <c r="H663" s="30">
        <f>WEEKDAY(DaybyDay[[#This Row],[Date]])</f>
        <v>6</v>
      </c>
      <c r="I663" s="31">
        <v>43392</v>
      </c>
      <c r="J663" s="74">
        <v>12</v>
      </c>
      <c r="K663" s="32">
        <f>SUMIFS(BudgetSeasonality[365 Seasonality],BudgetSeasonality[MonthAdjustment],DaybyDay[[#This Row],[Date]])*SUMIFS(Budgets[Service-Budget],Budgets[BudgetMonth],DaybyDay[[#This Row],[RowMonth]],Budgets[BudgetYear],DaybyDay[[#This Row],[RowYear]])</f>
        <v>7105.4557888385007</v>
      </c>
      <c r="L663" s="75">
        <v>1999</v>
      </c>
      <c r="M663" s="32">
        <f>INDEX(BudgetSeasonality[365 Seasonality],MATCH(DaybyDay[[#This Row],[Date]],BudgetSeasonality[MonthAdjustment],0))*SUMIFS(Budgets[Retail-Budget],Budgets[BudgetMonth],DaybyDay[[#This Row],[RowMonth]],Budgets[BudgetYear],DaybyDay[[#This Row],[RowYear]])</f>
        <v>2134.7294268752012</v>
      </c>
      <c r="N663" s="75">
        <v>1084.5</v>
      </c>
      <c r="O663" s="33">
        <f>SUMIFS(DaybyDay[Service-Budgets],DaybyDay[Date],"&gt;="&amp;$C$5,DaybyDay[RowYear],"&gt;="&amp;$C$4,DaybyDay[Date],"&lt;="&amp;DaybyDay[[#This Row],[Date]])</f>
        <v>0</v>
      </c>
      <c r="P663" s="33">
        <f>SUMIFS(DaybyDay[Retail-Budgets],DaybyDay[Date],"&gt;="&amp;$C$5,DaybyDay[RowYear],"&gt;="&amp;$C$4,DaybyDay[Date],"&lt;="&amp;DaybyDay[[#This Row],[Date]])</f>
        <v>0</v>
      </c>
      <c r="Q663" s="34">
        <f>SUMIFS(DaybyDay[Service-Actuals],DaybyDay[Date],"&gt;="&amp;$C$5,DaybyDay[RowYear],"&gt;="&amp;$C$4,DaybyDay[Date],"&lt;="&amp;DaybyDay[[#This Row],[Date]])</f>
        <v>0</v>
      </c>
      <c r="R663" s="34">
        <f>SUMIFS(DaybyDay[Retail-Actuals],DaybyDay[Date],"&gt;="&amp;$C$5,DaybyDay[RowYear],"&gt;="&amp;$C$4,DaybyDay[Date],"&lt;="&amp;DaybyDay[[#This Row],[Date]])</f>
        <v>0</v>
      </c>
      <c r="S663" s="35">
        <f>SUMIFS(DaybyDay[Service-LY],DaybyDay[Date],"&gt;="&amp;$C$5,DaybyDay[RowYear],"&gt;="&amp;$C$4,DaybyDay[Date],"&lt;="&amp;DaybyDay[[#This Row],[Date]])</f>
        <v>0</v>
      </c>
      <c r="T663" s="35">
        <f>SUMIFS(DaybyDay[Retail-LY],DaybyDay[Date],"&gt;="&amp;$C$5,DaybyDay[RowYear],"&gt;="&amp;$C$4,DaybyDay[Date],"&lt;="&amp;DaybyDay[[#This Row],[Date]])</f>
        <v>0</v>
      </c>
      <c r="U663" s="32">
        <f>DaybyDay[[#This Row],[Serv-Bud-RU]]+DaybyDay[[#This Row],[Ret-Bud-RU]]</f>
        <v>0</v>
      </c>
      <c r="V663" s="32">
        <f>DaybyDay[[#This Row],[Serv-Act-RU]]+DaybyDay[[#This Row],[Ret-Act-RU]]</f>
        <v>0</v>
      </c>
      <c r="W663" s="36">
        <f>IF(DaybyDay[[#This Row],[_Space]],IFERROR(
((DaybyDay[[#This Row],[Actual-Rollup]]-DaybyDay[[#This Row],[Budget-Rollup]])/DaybyDay[[#This Row],[Budget-Rollup]]),0),"")</f>
        <v>0</v>
      </c>
      <c r="X663" t="b">
        <f>NOT(AND(ISBLANK(DaybyDay[[#This Row],[Appts]]),ISBLANK(DaybyDay[[#This Row],[Service-Actuals]]),ISBLANK(DaybyDay[[#This Row],[Retail-Actuals]])))</f>
        <v>1</v>
      </c>
      <c r="Y663" s="36">
        <f>IF(DaybyDay[[#This Row],[_Space]],IFERROR(
((DaybyDay[[#This Row],[Actual-Rollup]]-DaybyDay[[#This Row],[LY-Rollup]])/DaybyDay[[#This Row],[LY-Rollup]]),0),"")</f>
        <v>0</v>
      </c>
      <c r="Z663"/>
      <c r="AA663" s="37" t="e">
        <f>IF(DaybyDay[[#This Row],[_Space]],DaybyDay[[#This Row],[Ret-Act-RU]]/DaybyDay[[#This Row],[Serv-Act-RU]],"")</f>
        <v>#DIV/0!</v>
      </c>
      <c r="AB663" s="50" t="e">
        <f>IF(DaybyDay[[#This Row],[_Space]],DaybyDay[[#This Row],[RETPEN-Act]]/DaybyDay[[#This Row],[RETPEN-Bud]],"")</f>
        <v>#DIV/0!</v>
      </c>
      <c r="AC663" s="37" t="e">
        <f>IF(DaybyDay[[#This Row],[_Space]],DaybyDay[[#This Row],[Ret-Bud-RU]]/DaybyDay[[#This Row],[Serv-Bud-RU]],"")</f>
        <v>#DIV/0!</v>
      </c>
      <c r="AD663" s="37" t="e">
        <f>IF(DaybyDay[[#This Row],[_Space]],DaybyDay[[#This Row],[Ret-LY-RU]]/DaybyDay[[#This Row],[Serv-LY-RU]],"")</f>
        <v>#DIV/0!</v>
      </c>
      <c r="AE663" s="30">
        <f>WEEKDAY(DaybyDay[[#This Row],[LY-Date]])</f>
        <v>6</v>
      </c>
      <c r="AF663" s="38">
        <f>$E$2+_xlfn.DAYS(DaybyDay[[#This Row],[Date]],minDate)</f>
        <v>43028</v>
      </c>
      <c r="AG663" s="39" cm="1">
        <f t="array" ref="AG663">IFERROR(INDEX(DaybyDay[],DaybyDay[[#This Row],[FORM_MATCH_HELPER]],8),"")</f>
        <v>31</v>
      </c>
      <c r="AH663" s="39" cm="1">
        <f t="array" ref="AH663">IFERROR(INDEX(DaybyDay[],DaybyDay[[#This Row],[FORM_MATCH_HELPER]],10),"")</f>
        <v>5087.5</v>
      </c>
      <c r="AI663" s="39" cm="1">
        <f t="array" ref="AI663">IFERROR(INDEX(DaybyDay[],DaybyDay[[#This Row],[FORM_MATCH_HELPER]],12),"")</f>
        <v>4223</v>
      </c>
      <c r="AJ663" s="32">
        <f>IFERROR(DaybyDay[[#This Row],[Serv-LY-RU]]+DaybyDay[[#This Row],[Ret-LY-RU]],"")</f>
        <v>0</v>
      </c>
      <c r="AK6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3" s="77"/>
      <c r="AM663" s="40" t="str">
        <f>IF(DaybyDay[[#This Row],[Admin Hours]]&gt;0,DaybyDay[[#This Row],[Admin Hours]]*$AM$2+$AM$3,"")</f>
        <v/>
      </c>
      <c r="AN663" s="40">
        <f>SUMIFS(DaybyDay[Est-Admin-Payroll],DaybyDay[Date],"&gt;="&amp;$C$5,DaybyDay[RowYear],"&gt;="&amp;$C$4,DaybyDay[Date],"&lt;="&amp;DaybyDay[[#This Row],[Date]])</f>
        <v>0</v>
      </c>
      <c r="AO663" s="41" t="str">
        <f>IF(AND(DaybyDay[[#This Row],[_Space]],ISNUMBER(DaybyDay[[#This Row],[Admin Hours]])),DaybyDay[[#This Row],[Est-Admin-Payroll]]/(DaybyDay[[#This Row],[Service-Actuals]]+DaybyDay[[#This Row],[Retail-Actuals]]),"")</f>
        <v/>
      </c>
      <c r="AP663" s="41" t="e">
        <f>DaybyDay[[#This Row],[Estimated-Payroll-Rollup]]/DaybyDay[[#This Row],[Simple-Forecast]]</f>
        <v>#DIV/0!</v>
      </c>
      <c r="AQ6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3" s="77"/>
      <c r="AS663" s="40" t="str">
        <f>IF(DaybyDay[[#This Row],[Retail Hours]]&gt;0,DaybyDay[[#This Row],[Retail Hours]]*$AS$2,"")</f>
        <v/>
      </c>
      <c r="AT663" s="40">
        <f>SUMIFS(DaybyDay[Est-Retail-Payroll],DaybyDay[Date],"&gt;="&amp;$C$5,DaybyDay[RowYear],"&gt;="&amp;$C$4,DaybyDay[Date],"&lt;="&amp;DaybyDay[[#This Row],[Date]])</f>
        <v>0</v>
      </c>
      <c r="AU663" s="82" t="str">
        <f>IF(AND(DaybyDay[[#This Row],[_Space]],ISNUMBER(DaybyDay[[#This Row],[Retail Hours]])),DaybyDay[[#This Row],[Est-Retail-Payroll]]/(DaybyDay[[#This Row],[Retail-Actuals]]),"")</f>
        <v/>
      </c>
      <c r="AV663" s="82" t="e">
        <f>DaybyDay[[#This Row],[Est-Retail-PayrollRU]]/DaybyDay[[#This Row],[Simple-Forecast-Retail]]</f>
        <v>#DIV/0!</v>
      </c>
      <c r="AW663" s="8"/>
    </row>
    <row r="664" spans="3:49" hidden="1" x14ac:dyDescent="0.25">
      <c r="C664" s="26" t="str">
        <f>Tools!$C$1</f>
        <v>Example</v>
      </c>
      <c r="D664" s="27" t="s">
        <v>77</v>
      </c>
      <c r="E664" s="28">
        <v>2018</v>
      </c>
      <c r="F664" s="28">
        <f>MATCH(DaybyDay[[#This Row],[RowMonth]],Table3[SummaryMonth],0)</f>
        <v>10</v>
      </c>
      <c r="G664" s="29">
        <f>MATCH(DaybyDay[[#This Row],[LY-Date]],DaybyDay[Date],0)</f>
        <v>294</v>
      </c>
      <c r="H664" s="30">
        <f>WEEKDAY(DaybyDay[[#This Row],[Date]])</f>
        <v>7</v>
      </c>
      <c r="I664" s="31">
        <v>43393</v>
      </c>
      <c r="J664" s="74">
        <v>33</v>
      </c>
      <c r="K664" s="32">
        <f>SUMIFS(BudgetSeasonality[365 Seasonality],BudgetSeasonality[MonthAdjustment],DaybyDay[[#This Row],[Date]])*SUMIFS(Budgets[Service-Budget],Budgets[BudgetMonth],DaybyDay[[#This Row],[RowMonth]],Budgets[BudgetYear],DaybyDay[[#This Row],[RowYear]])</f>
        <v>10001.435087349542</v>
      </c>
      <c r="L664" s="75">
        <v>7800</v>
      </c>
      <c r="M664" s="32">
        <f>INDEX(BudgetSeasonality[365 Seasonality],MATCH(DaybyDay[[#This Row],[Date]],BudgetSeasonality[MonthAdjustment],0))*SUMIFS(Budgets[Retail-Budget],Budgets[BudgetMonth],DaybyDay[[#This Row],[RowMonth]],Budgets[BudgetYear],DaybyDay[[#This Row],[RowYear]])</f>
        <v>3004.7837079621422</v>
      </c>
      <c r="N664" s="75">
        <v>563.35</v>
      </c>
      <c r="O664" s="33">
        <f>SUMIFS(DaybyDay[Service-Budgets],DaybyDay[Date],"&gt;="&amp;$C$5,DaybyDay[RowYear],"&gt;="&amp;$C$4,DaybyDay[Date],"&lt;="&amp;DaybyDay[[#This Row],[Date]])</f>
        <v>0</v>
      </c>
      <c r="P664" s="33">
        <f>SUMIFS(DaybyDay[Retail-Budgets],DaybyDay[Date],"&gt;="&amp;$C$5,DaybyDay[RowYear],"&gt;="&amp;$C$4,DaybyDay[Date],"&lt;="&amp;DaybyDay[[#This Row],[Date]])</f>
        <v>0</v>
      </c>
      <c r="Q664" s="34">
        <f>SUMIFS(DaybyDay[Service-Actuals],DaybyDay[Date],"&gt;="&amp;$C$5,DaybyDay[RowYear],"&gt;="&amp;$C$4,DaybyDay[Date],"&lt;="&amp;DaybyDay[[#This Row],[Date]])</f>
        <v>0</v>
      </c>
      <c r="R664" s="34">
        <f>SUMIFS(DaybyDay[Retail-Actuals],DaybyDay[Date],"&gt;="&amp;$C$5,DaybyDay[RowYear],"&gt;="&amp;$C$4,DaybyDay[Date],"&lt;="&amp;DaybyDay[[#This Row],[Date]])</f>
        <v>0</v>
      </c>
      <c r="S664" s="35">
        <f>SUMIFS(DaybyDay[Service-LY],DaybyDay[Date],"&gt;="&amp;$C$5,DaybyDay[RowYear],"&gt;="&amp;$C$4,DaybyDay[Date],"&lt;="&amp;DaybyDay[[#This Row],[Date]])</f>
        <v>0</v>
      </c>
      <c r="T664" s="35">
        <f>SUMIFS(DaybyDay[Retail-LY],DaybyDay[Date],"&gt;="&amp;$C$5,DaybyDay[RowYear],"&gt;="&amp;$C$4,DaybyDay[Date],"&lt;="&amp;DaybyDay[[#This Row],[Date]])</f>
        <v>0</v>
      </c>
      <c r="U664" s="32">
        <f>DaybyDay[[#This Row],[Serv-Bud-RU]]+DaybyDay[[#This Row],[Ret-Bud-RU]]</f>
        <v>0</v>
      </c>
      <c r="V664" s="32">
        <f>DaybyDay[[#This Row],[Serv-Act-RU]]+DaybyDay[[#This Row],[Ret-Act-RU]]</f>
        <v>0</v>
      </c>
      <c r="W664" s="36">
        <f>IF(DaybyDay[[#This Row],[_Space]],IFERROR(
((DaybyDay[[#This Row],[Actual-Rollup]]-DaybyDay[[#This Row],[Budget-Rollup]])/DaybyDay[[#This Row],[Budget-Rollup]]),0),"")</f>
        <v>0</v>
      </c>
      <c r="X664" t="b">
        <f>NOT(AND(ISBLANK(DaybyDay[[#This Row],[Appts]]),ISBLANK(DaybyDay[[#This Row],[Service-Actuals]]),ISBLANK(DaybyDay[[#This Row],[Retail-Actuals]])))</f>
        <v>1</v>
      </c>
      <c r="Y664" s="36">
        <f>IF(DaybyDay[[#This Row],[_Space]],IFERROR(
((DaybyDay[[#This Row],[Actual-Rollup]]-DaybyDay[[#This Row],[LY-Rollup]])/DaybyDay[[#This Row],[LY-Rollup]]),0),"")</f>
        <v>0</v>
      </c>
      <c r="Z664"/>
      <c r="AA664" s="37" t="e">
        <f>IF(DaybyDay[[#This Row],[_Space]],DaybyDay[[#This Row],[Ret-Act-RU]]/DaybyDay[[#This Row],[Serv-Act-RU]],"")</f>
        <v>#DIV/0!</v>
      </c>
      <c r="AB664" s="50" t="e">
        <f>IF(DaybyDay[[#This Row],[_Space]],DaybyDay[[#This Row],[RETPEN-Act]]/DaybyDay[[#This Row],[RETPEN-Bud]],"")</f>
        <v>#DIV/0!</v>
      </c>
      <c r="AC664" s="37" t="e">
        <f>IF(DaybyDay[[#This Row],[_Space]],DaybyDay[[#This Row],[Ret-Bud-RU]]/DaybyDay[[#This Row],[Serv-Bud-RU]],"")</f>
        <v>#DIV/0!</v>
      </c>
      <c r="AD664" s="37" t="e">
        <f>IF(DaybyDay[[#This Row],[_Space]],DaybyDay[[#This Row],[Ret-LY-RU]]/DaybyDay[[#This Row],[Serv-LY-RU]],"")</f>
        <v>#DIV/0!</v>
      </c>
      <c r="AE664" s="30">
        <f>WEEKDAY(DaybyDay[[#This Row],[LY-Date]])</f>
        <v>7</v>
      </c>
      <c r="AF664" s="38">
        <f>$E$2+_xlfn.DAYS(DaybyDay[[#This Row],[Date]],minDate)</f>
        <v>43029</v>
      </c>
      <c r="AG664" s="39" cm="1">
        <f t="array" ref="AG664">IFERROR(INDEX(DaybyDay[],DaybyDay[[#This Row],[FORM_MATCH_HELPER]],8),"")</f>
        <v>37</v>
      </c>
      <c r="AH664" s="39" cm="1">
        <f t="array" ref="AH664">IFERROR(INDEX(DaybyDay[],DaybyDay[[#This Row],[FORM_MATCH_HELPER]],10),"")</f>
        <v>7825.49</v>
      </c>
      <c r="AI664" s="39" cm="1">
        <f t="array" ref="AI664">IFERROR(INDEX(DaybyDay[],DaybyDay[[#This Row],[FORM_MATCH_HELPER]],12),"")</f>
        <v>627.51</v>
      </c>
      <c r="AJ664" s="32">
        <f>IFERROR(DaybyDay[[#This Row],[Serv-LY-RU]]+DaybyDay[[#This Row],[Ret-LY-RU]],"")</f>
        <v>0</v>
      </c>
      <c r="AK6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4" s="77"/>
      <c r="AM664" s="40" t="str">
        <f>IF(DaybyDay[[#This Row],[Admin Hours]]&gt;0,DaybyDay[[#This Row],[Admin Hours]]*$AM$2+$AM$3,"")</f>
        <v/>
      </c>
      <c r="AN664" s="40">
        <f>SUMIFS(DaybyDay[Est-Admin-Payroll],DaybyDay[Date],"&gt;="&amp;$C$5,DaybyDay[RowYear],"&gt;="&amp;$C$4,DaybyDay[Date],"&lt;="&amp;DaybyDay[[#This Row],[Date]])</f>
        <v>0</v>
      </c>
      <c r="AO664" s="41" t="str">
        <f>IF(AND(DaybyDay[[#This Row],[_Space]],ISNUMBER(DaybyDay[[#This Row],[Admin Hours]])),DaybyDay[[#This Row],[Est-Admin-Payroll]]/(DaybyDay[[#This Row],[Service-Actuals]]+DaybyDay[[#This Row],[Retail-Actuals]]),"")</f>
        <v/>
      </c>
      <c r="AP664" s="41" t="e">
        <f>DaybyDay[[#This Row],[Estimated-Payroll-Rollup]]/DaybyDay[[#This Row],[Simple-Forecast]]</f>
        <v>#DIV/0!</v>
      </c>
      <c r="AQ6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4" s="77"/>
      <c r="AS664" s="40" t="str">
        <f>IF(DaybyDay[[#This Row],[Retail Hours]]&gt;0,DaybyDay[[#This Row],[Retail Hours]]*$AS$2,"")</f>
        <v/>
      </c>
      <c r="AT664" s="40">
        <f>SUMIFS(DaybyDay[Est-Retail-Payroll],DaybyDay[Date],"&gt;="&amp;$C$5,DaybyDay[RowYear],"&gt;="&amp;$C$4,DaybyDay[Date],"&lt;="&amp;DaybyDay[[#This Row],[Date]])</f>
        <v>0</v>
      </c>
      <c r="AU664" s="82" t="str">
        <f>IF(AND(DaybyDay[[#This Row],[_Space]],ISNUMBER(DaybyDay[[#This Row],[Retail Hours]])),DaybyDay[[#This Row],[Est-Retail-Payroll]]/(DaybyDay[[#This Row],[Retail-Actuals]]),"")</f>
        <v/>
      </c>
      <c r="AV664" s="82" t="e">
        <f>DaybyDay[[#This Row],[Est-Retail-PayrollRU]]/DaybyDay[[#This Row],[Simple-Forecast-Retail]]</f>
        <v>#DIV/0!</v>
      </c>
      <c r="AW664" s="8"/>
    </row>
    <row r="665" spans="3:49" hidden="1" x14ac:dyDescent="0.25">
      <c r="C665" s="26" t="str">
        <f>Tools!$C$1</f>
        <v>Example</v>
      </c>
      <c r="D665" s="27" t="s">
        <v>77</v>
      </c>
      <c r="E665" s="28">
        <v>2018</v>
      </c>
      <c r="F665" s="28">
        <f>MATCH(DaybyDay[[#This Row],[RowMonth]],Table3[SummaryMonth],0)</f>
        <v>10</v>
      </c>
      <c r="G665" s="29">
        <f>MATCH(DaybyDay[[#This Row],[LY-Date]],DaybyDay[Date],0)</f>
        <v>295</v>
      </c>
      <c r="H665" s="30">
        <f>WEEKDAY(DaybyDay[[#This Row],[Date]])</f>
        <v>1</v>
      </c>
      <c r="I665" s="31">
        <v>43394</v>
      </c>
      <c r="J665" s="74">
        <v>38</v>
      </c>
      <c r="K665" s="32">
        <f>SUMIFS(BudgetSeasonality[365 Seasonality],BudgetSeasonality[MonthAdjustment],DaybyDay[[#This Row],[Date]])*SUMIFS(Budgets[Service-Budget],Budgets[BudgetMonth],DaybyDay[[#This Row],[RowMonth]],Budgets[BudgetYear],DaybyDay[[#This Row],[RowYear]])</f>
        <v>7893.0485606975899</v>
      </c>
      <c r="L665" s="75">
        <v>9588.25</v>
      </c>
      <c r="M665" s="32">
        <f>INDEX(BudgetSeasonality[365 Seasonality],MATCH(DaybyDay[[#This Row],[Date]],BudgetSeasonality[MonthAdjustment],0))*SUMIFS(Budgets[Retail-Budget],Budgets[BudgetMonth],DaybyDay[[#This Row],[RowMonth]],Budgets[BudgetYear],DaybyDay[[#This Row],[RowYear]])</f>
        <v>2371.3500626861855</v>
      </c>
      <c r="N665" s="75">
        <v>18955.650000000001</v>
      </c>
      <c r="O665" s="33">
        <f>SUMIFS(DaybyDay[Service-Budgets],DaybyDay[Date],"&gt;="&amp;$C$5,DaybyDay[RowYear],"&gt;="&amp;$C$4,DaybyDay[Date],"&lt;="&amp;DaybyDay[[#This Row],[Date]])</f>
        <v>0</v>
      </c>
      <c r="P665" s="33">
        <f>SUMIFS(DaybyDay[Retail-Budgets],DaybyDay[Date],"&gt;="&amp;$C$5,DaybyDay[RowYear],"&gt;="&amp;$C$4,DaybyDay[Date],"&lt;="&amp;DaybyDay[[#This Row],[Date]])</f>
        <v>0</v>
      </c>
      <c r="Q665" s="34">
        <f>SUMIFS(DaybyDay[Service-Actuals],DaybyDay[Date],"&gt;="&amp;$C$5,DaybyDay[RowYear],"&gt;="&amp;$C$4,DaybyDay[Date],"&lt;="&amp;DaybyDay[[#This Row],[Date]])</f>
        <v>0</v>
      </c>
      <c r="R665" s="34">
        <f>SUMIFS(DaybyDay[Retail-Actuals],DaybyDay[Date],"&gt;="&amp;$C$5,DaybyDay[RowYear],"&gt;="&amp;$C$4,DaybyDay[Date],"&lt;="&amp;DaybyDay[[#This Row],[Date]])</f>
        <v>0</v>
      </c>
      <c r="S665" s="35">
        <f>SUMIFS(DaybyDay[Service-LY],DaybyDay[Date],"&gt;="&amp;$C$5,DaybyDay[RowYear],"&gt;="&amp;$C$4,DaybyDay[Date],"&lt;="&amp;DaybyDay[[#This Row],[Date]])</f>
        <v>0</v>
      </c>
      <c r="T665" s="35">
        <f>SUMIFS(DaybyDay[Retail-LY],DaybyDay[Date],"&gt;="&amp;$C$5,DaybyDay[RowYear],"&gt;="&amp;$C$4,DaybyDay[Date],"&lt;="&amp;DaybyDay[[#This Row],[Date]])</f>
        <v>0</v>
      </c>
      <c r="U665" s="32">
        <f>DaybyDay[[#This Row],[Serv-Bud-RU]]+DaybyDay[[#This Row],[Ret-Bud-RU]]</f>
        <v>0</v>
      </c>
      <c r="V665" s="32">
        <f>DaybyDay[[#This Row],[Serv-Act-RU]]+DaybyDay[[#This Row],[Ret-Act-RU]]</f>
        <v>0</v>
      </c>
      <c r="W665" s="36">
        <f>IF(DaybyDay[[#This Row],[_Space]],IFERROR(
((DaybyDay[[#This Row],[Actual-Rollup]]-DaybyDay[[#This Row],[Budget-Rollup]])/DaybyDay[[#This Row],[Budget-Rollup]]),0),"")</f>
        <v>0</v>
      </c>
      <c r="X665" t="b">
        <f>NOT(AND(ISBLANK(DaybyDay[[#This Row],[Appts]]),ISBLANK(DaybyDay[[#This Row],[Service-Actuals]]),ISBLANK(DaybyDay[[#This Row],[Retail-Actuals]])))</f>
        <v>1</v>
      </c>
      <c r="Y665" s="36">
        <f>IF(DaybyDay[[#This Row],[_Space]],IFERROR(
((DaybyDay[[#This Row],[Actual-Rollup]]-DaybyDay[[#This Row],[LY-Rollup]])/DaybyDay[[#This Row],[LY-Rollup]]),0),"")</f>
        <v>0</v>
      </c>
      <c r="Z665"/>
      <c r="AA665" s="37" t="e">
        <f>IF(DaybyDay[[#This Row],[_Space]],DaybyDay[[#This Row],[Ret-Act-RU]]/DaybyDay[[#This Row],[Serv-Act-RU]],"")</f>
        <v>#DIV/0!</v>
      </c>
      <c r="AB665" s="50" t="e">
        <f>IF(DaybyDay[[#This Row],[_Space]],DaybyDay[[#This Row],[RETPEN-Act]]/DaybyDay[[#This Row],[RETPEN-Bud]],"")</f>
        <v>#DIV/0!</v>
      </c>
      <c r="AC665" s="37" t="e">
        <f>IF(DaybyDay[[#This Row],[_Space]],DaybyDay[[#This Row],[Ret-Bud-RU]]/DaybyDay[[#This Row],[Serv-Bud-RU]],"")</f>
        <v>#DIV/0!</v>
      </c>
      <c r="AD665" s="37" t="e">
        <f>IF(DaybyDay[[#This Row],[_Space]],DaybyDay[[#This Row],[Ret-LY-RU]]/DaybyDay[[#This Row],[Serv-LY-RU]],"")</f>
        <v>#DIV/0!</v>
      </c>
      <c r="AE665" s="30">
        <f>WEEKDAY(DaybyDay[[#This Row],[LY-Date]])</f>
        <v>1</v>
      </c>
      <c r="AF665" s="38">
        <f>$E$2+_xlfn.DAYS(DaybyDay[[#This Row],[Date]],minDate)</f>
        <v>43030</v>
      </c>
      <c r="AG665" s="39" cm="1">
        <f t="array" ref="AG665">IFERROR(INDEX(DaybyDay[],DaybyDay[[#This Row],[FORM_MATCH_HELPER]],8),"")</f>
        <v>39</v>
      </c>
      <c r="AH665" s="39" cm="1">
        <f t="array" ref="AH665">IFERROR(INDEX(DaybyDay[],DaybyDay[[#This Row],[FORM_MATCH_HELPER]],10),"")</f>
        <v>6211.1</v>
      </c>
      <c r="AI665" s="39" cm="1">
        <f t="array" ref="AI665">IFERROR(INDEX(DaybyDay[],DaybyDay[[#This Row],[FORM_MATCH_HELPER]],12),"")</f>
        <v>930.3</v>
      </c>
      <c r="AJ665" s="32">
        <f>IFERROR(DaybyDay[[#This Row],[Serv-LY-RU]]+DaybyDay[[#This Row],[Ret-LY-RU]],"")</f>
        <v>0</v>
      </c>
      <c r="AK6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5" s="77"/>
      <c r="AM665" s="40" t="str">
        <f>IF(DaybyDay[[#This Row],[Admin Hours]]&gt;0,DaybyDay[[#This Row],[Admin Hours]]*$AM$2+$AM$3,"")</f>
        <v/>
      </c>
      <c r="AN665" s="40">
        <f>SUMIFS(DaybyDay[Est-Admin-Payroll],DaybyDay[Date],"&gt;="&amp;$C$5,DaybyDay[RowYear],"&gt;="&amp;$C$4,DaybyDay[Date],"&lt;="&amp;DaybyDay[[#This Row],[Date]])</f>
        <v>0</v>
      </c>
      <c r="AO665" s="41" t="str">
        <f>IF(AND(DaybyDay[[#This Row],[_Space]],ISNUMBER(DaybyDay[[#This Row],[Admin Hours]])),DaybyDay[[#This Row],[Est-Admin-Payroll]]/(DaybyDay[[#This Row],[Service-Actuals]]+DaybyDay[[#This Row],[Retail-Actuals]]),"")</f>
        <v/>
      </c>
      <c r="AP665" s="41" t="e">
        <f>DaybyDay[[#This Row],[Estimated-Payroll-Rollup]]/DaybyDay[[#This Row],[Simple-Forecast]]</f>
        <v>#DIV/0!</v>
      </c>
      <c r="AQ6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5" s="77"/>
      <c r="AS665" s="40" t="str">
        <f>IF(DaybyDay[[#This Row],[Retail Hours]]&gt;0,DaybyDay[[#This Row],[Retail Hours]]*$AS$2,"")</f>
        <v/>
      </c>
      <c r="AT665" s="40">
        <f>SUMIFS(DaybyDay[Est-Retail-Payroll],DaybyDay[Date],"&gt;="&amp;$C$5,DaybyDay[RowYear],"&gt;="&amp;$C$4,DaybyDay[Date],"&lt;="&amp;DaybyDay[[#This Row],[Date]])</f>
        <v>0</v>
      </c>
      <c r="AU665" s="82" t="str">
        <f>IF(AND(DaybyDay[[#This Row],[_Space]],ISNUMBER(DaybyDay[[#This Row],[Retail Hours]])),DaybyDay[[#This Row],[Est-Retail-Payroll]]/(DaybyDay[[#This Row],[Retail-Actuals]]),"")</f>
        <v/>
      </c>
      <c r="AV665" s="82" t="e">
        <f>DaybyDay[[#This Row],[Est-Retail-PayrollRU]]/DaybyDay[[#This Row],[Simple-Forecast-Retail]]</f>
        <v>#DIV/0!</v>
      </c>
      <c r="AW665" s="8"/>
    </row>
    <row r="666" spans="3:49" hidden="1" x14ac:dyDescent="0.25">
      <c r="C666" s="26" t="str">
        <f>Tools!$C$1</f>
        <v>Example</v>
      </c>
      <c r="D666" s="27" t="s">
        <v>77</v>
      </c>
      <c r="E666" s="28">
        <v>2018</v>
      </c>
      <c r="F666" s="28">
        <f>MATCH(DaybyDay[[#This Row],[RowMonth]],Table3[SummaryMonth],0)</f>
        <v>10</v>
      </c>
      <c r="G666" s="29">
        <f>MATCH(DaybyDay[[#This Row],[LY-Date]],DaybyDay[Date],0)</f>
        <v>296</v>
      </c>
      <c r="H666" s="30">
        <f>WEEKDAY(DaybyDay[[#This Row],[Date]])</f>
        <v>2</v>
      </c>
      <c r="I666" s="31">
        <v>43395</v>
      </c>
      <c r="J666" s="74">
        <v>14</v>
      </c>
      <c r="K666" s="32">
        <f>SUMIFS(BudgetSeasonality[365 Seasonality],BudgetSeasonality[MonthAdjustment],DaybyDay[[#This Row],[Date]])*SUMIFS(Budgets[Service-Budget],Budgets[BudgetMonth],DaybyDay[[#This Row],[RowMonth]],Budgets[BudgetYear],DaybyDay[[#This Row],[RowYear]])</f>
        <v>4808.1286961220139</v>
      </c>
      <c r="L666" s="75">
        <v>4040.47</v>
      </c>
      <c r="M666" s="32">
        <f>INDEX(BudgetSeasonality[365 Seasonality],MATCH(DaybyDay[[#This Row],[Date]],BudgetSeasonality[MonthAdjustment],0))*SUMIFS(Budgets[Retail-Budget],Budgets[BudgetMonth],DaybyDay[[#This Row],[RowMonth]],Budgets[BudgetYear],DaybyDay[[#This Row],[RowYear]])</f>
        <v>1444.5313743191382</v>
      </c>
      <c r="N666" s="75">
        <v>3579.88</v>
      </c>
      <c r="O666" s="33">
        <f>SUMIFS(DaybyDay[Service-Budgets],DaybyDay[Date],"&gt;="&amp;$C$5,DaybyDay[RowYear],"&gt;="&amp;$C$4,DaybyDay[Date],"&lt;="&amp;DaybyDay[[#This Row],[Date]])</f>
        <v>0</v>
      </c>
      <c r="P666" s="33">
        <f>SUMIFS(DaybyDay[Retail-Budgets],DaybyDay[Date],"&gt;="&amp;$C$5,DaybyDay[RowYear],"&gt;="&amp;$C$4,DaybyDay[Date],"&lt;="&amp;DaybyDay[[#This Row],[Date]])</f>
        <v>0</v>
      </c>
      <c r="Q666" s="34">
        <f>SUMIFS(DaybyDay[Service-Actuals],DaybyDay[Date],"&gt;="&amp;$C$5,DaybyDay[RowYear],"&gt;="&amp;$C$4,DaybyDay[Date],"&lt;="&amp;DaybyDay[[#This Row],[Date]])</f>
        <v>0</v>
      </c>
      <c r="R666" s="34">
        <f>SUMIFS(DaybyDay[Retail-Actuals],DaybyDay[Date],"&gt;="&amp;$C$5,DaybyDay[RowYear],"&gt;="&amp;$C$4,DaybyDay[Date],"&lt;="&amp;DaybyDay[[#This Row],[Date]])</f>
        <v>0</v>
      </c>
      <c r="S666" s="35">
        <f>SUMIFS(DaybyDay[Service-LY],DaybyDay[Date],"&gt;="&amp;$C$5,DaybyDay[RowYear],"&gt;="&amp;$C$4,DaybyDay[Date],"&lt;="&amp;DaybyDay[[#This Row],[Date]])</f>
        <v>0</v>
      </c>
      <c r="T666" s="35">
        <f>SUMIFS(DaybyDay[Retail-LY],DaybyDay[Date],"&gt;="&amp;$C$5,DaybyDay[RowYear],"&gt;="&amp;$C$4,DaybyDay[Date],"&lt;="&amp;DaybyDay[[#This Row],[Date]])</f>
        <v>0</v>
      </c>
      <c r="U666" s="32">
        <f>DaybyDay[[#This Row],[Serv-Bud-RU]]+DaybyDay[[#This Row],[Ret-Bud-RU]]</f>
        <v>0</v>
      </c>
      <c r="V666" s="32">
        <f>DaybyDay[[#This Row],[Serv-Act-RU]]+DaybyDay[[#This Row],[Ret-Act-RU]]</f>
        <v>0</v>
      </c>
      <c r="W666" s="36">
        <f>IF(DaybyDay[[#This Row],[_Space]],IFERROR(
((DaybyDay[[#This Row],[Actual-Rollup]]-DaybyDay[[#This Row],[Budget-Rollup]])/DaybyDay[[#This Row],[Budget-Rollup]]),0),"")</f>
        <v>0</v>
      </c>
      <c r="X666" t="b">
        <f>NOT(AND(ISBLANK(DaybyDay[[#This Row],[Appts]]),ISBLANK(DaybyDay[[#This Row],[Service-Actuals]]),ISBLANK(DaybyDay[[#This Row],[Retail-Actuals]])))</f>
        <v>1</v>
      </c>
      <c r="Y666" s="36">
        <f>IF(DaybyDay[[#This Row],[_Space]],IFERROR(
((DaybyDay[[#This Row],[Actual-Rollup]]-DaybyDay[[#This Row],[LY-Rollup]])/DaybyDay[[#This Row],[LY-Rollup]]),0),"")</f>
        <v>0</v>
      </c>
      <c r="Z666"/>
      <c r="AA666" s="37" t="e">
        <f>IF(DaybyDay[[#This Row],[_Space]],DaybyDay[[#This Row],[Ret-Act-RU]]/DaybyDay[[#This Row],[Serv-Act-RU]],"")</f>
        <v>#DIV/0!</v>
      </c>
      <c r="AB666" s="50" t="e">
        <f>IF(DaybyDay[[#This Row],[_Space]],DaybyDay[[#This Row],[RETPEN-Act]]/DaybyDay[[#This Row],[RETPEN-Bud]],"")</f>
        <v>#DIV/0!</v>
      </c>
      <c r="AC666" s="37" t="e">
        <f>IF(DaybyDay[[#This Row],[_Space]],DaybyDay[[#This Row],[Ret-Bud-RU]]/DaybyDay[[#This Row],[Serv-Bud-RU]],"")</f>
        <v>#DIV/0!</v>
      </c>
      <c r="AD666" s="37" t="e">
        <f>IF(DaybyDay[[#This Row],[_Space]],DaybyDay[[#This Row],[Ret-LY-RU]]/DaybyDay[[#This Row],[Serv-LY-RU]],"")</f>
        <v>#DIV/0!</v>
      </c>
      <c r="AE666" s="30">
        <f>WEEKDAY(DaybyDay[[#This Row],[LY-Date]])</f>
        <v>2</v>
      </c>
      <c r="AF666" s="38">
        <f>$E$2+_xlfn.DAYS(DaybyDay[[#This Row],[Date]],minDate)</f>
        <v>43031</v>
      </c>
      <c r="AG666" s="39" cm="1">
        <f t="array" ref="AG666">IFERROR(INDEX(DaybyDay[],DaybyDay[[#This Row],[FORM_MATCH_HELPER]],8),"")</f>
        <v>17</v>
      </c>
      <c r="AH666" s="39" cm="1">
        <f t="array" ref="AH666">IFERROR(INDEX(DaybyDay[],DaybyDay[[#This Row],[FORM_MATCH_HELPER]],10),"")</f>
        <v>2296.9</v>
      </c>
      <c r="AI666" s="39" cm="1">
        <f t="array" ref="AI666">IFERROR(INDEX(DaybyDay[],DaybyDay[[#This Row],[FORM_MATCH_HELPER]],12),"")</f>
        <v>0</v>
      </c>
      <c r="AJ666" s="32">
        <f>IFERROR(DaybyDay[[#This Row],[Serv-LY-RU]]+DaybyDay[[#This Row],[Ret-LY-RU]],"")</f>
        <v>0</v>
      </c>
      <c r="AK6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6" s="77"/>
      <c r="AM666" s="40" t="str">
        <f>IF(DaybyDay[[#This Row],[Admin Hours]]&gt;0,DaybyDay[[#This Row],[Admin Hours]]*$AM$2+$AM$3,"")</f>
        <v/>
      </c>
      <c r="AN666" s="40">
        <f>SUMIFS(DaybyDay[Est-Admin-Payroll],DaybyDay[Date],"&gt;="&amp;$C$5,DaybyDay[RowYear],"&gt;="&amp;$C$4,DaybyDay[Date],"&lt;="&amp;DaybyDay[[#This Row],[Date]])</f>
        <v>0</v>
      </c>
      <c r="AO666" s="41" t="str">
        <f>IF(AND(DaybyDay[[#This Row],[_Space]],ISNUMBER(DaybyDay[[#This Row],[Admin Hours]])),DaybyDay[[#This Row],[Est-Admin-Payroll]]/(DaybyDay[[#This Row],[Service-Actuals]]+DaybyDay[[#This Row],[Retail-Actuals]]),"")</f>
        <v/>
      </c>
      <c r="AP666" s="41" t="e">
        <f>DaybyDay[[#This Row],[Estimated-Payroll-Rollup]]/DaybyDay[[#This Row],[Simple-Forecast]]</f>
        <v>#DIV/0!</v>
      </c>
      <c r="AQ6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6" s="77"/>
      <c r="AS666" s="40" t="str">
        <f>IF(DaybyDay[[#This Row],[Retail Hours]]&gt;0,DaybyDay[[#This Row],[Retail Hours]]*$AS$2,"")</f>
        <v/>
      </c>
      <c r="AT666" s="40">
        <f>SUMIFS(DaybyDay[Est-Retail-Payroll],DaybyDay[Date],"&gt;="&amp;$C$5,DaybyDay[RowYear],"&gt;="&amp;$C$4,DaybyDay[Date],"&lt;="&amp;DaybyDay[[#This Row],[Date]])</f>
        <v>0</v>
      </c>
      <c r="AU666" s="82" t="str">
        <f>IF(AND(DaybyDay[[#This Row],[_Space]],ISNUMBER(DaybyDay[[#This Row],[Retail Hours]])),DaybyDay[[#This Row],[Est-Retail-Payroll]]/(DaybyDay[[#This Row],[Retail-Actuals]]),"")</f>
        <v/>
      </c>
      <c r="AV666" s="82" t="e">
        <f>DaybyDay[[#This Row],[Est-Retail-PayrollRU]]/DaybyDay[[#This Row],[Simple-Forecast-Retail]]</f>
        <v>#DIV/0!</v>
      </c>
      <c r="AW666" s="8"/>
    </row>
    <row r="667" spans="3:49" hidden="1" x14ac:dyDescent="0.25">
      <c r="C667" s="26" t="str">
        <f>Tools!$C$1</f>
        <v>Example</v>
      </c>
      <c r="D667" s="27" t="s">
        <v>77</v>
      </c>
      <c r="E667" s="28">
        <v>2018</v>
      </c>
      <c r="F667" s="28">
        <f>MATCH(DaybyDay[[#This Row],[RowMonth]],Table3[SummaryMonth],0)</f>
        <v>10</v>
      </c>
      <c r="G667" s="29">
        <f>MATCH(DaybyDay[[#This Row],[LY-Date]],DaybyDay[Date],0)</f>
        <v>297</v>
      </c>
      <c r="H667" s="30">
        <f>WEEKDAY(DaybyDay[[#This Row],[Date]])</f>
        <v>3</v>
      </c>
      <c r="I667" s="31">
        <v>43396</v>
      </c>
      <c r="J667" s="74">
        <v>8</v>
      </c>
      <c r="K667" s="32">
        <f>SUMIFS(BudgetSeasonality[365 Seasonality],BudgetSeasonality[MonthAdjustment],DaybyDay[[#This Row],[Date]])*SUMIFS(Budgets[Service-Budget],Budgets[BudgetMonth],DaybyDay[[#This Row],[RowMonth]],Budgets[BudgetYear],DaybyDay[[#This Row],[RowYear]])</f>
        <v>4989.5282282636672</v>
      </c>
      <c r="L667" s="75">
        <v>1529.2</v>
      </c>
      <c r="M667" s="32">
        <f>INDEX(BudgetSeasonality[365 Seasonality],MATCH(DaybyDay[[#This Row],[Date]],BudgetSeasonality[MonthAdjustment],0))*SUMIFS(Budgets[Retail-Budget],Budgets[BudgetMonth],DaybyDay[[#This Row],[RowMonth]],Budgets[BudgetYear],DaybyDay[[#This Row],[RowYear]])</f>
        <v>1499.0301891442857</v>
      </c>
      <c r="N667" s="75">
        <v>4158</v>
      </c>
      <c r="O667" s="33">
        <f>SUMIFS(DaybyDay[Service-Budgets],DaybyDay[Date],"&gt;="&amp;$C$5,DaybyDay[RowYear],"&gt;="&amp;$C$4,DaybyDay[Date],"&lt;="&amp;DaybyDay[[#This Row],[Date]])</f>
        <v>0</v>
      </c>
      <c r="P667" s="33">
        <f>SUMIFS(DaybyDay[Retail-Budgets],DaybyDay[Date],"&gt;="&amp;$C$5,DaybyDay[RowYear],"&gt;="&amp;$C$4,DaybyDay[Date],"&lt;="&amp;DaybyDay[[#This Row],[Date]])</f>
        <v>0</v>
      </c>
      <c r="Q667" s="34">
        <f>SUMIFS(DaybyDay[Service-Actuals],DaybyDay[Date],"&gt;="&amp;$C$5,DaybyDay[RowYear],"&gt;="&amp;$C$4,DaybyDay[Date],"&lt;="&amp;DaybyDay[[#This Row],[Date]])</f>
        <v>0</v>
      </c>
      <c r="R667" s="34">
        <f>SUMIFS(DaybyDay[Retail-Actuals],DaybyDay[Date],"&gt;="&amp;$C$5,DaybyDay[RowYear],"&gt;="&amp;$C$4,DaybyDay[Date],"&lt;="&amp;DaybyDay[[#This Row],[Date]])</f>
        <v>0</v>
      </c>
      <c r="S667" s="35">
        <f>SUMIFS(DaybyDay[Service-LY],DaybyDay[Date],"&gt;="&amp;$C$5,DaybyDay[RowYear],"&gt;="&amp;$C$4,DaybyDay[Date],"&lt;="&amp;DaybyDay[[#This Row],[Date]])</f>
        <v>0</v>
      </c>
      <c r="T667" s="35">
        <f>SUMIFS(DaybyDay[Retail-LY],DaybyDay[Date],"&gt;="&amp;$C$5,DaybyDay[RowYear],"&gt;="&amp;$C$4,DaybyDay[Date],"&lt;="&amp;DaybyDay[[#This Row],[Date]])</f>
        <v>0</v>
      </c>
      <c r="U667" s="32">
        <f>DaybyDay[[#This Row],[Serv-Bud-RU]]+DaybyDay[[#This Row],[Ret-Bud-RU]]</f>
        <v>0</v>
      </c>
      <c r="V667" s="32">
        <f>DaybyDay[[#This Row],[Serv-Act-RU]]+DaybyDay[[#This Row],[Ret-Act-RU]]</f>
        <v>0</v>
      </c>
      <c r="W667" s="36">
        <f>IF(DaybyDay[[#This Row],[_Space]],IFERROR(
((DaybyDay[[#This Row],[Actual-Rollup]]-DaybyDay[[#This Row],[Budget-Rollup]])/DaybyDay[[#This Row],[Budget-Rollup]]),0),"")</f>
        <v>0</v>
      </c>
      <c r="X667" t="b">
        <f>NOT(AND(ISBLANK(DaybyDay[[#This Row],[Appts]]),ISBLANK(DaybyDay[[#This Row],[Service-Actuals]]),ISBLANK(DaybyDay[[#This Row],[Retail-Actuals]])))</f>
        <v>1</v>
      </c>
      <c r="Y667" s="36">
        <f>IF(DaybyDay[[#This Row],[_Space]],IFERROR(
((DaybyDay[[#This Row],[Actual-Rollup]]-DaybyDay[[#This Row],[LY-Rollup]])/DaybyDay[[#This Row],[LY-Rollup]]),0),"")</f>
        <v>0</v>
      </c>
      <c r="Z667"/>
      <c r="AA667" s="37" t="e">
        <f>IF(DaybyDay[[#This Row],[_Space]],DaybyDay[[#This Row],[Ret-Act-RU]]/DaybyDay[[#This Row],[Serv-Act-RU]],"")</f>
        <v>#DIV/0!</v>
      </c>
      <c r="AB667" s="50" t="e">
        <f>IF(DaybyDay[[#This Row],[_Space]],DaybyDay[[#This Row],[RETPEN-Act]]/DaybyDay[[#This Row],[RETPEN-Bud]],"")</f>
        <v>#DIV/0!</v>
      </c>
      <c r="AC667" s="37" t="e">
        <f>IF(DaybyDay[[#This Row],[_Space]],DaybyDay[[#This Row],[Ret-Bud-RU]]/DaybyDay[[#This Row],[Serv-Bud-RU]],"")</f>
        <v>#DIV/0!</v>
      </c>
      <c r="AD667" s="37" t="e">
        <f>IF(DaybyDay[[#This Row],[_Space]],DaybyDay[[#This Row],[Ret-LY-RU]]/DaybyDay[[#This Row],[Serv-LY-RU]],"")</f>
        <v>#DIV/0!</v>
      </c>
      <c r="AE667" s="30">
        <f>WEEKDAY(DaybyDay[[#This Row],[LY-Date]])</f>
        <v>3</v>
      </c>
      <c r="AF667" s="38">
        <f>$E$2+_xlfn.DAYS(DaybyDay[[#This Row],[Date]],minDate)</f>
        <v>43032</v>
      </c>
      <c r="AG667" s="39" cm="1">
        <f t="array" ref="AG667">IFERROR(INDEX(DaybyDay[],DaybyDay[[#This Row],[FORM_MATCH_HELPER]],8),"")</f>
        <v>16</v>
      </c>
      <c r="AH667" s="39" cm="1">
        <f t="array" ref="AH667">IFERROR(INDEX(DaybyDay[],DaybyDay[[#This Row],[FORM_MATCH_HELPER]],10),"")</f>
        <v>3552.25</v>
      </c>
      <c r="AI667" s="39" cm="1">
        <f t="array" ref="AI667">IFERROR(INDEX(DaybyDay[],DaybyDay[[#This Row],[FORM_MATCH_HELPER]],12),"")</f>
        <v>488.9</v>
      </c>
      <c r="AJ667" s="32">
        <f>IFERROR(DaybyDay[[#This Row],[Serv-LY-RU]]+DaybyDay[[#This Row],[Ret-LY-RU]],"")</f>
        <v>0</v>
      </c>
      <c r="AK6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7" s="77"/>
      <c r="AM667" s="40" t="str">
        <f>IF(DaybyDay[[#This Row],[Admin Hours]]&gt;0,DaybyDay[[#This Row],[Admin Hours]]*$AM$2+$AM$3,"")</f>
        <v/>
      </c>
      <c r="AN667" s="40">
        <f>SUMIFS(DaybyDay[Est-Admin-Payroll],DaybyDay[Date],"&gt;="&amp;$C$5,DaybyDay[RowYear],"&gt;="&amp;$C$4,DaybyDay[Date],"&lt;="&amp;DaybyDay[[#This Row],[Date]])</f>
        <v>0</v>
      </c>
      <c r="AO667" s="41" t="str">
        <f>IF(AND(DaybyDay[[#This Row],[_Space]],ISNUMBER(DaybyDay[[#This Row],[Admin Hours]])),DaybyDay[[#This Row],[Est-Admin-Payroll]]/(DaybyDay[[#This Row],[Service-Actuals]]+DaybyDay[[#This Row],[Retail-Actuals]]),"")</f>
        <v/>
      </c>
      <c r="AP667" s="41" t="e">
        <f>DaybyDay[[#This Row],[Estimated-Payroll-Rollup]]/DaybyDay[[#This Row],[Simple-Forecast]]</f>
        <v>#DIV/0!</v>
      </c>
      <c r="AQ6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7" s="77"/>
      <c r="AS667" s="40" t="str">
        <f>IF(DaybyDay[[#This Row],[Retail Hours]]&gt;0,DaybyDay[[#This Row],[Retail Hours]]*$AS$2,"")</f>
        <v/>
      </c>
      <c r="AT667" s="40">
        <f>SUMIFS(DaybyDay[Est-Retail-Payroll],DaybyDay[Date],"&gt;="&amp;$C$5,DaybyDay[RowYear],"&gt;="&amp;$C$4,DaybyDay[Date],"&lt;="&amp;DaybyDay[[#This Row],[Date]])</f>
        <v>0</v>
      </c>
      <c r="AU667" s="82" t="str">
        <f>IF(AND(DaybyDay[[#This Row],[_Space]],ISNUMBER(DaybyDay[[#This Row],[Retail Hours]])),DaybyDay[[#This Row],[Est-Retail-Payroll]]/(DaybyDay[[#This Row],[Retail-Actuals]]),"")</f>
        <v/>
      </c>
      <c r="AV667" s="82" t="e">
        <f>DaybyDay[[#This Row],[Est-Retail-PayrollRU]]/DaybyDay[[#This Row],[Simple-Forecast-Retail]]</f>
        <v>#DIV/0!</v>
      </c>
      <c r="AW667" s="8"/>
    </row>
    <row r="668" spans="3:49" hidden="1" x14ac:dyDescent="0.25">
      <c r="C668" s="26" t="str">
        <f>Tools!$C$1</f>
        <v>Example</v>
      </c>
      <c r="D668" s="27" t="s">
        <v>77</v>
      </c>
      <c r="E668" s="28">
        <v>2018</v>
      </c>
      <c r="F668" s="28">
        <f>MATCH(DaybyDay[[#This Row],[RowMonth]],Table3[SummaryMonth],0)</f>
        <v>10</v>
      </c>
      <c r="G668" s="29">
        <f>MATCH(DaybyDay[[#This Row],[LY-Date]],DaybyDay[Date],0)</f>
        <v>298</v>
      </c>
      <c r="H668" s="30">
        <f>WEEKDAY(DaybyDay[[#This Row],[Date]])</f>
        <v>4</v>
      </c>
      <c r="I668" s="31">
        <v>43397</v>
      </c>
      <c r="J668" s="74">
        <v>8</v>
      </c>
      <c r="K668" s="32">
        <f>SUMIFS(BudgetSeasonality[365 Seasonality],BudgetSeasonality[MonthAdjustment],DaybyDay[[#This Row],[Date]])*SUMIFS(Budgets[Service-Budget],Budgets[BudgetMonth],DaybyDay[[#This Row],[RowMonth]],Budgets[BudgetYear],DaybyDay[[#This Row],[RowYear]])</f>
        <v>5742.9369350543784</v>
      </c>
      <c r="L668" s="75">
        <v>1826</v>
      </c>
      <c r="M668" s="32">
        <f>INDEX(BudgetSeasonality[365 Seasonality],MATCH(DaybyDay[[#This Row],[Date]],BudgetSeasonality[MonthAdjustment],0))*SUMIFS(Budgets[Retail-Budget],Budgets[BudgetMonth],DaybyDay[[#This Row],[RowMonth]],Budgets[BudgetYear],DaybyDay[[#This Row],[RowYear]])</f>
        <v>1725.3807266251513</v>
      </c>
      <c r="N668" s="75">
        <v>99</v>
      </c>
      <c r="O668" s="33">
        <f>SUMIFS(DaybyDay[Service-Budgets],DaybyDay[Date],"&gt;="&amp;$C$5,DaybyDay[RowYear],"&gt;="&amp;$C$4,DaybyDay[Date],"&lt;="&amp;DaybyDay[[#This Row],[Date]])</f>
        <v>0</v>
      </c>
      <c r="P668" s="33">
        <f>SUMIFS(DaybyDay[Retail-Budgets],DaybyDay[Date],"&gt;="&amp;$C$5,DaybyDay[RowYear],"&gt;="&amp;$C$4,DaybyDay[Date],"&lt;="&amp;DaybyDay[[#This Row],[Date]])</f>
        <v>0</v>
      </c>
      <c r="Q668" s="34">
        <f>SUMIFS(DaybyDay[Service-Actuals],DaybyDay[Date],"&gt;="&amp;$C$5,DaybyDay[RowYear],"&gt;="&amp;$C$4,DaybyDay[Date],"&lt;="&amp;DaybyDay[[#This Row],[Date]])</f>
        <v>0</v>
      </c>
      <c r="R668" s="34">
        <f>SUMIFS(DaybyDay[Retail-Actuals],DaybyDay[Date],"&gt;="&amp;$C$5,DaybyDay[RowYear],"&gt;="&amp;$C$4,DaybyDay[Date],"&lt;="&amp;DaybyDay[[#This Row],[Date]])</f>
        <v>0</v>
      </c>
      <c r="S668" s="35">
        <f>SUMIFS(DaybyDay[Service-LY],DaybyDay[Date],"&gt;="&amp;$C$5,DaybyDay[RowYear],"&gt;="&amp;$C$4,DaybyDay[Date],"&lt;="&amp;DaybyDay[[#This Row],[Date]])</f>
        <v>0</v>
      </c>
      <c r="T668" s="35">
        <f>SUMIFS(DaybyDay[Retail-LY],DaybyDay[Date],"&gt;="&amp;$C$5,DaybyDay[RowYear],"&gt;="&amp;$C$4,DaybyDay[Date],"&lt;="&amp;DaybyDay[[#This Row],[Date]])</f>
        <v>0</v>
      </c>
      <c r="U668" s="32">
        <f>DaybyDay[[#This Row],[Serv-Bud-RU]]+DaybyDay[[#This Row],[Ret-Bud-RU]]</f>
        <v>0</v>
      </c>
      <c r="V668" s="32">
        <f>DaybyDay[[#This Row],[Serv-Act-RU]]+DaybyDay[[#This Row],[Ret-Act-RU]]</f>
        <v>0</v>
      </c>
      <c r="W668" s="36">
        <f>IF(DaybyDay[[#This Row],[_Space]],IFERROR(
((DaybyDay[[#This Row],[Actual-Rollup]]-DaybyDay[[#This Row],[Budget-Rollup]])/DaybyDay[[#This Row],[Budget-Rollup]]),0),"")</f>
        <v>0</v>
      </c>
      <c r="X668" t="b">
        <f>NOT(AND(ISBLANK(DaybyDay[[#This Row],[Appts]]),ISBLANK(DaybyDay[[#This Row],[Service-Actuals]]),ISBLANK(DaybyDay[[#This Row],[Retail-Actuals]])))</f>
        <v>1</v>
      </c>
      <c r="Y668" s="36">
        <f>IF(DaybyDay[[#This Row],[_Space]],IFERROR(
((DaybyDay[[#This Row],[Actual-Rollup]]-DaybyDay[[#This Row],[LY-Rollup]])/DaybyDay[[#This Row],[LY-Rollup]]),0),"")</f>
        <v>0</v>
      </c>
      <c r="Z668"/>
      <c r="AA668" s="37" t="e">
        <f>IF(DaybyDay[[#This Row],[_Space]],DaybyDay[[#This Row],[Ret-Act-RU]]/DaybyDay[[#This Row],[Serv-Act-RU]],"")</f>
        <v>#DIV/0!</v>
      </c>
      <c r="AB668" s="50" t="e">
        <f>IF(DaybyDay[[#This Row],[_Space]],DaybyDay[[#This Row],[RETPEN-Act]]/DaybyDay[[#This Row],[RETPEN-Bud]],"")</f>
        <v>#DIV/0!</v>
      </c>
      <c r="AC668" s="37" t="e">
        <f>IF(DaybyDay[[#This Row],[_Space]],DaybyDay[[#This Row],[Ret-Bud-RU]]/DaybyDay[[#This Row],[Serv-Bud-RU]],"")</f>
        <v>#DIV/0!</v>
      </c>
      <c r="AD668" s="37" t="e">
        <f>IF(DaybyDay[[#This Row],[_Space]],DaybyDay[[#This Row],[Ret-LY-RU]]/DaybyDay[[#This Row],[Serv-LY-RU]],"")</f>
        <v>#DIV/0!</v>
      </c>
      <c r="AE668" s="30">
        <f>WEEKDAY(DaybyDay[[#This Row],[LY-Date]])</f>
        <v>4</v>
      </c>
      <c r="AF668" s="38">
        <f>$E$2+_xlfn.DAYS(DaybyDay[[#This Row],[Date]],minDate)</f>
        <v>43033</v>
      </c>
      <c r="AG668" s="39" cm="1">
        <f t="array" ref="AG668">IFERROR(INDEX(DaybyDay[],DaybyDay[[#This Row],[FORM_MATCH_HELPER]],8),"")</f>
        <v>7</v>
      </c>
      <c r="AH668" s="39" cm="1">
        <f t="array" ref="AH668">IFERROR(INDEX(DaybyDay[],DaybyDay[[#This Row],[FORM_MATCH_HELPER]],10),"")</f>
        <v>1256</v>
      </c>
      <c r="AI668" s="39" cm="1">
        <f t="array" ref="AI668">IFERROR(INDEX(DaybyDay[],DaybyDay[[#This Row],[FORM_MATCH_HELPER]],12),"")</f>
        <v>426</v>
      </c>
      <c r="AJ668" s="32">
        <f>IFERROR(DaybyDay[[#This Row],[Serv-LY-RU]]+DaybyDay[[#This Row],[Ret-LY-RU]],"")</f>
        <v>0</v>
      </c>
      <c r="AK6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8" s="77"/>
      <c r="AM668" s="40" t="str">
        <f>IF(DaybyDay[[#This Row],[Admin Hours]]&gt;0,DaybyDay[[#This Row],[Admin Hours]]*$AM$2+$AM$3,"")</f>
        <v/>
      </c>
      <c r="AN668" s="40">
        <f>SUMIFS(DaybyDay[Est-Admin-Payroll],DaybyDay[Date],"&gt;="&amp;$C$5,DaybyDay[RowYear],"&gt;="&amp;$C$4,DaybyDay[Date],"&lt;="&amp;DaybyDay[[#This Row],[Date]])</f>
        <v>0</v>
      </c>
      <c r="AO668" s="41" t="str">
        <f>IF(AND(DaybyDay[[#This Row],[_Space]],ISNUMBER(DaybyDay[[#This Row],[Admin Hours]])),DaybyDay[[#This Row],[Est-Admin-Payroll]]/(DaybyDay[[#This Row],[Service-Actuals]]+DaybyDay[[#This Row],[Retail-Actuals]]),"")</f>
        <v/>
      </c>
      <c r="AP668" s="41" t="e">
        <f>DaybyDay[[#This Row],[Estimated-Payroll-Rollup]]/DaybyDay[[#This Row],[Simple-Forecast]]</f>
        <v>#DIV/0!</v>
      </c>
      <c r="AQ6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8" s="77"/>
      <c r="AS668" s="40" t="str">
        <f>IF(DaybyDay[[#This Row],[Retail Hours]]&gt;0,DaybyDay[[#This Row],[Retail Hours]]*$AS$2,"")</f>
        <v/>
      </c>
      <c r="AT668" s="40">
        <f>SUMIFS(DaybyDay[Est-Retail-Payroll],DaybyDay[Date],"&gt;="&amp;$C$5,DaybyDay[RowYear],"&gt;="&amp;$C$4,DaybyDay[Date],"&lt;="&amp;DaybyDay[[#This Row],[Date]])</f>
        <v>0</v>
      </c>
      <c r="AU668" s="82" t="str">
        <f>IF(AND(DaybyDay[[#This Row],[_Space]],ISNUMBER(DaybyDay[[#This Row],[Retail Hours]])),DaybyDay[[#This Row],[Est-Retail-Payroll]]/(DaybyDay[[#This Row],[Retail-Actuals]]),"")</f>
        <v/>
      </c>
      <c r="AV668" s="82" t="e">
        <f>DaybyDay[[#This Row],[Est-Retail-PayrollRU]]/DaybyDay[[#This Row],[Simple-Forecast-Retail]]</f>
        <v>#DIV/0!</v>
      </c>
      <c r="AW668" s="8"/>
    </row>
    <row r="669" spans="3:49" hidden="1" x14ac:dyDescent="0.25">
      <c r="C669" s="26" t="str">
        <f>Tools!$C$1</f>
        <v>Example</v>
      </c>
      <c r="D669" s="27" t="s">
        <v>77</v>
      </c>
      <c r="E669" s="28">
        <v>2018</v>
      </c>
      <c r="F669" s="28">
        <f>MATCH(DaybyDay[[#This Row],[RowMonth]],Table3[SummaryMonth],0)</f>
        <v>10</v>
      </c>
      <c r="G669" s="29">
        <f>MATCH(DaybyDay[[#This Row],[LY-Date]],DaybyDay[Date],0)</f>
        <v>299</v>
      </c>
      <c r="H669" s="30">
        <f>WEEKDAY(DaybyDay[[#This Row],[Date]])</f>
        <v>5</v>
      </c>
      <c r="I669" s="31">
        <v>43398</v>
      </c>
      <c r="J669" s="74">
        <v>24</v>
      </c>
      <c r="K669" s="32">
        <f>SUMIFS(BudgetSeasonality[365 Seasonality],BudgetSeasonality[MonthAdjustment],DaybyDay[[#This Row],[Date]])*SUMIFS(Budgets[Service-Budget],Budgets[BudgetMonth],DaybyDay[[#This Row],[RowMonth]],Budgets[BudgetYear],DaybyDay[[#This Row],[RowYear]])</f>
        <v>5914.0291727811436</v>
      </c>
      <c r="L669" s="75">
        <v>5566.72</v>
      </c>
      <c r="M669" s="32">
        <f>INDEX(BudgetSeasonality[365 Seasonality],MATCH(DaybyDay[[#This Row],[Date]],BudgetSeasonality[MonthAdjustment],0))*SUMIFS(Budgets[Retail-Budget],Budgets[BudgetMonth],DaybyDay[[#This Row],[RowMonth]],Budgets[BudgetYear],DaybyDay[[#This Row],[RowYear]])</f>
        <v>1776.782866817055</v>
      </c>
      <c r="N669" s="75">
        <v>6556.18</v>
      </c>
      <c r="O669" s="33">
        <f>SUMIFS(DaybyDay[Service-Budgets],DaybyDay[Date],"&gt;="&amp;$C$5,DaybyDay[RowYear],"&gt;="&amp;$C$4,DaybyDay[Date],"&lt;="&amp;DaybyDay[[#This Row],[Date]])</f>
        <v>0</v>
      </c>
      <c r="P669" s="33">
        <f>SUMIFS(DaybyDay[Retail-Budgets],DaybyDay[Date],"&gt;="&amp;$C$5,DaybyDay[RowYear],"&gt;="&amp;$C$4,DaybyDay[Date],"&lt;="&amp;DaybyDay[[#This Row],[Date]])</f>
        <v>0</v>
      </c>
      <c r="Q669" s="34">
        <f>SUMIFS(DaybyDay[Service-Actuals],DaybyDay[Date],"&gt;="&amp;$C$5,DaybyDay[RowYear],"&gt;="&amp;$C$4,DaybyDay[Date],"&lt;="&amp;DaybyDay[[#This Row],[Date]])</f>
        <v>0</v>
      </c>
      <c r="R669" s="34">
        <f>SUMIFS(DaybyDay[Retail-Actuals],DaybyDay[Date],"&gt;="&amp;$C$5,DaybyDay[RowYear],"&gt;="&amp;$C$4,DaybyDay[Date],"&lt;="&amp;DaybyDay[[#This Row],[Date]])</f>
        <v>0</v>
      </c>
      <c r="S669" s="35">
        <f>SUMIFS(DaybyDay[Service-LY],DaybyDay[Date],"&gt;="&amp;$C$5,DaybyDay[RowYear],"&gt;="&amp;$C$4,DaybyDay[Date],"&lt;="&amp;DaybyDay[[#This Row],[Date]])</f>
        <v>0</v>
      </c>
      <c r="T669" s="35">
        <f>SUMIFS(DaybyDay[Retail-LY],DaybyDay[Date],"&gt;="&amp;$C$5,DaybyDay[RowYear],"&gt;="&amp;$C$4,DaybyDay[Date],"&lt;="&amp;DaybyDay[[#This Row],[Date]])</f>
        <v>0</v>
      </c>
      <c r="U669" s="32">
        <f>DaybyDay[[#This Row],[Serv-Bud-RU]]+DaybyDay[[#This Row],[Ret-Bud-RU]]</f>
        <v>0</v>
      </c>
      <c r="V669" s="32">
        <f>DaybyDay[[#This Row],[Serv-Act-RU]]+DaybyDay[[#This Row],[Ret-Act-RU]]</f>
        <v>0</v>
      </c>
      <c r="W669" s="36">
        <f>IF(DaybyDay[[#This Row],[_Space]],IFERROR(
((DaybyDay[[#This Row],[Actual-Rollup]]-DaybyDay[[#This Row],[Budget-Rollup]])/DaybyDay[[#This Row],[Budget-Rollup]]),0),"")</f>
        <v>0</v>
      </c>
      <c r="X669" t="b">
        <f>NOT(AND(ISBLANK(DaybyDay[[#This Row],[Appts]]),ISBLANK(DaybyDay[[#This Row],[Service-Actuals]]),ISBLANK(DaybyDay[[#This Row],[Retail-Actuals]])))</f>
        <v>1</v>
      </c>
      <c r="Y669" s="36">
        <f>IF(DaybyDay[[#This Row],[_Space]],IFERROR(
((DaybyDay[[#This Row],[Actual-Rollup]]-DaybyDay[[#This Row],[LY-Rollup]])/DaybyDay[[#This Row],[LY-Rollup]]),0),"")</f>
        <v>0</v>
      </c>
      <c r="Z669"/>
      <c r="AA669" s="37" t="e">
        <f>IF(DaybyDay[[#This Row],[_Space]],DaybyDay[[#This Row],[Ret-Act-RU]]/DaybyDay[[#This Row],[Serv-Act-RU]],"")</f>
        <v>#DIV/0!</v>
      </c>
      <c r="AB669" s="50" t="e">
        <f>IF(DaybyDay[[#This Row],[_Space]],DaybyDay[[#This Row],[RETPEN-Act]]/DaybyDay[[#This Row],[RETPEN-Bud]],"")</f>
        <v>#DIV/0!</v>
      </c>
      <c r="AC669" s="37" t="e">
        <f>IF(DaybyDay[[#This Row],[_Space]],DaybyDay[[#This Row],[Ret-Bud-RU]]/DaybyDay[[#This Row],[Serv-Bud-RU]],"")</f>
        <v>#DIV/0!</v>
      </c>
      <c r="AD669" s="37" t="e">
        <f>IF(DaybyDay[[#This Row],[_Space]],DaybyDay[[#This Row],[Ret-LY-RU]]/DaybyDay[[#This Row],[Serv-LY-RU]],"")</f>
        <v>#DIV/0!</v>
      </c>
      <c r="AE669" s="30">
        <f>WEEKDAY(DaybyDay[[#This Row],[LY-Date]])</f>
        <v>5</v>
      </c>
      <c r="AF669" s="38">
        <f>$E$2+_xlfn.DAYS(DaybyDay[[#This Row],[Date]],minDate)</f>
        <v>43034</v>
      </c>
      <c r="AG669" s="39" cm="1">
        <f t="array" ref="AG669">IFERROR(INDEX(DaybyDay[],DaybyDay[[#This Row],[FORM_MATCH_HELPER]],8),"")</f>
        <v>16</v>
      </c>
      <c r="AH669" s="39" cm="1">
        <f t="array" ref="AH669">IFERROR(INDEX(DaybyDay[],DaybyDay[[#This Row],[FORM_MATCH_HELPER]],10),"")</f>
        <v>3812.95</v>
      </c>
      <c r="AI669" s="39" cm="1">
        <f t="array" ref="AI669">IFERROR(INDEX(DaybyDay[],DaybyDay[[#This Row],[FORM_MATCH_HELPER]],12),"")</f>
        <v>629.4</v>
      </c>
      <c r="AJ669" s="32">
        <f>IFERROR(DaybyDay[[#This Row],[Serv-LY-RU]]+DaybyDay[[#This Row],[Ret-LY-RU]],"")</f>
        <v>0</v>
      </c>
      <c r="AK6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69" s="77"/>
      <c r="AM669" s="40" t="str">
        <f>IF(DaybyDay[[#This Row],[Admin Hours]]&gt;0,DaybyDay[[#This Row],[Admin Hours]]*$AM$2+$AM$3,"")</f>
        <v/>
      </c>
      <c r="AN669" s="40">
        <f>SUMIFS(DaybyDay[Est-Admin-Payroll],DaybyDay[Date],"&gt;="&amp;$C$5,DaybyDay[RowYear],"&gt;="&amp;$C$4,DaybyDay[Date],"&lt;="&amp;DaybyDay[[#This Row],[Date]])</f>
        <v>0</v>
      </c>
      <c r="AO669" s="41" t="str">
        <f>IF(AND(DaybyDay[[#This Row],[_Space]],ISNUMBER(DaybyDay[[#This Row],[Admin Hours]])),DaybyDay[[#This Row],[Est-Admin-Payroll]]/(DaybyDay[[#This Row],[Service-Actuals]]+DaybyDay[[#This Row],[Retail-Actuals]]),"")</f>
        <v/>
      </c>
      <c r="AP669" s="41" t="e">
        <f>DaybyDay[[#This Row],[Estimated-Payroll-Rollup]]/DaybyDay[[#This Row],[Simple-Forecast]]</f>
        <v>#DIV/0!</v>
      </c>
      <c r="AQ6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69" s="77"/>
      <c r="AS669" s="40" t="str">
        <f>IF(DaybyDay[[#This Row],[Retail Hours]]&gt;0,DaybyDay[[#This Row],[Retail Hours]]*$AS$2,"")</f>
        <v/>
      </c>
      <c r="AT669" s="40">
        <f>SUMIFS(DaybyDay[Est-Retail-Payroll],DaybyDay[Date],"&gt;="&amp;$C$5,DaybyDay[RowYear],"&gt;="&amp;$C$4,DaybyDay[Date],"&lt;="&amp;DaybyDay[[#This Row],[Date]])</f>
        <v>0</v>
      </c>
      <c r="AU669" s="82" t="str">
        <f>IF(AND(DaybyDay[[#This Row],[_Space]],ISNUMBER(DaybyDay[[#This Row],[Retail Hours]])),DaybyDay[[#This Row],[Est-Retail-Payroll]]/(DaybyDay[[#This Row],[Retail-Actuals]]),"")</f>
        <v/>
      </c>
      <c r="AV669" s="82" t="e">
        <f>DaybyDay[[#This Row],[Est-Retail-PayrollRU]]/DaybyDay[[#This Row],[Simple-Forecast-Retail]]</f>
        <v>#DIV/0!</v>
      </c>
      <c r="AW669" s="8"/>
    </row>
    <row r="670" spans="3:49" hidden="1" x14ac:dyDescent="0.25">
      <c r="C670" s="26" t="str">
        <f>Tools!$C$1</f>
        <v>Example</v>
      </c>
      <c r="D670" s="27" t="s">
        <v>77</v>
      </c>
      <c r="E670" s="28">
        <v>2018</v>
      </c>
      <c r="F670" s="28">
        <f>MATCH(DaybyDay[[#This Row],[RowMonth]],Table3[SummaryMonth],0)</f>
        <v>10</v>
      </c>
      <c r="G670" s="29">
        <f>MATCH(DaybyDay[[#This Row],[LY-Date]],DaybyDay[Date],0)</f>
        <v>300</v>
      </c>
      <c r="H670" s="30">
        <f>WEEKDAY(DaybyDay[[#This Row],[Date]])</f>
        <v>6</v>
      </c>
      <c r="I670" s="31">
        <v>43399</v>
      </c>
      <c r="J670" s="74">
        <v>27</v>
      </c>
      <c r="K670" s="32">
        <f>SUMIFS(BudgetSeasonality[365 Seasonality],BudgetSeasonality[MonthAdjustment],DaybyDay[[#This Row],[Date]])*SUMIFS(Budgets[Service-Budget],Budgets[BudgetMonth],DaybyDay[[#This Row],[RowMonth]],Budgets[BudgetYear],DaybyDay[[#This Row],[RowYear]])</f>
        <v>7291.4094784241715</v>
      </c>
      <c r="L670" s="75">
        <v>5484.08</v>
      </c>
      <c r="M670" s="32">
        <f>INDEX(BudgetSeasonality[365 Seasonality],MATCH(DaybyDay[[#This Row],[Date]],BudgetSeasonality[MonthAdjustment],0))*SUMIFS(Budgets[Retail-Budget],Budgets[BudgetMonth],DaybyDay[[#This Row],[RowMonth]],Budgets[BudgetYear],DaybyDay[[#This Row],[RowYear]])</f>
        <v>2190.596471156598</v>
      </c>
      <c r="N670" s="75">
        <v>1147.92</v>
      </c>
      <c r="O670" s="33">
        <f>SUMIFS(DaybyDay[Service-Budgets],DaybyDay[Date],"&gt;="&amp;$C$5,DaybyDay[RowYear],"&gt;="&amp;$C$4,DaybyDay[Date],"&lt;="&amp;DaybyDay[[#This Row],[Date]])</f>
        <v>0</v>
      </c>
      <c r="P670" s="33">
        <f>SUMIFS(DaybyDay[Retail-Budgets],DaybyDay[Date],"&gt;="&amp;$C$5,DaybyDay[RowYear],"&gt;="&amp;$C$4,DaybyDay[Date],"&lt;="&amp;DaybyDay[[#This Row],[Date]])</f>
        <v>0</v>
      </c>
      <c r="Q670" s="34">
        <f>SUMIFS(DaybyDay[Service-Actuals],DaybyDay[Date],"&gt;="&amp;$C$5,DaybyDay[RowYear],"&gt;="&amp;$C$4,DaybyDay[Date],"&lt;="&amp;DaybyDay[[#This Row],[Date]])</f>
        <v>0</v>
      </c>
      <c r="R670" s="34">
        <f>SUMIFS(DaybyDay[Retail-Actuals],DaybyDay[Date],"&gt;="&amp;$C$5,DaybyDay[RowYear],"&gt;="&amp;$C$4,DaybyDay[Date],"&lt;="&amp;DaybyDay[[#This Row],[Date]])</f>
        <v>0</v>
      </c>
      <c r="S670" s="35">
        <f>SUMIFS(DaybyDay[Service-LY],DaybyDay[Date],"&gt;="&amp;$C$5,DaybyDay[RowYear],"&gt;="&amp;$C$4,DaybyDay[Date],"&lt;="&amp;DaybyDay[[#This Row],[Date]])</f>
        <v>0</v>
      </c>
      <c r="T670" s="35">
        <f>SUMIFS(DaybyDay[Retail-LY],DaybyDay[Date],"&gt;="&amp;$C$5,DaybyDay[RowYear],"&gt;="&amp;$C$4,DaybyDay[Date],"&lt;="&amp;DaybyDay[[#This Row],[Date]])</f>
        <v>0</v>
      </c>
      <c r="U670" s="32">
        <f>DaybyDay[[#This Row],[Serv-Bud-RU]]+DaybyDay[[#This Row],[Ret-Bud-RU]]</f>
        <v>0</v>
      </c>
      <c r="V670" s="32">
        <f>DaybyDay[[#This Row],[Serv-Act-RU]]+DaybyDay[[#This Row],[Ret-Act-RU]]</f>
        <v>0</v>
      </c>
      <c r="W670" s="36">
        <f>IF(DaybyDay[[#This Row],[_Space]],IFERROR(
((DaybyDay[[#This Row],[Actual-Rollup]]-DaybyDay[[#This Row],[Budget-Rollup]])/DaybyDay[[#This Row],[Budget-Rollup]]),0),"")</f>
        <v>0</v>
      </c>
      <c r="X670" t="b">
        <f>NOT(AND(ISBLANK(DaybyDay[[#This Row],[Appts]]),ISBLANK(DaybyDay[[#This Row],[Service-Actuals]]),ISBLANK(DaybyDay[[#This Row],[Retail-Actuals]])))</f>
        <v>1</v>
      </c>
      <c r="Y670" s="36">
        <f>IF(DaybyDay[[#This Row],[_Space]],IFERROR(
((DaybyDay[[#This Row],[Actual-Rollup]]-DaybyDay[[#This Row],[LY-Rollup]])/DaybyDay[[#This Row],[LY-Rollup]]),0),"")</f>
        <v>0</v>
      </c>
      <c r="Z670"/>
      <c r="AA670" s="37" t="e">
        <f>IF(DaybyDay[[#This Row],[_Space]],DaybyDay[[#This Row],[Ret-Act-RU]]/DaybyDay[[#This Row],[Serv-Act-RU]],"")</f>
        <v>#DIV/0!</v>
      </c>
      <c r="AB670" s="50" t="e">
        <f>IF(DaybyDay[[#This Row],[_Space]],DaybyDay[[#This Row],[RETPEN-Act]]/DaybyDay[[#This Row],[RETPEN-Bud]],"")</f>
        <v>#DIV/0!</v>
      </c>
      <c r="AC670" s="37" t="e">
        <f>IF(DaybyDay[[#This Row],[_Space]],DaybyDay[[#This Row],[Ret-Bud-RU]]/DaybyDay[[#This Row],[Serv-Bud-RU]],"")</f>
        <v>#DIV/0!</v>
      </c>
      <c r="AD670" s="37" t="e">
        <f>IF(DaybyDay[[#This Row],[_Space]],DaybyDay[[#This Row],[Ret-LY-RU]]/DaybyDay[[#This Row],[Serv-LY-RU]],"")</f>
        <v>#DIV/0!</v>
      </c>
      <c r="AE670" s="30">
        <f>WEEKDAY(DaybyDay[[#This Row],[LY-Date]])</f>
        <v>6</v>
      </c>
      <c r="AF670" s="38">
        <f>$E$2+_xlfn.DAYS(DaybyDay[[#This Row],[Date]],minDate)</f>
        <v>43035</v>
      </c>
      <c r="AG670" s="39" cm="1">
        <f t="array" ref="AG670">IFERROR(INDEX(DaybyDay[],DaybyDay[[#This Row],[FORM_MATCH_HELPER]],8),"")</f>
        <v>27</v>
      </c>
      <c r="AH670" s="39" cm="1">
        <f t="array" ref="AH670">IFERROR(INDEX(DaybyDay[],DaybyDay[[#This Row],[FORM_MATCH_HELPER]],10),"")</f>
        <v>6433.6</v>
      </c>
      <c r="AI670" s="39" cm="1">
        <f t="array" ref="AI670">IFERROR(INDEX(DaybyDay[],DaybyDay[[#This Row],[FORM_MATCH_HELPER]],12),"")</f>
        <v>344.34</v>
      </c>
      <c r="AJ670" s="32">
        <f>IFERROR(DaybyDay[[#This Row],[Serv-LY-RU]]+DaybyDay[[#This Row],[Ret-LY-RU]],"")</f>
        <v>0</v>
      </c>
      <c r="AK6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0" s="77"/>
      <c r="AM670" s="40" t="str">
        <f>IF(DaybyDay[[#This Row],[Admin Hours]]&gt;0,DaybyDay[[#This Row],[Admin Hours]]*$AM$2+$AM$3,"")</f>
        <v/>
      </c>
      <c r="AN670" s="40">
        <f>SUMIFS(DaybyDay[Est-Admin-Payroll],DaybyDay[Date],"&gt;="&amp;$C$5,DaybyDay[RowYear],"&gt;="&amp;$C$4,DaybyDay[Date],"&lt;="&amp;DaybyDay[[#This Row],[Date]])</f>
        <v>0</v>
      </c>
      <c r="AO670" s="41" t="str">
        <f>IF(AND(DaybyDay[[#This Row],[_Space]],ISNUMBER(DaybyDay[[#This Row],[Admin Hours]])),DaybyDay[[#This Row],[Est-Admin-Payroll]]/(DaybyDay[[#This Row],[Service-Actuals]]+DaybyDay[[#This Row],[Retail-Actuals]]),"")</f>
        <v/>
      </c>
      <c r="AP670" s="41" t="e">
        <f>DaybyDay[[#This Row],[Estimated-Payroll-Rollup]]/DaybyDay[[#This Row],[Simple-Forecast]]</f>
        <v>#DIV/0!</v>
      </c>
      <c r="AQ6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0" s="77"/>
      <c r="AS670" s="40" t="str">
        <f>IF(DaybyDay[[#This Row],[Retail Hours]]&gt;0,DaybyDay[[#This Row],[Retail Hours]]*$AS$2,"")</f>
        <v/>
      </c>
      <c r="AT670" s="40">
        <f>SUMIFS(DaybyDay[Est-Retail-Payroll],DaybyDay[Date],"&gt;="&amp;$C$5,DaybyDay[RowYear],"&gt;="&amp;$C$4,DaybyDay[Date],"&lt;="&amp;DaybyDay[[#This Row],[Date]])</f>
        <v>0</v>
      </c>
      <c r="AU670" s="82" t="str">
        <f>IF(AND(DaybyDay[[#This Row],[_Space]],ISNUMBER(DaybyDay[[#This Row],[Retail Hours]])),DaybyDay[[#This Row],[Est-Retail-Payroll]]/(DaybyDay[[#This Row],[Retail-Actuals]]),"")</f>
        <v/>
      </c>
      <c r="AV670" s="82" t="e">
        <f>DaybyDay[[#This Row],[Est-Retail-PayrollRU]]/DaybyDay[[#This Row],[Simple-Forecast-Retail]]</f>
        <v>#DIV/0!</v>
      </c>
      <c r="AW670" s="8"/>
    </row>
    <row r="671" spans="3:49" hidden="1" x14ac:dyDescent="0.25">
      <c r="C671" s="26" t="str">
        <f>Tools!$C$1</f>
        <v>Example</v>
      </c>
      <c r="D671" s="27" t="s">
        <v>77</v>
      </c>
      <c r="E671" s="28">
        <v>2018</v>
      </c>
      <c r="F671" s="28">
        <f>MATCH(DaybyDay[[#This Row],[RowMonth]],Table3[SummaryMonth],0)</f>
        <v>10</v>
      </c>
      <c r="G671" s="29">
        <f>MATCH(DaybyDay[[#This Row],[LY-Date]],DaybyDay[Date],0)</f>
        <v>301</v>
      </c>
      <c r="H671" s="30">
        <f>WEEKDAY(DaybyDay[[#This Row],[Date]])</f>
        <v>7</v>
      </c>
      <c r="I671" s="31">
        <v>43400</v>
      </c>
      <c r="J671" s="74">
        <v>30</v>
      </c>
      <c r="K671" s="32">
        <f>SUMIFS(BudgetSeasonality[365 Seasonality],BudgetSeasonality[MonthAdjustment],DaybyDay[[#This Row],[Date]])*SUMIFS(Budgets[Service-Budget],Budgets[BudgetMonth],DaybyDay[[#This Row],[RowMonth]],Budgets[BudgetYear],DaybyDay[[#This Row],[RowYear]])</f>
        <v>10185.649629589014</v>
      </c>
      <c r="L671" s="75">
        <v>8592.25</v>
      </c>
      <c r="M671" s="32">
        <f>INDEX(BudgetSeasonality[365 Seasonality],MATCH(DaybyDay[[#This Row],[Date]],BudgetSeasonality[MonthAdjustment],0))*SUMIFS(Budgets[Retail-Budget],Budgets[BudgetMonth],DaybyDay[[#This Row],[RowMonth]],Budgets[BudgetYear],DaybyDay[[#This Row],[RowYear]])</f>
        <v>3060.1282510658616</v>
      </c>
      <c r="N671" s="75">
        <v>10677.5</v>
      </c>
      <c r="O671" s="33">
        <f>SUMIFS(DaybyDay[Service-Budgets],DaybyDay[Date],"&gt;="&amp;$C$5,DaybyDay[RowYear],"&gt;="&amp;$C$4,DaybyDay[Date],"&lt;="&amp;DaybyDay[[#This Row],[Date]])</f>
        <v>0</v>
      </c>
      <c r="P671" s="33">
        <f>SUMIFS(DaybyDay[Retail-Budgets],DaybyDay[Date],"&gt;="&amp;$C$5,DaybyDay[RowYear],"&gt;="&amp;$C$4,DaybyDay[Date],"&lt;="&amp;DaybyDay[[#This Row],[Date]])</f>
        <v>0</v>
      </c>
      <c r="Q671" s="34">
        <f>SUMIFS(DaybyDay[Service-Actuals],DaybyDay[Date],"&gt;="&amp;$C$5,DaybyDay[RowYear],"&gt;="&amp;$C$4,DaybyDay[Date],"&lt;="&amp;DaybyDay[[#This Row],[Date]])</f>
        <v>0</v>
      </c>
      <c r="R671" s="34">
        <f>SUMIFS(DaybyDay[Retail-Actuals],DaybyDay[Date],"&gt;="&amp;$C$5,DaybyDay[RowYear],"&gt;="&amp;$C$4,DaybyDay[Date],"&lt;="&amp;DaybyDay[[#This Row],[Date]])</f>
        <v>0</v>
      </c>
      <c r="S671" s="35">
        <f>SUMIFS(DaybyDay[Service-LY],DaybyDay[Date],"&gt;="&amp;$C$5,DaybyDay[RowYear],"&gt;="&amp;$C$4,DaybyDay[Date],"&lt;="&amp;DaybyDay[[#This Row],[Date]])</f>
        <v>0</v>
      </c>
      <c r="T671" s="35">
        <f>SUMIFS(DaybyDay[Retail-LY],DaybyDay[Date],"&gt;="&amp;$C$5,DaybyDay[RowYear],"&gt;="&amp;$C$4,DaybyDay[Date],"&lt;="&amp;DaybyDay[[#This Row],[Date]])</f>
        <v>0</v>
      </c>
      <c r="U671" s="32">
        <f>DaybyDay[[#This Row],[Serv-Bud-RU]]+DaybyDay[[#This Row],[Ret-Bud-RU]]</f>
        <v>0</v>
      </c>
      <c r="V671" s="32">
        <f>DaybyDay[[#This Row],[Serv-Act-RU]]+DaybyDay[[#This Row],[Ret-Act-RU]]</f>
        <v>0</v>
      </c>
      <c r="W671" s="36">
        <f>IF(DaybyDay[[#This Row],[_Space]],IFERROR(
((DaybyDay[[#This Row],[Actual-Rollup]]-DaybyDay[[#This Row],[Budget-Rollup]])/DaybyDay[[#This Row],[Budget-Rollup]]),0),"")</f>
        <v>0</v>
      </c>
      <c r="X671" t="b">
        <f>NOT(AND(ISBLANK(DaybyDay[[#This Row],[Appts]]),ISBLANK(DaybyDay[[#This Row],[Service-Actuals]]),ISBLANK(DaybyDay[[#This Row],[Retail-Actuals]])))</f>
        <v>1</v>
      </c>
      <c r="Y671" s="36">
        <f>IF(DaybyDay[[#This Row],[_Space]],IFERROR(
((DaybyDay[[#This Row],[Actual-Rollup]]-DaybyDay[[#This Row],[LY-Rollup]])/DaybyDay[[#This Row],[LY-Rollup]]),0),"")</f>
        <v>0</v>
      </c>
      <c r="Z671"/>
      <c r="AA671" s="37" t="e">
        <f>IF(DaybyDay[[#This Row],[_Space]],DaybyDay[[#This Row],[Ret-Act-RU]]/DaybyDay[[#This Row],[Serv-Act-RU]],"")</f>
        <v>#DIV/0!</v>
      </c>
      <c r="AB671" s="50" t="e">
        <f>IF(DaybyDay[[#This Row],[_Space]],DaybyDay[[#This Row],[RETPEN-Act]]/DaybyDay[[#This Row],[RETPEN-Bud]],"")</f>
        <v>#DIV/0!</v>
      </c>
      <c r="AC671" s="37" t="e">
        <f>IF(DaybyDay[[#This Row],[_Space]],DaybyDay[[#This Row],[Ret-Bud-RU]]/DaybyDay[[#This Row],[Serv-Bud-RU]],"")</f>
        <v>#DIV/0!</v>
      </c>
      <c r="AD671" s="37" t="e">
        <f>IF(DaybyDay[[#This Row],[_Space]],DaybyDay[[#This Row],[Ret-LY-RU]]/DaybyDay[[#This Row],[Serv-LY-RU]],"")</f>
        <v>#DIV/0!</v>
      </c>
      <c r="AE671" s="30">
        <f>WEEKDAY(DaybyDay[[#This Row],[LY-Date]])</f>
        <v>7</v>
      </c>
      <c r="AF671" s="38">
        <f>$E$2+_xlfn.DAYS(DaybyDay[[#This Row],[Date]],minDate)</f>
        <v>43036</v>
      </c>
      <c r="AG671" s="39" cm="1">
        <f t="array" ref="AG671">IFERROR(INDEX(DaybyDay[],DaybyDay[[#This Row],[FORM_MATCH_HELPER]],8),"")</f>
        <v>23</v>
      </c>
      <c r="AH671" s="39" cm="1">
        <f t="array" ref="AH671">IFERROR(INDEX(DaybyDay[],DaybyDay[[#This Row],[FORM_MATCH_HELPER]],10),"")</f>
        <v>4344</v>
      </c>
      <c r="AI671" s="39" cm="1">
        <f t="array" ref="AI671">IFERROR(INDEX(DaybyDay[],DaybyDay[[#This Row],[FORM_MATCH_HELPER]],12),"")</f>
        <v>498.5</v>
      </c>
      <c r="AJ671" s="32">
        <f>IFERROR(DaybyDay[[#This Row],[Serv-LY-RU]]+DaybyDay[[#This Row],[Ret-LY-RU]],"")</f>
        <v>0</v>
      </c>
      <c r="AK6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1" s="77"/>
      <c r="AM671" s="40" t="str">
        <f>IF(DaybyDay[[#This Row],[Admin Hours]]&gt;0,DaybyDay[[#This Row],[Admin Hours]]*$AM$2+$AM$3,"")</f>
        <v/>
      </c>
      <c r="AN671" s="40">
        <f>SUMIFS(DaybyDay[Est-Admin-Payroll],DaybyDay[Date],"&gt;="&amp;$C$5,DaybyDay[RowYear],"&gt;="&amp;$C$4,DaybyDay[Date],"&lt;="&amp;DaybyDay[[#This Row],[Date]])</f>
        <v>0</v>
      </c>
      <c r="AO671" s="41" t="str">
        <f>IF(AND(DaybyDay[[#This Row],[_Space]],ISNUMBER(DaybyDay[[#This Row],[Admin Hours]])),DaybyDay[[#This Row],[Est-Admin-Payroll]]/(DaybyDay[[#This Row],[Service-Actuals]]+DaybyDay[[#This Row],[Retail-Actuals]]),"")</f>
        <v/>
      </c>
      <c r="AP671" s="41" t="e">
        <f>DaybyDay[[#This Row],[Estimated-Payroll-Rollup]]/DaybyDay[[#This Row],[Simple-Forecast]]</f>
        <v>#DIV/0!</v>
      </c>
      <c r="AQ6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1" s="77"/>
      <c r="AS671" s="40" t="str">
        <f>IF(DaybyDay[[#This Row],[Retail Hours]]&gt;0,DaybyDay[[#This Row],[Retail Hours]]*$AS$2,"")</f>
        <v/>
      </c>
      <c r="AT671" s="40">
        <f>SUMIFS(DaybyDay[Est-Retail-Payroll],DaybyDay[Date],"&gt;="&amp;$C$5,DaybyDay[RowYear],"&gt;="&amp;$C$4,DaybyDay[Date],"&lt;="&amp;DaybyDay[[#This Row],[Date]])</f>
        <v>0</v>
      </c>
      <c r="AU671" s="82" t="str">
        <f>IF(AND(DaybyDay[[#This Row],[_Space]],ISNUMBER(DaybyDay[[#This Row],[Retail Hours]])),DaybyDay[[#This Row],[Est-Retail-Payroll]]/(DaybyDay[[#This Row],[Retail-Actuals]]),"")</f>
        <v/>
      </c>
      <c r="AV671" s="82" t="e">
        <f>DaybyDay[[#This Row],[Est-Retail-PayrollRU]]/DaybyDay[[#This Row],[Simple-Forecast-Retail]]</f>
        <v>#DIV/0!</v>
      </c>
      <c r="AW671" s="8"/>
    </row>
    <row r="672" spans="3:49" hidden="1" x14ac:dyDescent="0.25">
      <c r="C672" s="26" t="str">
        <f>Tools!$C$1</f>
        <v>Example</v>
      </c>
      <c r="D672" s="27" t="s">
        <v>77</v>
      </c>
      <c r="E672" s="28">
        <v>2018</v>
      </c>
      <c r="F672" s="28">
        <f>MATCH(DaybyDay[[#This Row],[RowMonth]],Table3[SummaryMonth],0)</f>
        <v>10</v>
      </c>
      <c r="G672" s="29">
        <f>MATCH(DaybyDay[[#This Row],[LY-Date]],DaybyDay[Date],0)</f>
        <v>302</v>
      </c>
      <c r="H672" s="30">
        <f>WEEKDAY(DaybyDay[[#This Row],[Date]])</f>
        <v>1</v>
      </c>
      <c r="I672" s="31">
        <v>43401</v>
      </c>
      <c r="J672" s="74">
        <v>27</v>
      </c>
      <c r="K672" s="32">
        <f>SUMIFS(BudgetSeasonality[365 Seasonality],BudgetSeasonality[MonthAdjustment],DaybyDay[[#This Row],[Date]])*SUMIFS(Budgets[Service-Budget],Budgets[BudgetMonth],DaybyDay[[#This Row],[RowMonth]],Budgets[BudgetYear],DaybyDay[[#This Row],[RowYear]])</f>
        <v>8076.1781130247564</v>
      </c>
      <c r="L672" s="75">
        <v>6121.24</v>
      </c>
      <c r="M672" s="32">
        <f>INDEX(BudgetSeasonality[365 Seasonality],MATCH(DaybyDay[[#This Row],[Date]],BudgetSeasonality[MonthAdjustment],0))*SUMIFS(Budgets[Retail-Budget],Budgets[BudgetMonth],DaybyDay[[#This Row],[RowMonth]],Budgets[BudgetYear],DaybyDay[[#This Row],[RowYear]])</f>
        <v>2426.3686365681556</v>
      </c>
      <c r="N672" s="75">
        <v>130</v>
      </c>
      <c r="O672" s="33">
        <f>SUMIFS(DaybyDay[Service-Budgets],DaybyDay[Date],"&gt;="&amp;$C$5,DaybyDay[RowYear],"&gt;="&amp;$C$4,DaybyDay[Date],"&lt;="&amp;DaybyDay[[#This Row],[Date]])</f>
        <v>0</v>
      </c>
      <c r="P672" s="33">
        <f>SUMIFS(DaybyDay[Retail-Budgets],DaybyDay[Date],"&gt;="&amp;$C$5,DaybyDay[RowYear],"&gt;="&amp;$C$4,DaybyDay[Date],"&lt;="&amp;DaybyDay[[#This Row],[Date]])</f>
        <v>0</v>
      </c>
      <c r="Q672" s="34">
        <f>SUMIFS(DaybyDay[Service-Actuals],DaybyDay[Date],"&gt;="&amp;$C$5,DaybyDay[RowYear],"&gt;="&amp;$C$4,DaybyDay[Date],"&lt;="&amp;DaybyDay[[#This Row],[Date]])</f>
        <v>0</v>
      </c>
      <c r="R672" s="34">
        <f>SUMIFS(DaybyDay[Retail-Actuals],DaybyDay[Date],"&gt;="&amp;$C$5,DaybyDay[RowYear],"&gt;="&amp;$C$4,DaybyDay[Date],"&lt;="&amp;DaybyDay[[#This Row],[Date]])</f>
        <v>0</v>
      </c>
      <c r="S672" s="35">
        <f>SUMIFS(DaybyDay[Service-LY],DaybyDay[Date],"&gt;="&amp;$C$5,DaybyDay[RowYear],"&gt;="&amp;$C$4,DaybyDay[Date],"&lt;="&amp;DaybyDay[[#This Row],[Date]])</f>
        <v>0</v>
      </c>
      <c r="T672" s="35">
        <f>SUMIFS(DaybyDay[Retail-LY],DaybyDay[Date],"&gt;="&amp;$C$5,DaybyDay[RowYear],"&gt;="&amp;$C$4,DaybyDay[Date],"&lt;="&amp;DaybyDay[[#This Row],[Date]])</f>
        <v>0</v>
      </c>
      <c r="U672" s="32">
        <f>DaybyDay[[#This Row],[Serv-Bud-RU]]+DaybyDay[[#This Row],[Ret-Bud-RU]]</f>
        <v>0</v>
      </c>
      <c r="V672" s="32">
        <f>DaybyDay[[#This Row],[Serv-Act-RU]]+DaybyDay[[#This Row],[Ret-Act-RU]]</f>
        <v>0</v>
      </c>
      <c r="W672" s="36">
        <f>IF(DaybyDay[[#This Row],[_Space]],IFERROR(
((DaybyDay[[#This Row],[Actual-Rollup]]-DaybyDay[[#This Row],[Budget-Rollup]])/DaybyDay[[#This Row],[Budget-Rollup]]),0),"")</f>
        <v>0</v>
      </c>
      <c r="X672" t="b">
        <f>NOT(AND(ISBLANK(DaybyDay[[#This Row],[Appts]]),ISBLANK(DaybyDay[[#This Row],[Service-Actuals]]),ISBLANK(DaybyDay[[#This Row],[Retail-Actuals]])))</f>
        <v>1</v>
      </c>
      <c r="Y672" s="36">
        <f>IF(DaybyDay[[#This Row],[_Space]],IFERROR(
((DaybyDay[[#This Row],[Actual-Rollup]]-DaybyDay[[#This Row],[LY-Rollup]])/DaybyDay[[#This Row],[LY-Rollup]]),0),"")</f>
        <v>0</v>
      </c>
      <c r="Z672"/>
      <c r="AA672" s="37" t="e">
        <f>IF(DaybyDay[[#This Row],[_Space]],DaybyDay[[#This Row],[Ret-Act-RU]]/DaybyDay[[#This Row],[Serv-Act-RU]],"")</f>
        <v>#DIV/0!</v>
      </c>
      <c r="AB672" s="50" t="e">
        <f>IF(DaybyDay[[#This Row],[_Space]],DaybyDay[[#This Row],[RETPEN-Act]]/DaybyDay[[#This Row],[RETPEN-Bud]],"")</f>
        <v>#DIV/0!</v>
      </c>
      <c r="AC672" s="37" t="e">
        <f>IF(DaybyDay[[#This Row],[_Space]],DaybyDay[[#This Row],[Ret-Bud-RU]]/DaybyDay[[#This Row],[Serv-Bud-RU]],"")</f>
        <v>#DIV/0!</v>
      </c>
      <c r="AD672" s="37" t="e">
        <f>IF(DaybyDay[[#This Row],[_Space]],DaybyDay[[#This Row],[Ret-LY-RU]]/DaybyDay[[#This Row],[Serv-LY-RU]],"")</f>
        <v>#DIV/0!</v>
      </c>
      <c r="AE672" s="30">
        <f>WEEKDAY(DaybyDay[[#This Row],[LY-Date]])</f>
        <v>1</v>
      </c>
      <c r="AF672" s="38">
        <f>$E$2+_xlfn.DAYS(DaybyDay[[#This Row],[Date]],minDate)</f>
        <v>43037</v>
      </c>
      <c r="AG672" s="39" cm="1">
        <f t="array" ref="AG672">IFERROR(INDEX(DaybyDay[],DaybyDay[[#This Row],[FORM_MATCH_HELPER]],8),"")</f>
        <v>29</v>
      </c>
      <c r="AH672" s="39" cm="1">
        <f t="array" ref="AH672">IFERROR(INDEX(DaybyDay[],DaybyDay[[#This Row],[FORM_MATCH_HELPER]],10),"")</f>
        <v>6247.88</v>
      </c>
      <c r="AI672" s="39" cm="1">
        <f t="array" ref="AI672">IFERROR(INDEX(DaybyDay[],DaybyDay[[#This Row],[FORM_MATCH_HELPER]],12),"")</f>
        <v>483.11</v>
      </c>
      <c r="AJ672" s="32">
        <f>IFERROR(DaybyDay[[#This Row],[Serv-LY-RU]]+DaybyDay[[#This Row],[Ret-LY-RU]],"")</f>
        <v>0</v>
      </c>
      <c r="AK6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2" s="77"/>
      <c r="AM672" s="40" t="str">
        <f>IF(DaybyDay[[#This Row],[Admin Hours]]&gt;0,DaybyDay[[#This Row],[Admin Hours]]*$AM$2+$AM$3,"")</f>
        <v/>
      </c>
      <c r="AN672" s="40">
        <f>SUMIFS(DaybyDay[Est-Admin-Payroll],DaybyDay[Date],"&gt;="&amp;$C$5,DaybyDay[RowYear],"&gt;="&amp;$C$4,DaybyDay[Date],"&lt;="&amp;DaybyDay[[#This Row],[Date]])</f>
        <v>0</v>
      </c>
      <c r="AO672" s="41" t="str">
        <f>IF(AND(DaybyDay[[#This Row],[_Space]],ISNUMBER(DaybyDay[[#This Row],[Admin Hours]])),DaybyDay[[#This Row],[Est-Admin-Payroll]]/(DaybyDay[[#This Row],[Service-Actuals]]+DaybyDay[[#This Row],[Retail-Actuals]]),"")</f>
        <v/>
      </c>
      <c r="AP672" s="41" t="e">
        <f>DaybyDay[[#This Row],[Estimated-Payroll-Rollup]]/DaybyDay[[#This Row],[Simple-Forecast]]</f>
        <v>#DIV/0!</v>
      </c>
      <c r="AQ6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2" s="77"/>
      <c r="AS672" s="40" t="str">
        <f>IF(DaybyDay[[#This Row],[Retail Hours]]&gt;0,DaybyDay[[#This Row],[Retail Hours]]*$AS$2,"")</f>
        <v/>
      </c>
      <c r="AT672" s="40">
        <f>SUMIFS(DaybyDay[Est-Retail-Payroll],DaybyDay[Date],"&gt;="&amp;$C$5,DaybyDay[RowYear],"&gt;="&amp;$C$4,DaybyDay[Date],"&lt;="&amp;DaybyDay[[#This Row],[Date]])</f>
        <v>0</v>
      </c>
      <c r="AU672" s="82" t="str">
        <f>IF(AND(DaybyDay[[#This Row],[_Space]],ISNUMBER(DaybyDay[[#This Row],[Retail Hours]])),DaybyDay[[#This Row],[Est-Retail-Payroll]]/(DaybyDay[[#This Row],[Retail-Actuals]]),"")</f>
        <v/>
      </c>
      <c r="AV672" s="82" t="e">
        <f>DaybyDay[[#This Row],[Est-Retail-PayrollRU]]/DaybyDay[[#This Row],[Simple-Forecast-Retail]]</f>
        <v>#DIV/0!</v>
      </c>
      <c r="AW672" s="8"/>
    </row>
    <row r="673" spans="3:49" hidden="1" x14ac:dyDescent="0.25">
      <c r="C673" s="26" t="str">
        <f>Tools!$C$1</f>
        <v>Example</v>
      </c>
      <c r="D673" s="27" t="s">
        <v>77</v>
      </c>
      <c r="E673" s="28">
        <v>2018</v>
      </c>
      <c r="F673" s="28">
        <f>MATCH(DaybyDay[[#This Row],[RowMonth]],Table3[SummaryMonth],0)</f>
        <v>10</v>
      </c>
      <c r="G673" s="29">
        <f>MATCH(DaybyDay[[#This Row],[LY-Date]],DaybyDay[Date],0)</f>
        <v>303</v>
      </c>
      <c r="H673" s="30">
        <f>WEEKDAY(DaybyDay[[#This Row],[Date]])</f>
        <v>2</v>
      </c>
      <c r="I673" s="31">
        <v>43402</v>
      </c>
      <c r="J673" s="74">
        <v>13</v>
      </c>
      <c r="K673" s="32">
        <f>SUMIFS(BudgetSeasonality[365 Seasonality],BudgetSeasonality[MonthAdjustment],DaybyDay[[#This Row],[Date]])*SUMIFS(Budgets[Service-Budget],Budgets[BudgetMonth],DaybyDay[[#This Row],[RowMonth]],Budgets[BudgetYear],DaybyDay[[#This Row],[RowYear]])</f>
        <v>4990.3039830318794</v>
      </c>
      <c r="L673" s="75">
        <v>2718</v>
      </c>
      <c r="M673" s="32">
        <f>INDEX(BudgetSeasonality[365 Seasonality],MATCH(DaybyDay[[#This Row],[Date]],BudgetSeasonality[MonthAdjustment],0))*SUMIFS(Budgets[Retail-Budget],Budgets[BudgetMonth],DaybyDay[[#This Row],[RowMonth]],Budgets[BudgetYear],DaybyDay[[#This Row],[RowYear]])</f>
        <v>1499.263253226444</v>
      </c>
      <c r="N673" s="75">
        <v>340</v>
      </c>
      <c r="O673" s="33">
        <f>SUMIFS(DaybyDay[Service-Budgets],DaybyDay[Date],"&gt;="&amp;$C$5,DaybyDay[RowYear],"&gt;="&amp;$C$4,DaybyDay[Date],"&lt;="&amp;DaybyDay[[#This Row],[Date]])</f>
        <v>0</v>
      </c>
      <c r="P673" s="33">
        <f>SUMIFS(DaybyDay[Retail-Budgets],DaybyDay[Date],"&gt;="&amp;$C$5,DaybyDay[RowYear],"&gt;="&amp;$C$4,DaybyDay[Date],"&lt;="&amp;DaybyDay[[#This Row],[Date]])</f>
        <v>0</v>
      </c>
      <c r="Q673" s="34">
        <f>SUMIFS(DaybyDay[Service-Actuals],DaybyDay[Date],"&gt;="&amp;$C$5,DaybyDay[RowYear],"&gt;="&amp;$C$4,DaybyDay[Date],"&lt;="&amp;DaybyDay[[#This Row],[Date]])</f>
        <v>0</v>
      </c>
      <c r="R673" s="34">
        <f>SUMIFS(DaybyDay[Retail-Actuals],DaybyDay[Date],"&gt;="&amp;$C$5,DaybyDay[RowYear],"&gt;="&amp;$C$4,DaybyDay[Date],"&lt;="&amp;DaybyDay[[#This Row],[Date]])</f>
        <v>0</v>
      </c>
      <c r="S673" s="35">
        <f>SUMIFS(DaybyDay[Service-LY],DaybyDay[Date],"&gt;="&amp;$C$5,DaybyDay[RowYear],"&gt;="&amp;$C$4,DaybyDay[Date],"&lt;="&amp;DaybyDay[[#This Row],[Date]])</f>
        <v>0</v>
      </c>
      <c r="T673" s="35">
        <f>SUMIFS(DaybyDay[Retail-LY],DaybyDay[Date],"&gt;="&amp;$C$5,DaybyDay[RowYear],"&gt;="&amp;$C$4,DaybyDay[Date],"&lt;="&amp;DaybyDay[[#This Row],[Date]])</f>
        <v>0</v>
      </c>
      <c r="U673" s="32">
        <f>DaybyDay[[#This Row],[Serv-Bud-RU]]+DaybyDay[[#This Row],[Ret-Bud-RU]]</f>
        <v>0</v>
      </c>
      <c r="V673" s="32">
        <f>DaybyDay[[#This Row],[Serv-Act-RU]]+DaybyDay[[#This Row],[Ret-Act-RU]]</f>
        <v>0</v>
      </c>
      <c r="W673" s="36">
        <f>IF(DaybyDay[[#This Row],[_Space]],IFERROR(
((DaybyDay[[#This Row],[Actual-Rollup]]-DaybyDay[[#This Row],[Budget-Rollup]])/DaybyDay[[#This Row],[Budget-Rollup]]),0),"")</f>
        <v>0</v>
      </c>
      <c r="X673" t="b">
        <f>NOT(AND(ISBLANK(DaybyDay[[#This Row],[Appts]]),ISBLANK(DaybyDay[[#This Row],[Service-Actuals]]),ISBLANK(DaybyDay[[#This Row],[Retail-Actuals]])))</f>
        <v>1</v>
      </c>
      <c r="Y673" s="36">
        <f>IF(DaybyDay[[#This Row],[_Space]],IFERROR(
((DaybyDay[[#This Row],[Actual-Rollup]]-DaybyDay[[#This Row],[LY-Rollup]])/DaybyDay[[#This Row],[LY-Rollup]]),0),"")</f>
        <v>0</v>
      </c>
      <c r="Z673"/>
      <c r="AA673" s="37" t="e">
        <f>IF(DaybyDay[[#This Row],[_Space]],DaybyDay[[#This Row],[Ret-Act-RU]]/DaybyDay[[#This Row],[Serv-Act-RU]],"")</f>
        <v>#DIV/0!</v>
      </c>
      <c r="AB673" s="50" t="e">
        <f>IF(DaybyDay[[#This Row],[_Space]],DaybyDay[[#This Row],[RETPEN-Act]]/DaybyDay[[#This Row],[RETPEN-Bud]],"")</f>
        <v>#DIV/0!</v>
      </c>
      <c r="AC673" s="37" t="e">
        <f>IF(DaybyDay[[#This Row],[_Space]],DaybyDay[[#This Row],[Ret-Bud-RU]]/DaybyDay[[#This Row],[Serv-Bud-RU]],"")</f>
        <v>#DIV/0!</v>
      </c>
      <c r="AD673" s="37" t="e">
        <f>IF(DaybyDay[[#This Row],[_Space]],DaybyDay[[#This Row],[Ret-LY-RU]]/DaybyDay[[#This Row],[Serv-LY-RU]],"")</f>
        <v>#DIV/0!</v>
      </c>
      <c r="AE673" s="30">
        <f>WEEKDAY(DaybyDay[[#This Row],[LY-Date]])</f>
        <v>2</v>
      </c>
      <c r="AF673" s="38">
        <f>$E$2+_xlfn.DAYS(DaybyDay[[#This Row],[Date]],minDate)</f>
        <v>43038</v>
      </c>
      <c r="AG673" s="39" cm="1">
        <f t="array" ref="AG673">IFERROR(INDEX(DaybyDay[],DaybyDay[[#This Row],[FORM_MATCH_HELPER]],8),"")</f>
        <v>11</v>
      </c>
      <c r="AH673" s="39" cm="1">
        <f t="array" ref="AH673">IFERROR(INDEX(DaybyDay[],DaybyDay[[#This Row],[FORM_MATCH_HELPER]],10),"")</f>
        <v>2506.1999999999998</v>
      </c>
      <c r="AI673" s="39" cm="1">
        <f t="array" ref="AI673">IFERROR(INDEX(DaybyDay[],DaybyDay[[#This Row],[FORM_MATCH_HELPER]],12),"")</f>
        <v>720</v>
      </c>
      <c r="AJ673" s="32">
        <f>IFERROR(DaybyDay[[#This Row],[Serv-LY-RU]]+DaybyDay[[#This Row],[Ret-LY-RU]],"")</f>
        <v>0</v>
      </c>
      <c r="AK6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3" s="77"/>
      <c r="AM673" s="40" t="str">
        <f>IF(DaybyDay[[#This Row],[Admin Hours]]&gt;0,DaybyDay[[#This Row],[Admin Hours]]*$AM$2+$AM$3,"")</f>
        <v/>
      </c>
      <c r="AN673" s="40">
        <f>SUMIFS(DaybyDay[Est-Admin-Payroll],DaybyDay[Date],"&gt;="&amp;$C$5,DaybyDay[RowYear],"&gt;="&amp;$C$4,DaybyDay[Date],"&lt;="&amp;DaybyDay[[#This Row],[Date]])</f>
        <v>0</v>
      </c>
      <c r="AO673" s="41" t="str">
        <f>IF(AND(DaybyDay[[#This Row],[_Space]],ISNUMBER(DaybyDay[[#This Row],[Admin Hours]])),DaybyDay[[#This Row],[Est-Admin-Payroll]]/(DaybyDay[[#This Row],[Service-Actuals]]+DaybyDay[[#This Row],[Retail-Actuals]]),"")</f>
        <v/>
      </c>
      <c r="AP673" s="41" t="e">
        <f>DaybyDay[[#This Row],[Estimated-Payroll-Rollup]]/DaybyDay[[#This Row],[Simple-Forecast]]</f>
        <v>#DIV/0!</v>
      </c>
      <c r="AQ6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3" s="77"/>
      <c r="AS673" s="40" t="str">
        <f>IF(DaybyDay[[#This Row],[Retail Hours]]&gt;0,DaybyDay[[#This Row],[Retail Hours]]*$AS$2,"")</f>
        <v/>
      </c>
      <c r="AT673" s="40">
        <f>SUMIFS(DaybyDay[Est-Retail-Payroll],DaybyDay[Date],"&gt;="&amp;$C$5,DaybyDay[RowYear],"&gt;="&amp;$C$4,DaybyDay[Date],"&lt;="&amp;DaybyDay[[#This Row],[Date]])</f>
        <v>0</v>
      </c>
      <c r="AU673" s="82" t="str">
        <f>IF(AND(DaybyDay[[#This Row],[_Space]],ISNUMBER(DaybyDay[[#This Row],[Retail Hours]])),DaybyDay[[#This Row],[Est-Retail-Payroll]]/(DaybyDay[[#This Row],[Retail-Actuals]]),"")</f>
        <v/>
      </c>
      <c r="AV673" s="82" t="e">
        <f>DaybyDay[[#This Row],[Est-Retail-PayrollRU]]/DaybyDay[[#This Row],[Simple-Forecast-Retail]]</f>
        <v>#DIV/0!</v>
      </c>
      <c r="AW673" s="8"/>
    </row>
    <row r="674" spans="3:49" hidden="1" x14ac:dyDescent="0.25">
      <c r="C674" s="26" t="str">
        <f>Tools!$C$1</f>
        <v>Example</v>
      </c>
      <c r="D674" s="27" t="s">
        <v>77</v>
      </c>
      <c r="E674" s="28">
        <v>2018</v>
      </c>
      <c r="F674" s="28">
        <f>MATCH(DaybyDay[[#This Row],[RowMonth]],Table3[SummaryMonth],0)</f>
        <v>10</v>
      </c>
      <c r="G674" s="29">
        <f>MATCH(DaybyDay[[#This Row],[LY-Date]],DaybyDay[Date],0)</f>
        <v>304</v>
      </c>
      <c r="H674" s="30">
        <f>WEEKDAY(DaybyDay[[#This Row],[Date]])</f>
        <v>3</v>
      </c>
      <c r="I674" s="31">
        <v>43403</v>
      </c>
      <c r="J674" s="74">
        <v>17</v>
      </c>
      <c r="K674" s="32">
        <f>SUMIFS(BudgetSeasonality[365 Seasonality],BudgetSeasonality[MonthAdjustment],DaybyDay[[#This Row],[Date]])*SUMIFS(Budgets[Service-Budget],Budgets[BudgetMonth],DaybyDay[[#This Row],[RowMonth]],Budgets[BudgetYear],DaybyDay[[#This Row],[RowYear]])</f>
        <v>5170.5987909307914</v>
      </c>
      <c r="L674" s="75">
        <v>3130.25</v>
      </c>
      <c r="M674" s="32">
        <f>INDEX(BudgetSeasonality[365 Seasonality],MATCH(DaybyDay[[#This Row],[Date]],BudgetSeasonality[MonthAdjustment],0))*SUMIFS(Budgets[Retail-Budget],Budgets[BudgetMonth],DaybyDay[[#This Row],[RowMonth]],Budgets[BudgetYear],DaybyDay[[#This Row],[RowYear]])</f>
        <v>1553.4301699412313</v>
      </c>
      <c r="N674" s="75">
        <v>2442.5</v>
      </c>
      <c r="O674" s="33">
        <f>SUMIFS(DaybyDay[Service-Budgets],DaybyDay[Date],"&gt;="&amp;$C$5,DaybyDay[RowYear],"&gt;="&amp;$C$4,DaybyDay[Date],"&lt;="&amp;DaybyDay[[#This Row],[Date]])</f>
        <v>0</v>
      </c>
      <c r="P674" s="33">
        <f>SUMIFS(DaybyDay[Retail-Budgets],DaybyDay[Date],"&gt;="&amp;$C$5,DaybyDay[RowYear],"&gt;="&amp;$C$4,DaybyDay[Date],"&lt;="&amp;DaybyDay[[#This Row],[Date]])</f>
        <v>0</v>
      </c>
      <c r="Q674" s="34">
        <f>SUMIFS(DaybyDay[Service-Actuals],DaybyDay[Date],"&gt;="&amp;$C$5,DaybyDay[RowYear],"&gt;="&amp;$C$4,DaybyDay[Date],"&lt;="&amp;DaybyDay[[#This Row],[Date]])</f>
        <v>0</v>
      </c>
      <c r="R674" s="34">
        <f>SUMIFS(DaybyDay[Retail-Actuals],DaybyDay[Date],"&gt;="&amp;$C$5,DaybyDay[RowYear],"&gt;="&amp;$C$4,DaybyDay[Date],"&lt;="&amp;DaybyDay[[#This Row],[Date]])</f>
        <v>0</v>
      </c>
      <c r="S674" s="35">
        <f>SUMIFS(DaybyDay[Service-LY],DaybyDay[Date],"&gt;="&amp;$C$5,DaybyDay[RowYear],"&gt;="&amp;$C$4,DaybyDay[Date],"&lt;="&amp;DaybyDay[[#This Row],[Date]])</f>
        <v>0</v>
      </c>
      <c r="T674" s="35">
        <f>SUMIFS(DaybyDay[Retail-LY],DaybyDay[Date],"&gt;="&amp;$C$5,DaybyDay[RowYear],"&gt;="&amp;$C$4,DaybyDay[Date],"&lt;="&amp;DaybyDay[[#This Row],[Date]])</f>
        <v>0</v>
      </c>
      <c r="U674" s="32">
        <f>DaybyDay[[#This Row],[Serv-Bud-RU]]+DaybyDay[[#This Row],[Ret-Bud-RU]]</f>
        <v>0</v>
      </c>
      <c r="V674" s="32">
        <f>DaybyDay[[#This Row],[Serv-Act-RU]]+DaybyDay[[#This Row],[Ret-Act-RU]]</f>
        <v>0</v>
      </c>
      <c r="W674" s="36">
        <f>IF(DaybyDay[[#This Row],[_Space]],IFERROR(
((DaybyDay[[#This Row],[Actual-Rollup]]-DaybyDay[[#This Row],[Budget-Rollup]])/DaybyDay[[#This Row],[Budget-Rollup]]),0),"")</f>
        <v>0</v>
      </c>
      <c r="X674" t="b">
        <f>NOT(AND(ISBLANK(DaybyDay[[#This Row],[Appts]]),ISBLANK(DaybyDay[[#This Row],[Service-Actuals]]),ISBLANK(DaybyDay[[#This Row],[Retail-Actuals]])))</f>
        <v>1</v>
      </c>
      <c r="Y674" s="36">
        <f>IF(DaybyDay[[#This Row],[_Space]],IFERROR(
((DaybyDay[[#This Row],[Actual-Rollup]]-DaybyDay[[#This Row],[LY-Rollup]])/DaybyDay[[#This Row],[LY-Rollup]]),0),"")</f>
        <v>0</v>
      </c>
      <c r="Z674"/>
      <c r="AA674" s="37" t="e">
        <f>IF(DaybyDay[[#This Row],[_Space]],DaybyDay[[#This Row],[Ret-Act-RU]]/DaybyDay[[#This Row],[Serv-Act-RU]],"")</f>
        <v>#DIV/0!</v>
      </c>
      <c r="AB674" s="50" t="e">
        <f>IF(DaybyDay[[#This Row],[_Space]],DaybyDay[[#This Row],[RETPEN-Act]]/DaybyDay[[#This Row],[RETPEN-Bud]],"")</f>
        <v>#DIV/0!</v>
      </c>
      <c r="AC674" s="37" t="e">
        <f>IF(DaybyDay[[#This Row],[_Space]],DaybyDay[[#This Row],[Ret-Bud-RU]]/DaybyDay[[#This Row],[Serv-Bud-RU]],"")</f>
        <v>#DIV/0!</v>
      </c>
      <c r="AD674" s="37" t="e">
        <f>IF(DaybyDay[[#This Row],[_Space]],DaybyDay[[#This Row],[Ret-LY-RU]]/DaybyDay[[#This Row],[Serv-LY-RU]],"")</f>
        <v>#DIV/0!</v>
      </c>
      <c r="AE674" s="30">
        <f>WEEKDAY(DaybyDay[[#This Row],[LY-Date]])</f>
        <v>3</v>
      </c>
      <c r="AF674" s="38">
        <f>$E$2+_xlfn.DAYS(DaybyDay[[#This Row],[Date]],minDate)</f>
        <v>43039</v>
      </c>
      <c r="AG674" s="39" cm="1">
        <f t="array" ref="AG674">IFERROR(INDEX(DaybyDay[],DaybyDay[[#This Row],[FORM_MATCH_HELPER]],8),"")</f>
        <v>11</v>
      </c>
      <c r="AH674" s="39" cm="1">
        <f t="array" ref="AH674">IFERROR(INDEX(DaybyDay[],DaybyDay[[#This Row],[FORM_MATCH_HELPER]],10),"")</f>
        <v>2109.9</v>
      </c>
      <c r="AI674" s="39" cm="1">
        <f t="array" ref="AI674">IFERROR(INDEX(DaybyDay[],DaybyDay[[#This Row],[FORM_MATCH_HELPER]],12),"")</f>
        <v>260</v>
      </c>
      <c r="AJ674" s="32">
        <f>IFERROR(DaybyDay[[#This Row],[Serv-LY-RU]]+DaybyDay[[#This Row],[Ret-LY-RU]],"")</f>
        <v>0</v>
      </c>
      <c r="AK6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4" s="77"/>
      <c r="AM674" s="40" t="str">
        <f>IF(DaybyDay[[#This Row],[Admin Hours]]&gt;0,DaybyDay[[#This Row],[Admin Hours]]*$AM$2+$AM$3,"")</f>
        <v/>
      </c>
      <c r="AN674" s="40">
        <f>SUMIFS(DaybyDay[Est-Admin-Payroll],DaybyDay[Date],"&gt;="&amp;$C$5,DaybyDay[RowYear],"&gt;="&amp;$C$4,DaybyDay[Date],"&lt;="&amp;DaybyDay[[#This Row],[Date]])</f>
        <v>0</v>
      </c>
      <c r="AO674" s="41" t="str">
        <f>IF(AND(DaybyDay[[#This Row],[_Space]],ISNUMBER(DaybyDay[[#This Row],[Admin Hours]])),DaybyDay[[#This Row],[Est-Admin-Payroll]]/(DaybyDay[[#This Row],[Service-Actuals]]+DaybyDay[[#This Row],[Retail-Actuals]]),"")</f>
        <v/>
      </c>
      <c r="AP674" s="41" t="e">
        <f>DaybyDay[[#This Row],[Estimated-Payroll-Rollup]]/DaybyDay[[#This Row],[Simple-Forecast]]</f>
        <v>#DIV/0!</v>
      </c>
      <c r="AQ6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4" s="77"/>
      <c r="AS674" s="40" t="str">
        <f>IF(DaybyDay[[#This Row],[Retail Hours]]&gt;0,DaybyDay[[#This Row],[Retail Hours]]*$AS$2,"")</f>
        <v/>
      </c>
      <c r="AT674" s="40">
        <f>SUMIFS(DaybyDay[Est-Retail-Payroll],DaybyDay[Date],"&gt;="&amp;$C$5,DaybyDay[RowYear],"&gt;="&amp;$C$4,DaybyDay[Date],"&lt;="&amp;DaybyDay[[#This Row],[Date]])</f>
        <v>0</v>
      </c>
      <c r="AU674" s="82" t="str">
        <f>IF(AND(DaybyDay[[#This Row],[_Space]],ISNUMBER(DaybyDay[[#This Row],[Retail Hours]])),DaybyDay[[#This Row],[Est-Retail-Payroll]]/(DaybyDay[[#This Row],[Retail-Actuals]]),"")</f>
        <v/>
      </c>
      <c r="AV674" s="82" t="e">
        <f>DaybyDay[[#This Row],[Est-Retail-PayrollRU]]/DaybyDay[[#This Row],[Simple-Forecast-Retail]]</f>
        <v>#DIV/0!</v>
      </c>
      <c r="AW674" s="8"/>
    </row>
    <row r="675" spans="3:49" hidden="1" x14ac:dyDescent="0.25">
      <c r="C675" s="26" t="str">
        <f>Tools!$C$1</f>
        <v>Example</v>
      </c>
      <c r="D675" s="27" t="s">
        <v>77</v>
      </c>
      <c r="E675" s="28">
        <v>2018</v>
      </c>
      <c r="F675" s="28">
        <f>MATCH(DaybyDay[[#This Row],[RowMonth]],Table3[SummaryMonth],0)</f>
        <v>10</v>
      </c>
      <c r="G675" s="29">
        <f>MATCH(DaybyDay[[#This Row],[LY-Date]],DaybyDay[Date],0)</f>
        <v>305</v>
      </c>
      <c r="H675" s="30">
        <f>WEEKDAY(DaybyDay[[#This Row],[Date]])</f>
        <v>4</v>
      </c>
      <c r="I675" s="31">
        <v>43404</v>
      </c>
      <c r="J675" s="74">
        <v>23</v>
      </c>
      <c r="K675" s="32">
        <f>SUMIFS(BudgetSeasonality[365 Seasonality],BudgetSeasonality[MonthAdjustment],DaybyDay[[#This Row],[Date]])*SUMIFS(Budgets[Service-Budget],Budgets[BudgetMonth],DaybyDay[[#This Row],[RowMonth]],Budgets[BudgetYear],DaybyDay[[#This Row],[RowYear]])</f>
        <v>5921.9365772956835</v>
      </c>
      <c r="L675" s="75">
        <v>5403.75</v>
      </c>
      <c r="M675" s="32">
        <f>INDEX(BudgetSeasonality[365 Seasonality],MATCH(DaybyDay[[#This Row],[Date]],BudgetSeasonality[MonthAdjustment],0))*SUMIFS(Budgets[Retail-Budget],Budgets[BudgetMonth],DaybyDay[[#This Row],[RowMonth]],Budgets[BudgetYear],DaybyDay[[#This Row],[RowYear]])</f>
        <v>1779.1585299144049</v>
      </c>
      <c r="N675" s="75">
        <v>118</v>
      </c>
      <c r="O675" s="33">
        <f>SUMIFS(DaybyDay[Service-Budgets],DaybyDay[Date],"&gt;="&amp;$C$5,DaybyDay[RowYear],"&gt;="&amp;$C$4,DaybyDay[Date],"&lt;="&amp;DaybyDay[[#This Row],[Date]])</f>
        <v>0</v>
      </c>
      <c r="P675" s="33">
        <f>SUMIFS(DaybyDay[Retail-Budgets],DaybyDay[Date],"&gt;="&amp;$C$5,DaybyDay[RowYear],"&gt;="&amp;$C$4,DaybyDay[Date],"&lt;="&amp;DaybyDay[[#This Row],[Date]])</f>
        <v>0</v>
      </c>
      <c r="Q675" s="34">
        <f>SUMIFS(DaybyDay[Service-Actuals],DaybyDay[Date],"&gt;="&amp;$C$5,DaybyDay[RowYear],"&gt;="&amp;$C$4,DaybyDay[Date],"&lt;="&amp;DaybyDay[[#This Row],[Date]])</f>
        <v>0</v>
      </c>
      <c r="R675" s="34">
        <f>SUMIFS(DaybyDay[Retail-Actuals],DaybyDay[Date],"&gt;="&amp;$C$5,DaybyDay[RowYear],"&gt;="&amp;$C$4,DaybyDay[Date],"&lt;="&amp;DaybyDay[[#This Row],[Date]])</f>
        <v>0</v>
      </c>
      <c r="S675" s="35">
        <f>SUMIFS(DaybyDay[Service-LY],DaybyDay[Date],"&gt;="&amp;$C$5,DaybyDay[RowYear],"&gt;="&amp;$C$4,DaybyDay[Date],"&lt;="&amp;DaybyDay[[#This Row],[Date]])</f>
        <v>0</v>
      </c>
      <c r="T675" s="35">
        <f>SUMIFS(DaybyDay[Retail-LY],DaybyDay[Date],"&gt;="&amp;$C$5,DaybyDay[RowYear],"&gt;="&amp;$C$4,DaybyDay[Date],"&lt;="&amp;DaybyDay[[#This Row],[Date]])</f>
        <v>0</v>
      </c>
      <c r="U675" s="32">
        <f>DaybyDay[[#This Row],[Serv-Bud-RU]]+DaybyDay[[#This Row],[Ret-Bud-RU]]</f>
        <v>0</v>
      </c>
      <c r="V675" s="32">
        <f>DaybyDay[[#This Row],[Serv-Act-RU]]+DaybyDay[[#This Row],[Ret-Act-RU]]</f>
        <v>0</v>
      </c>
      <c r="W675" s="36">
        <f>IF(DaybyDay[[#This Row],[_Space]],IFERROR(
((DaybyDay[[#This Row],[Actual-Rollup]]-DaybyDay[[#This Row],[Budget-Rollup]])/DaybyDay[[#This Row],[Budget-Rollup]]),0),"")</f>
        <v>0</v>
      </c>
      <c r="X675" t="b">
        <f>NOT(AND(ISBLANK(DaybyDay[[#This Row],[Appts]]),ISBLANK(DaybyDay[[#This Row],[Service-Actuals]]),ISBLANK(DaybyDay[[#This Row],[Retail-Actuals]])))</f>
        <v>1</v>
      </c>
      <c r="Y675" s="36">
        <f>IF(DaybyDay[[#This Row],[_Space]],IFERROR(
((DaybyDay[[#This Row],[Actual-Rollup]]-DaybyDay[[#This Row],[LY-Rollup]])/DaybyDay[[#This Row],[LY-Rollup]]),0),"")</f>
        <v>0</v>
      </c>
      <c r="Z675"/>
      <c r="AA675" s="37" t="e">
        <f>IF(DaybyDay[[#This Row],[_Space]],DaybyDay[[#This Row],[Ret-Act-RU]]/DaybyDay[[#This Row],[Serv-Act-RU]],"")</f>
        <v>#DIV/0!</v>
      </c>
      <c r="AB675" s="50" t="e">
        <f>IF(DaybyDay[[#This Row],[_Space]],DaybyDay[[#This Row],[RETPEN-Act]]/DaybyDay[[#This Row],[RETPEN-Bud]],"")</f>
        <v>#DIV/0!</v>
      </c>
      <c r="AC675" s="37" t="e">
        <f>IF(DaybyDay[[#This Row],[_Space]],DaybyDay[[#This Row],[Ret-Bud-RU]]/DaybyDay[[#This Row],[Serv-Bud-RU]],"")</f>
        <v>#DIV/0!</v>
      </c>
      <c r="AD675" s="37" t="e">
        <f>IF(DaybyDay[[#This Row],[_Space]],DaybyDay[[#This Row],[Ret-LY-RU]]/DaybyDay[[#This Row],[Serv-LY-RU]],"")</f>
        <v>#DIV/0!</v>
      </c>
      <c r="AE675" s="30">
        <f>WEEKDAY(DaybyDay[[#This Row],[LY-Date]])</f>
        <v>4</v>
      </c>
      <c r="AF675" s="38">
        <f>$E$2+_xlfn.DAYS(DaybyDay[[#This Row],[Date]],minDate)</f>
        <v>43040</v>
      </c>
      <c r="AG675" s="39" cm="1">
        <f t="array" ref="AG675">IFERROR(INDEX(DaybyDay[],DaybyDay[[#This Row],[FORM_MATCH_HELPER]],8),"")</f>
        <v>26</v>
      </c>
      <c r="AH675" s="39" cm="1">
        <f t="array" ref="AH675">IFERROR(INDEX(DaybyDay[],DaybyDay[[#This Row],[FORM_MATCH_HELPER]],10),"")</f>
        <v>5614.8</v>
      </c>
      <c r="AI675" s="39" cm="1">
        <f t="array" ref="AI675">IFERROR(INDEX(DaybyDay[],DaybyDay[[#This Row],[FORM_MATCH_HELPER]],12),"")</f>
        <v>2090.27</v>
      </c>
      <c r="AJ675" s="32">
        <f>IFERROR(DaybyDay[[#This Row],[Serv-LY-RU]]+DaybyDay[[#This Row],[Ret-LY-RU]],"")</f>
        <v>0</v>
      </c>
      <c r="AK6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5" s="77"/>
      <c r="AM675" s="40" t="str">
        <f>IF(DaybyDay[[#This Row],[Admin Hours]]&gt;0,DaybyDay[[#This Row],[Admin Hours]]*$AM$2+$AM$3,"")</f>
        <v/>
      </c>
      <c r="AN675" s="40">
        <f>SUMIFS(DaybyDay[Est-Admin-Payroll],DaybyDay[Date],"&gt;="&amp;$C$5,DaybyDay[RowYear],"&gt;="&amp;$C$4,DaybyDay[Date],"&lt;="&amp;DaybyDay[[#This Row],[Date]])</f>
        <v>0</v>
      </c>
      <c r="AO675" s="41" t="str">
        <f>IF(AND(DaybyDay[[#This Row],[_Space]],ISNUMBER(DaybyDay[[#This Row],[Admin Hours]])),DaybyDay[[#This Row],[Est-Admin-Payroll]]/(DaybyDay[[#This Row],[Service-Actuals]]+DaybyDay[[#This Row],[Retail-Actuals]]),"")</f>
        <v/>
      </c>
      <c r="AP675" s="41" t="e">
        <f>DaybyDay[[#This Row],[Estimated-Payroll-Rollup]]/DaybyDay[[#This Row],[Simple-Forecast]]</f>
        <v>#DIV/0!</v>
      </c>
      <c r="AQ6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5" s="77"/>
      <c r="AS675" s="40" t="str">
        <f>IF(DaybyDay[[#This Row],[Retail Hours]]&gt;0,DaybyDay[[#This Row],[Retail Hours]]*$AS$2,"")</f>
        <v/>
      </c>
      <c r="AT675" s="40">
        <f>SUMIFS(DaybyDay[Est-Retail-Payroll],DaybyDay[Date],"&gt;="&amp;$C$5,DaybyDay[RowYear],"&gt;="&amp;$C$4,DaybyDay[Date],"&lt;="&amp;DaybyDay[[#This Row],[Date]])</f>
        <v>0</v>
      </c>
      <c r="AU675" s="82" t="str">
        <f>IF(AND(DaybyDay[[#This Row],[_Space]],ISNUMBER(DaybyDay[[#This Row],[Retail Hours]])),DaybyDay[[#This Row],[Est-Retail-Payroll]]/(DaybyDay[[#This Row],[Retail-Actuals]]),"")</f>
        <v/>
      </c>
      <c r="AV675" s="82" t="e">
        <f>DaybyDay[[#This Row],[Est-Retail-PayrollRU]]/DaybyDay[[#This Row],[Simple-Forecast-Retail]]</f>
        <v>#DIV/0!</v>
      </c>
      <c r="AW675" s="8"/>
    </row>
    <row r="676" spans="3:49" hidden="1" x14ac:dyDescent="0.25">
      <c r="C676" s="26" t="str">
        <f>Tools!$C$1</f>
        <v>Example</v>
      </c>
      <c r="D676" s="27" t="s">
        <v>77</v>
      </c>
      <c r="E676" s="28">
        <v>2018</v>
      </c>
      <c r="F676" s="28">
        <f>MATCH(DaybyDay[[#This Row],[RowMonth]],Table3[SummaryMonth],0)</f>
        <v>10</v>
      </c>
      <c r="G676" s="29">
        <f>MATCH(DaybyDay[[#This Row],[LY-Date]],DaybyDay[Date],0)</f>
        <v>306</v>
      </c>
      <c r="H676" s="30">
        <f>WEEKDAY(DaybyDay[[#This Row],[Date]])</f>
        <v>5</v>
      </c>
      <c r="I676" s="31">
        <v>43405</v>
      </c>
      <c r="J676" s="74">
        <v>23</v>
      </c>
      <c r="K676" s="32">
        <f>SUMIFS(BudgetSeasonality[365 Seasonality],BudgetSeasonality[MonthAdjustment],DaybyDay[[#This Row],[Date]])*SUMIFS(Budgets[Service-Budget],Budgets[BudgetMonth],DaybyDay[[#This Row],[RowMonth]],Budgets[BudgetYear],DaybyDay[[#This Row],[RowYear]])</f>
        <v>6089.4631156740306</v>
      </c>
      <c r="L676" s="75">
        <v>5536.5</v>
      </c>
      <c r="M676" s="32">
        <f>INDEX(BudgetSeasonality[365 Seasonality],MATCH(DaybyDay[[#This Row],[Date]],BudgetSeasonality[MonthAdjustment],0))*SUMIFS(Budgets[Retail-Budget],Budgets[BudgetMonth],DaybyDay[[#This Row],[RowMonth]],Budgets[BudgetYear],DaybyDay[[#This Row],[RowYear]])</f>
        <v>1829.4894083107724</v>
      </c>
      <c r="N676" s="75">
        <v>1101.27</v>
      </c>
      <c r="O676" s="33">
        <f>SUMIFS(DaybyDay[Service-Budgets],DaybyDay[Date],"&gt;="&amp;$C$5,DaybyDay[RowYear],"&gt;="&amp;$C$4,DaybyDay[Date],"&lt;="&amp;DaybyDay[[#This Row],[Date]])</f>
        <v>0</v>
      </c>
      <c r="P676" s="33">
        <f>SUMIFS(DaybyDay[Retail-Budgets],DaybyDay[Date],"&gt;="&amp;$C$5,DaybyDay[RowYear],"&gt;="&amp;$C$4,DaybyDay[Date],"&lt;="&amp;DaybyDay[[#This Row],[Date]])</f>
        <v>0</v>
      </c>
      <c r="Q676" s="34">
        <f>SUMIFS(DaybyDay[Service-Actuals],DaybyDay[Date],"&gt;="&amp;$C$5,DaybyDay[RowYear],"&gt;="&amp;$C$4,DaybyDay[Date],"&lt;="&amp;DaybyDay[[#This Row],[Date]])</f>
        <v>0</v>
      </c>
      <c r="R676" s="34">
        <f>SUMIFS(DaybyDay[Retail-Actuals],DaybyDay[Date],"&gt;="&amp;$C$5,DaybyDay[RowYear],"&gt;="&amp;$C$4,DaybyDay[Date],"&lt;="&amp;DaybyDay[[#This Row],[Date]])</f>
        <v>0</v>
      </c>
      <c r="S676" s="35">
        <f>SUMIFS(DaybyDay[Service-LY],DaybyDay[Date],"&gt;="&amp;$C$5,DaybyDay[RowYear],"&gt;="&amp;$C$4,DaybyDay[Date],"&lt;="&amp;DaybyDay[[#This Row],[Date]])</f>
        <v>0</v>
      </c>
      <c r="T676" s="35">
        <f>SUMIFS(DaybyDay[Retail-LY],DaybyDay[Date],"&gt;="&amp;$C$5,DaybyDay[RowYear],"&gt;="&amp;$C$4,DaybyDay[Date],"&lt;="&amp;DaybyDay[[#This Row],[Date]])</f>
        <v>0</v>
      </c>
      <c r="U676" s="32">
        <f>DaybyDay[[#This Row],[Serv-Bud-RU]]+DaybyDay[[#This Row],[Ret-Bud-RU]]</f>
        <v>0</v>
      </c>
      <c r="V676" s="32">
        <f>DaybyDay[[#This Row],[Serv-Act-RU]]+DaybyDay[[#This Row],[Ret-Act-RU]]</f>
        <v>0</v>
      </c>
      <c r="W676" s="36">
        <f>IF(DaybyDay[[#This Row],[_Space]],IFERROR(
((DaybyDay[[#This Row],[Actual-Rollup]]-DaybyDay[[#This Row],[Budget-Rollup]])/DaybyDay[[#This Row],[Budget-Rollup]]),0),"")</f>
        <v>0</v>
      </c>
      <c r="X676" t="b">
        <f>NOT(AND(ISBLANK(DaybyDay[[#This Row],[Appts]]),ISBLANK(DaybyDay[[#This Row],[Service-Actuals]]),ISBLANK(DaybyDay[[#This Row],[Retail-Actuals]])))</f>
        <v>1</v>
      </c>
      <c r="Y676" s="36">
        <f>IF(DaybyDay[[#This Row],[_Space]],IFERROR(
((DaybyDay[[#This Row],[Actual-Rollup]]-DaybyDay[[#This Row],[LY-Rollup]])/DaybyDay[[#This Row],[LY-Rollup]]),0),"")</f>
        <v>0</v>
      </c>
      <c r="Z676"/>
      <c r="AA676" s="37" t="e">
        <f>IF(DaybyDay[[#This Row],[_Space]],DaybyDay[[#This Row],[Ret-Act-RU]]/DaybyDay[[#This Row],[Serv-Act-RU]],"")</f>
        <v>#DIV/0!</v>
      </c>
      <c r="AB676" s="50" t="e">
        <f>IF(DaybyDay[[#This Row],[_Space]],DaybyDay[[#This Row],[RETPEN-Act]]/DaybyDay[[#This Row],[RETPEN-Bud]],"")</f>
        <v>#DIV/0!</v>
      </c>
      <c r="AC676" s="37" t="e">
        <f>IF(DaybyDay[[#This Row],[_Space]],DaybyDay[[#This Row],[Ret-Bud-RU]]/DaybyDay[[#This Row],[Serv-Bud-RU]],"")</f>
        <v>#DIV/0!</v>
      </c>
      <c r="AD676" s="37" t="e">
        <f>IF(DaybyDay[[#This Row],[_Space]],DaybyDay[[#This Row],[Ret-LY-RU]]/DaybyDay[[#This Row],[Serv-LY-RU]],"")</f>
        <v>#DIV/0!</v>
      </c>
      <c r="AE676" s="30">
        <f>WEEKDAY(DaybyDay[[#This Row],[LY-Date]])</f>
        <v>5</v>
      </c>
      <c r="AF676" s="38">
        <f>$E$2+_xlfn.DAYS(DaybyDay[[#This Row],[Date]],minDate)</f>
        <v>43041</v>
      </c>
      <c r="AG676" s="39" cm="1">
        <f t="array" ref="AG676">IFERROR(INDEX(DaybyDay[],DaybyDay[[#This Row],[FORM_MATCH_HELPER]],8),"")</f>
        <v>20</v>
      </c>
      <c r="AH676" s="39" cm="1">
        <f t="array" ref="AH676">IFERROR(INDEX(DaybyDay[],DaybyDay[[#This Row],[FORM_MATCH_HELPER]],10),"")</f>
        <v>4897.59</v>
      </c>
      <c r="AI676" s="39" cm="1">
        <f t="array" ref="AI676">IFERROR(INDEX(DaybyDay[],DaybyDay[[#This Row],[FORM_MATCH_HELPER]],12),"")</f>
        <v>224.05</v>
      </c>
      <c r="AJ676" s="32">
        <f>IFERROR(DaybyDay[[#This Row],[Serv-LY-RU]]+DaybyDay[[#This Row],[Ret-LY-RU]],"")</f>
        <v>0</v>
      </c>
      <c r="AK6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6" s="77"/>
      <c r="AM676" s="40" t="str">
        <f>IF(DaybyDay[[#This Row],[Admin Hours]]&gt;0,DaybyDay[[#This Row],[Admin Hours]]*$AM$2+$AM$3,"")</f>
        <v/>
      </c>
      <c r="AN676" s="40">
        <f>SUMIFS(DaybyDay[Est-Admin-Payroll],DaybyDay[Date],"&gt;="&amp;$C$5,DaybyDay[RowYear],"&gt;="&amp;$C$4,DaybyDay[Date],"&lt;="&amp;DaybyDay[[#This Row],[Date]])</f>
        <v>0</v>
      </c>
      <c r="AO676" s="41" t="str">
        <f>IF(AND(DaybyDay[[#This Row],[_Space]],ISNUMBER(DaybyDay[[#This Row],[Admin Hours]])),DaybyDay[[#This Row],[Est-Admin-Payroll]]/(DaybyDay[[#This Row],[Service-Actuals]]+DaybyDay[[#This Row],[Retail-Actuals]]),"")</f>
        <v/>
      </c>
      <c r="AP676" s="41" t="e">
        <f>DaybyDay[[#This Row],[Estimated-Payroll-Rollup]]/DaybyDay[[#This Row],[Simple-Forecast]]</f>
        <v>#DIV/0!</v>
      </c>
      <c r="AQ6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6" s="77"/>
      <c r="AS676" s="40" t="str">
        <f>IF(DaybyDay[[#This Row],[Retail Hours]]&gt;0,DaybyDay[[#This Row],[Retail Hours]]*$AS$2,"")</f>
        <v/>
      </c>
      <c r="AT676" s="40">
        <f>SUMIFS(DaybyDay[Est-Retail-Payroll],DaybyDay[Date],"&gt;="&amp;$C$5,DaybyDay[RowYear],"&gt;="&amp;$C$4,DaybyDay[Date],"&lt;="&amp;DaybyDay[[#This Row],[Date]])</f>
        <v>0</v>
      </c>
      <c r="AU676" s="82" t="str">
        <f>IF(AND(DaybyDay[[#This Row],[_Space]],ISNUMBER(DaybyDay[[#This Row],[Retail Hours]])),DaybyDay[[#This Row],[Est-Retail-Payroll]]/(DaybyDay[[#This Row],[Retail-Actuals]]),"")</f>
        <v/>
      </c>
      <c r="AV676" s="82" t="e">
        <f>DaybyDay[[#This Row],[Est-Retail-PayrollRU]]/DaybyDay[[#This Row],[Simple-Forecast-Retail]]</f>
        <v>#DIV/0!</v>
      </c>
      <c r="AW676" s="8"/>
    </row>
    <row r="677" spans="3:49" hidden="1" x14ac:dyDescent="0.25">
      <c r="C677" s="26" t="str">
        <f>Tools!$C$1</f>
        <v>Example</v>
      </c>
      <c r="D677" s="27" t="s">
        <v>77</v>
      </c>
      <c r="E677" s="28">
        <v>2018</v>
      </c>
      <c r="F677" s="28">
        <f>MATCH(DaybyDay[[#This Row],[RowMonth]],Table3[SummaryMonth],0)</f>
        <v>10</v>
      </c>
      <c r="G677" s="29">
        <f>MATCH(DaybyDay[[#This Row],[LY-Date]],DaybyDay[Date],0)</f>
        <v>307</v>
      </c>
      <c r="H677" s="30">
        <f>WEEKDAY(DaybyDay[[#This Row],[Date]])</f>
        <v>6</v>
      </c>
      <c r="I677" s="31">
        <v>43406</v>
      </c>
      <c r="J677" s="74">
        <v>32</v>
      </c>
      <c r="K677" s="32">
        <f>SUMIFS(BudgetSeasonality[365 Seasonality],BudgetSeasonality[MonthAdjustment],DaybyDay[[#This Row],[Date]])*SUMIFS(Budgets[Service-Budget],Budgets[BudgetMonth],DaybyDay[[#This Row],[RowMonth]],Budgets[BudgetYear],DaybyDay[[#This Row],[RowYear]])</f>
        <v>7461.2970584365557</v>
      </c>
      <c r="L677" s="75">
        <v>6703.1</v>
      </c>
      <c r="M677" s="32">
        <f>INDEX(BudgetSeasonality[365 Seasonality],MATCH(DaybyDay[[#This Row],[Date]],BudgetSeasonality[MonthAdjustment],0))*SUMIFS(Budgets[Retail-Budget],Budgets[BudgetMonth],DaybyDay[[#This Row],[RowMonth]],Budgets[BudgetYear],DaybyDay[[#This Row],[RowYear]])</f>
        <v>2241.6366897000362</v>
      </c>
      <c r="N677" s="75">
        <v>2602.8000000000002</v>
      </c>
      <c r="O677" s="33">
        <f>SUMIFS(DaybyDay[Service-Budgets],DaybyDay[Date],"&gt;="&amp;$C$5,DaybyDay[RowYear],"&gt;="&amp;$C$4,DaybyDay[Date],"&lt;="&amp;DaybyDay[[#This Row],[Date]])</f>
        <v>0</v>
      </c>
      <c r="P677" s="33">
        <f>SUMIFS(DaybyDay[Retail-Budgets],DaybyDay[Date],"&gt;="&amp;$C$5,DaybyDay[RowYear],"&gt;="&amp;$C$4,DaybyDay[Date],"&lt;="&amp;DaybyDay[[#This Row],[Date]])</f>
        <v>0</v>
      </c>
      <c r="Q677" s="34">
        <f>SUMIFS(DaybyDay[Service-Actuals],DaybyDay[Date],"&gt;="&amp;$C$5,DaybyDay[RowYear],"&gt;="&amp;$C$4,DaybyDay[Date],"&lt;="&amp;DaybyDay[[#This Row],[Date]])</f>
        <v>0</v>
      </c>
      <c r="R677" s="34">
        <f>SUMIFS(DaybyDay[Retail-Actuals],DaybyDay[Date],"&gt;="&amp;$C$5,DaybyDay[RowYear],"&gt;="&amp;$C$4,DaybyDay[Date],"&lt;="&amp;DaybyDay[[#This Row],[Date]])</f>
        <v>0</v>
      </c>
      <c r="S677" s="35">
        <f>SUMIFS(DaybyDay[Service-LY],DaybyDay[Date],"&gt;="&amp;$C$5,DaybyDay[RowYear],"&gt;="&amp;$C$4,DaybyDay[Date],"&lt;="&amp;DaybyDay[[#This Row],[Date]])</f>
        <v>0</v>
      </c>
      <c r="T677" s="35">
        <f>SUMIFS(DaybyDay[Retail-LY],DaybyDay[Date],"&gt;="&amp;$C$5,DaybyDay[RowYear],"&gt;="&amp;$C$4,DaybyDay[Date],"&lt;="&amp;DaybyDay[[#This Row],[Date]])</f>
        <v>0</v>
      </c>
      <c r="U677" s="32">
        <f>DaybyDay[[#This Row],[Serv-Bud-RU]]+DaybyDay[[#This Row],[Ret-Bud-RU]]</f>
        <v>0</v>
      </c>
      <c r="V677" s="32">
        <f>DaybyDay[[#This Row],[Serv-Act-RU]]+DaybyDay[[#This Row],[Ret-Act-RU]]</f>
        <v>0</v>
      </c>
      <c r="W677" s="36">
        <f>IF(DaybyDay[[#This Row],[_Space]],IFERROR(
((DaybyDay[[#This Row],[Actual-Rollup]]-DaybyDay[[#This Row],[Budget-Rollup]])/DaybyDay[[#This Row],[Budget-Rollup]]),0),"")</f>
        <v>0</v>
      </c>
      <c r="X677" t="b">
        <f>NOT(AND(ISBLANK(DaybyDay[[#This Row],[Appts]]),ISBLANK(DaybyDay[[#This Row],[Service-Actuals]]),ISBLANK(DaybyDay[[#This Row],[Retail-Actuals]])))</f>
        <v>1</v>
      </c>
      <c r="Y677" s="36">
        <f>IF(DaybyDay[[#This Row],[_Space]],IFERROR(
((DaybyDay[[#This Row],[Actual-Rollup]]-DaybyDay[[#This Row],[LY-Rollup]])/DaybyDay[[#This Row],[LY-Rollup]]),0),"")</f>
        <v>0</v>
      </c>
      <c r="Z677"/>
      <c r="AA677" s="37" t="e">
        <f>IF(DaybyDay[[#This Row],[_Space]],DaybyDay[[#This Row],[Ret-Act-RU]]/DaybyDay[[#This Row],[Serv-Act-RU]],"")</f>
        <v>#DIV/0!</v>
      </c>
      <c r="AB677" s="50" t="e">
        <f>IF(DaybyDay[[#This Row],[_Space]],DaybyDay[[#This Row],[RETPEN-Act]]/DaybyDay[[#This Row],[RETPEN-Bud]],"")</f>
        <v>#DIV/0!</v>
      </c>
      <c r="AC677" s="37" t="e">
        <f>IF(DaybyDay[[#This Row],[_Space]],DaybyDay[[#This Row],[Ret-Bud-RU]]/DaybyDay[[#This Row],[Serv-Bud-RU]],"")</f>
        <v>#DIV/0!</v>
      </c>
      <c r="AD677" s="37" t="e">
        <f>IF(DaybyDay[[#This Row],[_Space]],DaybyDay[[#This Row],[Ret-LY-RU]]/DaybyDay[[#This Row],[Serv-LY-RU]],"")</f>
        <v>#DIV/0!</v>
      </c>
      <c r="AE677" s="30">
        <f>WEEKDAY(DaybyDay[[#This Row],[LY-Date]])</f>
        <v>6</v>
      </c>
      <c r="AF677" s="38">
        <f>$E$2+_xlfn.DAYS(DaybyDay[[#This Row],[Date]],minDate)</f>
        <v>43042</v>
      </c>
      <c r="AG677" s="39" cm="1">
        <f t="array" ref="AG677">IFERROR(INDEX(DaybyDay[],DaybyDay[[#This Row],[FORM_MATCH_HELPER]],8),"")</f>
        <v>26</v>
      </c>
      <c r="AH677" s="39" cm="1">
        <f t="array" ref="AH677">IFERROR(INDEX(DaybyDay[],DaybyDay[[#This Row],[FORM_MATCH_HELPER]],10),"")</f>
        <v>7073.12</v>
      </c>
      <c r="AI677" s="39" cm="1">
        <f t="array" ref="AI677">IFERROR(INDEX(DaybyDay[],DaybyDay[[#This Row],[FORM_MATCH_HELPER]],12),"")</f>
        <v>917</v>
      </c>
      <c r="AJ677" s="32">
        <f>IFERROR(DaybyDay[[#This Row],[Serv-LY-RU]]+DaybyDay[[#This Row],[Ret-LY-RU]],"")</f>
        <v>0</v>
      </c>
      <c r="AK6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7" s="77"/>
      <c r="AM677" s="40" t="str">
        <f>IF(DaybyDay[[#This Row],[Admin Hours]]&gt;0,DaybyDay[[#This Row],[Admin Hours]]*$AM$2+$AM$3,"")</f>
        <v/>
      </c>
      <c r="AN677" s="40">
        <f>SUMIFS(DaybyDay[Est-Admin-Payroll],DaybyDay[Date],"&gt;="&amp;$C$5,DaybyDay[RowYear],"&gt;="&amp;$C$4,DaybyDay[Date],"&lt;="&amp;DaybyDay[[#This Row],[Date]])</f>
        <v>0</v>
      </c>
      <c r="AO677" s="41" t="str">
        <f>IF(AND(DaybyDay[[#This Row],[_Space]],ISNUMBER(DaybyDay[[#This Row],[Admin Hours]])),DaybyDay[[#This Row],[Est-Admin-Payroll]]/(DaybyDay[[#This Row],[Service-Actuals]]+DaybyDay[[#This Row],[Retail-Actuals]]),"")</f>
        <v/>
      </c>
      <c r="AP677" s="41" t="e">
        <f>DaybyDay[[#This Row],[Estimated-Payroll-Rollup]]/DaybyDay[[#This Row],[Simple-Forecast]]</f>
        <v>#DIV/0!</v>
      </c>
      <c r="AQ6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7" s="77"/>
      <c r="AS677" s="40" t="str">
        <f>IF(DaybyDay[[#This Row],[Retail Hours]]&gt;0,DaybyDay[[#This Row],[Retail Hours]]*$AS$2,"")</f>
        <v/>
      </c>
      <c r="AT677" s="40">
        <f>SUMIFS(DaybyDay[Est-Retail-Payroll],DaybyDay[Date],"&gt;="&amp;$C$5,DaybyDay[RowYear],"&gt;="&amp;$C$4,DaybyDay[Date],"&lt;="&amp;DaybyDay[[#This Row],[Date]])</f>
        <v>0</v>
      </c>
      <c r="AU677" s="82" t="str">
        <f>IF(AND(DaybyDay[[#This Row],[_Space]],ISNUMBER(DaybyDay[[#This Row],[Retail Hours]])),DaybyDay[[#This Row],[Est-Retail-Payroll]]/(DaybyDay[[#This Row],[Retail-Actuals]]),"")</f>
        <v/>
      </c>
      <c r="AV677" s="82" t="e">
        <f>DaybyDay[[#This Row],[Est-Retail-PayrollRU]]/DaybyDay[[#This Row],[Simple-Forecast-Retail]]</f>
        <v>#DIV/0!</v>
      </c>
      <c r="AW677" s="8"/>
    </row>
    <row r="678" spans="3:49" hidden="1" x14ac:dyDescent="0.25">
      <c r="C678" s="26" t="str">
        <f>Tools!$C$1</f>
        <v>Example</v>
      </c>
      <c r="D678" s="27" t="s">
        <v>77</v>
      </c>
      <c r="E678" s="28">
        <v>2018</v>
      </c>
      <c r="F678" s="28">
        <f>MATCH(DaybyDay[[#This Row],[RowMonth]],Table3[SummaryMonth],0)</f>
        <v>10</v>
      </c>
      <c r="G678" s="29">
        <f>MATCH(DaybyDay[[#This Row],[LY-Date]],DaybyDay[Date],0)</f>
        <v>308</v>
      </c>
      <c r="H678" s="30">
        <f>WEEKDAY(DaybyDay[[#This Row],[Date]])</f>
        <v>7</v>
      </c>
      <c r="I678" s="31">
        <v>43407</v>
      </c>
      <c r="J678" s="74">
        <v>37</v>
      </c>
      <c r="K678" s="32">
        <f>SUMIFS(BudgetSeasonality[365 Seasonality],BudgetSeasonality[MonthAdjustment],DaybyDay[[#This Row],[Date]])*SUMIFS(Budgets[Service-Budget],Budgets[BudgetMonth],DaybyDay[[#This Row],[RowMonth]],Budgets[BudgetYear],DaybyDay[[#This Row],[RowYear]])</f>
        <v>10347.587626142955</v>
      </c>
      <c r="L678" s="75">
        <v>8364</v>
      </c>
      <c r="M678" s="32">
        <f>INDEX(BudgetSeasonality[365 Seasonality],MATCH(DaybyDay[[#This Row],[Date]],BudgetSeasonality[MonthAdjustment],0))*SUMIFS(Budgets[Retail-Budget],Budgets[BudgetMonth],DaybyDay[[#This Row],[RowMonth]],Budgets[BudgetYear],DaybyDay[[#This Row],[RowYear]])</f>
        <v>3108.780134470152</v>
      </c>
      <c r="N678" s="75">
        <v>270</v>
      </c>
      <c r="O678" s="33">
        <f>SUMIFS(DaybyDay[Service-Budgets],DaybyDay[Date],"&gt;="&amp;$C$5,DaybyDay[RowYear],"&gt;="&amp;$C$4,DaybyDay[Date],"&lt;="&amp;DaybyDay[[#This Row],[Date]])</f>
        <v>0</v>
      </c>
      <c r="P678" s="33">
        <f>SUMIFS(DaybyDay[Retail-Budgets],DaybyDay[Date],"&gt;="&amp;$C$5,DaybyDay[RowYear],"&gt;="&amp;$C$4,DaybyDay[Date],"&lt;="&amp;DaybyDay[[#This Row],[Date]])</f>
        <v>0</v>
      </c>
      <c r="Q678" s="34">
        <f>SUMIFS(DaybyDay[Service-Actuals],DaybyDay[Date],"&gt;="&amp;$C$5,DaybyDay[RowYear],"&gt;="&amp;$C$4,DaybyDay[Date],"&lt;="&amp;DaybyDay[[#This Row],[Date]])</f>
        <v>0</v>
      </c>
      <c r="R678" s="34">
        <f>SUMIFS(DaybyDay[Retail-Actuals],DaybyDay[Date],"&gt;="&amp;$C$5,DaybyDay[RowYear],"&gt;="&amp;$C$4,DaybyDay[Date],"&lt;="&amp;DaybyDay[[#This Row],[Date]])</f>
        <v>0</v>
      </c>
      <c r="S678" s="35">
        <f>SUMIFS(DaybyDay[Service-LY],DaybyDay[Date],"&gt;="&amp;$C$5,DaybyDay[RowYear],"&gt;="&amp;$C$4,DaybyDay[Date],"&lt;="&amp;DaybyDay[[#This Row],[Date]])</f>
        <v>0</v>
      </c>
      <c r="T678" s="35">
        <f>SUMIFS(DaybyDay[Retail-LY],DaybyDay[Date],"&gt;="&amp;$C$5,DaybyDay[RowYear],"&gt;="&amp;$C$4,DaybyDay[Date],"&lt;="&amp;DaybyDay[[#This Row],[Date]])</f>
        <v>0</v>
      </c>
      <c r="U678" s="32">
        <f>DaybyDay[[#This Row],[Serv-Bud-RU]]+DaybyDay[[#This Row],[Ret-Bud-RU]]</f>
        <v>0</v>
      </c>
      <c r="V678" s="32">
        <f>DaybyDay[[#This Row],[Serv-Act-RU]]+DaybyDay[[#This Row],[Ret-Act-RU]]</f>
        <v>0</v>
      </c>
      <c r="W678" s="36">
        <f>IF(DaybyDay[[#This Row],[_Space]],IFERROR(
((DaybyDay[[#This Row],[Actual-Rollup]]-DaybyDay[[#This Row],[Budget-Rollup]])/DaybyDay[[#This Row],[Budget-Rollup]]),0),"")</f>
        <v>0</v>
      </c>
      <c r="X678" t="b">
        <f>NOT(AND(ISBLANK(DaybyDay[[#This Row],[Appts]]),ISBLANK(DaybyDay[[#This Row],[Service-Actuals]]),ISBLANK(DaybyDay[[#This Row],[Retail-Actuals]])))</f>
        <v>1</v>
      </c>
      <c r="Y678" s="36">
        <f>IF(DaybyDay[[#This Row],[_Space]],IFERROR(
((DaybyDay[[#This Row],[Actual-Rollup]]-DaybyDay[[#This Row],[LY-Rollup]])/DaybyDay[[#This Row],[LY-Rollup]]),0),"")</f>
        <v>0</v>
      </c>
      <c r="Z678"/>
      <c r="AA678" s="37" t="e">
        <f>IF(DaybyDay[[#This Row],[_Space]],DaybyDay[[#This Row],[Ret-Act-RU]]/DaybyDay[[#This Row],[Serv-Act-RU]],"")</f>
        <v>#DIV/0!</v>
      </c>
      <c r="AB678" s="50" t="e">
        <f>IF(DaybyDay[[#This Row],[_Space]],DaybyDay[[#This Row],[RETPEN-Act]]/DaybyDay[[#This Row],[RETPEN-Bud]],"")</f>
        <v>#DIV/0!</v>
      </c>
      <c r="AC678" s="37" t="e">
        <f>IF(DaybyDay[[#This Row],[_Space]],DaybyDay[[#This Row],[Ret-Bud-RU]]/DaybyDay[[#This Row],[Serv-Bud-RU]],"")</f>
        <v>#DIV/0!</v>
      </c>
      <c r="AD678" s="37" t="e">
        <f>IF(DaybyDay[[#This Row],[_Space]],DaybyDay[[#This Row],[Ret-LY-RU]]/DaybyDay[[#This Row],[Serv-LY-RU]],"")</f>
        <v>#DIV/0!</v>
      </c>
      <c r="AE678" s="30">
        <f>WEEKDAY(DaybyDay[[#This Row],[LY-Date]])</f>
        <v>7</v>
      </c>
      <c r="AF678" s="38">
        <f>$E$2+_xlfn.DAYS(DaybyDay[[#This Row],[Date]],minDate)</f>
        <v>43043</v>
      </c>
      <c r="AG678" s="39" cm="1">
        <f t="array" ref="AG678">IFERROR(INDEX(DaybyDay[],DaybyDay[[#This Row],[FORM_MATCH_HELPER]],8),"")</f>
        <v>26</v>
      </c>
      <c r="AH678" s="39" cm="1">
        <f t="array" ref="AH678">IFERROR(INDEX(DaybyDay[],DaybyDay[[#This Row],[FORM_MATCH_HELPER]],10),"")</f>
        <v>6668</v>
      </c>
      <c r="AI678" s="39" cm="1">
        <f t="array" ref="AI678">IFERROR(INDEX(DaybyDay[],DaybyDay[[#This Row],[FORM_MATCH_HELPER]],12),"")</f>
        <v>163.80000000000001</v>
      </c>
      <c r="AJ678" s="32">
        <f>IFERROR(DaybyDay[[#This Row],[Serv-LY-RU]]+DaybyDay[[#This Row],[Ret-LY-RU]],"")</f>
        <v>0</v>
      </c>
      <c r="AK6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8" s="77"/>
      <c r="AM678" s="40" t="str">
        <f>IF(DaybyDay[[#This Row],[Admin Hours]]&gt;0,DaybyDay[[#This Row],[Admin Hours]]*$AM$2+$AM$3,"")</f>
        <v/>
      </c>
      <c r="AN678" s="40">
        <f>SUMIFS(DaybyDay[Est-Admin-Payroll],DaybyDay[Date],"&gt;="&amp;$C$5,DaybyDay[RowYear],"&gt;="&amp;$C$4,DaybyDay[Date],"&lt;="&amp;DaybyDay[[#This Row],[Date]])</f>
        <v>0</v>
      </c>
      <c r="AO678" s="41" t="str">
        <f>IF(AND(DaybyDay[[#This Row],[_Space]],ISNUMBER(DaybyDay[[#This Row],[Admin Hours]])),DaybyDay[[#This Row],[Est-Admin-Payroll]]/(DaybyDay[[#This Row],[Service-Actuals]]+DaybyDay[[#This Row],[Retail-Actuals]]),"")</f>
        <v/>
      </c>
      <c r="AP678" s="41" t="e">
        <f>DaybyDay[[#This Row],[Estimated-Payroll-Rollup]]/DaybyDay[[#This Row],[Simple-Forecast]]</f>
        <v>#DIV/0!</v>
      </c>
      <c r="AQ6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8" s="77"/>
      <c r="AS678" s="40" t="str">
        <f>IF(DaybyDay[[#This Row],[Retail Hours]]&gt;0,DaybyDay[[#This Row],[Retail Hours]]*$AS$2,"")</f>
        <v/>
      </c>
      <c r="AT678" s="40">
        <f>SUMIFS(DaybyDay[Est-Retail-Payroll],DaybyDay[Date],"&gt;="&amp;$C$5,DaybyDay[RowYear],"&gt;="&amp;$C$4,DaybyDay[Date],"&lt;="&amp;DaybyDay[[#This Row],[Date]])</f>
        <v>0</v>
      </c>
      <c r="AU678" s="82" t="str">
        <f>IF(AND(DaybyDay[[#This Row],[_Space]],ISNUMBER(DaybyDay[[#This Row],[Retail Hours]])),DaybyDay[[#This Row],[Est-Retail-Payroll]]/(DaybyDay[[#This Row],[Retail-Actuals]]),"")</f>
        <v/>
      </c>
      <c r="AV678" s="82" t="e">
        <f>DaybyDay[[#This Row],[Est-Retail-PayrollRU]]/DaybyDay[[#This Row],[Simple-Forecast-Retail]]</f>
        <v>#DIV/0!</v>
      </c>
      <c r="AW678" s="8"/>
    </row>
    <row r="679" spans="3:49" hidden="1" x14ac:dyDescent="0.25">
      <c r="C679" s="26" t="str">
        <f>Tools!$C$1</f>
        <v>Example</v>
      </c>
      <c r="D679" s="27" t="s">
        <v>78</v>
      </c>
      <c r="E679" s="28">
        <v>2018</v>
      </c>
      <c r="F679" s="28">
        <f>MATCH(DaybyDay[[#This Row],[RowMonth]],Table3[SummaryMonth],0)</f>
        <v>11</v>
      </c>
      <c r="G679" s="29">
        <f>MATCH(DaybyDay[[#This Row],[LY-Date]],DaybyDay[Date],0)</f>
        <v>309</v>
      </c>
      <c r="H679" s="30">
        <f>WEEKDAY(DaybyDay[[#This Row],[Date]])</f>
        <v>1</v>
      </c>
      <c r="I679" s="31">
        <v>43408</v>
      </c>
      <c r="J679" s="74">
        <v>26</v>
      </c>
      <c r="K679" s="32">
        <f>SUMIFS(BudgetSeasonality[365 Seasonality],BudgetSeasonality[MonthAdjustment],DaybyDay[[#This Row],[Date]])*SUMIFS(Budgets[Service-Budget],Budgets[BudgetMonth],DaybyDay[[#This Row],[RowMonth]],Budgets[BudgetYear],DaybyDay[[#This Row],[RowYear]])</f>
        <v>8457.0165932386535</v>
      </c>
      <c r="L679" s="75">
        <v>6226.5</v>
      </c>
      <c r="M679" s="32">
        <f>INDEX(BudgetSeasonality[365 Seasonality],MATCH(DaybyDay[[#This Row],[Date]],BudgetSeasonality[MonthAdjustment],0))*SUMIFS(Budgets[Retail-Budget],Budgets[BudgetMonth],DaybyDay[[#This Row],[RowMonth]],Budgets[BudgetYear],DaybyDay[[#This Row],[RowYear]])</f>
        <v>2392.1786402926109</v>
      </c>
      <c r="N679" s="75">
        <v>1574</v>
      </c>
      <c r="O679" s="33">
        <f>SUMIFS(DaybyDay[Service-Budgets],DaybyDay[Date],"&gt;="&amp;$C$5,DaybyDay[RowYear],"&gt;="&amp;$C$4,DaybyDay[Date],"&lt;="&amp;DaybyDay[[#This Row],[Date]])</f>
        <v>0</v>
      </c>
      <c r="P679" s="33">
        <f>SUMIFS(DaybyDay[Retail-Budgets],DaybyDay[Date],"&gt;="&amp;$C$5,DaybyDay[RowYear],"&gt;="&amp;$C$4,DaybyDay[Date],"&lt;="&amp;DaybyDay[[#This Row],[Date]])</f>
        <v>0</v>
      </c>
      <c r="Q679" s="34">
        <f>SUMIFS(DaybyDay[Service-Actuals],DaybyDay[Date],"&gt;="&amp;$C$5,DaybyDay[RowYear],"&gt;="&amp;$C$4,DaybyDay[Date],"&lt;="&amp;DaybyDay[[#This Row],[Date]])</f>
        <v>0</v>
      </c>
      <c r="R679" s="34">
        <f>SUMIFS(DaybyDay[Retail-Actuals],DaybyDay[Date],"&gt;="&amp;$C$5,DaybyDay[RowYear],"&gt;="&amp;$C$4,DaybyDay[Date],"&lt;="&amp;DaybyDay[[#This Row],[Date]])</f>
        <v>0</v>
      </c>
      <c r="S679" s="35">
        <f>SUMIFS(DaybyDay[Service-LY],DaybyDay[Date],"&gt;="&amp;$C$5,DaybyDay[RowYear],"&gt;="&amp;$C$4,DaybyDay[Date],"&lt;="&amp;DaybyDay[[#This Row],[Date]])</f>
        <v>0</v>
      </c>
      <c r="T679" s="35">
        <f>SUMIFS(DaybyDay[Retail-LY],DaybyDay[Date],"&gt;="&amp;$C$5,DaybyDay[RowYear],"&gt;="&amp;$C$4,DaybyDay[Date],"&lt;="&amp;DaybyDay[[#This Row],[Date]])</f>
        <v>0</v>
      </c>
      <c r="U679" s="32">
        <f>DaybyDay[[#This Row],[Serv-Bud-RU]]+DaybyDay[[#This Row],[Ret-Bud-RU]]</f>
        <v>0</v>
      </c>
      <c r="V679" s="32">
        <f>DaybyDay[[#This Row],[Serv-Act-RU]]+DaybyDay[[#This Row],[Ret-Act-RU]]</f>
        <v>0</v>
      </c>
      <c r="W679" s="36">
        <f>IF(DaybyDay[[#This Row],[_Space]],IFERROR(
((DaybyDay[[#This Row],[Actual-Rollup]]-DaybyDay[[#This Row],[Budget-Rollup]])/DaybyDay[[#This Row],[Budget-Rollup]]),0),"")</f>
        <v>0</v>
      </c>
      <c r="X679" t="b">
        <f>NOT(AND(ISBLANK(DaybyDay[[#This Row],[Appts]]),ISBLANK(DaybyDay[[#This Row],[Service-Actuals]]),ISBLANK(DaybyDay[[#This Row],[Retail-Actuals]])))</f>
        <v>1</v>
      </c>
      <c r="Y679" s="36">
        <f>IF(DaybyDay[[#This Row],[_Space]],IFERROR(
((DaybyDay[[#This Row],[Actual-Rollup]]-DaybyDay[[#This Row],[LY-Rollup]])/DaybyDay[[#This Row],[LY-Rollup]]),0),"")</f>
        <v>0</v>
      </c>
      <c r="Z679"/>
      <c r="AA679" s="37" t="e">
        <f>IF(DaybyDay[[#This Row],[_Space]],DaybyDay[[#This Row],[Ret-Act-RU]]/DaybyDay[[#This Row],[Serv-Act-RU]],"")</f>
        <v>#DIV/0!</v>
      </c>
      <c r="AB679" s="50" t="e">
        <f>IF(DaybyDay[[#This Row],[_Space]],DaybyDay[[#This Row],[RETPEN-Act]]/DaybyDay[[#This Row],[RETPEN-Bud]],"")</f>
        <v>#DIV/0!</v>
      </c>
      <c r="AC679" s="37" t="e">
        <f>IF(DaybyDay[[#This Row],[_Space]],DaybyDay[[#This Row],[Ret-Bud-RU]]/DaybyDay[[#This Row],[Serv-Bud-RU]],"")</f>
        <v>#DIV/0!</v>
      </c>
      <c r="AD679" s="37" t="e">
        <f>IF(DaybyDay[[#This Row],[_Space]],DaybyDay[[#This Row],[Ret-LY-RU]]/DaybyDay[[#This Row],[Serv-LY-RU]],"")</f>
        <v>#DIV/0!</v>
      </c>
      <c r="AE679" s="30">
        <f>WEEKDAY(DaybyDay[[#This Row],[LY-Date]])</f>
        <v>1</v>
      </c>
      <c r="AF679" s="38">
        <f>$E$2+_xlfn.DAYS(DaybyDay[[#This Row],[Date]],minDate)</f>
        <v>43044</v>
      </c>
      <c r="AG679" s="39" cm="1">
        <f t="array" ref="AG679">IFERROR(INDEX(DaybyDay[],DaybyDay[[#This Row],[FORM_MATCH_HELPER]],8),"")</f>
        <v>20</v>
      </c>
      <c r="AH679" s="39" cm="1">
        <f t="array" ref="AH679">IFERROR(INDEX(DaybyDay[],DaybyDay[[#This Row],[FORM_MATCH_HELPER]],10),"")</f>
        <v>4833.5</v>
      </c>
      <c r="AI679" s="39" cm="1">
        <f t="array" ref="AI679">IFERROR(INDEX(DaybyDay[],DaybyDay[[#This Row],[FORM_MATCH_HELPER]],12),"")</f>
        <v>941.5</v>
      </c>
      <c r="AJ679" s="32">
        <f>IFERROR(DaybyDay[[#This Row],[Serv-LY-RU]]+DaybyDay[[#This Row],[Ret-LY-RU]],"")</f>
        <v>0</v>
      </c>
      <c r="AK6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79" s="77"/>
      <c r="AM679" s="40" t="str">
        <f>IF(DaybyDay[[#This Row],[Admin Hours]]&gt;0,DaybyDay[[#This Row],[Admin Hours]]*$AM$2+$AM$3,"")</f>
        <v/>
      </c>
      <c r="AN679" s="40">
        <f>SUMIFS(DaybyDay[Est-Admin-Payroll],DaybyDay[Date],"&gt;="&amp;$C$5,DaybyDay[RowYear],"&gt;="&amp;$C$4,DaybyDay[Date],"&lt;="&amp;DaybyDay[[#This Row],[Date]])</f>
        <v>0</v>
      </c>
      <c r="AO679" s="41" t="str">
        <f>IF(AND(DaybyDay[[#This Row],[_Space]],ISNUMBER(DaybyDay[[#This Row],[Admin Hours]])),DaybyDay[[#This Row],[Est-Admin-Payroll]]/(DaybyDay[[#This Row],[Service-Actuals]]+DaybyDay[[#This Row],[Retail-Actuals]]),"")</f>
        <v/>
      </c>
      <c r="AP679" s="41" t="e">
        <f>DaybyDay[[#This Row],[Estimated-Payroll-Rollup]]/DaybyDay[[#This Row],[Simple-Forecast]]</f>
        <v>#DIV/0!</v>
      </c>
      <c r="AQ6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79" s="77"/>
      <c r="AS679" s="40" t="str">
        <f>IF(DaybyDay[[#This Row],[Retail Hours]]&gt;0,DaybyDay[[#This Row],[Retail Hours]]*$AS$2,"")</f>
        <v/>
      </c>
      <c r="AT679" s="40">
        <f>SUMIFS(DaybyDay[Est-Retail-Payroll],DaybyDay[Date],"&gt;="&amp;$C$5,DaybyDay[RowYear],"&gt;="&amp;$C$4,DaybyDay[Date],"&lt;="&amp;DaybyDay[[#This Row],[Date]])</f>
        <v>0</v>
      </c>
      <c r="AU679" s="82" t="str">
        <f>IF(AND(DaybyDay[[#This Row],[_Space]],ISNUMBER(DaybyDay[[#This Row],[Retail Hours]])),DaybyDay[[#This Row],[Est-Retail-Payroll]]/(DaybyDay[[#This Row],[Retail-Actuals]]),"")</f>
        <v/>
      </c>
      <c r="AV679" s="82" t="e">
        <f>DaybyDay[[#This Row],[Est-Retail-PayrollRU]]/DaybyDay[[#This Row],[Simple-Forecast-Retail]]</f>
        <v>#DIV/0!</v>
      </c>
      <c r="AW679" s="8"/>
    </row>
    <row r="680" spans="3:49" hidden="1" x14ac:dyDescent="0.25">
      <c r="C680" s="26" t="str">
        <f>Tools!$C$1</f>
        <v>Example</v>
      </c>
      <c r="D680" s="27" t="s">
        <v>78</v>
      </c>
      <c r="E680" s="28">
        <v>2018</v>
      </c>
      <c r="F680" s="28">
        <f>MATCH(DaybyDay[[#This Row],[RowMonth]],Table3[SummaryMonth],0)</f>
        <v>11</v>
      </c>
      <c r="G680" s="29">
        <f>MATCH(DaybyDay[[#This Row],[LY-Date]],DaybyDay[Date],0)</f>
        <v>310</v>
      </c>
      <c r="H680" s="30">
        <f>WEEKDAY(DaybyDay[[#This Row],[Date]])</f>
        <v>2</v>
      </c>
      <c r="I680" s="31">
        <v>43409</v>
      </c>
      <c r="J680" s="74">
        <v>18</v>
      </c>
      <c r="K680" s="32">
        <f>SUMIFS(BudgetSeasonality[365 Seasonality],BudgetSeasonality[MonthAdjustment],DaybyDay[[#This Row],[Date]])*SUMIFS(Budgets[Service-Budget],Budgets[BudgetMonth],DaybyDay[[#This Row],[RowMonth]],Budgets[BudgetYear],DaybyDay[[#This Row],[RowYear]])</f>
        <v>5270.9668227211359</v>
      </c>
      <c r="L680" s="75">
        <v>4312</v>
      </c>
      <c r="M680" s="32">
        <f>INDEX(BudgetSeasonality[365 Seasonality],MATCH(DaybyDay[[#This Row],[Date]],BudgetSeasonality[MonthAdjustment],0))*SUMIFS(Budgets[Retail-Budget],Budgets[BudgetMonth],DaybyDay[[#This Row],[RowMonth]],Budgets[BudgetYear],DaybyDay[[#This Row],[RowYear]])</f>
        <v>1490.962457976661</v>
      </c>
      <c r="N680" s="75">
        <v>1077.2</v>
      </c>
      <c r="O680" s="33">
        <f>SUMIFS(DaybyDay[Service-Budgets],DaybyDay[Date],"&gt;="&amp;$C$5,DaybyDay[RowYear],"&gt;="&amp;$C$4,DaybyDay[Date],"&lt;="&amp;DaybyDay[[#This Row],[Date]])</f>
        <v>0</v>
      </c>
      <c r="P680" s="33">
        <f>SUMIFS(DaybyDay[Retail-Budgets],DaybyDay[Date],"&gt;="&amp;$C$5,DaybyDay[RowYear],"&gt;="&amp;$C$4,DaybyDay[Date],"&lt;="&amp;DaybyDay[[#This Row],[Date]])</f>
        <v>0</v>
      </c>
      <c r="Q680" s="34">
        <f>SUMIFS(DaybyDay[Service-Actuals],DaybyDay[Date],"&gt;="&amp;$C$5,DaybyDay[RowYear],"&gt;="&amp;$C$4,DaybyDay[Date],"&lt;="&amp;DaybyDay[[#This Row],[Date]])</f>
        <v>0</v>
      </c>
      <c r="R680" s="34">
        <f>SUMIFS(DaybyDay[Retail-Actuals],DaybyDay[Date],"&gt;="&amp;$C$5,DaybyDay[RowYear],"&gt;="&amp;$C$4,DaybyDay[Date],"&lt;="&amp;DaybyDay[[#This Row],[Date]])</f>
        <v>0</v>
      </c>
      <c r="S680" s="35">
        <f>SUMIFS(DaybyDay[Service-LY],DaybyDay[Date],"&gt;="&amp;$C$5,DaybyDay[RowYear],"&gt;="&amp;$C$4,DaybyDay[Date],"&lt;="&amp;DaybyDay[[#This Row],[Date]])</f>
        <v>0</v>
      </c>
      <c r="T680" s="35">
        <f>SUMIFS(DaybyDay[Retail-LY],DaybyDay[Date],"&gt;="&amp;$C$5,DaybyDay[RowYear],"&gt;="&amp;$C$4,DaybyDay[Date],"&lt;="&amp;DaybyDay[[#This Row],[Date]])</f>
        <v>0</v>
      </c>
      <c r="U680" s="32">
        <f>DaybyDay[[#This Row],[Serv-Bud-RU]]+DaybyDay[[#This Row],[Ret-Bud-RU]]</f>
        <v>0</v>
      </c>
      <c r="V680" s="32">
        <f>DaybyDay[[#This Row],[Serv-Act-RU]]+DaybyDay[[#This Row],[Ret-Act-RU]]</f>
        <v>0</v>
      </c>
      <c r="W680" s="36">
        <f>IF(DaybyDay[[#This Row],[_Space]],IFERROR(
((DaybyDay[[#This Row],[Actual-Rollup]]-DaybyDay[[#This Row],[Budget-Rollup]])/DaybyDay[[#This Row],[Budget-Rollup]]),0),"")</f>
        <v>0</v>
      </c>
      <c r="X680" t="b">
        <f>NOT(AND(ISBLANK(DaybyDay[[#This Row],[Appts]]),ISBLANK(DaybyDay[[#This Row],[Service-Actuals]]),ISBLANK(DaybyDay[[#This Row],[Retail-Actuals]])))</f>
        <v>1</v>
      </c>
      <c r="Y680" s="36">
        <f>IF(DaybyDay[[#This Row],[_Space]],IFERROR(
((DaybyDay[[#This Row],[Actual-Rollup]]-DaybyDay[[#This Row],[LY-Rollup]])/DaybyDay[[#This Row],[LY-Rollup]]),0),"")</f>
        <v>0</v>
      </c>
      <c r="Z680"/>
      <c r="AA680" s="37" t="e">
        <f>IF(DaybyDay[[#This Row],[_Space]],DaybyDay[[#This Row],[Ret-Act-RU]]/DaybyDay[[#This Row],[Serv-Act-RU]],"")</f>
        <v>#DIV/0!</v>
      </c>
      <c r="AB680" s="50" t="e">
        <f>IF(DaybyDay[[#This Row],[_Space]],DaybyDay[[#This Row],[RETPEN-Act]]/DaybyDay[[#This Row],[RETPEN-Bud]],"")</f>
        <v>#DIV/0!</v>
      </c>
      <c r="AC680" s="37" t="e">
        <f>IF(DaybyDay[[#This Row],[_Space]],DaybyDay[[#This Row],[Ret-Bud-RU]]/DaybyDay[[#This Row],[Serv-Bud-RU]],"")</f>
        <v>#DIV/0!</v>
      </c>
      <c r="AD680" s="37" t="e">
        <f>IF(DaybyDay[[#This Row],[_Space]],DaybyDay[[#This Row],[Ret-LY-RU]]/DaybyDay[[#This Row],[Serv-LY-RU]],"")</f>
        <v>#DIV/0!</v>
      </c>
      <c r="AE680" s="30">
        <f>WEEKDAY(DaybyDay[[#This Row],[LY-Date]])</f>
        <v>2</v>
      </c>
      <c r="AF680" s="38">
        <f>$E$2+_xlfn.DAYS(DaybyDay[[#This Row],[Date]],minDate)</f>
        <v>43045</v>
      </c>
      <c r="AG680" s="39" cm="1">
        <f t="array" ref="AG680">IFERROR(INDEX(DaybyDay[],DaybyDay[[#This Row],[FORM_MATCH_HELPER]],8),"")</f>
        <v>27</v>
      </c>
      <c r="AH680" s="39" cm="1">
        <f t="array" ref="AH680">IFERROR(INDEX(DaybyDay[],DaybyDay[[#This Row],[FORM_MATCH_HELPER]],10),"")</f>
        <v>4263.8</v>
      </c>
      <c r="AI680" s="39" cm="1">
        <f t="array" ref="AI680">IFERROR(INDEX(DaybyDay[],DaybyDay[[#This Row],[FORM_MATCH_HELPER]],12),"")</f>
        <v>321</v>
      </c>
      <c r="AJ680" s="32">
        <f>IFERROR(DaybyDay[[#This Row],[Serv-LY-RU]]+DaybyDay[[#This Row],[Ret-LY-RU]],"")</f>
        <v>0</v>
      </c>
      <c r="AK6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0" s="77"/>
      <c r="AM680" s="40" t="str">
        <f>IF(DaybyDay[[#This Row],[Admin Hours]]&gt;0,DaybyDay[[#This Row],[Admin Hours]]*$AM$2+$AM$3,"")</f>
        <v/>
      </c>
      <c r="AN680" s="40">
        <f>SUMIFS(DaybyDay[Est-Admin-Payroll],DaybyDay[Date],"&gt;="&amp;$C$5,DaybyDay[RowYear],"&gt;="&amp;$C$4,DaybyDay[Date],"&lt;="&amp;DaybyDay[[#This Row],[Date]])</f>
        <v>0</v>
      </c>
      <c r="AO680" s="41" t="str">
        <f>IF(AND(DaybyDay[[#This Row],[_Space]],ISNUMBER(DaybyDay[[#This Row],[Admin Hours]])),DaybyDay[[#This Row],[Est-Admin-Payroll]]/(DaybyDay[[#This Row],[Service-Actuals]]+DaybyDay[[#This Row],[Retail-Actuals]]),"")</f>
        <v/>
      </c>
      <c r="AP680" s="41" t="e">
        <f>DaybyDay[[#This Row],[Estimated-Payroll-Rollup]]/DaybyDay[[#This Row],[Simple-Forecast]]</f>
        <v>#DIV/0!</v>
      </c>
      <c r="AQ6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0" s="77"/>
      <c r="AS680" s="40" t="str">
        <f>IF(DaybyDay[[#This Row],[Retail Hours]]&gt;0,DaybyDay[[#This Row],[Retail Hours]]*$AS$2,"")</f>
        <v/>
      </c>
      <c r="AT680" s="40">
        <f>SUMIFS(DaybyDay[Est-Retail-Payroll],DaybyDay[Date],"&gt;="&amp;$C$5,DaybyDay[RowYear],"&gt;="&amp;$C$4,DaybyDay[Date],"&lt;="&amp;DaybyDay[[#This Row],[Date]])</f>
        <v>0</v>
      </c>
      <c r="AU680" s="82" t="str">
        <f>IF(AND(DaybyDay[[#This Row],[_Space]],ISNUMBER(DaybyDay[[#This Row],[Retail Hours]])),DaybyDay[[#This Row],[Est-Retail-Payroll]]/(DaybyDay[[#This Row],[Retail-Actuals]]),"")</f>
        <v/>
      </c>
      <c r="AV680" s="82" t="e">
        <f>DaybyDay[[#This Row],[Est-Retail-PayrollRU]]/DaybyDay[[#This Row],[Simple-Forecast-Retail]]</f>
        <v>#DIV/0!</v>
      </c>
      <c r="AW680" s="8"/>
    </row>
    <row r="681" spans="3:49" hidden="1" x14ac:dyDescent="0.25">
      <c r="C681" s="26" t="str">
        <f>Tools!$C$1</f>
        <v>Example</v>
      </c>
      <c r="D681" s="27" t="s">
        <v>78</v>
      </c>
      <c r="E681" s="28">
        <v>2018</v>
      </c>
      <c r="F681" s="28">
        <f>MATCH(DaybyDay[[#This Row],[RowMonth]],Table3[SummaryMonth],0)</f>
        <v>11</v>
      </c>
      <c r="G681" s="29">
        <f>MATCH(DaybyDay[[#This Row],[LY-Date]],DaybyDay[Date],0)</f>
        <v>311</v>
      </c>
      <c r="H681" s="30">
        <f>WEEKDAY(DaybyDay[[#This Row],[Date]])</f>
        <v>3</v>
      </c>
      <c r="I681" s="31">
        <v>43410</v>
      </c>
      <c r="J681" s="74">
        <v>20</v>
      </c>
      <c r="K681" s="32">
        <f>SUMIFS(BudgetSeasonality[365 Seasonality],BudgetSeasonality[MonthAdjustment],DaybyDay[[#This Row],[Date]])*SUMIFS(Budgets[Service-Budget],Budgets[BudgetMonth],DaybyDay[[#This Row],[RowMonth]],Budgets[BudgetYear],DaybyDay[[#This Row],[RowYear]])</f>
        <v>5439.0265887545847</v>
      </c>
      <c r="L681" s="75">
        <v>5142.3599999999997</v>
      </c>
      <c r="M681" s="32">
        <f>INDEX(BudgetSeasonality[365 Seasonality],MATCH(DaybyDay[[#This Row],[Date]],BudgetSeasonality[MonthAdjustment],0))*SUMIFS(Budgets[Retail-Budget],Budgets[BudgetMonth],DaybyDay[[#This Row],[RowMonth]],Budgets[BudgetYear],DaybyDay[[#This Row],[RowYear]])</f>
        <v>1538.5003784909957</v>
      </c>
      <c r="N681" s="75">
        <v>574</v>
      </c>
      <c r="O681" s="33">
        <f>SUMIFS(DaybyDay[Service-Budgets],DaybyDay[Date],"&gt;="&amp;$C$5,DaybyDay[RowYear],"&gt;="&amp;$C$4,DaybyDay[Date],"&lt;="&amp;DaybyDay[[#This Row],[Date]])</f>
        <v>0</v>
      </c>
      <c r="P681" s="33">
        <f>SUMIFS(DaybyDay[Retail-Budgets],DaybyDay[Date],"&gt;="&amp;$C$5,DaybyDay[RowYear],"&gt;="&amp;$C$4,DaybyDay[Date],"&lt;="&amp;DaybyDay[[#This Row],[Date]])</f>
        <v>0</v>
      </c>
      <c r="Q681" s="34">
        <f>SUMIFS(DaybyDay[Service-Actuals],DaybyDay[Date],"&gt;="&amp;$C$5,DaybyDay[RowYear],"&gt;="&amp;$C$4,DaybyDay[Date],"&lt;="&amp;DaybyDay[[#This Row],[Date]])</f>
        <v>0</v>
      </c>
      <c r="R681" s="34">
        <f>SUMIFS(DaybyDay[Retail-Actuals],DaybyDay[Date],"&gt;="&amp;$C$5,DaybyDay[RowYear],"&gt;="&amp;$C$4,DaybyDay[Date],"&lt;="&amp;DaybyDay[[#This Row],[Date]])</f>
        <v>0</v>
      </c>
      <c r="S681" s="35">
        <f>SUMIFS(DaybyDay[Service-LY],DaybyDay[Date],"&gt;="&amp;$C$5,DaybyDay[RowYear],"&gt;="&amp;$C$4,DaybyDay[Date],"&lt;="&amp;DaybyDay[[#This Row],[Date]])</f>
        <v>0</v>
      </c>
      <c r="T681" s="35">
        <f>SUMIFS(DaybyDay[Retail-LY],DaybyDay[Date],"&gt;="&amp;$C$5,DaybyDay[RowYear],"&gt;="&amp;$C$4,DaybyDay[Date],"&lt;="&amp;DaybyDay[[#This Row],[Date]])</f>
        <v>0</v>
      </c>
      <c r="U681" s="32">
        <f>DaybyDay[[#This Row],[Serv-Bud-RU]]+DaybyDay[[#This Row],[Ret-Bud-RU]]</f>
        <v>0</v>
      </c>
      <c r="V681" s="32">
        <f>DaybyDay[[#This Row],[Serv-Act-RU]]+DaybyDay[[#This Row],[Ret-Act-RU]]</f>
        <v>0</v>
      </c>
      <c r="W681" s="36">
        <f>IF(DaybyDay[[#This Row],[_Space]],IFERROR(
((DaybyDay[[#This Row],[Actual-Rollup]]-DaybyDay[[#This Row],[Budget-Rollup]])/DaybyDay[[#This Row],[Budget-Rollup]]),0),"")</f>
        <v>0</v>
      </c>
      <c r="X681" t="b">
        <f>NOT(AND(ISBLANK(DaybyDay[[#This Row],[Appts]]),ISBLANK(DaybyDay[[#This Row],[Service-Actuals]]),ISBLANK(DaybyDay[[#This Row],[Retail-Actuals]])))</f>
        <v>1</v>
      </c>
      <c r="Y681" s="36">
        <f>IF(DaybyDay[[#This Row],[_Space]],IFERROR(
((DaybyDay[[#This Row],[Actual-Rollup]]-DaybyDay[[#This Row],[LY-Rollup]])/DaybyDay[[#This Row],[LY-Rollup]]),0),"")</f>
        <v>0</v>
      </c>
      <c r="Z681"/>
      <c r="AA681" s="37" t="e">
        <f>IF(DaybyDay[[#This Row],[_Space]],DaybyDay[[#This Row],[Ret-Act-RU]]/DaybyDay[[#This Row],[Serv-Act-RU]],"")</f>
        <v>#DIV/0!</v>
      </c>
      <c r="AB681" s="50" t="e">
        <f>IF(DaybyDay[[#This Row],[_Space]],DaybyDay[[#This Row],[RETPEN-Act]]/DaybyDay[[#This Row],[RETPEN-Bud]],"")</f>
        <v>#DIV/0!</v>
      </c>
      <c r="AC681" s="37" t="e">
        <f>IF(DaybyDay[[#This Row],[_Space]],DaybyDay[[#This Row],[Ret-Bud-RU]]/DaybyDay[[#This Row],[Serv-Bud-RU]],"")</f>
        <v>#DIV/0!</v>
      </c>
      <c r="AD681" s="37" t="e">
        <f>IF(DaybyDay[[#This Row],[_Space]],DaybyDay[[#This Row],[Ret-LY-RU]]/DaybyDay[[#This Row],[Serv-LY-RU]],"")</f>
        <v>#DIV/0!</v>
      </c>
      <c r="AE681" s="30">
        <f>WEEKDAY(DaybyDay[[#This Row],[LY-Date]])</f>
        <v>3</v>
      </c>
      <c r="AF681" s="38">
        <f>$E$2+_xlfn.DAYS(DaybyDay[[#This Row],[Date]],minDate)</f>
        <v>43046</v>
      </c>
      <c r="AG681" s="39" cm="1">
        <f t="array" ref="AG681">IFERROR(INDEX(DaybyDay[],DaybyDay[[#This Row],[FORM_MATCH_HELPER]],8),"")</f>
        <v>14</v>
      </c>
      <c r="AH681" s="39" cm="1">
        <f t="array" ref="AH681">IFERROR(INDEX(DaybyDay[],DaybyDay[[#This Row],[FORM_MATCH_HELPER]],10),"")</f>
        <v>3454</v>
      </c>
      <c r="AI681" s="39" cm="1">
        <f t="array" ref="AI681">IFERROR(INDEX(DaybyDay[],DaybyDay[[#This Row],[FORM_MATCH_HELPER]],12),"")</f>
        <v>744.2</v>
      </c>
      <c r="AJ681" s="32">
        <f>IFERROR(DaybyDay[[#This Row],[Serv-LY-RU]]+DaybyDay[[#This Row],[Ret-LY-RU]],"")</f>
        <v>0</v>
      </c>
      <c r="AK6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1" s="77"/>
      <c r="AM681" s="40" t="str">
        <f>IF(DaybyDay[[#This Row],[Admin Hours]]&gt;0,DaybyDay[[#This Row],[Admin Hours]]*$AM$2+$AM$3,"")</f>
        <v/>
      </c>
      <c r="AN681" s="40">
        <f>SUMIFS(DaybyDay[Est-Admin-Payroll],DaybyDay[Date],"&gt;="&amp;$C$5,DaybyDay[RowYear],"&gt;="&amp;$C$4,DaybyDay[Date],"&lt;="&amp;DaybyDay[[#This Row],[Date]])</f>
        <v>0</v>
      </c>
      <c r="AO681" s="41" t="str">
        <f>IF(AND(DaybyDay[[#This Row],[_Space]],ISNUMBER(DaybyDay[[#This Row],[Admin Hours]])),DaybyDay[[#This Row],[Est-Admin-Payroll]]/(DaybyDay[[#This Row],[Service-Actuals]]+DaybyDay[[#This Row],[Retail-Actuals]]),"")</f>
        <v/>
      </c>
      <c r="AP681" s="41" t="e">
        <f>DaybyDay[[#This Row],[Estimated-Payroll-Rollup]]/DaybyDay[[#This Row],[Simple-Forecast]]</f>
        <v>#DIV/0!</v>
      </c>
      <c r="AQ6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1" s="77"/>
      <c r="AS681" s="40" t="str">
        <f>IF(DaybyDay[[#This Row],[Retail Hours]]&gt;0,DaybyDay[[#This Row],[Retail Hours]]*$AS$2,"")</f>
        <v/>
      </c>
      <c r="AT681" s="40">
        <f>SUMIFS(DaybyDay[Est-Retail-Payroll],DaybyDay[Date],"&gt;="&amp;$C$5,DaybyDay[RowYear],"&gt;="&amp;$C$4,DaybyDay[Date],"&lt;="&amp;DaybyDay[[#This Row],[Date]])</f>
        <v>0</v>
      </c>
      <c r="AU681" s="82" t="str">
        <f>IF(AND(DaybyDay[[#This Row],[_Space]],ISNUMBER(DaybyDay[[#This Row],[Retail Hours]])),DaybyDay[[#This Row],[Est-Retail-Payroll]]/(DaybyDay[[#This Row],[Retail-Actuals]]),"")</f>
        <v/>
      </c>
      <c r="AV681" s="82" t="e">
        <f>DaybyDay[[#This Row],[Est-Retail-PayrollRU]]/DaybyDay[[#This Row],[Simple-Forecast-Retail]]</f>
        <v>#DIV/0!</v>
      </c>
      <c r="AW681" s="8"/>
    </row>
    <row r="682" spans="3:49" hidden="1" x14ac:dyDescent="0.25">
      <c r="C682" s="26" t="str">
        <f>Tools!$C$1</f>
        <v>Example</v>
      </c>
      <c r="D682" s="27" t="s">
        <v>78</v>
      </c>
      <c r="E682" s="28">
        <v>2018</v>
      </c>
      <c r="F682" s="28">
        <f>MATCH(DaybyDay[[#This Row],[RowMonth]],Table3[SummaryMonth],0)</f>
        <v>11</v>
      </c>
      <c r="G682" s="29">
        <f>MATCH(DaybyDay[[#This Row],[LY-Date]],DaybyDay[Date],0)</f>
        <v>312</v>
      </c>
      <c r="H682" s="30">
        <f>WEEKDAY(DaybyDay[[#This Row],[Date]])</f>
        <v>4</v>
      </c>
      <c r="I682" s="31">
        <v>43411</v>
      </c>
      <c r="J682" s="74">
        <v>22</v>
      </c>
      <c r="K682" s="32">
        <f>SUMIFS(BudgetSeasonality[365 Seasonality],BudgetSeasonality[MonthAdjustment],DaybyDay[[#This Row],[Date]])*SUMIFS(Budgets[Service-Budget],Budgets[BudgetMonth],DaybyDay[[#This Row],[RowMonth]],Budgets[BudgetYear],DaybyDay[[#This Row],[RowYear]])</f>
        <v>6190.8484830529551</v>
      </c>
      <c r="L682" s="75">
        <v>4979.6000000000004</v>
      </c>
      <c r="M682" s="32">
        <f>INDEX(BudgetSeasonality[365 Seasonality],MATCH(DaybyDay[[#This Row],[Date]],BudgetSeasonality[MonthAdjustment],0))*SUMIFS(Budgets[Retail-Budget],Budgets[BudgetMonth],DaybyDay[[#This Row],[RowMonth]],Budgets[BudgetYear],DaybyDay[[#This Row],[RowYear]])</f>
        <v>1751.1631132765438</v>
      </c>
      <c r="N682" s="75">
        <v>1033.5</v>
      </c>
      <c r="O682" s="33">
        <f>SUMIFS(DaybyDay[Service-Budgets],DaybyDay[Date],"&gt;="&amp;$C$5,DaybyDay[RowYear],"&gt;="&amp;$C$4,DaybyDay[Date],"&lt;="&amp;DaybyDay[[#This Row],[Date]])</f>
        <v>0</v>
      </c>
      <c r="P682" s="33">
        <f>SUMIFS(DaybyDay[Retail-Budgets],DaybyDay[Date],"&gt;="&amp;$C$5,DaybyDay[RowYear],"&gt;="&amp;$C$4,DaybyDay[Date],"&lt;="&amp;DaybyDay[[#This Row],[Date]])</f>
        <v>0</v>
      </c>
      <c r="Q682" s="34">
        <f>SUMIFS(DaybyDay[Service-Actuals],DaybyDay[Date],"&gt;="&amp;$C$5,DaybyDay[RowYear],"&gt;="&amp;$C$4,DaybyDay[Date],"&lt;="&amp;DaybyDay[[#This Row],[Date]])</f>
        <v>0</v>
      </c>
      <c r="R682" s="34">
        <f>SUMIFS(DaybyDay[Retail-Actuals],DaybyDay[Date],"&gt;="&amp;$C$5,DaybyDay[RowYear],"&gt;="&amp;$C$4,DaybyDay[Date],"&lt;="&amp;DaybyDay[[#This Row],[Date]])</f>
        <v>0</v>
      </c>
      <c r="S682" s="35">
        <f>SUMIFS(DaybyDay[Service-LY],DaybyDay[Date],"&gt;="&amp;$C$5,DaybyDay[RowYear],"&gt;="&amp;$C$4,DaybyDay[Date],"&lt;="&amp;DaybyDay[[#This Row],[Date]])</f>
        <v>0</v>
      </c>
      <c r="T682" s="35">
        <f>SUMIFS(DaybyDay[Retail-LY],DaybyDay[Date],"&gt;="&amp;$C$5,DaybyDay[RowYear],"&gt;="&amp;$C$4,DaybyDay[Date],"&lt;="&amp;DaybyDay[[#This Row],[Date]])</f>
        <v>0</v>
      </c>
      <c r="U682" s="32">
        <f>DaybyDay[[#This Row],[Serv-Bud-RU]]+DaybyDay[[#This Row],[Ret-Bud-RU]]</f>
        <v>0</v>
      </c>
      <c r="V682" s="32">
        <f>DaybyDay[[#This Row],[Serv-Act-RU]]+DaybyDay[[#This Row],[Ret-Act-RU]]</f>
        <v>0</v>
      </c>
      <c r="W682" s="36">
        <f>IF(DaybyDay[[#This Row],[_Space]],IFERROR(
((DaybyDay[[#This Row],[Actual-Rollup]]-DaybyDay[[#This Row],[Budget-Rollup]])/DaybyDay[[#This Row],[Budget-Rollup]]),0),"")</f>
        <v>0</v>
      </c>
      <c r="X682" t="b">
        <f>NOT(AND(ISBLANK(DaybyDay[[#This Row],[Appts]]),ISBLANK(DaybyDay[[#This Row],[Service-Actuals]]),ISBLANK(DaybyDay[[#This Row],[Retail-Actuals]])))</f>
        <v>1</v>
      </c>
      <c r="Y682" s="36">
        <f>IF(DaybyDay[[#This Row],[_Space]],IFERROR(
((DaybyDay[[#This Row],[Actual-Rollup]]-DaybyDay[[#This Row],[LY-Rollup]])/DaybyDay[[#This Row],[LY-Rollup]]),0),"")</f>
        <v>0</v>
      </c>
      <c r="Z682"/>
      <c r="AA682" s="37" t="e">
        <f>IF(DaybyDay[[#This Row],[_Space]],DaybyDay[[#This Row],[Ret-Act-RU]]/DaybyDay[[#This Row],[Serv-Act-RU]],"")</f>
        <v>#DIV/0!</v>
      </c>
      <c r="AB682" s="50" t="e">
        <f>IF(DaybyDay[[#This Row],[_Space]],DaybyDay[[#This Row],[RETPEN-Act]]/DaybyDay[[#This Row],[RETPEN-Bud]],"")</f>
        <v>#DIV/0!</v>
      </c>
      <c r="AC682" s="37" t="e">
        <f>IF(DaybyDay[[#This Row],[_Space]],DaybyDay[[#This Row],[Ret-Bud-RU]]/DaybyDay[[#This Row],[Serv-Bud-RU]],"")</f>
        <v>#DIV/0!</v>
      </c>
      <c r="AD682" s="37" t="e">
        <f>IF(DaybyDay[[#This Row],[_Space]],DaybyDay[[#This Row],[Ret-LY-RU]]/DaybyDay[[#This Row],[Serv-LY-RU]],"")</f>
        <v>#DIV/0!</v>
      </c>
      <c r="AE682" s="30">
        <f>WEEKDAY(DaybyDay[[#This Row],[LY-Date]])</f>
        <v>4</v>
      </c>
      <c r="AF682" s="38">
        <f>$E$2+_xlfn.DAYS(DaybyDay[[#This Row],[Date]],minDate)</f>
        <v>43047</v>
      </c>
      <c r="AG682" s="39" cm="1">
        <f t="array" ref="AG682">IFERROR(INDEX(DaybyDay[],DaybyDay[[#This Row],[FORM_MATCH_HELPER]],8),"")</f>
        <v>25</v>
      </c>
      <c r="AH682" s="39" cm="1">
        <f t="array" ref="AH682">IFERROR(INDEX(DaybyDay[],DaybyDay[[#This Row],[FORM_MATCH_HELPER]],10),"")</f>
        <v>5072.8999999999996</v>
      </c>
      <c r="AI682" s="39" cm="1">
        <f t="array" ref="AI682">IFERROR(INDEX(DaybyDay[],DaybyDay[[#This Row],[FORM_MATCH_HELPER]],12),"")</f>
        <v>4794.8999999999996</v>
      </c>
      <c r="AJ682" s="32">
        <f>IFERROR(DaybyDay[[#This Row],[Serv-LY-RU]]+DaybyDay[[#This Row],[Ret-LY-RU]],"")</f>
        <v>0</v>
      </c>
      <c r="AK6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2" s="77"/>
      <c r="AM682" s="40" t="str">
        <f>IF(DaybyDay[[#This Row],[Admin Hours]]&gt;0,DaybyDay[[#This Row],[Admin Hours]]*$AM$2+$AM$3,"")</f>
        <v/>
      </c>
      <c r="AN682" s="40">
        <f>SUMIFS(DaybyDay[Est-Admin-Payroll],DaybyDay[Date],"&gt;="&amp;$C$5,DaybyDay[RowYear],"&gt;="&amp;$C$4,DaybyDay[Date],"&lt;="&amp;DaybyDay[[#This Row],[Date]])</f>
        <v>0</v>
      </c>
      <c r="AO682" s="41" t="str">
        <f>IF(AND(DaybyDay[[#This Row],[_Space]],ISNUMBER(DaybyDay[[#This Row],[Admin Hours]])),DaybyDay[[#This Row],[Est-Admin-Payroll]]/(DaybyDay[[#This Row],[Service-Actuals]]+DaybyDay[[#This Row],[Retail-Actuals]]),"")</f>
        <v/>
      </c>
      <c r="AP682" s="41" t="e">
        <f>DaybyDay[[#This Row],[Estimated-Payroll-Rollup]]/DaybyDay[[#This Row],[Simple-Forecast]]</f>
        <v>#DIV/0!</v>
      </c>
      <c r="AQ6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2" s="77"/>
      <c r="AS682" s="40" t="str">
        <f>IF(DaybyDay[[#This Row],[Retail Hours]]&gt;0,DaybyDay[[#This Row],[Retail Hours]]*$AS$2,"")</f>
        <v/>
      </c>
      <c r="AT682" s="40">
        <f>SUMIFS(DaybyDay[Est-Retail-Payroll],DaybyDay[Date],"&gt;="&amp;$C$5,DaybyDay[RowYear],"&gt;="&amp;$C$4,DaybyDay[Date],"&lt;="&amp;DaybyDay[[#This Row],[Date]])</f>
        <v>0</v>
      </c>
      <c r="AU682" s="82" t="str">
        <f>IF(AND(DaybyDay[[#This Row],[_Space]],ISNUMBER(DaybyDay[[#This Row],[Retail Hours]])),DaybyDay[[#This Row],[Est-Retail-Payroll]]/(DaybyDay[[#This Row],[Retail-Actuals]]),"")</f>
        <v/>
      </c>
      <c r="AV682" s="82" t="e">
        <f>DaybyDay[[#This Row],[Est-Retail-PayrollRU]]/DaybyDay[[#This Row],[Simple-Forecast-Retail]]</f>
        <v>#DIV/0!</v>
      </c>
      <c r="AW682" s="8"/>
    </row>
    <row r="683" spans="3:49" hidden="1" x14ac:dyDescent="0.25">
      <c r="C683" s="26" t="str">
        <f>Tools!$C$1</f>
        <v>Example</v>
      </c>
      <c r="D683" s="27" t="s">
        <v>78</v>
      </c>
      <c r="E683" s="28">
        <v>2018</v>
      </c>
      <c r="F683" s="28">
        <f>MATCH(DaybyDay[[#This Row],[RowMonth]],Table3[SummaryMonth],0)</f>
        <v>11</v>
      </c>
      <c r="G683" s="29">
        <f>MATCH(DaybyDay[[#This Row],[LY-Date]],DaybyDay[Date],0)</f>
        <v>313</v>
      </c>
      <c r="H683" s="30">
        <f>WEEKDAY(DaybyDay[[#This Row],[Date]])</f>
        <v>5</v>
      </c>
      <c r="I683" s="31">
        <v>43412</v>
      </c>
      <c r="J683" s="74">
        <v>19</v>
      </c>
      <c r="K683" s="32">
        <f>SUMIFS(BudgetSeasonality[365 Seasonality],BudgetSeasonality[MonthAdjustment],DaybyDay[[#This Row],[Date]])*SUMIFS(Budgets[Service-Budget],Budgets[BudgetMonth],DaybyDay[[#This Row],[RowMonth]],Budgets[BudgetYear],DaybyDay[[#This Row],[RowYear]])</f>
        <v>6339.4689744289144</v>
      </c>
      <c r="L683" s="75">
        <v>5313</v>
      </c>
      <c r="M683" s="32">
        <f>INDEX(BudgetSeasonality[365 Seasonality],MATCH(DaybyDay[[#This Row],[Date]],BudgetSeasonality[MonthAdjustment],0))*SUMIFS(Budgets[Retail-Budget],Budgets[BudgetMonth],DaybyDay[[#This Row],[RowMonth]],Budgets[BudgetYear],DaybyDay[[#This Row],[RowYear]])</f>
        <v>1793.2023786675568</v>
      </c>
      <c r="N683" s="75">
        <v>680</v>
      </c>
      <c r="O683" s="33">
        <f>SUMIFS(DaybyDay[Service-Budgets],DaybyDay[Date],"&gt;="&amp;$C$5,DaybyDay[RowYear],"&gt;="&amp;$C$4,DaybyDay[Date],"&lt;="&amp;DaybyDay[[#This Row],[Date]])</f>
        <v>0</v>
      </c>
      <c r="P683" s="33">
        <f>SUMIFS(DaybyDay[Retail-Budgets],DaybyDay[Date],"&gt;="&amp;$C$5,DaybyDay[RowYear],"&gt;="&amp;$C$4,DaybyDay[Date],"&lt;="&amp;DaybyDay[[#This Row],[Date]])</f>
        <v>0</v>
      </c>
      <c r="Q683" s="34">
        <f>SUMIFS(DaybyDay[Service-Actuals],DaybyDay[Date],"&gt;="&amp;$C$5,DaybyDay[RowYear],"&gt;="&amp;$C$4,DaybyDay[Date],"&lt;="&amp;DaybyDay[[#This Row],[Date]])</f>
        <v>0</v>
      </c>
      <c r="R683" s="34">
        <f>SUMIFS(DaybyDay[Retail-Actuals],DaybyDay[Date],"&gt;="&amp;$C$5,DaybyDay[RowYear],"&gt;="&amp;$C$4,DaybyDay[Date],"&lt;="&amp;DaybyDay[[#This Row],[Date]])</f>
        <v>0</v>
      </c>
      <c r="S683" s="35">
        <f>SUMIFS(DaybyDay[Service-LY],DaybyDay[Date],"&gt;="&amp;$C$5,DaybyDay[RowYear],"&gt;="&amp;$C$4,DaybyDay[Date],"&lt;="&amp;DaybyDay[[#This Row],[Date]])</f>
        <v>0</v>
      </c>
      <c r="T683" s="35">
        <f>SUMIFS(DaybyDay[Retail-LY],DaybyDay[Date],"&gt;="&amp;$C$5,DaybyDay[RowYear],"&gt;="&amp;$C$4,DaybyDay[Date],"&lt;="&amp;DaybyDay[[#This Row],[Date]])</f>
        <v>0</v>
      </c>
      <c r="U683" s="32">
        <f>DaybyDay[[#This Row],[Serv-Bud-RU]]+DaybyDay[[#This Row],[Ret-Bud-RU]]</f>
        <v>0</v>
      </c>
      <c r="V683" s="32">
        <f>DaybyDay[[#This Row],[Serv-Act-RU]]+DaybyDay[[#This Row],[Ret-Act-RU]]</f>
        <v>0</v>
      </c>
      <c r="W683" s="36">
        <f>IF(DaybyDay[[#This Row],[_Space]],IFERROR(
((DaybyDay[[#This Row],[Actual-Rollup]]-DaybyDay[[#This Row],[Budget-Rollup]])/DaybyDay[[#This Row],[Budget-Rollup]]),0),"")</f>
        <v>0</v>
      </c>
      <c r="X683" t="b">
        <f>NOT(AND(ISBLANK(DaybyDay[[#This Row],[Appts]]),ISBLANK(DaybyDay[[#This Row],[Service-Actuals]]),ISBLANK(DaybyDay[[#This Row],[Retail-Actuals]])))</f>
        <v>1</v>
      </c>
      <c r="Y683" s="36">
        <f>IF(DaybyDay[[#This Row],[_Space]],IFERROR(
((DaybyDay[[#This Row],[Actual-Rollup]]-DaybyDay[[#This Row],[LY-Rollup]])/DaybyDay[[#This Row],[LY-Rollup]]),0),"")</f>
        <v>0</v>
      </c>
      <c r="Z683"/>
      <c r="AA683" s="37" t="e">
        <f>IF(DaybyDay[[#This Row],[_Space]],DaybyDay[[#This Row],[Ret-Act-RU]]/DaybyDay[[#This Row],[Serv-Act-RU]],"")</f>
        <v>#DIV/0!</v>
      </c>
      <c r="AB683" s="50" t="e">
        <f>IF(DaybyDay[[#This Row],[_Space]],DaybyDay[[#This Row],[RETPEN-Act]]/DaybyDay[[#This Row],[RETPEN-Bud]],"")</f>
        <v>#DIV/0!</v>
      </c>
      <c r="AC683" s="37" t="e">
        <f>IF(DaybyDay[[#This Row],[_Space]],DaybyDay[[#This Row],[Ret-Bud-RU]]/DaybyDay[[#This Row],[Serv-Bud-RU]],"")</f>
        <v>#DIV/0!</v>
      </c>
      <c r="AD683" s="37" t="e">
        <f>IF(DaybyDay[[#This Row],[_Space]],DaybyDay[[#This Row],[Ret-LY-RU]]/DaybyDay[[#This Row],[Serv-LY-RU]],"")</f>
        <v>#DIV/0!</v>
      </c>
      <c r="AE683" s="30">
        <f>WEEKDAY(DaybyDay[[#This Row],[LY-Date]])</f>
        <v>5</v>
      </c>
      <c r="AF683" s="38">
        <f>$E$2+_xlfn.DAYS(DaybyDay[[#This Row],[Date]],minDate)</f>
        <v>43048</v>
      </c>
      <c r="AG683" s="39" cm="1">
        <f t="array" ref="AG683">IFERROR(INDEX(DaybyDay[],DaybyDay[[#This Row],[FORM_MATCH_HELPER]],8),"")</f>
        <v>22</v>
      </c>
      <c r="AH683" s="39" cm="1">
        <f t="array" ref="AH683">IFERROR(INDEX(DaybyDay[],DaybyDay[[#This Row],[FORM_MATCH_HELPER]],10),"")</f>
        <v>3560.4</v>
      </c>
      <c r="AI683" s="39" cm="1">
        <f t="array" ref="AI683">IFERROR(INDEX(DaybyDay[],DaybyDay[[#This Row],[FORM_MATCH_HELPER]],12),"")</f>
        <v>1978</v>
      </c>
      <c r="AJ683" s="32">
        <f>IFERROR(DaybyDay[[#This Row],[Serv-LY-RU]]+DaybyDay[[#This Row],[Ret-LY-RU]],"")</f>
        <v>0</v>
      </c>
      <c r="AK6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3" s="77"/>
      <c r="AM683" s="40" t="str">
        <f>IF(DaybyDay[[#This Row],[Admin Hours]]&gt;0,DaybyDay[[#This Row],[Admin Hours]]*$AM$2+$AM$3,"")</f>
        <v/>
      </c>
      <c r="AN683" s="40">
        <f>SUMIFS(DaybyDay[Est-Admin-Payroll],DaybyDay[Date],"&gt;="&amp;$C$5,DaybyDay[RowYear],"&gt;="&amp;$C$4,DaybyDay[Date],"&lt;="&amp;DaybyDay[[#This Row],[Date]])</f>
        <v>0</v>
      </c>
      <c r="AO683" s="41" t="str">
        <f>IF(AND(DaybyDay[[#This Row],[_Space]],ISNUMBER(DaybyDay[[#This Row],[Admin Hours]])),DaybyDay[[#This Row],[Est-Admin-Payroll]]/(DaybyDay[[#This Row],[Service-Actuals]]+DaybyDay[[#This Row],[Retail-Actuals]]),"")</f>
        <v/>
      </c>
      <c r="AP683" s="41" t="e">
        <f>DaybyDay[[#This Row],[Estimated-Payroll-Rollup]]/DaybyDay[[#This Row],[Simple-Forecast]]</f>
        <v>#DIV/0!</v>
      </c>
      <c r="AQ6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3" s="77"/>
      <c r="AS683" s="40" t="str">
        <f>IF(DaybyDay[[#This Row],[Retail Hours]]&gt;0,DaybyDay[[#This Row],[Retail Hours]]*$AS$2,"")</f>
        <v/>
      </c>
      <c r="AT683" s="40">
        <f>SUMIFS(DaybyDay[Est-Retail-Payroll],DaybyDay[Date],"&gt;="&amp;$C$5,DaybyDay[RowYear],"&gt;="&amp;$C$4,DaybyDay[Date],"&lt;="&amp;DaybyDay[[#This Row],[Date]])</f>
        <v>0</v>
      </c>
      <c r="AU683" s="82" t="str">
        <f>IF(AND(DaybyDay[[#This Row],[_Space]],ISNUMBER(DaybyDay[[#This Row],[Retail Hours]])),DaybyDay[[#This Row],[Est-Retail-Payroll]]/(DaybyDay[[#This Row],[Retail-Actuals]]),"")</f>
        <v/>
      </c>
      <c r="AV683" s="82" t="e">
        <f>DaybyDay[[#This Row],[Est-Retail-PayrollRU]]/DaybyDay[[#This Row],[Simple-Forecast-Retail]]</f>
        <v>#DIV/0!</v>
      </c>
      <c r="AW683" s="8"/>
    </row>
    <row r="684" spans="3:49" hidden="1" x14ac:dyDescent="0.25">
      <c r="C684" s="26" t="str">
        <f>Tools!$C$1</f>
        <v>Example</v>
      </c>
      <c r="D684" s="27" t="s">
        <v>78</v>
      </c>
      <c r="E684" s="28">
        <v>2018</v>
      </c>
      <c r="F684" s="28">
        <f>MATCH(DaybyDay[[#This Row],[RowMonth]],Table3[SummaryMonth],0)</f>
        <v>11</v>
      </c>
      <c r="G684" s="29">
        <f>MATCH(DaybyDay[[#This Row],[LY-Date]],DaybyDay[Date],0)</f>
        <v>314</v>
      </c>
      <c r="H684" s="30">
        <f>WEEKDAY(DaybyDay[[#This Row],[Date]])</f>
        <v>6</v>
      </c>
      <c r="I684" s="31">
        <v>43413</v>
      </c>
      <c r="J684" s="74">
        <v>22</v>
      </c>
      <c r="K684" s="32">
        <f>SUMIFS(BudgetSeasonality[365 Seasonality],BudgetSeasonality[MonthAdjustment],DaybyDay[[#This Row],[Date]])*SUMIFS(Budgets[Service-Budget],Budgets[BudgetMonth],DaybyDay[[#This Row],[RowMonth]],Budgets[BudgetYear],DaybyDay[[#This Row],[RowYear]])</f>
        <v>7723.1547238138055</v>
      </c>
      <c r="L684" s="75">
        <v>6233</v>
      </c>
      <c r="M684" s="32">
        <f>INDEX(BudgetSeasonality[365 Seasonality],MATCH(DaybyDay[[#This Row],[Date]],BudgetSeasonality[MonthAdjustment],0))*SUMIFS(Budgets[Retail-Budget],Budgets[BudgetMonth],DaybyDay[[#This Row],[RowMonth]],Budgets[BudgetYear],DaybyDay[[#This Row],[RowYear]])</f>
        <v>2184.5961353266321</v>
      </c>
      <c r="N684" s="75">
        <v>419.4</v>
      </c>
      <c r="O684" s="33">
        <f>SUMIFS(DaybyDay[Service-Budgets],DaybyDay[Date],"&gt;="&amp;$C$5,DaybyDay[RowYear],"&gt;="&amp;$C$4,DaybyDay[Date],"&lt;="&amp;DaybyDay[[#This Row],[Date]])</f>
        <v>0</v>
      </c>
      <c r="P684" s="33">
        <f>SUMIFS(DaybyDay[Retail-Budgets],DaybyDay[Date],"&gt;="&amp;$C$5,DaybyDay[RowYear],"&gt;="&amp;$C$4,DaybyDay[Date],"&lt;="&amp;DaybyDay[[#This Row],[Date]])</f>
        <v>0</v>
      </c>
      <c r="Q684" s="34">
        <f>SUMIFS(DaybyDay[Service-Actuals],DaybyDay[Date],"&gt;="&amp;$C$5,DaybyDay[RowYear],"&gt;="&amp;$C$4,DaybyDay[Date],"&lt;="&amp;DaybyDay[[#This Row],[Date]])</f>
        <v>0</v>
      </c>
      <c r="R684" s="34">
        <f>SUMIFS(DaybyDay[Retail-Actuals],DaybyDay[Date],"&gt;="&amp;$C$5,DaybyDay[RowYear],"&gt;="&amp;$C$4,DaybyDay[Date],"&lt;="&amp;DaybyDay[[#This Row],[Date]])</f>
        <v>0</v>
      </c>
      <c r="S684" s="35">
        <f>SUMIFS(DaybyDay[Service-LY],DaybyDay[Date],"&gt;="&amp;$C$5,DaybyDay[RowYear],"&gt;="&amp;$C$4,DaybyDay[Date],"&lt;="&amp;DaybyDay[[#This Row],[Date]])</f>
        <v>0</v>
      </c>
      <c r="T684" s="35">
        <f>SUMIFS(DaybyDay[Retail-LY],DaybyDay[Date],"&gt;="&amp;$C$5,DaybyDay[RowYear],"&gt;="&amp;$C$4,DaybyDay[Date],"&lt;="&amp;DaybyDay[[#This Row],[Date]])</f>
        <v>0</v>
      </c>
      <c r="U684" s="32">
        <f>DaybyDay[[#This Row],[Serv-Bud-RU]]+DaybyDay[[#This Row],[Ret-Bud-RU]]</f>
        <v>0</v>
      </c>
      <c r="V684" s="32">
        <f>DaybyDay[[#This Row],[Serv-Act-RU]]+DaybyDay[[#This Row],[Ret-Act-RU]]</f>
        <v>0</v>
      </c>
      <c r="W684" s="36">
        <f>IF(DaybyDay[[#This Row],[_Space]],IFERROR(
((DaybyDay[[#This Row],[Actual-Rollup]]-DaybyDay[[#This Row],[Budget-Rollup]])/DaybyDay[[#This Row],[Budget-Rollup]]),0),"")</f>
        <v>0</v>
      </c>
      <c r="X684" t="b">
        <f>NOT(AND(ISBLANK(DaybyDay[[#This Row],[Appts]]),ISBLANK(DaybyDay[[#This Row],[Service-Actuals]]),ISBLANK(DaybyDay[[#This Row],[Retail-Actuals]])))</f>
        <v>1</v>
      </c>
      <c r="Y684" s="36">
        <f>IF(DaybyDay[[#This Row],[_Space]],IFERROR(
((DaybyDay[[#This Row],[Actual-Rollup]]-DaybyDay[[#This Row],[LY-Rollup]])/DaybyDay[[#This Row],[LY-Rollup]]),0),"")</f>
        <v>0</v>
      </c>
      <c r="Z684"/>
      <c r="AA684" s="37" t="e">
        <f>IF(DaybyDay[[#This Row],[_Space]],DaybyDay[[#This Row],[Ret-Act-RU]]/DaybyDay[[#This Row],[Serv-Act-RU]],"")</f>
        <v>#DIV/0!</v>
      </c>
      <c r="AB684" s="50" t="e">
        <f>IF(DaybyDay[[#This Row],[_Space]],DaybyDay[[#This Row],[RETPEN-Act]]/DaybyDay[[#This Row],[RETPEN-Bud]],"")</f>
        <v>#DIV/0!</v>
      </c>
      <c r="AC684" s="37" t="e">
        <f>IF(DaybyDay[[#This Row],[_Space]],DaybyDay[[#This Row],[Ret-Bud-RU]]/DaybyDay[[#This Row],[Serv-Bud-RU]],"")</f>
        <v>#DIV/0!</v>
      </c>
      <c r="AD684" s="37" t="e">
        <f>IF(DaybyDay[[#This Row],[_Space]],DaybyDay[[#This Row],[Ret-LY-RU]]/DaybyDay[[#This Row],[Serv-LY-RU]],"")</f>
        <v>#DIV/0!</v>
      </c>
      <c r="AE684" s="30">
        <f>WEEKDAY(DaybyDay[[#This Row],[LY-Date]])</f>
        <v>6</v>
      </c>
      <c r="AF684" s="38">
        <f>$E$2+_xlfn.DAYS(DaybyDay[[#This Row],[Date]],minDate)</f>
        <v>43049</v>
      </c>
      <c r="AG684" s="39" cm="1">
        <f t="array" ref="AG684">IFERROR(INDEX(DaybyDay[],DaybyDay[[#This Row],[FORM_MATCH_HELPER]],8),"")</f>
        <v>30</v>
      </c>
      <c r="AH684" s="39" cm="1">
        <f t="array" ref="AH684">IFERROR(INDEX(DaybyDay[],DaybyDay[[#This Row],[FORM_MATCH_HELPER]],10),"")</f>
        <v>6355.6</v>
      </c>
      <c r="AI684" s="39" cm="1">
        <f t="array" ref="AI684">IFERROR(INDEX(DaybyDay[],DaybyDay[[#This Row],[FORM_MATCH_HELPER]],12),"")</f>
        <v>2504.0500000000002</v>
      </c>
      <c r="AJ684" s="32">
        <f>IFERROR(DaybyDay[[#This Row],[Serv-LY-RU]]+DaybyDay[[#This Row],[Ret-LY-RU]],"")</f>
        <v>0</v>
      </c>
      <c r="AK6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4" s="77"/>
      <c r="AM684" s="40" t="str">
        <f>IF(DaybyDay[[#This Row],[Admin Hours]]&gt;0,DaybyDay[[#This Row],[Admin Hours]]*$AM$2+$AM$3,"")</f>
        <v/>
      </c>
      <c r="AN684" s="40">
        <f>SUMIFS(DaybyDay[Est-Admin-Payroll],DaybyDay[Date],"&gt;="&amp;$C$5,DaybyDay[RowYear],"&gt;="&amp;$C$4,DaybyDay[Date],"&lt;="&amp;DaybyDay[[#This Row],[Date]])</f>
        <v>0</v>
      </c>
      <c r="AO684" s="41" t="str">
        <f>IF(AND(DaybyDay[[#This Row],[_Space]],ISNUMBER(DaybyDay[[#This Row],[Admin Hours]])),DaybyDay[[#This Row],[Est-Admin-Payroll]]/(DaybyDay[[#This Row],[Service-Actuals]]+DaybyDay[[#This Row],[Retail-Actuals]]),"")</f>
        <v/>
      </c>
      <c r="AP684" s="41" t="e">
        <f>DaybyDay[[#This Row],[Estimated-Payroll-Rollup]]/DaybyDay[[#This Row],[Simple-Forecast]]</f>
        <v>#DIV/0!</v>
      </c>
      <c r="AQ6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4" s="77"/>
      <c r="AS684" s="40" t="str">
        <f>IF(DaybyDay[[#This Row],[Retail Hours]]&gt;0,DaybyDay[[#This Row],[Retail Hours]]*$AS$2,"")</f>
        <v/>
      </c>
      <c r="AT684" s="40">
        <f>SUMIFS(DaybyDay[Est-Retail-Payroll],DaybyDay[Date],"&gt;="&amp;$C$5,DaybyDay[RowYear],"&gt;="&amp;$C$4,DaybyDay[Date],"&lt;="&amp;DaybyDay[[#This Row],[Date]])</f>
        <v>0</v>
      </c>
      <c r="AU684" s="82" t="str">
        <f>IF(AND(DaybyDay[[#This Row],[_Space]],ISNUMBER(DaybyDay[[#This Row],[Retail Hours]])),DaybyDay[[#This Row],[Est-Retail-Payroll]]/(DaybyDay[[#This Row],[Retail-Actuals]]),"")</f>
        <v/>
      </c>
      <c r="AV684" s="82" t="e">
        <f>DaybyDay[[#This Row],[Est-Retail-PayrollRU]]/DaybyDay[[#This Row],[Simple-Forecast-Retail]]</f>
        <v>#DIV/0!</v>
      </c>
      <c r="AW684" s="8"/>
    </row>
    <row r="685" spans="3:49" hidden="1" x14ac:dyDescent="0.25">
      <c r="C685" s="26" t="str">
        <f>Tools!$C$1</f>
        <v>Example</v>
      </c>
      <c r="D685" s="27" t="s">
        <v>78</v>
      </c>
      <c r="E685" s="28">
        <v>2018</v>
      </c>
      <c r="F685" s="28">
        <f>MATCH(DaybyDay[[#This Row],[RowMonth]],Table3[SummaryMonth],0)</f>
        <v>11</v>
      </c>
      <c r="G685" s="29">
        <f>MATCH(DaybyDay[[#This Row],[LY-Date]],DaybyDay[Date],0)</f>
        <v>315</v>
      </c>
      <c r="H685" s="30">
        <f>WEEKDAY(DaybyDay[[#This Row],[Date]])</f>
        <v>7</v>
      </c>
      <c r="I685" s="31">
        <v>43414</v>
      </c>
      <c r="J685" s="74">
        <v>30</v>
      </c>
      <c r="K685" s="32">
        <f>SUMIFS(BudgetSeasonality[365 Seasonality],BudgetSeasonality[MonthAdjustment],DaybyDay[[#This Row],[Date]])*SUMIFS(Budgets[Service-Budget],Budgets[BudgetMonth],DaybyDay[[#This Row],[RowMonth]],Budgets[BudgetYear],DaybyDay[[#This Row],[RowYear]])</f>
        <v>10661.086992681081</v>
      </c>
      <c r="L685" s="75">
        <v>7934</v>
      </c>
      <c r="M685" s="32">
        <f>INDEX(BudgetSeasonality[365 Seasonality],MATCH(DaybyDay[[#This Row],[Date]],BudgetSeasonality[MonthAdjustment],0))*SUMIFS(Budgets[Retail-Budget],Budgets[BudgetMonth],DaybyDay[[#This Row],[RowMonth]],Budgets[BudgetYear],DaybyDay[[#This Row],[RowYear]])</f>
        <v>3015.6290111317485</v>
      </c>
      <c r="N685" s="75">
        <v>320</v>
      </c>
      <c r="O685" s="33">
        <f>SUMIFS(DaybyDay[Service-Budgets],DaybyDay[Date],"&gt;="&amp;$C$5,DaybyDay[RowYear],"&gt;="&amp;$C$4,DaybyDay[Date],"&lt;="&amp;DaybyDay[[#This Row],[Date]])</f>
        <v>0</v>
      </c>
      <c r="P685" s="33">
        <f>SUMIFS(DaybyDay[Retail-Budgets],DaybyDay[Date],"&gt;="&amp;$C$5,DaybyDay[RowYear],"&gt;="&amp;$C$4,DaybyDay[Date],"&lt;="&amp;DaybyDay[[#This Row],[Date]])</f>
        <v>0</v>
      </c>
      <c r="Q685" s="34">
        <f>SUMIFS(DaybyDay[Service-Actuals],DaybyDay[Date],"&gt;="&amp;$C$5,DaybyDay[RowYear],"&gt;="&amp;$C$4,DaybyDay[Date],"&lt;="&amp;DaybyDay[[#This Row],[Date]])</f>
        <v>0</v>
      </c>
      <c r="R685" s="34">
        <f>SUMIFS(DaybyDay[Retail-Actuals],DaybyDay[Date],"&gt;="&amp;$C$5,DaybyDay[RowYear],"&gt;="&amp;$C$4,DaybyDay[Date],"&lt;="&amp;DaybyDay[[#This Row],[Date]])</f>
        <v>0</v>
      </c>
      <c r="S685" s="35">
        <f>SUMIFS(DaybyDay[Service-LY],DaybyDay[Date],"&gt;="&amp;$C$5,DaybyDay[RowYear],"&gt;="&amp;$C$4,DaybyDay[Date],"&lt;="&amp;DaybyDay[[#This Row],[Date]])</f>
        <v>0</v>
      </c>
      <c r="T685" s="35">
        <f>SUMIFS(DaybyDay[Retail-LY],DaybyDay[Date],"&gt;="&amp;$C$5,DaybyDay[RowYear],"&gt;="&amp;$C$4,DaybyDay[Date],"&lt;="&amp;DaybyDay[[#This Row],[Date]])</f>
        <v>0</v>
      </c>
      <c r="U685" s="32">
        <f>DaybyDay[[#This Row],[Serv-Bud-RU]]+DaybyDay[[#This Row],[Ret-Bud-RU]]</f>
        <v>0</v>
      </c>
      <c r="V685" s="32">
        <f>DaybyDay[[#This Row],[Serv-Act-RU]]+DaybyDay[[#This Row],[Ret-Act-RU]]</f>
        <v>0</v>
      </c>
      <c r="W685" s="36">
        <f>IF(DaybyDay[[#This Row],[_Space]],IFERROR(
((DaybyDay[[#This Row],[Actual-Rollup]]-DaybyDay[[#This Row],[Budget-Rollup]])/DaybyDay[[#This Row],[Budget-Rollup]]),0),"")</f>
        <v>0</v>
      </c>
      <c r="X685" t="b">
        <f>NOT(AND(ISBLANK(DaybyDay[[#This Row],[Appts]]),ISBLANK(DaybyDay[[#This Row],[Service-Actuals]]),ISBLANK(DaybyDay[[#This Row],[Retail-Actuals]])))</f>
        <v>1</v>
      </c>
      <c r="Y685" s="36">
        <f>IF(DaybyDay[[#This Row],[_Space]],IFERROR(
((DaybyDay[[#This Row],[Actual-Rollup]]-DaybyDay[[#This Row],[LY-Rollup]])/DaybyDay[[#This Row],[LY-Rollup]]),0),"")</f>
        <v>0</v>
      </c>
      <c r="Z685"/>
      <c r="AA685" s="37" t="e">
        <f>IF(DaybyDay[[#This Row],[_Space]],DaybyDay[[#This Row],[Ret-Act-RU]]/DaybyDay[[#This Row],[Serv-Act-RU]],"")</f>
        <v>#DIV/0!</v>
      </c>
      <c r="AB685" s="50" t="e">
        <f>IF(DaybyDay[[#This Row],[_Space]],DaybyDay[[#This Row],[RETPEN-Act]]/DaybyDay[[#This Row],[RETPEN-Bud]],"")</f>
        <v>#DIV/0!</v>
      </c>
      <c r="AC685" s="37" t="e">
        <f>IF(DaybyDay[[#This Row],[_Space]],DaybyDay[[#This Row],[Ret-Bud-RU]]/DaybyDay[[#This Row],[Serv-Bud-RU]],"")</f>
        <v>#DIV/0!</v>
      </c>
      <c r="AD685" s="37" t="e">
        <f>IF(DaybyDay[[#This Row],[_Space]],DaybyDay[[#This Row],[Ret-LY-RU]]/DaybyDay[[#This Row],[Serv-LY-RU]],"")</f>
        <v>#DIV/0!</v>
      </c>
      <c r="AE685" s="30">
        <f>WEEKDAY(DaybyDay[[#This Row],[LY-Date]])</f>
        <v>7</v>
      </c>
      <c r="AF685" s="38">
        <f>$E$2+_xlfn.DAYS(DaybyDay[[#This Row],[Date]],minDate)</f>
        <v>43050</v>
      </c>
      <c r="AG685" s="39" cm="1">
        <f t="array" ref="AG685">IFERROR(INDEX(DaybyDay[],DaybyDay[[#This Row],[FORM_MATCH_HELPER]],8),"")</f>
        <v>32</v>
      </c>
      <c r="AH685" s="39" cm="1">
        <f t="array" ref="AH685">IFERROR(INDEX(DaybyDay[],DaybyDay[[#This Row],[FORM_MATCH_HELPER]],10),"")</f>
        <v>7837.85</v>
      </c>
      <c r="AI685" s="39" cm="1">
        <f t="array" ref="AI685">IFERROR(INDEX(DaybyDay[],DaybyDay[[#This Row],[FORM_MATCH_HELPER]],12),"")</f>
        <v>576.5</v>
      </c>
      <c r="AJ685" s="32">
        <f>IFERROR(DaybyDay[[#This Row],[Serv-LY-RU]]+DaybyDay[[#This Row],[Ret-LY-RU]],"")</f>
        <v>0</v>
      </c>
      <c r="AK6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5" s="77"/>
      <c r="AM685" s="40" t="str">
        <f>IF(DaybyDay[[#This Row],[Admin Hours]]&gt;0,DaybyDay[[#This Row],[Admin Hours]]*$AM$2+$AM$3,"")</f>
        <v/>
      </c>
      <c r="AN685" s="40">
        <f>SUMIFS(DaybyDay[Est-Admin-Payroll],DaybyDay[Date],"&gt;="&amp;$C$5,DaybyDay[RowYear],"&gt;="&amp;$C$4,DaybyDay[Date],"&lt;="&amp;DaybyDay[[#This Row],[Date]])</f>
        <v>0</v>
      </c>
      <c r="AO685" s="41" t="str">
        <f>IF(AND(DaybyDay[[#This Row],[_Space]],ISNUMBER(DaybyDay[[#This Row],[Admin Hours]])),DaybyDay[[#This Row],[Est-Admin-Payroll]]/(DaybyDay[[#This Row],[Service-Actuals]]+DaybyDay[[#This Row],[Retail-Actuals]]),"")</f>
        <v/>
      </c>
      <c r="AP685" s="41" t="e">
        <f>DaybyDay[[#This Row],[Estimated-Payroll-Rollup]]/DaybyDay[[#This Row],[Simple-Forecast]]</f>
        <v>#DIV/0!</v>
      </c>
      <c r="AQ6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5" s="77"/>
      <c r="AS685" s="40" t="str">
        <f>IF(DaybyDay[[#This Row],[Retail Hours]]&gt;0,DaybyDay[[#This Row],[Retail Hours]]*$AS$2,"")</f>
        <v/>
      </c>
      <c r="AT685" s="40">
        <f>SUMIFS(DaybyDay[Est-Retail-Payroll],DaybyDay[Date],"&gt;="&amp;$C$5,DaybyDay[RowYear],"&gt;="&amp;$C$4,DaybyDay[Date],"&lt;="&amp;DaybyDay[[#This Row],[Date]])</f>
        <v>0</v>
      </c>
      <c r="AU685" s="82" t="str">
        <f>IF(AND(DaybyDay[[#This Row],[_Space]],ISNUMBER(DaybyDay[[#This Row],[Retail Hours]])),DaybyDay[[#This Row],[Est-Retail-Payroll]]/(DaybyDay[[#This Row],[Retail-Actuals]]),"")</f>
        <v/>
      </c>
      <c r="AV685" s="82" t="e">
        <f>DaybyDay[[#This Row],[Est-Retail-PayrollRU]]/DaybyDay[[#This Row],[Simple-Forecast-Retail]]</f>
        <v>#DIV/0!</v>
      </c>
      <c r="AW685" s="8"/>
    </row>
    <row r="686" spans="3:49" hidden="1" x14ac:dyDescent="0.25">
      <c r="C686" s="26" t="str">
        <f>Tools!$C$1</f>
        <v>Example</v>
      </c>
      <c r="D686" s="27" t="s">
        <v>78</v>
      </c>
      <c r="E686" s="28">
        <v>2018</v>
      </c>
      <c r="F686" s="28">
        <f>MATCH(DaybyDay[[#This Row],[RowMonth]],Table3[SummaryMonth],0)</f>
        <v>11</v>
      </c>
      <c r="G686" s="29">
        <f>MATCH(DaybyDay[[#This Row],[LY-Date]],DaybyDay[Date],0)</f>
        <v>316</v>
      </c>
      <c r="H686" s="30">
        <f>WEEKDAY(DaybyDay[[#This Row],[Date]])</f>
        <v>1</v>
      </c>
      <c r="I686" s="31">
        <v>43415</v>
      </c>
      <c r="J686" s="74">
        <v>36</v>
      </c>
      <c r="K686" s="32">
        <f>SUMIFS(BudgetSeasonality[365 Seasonality],BudgetSeasonality[MonthAdjustment],DaybyDay[[#This Row],[Date]])*SUMIFS(Budgets[Service-Budget],Budgets[BudgetMonth],DaybyDay[[#This Row],[RowMonth]],Budgets[BudgetYear],DaybyDay[[#This Row],[RowYear]])</f>
        <v>8450.8797445286818</v>
      </c>
      <c r="L686" s="75">
        <v>8372</v>
      </c>
      <c r="M686" s="32">
        <f>INDEX(BudgetSeasonality[365 Seasonality],MATCH(DaybyDay[[#This Row],[Date]],BudgetSeasonality[MonthAdjustment],0))*SUMIFS(Budgets[Retail-Budget],Budgets[BudgetMonth],DaybyDay[[#This Row],[RowMonth]],Budgets[BudgetYear],DaybyDay[[#This Row],[RowYear]])</f>
        <v>2390.4427517270806</v>
      </c>
      <c r="N686" s="75">
        <v>831</v>
      </c>
      <c r="O686" s="33">
        <f>SUMIFS(DaybyDay[Service-Budgets],DaybyDay[Date],"&gt;="&amp;$C$5,DaybyDay[RowYear],"&gt;="&amp;$C$4,DaybyDay[Date],"&lt;="&amp;DaybyDay[[#This Row],[Date]])</f>
        <v>0</v>
      </c>
      <c r="P686" s="33">
        <f>SUMIFS(DaybyDay[Retail-Budgets],DaybyDay[Date],"&gt;="&amp;$C$5,DaybyDay[RowYear],"&gt;="&amp;$C$4,DaybyDay[Date],"&lt;="&amp;DaybyDay[[#This Row],[Date]])</f>
        <v>0</v>
      </c>
      <c r="Q686" s="34">
        <f>SUMIFS(DaybyDay[Service-Actuals],DaybyDay[Date],"&gt;="&amp;$C$5,DaybyDay[RowYear],"&gt;="&amp;$C$4,DaybyDay[Date],"&lt;="&amp;DaybyDay[[#This Row],[Date]])</f>
        <v>0</v>
      </c>
      <c r="R686" s="34">
        <f>SUMIFS(DaybyDay[Retail-Actuals],DaybyDay[Date],"&gt;="&amp;$C$5,DaybyDay[RowYear],"&gt;="&amp;$C$4,DaybyDay[Date],"&lt;="&amp;DaybyDay[[#This Row],[Date]])</f>
        <v>0</v>
      </c>
      <c r="S686" s="35">
        <f>SUMIFS(DaybyDay[Service-LY],DaybyDay[Date],"&gt;="&amp;$C$5,DaybyDay[RowYear],"&gt;="&amp;$C$4,DaybyDay[Date],"&lt;="&amp;DaybyDay[[#This Row],[Date]])</f>
        <v>0</v>
      </c>
      <c r="T686" s="35">
        <f>SUMIFS(DaybyDay[Retail-LY],DaybyDay[Date],"&gt;="&amp;$C$5,DaybyDay[RowYear],"&gt;="&amp;$C$4,DaybyDay[Date],"&lt;="&amp;DaybyDay[[#This Row],[Date]])</f>
        <v>0</v>
      </c>
      <c r="U686" s="32">
        <f>DaybyDay[[#This Row],[Serv-Bud-RU]]+DaybyDay[[#This Row],[Ret-Bud-RU]]</f>
        <v>0</v>
      </c>
      <c r="V686" s="32">
        <f>DaybyDay[[#This Row],[Serv-Act-RU]]+DaybyDay[[#This Row],[Ret-Act-RU]]</f>
        <v>0</v>
      </c>
      <c r="W686" s="36">
        <f>IF(DaybyDay[[#This Row],[_Space]],IFERROR(
((DaybyDay[[#This Row],[Actual-Rollup]]-DaybyDay[[#This Row],[Budget-Rollup]])/DaybyDay[[#This Row],[Budget-Rollup]]),0),"")</f>
        <v>0</v>
      </c>
      <c r="X686" t="b">
        <f>NOT(AND(ISBLANK(DaybyDay[[#This Row],[Appts]]),ISBLANK(DaybyDay[[#This Row],[Service-Actuals]]),ISBLANK(DaybyDay[[#This Row],[Retail-Actuals]])))</f>
        <v>1</v>
      </c>
      <c r="Y686" s="36">
        <f>IF(DaybyDay[[#This Row],[_Space]],IFERROR(
((DaybyDay[[#This Row],[Actual-Rollup]]-DaybyDay[[#This Row],[LY-Rollup]])/DaybyDay[[#This Row],[LY-Rollup]]),0),"")</f>
        <v>0</v>
      </c>
      <c r="Z686"/>
      <c r="AA686" s="37" t="e">
        <f>IF(DaybyDay[[#This Row],[_Space]],DaybyDay[[#This Row],[Ret-Act-RU]]/DaybyDay[[#This Row],[Serv-Act-RU]],"")</f>
        <v>#DIV/0!</v>
      </c>
      <c r="AB686" s="50" t="e">
        <f>IF(DaybyDay[[#This Row],[_Space]],DaybyDay[[#This Row],[RETPEN-Act]]/DaybyDay[[#This Row],[RETPEN-Bud]],"")</f>
        <v>#DIV/0!</v>
      </c>
      <c r="AC686" s="37" t="e">
        <f>IF(DaybyDay[[#This Row],[_Space]],DaybyDay[[#This Row],[Ret-Bud-RU]]/DaybyDay[[#This Row],[Serv-Bud-RU]],"")</f>
        <v>#DIV/0!</v>
      </c>
      <c r="AD686" s="37" t="e">
        <f>IF(DaybyDay[[#This Row],[_Space]],DaybyDay[[#This Row],[Ret-LY-RU]]/DaybyDay[[#This Row],[Serv-LY-RU]],"")</f>
        <v>#DIV/0!</v>
      </c>
      <c r="AE686" s="30">
        <f>WEEKDAY(DaybyDay[[#This Row],[LY-Date]])</f>
        <v>1</v>
      </c>
      <c r="AF686" s="38">
        <f>$E$2+_xlfn.DAYS(DaybyDay[[#This Row],[Date]],minDate)</f>
        <v>43051</v>
      </c>
      <c r="AG686" s="39" cm="1">
        <f t="array" ref="AG686">IFERROR(INDEX(DaybyDay[],DaybyDay[[#This Row],[FORM_MATCH_HELPER]],8),"")</f>
        <v>35</v>
      </c>
      <c r="AH686" s="39" cm="1">
        <f t="array" ref="AH686">IFERROR(INDEX(DaybyDay[],DaybyDay[[#This Row],[FORM_MATCH_HELPER]],10),"")</f>
        <v>7811</v>
      </c>
      <c r="AI686" s="39" cm="1">
        <f t="array" ref="AI686">IFERROR(INDEX(DaybyDay[],DaybyDay[[#This Row],[FORM_MATCH_HELPER]],12),"")</f>
        <v>730.79</v>
      </c>
      <c r="AJ686" s="32">
        <f>IFERROR(DaybyDay[[#This Row],[Serv-LY-RU]]+DaybyDay[[#This Row],[Ret-LY-RU]],"")</f>
        <v>0</v>
      </c>
      <c r="AK6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6" s="77"/>
      <c r="AM686" s="40" t="str">
        <f>IF(DaybyDay[[#This Row],[Admin Hours]]&gt;0,DaybyDay[[#This Row],[Admin Hours]]*$AM$2+$AM$3,"")</f>
        <v/>
      </c>
      <c r="AN686" s="40">
        <f>SUMIFS(DaybyDay[Est-Admin-Payroll],DaybyDay[Date],"&gt;="&amp;$C$5,DaybyDay[RowYear],"&gt;="&amp;$C$4,DaybyDay[Date],"&lt;="&amp;DaybyDay[[#This Row],[Date]])</f>
        <v>0</v>
      </c>
      <c r="AO686" s="41" t="str">
        <f>IF(AND(DaybyDay[[#This Row],[_Space]],ISNUMBER(DaybyDay[[#This Row],[Admin Hours]])),DaybyDay[[#This Row],[Est-Admin-Payroll]]/(DaybyDay[[#This Row],[Service-Actuals]]+DaybyDay[[#This Row],[Retail-Actuals]]),"")</f>
        <v/>
      </c>
      <c r="AP686" s="41" t="e">
        <f>DaybyDay[[#This Row],[Estimated-Payroll-Rollup]]/DaybyDay[[#This Row],[Simple-Forecast]]</f>
        <v>#DIV/0!</v>
      </c>
      <c r="AQ6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6" s="77"/>
      <c r="AS686" s="40" t="str">
        <f>IF(DaybyDay[[#This Row],[Retail Hours]]&gt;0,DaybyDay[[#This Row],[Retail Hours]]*$AS$2,"")</f>
        <v/>
      </c>
      <c r="AT686" s="40">
        <f>SUMIFS(DaybyDay[Est-Retail-Payroll],DaybyDay[Date],"&gt;="&amp;$C$5,DaybyDay[RowYear],"&gt;="&amp;$C$4,DaybyDay[Date],"&lt;="&amp;DaybyDay[[#This Row],[Date]])</f>
        <v>0</v>
      </c>
      <c r="AU686" s="82" t="str">
        <f>IF(AND(DaybyDay[[#This Row],[_Space]],ISNUMBER(DaybyDay[[#This Row],[Retail Hours]])),DaybyDay[[#This Row],[Est-Retail-Payroll]]/(DaybyDay[[#This Row],[Retail-Actuals]]),"")</f>
        <v/>
      </c>
      <c r="AV686" s="82" t="e">
        <f>DaybyDay[[#This Row],[Est-Retail-PayrollRU]]/DaybyDay[[#This Row],[Simple-Forecast-Retail]]</f>
        <v>#DIV/0!</v>
      </c>
      <c r="AW686" s="8"/>
    </row>
    <row r="687" spans="3:49" hidden="1" x14ac:dyDescent="0.25">
      <c r="C687" s="26" t="str">
        <f>Tools!$C$1</f>
        <v>Example</v>
      </c>
      <c r="D687" s="27" t="s">
        <v>78</v>
      </c>
      <c r="E687" s="28">
        <v>2018</v>
      </c>
      <c r="F687" s="28">
        <f>MATCH(DaybyDay[[#This Row],[RowMonth]],Table3[SummaryMonth],0)</f>
        <v>11</v>
      </c>
      <c r="G687" s="29">
        <f>MATCH(DaybyDay[[#This Row],[LY-Date]],DaybyDay[Date],0)</f>
        <v>317</v>
      </c>
      <c r="H687" s="30">
        <f>WEEKDAY(DaybyDay[[#This Row],[Date]])</f>
        <v>2</v>
      </c>
      <c r="I687" s="31">
        <v>43416</v>
      </c>
      <c r="J687" s="74">
        <v>18</v>
      </c>
      <c r="K687" s="32">
        <f>SUMIFS(BudgetSeasonality[365 Seasonality],BudgetSeasonality[MonthAdjustment],DaybyDay[[#This Row],[Date]])*SUMIFS(Budgets[Service-Budget],Budgets[BudgetMonth],DaybyDay[[#This Row],[RowMonth]],Budgets[BudgetYear],DaybyDay[[#This Row],[RowYear]])</f>
        <v>5232.5867686222882</v>
      </c>
      <c r="L687" s="75">
        <v>5077</v>
      </c>
      <c r="M687" s="32">
        <f>INDEX(BudgetSeasonality[365 Seasonality],MATCH(DaybyDay[[#This Row],[Date]],BudgetSeasonality[MonthAdjustment],0))*SUMIFS(Budgets[Retail-Budget],Budgets[BudgetMonth],DaybyDay[[#This Row],[RowMonth]],Budgets[BudgetYear],DaybyDay[[#This Row],[RowYear]])</f>
        <v>1480.1061536740369</v>
      </c>
      <c r="N687" s="75">
        <v>2363</v>
      </c>
      <c r="O687" s="33">
        <f>SUMIFS(DaybyDay[Service-Budgets],DaybyDay[Date],"&gt;="&amp;$C$5,DaybyDay[RowYear],"&gt;="&amp;$C$4,DaybyDay[Date],"&lt;="&amp;DaybyDay[[#This Row],[Date]])</f>
        <v>0</v>
      </c>
      <c r="P687" s="33">
        <f>SUMIFS(DaybyDay[Retail-Budgets],DaybyDay[Date],"&gt;="&amp;$C$5,DaybyDay[RowYear],"&gt;="&amp;$C$4,DaybyDay[Date],"&lt;="&amp;DaybyDay[[#This Row],[Date]])</f>
        <v>0</v>
      </c>
      <c r="Q687" s="34">
        <f>SUMIFS(DaybyDay[Service-Actuals],DaybyDay[Date],"&gt;="&amp;$C$5,DaybyDay[RowYear],"&gt;="&amp;$C$4,DaybyDay[Date],"&lt;="&amp;DaybyDay[[#This Row],[Date]])</f>
        <v>0</v>
      </c>
      <c r="R687" s="34">
        <f>SUMIFS(DaybyDay[Retail-Actuals],DaybyDay[Date],"&gt;="&amp;$C$5,DaybyDay[RowYear],"&gt;="&amp;$C$4,DaybyDay[Date],"&lt;="&amp;DaybyDay[[#This Row],[Date]])</f>
        <v>0</v>
      </c>
      <c r="S687" s="35">
        <f>SUMIFS(DaybyDay[Service-LY],DaybyDay[Date],"&gt;="&amp;$C$5,DaybyDay[RowYear],"&gt;="&amp;$C$4,DaybyDay[Date],"&lt;="&amp;DaybyDay[[#This Row],[Date]])</f>
        <v>0</v>
      </c>
      <c r="T687" s="35">
        <f>SUMIFS(DaybyDay[Retail-LY],DaybyDay[Date],"&gt;="&amp;$C$5,DaybyDay[RowYear],"&gt;="&amp;$C$4,DaybyDay[Date],"&lt;="&amp;DaybyDay[[#This Row],[Date]])</f>
        <v>0</v>
      </c>
      <c r="U687" s="32">
        <f>DaybyDay[[#This Row],[Serv-Bud-RU]]+DaybyDay[[#This Row],[Ret-Bud-RU]]</f>
        <v>0</v>
      </c>
      <c r="V687" s="32">
        <f>DaybyDay[[#This Row],[Serv-Act-RU]]+DaybyDay[[#This Row],[Ret-Act-RU]]</f>
        <v>0</v>
      </c>
      <c r="W687" s="36">
        <f>IF(DaybyDay[[#This Row],[_Space]],IFERROR(
((DaybyDay[[#This Row],[Actual-Rollup]]-DaybyDay[[#This Row],[Budget-Rollup]])/DaybyDay[[#This Row],[Budget-Rollup]]),0),"")</f>
        <v>0</v>
      </c>
      <c r="X687" t="b">
        <f>NOT(AND(ISBLANK(DaybyDay[[#This Row],[Appts]]),ISBLANK(DaybyDay[[#This Row],[Service-Actuals]]),ISBLANK(DaybyDay[[#This Row],[Retail-Actuals]])))</f>
        <v>1</v>
      </c>
      <c r="Y687" s="36">
        <f>IF(DaybyDay[[#This Row],[_Space]],IFERROR(
((DaybyDay[[#This Row],[Actual-Rollup]]-DaybyDay[[#This Row],[LY-Rollup]])/DaybyDay[[#This Row],[LY-Rollup]]),0),"")</f>
        <v>0</v>
      </c>
      <c r="Z687"/>
      <c r="AA687" s="37" t="e">
        <f>IF(DaybyDay[[#This Row],[_Space]],DaybyDay[[#This Row],[Ret-Act-RU]]/DaybyDay[[#This Row],[Serv-Act-RU]],"")</f>
        <v>#DIV/0!</v>
      </c>
      <c r="AB687" s="50" t="e">
        <f>IF(DaybyDay[[#This Row],[_Space]],DaybyDay[[#This Row],[RETPEN-Act]]/DaybyDay[[#This Row],[RETPEN-Bud]],"")</f>
        <v>#DIV/0!</v>
      </c>
      <c r="AC687" s="37" t="e">
        <f>IF(DaybyDay[[#This Row],[_Space]],DaybyDay[[#This Row],[Ret-Bud-RU]]/DaybyDay[[#This Row],[Serv-Bud-RU]],"")</f>
        <v>#DIV/0!</v>
      </c>
      <c r="AD687" s="37" t="e">
        <f>IF(DaybyDay[[#This Row],[_Space]],DaybyDay[[#This Row],[Ret-LY-RU]]/DaybyDay[[#This Row],[Serv-LY-RU]],"")</f>
        <v>#DIV/0!</v>
      </c>
      <c r="AE687" s="30">
        <f>WEEKDAY(DaybyDay[[#This Row],[LY-Date]])</f>
        <v>2</v>
      </c>
      <c r="AF687" s="38">
        <f>$E$2+_xlfn.DAYS(DaybyDay[[#This Row],[Date]],minDate)</f>
        <v>43052</v>
      </c>
      <c r="AG687" s="39" cm="1">
        <f t="array" ref="AG687">IFERROR(INDEX(DaybyDay[],DaybyDay[[#This Row],[FORM_MATCH_HELPER]],8),"")</f>
        <v>13</v>
      </c>
      <c r="AH687" s="39" cm="1">
        <f t="array" ref="AH687">IFERROR(INDEX(DaybyDay[],DaybyDay[[#This Row],[FORM_MATCH_HELPER]],10),"")</f>
        <v>2694.6</v>
      </c>
      <c r="AI687" s="39" cm="1">
        <f t="array" ref="AI687">IFERROR(INDEX(DaybyDay[],DaybyDay[[#This Row],[FORM_MATCH_HELPER]],12),"")</f>
        <v>497</v>
      </c>
      <c r="AJ687" s="32">
        <f>IFERROR(DaybyDay[[#This Row],[Serv-LY-RU]]+DaybyDay[[#This Row],[Ret-LY-RU]],"")</f>
        <v>0</v>
      </c>
      <c r="AK6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7" s="77"/>
      <c r="AM687" s="40" t="str">
        <f>IF(DaybyDay[[#This Row],[Admin Hours]]&gt;0,DaybyDay[[#This Row],[Admin Hours]]*$AM$2+$AM$3,"")</f>
        <v/>
      </c>
      <c r="AN687" s="40">
        <f>SUMIFS(DaybyDay[Est-Admin-Payroll],DaybyDay[Date],"&gt;="&amp;$C$5,DaybyDay[RowYear],"&gt;="&amp;$C$4,DaybyDay[Date],"&lt;="&amp;DaybyDay[[#This Row],[Date]])</f>
        <v>0</v>
      </c>
      <c r="AO687" s="41" t="str">
        <f>IF(AND(DaybyDay[[#This Row],[_Space]],ISNUMBER(DaybyDay[[#This Row],[Admin Hours]])),DaybyDay[[#This Row],[Est-Admin-Payroll]]/(DaybyDay[[#This Row],[Service-Actuals]]+DaybyDay[[#This Row],[Retail-Actuals]]),"")</f>
        <v/>
      </c>
      <c r="AP687" s="41" t="e">
        <f>DaybyDay[[#This Row],[Estimated-Payroll-Rollup]]/DaybyDay[[#This Row],[Simple-Forecast]]</f>
        <v>#DIV/0!</v>
      </c>
      <c r="AQ6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7" s="77"/>
      <c r="AS687" s="40" t="str">
        <f>IF(DaybyDay[[#This Row],[Retail Hours]]&gt;0,DaybyDay[[#This Row],[Retail Hours]]*$AS$2,"")</f>
        <v/>
      </c>
      <c r="AT687" s="40">
        <f>SUMIFS(DaybyDay[Est-Retail-Payroll],DaybyDay[Date],"&gt;="&amp;$C$5,DaybyDay[RowYear],"&gt;="&amp;$C$4,DaybyDay[Date],"&lt;="&amp;DaybyDay[[#This Row],[Date]])</f>
        <v>0</v>
      </c>
      <c r="AU687" s="82" t="str">
        <f>IF(AND(DaybyDay[[#This Row],[_Space]],ISNUMBER(DaybyDay[[#This Row],[Retail Hours]])),DaybyDay[[#This Row],[Est-Retail-Payroll]]/(DaybyDay[[#This Row],[Retail-Actuals]]),"")</f>
        <v/>
      </c>
      <c r="AV687" s="82" t="e">
        <f>DaybyDay[[#This Row],[Est-Retail-PayrollRU]]/DaybyDay[[#This Row],[Simple-Forecast-Retail]]</f>
        <v>#DIV/0!</v>
      </c>
      <c r="AW687" s="8"/>
    </row>
    <row r="688" spans="3:49" hidden="1" x14ac:dyDescent="0.25">
      <c r="C688" s="26" t="str">
        <f>Tools!$C$1</f>
        <v>Example</v>
      </c>
      <c r="D688" s="27" t="s">
        <v>78</v>
      </c>
      <c r="E688" s="28">
        <v>2018</v>
      </c>
      <c r="F688" s="28">
        <f>MATCH(DaybyDay[[#This Row],[RowMonth]],Table3[SummaryMonth],0)</f>
        <v>11</v>
      </c>
      <c r="G688" s="29">
        <f>MATCH(DaybyDay[[#This Row],[LY-Date]],DaybyDay[Date],0)</f>
        <v>318</v>
      </c>
      <c r="H688" s="30">
        <f>WEEKDAY(DaybyDay[[#This Row],[Date]])</f>
        <v>3</v>
      </c>
      <c r="I688" s="31">
        <v>43417</v>
      </c>
      <c r="J688" s="74">
        <v>18</v>
      </c>
      <c r="K688" s="32">
        <f>SUMIFS(BudgetSeasonality[365 Seasonality],BudgetSeasonality[MonthAdjustment],DaybyDay[[#This Row],[Date]])*SUMIFS(Budgets[Service-Budget],Budgets[BudgetMonth],DaybyDay[[#This Row],[RowMonth]],Budgets[BudgetYear],DaybyDay[[#This Row],[RowYear]])</f>
        <v>5367.740798722738</v>
      </c>
      <c r="L688" s="75">
        <v>4153.84</v>
      </c>
      <c r="M688" s="32">
        <f>INDEX(BudgetSeasonality[365 Seasonality],MATCH(DaybyDay[[#This Row],[Date]],BudgetSeasonality[MonthAdjustment],0))*SUMIFS(Budgets[Retail-Budget],Budgets[BudgetMonth],DaybyDay[[#This Row],[RowMonth]],Budgets[BudgetYear],DaybyDay[[#This Row],[RowYear]])</f>
        <v>1518.3362529521025</v>
      </c>
      <c r="N688" s="75">
        <v>790</v>
      </c>
      <c r="O688" s="33">
        <f>SUMIFS(DaybyDay[Service-Budgets],DaybyDay[Date],"&gt;="&amp;$C$5,DaybyDay[RowYear],"&gt;="&amp;$C$4,DaybyDay[Date],"&lt;="&amp;DaybyDay[[#This Row],[Date]])</f>
        <v>0</v>
      </c>
      <c r="P688" s="33">
        <f>SUMIFS(DaybyDay[Retail-Budgets],DaybyDay[Date],"&gt;="&amp;$C$5,DaybyDay[RowYear],"&gt;="&amp;$C$4,DaybyDay[Date],"&lt;="&amp;DaybyDay[[#This Row],[Date]])</f>
        <v>0</v>
      </c>
      <c r="Q688" s="34">
        <f>SUMIFS(DaybyDay[Service-Actuals],DaybyDay[Date],"&gt;="&amp;$C$5,DaybyDay[RowYear],"&gt;="&amp;$C$4,DaybyDay[Date],"&lt;="&amp;DaybyDay[[#This Row],[Date]])</f>
        <v>0</v>
      </c>
      <c r="R688" s="34">
        <f>SUMIFS(DaybyDay[Retail-Actuals],DaybyDay[Date],"&gt;="&amp;$C$5,DaybyDay[RowYear],"&gt;="&amp;$C$4,DaybyDay[Date],"&lt;="&amp;DaybyDay[[#This Row],[Date]])</f>
        <v>0</v>
      </c>
      <c r="S688" s="35">
        <f>SUMIFS(DaybyDay[Service-LY],DaybyDay[Date],"&gt;="&amp;$C$5,DaybyDay[RowYear],"&gt;="&amp;$C$4,DaybyDay[Date],"&lt;="&amp;DaybyDay[[#This Row],[Date]])</f>
        <v>0</v>
      </c>
      <c r="T688" s="35">
        <f>SUMIFS(DaybyDay[Retail-LY],DaybyDay[Date],"&gt;="&amp;$C$5,DaybyDay[RowYear],"&gt;="&amp;$C$4,DaybyDay[Date],"&lt;="&amp;DaybyDay[[#This Row],[Date]])</f>
        <v>0</v>
      </c>
      <c r="U688" s="32">
        <f>DaybyDay[[#This Row],[Serv-Bud-RU]]+DaybyDay[[#This Row],[Ret-Bud-RU]]</f>
        <v>0</v>
      </c>
      <c r="V688" s="32">
        <f>DaybyDay[[#This Row],[Serv-Act-RU]]+DaybyDay[[#This Row],[Ret-Act-RU]]</f>
        <v>0</v>
      </c>
      <c r="W688" s="36">
        <f>IF(DaybyDay[[#This Row],[_Space]],IFERROR(
((DaybyDay[[#This Row],[Actual-Rollup]]-DaybyDay[[#This Row],[Budget-Rollup]])/DaybyDay[[#This Row],[Budget-Rollup]]),0),"")</f>
        <v>0</v>
      </c>
      <c r="X688" t="b">
        <f>NOT(AND(ISBLANK(DaybyDay[[#This Row],[Appts]]),ISBLANK(DaybyDay[[#This Row],[Service-Actuals]]),ISBLANK(DaybyDay[[#This Row],[Retail-Actuals]])))</f>
        <v>1</v>
      </c>
      <c r="Y688" s="36">
        <f>IF(DaybyDay[[#This Row],[_Space]],IFERROR(
((DaybyDay[[#This Row],[Actual-Rollup]]-DaybyDay[[#This Row],[LY-Rollup]])/DaybyDay[[#This Row],[LY-Rollup]]),0),"")</f>
        <v>0</v>
      </c>
      <c r="Z688"/>
      <c r="AA688" s="37" t="e">
        <f>IF(DaybyDay[[#This Row],[_Space]],DaybyDay[[#This Row],[Ret-Act-RU]]/DaybyDay[[#This Row],[Serv-Act-RU]],"")</f>
        <v>#DIV/0!</v>
      </c>
      <c r="AB688" s="50" t="e">
        <f>IF(DaybyDay[[#This Row],[_Space]],DaybyDay[[#This Row],[RETPEN-Act]]/DaybyDay[[#This Row],[RETPEN-Bud]],"")</f>
        <v>#DIV/0!</v>
      </c>
      <c r="AC688" s="37" t="e">
        <f>IF(DaybyDay[[#This Row],[_Space]],DaybyDay[[#This Row],[Ret-Bud-RU]]/DaybyDay[[#This Row],[Serv-Bud-RU]],"")</f>
        <v>#DIV/0!</v>
      </c>
      <c r="AD688" s="37" t="e">
        <f>IF(DaybyDay[[#This Row],[_Space]],DaybyDay[[#This Row],[Ret-LY-RU]]/DaybyDay[[#This Row],[Serv-LY-RU]],"")</f>
        <v>#DIV/0!</v>
      </c>
      <c r="AE688" s="30">
        <f>WEEKDAY(DaybyDay[[#This Row],[LY-Date]])</f>
        <v>3</v>
      </c>
      <c r="AF688" s="38">
        <f>$E$2+_xlfn.DAYS(DaybyDay[[#This Row],[Date]],minDate)</f>
        <v>43053</v>
      </c>
      <c r="AG688" s="39" cm="1">
        <f t="array" ref="AG688">IFERROR(INDEX(DaybyDay[],DaybyDay[[#This Row],[FORM_MATCH_HELPER]],8),"")</f>
        <v>17</v>
      </c>
      <c r="AH688" s="39" cm="1">
        <f t="array" ref="AH688">IFERROR(INDEX(DaybyDay[],DaybyDay[[#This Row],[FORM_MATCH_HELPER]],10),"")</f>
        <v>2999.6</v>
      </c>
      <c r="AI688" s="39" cm="1">
        <f t="array" ref="AI688">IFERROR(INDEX(DaybyDay[],DaybyDay[[#This Row],[FORM_MATCH_HELPER]],12),"")</f>
        <v>4780.5</v>
      </c>
      <c r="AJ688" s="32">
        <f>IFERROR(DaybyDay[[#This Row],[Serv-LY-RU]]+DaybyDay[[#This Row],[Ret-LY-RU]],"")</f>
        <v>0</v>
      </c>
      <c r="AK6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8" s="77"/>
      <c r="AM688" s="40" t="str">
        <f>IF(DaybyDay[[#This Row],[Admin Hours]]&gt;0,DaybyDay[[#This Row],[Admin Hours]]*$AM$2+$AM$3,"")</f>
        <v/>
      </c>
      <c r="AN688" s="40">
        <f>SUMIFS(DaybyDay[Est-Admin-Payroll],DaybyDay[Date],"&gt;="&amp;$C$5,DaybyDay[RowYear],"&gt;="&amp;$C$4,DaybyDay[Date],"&lt;="&amp;DaybyDay[[#This Row],[Date]])</f>
        <v>0</v>
      </c>
      <c r="AO688" s="41" t="str">
        <f>IF(AND(DaybyDay[[#This Row],[_Space]],ISNUMBER(DaybyDay[[#This Row],[Admin Hours]])),DaybyDay[[#This Row],[Est-Admin-Payroll]]/(DaybyDay[[#This Row],[Service-Actuals]]+DaybyDay[[#This Row],[Retail-Actuals]]),"")</f>
        <v/>
      </c>
      <c r="AP688" s="41" t="e">
        <f>DaybyDay[[#This Row],[Estimated-Payroll-Rollup]]/DaybyDay[[#This Row],[Simple-Forecast]]</f>
        <v>#DIV/0!</v>
      </c>
      <c r="AQ6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8" s="77"/>
      <c r="AS688" s="40" t="str">
        <f>IF(DaybyDay[[#This Row],[Retail Hours]]&gt;0,DaybyDay[[#This Row],[Retail Hours]]*$AS$2,"")</f>
        <v/>
      </c>
      <c r="AT688" s="40">
        <f>SUMIFS(DaybyDay[Est-Retail-Payroll],DaybyDay[Date],"&gt;="&amp;$C$5,DaybyDay[RowYear],"&gt;="&amp;$C$4,DaybyDay[Date],"&lt;="&amp;DaybyDay[[#This Row],[Date]])</f>
        <v>0</v>
      </c>
      <c r="AU688" s="82" t="str">
        <f>IF(AND(DaybyDay[[#This Row],[_Space]],ISNUMBER(DaybyDay[[#This Row],[Retail Hours]])),DaybyDay[[#This Row],[Est-Retail-Payroll]]/(DaybyDay[[#This Row],[Retail-Actuals]]),"")</f>
        <v/>
      </c>
      <c r="AV688" s="82" t="e">
        <f>DaybyDay[[#This Row],[Est-Retail-PayrollRU]]/DaybyDay[[#This Row],[Simple-Forecast-Retail]]</f>
        <v>#DIV/0!</v>
      </c>
      <c r="AW688" s="8"/>
    </row>
    <row r="689" spans="3:49" hidden="1" x14ac:dyDescent="0.25">
      <c r="C689" s="26" t="str">
        <f>Tools!$C$1</f>
        <v>Example</v>
      </c>
      <c r="D689" s="27" t="s">
        <v>78</v>
      </c>
      <c r="E689" s="28">
        <v>2018</v>
      </c>
      <c r="F689" s="28">
        <f>MATCH(DaybyDay[[#This Row],[RowMonth]],Table3[SummaryMonth],0)</f>
        <v>11</v>
      </c>
      <c r="G689" s="29">
        <f>MATCH(DaybyDay[[#This Row],[LY-Date]],DaybyDay[Date],0)</f>
        <v>319</v>
      </c>
      <c r="H689" s="30">
        <f>WEEKDAY(DaybyDay[[#This Row],[Date]])</f>
        <v>4</v>
      </c>
      <c r="I689" s="31">
        <v>43418</v>
      </c>
      <c r="J689" s="74">
        <v>18</v>
      </c>
      <c r="K689" s="32">
        <f>SUMIFS(BudgetSeasonality[365 Seasonality],BudgetSeasonality[MonthAdjustment],DaybyDay[[#This Row],[Date]])*SUMIFS(Budgets[Service-Budget],Budgets[BudgetMonth],DaybyDay[[#This Row],[RowMonth]],Budgets[BudgetYear],DaybyDay[[#This Row],[RowYear]])</f>
        <v>6086.7750329087057</v>
      </c>
      <c r="L689" s="75">
        <v>3822</v>
      </c>
      <c r="M689" s="32">
        <f>INDEX(BudgetSeasonality[365 Seasonality],MATCH(DaybyDay[[#This Row],[Date]],BudgetSeasonality[MonthAdjustment],0))*SUMIFS(Budgets[Retail-Budget],Budgets[BudgetMonth],DaybyDay[[#This Row],[RowMonth]],Budgets[BudgetYear],DaybyDay[[#This Row],[RowYear]])</f>
        <v>1721.7245658039426</v>
      </c>
      <c r="N689" s="75">
        <v>1928.1</v>
      </c>
      <c r="O689" s="33">
        <f>SUMIFS(DaybyDay[Service-Budgets],DaybyDay[Date],"&gt;="&amp;$C$5,DaybyDay[RowYear],"&gt;="&amp;$C$4,DaybyDay[Date],"&lt;="&amp;DaybyDay[[#This Row],[Date]])</f>
        <v>0</v>
      </c>
      <c r="P689" s="33">
        <f>SUMIFS(DaybyDay[Retail-Budgets],DaybyDay[Date],"&gt;="&amp;$C$5,DaybyDay[RowYear],"&gt;="&amp;$C$4,DaybyDay[Date],"&lt;="&amp;DaybyDay[[#This Row],[Date]])</f>
        <v>0</v>
      </c>
      <c r="Q689" s="34">
        <f>SUMIFS(DaybyDay[Service-Actuals],DaybyDay[Date],"&gt;="&amp;$C$5,DaybyDay[RowYear],"&gt;="&amp;$C$4,DaybyDay[Date],"&lt;="&amp;DaybyDay[[#This Row],[Date]])</f>
        <v>0</v>
      </c>
      <c r="R689" s="34">
        <f>SUMIFS(DaybyDay[Retail-Actuals],DaybyDay[Date],"&gt;="&amp;$C$5,DaybyDay[RowYear],"&gt;="&amp;$C$4,DaybyDay[Date],"&lt;="&amp;DaybyDay[[#This Row],[Date]])</f>
        <v>0</v>
      </c>
      <c r="S689" s="35">
        <f>SUMIFS(DaybyDay[Service-LY],DaybyDay[Date],"&gt;="&amp;$C$5,DaybyDay[RowYear],"&gt;="&amp;$C$4,DaybyDay[Date],"&lt;="&amp;DaybyDay[[#This Row],[Date]])</f>
        <v>0</v>
      </c>
      <c r="T689" s="35">
        <f>SUMIFS(DaybyDay[Retail-LY],DaybyDay[Date],"&gt;="&amp;$C$5,DaybyDay[RowYear],"&gt;="&amp;$C$4,DaybyDay[Date],"&lt;="&amp;DaybyDay[[#This Row],[Date]])</f>
        <v>0</v>
      </c>
      <c r="U689" s="32">
        <f>DaybyDay[[#This Row],[Serv-Bud-RU]]+DaybyDay[[#This Row],[Ret-Bud-RU]]</f>
        <v>0</v>
      </c>
      <c r="V689" s="32">
        <f>DaybyDay[[#This Row],[Serv-Act-RU]]+DaybyDay[[#This Row],[Ret-Act-RU]]</f>
        <v>0</v>
      </c>
      <c r="W689" s="36">
        <f>IF(DaybyDay[[#This Row],[_Space]],IFERROR(
((DaybyDay[[#This Row],[Actual-Rollup]]-DaybyDay[[#This Row],[Budget-Rollup]])/DaybyDay[[#This Row],[Budget-Rollup]]),0),"")</f>
        <v>0</v>
      </c>
      <c r="X689" t="b">
        <f>NOT(AND(ISBLANK(DaybyDay[[#This Row],[Appts]]),ISBLANK(DaybyDay[[#This Row],[Service-Actuals]]),ISBLANK(DaybyDay[[#This Row],[Retail-Actuals]])))</f>
        <v>1</v>
      </c>
      <c r="Y689" s="36">
        <f>IF(DaybyDay[[#This Row],[_Space]],IFERROR(
((DaybyDay[[#This Row],[Actual-Rollup]]-DaybyDay[[#This Row],[LY-Rollup]])/DaybyDay[[#This Row],[LY-Rollup]]),0),"")</f>
        <v>0</v>
      </c>
      <c r="Z689"/>
      <c r="AA689" s="37" t="e">
        <f>IF(DaybyDay[[#This Row],[_Space]],DaybyDay[[#This Row],[Ret-Act-RU]]/DaybyDay[[#This Row],[Serv-Act-RU]],"")</f>
        <v>#DIV/0!</v>
      </c>
      <c r="AB689" s="50" t="e">
        <f>IF(DaybyDay[[#This Row],[_Space]],DaybyDay[[#This Row],[RETPEN-Act]]/DaybyDay[[#This Row],[RETPEN-Bud]],"")</f>
        <v>#DIV/0!</v>
      </c>
      <c r="AC689" s="37" t="e">
        <f>IF(DaybyDay[[#This Row],[_Space]],DaybyDay[[#This Row],[Ret-Bud-RU]]/DaybyDay[[#This Row],[Serv-Bud-RU]],"")</f>
        <v>#DIV/0!</v>
      </c>
      <c r="AD689" s="37" t="e">
        <f>IF(DaybyDay[[#This Row],[_Space]],DaybyDay[[#This Row],[Ret-LY-RU]]/DaybyDay[[#This Row],[Serv-LY-RU]],"")</f>
        <v>#DIV/0!</v>
      </c>
      <c r="AE689" s="30">
        <f>WEEKDAY(DaybyDay[[#This Row],[LY-Date]])</f>
        <v>4</v>
      </c>
      <c r="AF689" s="38">
        <f>$E$2+_xlfn.DAYS(DaybyDay[[#This Row],[Date]],minDate)</f>
        <v>43054</v>
      </c>
      <c r="AG689" s="39" cm="1">
        <f t="array" ref="AG689">IFERROR(INDEX(DaybyDay[],DaybyDay[[#This Row],[FORM_MATCH_HELPER]],8),"")</f>
        <v>24</v>
      </c>
      <c r="AH689" s="39" cm="1">
        <f t="array" ref="AH689">IFERROR(INDEX(DaybyDay[],DaybyDay[[#This Row],[FORM_MATCH_HELPER]],10),"")</f>
        <v>4606.8</v>
      </c>
      <c r="AI689" s="39" cm="1">
        <f t="array" ref="AI689">IFERROR(INDEX(DaybyDay[],DaybyDay[[#This Row],[FORM_MATCH_HELPER]],12),"")</f>
        <v>2040.25</v>
      </c>
      <c r="AJ689" s="32">
        <f>IFERROR(DaybyDay[[#This Row],[Serv-LY-RU]]+DaybyDay[[#This Row],[Ret-LY-RU]],"")</f>
        <v>0</v>
      </c>
      <c r="AK6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89" s="77"/>
      <c r="AM689" s="40" t="str">
        <f>IF(DaybyDay[[#This Row],[Admin Hours]]&gt;0,DaybyDay[[#This Row],[Admin Hours]]*$AM$2+$AM$3,"")</f>
        <v/>
      </c>
      <c r="AN689" s="40">
        <f>SUMIFS(DaybyDay[Est-Admin-Payroll],DaybyDay[Date],"&gt;="&amp;$C$5,DaybyDay[RowYear],"&gt;="&amp;$C$4,DaybyDay[Date],"&lt;="&amp;DaybyDay[[#This Row],[Date]])</f>
        <v>0</v>
      </c>
      <c r="AO689" s="41" t="str">
        <f>IF(AND(DaybyDay[[#This Row],[_Space]],ISNUMBER(DaybyDay[[#This Row],[Admin Hours]])),DaybyDay[[#This Row],[Est-Admin-Payroll]]/(DaybyDay[[#This Row],[Service-Actuals]]+DaybyDay[[#This Row],[Retail-Actuals]]),"")</f>
        <v/>
      </c>
      <c r="AP689" s="41" t="e">
        <f>DaybyDay[[#This Row],[Estimated-Payroll-Rollup]]/DaybyDay[[#This Row],[Simple-Forecast]]</f>
        <v>#DIV/0!</v>
      </c>
      <c r="AQ6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89" s="77"/>
      <c r="AS689" s="40" t="str">
        <f>IF(DaybyDay[[#This Row],[Retail Hours]]&gt;0,DaybyDay[[#This Row],[Retail Hours]]*$AS$2,"")</f>
        <v/>
      </c>
      <c r="AT689" s="40">
        <f>SUMIFS(DaybyDay[Est-Retail-Payroll],DaybyDay[Date],"&gt;="&amp;$C$5,DaybyDay[RowYear],"&gt;="&amp;$C$4,DaybyDay[Date],"&lt;="&amp;DaybyDay[[#This Row],[Date]])</f>
        <v>0</v>
      </c>
      <c r="AU689" s="82" t="str">
        <f>IF(AND(DaybyDay[[#This Row],[_Space]],ISNUMBER(DaybyDay[[#This Row],[Retail Hours]])),DaybyDay[[#This Row],[Est-Retail-Payroll]]/(DaybyDay[[#This Row],[Retail-Actuals]]),"")</f>
        <v/>
      </c>
      <c r="AV689" s="82" t="e">
        <f>DaybyDay[[#This Row],[Est-Retail-PayrollRU]]/DaybyDay[[#This Row],[Simple-Forecast-Retail]]</f>
        <v>#DIV/0!</v>
      </c>
      <c r="AW689" s="8"/>
    </row>
    <row r="690" spans="3:49" hidden="1" x14ac:dyDescent="0.25">
      <c r="C690" s="26" t="str">
        <f>Tools!$C$1</f>
        <v>Example</v>
      </c>
      <c r="D690" s="27" t="s">
        <v>78</v>
      </c>
      <c r="E690" s="28">
        <v>2018</v>
      </c>
      <c r="F690" s="28">
        <f>MATCH(DaybyDay[[#This Row],[RowMonth]],Table3[SummaryMonth],0)</f>
        <v>11</v>
      </c>
      <c r="G690" s="29">
        <f>MATCH(DaybyDay[[#This Row],[LY-Date]],DaybyDay[Date],0)</f>
        <v>320</v>
      </c>
      <c r="H690" s="30">
        <f>WEEKDAY(DaybyDay[[#This Row],[Date]])</f>
        <v>5</v>
      </c>
      <c r="I690" s="31">
        <v>43419</v>
      </c>
      <c r="J690" s="74">
        <v>20</v>
      </c>
      <c r="K690" s="32">
        <f>SUMIFS(BudgetSeasonality[365 Seasonality],BudgetSeasonality[MonthAdjustment],DaybyDay[[#This Row],[Date]])*SUMIFS(Budgets[Service-Budget],Budgets[BudgetMonth],DaybyDay[[#This Row],[RowMonth]],Budgets[BudgetYear],DaybyDay[[#This Row],[RowYear]])</f>
        <v>6203.5626929680593</v>
      </c>
      <c r="L690" s="75">
        <v>4692</v>
      </c>
      <c r="M690" s="32">
        <f>INDEX(BudgetSeasonality[365 Seasonality],MATCH(DaybyDay[[#This Row],[Date]],BudgetSeasonality[MonthAdjustment],0))*SUMIFS(Budgets[Retail-Budget],Budgets[BudgetMonth],DaybyDay[[#This Row],[RowMonth]],Budgets[BudgetYear],DaybyDay[[#This Row],[RowYear]])</f>
        <v>1754.7594951745555</v>
      </c>
      <c r="N690" s="75">
        <v>4683.2</v>
      </c>
      <c r="O690" s="33">
        <f>SUMIFS(DaybyDay[Service-Budgets],DaybyDay[Date],"&gt;="&amp;$C$5,DaybyDay[RowYear],"&gt;="&amp;$C$4,DaybyDay[Date],"&lt;="&amp;DaybyDay[[#This Row],[Date]])</f>
        <v>0</v>
      </c>
      <c r="P690" s="33">
        <f>SUMIFS(DaybyDay[Retail-Budgets],DaybyDay[Date],"&gt;="&amp;$C$5,DaybyDay[RowYear],"&gt;="&amp;$C$4,DaybyDay[Date],"&lt;="&amp;DaybyDay[[#This Row],[Date]])</f>
        <v>0</v>
      </c>
      <c r="Q690" s="34">
        <f>SUMIFS(DaybyDay[Service-Actuals],DaybyDay[Date],"&gt;="&amp;$C$5,DaybyDay[RowYear],"&gt;="&amp;$C$4,DaybyDay[Date],"&lt;="&amp;DaybyDay[[#This Row],[Date]])</f>
        <v>0</v>
      </c>
      <c r="R690" s="34">
        <f>SUMIFS(DaybyDay[Retail-Actuals],DaybyDay[Date],"&gt;="&amp;$C$5,DaybyDay[RowYear],"&gt;="&amp;$C$4,DaybyDay[Date],"&lt;="&amp;DaybyDay[[#This Row],[Date]])</f>
        <v>0</v>
      </c>
      <c r="S690" s="35">
        <f>SUMIFS(DaybyDay[Service-LY],DaybyDay[Date],"&gt;="&amp;$C$5,DaybyDay[RowYear],"&gt;="&amp;$C$4,DaybyDay[Date],"&lt;="&amp;DaybyDay[[#This Row],[Date]])</f>
        <v>0</v>
      </c>
      <c r="T690" s="35">
        <f>SUMIFS(DaybyDay[Retail-LY],DaybyDay[Date],"&gt;="&amp;$C$5,DaybyDay[RowYear],"&gt;="&amp;$C$4,DaybyDay[Date],"&lt;="&amp;DaybyDay[[#This Row],[Date]])</f>
        <v>0</v>
      </c>
      <c r="U690" s="32">
        <f>DaybyDay[[#This Row],[Serv-Bud-RU]]+DaybyDay[[#This Row],[Ret-Bud-RU]]</f>
        <v>0</v>
      </c>
      <c r="V690" s="32">
        <f>DaybyDay[[#This Row],[Serv-Act-RU]]+DaybyDay[[#This Row],[Ret-Act-RU]]</f>
        <v>0</v>
      </c>
      <c r="W690" s="36">
        <f>IF(DaybyDay[[#This Row],[_Space]],IFERROR(
((DaybyDay[[#This Row],[Actual-Rollup]]-DaybyDay[[#This Row],[Budget-Rollup]])/DaybyDay[[#This Row],[Budget-Rollup]]),0),"")</f>
        <v>0</v>
      </c>
      <c r="X690" t="b">
        <f>NOT(AND(ISBLANK(DaybyDay[[#This Row],[Appts]]),ISBLANK(DaybyDay[[#This Row],[Service-Actuals]]),ISBLANK(DaybyDay[[#This Row],[Retail-Actuals]])))</f>
        <v>1</v>
      </c>
      <c r="Y690" s="36">
        <f>IF(DaybyDay[[#This Row],[_Space]],IFERROR(
((DaybyDay[[#This Row],[Actual-Rollup]]-DaybyDay[[#This Row],[LY-Rollup]])/DaybyDay[[#This Row],[LY-Rollup]]),0),"")</f>
        <v>0</v>
      </c>
      <c r="Z690"/>
      <c r="AA690" s="37" t="e">
        <f>IF(DaybyDay[[#This Row],[_Space]],DaybyDay[[#This Row],[Ret-Act-RU]]/DaybyDay[[#This Row],[Serv-Act-RU]],"")</f>
        <v>#DIV/0!</v>
      </c>
      <c r="AB690" s="50" t="e">
        <f>IF(DaybyDay[[#This Row],[_Space]],DaybyDay[[#This Row],[RETPEN-Act]]/DaybyDay[[#This Row],[RETPEN-Bud]],"")</f>
        <v>#DIV/0!</v>
      </c>
      <c r="AC690" s="37" t="e">
        <f>IF(DaybyDay[[#This Row],[_Space]],DaybyDay[[#This Row],[Ret-Bud-RU]]/DaybyDay[[#This Row],[Serv-Bud-RU]],"")</f>
        <v>#DIV/0!</v>
      </c>
      <c r="AD690" s="37" t="e">
        <f>IF(DaybyDay[[#This Row],[_Space]],DaybyDay[[#This Row],[Ret-LY-RU]]/DaybyDay[[#This Row],[Serv-LY-RU]],"")</f>
        <v>#DIV/0!</v>
      </c>
      <c r="AE690" s="30">
        <f>WEEKDAY(DaybyDay[[#This Row],[LY-Date]])</f>
        <v>5</v>
      </c>
      <c r="AF690" s="38">
        <f>$E$2+_xlfn.DAYS(DaybyDay[[#This Row],[Date]],minDate)</f>
        <v>43055</v>
      </c>
      <c r="AG690" s="39" cm="1">
        <f t="array" ref="AG690">IFERROR(INDEX(DaybyDay[],DaybyDay[[#This Row],[FORM_MATCH_HELPER]],8),"")</f>
        <v>15</v>
      </c>
      <c r="AH690" s="39" cm="1">
        <f t="array" ref="AH690">IFERROR(INDEX(DaybyDay[],DaybyDay[[#This Row],[FORM_MATCH_HELPER]],10),"")</f>
        <v>2989.6</v>
      </c>
      <c r="AI690" s="39" cm="1">
        <f t="array" ref="AI690">IFERROR(INDEX(DaybyDay[],DaybyDay[[#This Row],[FORM_MATCH_HELPER]],12),"")</f>
        <v>893</v>
      </c>
      <c r="AJ690" s="32">
        <f>IFERROR(DaybyDay[[#This Row],[Serv-LY-RU]]+DaybyDay[[#This Row],[Ret-LY-RU]],"")</f>
        <v>0</v>
      </c>
      <c r="AK6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0" s="77"/>
      <c r="AM690" s="40" t="str">
        <f>IF(DaybyDay[[#This Row],[Admin Hours]]&gt;0,DaybyDay[[#This Row],[Admin Hours]]*$AM$2+$AM$3,"")</f>
        <v/>
      </c>
      <c r="AN690" s="40">
        <f>SUMIFS(DaybyDay[Est-Admin-Payroll],DaybyDay[Date],"&gt;="&amp;$C$5,DaybyDay[RowYear],"&gt;="&amp;$C$4,DaybyDay[Date],"&lt;="&amp;DaybyDay[[#This Row],[Date]])</f>
        <v>0</v>
      </c>
      <c r="AO690" s="41" t="str">
        <f>IF(AND(DaybyDay[[#This Row],[_Space]],ISNUMBER(DaybyDay[[#This Row],[Admin Hours]])),DaybyDay[[#This Row],[Est-Admin-Payroll]]/(DaybyDay[[#This Row],[Service-Actuals]]+DaybyDay[[#This Row],[Retail-Actuals]]),"")</f>
        <v/>
      </c>
      <c r="AP690" s="41" t="e">
        <f>DaybyDay[[#This Row],[Estimated-Payroll-Rollup]]/DaybyDay[[#This Row],[Simple-Forecast]]</f>
        <v>#DIV/0!</v>
      </c>
      <c r="AQ6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0" s="77"/>
      <c r="AS690" s="40" t="str">
        <f>IF(DaybyDay[[#This Row],[Retail Hours]]&gt;0,DaybyDay[[#This Row],[Retail Hours]]*$AS$2,"")</f>
        <v/>
      </c>
      <c r="AT690" s="40">
        <f>SUMIFS(DaybyDay[Est-Retail-Payroll],DaybyDay[Date],"&gt;="&amp;$C$5,DaybyDay[RowYear],"&gt;="&amp;$C$4,DaybyDay[Date],"&lt;="&amp;DaybyDay[[#This Row],[Date]])</f>
        <v>0</v>
      </c>
      <c r="AU690" s="82" t="str">
        <f>IF(AND(DaybyDay[[#This Row],[_Space]],ISNUMBER(DaybyDay[[#This Row],[Retail Hours]])),DaybyDay[[#This Row],[Est-Retail-Payroll]]/(DaybyDay[[#This Row],[Retail-Actuals]]),"")</f>
        <v/>
      </c>
      <c r="AV690" s="82" t="e">
        <f>DaybyDay[[#This Row],[Est-Retail-PayrollRU]]/DaybyDay[[#This Row],[Simple-Forecast-Retail]]</f>
        <v>#DIV/0!</v>
      </c>
      <c r="AW690" s="8"/>
    </row>
    <row r="691" spans="3:49" hidden="1" x14ac:dyDescent="0.25">
      <c r="C691" s="26" t="str">
        <f>Tools!$C$1</f>
        <v>Example</v>
      </c>
      <c r="D691" s="27" t="s">
        <v>78</v>
      </c>
      <c r="E691" s="28">
        <v>2018</v>
      </c>
      <c r="F691" s="28">
        <f>MATCH(DaybyDay[[#This Row],[RowMonth]],Table3[SummaryMonth],0)</f>
        <v>11</v>
      </c>
      <c r="G691" s="29">
        <f>MATCH(DaybyDay[[#This Row],[LY-Date]],DaybyDay[Date],0)</f>
        <v>321</v>
      </c>
      <c r="H691" s="30">
        <f>WEEKDAY(DaybyDay[[#This Row],[Date]])</f>
        <v>6</v>
      </c>
      <c r="I691" s="31">
        <v>43420</v>
      </c>
      <c r="J691" s="74">
        <v>24</v>
      </c>
      <c r="K691" s="32">
        <f>SUMIFS(BudgetSeasonality[365 Seasonality],BudgetSeasonality[MonthAdjustment],DaybyDay[[#This Row],[Date]])*SUMIFS(Budgets[Service-Budget],Budgets[BudgetMonth],DaybyDay[[#This Row],[RowMonth]],Budgets[BudgetYear],DaybyDay[[#This Row],[RowYear]])</f>
        <v>7557.2401482209407</v>
      </c>
      <c r="L691" s="75">
        <v>5653.75</v>
      </c>
      <c r="M691" s="32">
        <f>INDEX(BudgetSeasonality[365 Seasonality],MATCH(DaybyDay[[#This Row],[Date]],BudgetSeasonality[MonthAdjustment],0))*SUMIFS(Budgets[Retail-Budget],Budgets[BudgetMonth],DaybyDay[[#This Row],[RowMonth]],Budgets[BudgetYear],DaybyDay[[#This Row],[RowYear]])</f>
        <v>2137.6650102105027</v>
      </c>
      <c r="N691" s="75">
        <v>1865.4</v>
      </c>
      <c r="O691" s="33">
        <f>SUMIFS(DaybyDay[Service-Budgets],DaybyDay[Date],"&gt;="&amp;$C$5,DaybyDay[RowYear],"&gt;="&amp;$C$4,DaybyDay[Date],"&lt;="&amp;DaybyDay[[#This Row],[Date]])</f>
        <v>0</v>
      </c>
      <c r="P691" s="33">
        <f>SUMIFS(DaybyDay[Retail-Budgets],DaybyDay[Date],"&gt;="&amp;$C$5,DaybyDay[RowYear],"&gt;="&amp;$C$4,DaybyDay[Date],"&lt;="&amp;DaybyDay[[#This Row],[Date]])</f>
        <v>0</v>
      </c>
      <c r="Q691" s="34">
        <f>SUMIFS(DaybyDay[Service-Actuals],DaybyDay[Date],"&gt;="&amp;$C$5,DaybyDay[RowYear],"&gt;="&amp;$C$4,DaybyDay[Date],"&lt;="&amp;DaybyDay[[#This Row],[Date]])</f>
        <v>0</v>
      </c>
      <c r="R691" s="34">
        <f>SUMIFS(DaybyDay[Retail-Actuals],DaybyDay[Date],"&gt;="&amp;$C$5,DaybyDay[RowYear],"&gt;="&amp;$C$4,DaybyDay[Date],"&lt;="&amp;DaybyDay[[#This Row],[Date]])</f>
        <v>0</v>
      </c>
      <c r="S691" s="35">
        <f>SUMIFS(DaybyDay[Service-LY],DaybyDay[Date],"&gt;="&amp;$C$5,DaybyDay[RowYear],"&gt;="&amp;$C$4,DaybyDay[Date],"&lt;="&amp;DaybyDay[[#This Row],[Date]])</f>
        <v>0</v>
      </c>
      <c r="T691" s="35">
        <f>SUMIFS(DaybyDay[Retail-LY],DaybyDay[Date],"&gt;="&amp;$C$5,DaybyDay[RowYear],"&gt;="&amp;$C$4,DaybyDay[Date],"&lt;="&amp;DaybyDay[[#This Row],[Date]])</f>
        <v>0</v>
      </c>
      <c r="U691" s="32">
        <f>DaybyDay[[#This Row],[Serv-Bud-RU]]+DaybyDay[[#This Row],[Ret-Bud-RU]]</f>
        <v>0</v>
      </c>
      <c r="V691" s="32">
        <f>DaybyDay[[#This Row],[Serv-Act-RU]]+DaybyDay[[#This Row],[Ret-Act-RU]]</f>
        <v>0</v>
      </c>
      <c r="W691" s="36">
        <f>IF(DaybyDay[[#This Row],[_Space]],IFERROR(
((DaybyDay[[#This Row],[Actual-Rollup]]-DaybyDay[[#This Row],[Budget-Rollup]])/DaybyDay[[#This Row],[Budget-Rollup]]),0),"")</f>
        <v>0</v>
      </c>
      <c r="X691" t="b">
        <f>NOT(AND(ISBLANK(DaybyDay[[#This Row],[Appts]]),ISBLANK(DaybyDay[[#This Row],[Service-Actuals]]),ISBLANK(DaybyDay[[#This Row],[Retail-Actuals]])))</f>
        <v>1</v>
      </c>
      <c r="Y691" s="36">
        <f>IF(DaybyDay[[#This Row],[_Space]],IFERROR(
((DaybyDay[[#This Row],[Actual-Rollup]]-DaybyDay[[#This Row],[LY-Rollup]])/DaybyDay[[#This Row],[LY-Rollup]]),0),"")</f>
        <v>0</v>
      </c>
      <c r="Z691"/>
      <c r="AA691" s="37" t="e">
        <f>IF(DaybyDay[[#This Row],[_Space]],DaybyDay[[#This Row],[Ret-Act-RU]]/DaybyDay[[#This Row],[Serv-Act-RU]],"")</f>
        <v>#DIV/0!</v>
      </c>
      <c r="AB691" s="50" t="e">
        <f>IF(DaybyDay[[#This Row],[_Space]],DaybyDay[[#This Row],[RETPEN-Act]]/DaybyDay[[#This Row],[RETPEN-Bud]],"")</f>
        <v>#DIV/0!</v>
      </c>
      <c r="AC691" s="37" t="e">
        <f>IF(DaybyDay[[#This Row],[_Space]],DaybyDay[[#This Row],[Ret-Bud-RU]]/DaybyDay[[#This Row],[Serv-Bud-RU]],"")</f>
        <v>#DIV/0!</v>
      </c>
      <c r="AD691" s="37" t="e">
        <f>IF(DaybyDay[[#This Row],[_Space]],DaybyDay[[#This Row],[Ret-LY-RU]]/DaybyDay[[#This Row],[Serv-LY-RU]],"")</f>
        <v>#DIV/0!</v>
      </c>
      <c r="AE691" s="30">
        <f>WEEKDAY(DaybyDay[[#This Row],[LY-Date]])</f>
        <v>6</v>
      </c>
      <c r="AF691" s="38">
        <f>$E$2+_xlfn.DAYS(DaybyDay[[#This Row],[Date]],minDate)</f>
        <v>43056</v>
      </c>
      <c r="AG691" s="39" cm="1">
        <f t="array" ref="AG691">IFERROR(INDEX(DaybyDay[],DaybyDay[[#This Row],[FORM_MATCH_HELPER]],8),"")</f>
        <v>25</v>
      </c>
      <c r="AH691" s="39" cm="1">
        <f t="array" ref="AH691">IFERROR(INDEX(DaybyDay[],DaybyDay[[#This Row],[FORM_MATCH_HELPER]],10),"")</f>
        <v>3666.55</v>
      </c>
      <c r="AI691" s="39" cm="1">
        <f t="array" ref="AI691">IFERROR(INDEX(DaybyDay[],DaybyDay[[#This Row],[FORM_MATCH_HELPER]],12),"")</f>
        <v>1345.5</v>
      </c>
      <c r="AJ691" s="32">
        <f>IFERROR(DaybyDay[[#This Row],[Serv-LY-RU]]+DaybyDay[[#This Row],[Ret-LY-RU]],"")</f>
        <v>0</v>
      </c>
      <c r="AK6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1" s="77"/>
      <c r="AM691" s="40" t="str">
        <f>IF(DaybyDay[[#This Row],[Admin Hours]]&gt;0,DaybyDay[[#This Row],[Admin Hours]]*$AM$2+$AM$3,"")</f>
        <v/>
      </c>
      <c r="AN691" s="40">
        <f>SUMIFS(DaybyDay[Est-Admin-Payroll],DaybyDay[Date],"&gt;="&amp;$C$5,DaybyDay[RowYear],"&gt;="&amp;$C$4,DaybyDay[Date],"&lt;="&amp;DaybyDay[[#This Row],[Date]])</f>
        <v>0</v>
      </c>
      <c r="AO691" s="41" t="str">
        <f>IF(AND(DaybyDay[[#This Row],[_Space]],ISNUMBER(DaybyDay[[#This Row],[Admin Hours]])),DaybyDay[[#This Row],[Est-Admin-Payroll]]/(DaybyDay[[#This Row],[Service-Actuals]]+DaybyDay[[#This Row],[Retail-Actuals]]),"")</f>
        <v/>
      </c>
      <c r="AP691" s="41" t="e">
        <f>DaybyDay[[#This Row],[Estimated-Payroll-Rollup]]/DaybyDay[[#This Row],[Simple-Forecast]]</f>
        <v>#DIV/0!</v>
      </c>
      <c r="AQ6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1" s="77"/>
      <c r="AS691" s="40" t="str">
        <f>IF(DaybyDay[[#This Row],[Retail Hours]]&gt;0,DaybyDay[[#This Row],[Retail Hours]]*$AS$2,"")</f>
        <v/>
      </c>
      <c r="AT691" s="40">
        <f>SUMIFS(DaybyDay[Est-Retail-Payroll],DaybyDay[Date],"&gt;="&amp;$C$5,DaybyDay[RowYear],"&gt;="&amp;$C$4,DaybyDay[Date],"&lt;="&amp;DaybyDay[[#This Row],[Date]])</f>
        <v>0</v>
      </c>
      <c r="AU691" s="82" t="str">
        <f>IF(AND(DaybyDay[[#This Row],[_Space]],ISNUMBER(DaybyDay[[#This Row],[Retail Hours]])),DaybyDay[[#This Row],[Est-Retail-Payroll]]/(DaybyDay[[#This Row],[Retail-Actuals]]),"")</f>
        <v/>
      </c>
      <c r="AV691" s="82" t="e">
        <f>DaybyDay[[#This Row],[Est-Retail-PayrollRU]]/DaybyDay[[#This Row],[Simple-Forecast-Retail]]</f>
        <v>#DIV/0!</v>
      </c>
      <c r="AW691" s="8"/>
    </row>
    <row r="692" spans="3:49" hidden="1" x14ac:dyDescent="0.25">
      <c r="C692" s="26" t="str">
        <f>Tools!$C$1</f>
        <v>Example</v>
      </c>
      <c r="D692" s="27" t="s">
        <v>78</v>
      </c>
      <c r="E692" s="28">
        <v>2018</v>
      </c>
      <c r="F692" s="28">
        <f>MATCH(DaybyDay[[#This Row],[RowMonth]],Table3[SummaryMonth],0)</f>
        <v>11</v>
      </c>
      <c r="G692" s="29">
        <f>MATCH(DaybyDay[[#This Row],[LY-Date]],DaybyDay[Date],0)</f>
        <v>322</v>
      </c>
      <c r="H692" s="30">
        <f>WEEKDAY(DaybyDay[[#This Row],[Date]])</f>
        <v>7</v>
      </c>
      <c r="I692" s="31">
        <v>43421</v>
      </c>
      <c r="J692" s="74">
        <v>33</v>
      </c>
      <c r="K692" s="32">
        <f>SUMIFS(BudgetSeasonality[365 Seasonality],BudgetSeasonality[MonthAdjustment],DaybyDay[[#This Row],[Date]])*SUMIFS(Budgets[Service-Budget],Budgets[BudgetMonth],DaybyDay[[#This Row],[RowMonth]],Budgets[BudgetYear],DaybyDay[[#This Row],[RowYear]])</f>
        <v>10467.866569552911</v>
      </c>
      <c r="L692" s="75">
        <v>8560</v>
      </c>
      <c r="M692" s="32">
        <f>INDEX(BudgetSeasonality[365 Seasonality],MATCH(DaybyDay[[#This Row],[Date]],BudgetSeasonality[MonthAdjustment],0))*SUMIFS(Budgets[Retail-Budget],Budgets[BudgetMonth],DaybyDay[[#This Row],[RowMonth]],Budgets[BudgetYear],DaybyDay[[#This Row],[RowYear]])</f>
        <v>2960.9740670412934</v>
      </c>
      <c r="N692" s="75">
        <v>1400.4</v>
      </c>
      <c r="O692" s="33">
        <f>SUMIFS(DaybyDay[Service-Budgets],DaybyDay[Date],"&gt;="&amp;$C$5,DaybyDay[RowYear],"&gt;="&amp;$C$4,DaybyDay[Date],"&lt;="&amp;DaybyDay[[#This Row],[Date]])</f>
        <v>0</v>
      </c>
      <c r="P692" s="33">
        <f>SUMIFS(DaybyDay[Retail-Budgets],DaybyDay[Date],"&gt;="&amp;$C$5,DaybyDay[RowYear],"&gt;="&amp;$C$4,DaybyDay[Date],"&lt;="&amp;DaybyDay[[#This Row],[Date]])</f>
        <v>0</v>
      </c>
      <c r="Q692" s="34">
        <f>SUMIFS(DaybyDay[Service-Actuals],DaybyDay[Date],"&gt;="&amp;$C$5,DaybyDay[RowYear],"&gt;="&amp;$C$4,DaybyDay[Date],"&lt;="&amp;DaybyDay[[#This Row],[Date]])</f>
        <v>0</v>
      </c>
      <c r="R692" s="34">
        <f>SUMIFS(DaybyDay[Retail-Actuals],DaybyDay[Date],"&gt;="&amp;$C$5,DaybyDay[RowYear],"&gt;="&amp;$C$4,DaybyDay[Date],"&lt;="&amp;DaybyDay[[#This Row],[Date]])</f>
        <v>0</v>
      </c>
      <c r="S692" s="35">
        <f>SUMIFS(DaybyDay[Service-LY],DaybyDay[Date],"&gt;="&amp;$C$5,DaybyDay[RowYear],"&gt;="&amp;$C$4,DaybyDay[Date],"&lt;="&amp;DaybyDay[[#This Row],[Date]])</f>
        <v>0</v>
      </c>
      <c r="T692" s="35">
        <f>SUMIFS(DaybyDay[Retail-LY],DaybyDay[Date],"&gt;="&amp;$C$5,DaybyDay[RowYear],"&gt;="&amp;$C$4,DaybyDay[Date],"&lt;="&amp;DaybyDay[[#This Row],[Date]])</f>
        <v>0</v>
      </c>
      <c r="U692" s="32">
        <f>DaybyDay[[#This Row],[Serv-Bud-RU]]+DaybyDay[[#This Row],[Ret-Bud-RU]]</f>
        <v>0</v>
      </c>
      <c r="V692" s="32">
        <f>DaybyDay[[#This Row],[Serv-Act-RU]]+DaybyDay[[#This Row],[Ret-Act-RU]]</f>
        <v>0</v>
      </c>
      <c r="W692" s="36">
        <f>IF(DaybyDay[[#This Row],[_Space]],IFERROR(
((DaybyDay[[#This Row],[Actual-Rollup]]-DaybyDay[[#This Row],[Budget-Rollup]])/DaybyDay[[#This Row],[Budget-Rollup]]),0),"")</f>
        <v>0</v>
      </c>
      <c r="X692" t="b">
        <f>NOT(AND(ISBLANK(DaybyDay[[#This Row],[Appts]]),ISBLANK(DaybyDay[[#This Row],[Service-Actuals]]),ISBLANK(DaybyDay[[#This Row],[Retail-Actuals]])))</f>
        <v>1</v>
      </c>
      <c r="Y692" s="36">
        <f>IF(DaybyDay[[#This Row],[_Space]],IFERROR(
((DaybyDay[[#This Row],[Actual-Rollup]]-DaybyDay[[#This Row],[LY-Rollup]])/DaybyDay[[#This Row],[LY-Rollup]]),0),"")</f>
        <v>0</v>
      </c>
      <c r="Z692"/>
      <c r="AA692" s="37" t="e">
        <f>IF(DaybyDay[[#This Row],[_Space]],DaybyDay[[#This Row],[Ret-Act-RU]]/DaybyDay[[#This Row],[Serv-Act-RU]],"")</f>
        <v>#DIV/0!</v>
      </c>
      <c r="AB692" s="50" t="e">
        <f>IF(DaybyDay[[#This Row],[_Space]],DaybyDay[[#This Row],[RETPEN-Act]]/DaybyDay[[#This Row],[RETPEN-Bud]],"")</f>
        <v>#DIV/0!</v>
      </c>
      <c r="AC692" s="37" t="e">
        <f>IF(DaybyDay[[#This Row],[_Space]],DaybyDay[[#This Row],[Ret-Bud-RU]]/DaybyDay[[#This Row],[Serv-Bud-RU]],"")</f>
        <v>#DIV/0!</v>
      </c>
      <c r="AD692" s="37" t="e">
        <f>IF(DaybyDay[[#This Row],[_Space]],DaybyDay[[#This Row],[Ret-LY-RU]]/DaybyDay[[#This Row],[Serv-LY-RU]],"")</f>
        <v>#DIV/0!</v>
      </c>
      <c r="AE692" s="30">
        <f>WEEKDAY(DaybyDay[[#This Row],[LY-Date]])</f>
        <v>7</v>
      </c>
      <c r="AF692" s="38">
        <f>$E$2+_xlfn.DAYS(DaybyDay[[#This Row],[Date]],minDate)</f>
        <v>43057</v>
      </c>
      <c r="AG692" s="39" cm="1">
        <f t="array" ref="AG692">IFERROR(INDEX(DaybyDay[],DaybyDay[[#This Row],[FORM_MATCH_HELPER]],8),"")</f>
        <v>39</v>
      </c>
      <c r="AH692" s="39" cm="1">
        <f t="array" ref="AH692">IFERROR(INDEX(DaybyDay[],DaybyDay[[#This Row],[FORM_MATCH_HELPER]],10),"")</f>
        <v>8693.2000000000007</v>
      </c>
      <c r="AI692" s="39" cm="1">
        <f t="array" ref="AI692">IFERROR(INDEX(DaybyDay[],DaybyDay[[#This Row],[FORM_MATCH_HELPER]],12),"")</f>
        <v>3071.62</v>
      </c>
      <c r="AJ692" s="32">
        <f>IFERROR(DaybyDay[[#This Row],[Serv-LY-RU]]+DaybyDay[[#This Row],[Ret-LY-RU]],"")</f>
        <v>0</v>
      </c>
      <c r="AK6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2" s="77"/>
      <c r="AM692" s="40" t="str">
        <f>IF(DaybyDay[[#This Row],[Admin Hours]]&gt;0,DaybyDay[[#This Row],[Admin Hours]]*$AM$2+$AM$3,"")</f>
        <v/>
      </c>
      <c r="AN692" s="40">
        <f>SUMIFS(DaybyDay[Est-Admin-Payroll],DaybyDay[Date],"&gt;="&amp;$C$5,DaybyDay[RowYear],"&gt;="&amp;$C$4,DaybyDay[Date],"&lt;="&amp;DaybyDay[[#This Row],[Date]])</f>
        <v>0</v>
      </c>
      <c r="AO692" s="41" t="str">
        <f>IF(AND(DaybyDay[[#This Row],[_Space]],ISNUMBER(DaybyDay[[#This Row],[Admin Hours]])),DaybyDay[[#This Row],[Est-Admin-Payroll]]/(DaybyDay[[#This Row],[Service-Actuals]]+DaybyDay[[#This Row],[Retail-Actuals]]),"")</f>
        <v/>
      </c>
      <c r="AP692" s="41" t="e">
        <f>DaybyDay[[#This Row],[Estimated-Payroll-Rollup]]/DaybyDay[[#This Row],[Simple-Forecast]]</f>
        <v>#DIV/0!</v>
      </c>
      <c r="AQ6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2" s="77"/>
      <c r="AS692" s="40" t="str">
        <f>IF(DaybyDay[[#This Row],[Retail Hours]]&gt;0,DaybyDay[[#This Row],[Retail Hours]]*$AS$2,"")</f>
        <v/>
      </c>
      <c r="AT692" s="40">
        <f>SUMIFS(DaybyDay[Est-Retail-Payroll],DaybyDay[Date],"&gt;="&amp;$C$5,DaybyDay[RowYear],"&gt;="&amp;$C$4,DaybyDay[Date],"&lt;="&amp;DaybyDay[[#This Row],[Date]])</f>
        <v>0</v>
      </c>
      <c r="AU692" s="82" t="str">
        <f>IF(AND(DaybyDay[[#This Row],[_Space]],ISNUMBER(DaybyDay[[#This Row],[Retail Hours]])),DaybyDay[[#This Row],[Est-Retail-Payroll]]/(DaybyDay[[#This Row],[Retail-Actuals]]),"")</f>
        <v/>
      </c>
      <c r="AV692" s="82" t="e">
        <f>DaybyDay[[#This Row],[Est-Retail-PayrollRU]]/DaybyDay[[#This Row],[Simple-Forecast-Retail]]</f>
        <v>#DIV/0!</v>
      </c>
      <c r="AW692" s="8"/>
    </row>
    <row r="693" spans="3:49" hidden="1" x14ac:dyDescent="0.25">
      <c r="C693" s="26" t="str">
        <f>Tools!$C$1</f>
        <v>Example</v>
      </c>
      <c r="D693" s="27" t="s">
        <v>78</v>
      </c>
      <c r="E693" s="28">
        <v>2018</v>
      </c>
      <c r="F693" s="28">
        <f>MATCH(DaybyDay[[#This Row],[RowMonth]],Table3[SummaryMonth],0)</f>
        <v>11</v>
      </c>
      <c r="G693" s="29">
        <f>MATCH(DaybyDay[[#This Row],[LY-Date]],DaybyDay[Date],0)</f>
        <v>323</v>
      </c>
      <c r="H693" s="30">
        <f>WEEKDAY(DaybyDay[[#This Row],[Date]])</f>
        <v>1</v>
      </c>
      <c r="I693" s="31">
        <v>43422</v>
      </c>
      <c r="J693" s="74">
        <v>32</v>
      </c>
      <c r="K693" s="32">
        <f>SUMIFS(BudgetSeasonality[365 Seasonality],BudgetSeasonality[MonthAdjustment],DaybyDay[[#This Row],[Date]])*SUMIFS(Budgets[Service-Budget],Budgets[BudgetMonth],DaybyDay[[#This Row],[RowMonth]],Budgets[BudgetYear],DaybyDay[[#This Row],[RowYear]])</f>
        <v>8233.9164577557822</v>
      </c>
      <c r="L693" s="75">
        <v>7118.88</v>
      </c>
      <c r="M693" s="32">
        <f>INDEX(BudgetSeasonality[365 Seasonality],MATCH(DaybyDay[[#This Row],[Date]],BudgetSeasonality[MonthAdjustment],0))*SUMIFS(Budgets[Retail-Budget],Budgets[BudgetMonth],DaybyDay[[#This Row],[RowMonth]],Budgets[BudgetYear],DaybyDay[[#This Row],[RowYear]])</f>
        <v>2329.0718256299556</v>
      </c>
      <c r="N693" s="75">
        <v>442.8</v>
      </c>
      <c r="O693" s="33">
        <f>SUMIFS(DaybyDay[Service-Budgets],DaybyDay[Date],"&gt;="&amp;$C$5,DaybyDay[RowYear],"&gt;="&amp;$C$4,DaybyDay[Date],"&lt;="&amp;DaybyDay[[#This Row],[Date]])</f>
        <v>0</v>
      </c>
      <c r="P693" s="33">
        <f>SUMIFS(DaybyDay[Retail-Budgets],DaybyDay[Date],"&gt;="&amp;$C$5,DaybyDay[RowYear],"&gt;="&amp;$C$4,DaybyDay[Date],"&lt;="&amp;DaybyDay[[#This Row],[Date]])</f>
        <v>0</v>
      </c>
      <c r="Q693" s="34">
        <f>SUMIFS(DaybyDay[Service-Actuals],DaybyDay[Date],"&gt;="&amp;$C$5,DaybyDay[RowYear],"&gt;="&amp;$C$4,DaybyDay[Date],"&lt;="&amp;DaybyDay[[#This Row],[Date]])</f>
        <v>0</v>
      </c>
      <c r="R693" s="34">
        <f>SUMIFS(DaybyDay[Retail-Actuals],DaybyDay[Date],"&gt;="&amp;$C$5,DaybyDay[RowYear],"&gt;="&amp;$C$4,DaybyDay[Date],"&lt;="&amp;DaybyDay[[#This Row],[Date]])</f>
        <v>0</v>
      </c>
      <c r="S693" s="35">
        <f>SUMIFS(DaybyDay[Service-LY],DaybyDay[Date],"&gt;="&amp;$C$5,DaybyDay[RowYear],"&gt;="&amp;$C$4,DaybyDay[Date],"&lt;="&amp;DaybyDay[[#This Row],[Date]])</f>
        <v>0</v>
      </c>
      <c r="T693" s="35">
        <f>SUMIFS(DaybyDay[Retail-LY],DaybyDay[Date],"&gt;="&amp;$C$5,DaybyDay[RowYear],"&gt;="&amp;$C$4,DaybyDay[Date],"&lt;="&amp;DaybyDay[[#This Row],[Date]])</f>
        <v>0</v>
      </c>
      <c r="U693" s="32">
        <f>DaybyDay[[#This Row],[Serv-Bud-RU]]+DaybyDay[[#This Row],[Ret-Bud-RU]]</f>
        <v>0</v>
      </c>
      <c r="V693" s="32">
        <f>DaybyDay[[#This Row],[Serv-Act-RU]]+DaybyDay[[#This Row],[Ret-Act-RU]]</f>
        <v>0</v>
      </c>
      <c r="W693" s="36">
        <f>IF(DaybyDay[[#This Row],[_Space]],IFERROR(
((DaybyDay[[#This Row],[Actual-Rollup]]-DaybyDay[[#This Row],[Budget-Rollup]])/DaybyDay[[#This Row],[Budget-Rollup]]),0),"")</f>
        <v>0</v>
      </c>
      <c r="X693" t="b">
        <f>NOT(AND(ISBLANK(DaybyDay[[#This Row],[Appts]]),ISBLANK(DaybyDay[[#This Row],[Service-Actuals]]),ISBLANK(DaybyDay[[#This Row],[Retail-Actuals]])))</f>
        <v>1</v>
      </c>
      <c r="Y693" s="36">
        <f>IF(DaybyDay[[#This Row],[_Space]],IFERROR(
((DaybyDay[[#This Row],[Actual-Rollup]]-DaybyDay[[#This Row],[LY-Rollup]])/DaybyDay[[#This Row],[LY-Rollup]]),0),"")</f>
        <v>0</v>
      </c>
      <c r="Z693"/>
      <c r="AA693" s="37" t="e">
        <f>IF(DaybyDay[[#This Row],[_Space]],DaybyDay[[#This Row],[Ret-Act-RU]]/DaybyDay[[#This Row],[Serv-Act-RU]],"")</f>
        <v>#DIV/0!</v>
      </c>
      <c r="AB693" s="50" t="e">
        <f>IF(DaybyDay[[#This Row],[_Space]],DaybyDay[[#This Row],[RETPEN-Act]]/DaybyDay[[#This Row],[RETPEN-Bud]],"")</f>
        <v>#DIV/0!</v>
      </c>
      <c r="AC693" s="37" t="e">
        <f>IF(DaybyDay[[#This Row],[_Space]],DaybyDay[[#This Row],[Ret-Bud-RU]]/DaybyDay[[#This Row],[Serv-Bud-RU]],"")</f>
        <v>#DIV/0!</v>
      </c>
      <c r="AD693" s="37" t="e">
        <f>IF(DaybyDay[[#This Row],[_Space]],DaybyDay[[#This Row],[Ret-LY-RU]]/DaybyDay[[#This Row],[Serv-LY-RU]],"")</f>
        <v>#DIV/0!</v>
      </c>
      <c r="AE693" s="30">
        <f>WEEKDAY(DaybyDay[[#This Row],[LY-Date]])</f>
        <v>1</v>
      </c>
      <c r="AF693" s="38">
        <f>$E$2+_xlfn.DAYS(DaybyDay[[#This Row],[Date]],minDate)</f>
        <v>43058</v>
      </c>
      <c r="AG693" s="39" cm="1">
        <f t="array" ref="AG693">IFERROR(INDEX(DaybyDay[],DaybyDay[[#This Row],[FORM_MATCH_HELPER]],8),"")</f>
        <v>32</v>
      </c>
      <c r="AH693" s="39" cm="1">
        <f t="array" ref="AH693">IFERROR(INDEX(DaybyDay[],DaybyDay[[#This Row],[FORM_MATCH_HELPER]],10),"")</f>
        <v>6701.8</v>
      </c>
      <c r="AI693" s="39" cm="1">
        <f t="array" ref="AI693">IFERROR(INDEX(DaybyDay[],DaybyDay[[#This Row],[FORM_MATCH_HELPER]],12),"")</f>
        <v>448</v>
      </c>
      <c r="AJ693" s="32">
        <f>IFERROR(DaybyDay[[#This Row],[Serv-LY-RU]]+DaybyDay[[#This Row],[Ret-LY-RU]],"")</f>
        <v>0</v>
      </c>
      <c r="AK6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3" s="77"/>
      <c r="AM693" s="40" t="str">
        <f>IF(DaybyDay[[#This Row],[Admin Hours]]&gt;0,DaybyDay[[#This Row],[Admin Hours]]*$AM$2+$AM$3,"")</f>
        <v/>
      </c>
      <c r="AN693" s="40">
        <f>SUMIFS(DaybyDay[Est-Admin-Payroll],DaybyDay[Date],"&gt;="&amp;$C$5,DaybyDay[RowYear],"&gt;="&amp;$C$4,DaybyDay[Date],"&lt;="&amp;DaybyDay[[#This Row],[Date]])</f>
        <v>0</v>
      </c>
      <c r="AO693" s="41" t="str">
        <f>IF(AND(DaybyDay[[#This Row],[_Space]],ISNUMBER(DaybyDay[[#This Row],[Admin Hours]])),DaybyDay[[#This Row],[Est-Admin-Payroll]]/(DaybyDay[[#This Row],[Service-Actuals]]+DaybyDay[[#This Row],[Retail-Actuals]]),"")</f>
        <v/>
      </c>
      <c r="AP693" s="41" t="e">
        <f>DaybyDay[[#This Row],[Estimated-Payroll-Rollup]]/DaybyDay[[#This Row],[Simple-Forecast]]</f>
        <v>#DIV/0!</v>
      </c>
      <c r="AQ6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3" s="77"/>
      <c r="AS693" s="40" t="str">
        <f>IF(DaybyDay[[#This Row],[Retail Hours]]&gt;0,DaybyDay[[#This Row],[Retail Hours]]*$AS$2,"")</f>
        <v/>
      </c>
      <c r="AT693" s="40">
        <f>SUMIFS(DaybyDay[Est-Retail-Payroll],DaybyDay[Date],"&gt;="&amp;$C$5,DaybyDay[RowYear],"&gt;="&amp;$C$4,DaybyDay[Date],"&lt;="&amp;DaybyDay[[#This Row],[Date]])</f>
        <v>0</v>
      </c>
      <c r="AU693" s="82" t="str">
        <f>IF(AND(DaybyDay[[#This Row],[_Space]],ISNUMBER(DaybyDay[[#This Row],[Retail Hours]])),DaybyDay[[#This Row],[Est-Retail-Payroll]]/(DaybyDay[[#This Row],[Retail-Actuals]]),"")</f>
        <v/>
      </c>
      <c r="AV693" s="82" t="e">
        <f>DaybyDay[[#This Row],[Est-Retail-PayrollRU]]/DaybyDay[[#This Row],[Simple-Forecast-Retail]]</f>
        <v>#DIV/0!</v>
      </c>
      <c r="AW693" s="8"/>
    </row>
    <row r="694" spans="3:49" hidden="1" x14ac:dyDescent="0.25">
      <c r="C694" s="26" t="str">
        <f>Tools!$C$1</f>
        <v>Example</v>
      </c>
      <c r="D694" s="27" t="s">
        <v>78</v>
      </c>
      <c r="E694" s="28">
        <v>2018</v>
      </c>
      <c r="F694" s="28">
        <f>MATCH(DaybyDay[[#This Row],[RowMonth]],Table3[SummaryMonth],0)</f>
        <v>11</v>
      </c>
      <c r="G694" s="29">
        <f>MATCH(DaybyDay[[#This Row],[LY-Date]],DaybyDay[Date],0)</f>
        <v>324</v>
      </c>
      <c r="H694" s="30">
        <f>WEEKDAY(DaybyDay[[#This Row],[Date]])</f>
        <v>2</v>
      </c>
      <c r="I694" s="31">
        <v>43423</v>
      </c>
      <c r="J694" s="74">
        <v>20</v>
      </c>
      <c r="K694" s="32">
        <f>SUMIFS(BudgetSeasonality[365 Seasonality],BudgetSeasonality[MonthAdjustment],DaybyDay[[#This Row],[Date]])*SUMIFS(Budgets[Service-Budget],Budgets[BudgetMonth],DaybyDay[[#This Row],[RowMonth]],Budgets[BudgetYear],DaybyDay[[#This Row],[RowYear]])</f>
        <v>4996.2610819901238</v>
      </c>
      <c r="L694" s="75">
        <v>5018</v>
      </c>
      <c r="M694" s="32">
        <f>INDEX(BudgetSeasonality[365 Seasonality],MATCH(DaybyDay[[#This Row],[Date]],BudgetSeasonality[MonthAdjustment],0))*SUMIFS(Budgets[Retail-Budget],Budgets[BudgetMonth],DaybyDay[[#This Row],[RowMonth]],Budgets[BudgetYear],DaybyDay[[#This Row],[RowYear]])</f>
        <v>1413.2583175037814</v>
      </c>
      <c r="N694" s="75">
        <v>2590</v>
      </c>
      <c r="O694" s="33">
        <f>SUMIFS(DaybyDay[Service-Budgets],DaybyDay[Date],"&gt;="&amp;$C$5,DaybyDay[RowYear],"&gt;="&amp;$C$4,DaybyDay[Date],"&lt;="&amp;DaybyDay[[#This Row],[Date]])</f>
        <v>0</v>
      </c>
      <c r="P694" s="33">
        <f>SUMIFS(DaybyDay[Retail-Budgets],DaybyDay[Date],"&gt;="&amp;$C$5,DaybyDay[RowYear],"&gt;="&amp;$C$4,DaybyDay[Date],"&lt;="&amp;DaybyDay[[#This Row],[Date]])</f>
        <v>0</v>
      </c>
      <c r="Q694" s="34">
        <f>SUMIFS(DaybyDay[Service-Actuals],DaybyDay[Date],"&gt;="&amp;$C$5,DaybyDay[RowYear],"&gt;="&amp;$C$4,DaybyDay[Date],"&lt;="&amp;DaybyDay[[#This Row],[Date]])</f>
        <v>0</v>
      </c>
      <c r="R694" s="34">
        <f>SUMIFS(DaybyDay[Retail-Actuals],DaybyDay[Date],"&gt;="&amp;$C$5,DaybyDay[RowYear],"&gt;="&amp;$C$4,DaybyDay[Date],"&lt;="&amp;DaybyDay[[#This Row],[Date]])</f>
        <v>0</v>
      </c>
      <c r="S694" s="35">
        <f>SUMIFS(DaybyDay[Service-LY],DaybyDay[Date],"&gt;="&amp;$C$5,DaybyDay[RowYear],"&gt;="&amp;$C$4,DaybyDay[Date],"&lt;="&amp;DaybyDay[[#This Row],[Date]])</f>
        <v>0</v>
      </c>
      <c r="T694" s="35">
        <f>SUMIFS(DaybyDay[Retail-LY],DaybyDay[Date],"&gt;="&amp;$C$5,DaybyDay[RowYear],"&gt;="&amp;$C$4,DaybyDay[Date],"&lt;="&amp;DaybyDay[[#This Row],[Date]])</f>
        <v>0</v>
      </c>
      <c r="U694" s="32">
        <f>DaybyDay[[#This Row],[Serv-Bud-RU]]+DaybyDay[[#This Row],[Ret-Bud-RU]]</f>
        <v>0</v>
      </c>
      <c r="V694" s="32">
        <f>DaybyDay[[#This Row],[Serv-Act-RU]]+DaybyDay[[#This Row],[Ret-Act-RU]]</f>
        <v>0</v>
      </c>
      <c r="W694" s="36">
        <f>IF(DaybyDay[[#This Row],[_Space]],IFERROR(
((DaybyDay[[#This Row],[Actual-Rollup]]-DaybyDay[[#This Row],[Budget-Rollup]])/DaybyDay[[#This Row],[Budget-Rollup]]),0),"")</f>
        <v>0</v>
      </c>
      <c r="X694" t="b">
        <f>NOT(AND(ISBLANK(DaybyDay[[#This Row],[Appts]]),ISBLANK(DaybyDay[[#This Row],[Service-Actuals]]),ISBLANK(DaybyDay[[#This Row],[Retail-Actuals]])))</f>
        <v>1</v>
      </c>
      <c r="Y694" s="36">
        <f>IF(DaybyDay[[#This Row],[_Space]],IFERROR(
((DaybyDay[[#This Row],[Actual-Rollup]]-DaybyDay[[#This Row],[LY-Rollup]])/DaybyDay[[#This Row],[LY-Rollup]]),0),"")</f>
        <v>0</v>
      </c>
      <c r="Z694"/>
      <c r="AA694" s="37" t="e">
        <f>IF(DaybyDay[[#This Row],[_Space]],DaybyDay[[#This Row],[Ret-Act-RU]]/DaybyDay[[#This Row],[Serv-Act-RU]],"")</f>
        <v>#DIV/0!</v>
      </c>
      <c r="AB694" s="50" t="e">
        <f>IF(DaybyDay[[#This Row],[_Space]],DaybyDay[[#This Row],[RETPEN-Act]]/DaybyDay[[#This Row],[RETPEN-Bud]],"")</f>
        <v>#DIV/0!</v>
      </c>
      <c r="AC694" s="37" t="e">
        <f>IF(DaybyDay[[#This Row],[_Space]],DaybyDay[[#This Row],[Ret-Bud-RU]]/DaybyDay[[#This Row],[Serv-Bud-RU]],"")</f>
        <v>#DIV/0!</v>
      </c>
      <c r="AD694" s="37" t="e">
        <f>IF(DaybyDay[[#This Row],[_Space]],DaybyDay[[#This Row],[Ret-LY-RU]]/DaybyDay[[#This Row],[Serv-LY-RU]],"")</f>
        <v>#DIV/0!</v>
      </c>
      <c r="AE694" s="30">
        <f>WEEKDAY(DaybyDay[[#This Row],[LY-Date]])</f>
        <v>2</v>
      </c>
      <c r="AF694" s="38">
        <f>$E$2+_xlfn.DAYS(DaybyDay[[#This Row],[Date]],minDate)</f>
        <v>43059</v>
      </c>
      <c r="AG694" s="39" cm="1">
        <f t="array" ref="AG694">IFERROR(INDEX(DaybyDay[],DaybyDay[[#This Row],[FORM_MATCH_HELPER]],8),"")</f>
        <v>12</v>
      </c>
      <c r="AH694" s="39" cm="1">
        <f t="array" ref="AH694">IFERROR(INDEX(DaybyDay[],DaybyDay[[#This Row],[FORM_MATCH_HELPER]],10),"")</f>
        <v>3081.4</v>
      </c>
      <c r="AI694" s="39" cm="1">
        <f t="array" ref="AI694">IFERROR(INDEX(DaybyDay[],DaybyDay[[#This Row],[FORM_MATCH_HELPER]],12),"")</f>
        <v>536.1</v>
      </c>
      <c r="AJ694" s="32">
        <f>IFERROR(DaybyDay[[#This Row],[Serv-LY-RU]]+DaybyDay[[#This Row],[Ret-LY-RU]],"")</f>
        <v>0</v>
      </c>
      <c r="AK6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4" s="77"/>
      <c r="AM694" s="40" t="str">
        <f>IF(DaybyDay[[#This Row],[Admin Hours]]&gt;0,DaybyDay[[#This Row],[Admin Hours]]*$AM$2+$AM$3,"")</f>
        <v/>
      </c>
      <c r="AN694" s="40">
        <f>SUMIFS(DaybyDay[Est-Admin-Payroll],DaybyDay[Date],"&gt;="&amp;$C$5,DaybyDay[RowYear],"&gt;="&amp;$C$4,DaybyDay[Date],"&lt;="&amp;DaybyDay[[#This Row],[Date]])</f>
        <v>0</v>
      </c>
      <c r="AO694" s="41" t="str">
        <f>IF(AND(DaybyDay[[#This Row],[_Space]],ISNUMBER(DaybyDay[[#This Row],[Admin Hours]])),DaybyDay[[#This Row],[Est-Admin-Payroll]]/(DaybyDay[[#This Row],[Service-Actuals]]+DaybyDay[[#This Row],[Retail-Actuals]]),"")</f>
        <v/>
      </c>
      <c r="AP694" s="41" t="e">
        <f>DaybyDay[[#This Row],[Estimated-Payroll-Rollup]]/DaybyDay[[#This Row],[Simple-Forecast]]</f>
        <v>#DIV/0!</v>
      </c>
      <c r="AQ6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4" s="77"/>
      <c r="AS694" s="40" t="str">
        <f>IF(DaybyDay[[#This Row],[Retail Hours]]&gt;0,DaybyDay[[#This Row],[Retail Hours]]*$AS$2,"")</f>
        <v/>
      </c>
      <c r="AT694" s="40">
        <f>SUMIFS(DaybyDay[Est-Retail-Payroll],DaybyDay[Date],"&gt;="&amp;$C$5,DaybyDay[RowYear],"&gt;="&amp;$C$4,DaybyDay[Date],"&lt;="&amp;DaybyDay[[#This Row],[Date]])</f>
        <v>0</v>
      </c>
      <c r="AU694" s="82" t="str">
        <f>IF(AND(DaybyDay[[#This Row],[_Space]],ISNUMBER(DaybyDay[[#This Row],[Retail Hours]])),DaybyDay[[#This Row],[Est-Retail-Payroll]]/(DaybyDay[[#This Row],[Retail-Actuals]]),"")</f>
        <v/>
      </c>
      <c r="AV694" s="82" t="e">
        <f>DaybyDay[[#This Row],[Est-Retail-PayrollRU]]/DaybyDay[[#This Row],[Simple-Forecast-Retail]]</f>
        <v>#DIV/0!</v>
      </c>
      <c r="AW694" s="8"/>
    </row>
    <row r="695" spans="3:49" hidden="1" x14ac:dyDescent="0.25">
      <c r="C695" s="26" t="str">
        <f>Tools!$C$1</f>
        <v>Example</v>
      </c>
      <c r="D695" s="27" t="s">
        <v>78</v>
      </c>
      <c r="E695" s="28">
        <v>2018</v>
      </c>
      <c r="F695" s="28">
        <f>MATCH(DaybyDay[[#This Row],[RowMonth]],Table3[SummaryMonth],0)</f>
        <v>11</v>
      </c>
      <c r="G695" s="29">
        <f>MATCH(DaybyDay[[#This Row],[LY-Date]],DaybyDay[Date],0)</f>
        <v>325</v>
      </c>
      <c r="H695" s="30">
        <f>WEEKDAY(DaybyDay[[#This Row],[Date]])</f>
        <v>3</v>
      </c>
      <c r="I695" s="31">
        <v>43424</v>
      </c>
      <c r="J695" s="74">
        <v>22</v>
      </c>
      <c r="K695" s="32">
        <f>SUMIFS(BudgetSeasonality[365 Seasonality],BudgetSeasonality[MonthAdjustment],DaybyDay[[#This Row],[Date]])*SUMIFS(Budgets[Service-Budget],Budgets[BudgetMonth],DaybyDay[[#This Row],[RowMonth]],Budgets[BudgetYear],DaybyDay[[#This Row],[RowYear]])</f>
        <v>5117.1825752585301</v>
      </c>
      <c r="L695" s="75">
        <v>4553.1899999999996</v>
      </c>
      <c r="M695" s="32">
        <f>INDEX(BudgetSeasonality[365 Seasonality],MATCH(DaybyDay[[#This Row],[Date]],BudgetSeasonality[MonthAdjustment],0))*SUMIFS(Budgets[Retail-Budget],Budgets[BudgetMonth],DaybyDay[[#This Row],[RowMonth]],Budgets[BudgetYear],DaybyDay[[#This Row],[RowYear]])</f>
        <v>1447.4625560978309</v>
      </c>
      <c r="N695" s="75">
        <v>10284.75</v>
      </c>
      <c r="O695" s="33">
        <f>SUMIFS(DaybyDay[Service-Budgets],DaybyDay[Date],"&gt;="&amp;$C$5,DaybyDay[RowYear],"&gt;="&amp;$C$4,DaybyDay[Date],"&lt;="&amp;DaybyDay[[#This Row],[Date]])</f>
        <v>0</v>
      </c>
      <c r="P695" s="33">
        <f>SUMIFS(DaybyDay[Retail-Budgets],DaybyDay[Date],"&gt;="&amp;$C$5,DaybyDay[RowYear],"&gt;="&amp;$C$4,DaybyDay[Date],"&lt;="&amp;DaybyDay[[#This Row],[Date]])</f>
        <v>0</v>
      </c>
      <c r="Q695" s="34">
        <f>SUMIFS(DaybyDay[Service-Actuals],DaybyDay[Date],"&gt;="&amp;$C$5,DaybyDay[RowYear],"&gt;="&amp;$C$4,DaybyDay[Date],"&lt;="&amp;DaybyDay[[#This Row],[Date]])</f>
        <v>0</v>
      </c>
      <c r="R695" s="34">
        <f>SUMIFS(DaybyDay[Retail-Actuals],DaybyDay[Date],"&gt;="&amp;$C$5,DaybyDay[RowYear],"&gt;="&amp;$C$4,DaybyDay[Date],"&lt;="&amp;DaybyDay[[#This Row],[Date]])</f>
        <v>0</v>
      </c>
      <c r="S695" s="35">
        <f>SUMIFS(DaybyDay[Service-LY],DaybyDay[Date],"&gt;="&amp;$C$5,DaybyDay[RowYear],"&gt;="&amp;$C$4,DaybyDay[Date],"&lt;="&amp;DaybyDay[[#This Row],[Date]])</f>
        <v>0</v>
      </c>
      <c r="T695" s="35">
        <f>SUMIFS(DaybyDay[Retail-LY],DaybyDay[Date],"&gt;="&amp;$C$5,DaybyDay[RowYear],"&gt;="&amp;$C$4,DaybyDay[Date],"&lt;="&amp;DaybyDay[[#This Row],[Date]])</f>
        <v>0</v>
      </c>
      <c r="U695" s="32">
        <f>DaybyDay[[#This Row],[Serv-Bud-RU]]+DaybyDay[[#This Row],[Ret-Bud-RU]]</f>
        <v>0</v>
      </c>
      <c r="V695" s="32">
        <f>DaybyDay[[#This Row],[Serv-Act-RU]]+DaybyDay[[#This Row],[Ret-Act-RU]]</f>
        <v>0</v>
      </c>
      <c r="W695" s="36">
        <f>IF(DaybyDay[[#This Row],[_Space]],IFERROR(
((DaybyDay[[#This Row],[Actual-Rollup]]-DaybyDay[[#This Row],[Budget-Rollup]])/DaybyDay[[#This Row],[Budget-Rollup]]),0),"")</f>
        <v>0</v>
      </c>
      <c r="X695" t="b">
        <f>NOT(AND(ISBLANK(DaybyDay[[#This Row],[Appts]]),ISBLANK(DaybyDay[[#This Row],[Service-Actuals]]),ISBLANK(DaybyDay[[#This Row],[Retail-Actuals]])))</f>
        <v>1</v>
      </c>
      <c r="Y695" s="36">
        <f>IF(DaybyDay[[#This Row],[_Space]],IFERROR(
((DaybyDay[[#This Row],[Actual-Rollup]]-DaybyDay[[#This Row],[LY-Rollup]])/DaybyDay[[#This Row],[LY-Rollup]]),0),"")</f>
        <v>0</v>
      </c>
      <c r="Z695"/>
      <c r="AA695" s="37" t="e">
        <f>IF(DaybyDay[[#This Row],[_Space]],DaybyDay[[#This Row],[Ret-Act-RU]]/DaybyDay[[#This Row],[Serv-Act-RU]],"")</f>
        <v>#DIV/0!</v>
      </c>
      <c r="AB695" s="50" t="e">
        <f>IF(DaybyDay[[#This Row],[_Space]],DaybyDay[[#This Row],[RETPEN-Act]]/DaybyDay[[#This Row],[RETPEN-Bud]],"")</f>
        <v>#DIV/0!</v>
      </c>
      <c r="AC695" s="37" t="e">
        <f>IF(DaybyDay[[#This Row],[_Space]],DaybyDay[[#This Row],[Ret-Bud-RU]]/DaybyDay[[#This Row],[Serv-Bud-RU]],"")</f>
        <v>#DIV/0!</v>
      </c>
      <c r="AD695" s="37" t="e">
        <f>IF(DaybyDay[[#This Row],[_Space]],DaybyDay[[#This Row],[Ret-LY-RU]]/DaybyDay[[#This Row],[Serv-LY-RU]],"")</f>
        <v>#DIV/0!</v>
      </c>
      <c r="AE695" s="30">
        <f>WEEKDAY(DaybyDay[[#This Row],[LY-Date]])</f>
        <v>3</v>
      </c>
      <c r="AF695" s="38">
        <f>$E$2+_xlfn.DAYS(DaybyDay[[#This Row],[Date]],minDate)</f>
        <v>43060</v>
      </c>
      <c r="AG695" s="39" cm="1">
        <f t="array" ref="AG695">IFERROR(INDEX(DaybyDay[],DaybyDay[[#This Row],[FORM_MATCH_HELPER]],8),"")</f>
        <v>19</v>
      </c>
      <c r="AH695" s="39" cm="1">
        <f t="array" ref="AH695">IFERROR(INDEX(DaybyDay[],DaybyDay[[#This Row],[FORM_MATCH_HELPER]],10),"")</f>
        <v>2914.89</v>
      </c>
      <c r="AI695" s="39" cm="1">
        <f t="array" ref="AI695">IFERROR(INDEX(DaybyDay[],DaybyDay[[#This Row],[FORM_MATCH_HELPER]],12),"")</f>
        <v>-31.62</v>
      </c>
      <c r="AJ695" s="32">
        <f>IFERROR(DaybyDay[[#This Row],[Serv-LY-RU]]+DaybyDay[[#This Row],[Ret-LY-RU]],"")</f>
        <v>0</v>
      </c>
      <c r="AK6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5" s="77"/>
      <c r="AM695" s="40" t="str">
        <f>IF(DaybyDay[[#This Row],[Admin Hours]]&gt;0,DaybyDay[[#This Row],[Admin Hours]]*$AM$2+$AM$3,"")</f>
        <v/>
      </c>
      <c r="AN695" s="40">
        <f>SUMIFS(DaybyDay[Est-Admin-Payroll],DaybyDay[Date],"&gt;="&amp;$C$5,DaybyDay[RowYear],"&gt;="&amp;$C$4,DaybyDay[Date],"&lt;="&amp;DaybyDay[[#This Row],[Date]])</f>
        <v>0</v>
      </c>
      <c r="AO695" s="41" t="str">
        <f>IF(AND(DaybyDay[[#This Row],[_Space]],ISNUMBER(DaybyDay[[#This Row],[Admin Hours]])),DaybyDay[[#This Row],[Est-Admin-Payroll]]/(DaybyDay[[#This Row],[Service-Actuals]]+DaybyDay[[#This Row],[Retail-Actuals]]),"")</f>
        <v/>
      </c>
      <c r="AP695" s="41" t="e">
        <f>DaybyDay[[#This Row],[Estimated-Payroll-Rollup]]/DaybyDay[[#This Row],[Simple-Forecast]]</f>
        <v>#DIV/0!</v>
      </c>
      <c r="AQ6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5" s="77"/>
      <c r="AS695" s="40" t="str">
        <f>IF(DaybyDay[[#This Row],[Retail Hours]]&gt;0,DaybyDay[[#This Row],[Retail Hours]]*$AS$2,"")</f>
        <v/>
      </c>
      <c r="AT695" s="40">
        <f>SUMIFS(DaybyDay[Est-Retail-Payroll],DaybyDay[Date],"&gt;="&amp;$C$5,DaybyDay[RowYear],"&gt;="&amp;$C$4,DaybyDay[Date],"&lt;="&amp;DaybyDay[[#This Row],[Date]])</f>
        <v>0</v>
      </c>
      <c r="AU695" s="82" t="str">
        <f>IF(AND(DaybyDay[[#This Row],[_Space]],ISNUMBER(DaybyDay[[#This Row],[Retail Hours]])),DaybyDay[[#This Row],[Est-Retail-Payroll]]/(DaybyDay[[#This Row],[Retail-Actuals]]),"")</f>
        <v/>
      </c>
      <c r="AV695" s="82" t="e">
        <f>DaybyDay[[#This Row],[Est-Retail-PayrollRU]]/DaybyDay[[#This Row],[Simple-Forecast-Retail]]</f>
        <v>#DIV/0!</v>
      </c>
      <c r="AW695" s="8"/>
    </row>
    <row r="696" spans="3:49" hidden="1" x14ac:dyDescent="0.25">
      <c r="C696" s="26" t="str">
        <f>Tools!$C$1</f>
        <v>Example</v>
      </c>
      <c r="D696" s="27" t="s">
        <v>78</v>
      </c>
      <c r="E696" s="28">
        <v>2018</v>
      </c>
      <c r="F696" s="28">
        <f>MATCH(DaybyDay[[#This Row],[RowMonth]],Table3[SummaryMonth],0)</f>
        <v>11</v>
      </c>
      <c r="G696" s="29">
        <f>MATCH(DaybyDay[[#This Row],[LY-Date]],DaybyDay[Date],0)</f>
        <v>326</v>
      </c>
      <c r="H696" s="30">
        <f>WEEKDAY(DaybyDay[[#This Row],[Date]])</f>
        <v>4</v>
      </c>
      <c r="I696" s="31">
        <v>43425</v>
      </c>
      <c r="J696" s="74">
        <v>28</v>
      </c>
      <c r="K696" s="32">
        <f>SUMIFS(BudgetSeasonality[365 Seasonality],BudgetSeasonality[MonthAdjustment],DaybyDay[[#This Row],[Date]])*SUMIFS(Budgets[Service-Budget],Budgets[BudgetMonth],DaybyDay[[#This Row],[RowMonth]],Budgets[BudgetYear],DaybyDay[[#This Row],[RowYear]])</f>
        <v>5827.7718279853689</v>
      </c>
      <c r="L696" s="75">
        <v>5944.71</v>
      </c>
      <c r="M696" s="32">
        <f>INDEX(BudgetSeasonality[365 Seasonality],MATCH(DaybyDay[[#This Row],[Date]],BudgetSeasonality[MonthAdjustment],0))*SUMIFS(Budgets[Retail-Budget],Budgets[BudgetMonth],DaybyDay[[#This Row],[RowMonth]],Budgets[BudgetYear],DaybyDay[[#This Row],[RowYear]])</f>
        <v>1648.4620946057319</v>
      </c>
      <c r="N696" s="75">
        <v>1056</v>
      </c>
      <c r="O696" s="33">
        <f>SUMIFS(DaybyDay[Service-Budgets],DaybyDay[Date],"&gt;="&amp;$C$5,DaybyDay[RowYear],"&gt;="&amp;$C$4,DaybyDay[Date],"&lt;="&amp;DaybyDay[[#This Row],[Date]])</f>
        <v>0</v>
      </c>
      <c r="P696" s="33">
        <f>SUMIFS(DaybyDay[Retail-Budgets],DaybyDay[Date],"&gt;="&amp;$C$5,DaybyDay[RowYear],"&gt;="&amp;$C$4,DaybyDay[Date],"&lt;="&amp;DaybyDay[[#This Row],[Date]])</f>
        <v>0</v>
      </c>
      <c r="Q696" s="34">
        <f>SUMIFS(DaybyDay[Service-Actuals],DaybyDay[Date],"&gt;="&amp;$C$5,DaybyDay[RowYear],"&gt;="&amp;$C$4,DaybyDay[Date],"&lt;="&amp;DaybyDay[[#This Row],[Date]])</f>
        <v>0</v>
      </c>
      <c r="R696" s="34">
        <f>SUMIFS(DaybyDay[Retail-Actuals],DaybyDay[Date],"&gt;="&amp;$C$5,DaybyDay[RowYear],"&gt;="&amp;$C$4,DaybyDay[Date],"&lt;="&amp;DaybyDay[[#This Row],[Date]])</f>
        <v>0</v>
      </c>
      <c r="S696" s="35">
        <f>SUMIFS(DaybyDay[Service-LY],DaybyDay[Date],"&gt;="&amp;$C$5,DaybyDay[RowYear],"&gt;="&amp;$C$4,DaybyDay[Date],"&lt;="&amp;DaybyDay[[#This Row],[Date]])</f>
        <v>0</v>
      </c>
      <c r="T696" s="35">
        <f>SUMIFS(DaybyDay[Retail-LY],DaybyDay[Date],"&gt;="&amp;$C$5,DaybyDay[RowYear],"&gt;="&amp;$C$4,DaybyDay[Date],"&lt;="&amp;DaybyDay[[#This Row],[Date]])</f>
        <v>0</v>
      </c>
      <c r="U696" s="32">
        <f>DaybyDay[[#This Row],[Serv-Bud-RU]]+DaybyDay[[#This Row],[Ret-Bud-RU]]</f>
        <v>0</v>
      </c>
      <c r="V696" s="32">
        <f>DaybyDay[[#This Row],[Serv-Act-RU]]+DaybyDay[[#This Row],[Ret-Act-RU]]</f>
        <v>0</v>
      </c>
      <c r="W696" s="36">
        <f>IF(DaybyDay[[#This Row],[_Space]],IFERROR(
((DaybyDay[[#This Row],[Actual-Rollup]]-DaybyDay[[#This Row],[Budget-Rollup]])/DaybyDay[[#This Row],[Budget-Rollup]]),0),"")</f>
        <v>0</v>
      </c>
      <c r="X696" t="b">
        <f>NOT(AND(ISBLANK(DaybyDay[[#This Row],[Appts]]),ISBLANK(DaybyDay[[#This Row],[Service-Actuals]]),ISBLANK(DaybyDay[[#This Row],[Retail-Actuals]])))</f>
        <v>1</v>
      </c>
      <c r="Y696" s="36">
        <f>IF(DaybyDay[[#This Row],[_Space]],IFERROR(
((DaybyDay[[#This Row],[Actual-Rollup]]-DaybyDay[[#This Row],[LY-Rollup]])/DaybyDay[[#This Row],[LY-Rollup]]),0),"")</f>
        <v>0</v>
      </c>
      <c r="Z696"/>
      <c r="AA696" s="37" t="e">
        <f>IF(DaybyDay[[#This Row],[_Space]],DaybyDay[[#This Row],[Ret-Act-RU]]/DaybyDay[[#This Row],[Serv-Act-RU]],"")</f>
        <v>#DIV/0!</v>
      </c>
      <c r="AB696" s="50" t="e">
        <f>IF(DaybyDay[[#This Row],[_Space]],DaybyDay[[#This Row],[RETPEN-Act]]/DaybyDay[[#This Row],[RETPEN-Bud]],"")</f>
        <v>#DIV/0!</v>
      </c>
      <c r="AC696" s="37" t="e">
        <f>IF(DaybyDay[[#This Row],[_Space]],DaybyDay[[#This Row],[Ret-Bud-RU]]/DaybyDay[[#This Row],[Serv-Bud-RU]],"")</f>
        <v>#DIV/0!</v>
      </c>
      <c r="AD696" s="37" t="e">
        <f>IF(DaybyDay[[#This Row],[_Space]],DaybyDay[[#This Row],[Ret-LY-RU]]/DaybyDay[[#This Row],[Serv-LY-RU]],"")</f>
        <v>#DIV/0!</v>
      </c>
      <c r="AE696" s="30">
        <f>WEEKDAY(DaybyDay[[#This Row],[LY-Date]])</f>
        <v>4</v>
      </c>
      <c r="AF696" s="38">
        <f>$E$2+_xlfn.DAYS(DaybyDay[[#This Row],[Date]],minDate)</f>
        <v>43061</v>
      </c>
      <c r="AG696" s="39" cm="1">
        <f t="array" ref="AG696">IFERROR(INDEX(DaybyDay[],DaybyDay[[#This Row],[FORM_MATCH_HELPER]],8),"")</f>
        <v>20</v>
      </c>
      <c r="AH696" s="39" cm="1">
        <f t="array" ref="AH696">IFERROR(INDEX(DaybyDay[],DaybyDay[[#This Row],[FORM_MATCH_HELPER]],10),"")</f>
        <v>4503.6000000000004</v>
      </c>
      <c r="AI696" s="39" cm="1">
        <f t="array" ref="AI696">IFERROR(INDEX(DaybyDay[],DaybyDay[[#This Row],[FORM_MATCH_HELPER]],12),"")</f>
        <v>5745</v>
      </c>
      <c r="AJ696" s="32">
        <f>IFERROR(DaybyDay[[#This Row],[Serv-LY-RU]]+DaybyDay[[#This Row],[Ret-LY-RU]],"")</f>
        <v>0</v>
      </c>
      <c r="AK6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6" s="77"/>
      <c r="AM696" s="40" t="str">
        <f>IF(DaybyDay[[#This Row],[Admin Hours]]&gt;0,DaybyDay[[#This Row],[Admin Hours]]*$AM$2+$AM$3,"")</f>
        <v/>
      </c>
      <c r="AN696" s="40">
        <f>SUMIFS(DaybyDay[Est-Admin-Payroll],DaybyDay[Date],"&gt;="&amp;$C$5,DaybyDay[RowYear],"&gt;="&amp;$C$4,DaybyDay[Date],"&lt;="&amp;DaybyDay[[#This Row],[Date]])</f>
        <v>0</v>
      </c>
      <c r="AO696" s="41" t="str">
        <f>IF(AND(DaybyDay[[#This Row],[_Space]],ISNUMBER(DaybyDay[[#This Row],[Admin Hours]])),DaybyDay[[#This Row],[Est-Admin-Payroll]]/(DaybyDay[[#This Row],[Service-Actuals]]+DaybyDay[[#This Row],[Retail-Actuals]]),"")</f>
        <v/>
      </c>
      <c r="AP696" s="41" t="e">
        <f>DaybyDay[[#This Row],[Estimated-Payroll-Rollup]]/DaybyDay[[#This Row],[Simple-Forecast]]</f>
        <v>#DIV/0!</v>
      </c>
      <c r="AQ6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6" s="77"/>
      <c r="AS696" s="40" t="str">
        <f>IF(DaybyDay[[#This Row],[Retail Hours]]&gt;0,DaybyDay[[#This Row],[Retail Hours]]*$AS$2,"")</f>
        <v/>
      </c>
      <c r="AT696" s="40">
        <f>SUMIFS(DaybyDay[Est-Retail-Payroll],DaybyDay[Date],"&gt;="&amp;$C$5,DaybyDay[RowYear],"&gt;="&amp;$C$4,DaybyDay[Date],"&lt;="&amp;DaybyDay[[#This Row],[Date]])</f>
        <v>0</v>
      </c>
      <c r="AU696" s="82" t="str">
        <f>IF(AND(DaybyDay[[#This Row],[_Space]],ISNUMBER(DaybyDay[[#This Row],[Retail Hours]])),DaybyDay[[#This Row],[Est-Retail-Payroll]]/(DaybyDay[[#This Row],[Retail-Actuals]]),"")</f>
        <v/>
      </c>
      <c r="AV696" s="82" t="e">
        <f>DaybyDay[[#This Row],[Est-Retail-PayrollRU]]/DaybyDay[[#This Row],[Simple-Forecast-Retail]]</f>
        <v>#DIV/0!</v>
      </c>
      <c r="AW696" s="8"/>
    </row>
    <row r="697" spans="3:49" hidden="1" x14ac:dyDescent="0.25">
      <c r="C697" s="26" t="str">
        <f>Tools!$C$1</f>
        <v>Example</v>
      </c>
      <c r="D697" s="27" t="s">
        <v>78</v>
      </c>
      <c r="E697" s="28">
        <v>2018</v>
      </c>
      <c r="F697" s="28">
        <f>MATCH(DaybyDay[[#This Row],[RowMonth]],Table3[SummaryMonth],0)</f>
        <v>11</v>
      </c>
      <c r="G697" s="29">
        <f>MATCH(DaybyDay[[#This Row],[LY-Date]],DaybyDay[Date],0)</f>
        <v>327</v>
      </c>
      <c r="H697" s="30">
        <f>WEEKDAY(DaybyDay[[#This Row],[Date]])</f>
        <v>5</v>
      </c>
      <c r="I697" s="31">
        <v>43426</v>
      </c>
      <c r="J697" s="74">
        <v>9</v>
      </c>
      <c r="K697" s="32">
        <f>SUMIFS(BudgetSeasonality[365 Seasonality],BudgetSeasonality[MonthAdjustment],DaybyDay[[#This Row],[Date]])*SUMIFS(Budgets[Service-Budget],Budgets[BudgetMonth],DaybyDay[[#This Row],[RowMonth]],Budgets[BudgetYear],DaybyDay[[#This Row],[RowYear]])</f>
        <v>5942.446481554095</v>
      </c>
      <c r="L697" s="75">
        <v>2230.5</v>
      </c>
      <c r="M697" s="32">
        <f>INDEX(BudgetSeasonality[365 Seasonality],MATCH(DaybyDay[[#This Row],[Date]],BudgetSeasonality[MonthAdjustment],0))*SUMIFS(Budgets[Retail-Budget],Budgets[BudgetMonth],DaybyDay[[#This Row],[RowMonth]],Budgets[BudgetYear],DaybyDay[[#This Row],[RowYear]])</f>
        <v>1680.899332232696</v>
      </c>
      <c r="N697" s="75">
        <v>47.5</v>
      </c>
      <c r="O697" s="33">
        <f>SUMIFS(DaybyDay[Service-Budgets],DaybyDay[Date],"&gt;="&amp;$C$5,DaybyDay[RowYear],"&gt;="&amp;$C$4,DaybyDay[Date],"&lt;="&amp;DaybyDay[[#This Row],[Date]])</f>
        <v>0</v>
      </c>
      <c r="P697" s="33">
        <f>SUMIFS(DaybyDay[Retail-Budgets],DaybyDay[Date],"&gt;="&amp;$C$5,DaybyDay[RowYear],"&gt;="&amp;$C$4,DaybyDay[Date],"&lt;="&amp;DaybyDay[[#This Row],[Date]])</f>
        <v>0</v>
      </c>
      <c r="Q697" s="34">
        <f>SUMIFS(DaybyDay[Service-Actuals],DaybyDay[Date],"&gt;="&amp;$C$5,DaybyDay[RowYear],"&gt;="&amp;$C$4,DaybyDay[Date],"&lt;="&amp;DaybyDay[[#This Row],[Date]])</f>
        <v>0</v>
      </c>
      <c r="R697" s="34">
        <f>SUMIFS(DaybyDay[Retail-Actuals],DaybyDay[Date],"&gt;="&amp;$C$5,DaybyDay[RowYear],"&gt;="&amp;$C$4,DaybyDay[Date],"&lt;="&amp;DaybyDay[[#This Row],[Date]])</f>
        <v>0</v>
      </c>
      <c r="S697" s="35">
        <f>SUMIFS(DaybyDay[Service-LY],DaybyDay[Date],"&gt;="&amp;$C$5,DaybyDay[RowYear],"&gt;="&amp;$C$4,DaybyDay[Date],"&lt;="&amp;DaybyDay[[#This Row],[Date]])</f>
        <v>0</v>
      </c>
      <c r="T697" s="35">
        <f>SUMIFS(DaybyDay[Retail-LY],DaybyDay[Date],"&gt;="&amp;$C$5,DaybyDay[RowYear],"&gt;="&amp;$C$4,DaybyDay[Date],"&lt;="&amp;DaybyDay[[#This Row],[Date]])</f>
        <v>0</v>
      </c>
      <c r="U697" s="32">
        <f>DaybyDay[[#This Row],[Serv-Bud-RU]]+DaybyDay[[#This Row],[Ret-Bud-RU]]</f>
        <v>0</v>
      </c>
      <c r="V697" s="32">
        <f>DaybyDay[[#This Row],[Serv-Act-RU]]+DaybyDay[[#This Row],[Ret-Act-RU]]</f>
        <v>0</v>
      </c>
      <c r="W697" s="36">
        <f>IF(DaybyDay[[#This Row],[_Space]],IFERROR(
((DaybyDay[[#This Row],[Actual-Rollup]]-DaybyDay[[#This Row],[Budget-Rollup]])/DaybyDay[[#This Row],[Budget-Rollup]]),0),"")</f>
        <v>0</v>
      </c>
      <c r="X697" t="b">
        <f>NOT(AND(ISBLANK(DaybyDay[[#This Row],[Appts]]),ISBLANK(DaybyDay[[#This Row],[Service-Actuals]]),ISBLANK(DaybyDay[[#This Row],[Retail-Actuals]])))</f>
        <v>1</v>
      </c>
      <c r="Y697" s="36">
        <f>IF(DaybyDay[[#This Row],[_Space]],IFERROR(
((DaybyDay[[#This Row],[Actual-Rollup]]-DaybyDay[[#This Row],[LY-Rollup]])/DaybyDay[[#This Row],[LY-Rollup]]),0),"")</f>
        <v>0</v>
      </c>
      <c r="Z697"/>
      <c r="AA697" s="37" t="e">
        <f>IF(DaybyDay[[#This Row],[_Space]],DaybyDay[[#This Row],[Ret-Act-RU]]/DaybyDay[[#This Row],[Serv-Act-RU]],"")</f>
        <v>#DIV/0!</v>
      </c>
      <c r="AB697" s="50" t="e">
        <f>IF(DaybyDay[[#This Row],[_Space]],DaybyDay[[#This Row],[RETPEN-Act]]/DaybyDay[[#This Row],[RETPEN-Bud]],"")</f>
        <v>#DIV/0!</v>
      </c>
      <c r="AC697" s="37" t="e">
        <f>IF(DaybyDay[[#This Row],[_Space]],DaybyDay[[#This Row],[Ret-Bud-RU]]/DaybyDay[[#This Row],[Serv-Bud-RU]],"")</f>
        <v>#DIV/0!</v>
      </c>
      <c r="AD697" s="37" t="e">
        <f>IF(DaybyDay[[#This Row],[_Space]],DaybyDay[[#This Row],[Ret-LY-RU]]/DaybyDay[[#This Row],[Serv-LY-RU]],"")</f>
        <v>#DIV/0!</v>
      </c>
      <c r="AE697" s="30">
        <f>WEEKDAY(DaybyDay[[#This Row],[LY-Date]])</f>
        <v>5</v>
      </c>
      <c r="AF697" s="38">
        <f>$E$2+_xlfn.DAYS(DaybyDay[[#This Row],[Date]],minDate)</f>
        <v>43062</v>
      </c>
      <c r="AG697" s="39" cm="1">
        <f t="array" ref="AG697">IFERROR(INDEX(DaybyDay[],DaybyDay[[#This Row],[FORM_MATCH_HELPER]],8),"")</f>
        <v>15</v>
      </c>
      <c r="AH697" s="39" cm="1">
        <f t="array" ref="AH697">IFERROR(INDEX(DaybyDay[],DaybyDay[[#This Row],[FORM_MATCH_HELPER]],10),"")</f>
        <v>3996</v>
      </c>
      <c r="AI697" s="39" cm="1">
        <f t="array" ref="AI697">IFERROR(INDEX(DaybyDay[],DaybyDay[[#This Row],[FORM_MATCH_HELPER]],12),"")</f>
        <v>1273</v>
      </c>
      <c r="AJ697" s="32">
        <f>IFERROR(DaybyDay[[#This Row],[Serv-LY-RU]]+DaybyDay[[#This Row],[Ret-LY-RU]],"")</f>
        <v>0</v>
      </c>
      <c r="AK6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7" s="77"/>
      <c r="AM697" s="40" t="str">
        <f>IF(DaybyDay[[#This Row],[Admin Hours]]&gt;0,DaybyDay[[#This Row],[Admin Hours]]*$AM$2+$AM$3,"")</f>
        <v/>
      </c>
      <c r="AN697" s="40">
        <f>SUMIFS(DaybyDay[Est-Admin-Payroll],DaybyDay[Date],"&gt;="&amp;$C$5,DaybyDay[RowYear],"&gt;="&amp;$C$4,DaybyDay[Date],"&lt;="&amp;DaybyDay[[#This Row],[Date]])</f>
        <v>0</v>
      </c>
      <c r="AO697" s="41" t="str">
        <f>IF(AND(DaybyDay[[#This Row],[_Space]],ISNUMBER(DaybyDay[[#This Row],[Admin Hours]])),DaybyDay[[#This Row],[Est-Admin-Payroll]]/(DaybyDay[[#This Row],[Service-Actuals]]+DaybyDay[[#This Row],[Retail-Actuals]]),"")</f>
        <v/>
      </c>
      <c r="AP697" s="41" t="e">
        <f>DaybyDay[[#This Row],[Estimated-Payroll-Rollup]]/DaybyDay[[#This Row],[Simple-Forecast]]</f>
        <v>#DIV/0!</v>
      </c>
      <c r="AQ6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7" s="77"/>
      <c r="AS697" s="40" t="str">
        <f>IF(DaybyDay[[#This Row],[Retail Hours]]&gt;0,DaybyDay[[#This Row],[Retail Hours]]*$AS$2,"")</f>
        <v/>
      </c>
      <c r="AT697" s="40">
        <f>SUMIFS(DaybyDay[Est-Retail-Payroll],DaybyDay[Date],"&gt;="&amp;$C$5,DaybyDay[RowYear],"&gt;="&amp;$C$4,DaybyDay[Date],"&lt;="&amp;DaybyDay[[#This Row],[Date]])</f>
        <v>0</v>
      </c>
      <c r="AU697" s="82" t="str">
        <f>IF(AND(DaybyDay[[#This Row],[_Space]],ISNUMBER(DaybyDay[[#This Row],[Retail Hours]])),DaybyDay[[#This Row],[Est-Retail-Payroll]]/(DaybyDay[[#This Row],[Retail-Actuals]]),"")</f>
        <v/>
      </c>
      <c r="AV697" s="82" t="e">
        <f>DaybyDay[[#This Row],[Est-Retail-PayrollRU]]/DaybyDay[[#This Row],[Simple-Forecast-Retail]]</f>
        <v>#DIV/0!</v>
      </c>
      <c r="AW697" s="8"/>
    </row>
    <row r="698" spans="3:49" hidden="1" x14ac:dyDescent="0.25">
      <c r="C698" s="26" t="str">
        <f>Tools!$C$1</f>
        <v>Example</v>
      </c>
      <c r="D698" s="27" t="s">
        <v>78</v>
      </c>
      <c r="E698" s="28">
        <v>2018</v>
      </c>
      <c r="F698" s="28">
        <f>MATCH(DaybyDay[[#This Row],[RowMonth]],Table3[SummaryMonth],0)</f>
        <v>11</v>
      </c>
      <c r="G698" s="29">
        <f>MATCH(DaybyDay[[#This Row],[LY-Date]],DaybyDay[Date],0)</f>
        <v>328</v>
      </c>
      <c r="H698" s="30">
        <f>WEEKDAY(DaybyDay[[#This Row],[Date]])</f>
        <v>6</v>
      </c>
      <c r="I698" s="31">
        <v>43427</v>
      </c>
      <c r="J698" s="74">
        <v>21</v>
      </c>
      <c r="K698" s="32">
        <f>SUMIFS(BudgetSeasonality[365 Seasonality],BudgetSeasonality[MonthAdjustment],DaybyDay[[#This Row],[Date]])*SUMIFS(Budgets[Service-Budget],Budgets[BudgetMonth],DaybyDay[[#This Row],[RowMonth]],Budgets[BudgetYear],DaybyDay[[#This Row],[RowYear]])</f>
        <v>7300.7552249046576</v>
      </c>
      <c r="L698" s="75">
        <v>4990.8999999999996</v>
      </c>
      <c r="M698" s="32">
        <f>INDEX(BudgetSeasonality[365 Seasonality],MATCH(DaybyDay[[#This Row],[Date]],BudgetSeasonality[MonthAdjustment],0))*SUMIFS(Budgets[Retail-Budget],Budgets[BudgetMonth],DaybyDay[[#This Row],[RowMonth]],Budgets[BudgetYear],DaybyDay[[#This Row],[RowYear]])</f>
        <v>2065.1148681657492</v>
      </c>
      <c r="N698" s="75">
        <v>1505.5</v>
      </c>
      <c r="O698" s="33">
        <f>SUMIFS(DaybyDay[Service-Budgets],DaybyDay[Date],"&gt;="&amp;$C$5,DaybyDay[RowYear],"&gt;="&amp;$C$4,DaybyDay[Date],"&lt;="&amp;DaybyDay[[#This Row],[Date]])</f>
        <v>0</v>
      </c>
      <c r="P698" s="33">
        <f>SUMIFS(DaybyDay[Retail-Budgets],DaybyDay[Date],"&gt;="&amp;$C$5,DaybyDay[RowYear],"&gt;="&amp;$C$4,DaybyDay[Date],"&lt;="&amp;DaybyDay[[#This Row],[Date]])</f>
        <v>0</v>
      </c>
      <c r="Q698" s="34">
        <f>SUMIFS(DaybyDay[Service-Actuals],DaybyDay[Date],"&gt;="&amp;$C$5,DaybyDay[RowYear],"&gt;="&amp;$C$4,DaybyDay[Date],"&lt;="&amp;DaybyDay[[#This Row],[Date]])</f>
        <v>0</v>
      </c>
      <c r="R698" s="34">
        <f>SUMIFS(DaybyDay[Retail-Actuals],DaybyDay[Date],"&gt;="&amp;$C$5,DaybyDay[RowYear],"&gt;="&amp;$C$4,DaybyDay[Date],"&lt;="&amp;DaybyDay[[#This Row],[Date]])</f>
        <v>0</v>
      </c>
      <c r="S698" s="35">
        <f>SUMIFS(DaybyDay[Service-LY],DaybyDay[Date],"&gt;="&amp;$C$5,DaybyDay[RowYear],"&gt;="&amp;$C$4,DaybyDay[Date],"&lt;="&amp;DaybyDay[[#This Row],[Date]])</f>
        <v>0</v>
      </c>
      <c r="T698" s="35">
        <f>SUMIFS(DaybyDay[Retail-LY],DaybyDay[Date],"&gt;="&amp;$C$5,DaybyDay[RowYear],"&gt;="&amp;$C$4,DaybyDay[Date],"&lt;="&amp;DaybyDay[[#This Row],[Date]])</f>
        <v>0</v>
      </c>
      <c r="U698" s="32">
        <f>DaybyDay[[#This Row],[Serv-Bud-RU]]+DaybyDay[[#This Row],[Ret-Bud-RU]]</f>
        <v>0</v>
      </c>
      <c r="V698" s="32">
        <f>DaybyDay[[#This Row],[Serv-Act-RU]]+DaybyDay[[#This Row],[Ret-Act-RU]]</f>
        <v>0</v>
      </c>
      <c r="W698" s="36">
        <f>IF(DaybyDay[[#This Row],[_Space]],IFERROR(
((DaybyDay[[#This Row],[Actual-Rollup]]-DaybyDay[[#This Row],[Budget-Rollup]])/DaybyDay[[#This Row],[Budget-Rollup]]),0),"")</f>
        <v>0</v>
      </c>
      <c r="X698" t="b">
        <f>NOT(AND(ISBLANK(DaybyDay[[#This Row],[Appts]]),ISBLANK(DaybyDay[[#This Row],[Service-Actuals]]),ISBLANK(DaybyDay[[#This Row],[Retail-Actuals]])))</f>
        <v>1</v>
      </c>
      <c r="Y698" s="36">
        <f>IF(DaybyDay[[#This Row],[_Space]],IFERROR(
((DaybyDay[[#This Row],[Actual-Rollup]]-DaybyDay[[#This Row],[LY-Rollup]])/DaybyDay[[#This Row],[LY-Rollup]]),0),"")</f>
        <v>0</v>
      </c>
      <c r="Z698"/>
      <c r="AA698" s="37" t="e">
        <f>IF(DaybyDay[[#This Row],[_Space]],DaybyDay[[#This Row],[Ret-Act-RU]]/DaybyDay[[#This Row],[Serv-Act-RU]],"")</f>
        <v>#DIV/0!</v>
      </c>
      <c r="AB698" s="50" t="e">
        <f>IF(DaybyDay[[#This Row],[_Space]],DaybyDay[[#This Row],[RETPEN-Act]]/DaybyDay[[#This Row],[RETPEN-Bud]],"")</f>
        <v>#DIV/0!</v>
      </c>
      <c r="AC698" s="37" t="e">
        <f>IF(DaybyDay[[#This Row],[_Space]],DaybyDay[[#This Row],[Ret-Bud-RU]]/DaybyDay[[#This Row],[Serv-Bud-RU]],"")</f>
        <v>#DIV/0!</v>
      </c>
      <c r="AD698" s="37" t="e">
        <f>IF(DaybyDay[[#This Row],[_Space]],DaybyDay[[#This Row],[Ret-LY-RU]]/DaybyDay[[#This Row],[Serv-LY-RU]],"")</f>
        <v>#DIV/0!</v>
      </c>
      <c r="AE698" s="30">
        <f>WEEKDAY(DaybyDay[[#This Row],[LY-Date]])</f>
        <v>6</v>
      </c>
      <c r="AF698" s="38">
        <f>$E$2+_xlfn.DAYS(DaybyDay[[#This Row],[Date]],minDate)</f>
        <v>43063</v>
      </c>
      <c r="AG698" s="39" cm="1">
        <f t="array" ref="AG698">IFERROR(INDEX(DaybyDay[],DaybyDay[[#This Row],[FORM_MATCH_HELPER]],8),"")</f>
        <v>33</v>
      </c>
      <c r="AH698" s="39" cm="1">
        <f t="array" ref="AH698">IFERROR(INDEX(DaybyDay[],DaybyDay[[#This Row],[FORM_MATCH_HELPER]],10),"")</f>
        <v>6488.7</v>
      </c>
      <c r="AI698" s="39" cm="1">
        <f t="array" ref="AI698">IFERROR(INDEX(DaybyDay[],DaybyDay[[#This Row],[FORM_MATCH_HELPER]],12),"")</f>
        <v>-22</v>
      </c>
      <c r="AJ698" s="32">
        <f>IFERROR(DaybyDay[[#This Row],[Serv-LY-RU]]+DaybyDay[[#This Row],[Ret-LY-RU]],"")</f>
        <v>0</v>
      </c>
      <c r="AK6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8" s="77"/>
      <c r="AM698" s="40" t="str">
        <f>IF(DaybyDay[[#This Row],[Admin Hours]]&gt;0,DaybyDay[[#This Row],[Admin Hours]]*$AM$2+$AM$3,"")</f>
        <v/>
      </c>
      <c r="AN698" s="40">
        <f>SUMIFS(DaybyDay[Est-Admin-Payroll],DaybyDay[Date],"&gt;="&amp;$C$5,DaybyDay[RowYear],"&gt;="&amp;$C$4,DaybyDay[Date],"&lt;="&amp;DaybyDay[[#This Row],[Date]])</f>
        <v>0</v>
      </c>
      <c r="AO698" s="41" t="str">
        <f>IF(AND(DaybyDay[[#This Row],[_Space]],ISNUMBER(DaybyDay[[#This Row],[Admin Hours]])),DaybyDay[[#This Row],[Est-Admin-Payroll]]/(DaybyDay[[#This Row],[Service-Actuals]]+DaybyDay[[#This Row],[Retail-Actuals]]),"")</f>
        <v/>
      </c>
      <c r="AP698" s="41" t="e">
        <f>DaybyDay[[#This Row],[Estimated-Payroll-Rollup]]/DaybyDay[[#This Row],[Simple-Forecast]]</f>
        <v>#DIV/0!</v>
      </c>
      <c r="AQ6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8" s="77"/>
      <c r="AS698" s="40" t="str">
        <f>IF(DaybyDay[[#This Row],[Retail Hours]]&gt;0,DaybyDay[[#This Row],[Retail Hours]]*$AS$2,"")</f>
        <v/>
      </c>
      <c r="AT698" s="40">
        <f>SUMIFS(DaybyDay[Est-Retail-Payroll],DaybyDay[Date],"&gt;="&amp;$C$5,DaybyDay[RowYear],"&gt;="&amp;$C$4,DaybyDay[Date],"&lt;="&amp;DaybyDay[[#This Row],[Date]])</f>
        <v>0</v>
      </c>
      <c r="AU698" s="82" t="str">
        <f>IF(AND(DaybyDay[[#This Row],[_Space]],ISNUMBER(DaybyDay[[#This Row],[Retail Hours]])),DaybyDay[[#This Row],[Est-Retail-Payroll]]/(DaybyDay[[#This Row],[Retail-Actuals]]),"")</f>
        <v/>
      </c>
      <c r="AV698" s="82" t="e">
        <f>DaybyDay[[#This Row],[Est-Retail-PayrollRU]]/DaybyDay[[#This Row],[Simple-Forecast-Retail]]</f>
        <v>#DIV/0!</v>
      </c>
      <c r="AW698" s="8"/>
    </row>
    <row r="699" spans="3:49" hidden="1" x14ac:dyDescent="0.25">
      <c r="C699" s="26" t="str">
        <f>Tools!$C$1</f>
        <v>Example</v>
      </c>
      <c r="D699" s="27" t="s">
        <v>78</v>
      </c>
      <c r="E699" s="28">
        <v>2018</v>
      </c>
      <c r="F699" s="28">
        <f>MATCH(DaybyDay[[#This Row],[RowMonth]],Table3[SummaryMonth],0)</f>
        <v>11</v>
      </c>
      <c r="G699" s="29">
        <f>MATCH(DaybyDay[[#This Row],[LY-Date]],DaybyDay[Date],0)</f>
        <v>329</v>
      </c>
      <c r="H699" s="30">
        <f>WEEKDAY(DaybyDay[[#This Row],[Date]])</f>
        <v>7</v>
      </c>
      <c r="I699" s="31">
        <v>43428</v>
      </c>
      <c r="J699" s="74">
        <v>28</v>
      </c>
      <c r="K699" s="32">
        <f>SUMIFS(BudgetSeasonality[365 Seasonality],BudgetSeasonality[MonthAdjustment],DaybyDay[[#This Row],[Date]])*SUMIFS(Budgets[Service-Budget],Budgets[BudgetMonth],DaybyDay[[#This Row],[RowMonth]],Budgets[BudgetYear],DaybyDay[[#This Row],[RowYear]])</f>
        <v>10223.021900399237</v>
      </c>
      <c r="L699" s="75">
        <v>6673</v>
      </c>
      <c r="M699" s="32">
        <f>INDEX(BudgetSeasonality[365 Seasonality],MATCH(DaybyDay[[#This Row],[Date]],BudgetSeasonality[MonthAdjustment],0))*SUMIFS(Budgets[Retail-Budget],Budgets[BudgetMonth],DaybyDay[[#This Row],[RowMonth]],Budgets[BudgetYear],DaybyDay[[#This Row],[RowYear]])</f>
        <v>2891.716524350978</v>
      </c>
      <c r="N699" s="75">
        <v>1287.75</v>
      </c>
      <c r="O699" s="33">
        <f>SUMIFS(DaybyDay[Service-Budgets],DaybyDay[Date],"&gt;="&amp;$C$5,DaybyDay[RowYear],"&gt;="&amp;$C$4,DaybyDay[Date],"&lt;="&amp;DaybyDay[[#This Row],[Date]])</f>
        <v>0</v>
      </c>
      <c r="P699" s="33">
        <f>SUMIFS(DaybyDay[Retail-Budgets],DaybyDay[Date],"&gt;="&amp;$C$5,DaybyDay[RowYear],"&gt;="&amp;$C$4,DaybyDay[Date],"&lt;="&amp;DaybyDay[[#This Row],[Date]])</f>
        <v>0</v>
      </c>
      <c r="Q699" s="34">
        <f>SUMIFS(DaybyDay[Service-Actuals],DaybyDay[Date],"&gt;="&amp;$C$5,DaybyDay[RowYear],"&gt;="&amp;$C$4,DaybyDay[Date],"&lt;="&amp;DaybyDay[[#This Row],[Date]])</f>
        <v>0</v>
      </c>
      <c r="R699" s="34">
        <f>SUMIFS(DaybyDay[Retail-Actuals],DaybyDay[Date],"&gt;="&amp;$C$5,DaybyDay[RowYear],"&gt;="&amp;$C$4,DaybyDay[Date],"&lt;="&amp;DaybyDay[[#This Row],[Date]])</f>
        <v>0</v>
      </c>
      <c r="S699" s="35">
        <f>SUMIFS(DaybyDay[Service-LY],DaybyDay[Date],"&gt;="&amp;$C$5,DaybyDay[RowYear],"&gt;="&amp;$C$4,DaybyDay[Date],"&lt;="&amp;DaybyDay[[#This Row],[Date]])</f>
        <v>0</v>
      </c>
      <c r="T699" s="35">
        <f>SUMIFS(DaybyDay[Retail-LY],DaybyDay[Date],"&gt;="&amp;$C$5,DaybyDay[RowYear],"&gt;="&amp;$C$4,DaybyDay[Date],"&lt;="&amp;DaybyDay[[#This Row],[Date]])</f>
        <v>0</v>
      </c>
      <c r="U699" s="32">
        <f>DaybyDay[[#This Row],[Serv-Bud-RU]]+DaybyDay[[#This Row],[Ret-Bud-RU]]</f>
        <v>0</v>
      </c>
      <c r="V699" s="32">
        <f>DaybyDay[[#This Row],[Serv-Act-RU]]+DaybyDay[[#This Row],[Ret-Act-RU]]</f>
        <v>0</v>
      </c>
      <c r="W699" s="36">
        <f>IF(DaybyDay[[#This Row],[_Space]],IFERROR(
((DaybyDay[[#This Row],[Actual-Rollup]]-DaybyDay[[#This Row],[Budget-Rollup]])/DaybyDay[[#This Row],[Budget-Rollup]]),0),"")</f>
        <v>0</v>
      </c>
      <c r="X699" t="b">
        <f>NOT(AND(ISBLANK(DaybyDay[[#This Row],[Appts]]),ISBLANK(DaybyDay[[#This Row],[Service-Actuals]]),ISBLANK(DaybyDay[[#This Row],[Retail-Actuals]])))</f>
        <v>1</v>
      </c>
      <c r="Y699" s="36">
        <f>IF(DaybyDay[[#This Row],[_Space]],IFERROR(
((DaybyDay[[#This Row],[Actual-Rollup]]-DaybyDay[[#This Row],[LY-Rollup]])/DaybyDay[[#This Row],[LY-Rollup]]),0),"")</f>
        <v>0</v>
      </c>
      <c r="Z699"/>
      <c r="AA699" s="37" t="e">
        <f>IF(DaybyDay[[#This Row],[_Space]],DaybyDay[[#This Row],[Ret-Act-RU]]/DaybyDay[[#This Row],[Serv-Act-RU]],"")</f>
        <v>#DIV/0!</v>
      </c>
      <c r="AB699" s="50" t="e">
        <f>IF(DaybyDay[[#This Row],[_Space]],DaybyDay[[#This Row],[RETPEN-Act]]/DaybyDay[[#This Row],[RETPEN-Bud]],"")</f>
        <v>#DIV/0!</v>
      </c>
      <c r="AC699" s="37" t="e">
        <f>IF(DaybyDay[[#This Row],[_Space]],DaybyDay[[#This Row],[Ret-Bud-RU]]/DaybyDay[[#This Row],[Serv-Bud-RU]],"")</f>
        <v>#DIV/0!</v>
      </c>
      <c r="AD699" s="37" t="e">
        <f>IF(DaybyDay[[#This Row],[_Space]],DaybyDay[[#This Row],[Ret-LY-RU]]/DaybyDay[[#This Row],[Serv-LY-RU]],"")</f>
        <v>#DIV/0!</v>
      </c>
      <c r="AE699" s="30">
        <f>WEEKDAY(DaybyDay[[#This Row],[LY-Date]])</f>
        <v>7</v>
      </c>
      <c r="AF699" s="38">
        <f>$E$2+_xlfn.DAYS(DaybyDay[[#This Row],[Date]],minDate)</f>
        <v>43064</v>
      </c>
      <c r="AG699" s="39" cm="1">
        <f t="array" ref="AG699">IFERROR(INDEX(DaybyDay[],DaybyDay[[#This Row],[FORM_MATCH_HELPER]],8),"")</f>
        <v>21</v>
      </c>
      <c r="AH699" s="39" cm="1">
        <f t="array" ref="AH699">IFERROR(INDEX(DaybyDay[],DaybyDay[[#This Row],[FORM_MATCH_HELPER]],10),"")</f>
        <v>4639.25</v>
      </c>
      <c r="AI699" s="39" cm="1">
        <f t="array" ref="AI699">IFERROR(INDEX(DaybyDay[],DaybyDay[[#This Row],[FORM_MATCH_HELPER]],12),"")</f>
        <v>2572.58</v>
      </c>
      <c r="AJ699" s="32">
        <f>IFERROR(DaybyDay[[#This Row],[Serv-LY-RU]]+DaybyDay[[#This Row],[Ret-LY-RU]],"")</f>
        <v>0</v>
      </c>
      <c r="AK6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699" s="77"/>
      <c r="AM699" s="40" t="str">
        <f>IF(DaybyDay[[#This Row],[Admin Hours]]&gt;0,DaybyDay[[#This Row],[Admin Hours]]*$AM$2+$AM$3,"")</f>
        <v/>
      </c>
      <c r="AN699" s="40">
        <f>SUMIFS(DaybyDay[Est-Admin-Payroll],DaybyDay[Date],"&gt;="&amp;$C$5,DaybyDay[RowYear],"&gt;="&amp;$C$4,DaybyDay[Date],"&lt;="&amp;DaybyDay[[#This Row],[Date]])</f>
        <v>0</v>
      </c>
      <c r="AO699" s="41" t="str">
        <f>IF(AND(DaybyDay[[#This Row],[_Space]],ISNUMBER(DaybyDay[[#This Row],[Admin Hours]])),DaybyDay[[#This Row],[Est-Admin-Payroll]]/(DaybyDay[[#This Row],[Service-Actuals]]+DaybyDay[[#This Row],[Retail-Actuals]]),"")</f>
        <v/>
      </c>
      <c r="AP699" s="41" t="e">
        <f>DaybyDay[[#This Row],[Estimated-Payroll-Rollup]]/DaybyDay[[#This Row],[Simple-Forecast]]</f>
        <v>#DIV/0!</v>
      </c>
      <c r="AQ6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699" s="77"/>
      <c r="AS699" s="40" t="str">
        <f>IF(DaybyDay[[#This Row],[Retail Hours]]&gt;0,DaybyDay[[#This Row],[Retail Hours]]*$AS$2,"")</f>
        <v/>
      </c>
      <c r="AT699" s="40">
        <f>SUMIFS(DaybyDay[Est-Retail-Payroll],DaybyDay[Date],"&gt;="&amp;$C$5,DaybyDay[RowYear],"&gt;="&amp;$C$4,DaybyDay[Date],"&lt;="&amp;DaybyDay[[#This Row],[Date]])</f>
        <v>0</v>
      </c>
      <c r="AU699" s="82" t="str">
        <f>IF(AND(DaybyDay[[#This Row],[_Space]],ISNUMBER(DaybyDay[[#This Row],[Retail Hours]])),DaybyDay[[#This Row],[Est-Retail-Payroll]]/(DaybyDay[[#This Row],[Retail-Actuals]]),"")</f>
        <v/>
      </c>
      <c r="AV699" s="82" t="e">
        <f>DaybyDay[[#This Row],[Est-Retail-PayrollRU]]/DaybyDay[[#This Row],[Simple-Forecast-Retail]]</f>
        <v>#DIV/0!</v>
      </c>
      <c r="AW699" s="8"/>
    </row>
    <row r="700" spans="3:49" hidden="1" x14ac:dyDescent="0.25">
      <c r="C700" s="26" t="str">
        <f>Tools!$C$1</f>
        <v>Example</v>
      </c>
      <c r="D700" s="27" t="s">
        <v>78</v>
      </c>
      <c r="E700" s="28">
        <v>2018</v>
      </c>
      <c r="F700" s="28">
        <f>MATCH(DaybyDay[[#This Row],[RowMonth]],Table3[SummaryMonth],0)</f>
        <v>11</v>
      </c>
      <c r="G700" s="29">
        <f>MATCH(DaybyDay[[#This Row],[LY-Date]],DaybyDay[Date],0)</f>
        <v>330</v>
      </c>
      <c r="H700" s="30">
        <f>WEEKDAY(DaybyDay[[#This Row],[Date]])</f>
        <v>1</v>
      </c>
      <c r="I700" s="31">
        <v>43429</v>
      </c>
      <c r="J700" s="74">
        <v>28</v>
      </c>
      <c r="K700" s="32">
        <f>SUMIFS(BudgetSeasonality[365 Seasonality],BudgetSeasonality[MonthAdjustment],DaybyDay[[#This Row],[Date]])*SUMIFS(Budgets[Service-Budget],Budgets[BudgetMonth],DaybyDay[[#This Row],[RowMonth]],Budgets[BudgetYear],DaybyDay[[#This Row],[RowYear]])</f>
        <v>8007.8262224192831</v>
      </c>
      <c r="L700" s="75">
        <v>6199.7</v>
      </c>
      <c r="M700" s="32">
        <f>INDEX(BudgetSeasonality[365 Seasonality],MATCH(DaybyDay[[#This Row],[Date]],BudgetSeasonality[MonthAdjustment],0))*SUMIFS(Budgets[Retail-Budget],Budgets[BudgetMonth],DaybyDay[[#This Row],[RowMonth]],Budgets[BudgetYear],DaybyDay[[#This Row],[RowYear]])</f>
        <v>2265.1192218023707</v>
      </c>
      <c r="N700" s="75">
        <v>3406</v>
      </c>
      <c r="O700" s="33">
        <f>SUMIFS(DaybyDay[Service-Budgets],DaybyDay[Date],"&gt;="&amp;$C$5,DaybyDay[RowYear],"&gt;="&amp;$C$4,DaybyDay[Date],"&lt;="&amp;DaybyDay[[#This Row],[Date]])</f>
        <v>0</v>
      </c>
      <c r="P700" s="33">
        <f>SUMIFS(DaybyDay[Retail-Budgets],DaybyDay[Date],"&gt;="&amp;$C$5,DaybyDay[RowYear],"&gt;="&amp;$C$4,DaybyDay[Date],"&lt;="&amp;DaybyDay[[#This Row],[Date]])</f>
        <v>0</v>
      </c>
      <c r="Q700" s="34">
        <f>SUMIFS(DaybyDay[Service-Actuals],DaybyDay[Date],"&gt;="&amp;$C$5,DaybyDay[RowYear],"&gt;="&amp;$C$4,DaybyDay[Date],"&lt;="&amp;DaybyDay[[#This Row],[Date]])</f>
        <v>0</v>
      </c>
      <c r="R700" s="34">
        <f>SUMIFS(DaybyDay[Retail-Actuals],DaybyDay[Date],"&gt;="&amp;$C$5,DaybyDay[RowYear],"&gt;="&amp;$C$4,DaybyDay[Date],"&lt;="&amp;DaybyDay[[#This Row],[Date]])</f>
        <v>0</v>
      </c>
      <c r="S700" s="35">
        <f>SUMIFS(DaybyDay[Service-LY],DaybyDay[Date],"&gt;="&amp;$C$5,DaybyDay[RowYear],"&gt;="&amp;$C$4,DaybyDay[Date],"&lt;="&amp;DaybyDay[[#This Row],[Date]])</f>
        <v>0</v>
      </c>
      <c r="T700" s="35">
        <f>SUMIFS(DaybyDay[Retail-LY],DaybyDay[Date],"&gt;="&amp;$C$5,DaybyDay[RowYear],"&gt;="&amp;$C$4,DaybyDay[Date],"&lt;="&amp;DaybyDay[[#This Row],[Date]])</f>
        <v>0</v>
      </c>
      <c r="U700" s="32">
        <f>DaybyDay[[#This Row],[Serv-Bud-RU]]+DaybyDay[[#This Row],[Ret-Bud-RU]]</f>
        <v>0</v>
      </c>
      <c r="V700" s="32">
        <f>DaybyDay[[#This Row],[Serv-Act-RU]]+DaybyDay[[#This Row],[Ret-Act-RU]]</f>
        <v>0</v>
      </c>
      <c r="W700" s="36">
        <f>IF(DaybyDay[[#This Row],[_Space]],IFERROR(
((DaybyDay[[#This Row],[Actual-Rollup]]-DaybyDay[[#This Row],[Budget-Rollup]])/DaybyDay[[#This Row],[Budget-Rollup]]),0),"")</f>
        <v>0</v>
      </c>
      <c r="X700" t="b">
        <f>NOT(AND(ISBLANK(DaybyDay[[#This Row],[Appts]]),ISBLANK(DaybyDay[[#This Row],[Service-Actuals]]),ISBLANK(DaybyDay[[#This Row],[Retail-Actuals]])))</f>
        <v>1</v>
      </c>
      <c r="Y700" s="36">
        <f>IF(DaybyDay[[#This Row],[_Space]],IFERROR(
((DaybyDay[[#This Row],[Actual-Rollup]]-DaybyDay[[#This Row],[LY-Rollup]])/DaybyDay[[#This Row],[LY-Rollup]]),0),"")</f>
        <v>0</v>
      </c>
      <c r="Z700"/>
      <c r="AA700" s="37" t="e">
        <f>IF(DaybyDay[[#This Row],[_Space]],DaybyDay[[#This Row],[Ret-Act-RU]]/DaybyDay[[#This Row],[Serv-Act-RU]],"")</f>
        <v>#DIV/0!</v>
      </c>
      <c r="AB700" s="50" t="e">
        <f>IF(DaybyDay[[#This Row],[_Space]],DaybyDay[[#This Row],[RETPEN-Act]]/DaybyDay[[#This Row],[RETPEN-Bud]],"")</f>
        <v>#DIV/0!</v>
      </c>
      <c r="AC700" s="37" t="e">
        <f>IF(DaybyDay[[#This Row],[_Space]],DaybyDay[[#This Row],[Ret-Bud-RU]]/DaybyDay[[#This Row],[Serv-Bud-RU]],"")</f>
        <v>#DIV/0!</v>
      </c>
      <c r="AD700" s="37" t="e">
        <f>IF(DaybyDay[[#This Row],[_Space]],DaybyDay[[#This Row],[Ret-LY-RU]]/DaybyDay[[#This Row],[Serv-LY-RU]],"")</f>
        <v>#DIV/0!</v>
      </c>
      <c r="AE700" s="30">
        <f>WEEKDAY(DaybyDay[[#This Row],[LY-Date]])</f>
        <v>1</v>
      </c>
      <c r="AF700" s="38">
        <f>$E$2+_xlfn.DAYS(DaybyDay[[#This Row],[Date]],minDate)</f>
        <v>43065</v>
      </c>
      <c r="AG700" s="39" cm="1">
        <f t="array" ref="AG700">IFERROR(INDEX(DaybyDay[],DaybyDay[[#This Row],[FORM_MATCH_HELPER]],8),"")</f>
        <v>26</v>
      </c>
      <c r="AH700" s="39" cm="1">
        <f t="array" ref="AH700">IFERROR(INDEX(DaybyDay[],DaybyDay[[#This Row],[FORM_MATCH_HELPER]],10),"")</f>
        <v>4624.8999999999996</v>
      </c>
      <c r="AI700" s="39" cm="1">
        <f t="array" ref="AI700">IFERROR(INDEX(DaybyDay[],DaybyDay[[#This Row],[FORM_MATCH_HELPER]],12),"")</f>
        <v>1685</v>
      </c>
      <c r="AJ700" s="32">
        <f>IFERROR(DaybyDay[[#This Row],[Serv-LY-RU]]+DaybyDay[[#This Row],[Ret-LY-RU]],"")</f>
        <v>0</v>
      </c>
      <c r="AK7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0" s="77"/>
      <c r="AM700" s="40" t="str">
        <f>IF(DaybyDay[[#This Row],[Admin Hours]]&gt;0,DaybyDay[[#This Row],[Admin Hours]]*$AM$2+$AM$3,"")</f>
        <v/>
      </c>
      <c r="AN700" s="40">
        <f>SUMIFS(DaybyDay[Est-Admin-Payroll],DaybyDay[Date],"&gt;="&amp;$C$5,DaybyDay[RowYear],"&gt;="&amp;$C$4,DaybyDay[Date],"&lt;="&amp;DaybyDay[[#This Row],[Date]])</f>
        <v>0</v>
      </c>
      <c r="AO700" s="41" t="str">
        <f>IF(AND(DaybyDay[[#This Row],[_Space]],ISNUMBER(DaybyDay[[#This Row],[Admin Hours]])),DaybyDay[[#This Row],[Est-Admin-Payroll]]/(DaybyDay[[#This Row],[Service-Actuals]]+DaybyDay[[#This Row],[Retail-Actuals]]),"")</f>
        <v/>
      </c>
      <c r="AP700" s="41" t="e">
        <f>DaybyDay[[#This Row],[Estimated-Payroll-Rollup]]/DaybyDay[[#This Row],[Simple-Forecast]]</f>
        <v>#DIV/0!</v>
      </c>
      <c r="AQ7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0" s="77"/>
      <c r="AS700" s="40" t="str">
        <f>IF(DaybyDay[[#This Row],[Retail Hours]]&gt;0,DaybyDay[[#This Row],[Retail Hours]]*$AS$2,"")</f>
        <v/>
      </c>
      <c r="AT700" s="40">
        <f>SUMIFS(DaybyDay[Est-Retail-Payroll],DaybyDay[Date],"&gt;="&amp;$C$5,DaybyDay[RowYear],"&gt;="&amp;$C$4,DaybyDay[Date],"&lt;="&amp;DaybyDay[[#This Row],[Date]])</f>
        <v>0</v>
      </c>
      <c r="AU700" s="82" t="str">
        <f>IF(AND(DaybyDay[[#This Row],[_Space]],ISNUMBER(DaybyDay[[#This Row],[Retail Hours]])),DaybyDay[[#This Row],[Est-Retail-Payroll]]/(DaybyDay[[#This Row],[Retail-Actuals]]),"")</f>
        <v/>
      </c>
      <c r="AV700" s="82" t="e">
        <f>DaybyDay[[#This Row],[Est-Retail-PayrollRU]]/DaybyDay[[#This Row],[Simple-Forecast-Retail]]</f>
        <v>#DIV/0!</v>
      </c>
      <c r="AW700" s="8"/>
    </row>
    <row r="701" spans="3:49" hidden="1" x14ac:dyDescent="0.25">
      <c r="C701" s="26" t="str">
        <f>Tools!$C$1</f>
        <v>Example</v>
      </c>
      <c r="D701" s="27" t="s">
        <v>78</v>
      </c>
      <c r="E701" s="28">
        <v>2018</v>
      </c>
      <c r="F701" s="28">
        <f>MATCH(DaybyDay[[#This Row],[RowMonth]],Table3[SummaryMonth],0)</f>
        <v>11</v>
      </c>
      <c r="G701" s="29">
        <f>MATCH(DaybyDay[[#This Row],[LY-Date]],DaybyDay[Date],0)</f>
        <v>331</v>
      </c>
      <c r="H701" s="30">
        <f>WEEKDAY(DaybyDay[[#This Row],[Date]])</f>
        <v>2</v>
      </c>
      <c r="I701" s="31">
        <v>43430</v>
      </c>
      <c r="J701" s="74">
        <v>19</v>
      </c>
      <c r="K701" s="32">
        <f>SUMIFS(BudgetSeasonality[365 Seasonality],BudgetSeasonality[MonthAdjustment],DaybyDay[[#This Row],[Date]])*SUMIFS(Budgets[Service-Budget],Budgets[BudgetMonth],DaybyDay[[#This Row],[RowMonth]],Budgets[BudgetYear],DaybyDay[[#This Row],[RowYear]])</f>
        <v>4795.9775336173998</v>
      </c>
      <c r="L701" s="75">
        <v>3371</v>
      </c>
      <c r="M701" s="32">
        <f>INDEX(BudgetSeasonality[365 Seasonality],MATCH(DaybyDay[[#This Row],[Date]],BudgetSeasonality[MonthAdjustment],0))*SUMIFS(Budgets[Retail-Budget],Budgets[BudgetMonth],DaybyDay[[#This Row],[RowMonth]],Budgets[BudgetYear],DaybyDay[[#This Row],[RowYear]])</f>
        <v>1356.6054753180053</v>
      </c>
      <c r="N701" s="75">
        <v>683</v>
      </c>
      <c r="O701" s="33">
        <f>SUMIFS(DaybyDay[Service-Budgets],DaybyDay[Date],"&gt;="&amp;$C$5,DaybyDay[RowYear],"&gt;="&amp;$C$4,DaybyDay[Date],"&lt;="&amp;DaybyDay[[#This Row],[Date]])</f>
        <v>0</v>
      </c>
      <c r="P701" s="33">
        <f>SUMIFS(DaybyDay[Retail-Budgets],DaybyDay[Date],"&gt;="&amp;$C$5,DaybyDay[RowYear],"&gt;="&amp;$C$4,DaybyDay[Date],"&lt;="&amp;DaybyDay[[#This Row],[Date]])</f>
        <v>0</v>
      </c>
      <c r="Q701" s="34">
        <f>SUMIFS(DaybyDay[Service-Actuals],DaybyDay[Date],"&gt;="&amp;$C$5,DaybyDay[RowYear],"&gt;="&amp;$C$4,DaybyDay[Date],"&lt;="&amp;DaybyDay[[#This Row],[Date]])</f>
        <v>0</v>
      </c>
      <c r="R701" s="34">
        <f>SUMIFS(DaybyDay[Retail-Actuals],DaybyDay[Date],"&gt;="&amp;$C$5,DaybyDay[RowYear],"&gt;="&amp;$C$4,DaybyDay[Date],"&lt;="&amp;DaybyDay[[#This Row],[Date]])</f>
        <v>0</v>
      </c>
      <c r="S701" s="35">
        <f>SUMIFS(DaybyDay[Service-LY],DaybyDay[Date],"&gt;="&amp;$C$5,DaybyDay[RowYear],"&gt;="&amp;$C$4,DaybyDay[Date],"&lt;="&amp;DaybyDay[[#This Row],[Date]])</f>
        <v>0</v>
      </c>
      <c r="T701" s="35">
        <f>SUMIFS(DaybyDay[Retail-LY],DaybyDay[Date],"&gt;="&amp;$C$5,DaybyDay[RowYear],"&gt;="&amp;$C$4,DaybyDay[Date],"&lt;="&amp;DaybyDay[[#This Row],[Date]])</f>
        <v>0</v>
      </c>
      <c r="U701" s="32">
        <f>DaybyDay[[#This Row],[Serv-Bud-RU]]+DaybyDay[[#This Row],[Ret-Bud-RU]]</f>
        <v>0</v>
      </c>
      <c r="V701" s="32">
        <f>DaybyDay[[#This Row],[Serv-Act-RU]]+DaybyDay[[#This Row],[Ret-Act-RU]]</f>
        <v>0</v>
      </c>
      <c r="W701" s="36">
        <f>IF(DaybyDay[[#This Row],[_Space]],IFERROR(
((DaybyDay[[#This Row],[Actual-Rollup]]-DaybyDay[[#This Row],[Budget-Rollup]])/DaybyDay[[#This Row],[Budget-Rollup]]),0),"")</f>
        <v>0</v>
      </c>
      <c r="X701" t="b">
        <f>NOT(AND(ISBLANK(DaybyDay[[#This Row],[Appts]]),ISBLANK(DaybyDay[[#This Row],[Service-Actuals]]),ISBLANK(DaybyDay[[#This Row],[Retail-Actuals]])))</f>
        <v>1</v>
      </c>
      <c r="Y701" s="36">
        <f>IF(DaybyDay[[#This Row],[_Space]],IFERROR(
((DaybyDay[[#This Row],[Actual-Rollup]]-DaybyDay[[#This Row],[LY-Rollup]])/DaybyDay[[#This Row],[LY-Rollup]]),0),"")</f>
        <v>0</v>
      </c>
      <c r="Z701"/>
      <c r="AA701" s="37" t="e">
        <f>IF(DaybyDay[[#This Row],[_Space]],DaybyDay[[#This Row],[Ret-Act-RU]]/DaybyDay[[#This Row],[Serv-Act-RU]],"")</f>
        <v>#DIV/0!</v>
      </c>
      <c r="AB701" s="50" t="e">
        <f>IF(DaybyDay[[#This Row],[_Space]],DaybyDay[[#This Row],[RETPEN-Act]]/DaybyDay[[#This Row],[RETPEN-Bud]],"")</f>
        <v>#DIV/0!</v>
      </c>
      <c r="AC701" s="37" t="e">
        <f>IF(DaybyDay[[#This Row],[_Space]],DaybyDay[[#This Row],[Ret-Bud-RU]]/DaybyDay[[#This Row],[Serv-Bud-RU]],"")</f>
        <v>#DIV/0!</v>
      </c>
      <c r="AD701" s="37" t="e">
        <f>IF(DaybyDay[[#This Row],[_Space]],DaybyDay[[#This Row],[Ret-LY-RU]]/DaybyDay[[#This Row],[Serv-LY-RU]],"")</f>
        <v>#DIV/0!</v>
      </c>
      <c r="AE701" s="30">
        <f>WEEKDAY(DaybyDay[[#This Row],[LY-Date]])</f>
        <v>2</v>
      </c>
      <c r="AF701" s="38">
        <f>$E$2+_xlfn.DAYS(DaybyDay[[#This Row],[Date]],minDate)</f>
        <v>43066</v>
      </c>
      <c r="AG701" s="39" cm="1">
        <f t="array" ref="AG701">IFERROR(INDEX(DaybyDay[],DaybyDay[[#This Row],[FORM_MATCH_HELPER]],8),"")</f>
        <v>4</v>
      </c>
      <c r="AH701" s="39" cm="1">
        <f t="array" ref="AH701">IFERROR(INDEX(DaybyDay[],DaybyDay[[#This Row],[FORM_MATCH_HELPER]],10),"")</f>
        <v>249.25</v>
      </c>
      <c r="AI701" s="39" cm="1">
        <f t="array" ref="AI701">IFERROR(INDEX(DaybyDay[],DaybyDay[[#This Row],[FORM_MATCH_HELPER]],12),"")</f>
        <v>339</v>
      </c>
      <c r="AJ701" s="32">
        <f>IFERROR(DaybyDay[[#This Row],[Serv-LY-RU]]+DaybyDay[[#This Row],[Ret-LY-RU]],"")</f>
        <v>0</v>
      </c>
      <c r="AK7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1" s="77"/>
      <c r="AM701" s="40" t="str">
        <f>IF(DaybyDay[[#This Row],[Admin Hours]]&gt;0,DaybyDay[[#This Row],[Admin Hours]]*$AM$2+$AM$3,"")</f>
        <v/>
      </c>
      <c r="AN701" s="40">
        <f>SUMIFS(DaybyDay[Est-Admin-Payroll],DaybyDay[Date],"&gt;="&amp;$C$5,DaybyDay[RowYear],"&gt;="&amp;$C$4,DaybyDay[Date],"&lt;="&amp;DaybyDay[[#This Row],[Date]])</f>
        <v>0</v>
      </c>
      <c r="AO701" s="41" t="str">
        <f>IF(AND(DaybyDay[[#This Row],[_Space]],ISNUMBER(DaybyDay[[#This Row],[Admin Hours]])),DaybyDay[[#This Row],[Est-Admin-Payroll]]/(DaybyDay[[#This Row],[Service-Actuals]]+DaybyDay[[#This Row],[Retail-Actuals]]),"")</f>
        <v/>
      </c>
      <c r="AP701" s="41" t="e">
        <f>DaybyDay[[#This Row],[Estimated-Payroll-Rollup]]/DaybyDay[[#This Row],[Simple-Forecast]]</f>
        <v>#DIV/0!</v>
      </c>
      <c r="AQ7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1" s="77"/>
      <c r="AS701" s="40" t="str">
        <f>IF(DaybyDay[[#This Row],[Retail Hours]]&gt;0,DaybyDay[[#This Row],[Retail Hours]]*$AS$2,"")</f>
        <v/>
      </c>
      <c r="AT701" s="40">
        <f>SUMIFS(DaybyDay[Est-Retail-Payroll],DaybyDay[Date],"&gt;="&amp;$C$5,DaybyDay[RowYear],"&gt;="&amp;$C$4,DaybyDay[Date],"&lt;="&amp;DaybyDay[[#This Row],[Date]])</f>
        <v>0</v>
      </c>
      <c r="AU701" s="82" t="str">
        <f>IF(AND(DaybyDay[[#This Row],[_Space]],ISNUMBER(DaybyDay[[#This Row],[Retail Hours]])),DaybyDay[[#This Row],[Est-Retail-Payroll]]/(DaybyDay[[#This Row],[Retail-Actuals]]),"")</f>
        <v/>
      </c>
      <c r="AV701" s="82" t="e">
        <f>DaybyDay[[#This Row],[Est-Retail-PayrollRU]]/DaybyDay[[#This Row],[Simple-Forecast-Retail]]</f>
        <v>#DIV/0!</v>
      </c>
      <c r="AW701" s="8"/>
    </row>
    <row r="702" spans="3:49" hidden="1" x14ac:dyDescent="0.25">
      <c r="C702" s="26" t="str">
        <f>Tools!$C$1</f>
        <v>Example</v>
      </c>
      <c r="D702" s="27" t="s">
        <v>78</v>
      </c>
      <c r="E702" s="28">
        <v>2018</v>
      </c>
      <c r="F702" s="28">
        <f>MATCH(DaybyDay[[#This Row],[RowMonth]],Table3[SummaryMonth],0)</f>
        <v>11</v>
      </c>
      <c r="G702" s="29">
        <f>MATCH(DaybyDay[[#This Row],[LY-Date]],DaybyDay[Date],0)</f>
        <v>332</v>
      </c>
      <c r="H702" s="30">
        <f>WEEKDAY(DaybyDay[[#This Row],[Date]])</f>
        <v>3</v>
      </c>
      <c r="I702" s="31">
        <v>43431</v>
      </c>
      <c r="J702" s="74">
        <v>12</v>
      </c>
      <c r="K702" s="32">
        <f>SUMIFS(BudgetSeasonality[365 Seasonality],BudgetSeasonality[MonthAdjustment],DaybyDay[[#This Row],[Date]])*SUMIFS(Budgets[Service-Budget],Budgets[BudgetMonth],DaybyDay[[#This Row],[RowMonth]],Budgets[BudgetYear],DaybyDay[[#This Row],[RowYear]])</f>
        <v>4949.4246285000263</v>
      </c>
      <c r="L702" s="75">
        <v>3701</v>
      </c>
      <c r="M702" s="32">
        <f>INDEX(BudgetSeasonality[365 Seasonality],MATCH(DaybyDay[[#This Row],[Date]],BudgetSeasonality[MonthAdjustment],0))*SUMIFS(Budgets[Retail-Budget],Budgets[BudgetMonth],DaybyDay[[#This Row],[RowMonth]],Budgets[BudgetYear],DaybyDay[[#This Row],[RowYear]])</f>
        <v>1400.010009144585</v>
      </c>
      <c r="N702" s="75">
        <v>1505.5</v>
      </c>
      <c r="O702" s="33">
        <f>SUMIFS(DaybyDay[Service-Budgets],DaybyDay[Date],"&gt;="&amp;$C$5,DaybyDay[RowYear],"&gt;="&amp;$C$4,DaybyDay[Date],"&lt;="&amp;DaybyDay[[#This Row],[Date]])</f>
        <v>0</v>
      </c>
      <c r="P702" s="33">
        <f>SUMIFS(DaybyDay[Retail-Budgets],DaybyDay[Date],"&gt;="&amp;$C$5,DaybyDay[RowYear],"&gt;="&amp;$C$4,DaybyDay[Date],"&lt;="&amp;DaybyDay[[#This Row],[Date]])</f>
        <v>0</v>
      </c>
      <c r="Q702" s="34">
        <f>SUMIFS(DaybyDay[Service-Actuals],DaybyDay[Date],"&gt;="&amp;$C$5,DaybyDay[RowYear],"&gt;="&amp;$C$4,DaybyDay[Date],"&lt;="&amp;DaybyDay[[#This Row],[Date]])</f>
        <v>0</v>
      </c>
      <c r="R702" s="34">
        <f>SUMIFS(DaybyDay[Retail-Actuals],DaybyDay[Date],"&gt;="&amp;$C$5,DaybyDay[RowYear],"&gt;="&amp;$C$4,DaybyDay[Date],"&lt;="&amp;DaybyDay[[#This Row],[Date]])</f>
        <v>0</v>
      </c>
      <c r="S702" s="35">
        <f>SUMIFS(DaybyDay[Service-LY],DaybyDay[Date],"&gt;="&amp;$C$5,DaybyDay[RowYear],"&gt;="&amp;$C$4,DaybyDay[Date],"&lt;="&amp;DaybyDay[[#This Row],[Date]])</f>
        <v>0</v>
      </c>
      <c r="T702" s="35">
        <f>SUMIFS(DaybyDay[Retail-LY],DaybyDay[Date],"&gt;="&amp;$C$5,DaybyDay[RowYear],"&gt;="&amp;$C$4,DaybyDay[Date],"&lt;="&amp;DaybyDay[[#This Row],[Date]])</f>
        <v>0</v>
      </c>
      <c r="U702" s="32">
        <f>DaybyDay[[#This Row],[Serv-Bud-RU]]+DaybyDay[[#This Row],[Ret-Bud-RU]]</f>
        <v>0</v>
      </c>
      <c r="V702" s="32">
        <f>DaybyDay[[#This Row],[Serv-Act-RU]]+DaybyDay[[#This Row],[Ret-Act-RU]]</f>
        <v>0</v>
      </c>
      <c r="W702" s="36">
        <f>IF(DaybyDay[[#This Row],[_Space]],IFERROR(
((DaybyDay[[#This Row],[Actual-Rollup]]-DaybyDay[[#This Row],[Budget-Rollup]])/DaybyDay[[#This Row],[Budget-Rollup]]),0),"")</f>
        <v>0</v>
      </c>
      <c r="X702" t="b">
        <f>NOT(AND(ISBLANK(DaybyDay[[#This Row],[Appts]]),ISBLANK(DaybyDay[[#This Row],[Service-Actuals]]),ISBLANK(DaybyDay[[#This Row],[Retail-Actuals]])))</f>
        <v>1</v>
      </c>
      <c r="Y702" s="36">
        <f>IF(DaybyDay[[#This Row],[_Space]],IFERROR(
((DaybyDay[[#This Row],[Actual-Rollup]]-DaybyDay[[#This Row],[LY-Rollup]])/DaybyDay[[#This Row],[LY-Rollup]]),0),"")</f>
        <v>0</v>
      </c>
      <c r="Z702"/>
      <c r="AA702" s="37" t="e">
        <f>IF(DaybyDay[[#This Row],[_Space]],DaybyDay[[#This Row],[Ret-Act-RU]]/DaybyDay[[#This Row],[Serv-Act-RU]],"")</f>
        <v>#DIV/0!</v>
      </c>
      <c r="AB702" s="50" t="e">
        <f>IF(DaybyDay[[#This Row],[_Space]],DaybyDay[[#This Row],[RETPEN-Act]]/DaybyDay[[#This Row],[RETPEN-Bud]],"")</f>
        <v>#DIV/0!</v>
      </c>
      <c r="AC702" s="37" t="e">
        <f>IF(DaybyDay[[#This Row],[_Space]],DaybyDay[[#This Row],[Ret-Bud-RU]]/DaybyDay[[#This Row],[Serv-Bud-RU]],"")</f>
        <v>#DIV/0!</v>
      </c>
      <c r="AD702" s="37" t="e">
        <f>IF(DaybyDay[[#This Row],[_Space]],DaybyDay[[#This Row],[Ret-LY-RU]]/DaybyDay[[#This Row],[Serv-LY-RU]],"")</f>
        <v>#DIV/0!</v>
      </c>
      <c r="AE702" s="30">
        <f>WEEKDAY(DaybyDay[[#This Row],[LY-Date]])</f>
        <v>3</v>
      </c>
      <c r="AF702" s="38">
        <f>$E$2+_xlfn.DAYS(DaybyDay[[#This Row],[Date]],minDate)</f>
        <v>43067</v>
      </c>
      <c r="AG702" s="39" cm="1">
        <f t="array" ref="AG702">IFERROR(INDEX(DaybyDay[],DaybyDay[[#This Row],[FORM_MATCH_HELPER]],8),"")</f>
        <v>18</v>
      </c>
      <c r="AH702" s="39" cm="1">
        <f t="array" ref="AH702">IFERROR(INDEX(DaybyDay[],DaybyDay[[#This Row],[FORM_MATCH_HELPER]],10),"")</f>
        <v>3495.3</v>
      </c>
      <c r="AI702" s="39" cm="1">
        <f t="array" ref="AI702">IFERROR(INDEX(DaybyDay[],DaybyDay[[#This Row],[FORM_MATCH_HELPER]],12),"")</f>
        <v>536.79999999999995</v>
      </c>
      <c r="AJ702" s="32">
        <f>IFERROR(DaybyDay[[#This Row],[Serv-LY-RU]]+DaybyDay[[#This Row],[Ret-LY-RU]],"")</f>
        <v>0</v>
      </c>
      <c r="AK7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2" s="77"/>
      <c r="AM702" s="40" t="str">
        <f>IF(DaybyDay[[#This Row],[Admin Hours]]&gt;0,DaybyDay[[#This Row],[Admin Hours]]*$AM$2+$AM$3,"")</f>
        <v/>
      </c>
      <c r="AN702" s="40">
        <f>SUMIFS(DaybyDay[Est-Admin-Payroll],DaybyDay[Date],"&gt;="&amp;$C$5,DaybyDay[RowYear],"&gt;="&amp;$C$4,DaybyDay[Date],"&lt;="&amp;DaybyDay[[#This Row],[Date]])</f>
        <v>0</v>
      </c>
      <c r="AO702" s="41" t="str">
        <f>IF(AND(DaybyDay[[#This Row],[_Space]],ISNUMBER(DaybyDay[[#This Row],[Admin Hours]])),DaybyDay[[#This Row],[Est-Admin-Payroll]]/(DaybyDay[[#This Row],[Service-Actuals]]+DaybyDay[[#This Row],[Retail-Actuals]]),"")</f>
        <v/>
      </c>
      <c r="AP702" s="41" t="e">
        <f>DaybyDay[[#This Row],[Estimated-Payroll-Rollup]]/DaybyDay[[#This Row],[Simple-Forecast]]</f>
        <v>#DIV/0!</v>
      </c>
      <c r="AQ7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2" s="77"/>
      <c r="AS702" s="40" t="str">
        <f>IF(DaybyDay[[#This Row],[Retail Hours]]&gt;0,DaybyDay[[#This Row],[Retail Hours]]*$AS$2,"")</f>
        <v/>
      </c>
      <c r="AT702" s="40">
        <f>SUMIFS(DaybyDay[Est-Retail-Payroll],DaybyDay[Date],"&gt;="&amp;$C$5,DaybyDay[RowYear],"&gt;="&amp;$C$4,DaybyDay[Date],"&lt;="&amp;DaybyDay[[#This Row],[Date]])</f>
        <v>0</v>
      </c>
      <c r="AU702" s="82" t="str">
        <f>IF(AND(DaybyDay[[#This Row],[_Space]],ISNUMBER(DaybyDay[[#This Row],[Retail Hours]])),DaybyDay[[#This Row],[Est-Retail-Payroll]]/(DaybyDay[[#This Row],[Retail-Actuals]]),"")</f>
        <v/>
      </c>
      <c r="AV702" s="82" t="e">
        <f>DaybyDay[[#This Row],[Est-Retail-PayrollRU]]/DaybyDay[[#This Row],[Simple-Forecast-Retail]]</f>
        <v>#DIV/0!</v>
      </c>
      <c r="AW702" s="8"/>
    </row>
    <row r="703" spans="3:49" hidden="1" x14ac:dyDescent="0.25">
      <c r="C703" s="26" t="str">
        <f>Tools!$C$1</f>
        <v>Example</v>
      </c>
      <c r="D703" s="27" t="s">
        <v>78</v>
      </c>
      <c r="E703" s="28">
        <v>2018</v>
      </c>
      <c r="F703" s="28">
        <f>MATCH(DaybyDay[[#This Row],[RowMonth]],Table3[SummaryMonth],0)</f>
        <v>11</v>
      </c>
      <c r="G703" s="29">
        <f>MATCH(DaybyDay[[#This Row],[LY-Date]],DaybyDay[Date],0)</f>
        <v>333</v>
      </c>
      <c r="H703" s="30">
        <f>WEEKDAY(DaybyDay[[#This Row],[Date]])</f>
        <v>4</v>
      </c>
      <c r="I703" s="31">
        <v>43432</v>
      </c>
      <c r="J703" s="74">
        <v>20</v>
      </c>
      <c r="K703" s="32">
        <f>SUMIFS(BudgetSeasonality[365 Seasonality],BudgetSeasonality[MonthAdjustment],DaybyDay[[#This Row],[Date]])*SUMIFS(Budgets[Service-Budget],Budgets[BudgetMonth],DaybyDay[[#This Row],[RowMonth]],Budgets[BudgetYear],DaybyDay[[#This Row],[RowYear]])</f>
        <v>5698.9576415123565</v>
      </c>
      <c r="L703" s="75">
        <v>3433.7</v>
      </c>
      <c r="M703" s="32">
        <f>INDEX(BudgetSeasonality[365 Seasonality],MATCH(DaybyDay[[#This Row],[Date]],BudgetSeasonality[MonthAdjustment],0))*SUMIFS(Budgets[Retail-Budget],Budgets[BudgetMonth],DaybyDay[[#This Row],[RowMonth]],Budgets[BudgetYear],DaybyDay[[#This Row],[RowYear]])</f>
        <v>1612.0253036818769</v>
      </c>
      <c r="N703" s="75">
        <v>1930.85</v>
      </c>
      <c r="O703" s="33">
        <f>SUMIFS(DaybyDay[Service-Budgets],DaybyDay[Date],"&gt;="&amp;$C$5,DaybyDay[RowYear],"&gt;="&amp;$C$4,DaybyDay[Date],"&lt;="&amp;DaybyDay[[#This Row],[Date]])</f>
        <v>0</v>
      </c>
      <c r="P703" s="33">
        <f>SUMIFS(DaybyDay[Retail-Budgets],DaybyDay[Date],"&gt;="&amp;$C$5,DaybyDay[RowYear],"&gt;="&amp;$C$4,DaybyDay[Date],"&lt;="&amp;DaybyDay[[#This Row],[Date]])</f>
        <v>0</v>
      </c>
      <c r="Q703" s="34">
        <f>SUMIFS(DaybyDay[Service-Actuals],DaybyDay[Date],"&gt;="&amp;$C$5,DaybyDay[RowYear],"&gt;="&amp;$C$4,DaybyDay[Date],"&lt;="&amp;DaybyDay[[#This Row],[Date]])</f>
        <v>0</v>
      </c>
      <c r="R703" s="34">
        <f>SUMIFS(DaybyDay[Retail-Actuals],DaybyDay[Date],"&gt;="&amp;$C$5,DaybyDay[RowYear],"&gt;="&amp;$C$4,DaybyDay[Date],"&lt;="&amp;DaybyDay[[#This Row],[Date]])</f>
        <v>0</v>
      </c>
      <c r="S703" s="35">
        <f>SUMIFS(DaybyDay[Service-LY],DaybyDay[Date],"&gt;="&amp;$C$5,DaybyDay[RowYear],"&gt;="&amp;$C$4,DaybyDay[Date],"&lt;="&amp;DaybyDay[[#This Row],[Date]])</f>
        <v>0</v>
      </c>
      <c r="T703" s="35">
        <f>SUMIFS(DaybyDay[Retail-LY],DaybyDay[Date],"&gt;="&amp;$C$5,DaybyDay[RowYear],"&gt;="&amp;$C$4,DaybyDay[Date],"&lt;="&amp;DaybyDay[[#This Row],[Date]])</f>
        <v>0</v>
      </c>
      <c r="U703" s="32">
        <f>DaybyDay[[#This Row],[Serv-Bud-RU]]+DaybyDay[[#This Row],[Ret-Bud-RU]]</f>
        <v>0</v>
      </c>
      <c r="V703" s="32">
        <f>DaybyDay[[#This Row],[Serv-Act-RU]]+DaybyDay[[#This Row],[Ret-Act-RU]]</f>
        <v>0</v>
      </c>
      <c r="W703" s="36">
        <f>IF(DaybyDay[[#This Row],[_Space]],IFERROR(
((DaybyDay[[#This Row],[Actual-Rollup]]-DaybyDay[[#This Row],[Budget-Rollup]])/DaybyDay[[#This Row],[Budget-Rollup]]),0),"")</f>
        <v>0</v>
      </c>
      <c r="X703" t="b">
        <f>NOT(AND(ISBLANK(DaybyDay[[#This Row],[Appts]]),ISBLANK(DaybyDay[[#This Row],[Service-Actuals]]),ISBLANK(DaybyDay[[#This Row],[Retail-Actuals]])))</f>
        <v>1</v>
      </c>
      <c r="Y703" s="36">
        <f>IF(DaybyDay[[#This Row],[_Space]],IFERROR(
((DaybyDay[[#This Row],[Actual-Rollup]]-DaybyDay[[#This Row],[LY-Rollup]])/DaybyDay[[#This Row],[LY-Rollup]]),0),"")</f>
        <v>0</v>
      </c>
      <c r="Z703"/>
      <c r="AA703" s="37" t="e">
        <f>IF(DaybyDay[[#This Row],[_Space]],DaybyDay[[#This Row],[Ret-Act-RU]]/DaybyDay[[#This Row],[Serv-Act-RU]],"")</f>
        <v>#DIV/0!</v>
      </c>
      <c r="AB703" s="50" t="e">
        <f>IF(DaybyDay[[#This Row],[_Space]],DaybyDay[[#This Row],[RETPEN-Act]]/DaybyDay[[#This Row],[RETPEN-Bud]],"")</f>
        <v>#DIV/0!</v>
      </c>
      <c r="AC703" s="37" t="e">
        <f>IF(DaybyDay[[#This Row],[_Space]],DaybyDay[[#This Row],[Ret-Bud-RU]]/DaybyDay[[#This Row],[Serv-Bud-RU]],"")</f>
        <v>#DIV/0!</v>
      </c>
      <c r="AD703" s="37" t="e">
        <f>IF(DaybyDay[[#This Row],[_Space]],DaybyDay[[#This Row],[Ret-LY-RU]]/DaybyDay[[#This Row],[Serv-LY-RU]],"")</f>
        <v>#DIV/0!</v>
      </c>
      <c r="AE703" s="30">
        <f>WEEKDAY(DaybyDay[[#This Row],[LY-Date]])</f>
        <v>4</v>
      </c>
      <c r="AF703" s="38">
        <f>$E$2+_xlfn.DAYS(DaybyDay[[#This Row],[Date]],minDate)</f>
        <v>43068</v>
      </c>
      <c r="AG703" s="39" cm="1">
        <f t="array" ref="AG703">IFERROR(INDEX(DaybyDay[],DaybyDay[[#This Row],[FORM_MATCH_HELPER]],8),"")</f>
        <v>18</v>
      </c>
      <c r="AH703" s="39" cm="1">
        <f t="array" ref="AH703">IFERROR(INDEX(DaybyDay[],DaybyDay[[#This Row],[FORM_MATCH_HELPER]],10),"")</f>
        <v>4320.6000000000004</v>
      </c>
      <c r="AI703" s="39" cm="1">
        <f t="array" ref="AI703">IFERROR(INDEX(DaybyDay[],DaybyDay[[#This Row],[FORM_MATCH_HELPER]],12),"")</f>
        <v>630</v>
      </c>
      <c r="AJ703" s="32">
        <f>IFERROR(DaybyDay[[#This Row],[Serv-LY-RU]]+DaybyDay[[#This Row],[Ret-LY-RU]],"")</f>
        <v>0</v>
      </c>
      <c r="AK7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3" s="77"/>
      <c r="AM703" s="40" t="str">
        <f>IF(DaybyDay[[#This Row],[Admin Hours]]&gt;0,DaybyDay[[#This Row],[Admin Hours]]*$AM$2+$AM$3,"")</f>
        <v/>
      </c>
      <c r="AN703" s="40">
        <f>SUMIFS(DaybyDay[Est-Admin-Payroll],DaybyDay[Date],"&gt;="&amp;$C$5,DaybyDay[RowYear],"&gt;="&amp;$C$4,DaybyDay[Date],"&lt;="&amp;DaybyDay[[#This Row],[Date]])</f>
        <v>0</v>
      </c>
      <c r="AO703" s="41" t="str">
        <f>IF(AND(DaybyDay[[#This Row],[_Space]],ISNUMBER(DaybyDay[[#This Row],[Admin Hours]])),DaybyDay[[#This Row],[Est-Admin-Payroll]]/(DaybyDay[[#This Row],[Service-Actuals]]+DaybyDay[[#This Row],[Retail-Actuals]]),"")</f>
        <v/>
      </c>
      <c r="AP703" s="41" t="e">
        <f>DaybyDay[[#This Row],[Estimated-Payroll-Rollup]]/DaybyDay[[#This Row],[Simple-Forecast]]</f>
        <v>#DIV/0!</v>
      </c>
      <c r="AQ7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3" s="77"/>
      <c r="AS703" s="40" t="str">
        <f>IF(DaybyDay[[#This Row],[Retail Hours]]&gt;0,DaybyDay[[#This Row],[Retail Hours]]*$AS$2,"")</f>
        <v/>
      </c>
      <c r="AT703" s="40">
        <f>SUMIFS(DaybyDay[Est-Retail-Payroll],DaybyDay[Date],"&gt;="&amp;$C$5,DaybyDay[RowYear],"&gt;="&amp;$C$4,DaybyDay[Date],"&lt;="&amp;DaybyDay[[#This Row],[Date]])</f>
        <v>0</v>
      </c>
      <c r="AU703" s="82" t="str">
        <f>IF(AND(DaybyDay[[#This Row],[_Space]],ISNUMBER(DaybyDay[[#This Row],[Retail Hours]])),DaybyDay[[#This Row],[Est-Retail-Payroll]]/(DaybyDay[[#This Row],[Retail-Actuals]]),"")</f>
        <v/>
      </c>
      <c r="AV703" s="82" t="e">
        <f>DaybyDay[[#This Row],[Est-Retail-PayrollRU]]/DaybyDay[[#This Row],[Simple-Forecast-Retail]]</f>
        <v>#DIV/0!</v>
      </c>
      <c r="AW703" s="8"/>
    </row>
    <row r="704" spans="3:49" hidden="1" x14ac:dyDescent="0.25">
      <c r="C704" s="26" t="str">
        <f>Tools!$C$1</f>
        <v>Example</v>
      </c>
      <c r="D704" s="27" t="s">
        <v>78</v>
      </c>
      <c r="E704" s="28">
        <v>2018</v>
      </c>
      <c r="F704" s="28">
        <f>MATCH(DaybyDay[[#This Row],[RowMonth]],Table3[SummaryMonth],0)</f>
        <v>11</v>
      </c>
      <c r="G704" s="29">
        <f>MATCH(DaybyDay[[#This Row],[LY-Date]],DaybyDay[Date],0)</f>
        <v>334</v>
      </c>
      <c r="H704" s="30">
        <f>WEEKDAY(DaybyDay[[#This Row],[Date]])</f>
        <v>5</v>
      </c>
      <c r="I704" s="31">
        <v>43433</v>
      </c>
      <c r="J704" s="74">
        <v>23</v>
      </c>
      <c r="K704" s="32">
        <f>SUMIFS(BudgetSeasonality[365 Seasonality],BudgetSeasonality[MonthAdjustment],DaybyDay[[#This Row],[Date]])*SUMIFS(Budgets[Service-Budget],Budgets[BudgetMonth],DaybyDay[[#This Row],[RowMonth]],Budgets[BudgetYear],DaybyDay[[#This Row],[RowYear]])</f>
        <v>5858.4288716997635</v>
      </c>
      <c r="L704" s="75">
        <v>5155.6000000000004</v>
      </c>
      <c r="M704" s="32">
        <f>INDEX(BudgetSeasonality[365 Seasonality],MATCH(DaybyDay[[#This Row],[Date]],BudgetSeasonality[MonthAdjustment],0))*SUMIFS(Budgets[Retail-Budget],Budgets[BudgetMonth],DaybyDay[[#This Row],[RowMonth]],Budgets[BudgetYear],DaybyDay[[#This Row],[RowYear]])</f>
        <v>1657.1338436013205</v>
      </c>
      <c r="N704" s="75">
        <v>1963.27</v>
      </c>
      <c r="O704" s="33">
        <f>SUMIFS(DaybyDay[Service-Budgets],DaybyDay[Date],"&gt;="&amp;$C$5,DaybyDay[RowYear],"&gt;="&amp;$C$4,DaybyDay[Date],"&lt;="&amp;DaybyDay[[#This Row],[Date]])</f>
        <v>0</v>
      </c>
      <c r="P704" s="33">
        <f>SUMIFS(DaybyDay[Retail-Budgets],DaybyDay[Date],"&gt;="&amp;$C$5,DaybyDay[RowYear],"&gt;="&amp;$C$4,DaybyDay[Date],"&lt;="&amp;DaybyDay[[#This Row],[Date]])</f>
        <v>0</v>
      </c>
      <c r="Q704" s="34">
        <f>SUMIFS(DaybyDay[Service-Actuals],DaybyDay[Date],"&gt;="&amp;$C$5,DaybyDay[RowYear],"&gt;="&amp;$C$4,DaybyDay[Date],"&lt;="&amp;DaybyDay[[#This Row],[Date]])</f>
        <v>0</v>
      </c>
      <c r="R704" s="34">
        <f>SUMIFS(DaybyDay[Retail-Actuals],DaybyDay[Date],"&gt;="&amp;$C$5,DaybyDay[RowYear],"&gt;="&amp;$C$4,DaybyDay[Date],"&lt;="&amp;DaybyDay[[#This Row],[Date]])</f>
        <v>0</v>
      </c>
      <c r="S704" s="35">
        <f>SUMIFS(DaybyDay[Service-LY],DaybyDay[Date],"&gt;="&amp;$C$5,DaybyDay[RowYear],"&gt;="&amp;$C$4,DaybyDay[Date],"&lt;="&amp;DaybyDay[[#This Row],[Date]])</f>
        <v>0</v>
      </c>
      <c r="T704" s="35">
        <f>SUMIFS(DaybyDay[Retail-LY],DaybyDay[Date],"&gt;="&amp;$C$5,DaybyDay[RowYear],"&gt;="&amp;$C$4,DaybyDay[Date],"&lt;="&amp;DaybyDay[[#This Row],[Date]])</f>
        <v>0</v>
      </c>
      <c r="U704" s="32">
        <f>DaybyDay[[#This Row],[Serv-Bud-RU]]+DaybyDay[[#This Row],[Ret-Bud-RU]]</f>
        <v>0</v>
      </c>
      <c r="V704" s="32">
        <f>DaybyDay[[#This Row],[Serv-Act-RU]]+DaybyDay[[#This Row],[Ret-Act-RU]]</f>
        <v>0</v>
      </c>
      <c r="W704" s="36">
        <f>IF(DaybyDay[[#This Row],[_Space]],IFERROR(
((DaybyDay[[#This Row],[Actual-Rollup]]-DaybyDay[[#This Row],[Budget-Rollup]])/DaybyDay[[#This Row],[Budget-Rollup]]),0),"")</f>
        <v>0</v>
      </c>
      <c r="X704" t="b">
        <f>NOT(AND(ISBLANK(DaybyDay[[#This Row],[Appts]]),ISBLANK(DaybyDay[[#This Row],[Service-Actuals]]),ISBLANK(DaybyDay[[#This Row],[Retail-Actuals]])))</f>
        <v>1</v>
      </c>
      <c r="Y704" s="36">
        <f>IF(DaybyDay[[#This Row],[_Space]],IFERROR(
((DaybyDay[[#This Row],[Actual-Rollup]]-DaybyDay[[#This Row],[LY-Rollup]])/DaybyDay[[#This Row],[LY-Rollup]]),0),"")</f>
        <v>0</v>
      </c>
      <c r="Z704"/>
      <c r="AA704" s="37" t="e">
        <f>IF(DaybyDay[[#This Row],[_Space]],DaybyDay[[#This Row],[Ret-Act-RU]]/DaybyDay[[#This Row],[Serv-Act-RU]],"")</f>
        <v>#DIV/0!</v>
      </c>
      <c r="AB704" s="50" t="e">
        <f>IF(DaybyDay[[#This Row],[_Space]],DaybyDay[[#This Row],[RETPEN-Act]]/DaybyDay[[#This Row],[RETPEN-Bud]],"")</f>
        <v>#DIV/0!</v>
      </c>
      <c r="AC704" s="37" t="e">
        <f>IF(DaybyDay[[#This Row],[_Space]],DaybyDay[[#This Row],[Ret-Bud-RU]]/DaybyDay[[#This Row],[Serv-Bud-RU]],"")</f>
        <v>#DIV/0!</v>
      </c>
      <c r="AD704" s="37" t="e">
        <f>IF(DaybyDay[[#This Row],[_Space]],DaybyDay[[#This Row],[Ret-LY-RU]]/DaybyDay[[#This Row],[Serv-LY-RU]],"")</f>
        <v>#DIV/0!</v>
      </c>
      <c r="AE704" s="30">
        <f>WEEKDAY(DaybyDay[[#This Row],[LY-Date]])</f>
        <v>5</v>
      </c>
      <c r="AF704" s="38">
        <f>$E$2+_xlfn.DAYS(DaybyDay[[#This Row],[Date]],minDate)</f>
        <v>43069</v>
      </c>
      <c r="AG704" s="39" cm="1">
        <f t="array" ref="AG704">IFERROR(INDEX(DaybyDay[],DaybyDay[[#This Row],[FORM_MATCH_HELPER]],8),"")</f>
        <v>27</v>
      </c>
      <c r="AH704" s="39" cm="1">
        <f t="array" ref="AH704">IFERROR(INDEX(DaybyDay[],DaybyDay[[#This Row],[FORM_MATCH_HELPER]],10),"")</f>
        <v>5166.1000000000004</v>
      </c>
      <c r="AI704" s="39" cm="1">
        <f t="array" ref="AI704">IFERROR(INDEX(DaybyDay[],DaybyDay[[#This Row],[FORM_MATCH_HELPER]],12),"")</f>
        <v>743.3</v>
      </c>
      <c r="AJ704" s="32">
        <f>IFERROR(DaybyDay[[#This Row],[Serv-LY-RU]]+DaybyDay[[#This Row],[Ret-LY-RU]],"")</f>
        <v>0</v>
      </c>
      <c r="AK7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4" s="77"/>
      <c r="AM704" s="40" t="str">
        <f>IF(DaybyDay[[#This Row],[Admin Hours]]&gt;0,DaybyDay[[#This Row],[Admin Hours]]*$AM$2+$AM$3,"")</f>
        <v/>
      </c>
      <c r="AN704" s="40">
        <f>SUMIFS(DaybyDay[Est-Admin-Payroll],DaybyDay[Date],"&gt;="&amp;$C$5,DaybyDay[RowYear],"&gt;="&amp;$C$4,DaybyDay[Date],"&lt;="&amp;DaybyDay[[#This Row],[Date]])</f>
        <v>0</v>
      </c>
      <c r="AO704" s="41" t="str">
        <f>IF(AND(DaybyDay[[#This Row],[_Space]],ISNUMBER(DaybyDay[[#This Row],[Admin Hours]])),DaybyDay[[#This Row],[Est-Admin-Payroll]]/(DaybyDay[[#This Row],[Service-Actuals]]+DaybyDay[[#This Row],[Retail-Actuals]]),"")</f>
        <v/>
      </c>
      <c r="AP704" s="41" t="e">
        <f>DaybyDay[[#This Row],[Estimated-Payroll-Rollup]]/DaybyDay[[#This Row],[Simple-Forecast]]</f>
        <v>#DIV/0!</v>
      </c>
      <c r="AQ7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4" s="77"/>
      <c r="AS704" s="40" t="str">
        <f>IF(DaybyDay[[#This Row],[Retail Hours]]&gt;0,DaybyDay[[#This Row],[Retail Hours]]*$AS$2,"")</f>
        <v/>
      </c>
      <c r="AT704" s="40">
        <f>SUMIFS(DaybyDay[Est-Retail-Payroll],DaybyDay[Date],"&gt;="&amp;$C$5,DaybyDay[RowYear],"&gt;="&amp;$C$4,DaybyDay[Date],"&lt;="&amp;DaybyDay[[#This Row],[Date]])</f>
        <v>0</v>
      </c>
      <c r="AU704" s="82" t="str">
        <f>IF(AND(DaybyDay[[#This Row],[_Space]],ISNUMBER(DaybyDay[[#This Row],[Retail Hours]])),DaybyDay[[#This Row],[Est-Retail-Payroll]]/(DaybyDay[[#This Row],[Retail-Actuals]]),"")</f>
        <v/>
      </c>
      <c r="AV704" s="82" t="e">
        <f>DaybyDay[[#This Row],[Est-Retail-PayrollRU]]/DaybyDay[[#This Row],[Simple-Forecast-Retail]]</f>
        <v>#DIV/0!</v>
      </c>
      <c r="AW704" s="8"/>
    </row>
    <row r="705" spans="3:49" hidden="1" x14ac:dyDescent="0.25">
      <c r="C705" s="26" t="str">
        <f>Tools!$C$1</f>
        <v>Example</v>
      </c>
      <c r="D705" s="27" t="s">
        <v>78</v>
      </c>
      <c r="E705" s="28">
        <v>2018</v>
      </c>
      <c r="F705" s="28">
        <f>MATCH(DaybyDay[[#This Row],[RowMonth]],Table3[SummaryMonth],0)</f>
        <v>11</v>
      </c>
      <c r="G705" s="29">
        <f>MATCH(DaybyDay[[#This Row],[LY-Date]],DaybyDay[Date],0)</f>
        <v>335</v>
      </c>
      <c r="H705" s="30">
        <f>WEEKDAY(DaybyDay[[#This Row],[Date]])</f>
        <v>6</v>
      </c>
      <c r="I705" s="31">
        <v>43434</v>
      </c>
      <c r="J705" s="74">
        <v>25</v>
      </c>
      <c r="K705" s="32">
        <f>SUMIFS(BudgetSeasonality[365 Seasonality],BudgetSeasonality[MonthAdjustment],DaybyDay[[#This Row],[Date]])*SUMIFS(Budgets[Service-Budget],Budgets[BudgetMonth],DaybyDay[[#This Row],[RowMonth]],Budgets[BudgetYear],DaybyDay[[#This Row],[RowYear]])</f>
        <v>7266.6680430686874</v>
      </c>
      <c r="L705" s="75">
        <v>6112.2</v>
      </c>
      <c r="M705" s="32">
        <f>INDEX(BudgetSeasonality[365 Seasonality],MATCH(DaybyDay[[#This Row],[Date]],BudgetSeasonality[MonthAdjustment],0))*SUMIFS(Budgets[Retail-Budget],Budgets[BudgetMonth],DaybyDay[[#This Row],[RowMonth]],Budgets[BudgetYear],DaybyDay[[#This Row],[RowYear]])</f>
        <v>2055.4728593796995</v>
      </c>
      <c r="N705" s="75">
        <v>3480.5</v>
      </c>
      <c r="O705" s="33">
        <f>SUMIFS(DaybyDay[Service-Budgets],DaybyDay[Date],"&gt;="&amp;$C$5,DaybyDay[RowYear],"&gt;="&amp;$C$4,DaybyDay[Date],"&lt;="&amp;DaybyDay[[#This Row],[Date]])</f>
        <v>0</v>
      </c>
      <c r="P705" s="33">
        <f>SUMIFS(DaybyDay[Retail-Budgets],DaybyDay[Date],"&gt;="&amp;$C$5,DaybyDay[RowYear],"&gt;="&amp;$C$4,DaybyDay[Date],"&lt;="&amp;DaybyDay[[#This Row],[Date]])</f>
        <v>0</v>
      </c>
      <c r="Q705" s="34">
        <f>SUMIFS(DaybyDay[Service-Actuals],DaybyDay[Date],"&gt;="&amp;$C$5,DaybyDay[RowYear],"&gt;="&amp;$C$4,DaybyDay[Date],"&lt;="&amp;DaybyDay[[#This Row],[Date]])</f>
        <v>0</v>
      </c>
      <c r="R705" s="34">
        <f>SUMIFS(DaybyDay[Retail-Actuals],DaybyDay[Date],"&gt;="&amp;$C$5,DaybyDay[RowYear],"&gt;="&amp;$C$4,DaybyDay[Date],"&lt;="&amp;DaybyDay[[#This Row],[Date]])</f>
        <v>0</v>
      </c>
      <c r="S705" s="35">
        <f>SUMIFS(DaybyDay[Service-LY],DaybyDay[Date],"&gt;="&amp;$C$5,DaybyDay[RowYear],"&gt;="&amp;$C$4,DaybyDay[Date],"&lt;="&amp;DaybyDay[[#This Row],[Date]])</f>
        <v>0</v>
      </c>
      <c r="T705" s="35">
        <f>SUMIFS(DaybyDay[Retail-LY],DaybyDay[Date],"&gt;="&amp;$C$5,DaybyDay[RowYear],"&gt;="&amp;$C$4,DaybyDay[Date],"&lt;="&amp;DaybyDay[[#This Row],[Date]])</f>
        <v>0</v>
      </c>
      <c r="U705" s="32">
        <f>DaybyDay[[#This Row],[Serv-Bud-RU]]+DaybyDay[[#This Row],[Ret-Bud-RU]]</f>
        <v>0</v>
      </c>
      <c r="V705" s="32">
        <f>DaybyDay[[#This Row],[Serv-Act-RU]]+DaybyDay[[#This Row],[Ret-Act-RU]]</f>
        <v>0</v>
      </c>
      <c r="W705" s="36">
        <f>IF(DaybyDay[[#This Row],[_Space]],IFERROR(
((DaybyDay[[#This Row],[Actual-Rollup]]-DaybyDay[[#This Row],[Budget-Rollup]])/DaybyDay[[#This Row],[Budget-Rollup]]),0),"")</f>
        <v>0</v>
      </c>
      <c r="X705" t="b">
        <f>NOT(AND(ISBLANK(DaybyDay[[#This Row],[Appts]]),ISBLANK(DaybyDay[[#This Row],[Service-Actuals]]),ISBLANK(DaybyDay[[#This Row],[Retail-Actuals]])))</f>
        <v>1</v>
      </c>
      <c r="Y705" s="36">
        <f>IF(DaybyDay[[#This Row],[_Space]],IFERROR(
((DaybyDay[[#This Row],[Actual-Rollup]]-DaybyDay[[#This Row],[LY-Rollup]])/DaybyDay[[#This Row],[LY-Rollup]]),0),"")</f>
        <v>0</v>
      </c>
      <c r="Z705"/>
      <c r="AA705" s="37" t="e">
        <f>IF(DaybyDay[[#This Row],[_Space]],DaybyDay[[#This Row],[Ret-Act-RU]]/DaybyDay[[#This Row],[Serv-Act-RU]],"")</f>
        <v>#DIV/0!</v>
      </c>
      <c r="AB705" s="50" t="e">
        <f>IF(DaybyDay[[#This Row],[_Space]],DaybyDay[[#This Row],[RETPEN-Act]]/DaybyDay[[#This Row],[RETPEN-Bud]],"")</f>
        <v>#DIV/0!</v>
      </c>
      <c r="AC705" s="37" t="e">
        <f>IF(DaybyDay[[#This Row],[_Space]],DaybyDay[[#This Row],[Ret-Bud-RU]]/DaybyDay[[#This Row],[Serv-Bud-RU]],"")</f>
        <v>#DIV/0!</v>
      </c>
      <c r="AD705" s="37" t="e">
        <f>IF(DaybyDay[[#This Row],[_Space]],DaybyDay[[#This Row],[Ret-LY-RU]]/DaybyDay[[#This Row],[Serv-LY-RU]],"")</f>
        <v>#DIV/0!</v>
      </c>
      <c r="AE705" s="30">
        <f>WEEKDAY(DaybyDay[[#This Row],[LY-Date]])</f>
        <v>6</v>
      </c>
      <c r="AF705" s="38">
        <f>$E$2+_xlfn.DAYS(DaybyDay[[#This Row],[Date]],minDate)</f>
        <v>43070</v>
      </c>
      <c r="AG705" s="39" cm="1">
        <f t="array" ref="AG705">IFERROR(INDEX(DaybyDay[],DaybyDay[[#This Row],[FORM_MATCH_HELPER]],8),"")</f>
        <v>20</v>
      </c>
      <c r="AH705" s="39" cm="1">
        <f t="array" ref="AH705">IFERROR(INDEX(DaybyDay[],DaybyDay[[#This Row],[FORM_MATCH_HELPER]],10),"")</f>
        <v>3282.05</v>
      </c>
      <c r="AI705" s="39" cm="1">
        <f t="array" ref="AI705">IFERROR(INDEX(DaybyDay[],DaybyDay[[#This Row],[FORM_MATCH_HELPER]],12),"")</f>
        <v>318.5</v>
      </c>
      <c r="AJ705" s="32">
        <f>IFERROR(DaybyDay[[#This Row],[Serv-LY-RU]]+DaybyDay[[#This Row],[Ret-LY-RU]],"")</f>
        <v>0</v>
      </c>
      <c r="AK7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5" s="77"/>
      <c r="AM705" s="40" t="str">
        <f>IF(DaybyDay[[#This Row],[Admin Hours]]&gt;0,DaybyDay[[#This Row],[Admin Hours]]*$AM$2+$AM$3,"")</f>
        <v/>
      </c>
      <c r="AN705" s="40">
        <f>SUMIFS(DaybyDay[Est-Admin-Payroll],DaybyDay[Date],"&gt;="&amp;$C$5,DaybyDay[RowYear],"&gt;="&amp;$C$4,DaybyDay[Date],"&lt;="&amp;DaybyDay[[#This Row],[Date]])</f>
        <v>0</v>
      </c>
      <c r="AO705" s="41" t="str">
        <f>IF(AND(DaybyDay[[#This Row],[_Space]],ISNUMBER(DaybyDay[[#This Row],[Admin Hours]])),DaybyDay[[#This Row],[Est-Admin-Payroll]]/(DaybyDay[[#This Row],[Service-Actuals]]+DaybyDay[[#This Row],[Retail-Actuals]]),"")</f>
        <v/>
      </c>
      <c r="AP705" s="41" t="e">
        <f>DaybyDay[[#This Row],[Estimated-Payroll-Rollup]]/DaybyDay[[#This Row],[Simple-Forecast]]</f>
        <v>#DIV/0!</v>
      </c>
      <c r="AQ7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5" s="77"/>
      <c r="AS705" s="40" t="str">
        <f>IF(DaybyDay[[#This Row],[Retail Hours]]&gt;0,DaybyDay[[#This Row],[Retail Hours]]*$AS$2,"")</f>
        <v/>
      </c>
      <c r="AT705" s="40">
        <f>SUMIFS(DaybyDay[Est-Retail-Payroll],DaybyDay[Date],"&gt;="&amp;$C$5,DaybyDay[RowYear],"&gt;="&amp;$C$4,DaybyDay[Date],"&lt;="&amp;DaybyDay[[#This Row],[Date]])</f>
        <v>0</v>
      </c>
      <c r="AU705" s="82" t="str">
        <f>IF(AND(DaybyDay[[#This Row],[_Space]],ISNUMBER(DaybyDay[[#This Row],[Retail Hours]])),DaybyDay[[#This Row],[Est-Retail-Payroll]]/(DaybyDay[[#This Row],[Retail-Actuals]]),"")</f>
        <v/>
      </c>
      <c r="AV705" s="82" t="e">
        <f>DaybyDay[[#This Row],[Est-Retail-PayrollRU]]/DaybyDay[[#This Row],[Simple-Forecast-Retail]]</f>
        <v>#DIV/0!</v>
      </c>
      <c r="AW705" s="8"/>
    </row>
    <row r="706" spans="3:49" hidden="1" x14ac:dyDescent="0.25">
      <c r="C706" s="26" t="str">
        <f>Tools!$C$1</f>
        <v>Example</v>
      </c>
      <c r="D706" s="27" t="s">
        <v>78</v>
      </c>
      <c r="E706" s="28">
        <v>2018</v>
      </c>
      <c r="F706" s="28">
        <f>MATCH(DaybyDay[[#This Row],[RowMonth]],Table3[SummaryMonth],0)</f>
        <v>11</v>
      </c>
      <c r="G706" s="29">
        <f>MATCH(DaybyDay[[#This Row],[LY-Date]],DaybyDay[Date],0)</f>
        <v>336</v>
      </c>
      <c r="H706" s="30">
        <f>WEEKDAY(DaybyDay[[#This Row],[Date]])</f>
        <v>7</v>
      </c>
      <c r="I706" s="31">
        <v>43435</v>
      </c>
      <c r="J706" s="74">
        <v>26</v>
      </c>
      <c r="K706" s="32">
        <f>SUMIFS(BudgetSeasonality[365 Seasonality],BudgetSeasonality[MonthAdjustment],DaybyDay[[#This Row],[Date]])*SUMIFS(Budgets[Service-Budget],Budgets[BudgetMonth],DaybyDay[[#This Row],[RowMonth]],Budgets[BudgetYear],DaybyDay[[#This Row],[RowYear]])</f>
        <v>10243.140575119307</v>
      </c>
      <c r="L706" s="75">
        <v>5740.4</v>
      </c>
      <c r="M706" s="32">
        <f>INDEX(BudgetSeasonality[365 Seasonality],MATCH(DaybyDay[[#This Row],[Date]],BudgetSeasonality[MonthAdjustment],0))*SUMIFS(Budgets[Retail-Budget],Budgets[BudgetMonth],DaybyDay[[#This Row],[RowMonth]],Budgets[BudgetYear],DaybyDay[[#This Row],[RowYear]])</f>
        <v>2897.4073567391779</v>
      </c>
      <c r="N706" s="75">
        <v>1820</v>
      </c>
      <c r="O706" s="33">
        <f>SUMIFS(DaybyDay[Service-Budgets],DaybyDay[Date],"&gt;="&amp;$C$5,DaybyDay[RowYear],"&gt;="&amp;$C$4,DaybyDay[Date],"&lt;="&amp;DaybyDay[[#This Row],[Date]])</f>
        <v>0</v>
      </c>
      <c r="P706" s="33">
        <f>SUMIFS(DaybyDay[Retail-Budgets],DaybyDay[Date],"&gt;="&amp;$C$5,DaybyDay[RowYear],"&gt;="&amp;$C$4,DaybyDay[Date],"&lt;="&amp;DaybyDay[[#This Row],[Date]])</f>
        <v>0</v>
      </c>
      <c r="Q706" s="34">
        <f>SUMIFS(DaybyDay[Service-Actuals],DaybyDay[Date],"&gt;="&amp;$C$5,DaybyDay[RowYear],"&gt;="&amp;$C$4,DaybyDay[Date],"&lt;="&amp;DaybyDay[[#This Row],[Date]])</f>
        <v>0</v>
      </c>
      <c r="R706" s="34">
        <f>SUMIFS(DaybyDay[Retail-Actuals],DaybyDay[Date],"&gt;="&amp;$C$5,DaybyDay[RowYear],"&gt;="&amp;$C$4,DaybyDay[Date],"&lt;="&amp;DaybyDay[[#This Row],[Date]])</f>
        <v>0</v>
      </c>
      <c r="S706" s="35">
        <f>SUMIFS(DaybyDay[Service-LY],DaybyDay[Date],"&gt;="&amp;$C$5,DaybyDay[RowYear],"&gt;="&amp;$C$4,DaybyDay[Date],"&lt;="&amp;DaybyDay[[#This Row],[Date]])</f>
        <v>0</v>
      </c>
      <c r="T706" s="35">
        <f>SUMIFS(DaybyDay[Retail-LY],DaybyDay[Date],"&gt;="&amp;$C$5,DaybyDay[RowYear],"&gt;="&amp;$C$4,DaybyDay[Date],"&lt;="&amp;DaybyDay[[#This Row],[Date]])</f>
        <v>0</v>
      </c>
      <c r="U706" s="32">
        <f>DaybyDay[[#This Row],[Serv-Bud-RU]]+DaybyDay[[#This Row],[Ret-Bud-RU]]</f>
        <v>0</v>
      </c>
      <c r="V706" s="32">
        <f>DaybyDay[[#This Row],[Serv-Act-RU]]+DaybyDay[[#This Row],[Ret-Act-RU]]</f>
        <v>0</v>
      </c>
      <c r="W706" s="36">
        <f>IF(DaybyDay[[#This Row],[_Space]],IFERROR(
((DaybyDay[[#This Row],[Actual-Rollup]]-DaybyDay[[#This Row],[Budget-Rollup]])/DaybyDay[[#This Row],[Budget-Rollup]]),0),"")</f>
        <v>0</v>
      </c>
      <c r="X706" t="b">
        <f>NOT(AND(ISBLANK(DaybyDay[[#This Row],[Appts]]),ISBLANK(DaybyDay[[#This Row],[Service-Actuals]]),ISBLANK(DaybyDay[[#This Row],[Retail-Actuals]])))</f>
        <v>1</v>
      </c>
      <c r="Y706" s="36">
        <f>IF(DaybyDay[[#This Row],[_Space]],IFERROR(
((DaybyDay[[#This Row],[Actual-Rollup]]-DaybyDay[[#This Row],[LY-Rollup]])/DaybyDay[[#This Row],[LY-Rollup]]),0),"")</f>
        <v>0</v>
      </c>
      <c r="Z706"/>
      <c r="AA706" s="37" t="e">
        <f>IF(DaybyDay[[#This Row],[_Space]],DaybyDay[[#This Row],[Ret-Act-RU]]/DaybyDay[[#This Row],[Serv-Act-RU]],"")</f>
        <v>#DIV/0!</v>
      </c>
      <c r="AB706" s="50" t="e">
        <f>IF(DaybyDay[[#This Row],[_Space]],DaybyDay[[#This Row],[RETPEN-Act]]/DaybyDay[[#This Row],[RETPEN-Bud]],"")</f>
        <v>#DIV/0!</v>
      </c>
      <c r="AC706" s="37" t="e">
        <f>IF(DaybyDay[[#This Row],[_Space]],DaybyDay[[#This Row],[Ret-Bud-RU]]/DaybyDay[[#This Row],[Serv-Bud-RU]],"")</f>
        <v>#DIV/0!</v>
      </c>
      <c r="AD706" s="37" t="e">
        <f>IF(DaybyDay[[#This Row],[_Space]],DaybyDay[[#This Row],[Ret-LY-RU]]/DaybyDay[[#This Row],[Serv-LY-RU]],"")</f>
        <v>#DIV/0!</v>
      </c>
      <c r="AE706" s="30">
        <f>WEEKDAY(DaybyDay[[#This Row],[LY-Date]])</f>
        <v>7</v>
      </c>
      <c r="AF706" s="38">
        <f>$E$2+_xlfn.DAYS(DaybyDay[[#This Row],[Date]],minDate)</f>
        <v>43071</v>
      </c>
      <c r="AG706" s="39" cm="1">
        <f t="array" ref="AG706">IFERROR(INDEX(DaybyDay[],DaybyDay[[#This Row],[FORM_MATCH_HELPER]],8),"")</f>
        <v>35</v>
      </c>
      <c r="AH706" s="39" cm="1">
        <f t="array" ref="AH706">IFERROR(INDEX(DaybyDay[],DaybyDay[[#This Row],[FORM_MATCH_HELPER]],10),"")</f>
        <v>9338.7000000000007</v>
      </c>
      <c r="AI706" s="39" cm="1">
        <f t="array" ref="AI706">IFERROR(INDEX(DaybyDay[],DaybyDay[[#This Row],[FORM_MATCH_HELPER]],12),"")</f>
        <v>3692</v>
      </c>
      <c r="AJ706" s="32">
        <f>IFERROR(DaybyDay[[#This Row],[Serv-LY-RU]]+DaybyDay[[#This Row],[Ret-LY-RU]],"")</f>
        <v>0</v>
      </c>
      <c r="AK7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6" s="77"/>
      <c r="AM706" s="40" t="str">
        <f>IF(DaybyDay[[#This Row],[Admin Hours]]&gt;0,DaybyDay[[#This Row],[Admin Hours]]*$AM$2+$AM$3,"")</f>
        <v/>
      </c>
      <c r="AN706" s="40">
        <f>SUMIFS(DaybyDay[Est-Admin-Payroll],DaybyDay[Date],"&gt;="&amp;$C$5,DaybyDay[RowYear],"&gt;="&amp;$C$4,DaybyDay[Date],"&lt;="&amp;DaybyDay[[#This Row],[Date]])</f>
        <v>0</v>
      </c>
      <c r="AO706" s="41" t="str">
        <f>IF(AND(DaybyDay[[#This Row],[_Space]],ISNUMBER(DaybyDay[[#This Row],[Admin Hours]])),DaybyDay[[#This Row],[Est-Admin-Payroll]]/(DaybyDay[[#This Row],[Service-Actuals]]+DaybyDay[[#This Row],[Retail-Actuals]]),"")</f>
        <v/>
      </c>
      <c r="AP706" s="41" t="e">
        <f>DaybyDay[[#This Row],[Estimated-Payroll-Rollup]]/DaybyDay[[#This Row],[Simple-Forecast]]</f>
        <v>#DIV/0!</v>
      </c>
      <c r="AQ7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6" s="77"/>
      <c r="AS706" s="40" t="str">
        <f>IF(DaybyDay[[#This Row],[Retail Hours]]&gt;0,DaybyDay[[#This Row],[Retail Hours]]*$AS$2,"")</f>
        <v/>
      </c>
      <c r="AT706" s="40">
        <f>SUMIFS(DaybyDay[Est-Retail-Payroll],DaybyDay[Date],"&gt;="&amp;$C$5,DaybyDay[RowYear],"&gt;="&amp;$C$4,DaybyDay[Date],"&lt;="&amp;DaybyDay[[#This Row],[Date]])</f>
        <v>0</v>
      </c>
      <c r="AU706" s="82" t="str">
        <f>IF(AND(DaybyDay[[#This Row],[_Space]],ISNUMBER(DaybyDay[[#This Row],[Retail Hours]])),DaybyDay[[#This Row],[Est-Retail-Payroll]]/(DaybyDay[[#This Row],[Retail-Actuals]]),"")</f>
        <v/>
      </c>
      <c r="AV706" s="82" t="e">
        <f>DaybyDay[[#This Row],[Est-Retail-PayrollRU]]/DaybyDay[[#This Row],[Simple-Forecast-Retail]]</f>
        <v>#DIV/0!</v>
      </c>
      <c r="AW706" s="8"/>
    </row>
    <row r="707" spans="3:49" hidden="1" x14ac:dyDescent="0.25">
      <c r="C707" s="26" t="str">
        <f>Tools!$C$1</f>
        <v>Example</v>
      </c>
      <c r="D707" s="27" t="s">
        <v>79</v>
      </c>
      <c r="E707" s="28">
        <v>2018</v>
      </c>
      <c r="F707" s="28">
        <f>MATCH(DaybyDay[[#This Row],[RowMonth]],Table3[SummaryMonth],0)</f>
        <v>12</v>
      </c>
      <c r="G707" s="29">
        <f>MATCH(DaybyDay[[#This Row],[LY-Date]],DaybyDay[Date],0)</f>
        <v>337</v>
      </c>
      <c r="H707" s="30">
        <f>WEEKDAY(DaybyDay[[#This Row],[Date]])</f>
        <v>1</v>
      </c>
      <c r="I707" s="31">
        <v>43436</v>
      </c>
      <c r="J707" s="74">
        <v>36</v>
      </c>
      <c r="K707" s="32">
        <f>SUMIFS(BudgetSeasonality[365 Seasonality],BudgetSeasonality[MonthAdjustment],DaybyDay[[#This Row],[Date]])*SUMIFS(Budgets[Service-Budget],Budgets[BudgetMonth],DaybyDay[[#This Row],[RowMonth]],Budgets[BudgetYear],DaybyDay[[#This Row],[RowYear]])</f>
        <v>7038.1717551554575</v>
      </c>
      <c r="L707" s="75">
        <v>7025.7</v>
      </c>
      <c r="M707" s="32">
        <f>INDEX(BudgetSeasonality[365 Seasonality],MATCH(DaybyDay[[#This Row],[Date]],BudgetSeasonality[MonthAdjustment],0))*SUMIFS(Budgets[Retail-Budget],Budgets[BudgetMonth],DaybyDay[[#This Row],[RowMonth]],Budgets[BudgetYear],DaybyDay[[#This Row],[RowYear]])</f>
        <v>1971.0641697568685</v>
      </c>
      <c r="N707" s="75">
        <v>454</v>
      </c>
      <c r="O707" s="33">
        <f>SUMIFS(DaybyDay[Service-Budgets],DaybyDay[Date],"&gt;="&amp;$C$5,DaybyDay[RowYear],"&gt;="&amp;$C$4,DaybyDay[Date],"&lt;="&amp;DaybyDay[[#This Row],[Date]])</f>
        <v>0</v>
      </c>
      <c r="P707" s="33">
        <f>SUMIFS(DaybyDay[Retail-Budgets],DaybyDay[Date],"&gt;="&amp;$C$5,DaybyDay[RowYear],"&gt;="&amp;$C$4,DaybyDay[Date],"&lt;="&amp;DaybyDay[[#This Row],[Date]])</f>
        <v>0</v>
      </c>
      <c r="Q707" s="34">
        <f>SUMIFS(DaybyDay[Service-Actuals],DaybyDay[Date],"&gt;="&amp;$C$5,DaybyDay[RowYear],"&gt;="&amp;$C$4,DaybyDay[Date],"&lt;="&amp;DaybyDay[[#This Row],[Date]])</f>
        <v>0</v>
      </c>
      <c r="R707" s="34">
        <f>SUMIFS(DaybyDay[Retail-Actuals],DaybyDay[Date],"&gt;="&amp;$C$5,DaybyDay[RowYear],"&gt;="&amp;$C$4,DaybyDay[Date],"&lt;="&amp;DaybyDay[[#This Row],[Date]])</f>
        <v>0</v>
      </c>
      <c r="S707" s="35">
        <f>SUMIFS(DaybyDay[Service-LY],DaybyDay[Date],"&gt;="&amp;$C$5,DaybyDay[RowYear],"&gt;="&amp;$C$4,DaybyDay[Date],"&lt;="&amp;DaybyDay[[#This Row],[Date]])</f>
        <v>0</v>
      </c>
      <c r="T707" s="35">
        <f>SUMIFS(DaybyDay[Retail-LY],DaybyDay[Date],"&gt;="&amp;$C$5,DaybyDay[RowYear],"&gt;="&amp;$C$4,DaybyDay[Date],"&lt;="&amp;DaybyDay[[#This Row],[Date]])</f>
        <v>0</v>
      </c>
      <c r="U707" s="32">
        <f>DaybyDay[[#This Row],[Serv-Bud-RU]]+DaybyDay[[#This Row],[Ret-Bud-RU]]</f>
        <v>0</v>
      </c>
      <c r="V707" s="32">
        <f>DaybyDay[[#This Row],[Serv-Act-RU]]+DaybyDay[[#This Row],[Ret-Act-RU]]</f>
        <v>0</v>
      </c>
      <c r="W707" s="36">
        <f>IF(DaybyDay[[#This Row],[_Space]],IFERROR(
((DaybyDay[[#This Row],[Actual-Rollup]]-DaybyDay[[#This Row],[Budget-Rollup]])/DaybyDay[[#This Row],[Budget-Rollup]]),0),"")</f>
        <v>0</v>
      </c>
      <c r="X707" t="b">
        <f>NOT(AND(ISBLANK(DaybyDay[[#This Row],[Appts]]),ISBLANK(DaybyDay[[#This Row],[Service-Actuals]]),ISBLANK(DaybyDay[[#This Row],[Retail-Actuals]])))</f>
        <v>1</v>
      </c>
      <c r="Y707" s="36">
        <f>IF(DaybyDay[[#This Row],[_Space]],IFERROR(
((DaybyDay[[#This Row],[Actual-Rollup]]-DaybyDay[[#This Row],[LY-Rollup]])/DaybyDay[[#This Row],[LY-Rollup]]),0),"")</f>
        <v>0</v>
      </c>
      <c r="Z707"/>
      <c r="AA707" s="37" t="e">
        <f>IF(DaybyDay[[#This Row],[_Space]],DaybyDay[[#This Row],[Ret-Act-RU]]/DaybyDay[[#This Row],[Serv-Act-RU]],"")</f>
        <v>#DIV/0!</v>
      </c>
      <c r="AB707" s="50" t="e">
        <f>IF(DaybyDay[[#This Row],[_Space]],DaybyDay[[#This Row],[RETPEN-Act]]/DaybyDay[[#This Row],[RETPEN-Bud]],"")</f>
        <v>#DIV/0!</v>
      </c>
      <c r="AC707" s="37" t="e">
        <f>IF(DaybyDay[[#This Row],[_Space]],DaybyDay[[#This Row],[Ret-Bud-RU]]/DaybyDay[[#This Row],[Serv-Bud-RU]],"")</f>
        <v>#DIV/0!</v>
      </c>
      <c r="AD707" s="37" t="e">
        <f>IF(DaybyDay[[#This Row],[_Space]],DaybyDay[[#This Row],[Ret-LY-RU]]/DaybyDay[[#This Row],[Serv-LY-RU]],"")</f>
        <v>#DIV/0!</v>
      </c>
      <c r="AE707" s="30">
        <f>WEEKDAY(DaybyDay[[#This Row],[LY-Date]])</f>
        <v>1</v>
      </c>
      <c r="AF707" s="38">
        <f>$E$2+_xlfn.DAYS(DaybyDay[[#This Row],[Date]],minDate)</f>
        <v>43072</v>
      </c>
      <c r="AG707" s="39" cm="1">
        <f t="array" ref="AG707">IFERROR(INDEX(DaybyDay[],DaybyDay[[#This Row],[FORM_MATCH_HELPER]],8),"")</f>
        <v>25</v>
      </c>
      <c r="AH707" s="39" cm="1">
        <f t="array" ref="AH707">IFERROR(INDEX(DaybyDay[],DaybyDay[[#This Row],[FORM_MATCH_HELPER]],10),"")</f>
        <v>6251.2</v>
      </c>
      <c r="AI707" s="39" cm="1">
        <f t="array" ref="AI707">IFERROR(INDEX(DaybyDay[],DaybyDay[[#This Row],[FORM_MATCH_HELPER]],12),"")</f>
        <v>766.5</v>
      </c>
      <c r="AJ707" s="32">
        <f>IFERROR(DaybyDay[[#This Row],[Serv-LY-RU]]+DaybyDay[[#This Row],[Ret-LY-RU]],"")</f>
        <v>0</v>
      </c>
      <c r="AK7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7" s="77"/>
      <c r="AM707" s="40" t="str">
        <f>IF(DaybyDay[[#This Row],[Admin Hours]]&gt;0,DaybyDay[[#This Row],[Admin Hours]]*$AM$2+$AM$3,"")</f>
        <v/>
      </c>
      <c r="AN707" s="40">
        <f>SUMIFS(DaybyDay[Est-Admin-Payroll],DaybyDay[Date],"&gt;="&amp;$C$5,DaybyDay[RowYear],"&gt;="&amp;$C$4,DaybyDay[Date],"&lt;="&amp;DaybyDay[[#This Row],[Date]])</f>
        <v>0</v>
      </c>
      <c r="AO707" s="41" t="str">
        <f>IF(AND(DaybyDay[[#This Row],[_Space]],ISNUMBER(DaybyDay[[#This Row],[Admin Hours]])),DaybyDay[[#This Row],[Est-Admin-Payroll]]/(DaybyDay[[#This Row],[Service-Actuals]]+DaybyDay[[#This Row],[Retail-Actuals]]),"")</f>
        <v/>
      </c>
      <c r="AP707" s="41" t="e">
        <f>DaybyDay[[#This Row],[Estimated-Payroll-Rollup]]/DaybyDay[[#This Row],[Simple-Forecast]]</f>
        <v>#DIV/0!</v>
      </c>
      <c r="AQ7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7" s="77"/>
      <c r="AS707" s="40" t="str">
        <f>IF(DaybyDay[[#This Row],[Retail Hours]]&gt;0,DaybyDay[[#This Row],[Retail Hours]]*$AS$2,"")</f>
        <v/>
      </c>
      <c r="AT707" s="40">
        <f>SUMIFS(DaybyDay[Est-Retail-Payroll],DaybyDay[Date],"&gt;="&amp;$C$5,DaybyDay[RowYear],"&gt;="&amp;$C$4,DaybyDay[Date],"&lt;="&amp;DaybyDay[[#This Row],[Date]])</f>
        <v>0</v>
      </c>
      <c r="AU707" s="82" t="str">
        <f>IF(AND(DaybyDay[[#This Row],[_Space]],ISNUMBER(DaybyDay[[#This Row],[Retail Hours]])),DaybyDay[[#This Row],[Est-Retail-Payroll]]/(DaybyDay[[#This Row],[Retail-Actuals]]),"")</f>
        <v/>
      </c>
      <c r="AV707" s="82" t="e">
        <f>DaybyDay[[#This Row],[Est-Retail-PayrollRU]]/DaybyDay[[#This Row],[Simple-Forecast-Retail]]</f>
        <v>#DIV/0!</v>
      </c>
      <c r="AW707" s="8"/>
    </row>
    <row r="708" spans="3:49" hidden="1" x14ac:dyDescent="0.25">
      <c r="C708" s="26" t="str">
        <f>Tools!$C$1</f>
        <v>Example</v>
      </c>
      <c r="D708" s="27" t="s">
        <v>79</v>
      </c>
      <c r="E708" s="28">
        <v>2018</v>
      </c>
      <c r="F708" s="28">
        <f>MATCH(DaybyDay[[#This Row],[RowMonth]],Table3[SummaryMonth],0)</f>
        <v>12</v>
      </c>
      <c r="G708" s="29">
        <f>MATCH(DaybyDay[[#This Row],[LY-Date]],DaybyDay[Date],0)</f>
        <v>338</v>
      </c>
      <c r="H708" s="30">
        <f>WEEKDAY(DaybyDay[[#This Row],[Date]])</f>
        <v>2</v>
      </c>
      <c r="I708" s="31">
        <v>43437</v>
      </c>
      <c r="J708" s="74">
        <v>11</v>
      </c>
      <c r="K708" s="32">
        <f>SUMIFS(BudgetSeasonality[365 Seasonality],BudgetSeasonality[MonthAdjustment],DaybyDay[[#This Row],[Date]])*SUMIFS(Budgets[Service-Budget],Budgets[BudgetMonth],DaybyDay[[#This Row],[RowMonth]],Budgets[BudgetYear],DaybyDay[[#This Row],[RowYear]])</f>
        <v>4294.3222328068996</v>
      </c>
      <c r="L708" s="75">
        <v>2366.65</v>
      </c>
      <c r="M708" s="32">
        <f>INDEX(BudgetSeasonality[365 Seasonality],MATCH(DaybyDay[[#This Row],[Date]],BudgetSeasonality[MonthAdjustment],0))*SUMIFS(Budgets[Retail-Budget],Budgets[BudgetMonth],DaybyDay[[#This Row],[RowMonth]],Budgets[BudgetYear],DaybyDay[[#This Row],[RowYear]])</f>
        <v>1202.6396883929176</v>
      </c>
      <c r="N708" s="75">
        <v>743.5</v>
      </c>
      <c r="O708" s="33">
        <f>SUMIFS(DaybyDay[Service-Budgets],DaybyDay[Date],"&gt;="&amp;$C$5,DaybyDay[RowYear],"&gt;="&amp;$C$4,DaybyDay[Date],"&lt;="&amp;DaybyDay[[#This Row],[Date]])</f>
        <v>0</v>
      </c>
      <c r="P708" s="33">
        <f>SUMIFS(DaybyDay[Retail-Budgets],DaybyDay[Date],"&gt;="&amp;$C$5,DaybyDay[RowYear],"&gt;="&amp;$C$4,DaybyDay[Date],"&lt;="&amp;DaybyDay[[#This Row],[Date]])</f>
        <v>0</v>
      </c>
      <c r="Q708" s="34">
        <f>SUMIFS(DaybyDay[Service-Actuals],DaybyDay[Date],"&gt;="&amp;$C$5,DaybyDay[RowYear],"&gt;="&amp;$C$4,DaybyDay[Date],"&lt;="&amp;DaybyDay[[#This Row],[Date]])</f>
        <v>0</v>
      </c>
      <c r="R708" s="34">
        <f>SUMIFS(DaybyDay[Retail-Actuals],DaybyDay[Date],"&gt;="&amp;$C$5,DaybyDay[RowYear],"&gt;="&amp;$C$4,DaybyDay[Date],"&lt;="&amp;DaybyDay[[#This Row],[Date]])</f>
        <v>0</v>
      </c>
      <c r="S708" s="35">
        <f>SUMIFS(DaybyDay[Service-LY],DaybyDay[Date],"&gt;="&amp;$C$5,DaybyDay[RowYear],"&gt;="&amp;$C$4,DaybyDay[Date],"&lt;="&amp;DaybyDay[[#This Row],[Date]])</f>
        <v>0</v>
      </c>
      <c r="T708" s="35">
        <f>SUMIFS(DaybyDay[Retail-LY],DaybyDay[Date],"&gt;="&amp;$C$5,DaybyDay[RowYear],"&gt;="&amp;$C$4,DaybyDay[Date],"&lt;="&amp;DaybyDay[[#This Row],[Date]])</f>
        <v>0</v>
      </c>
      <c r="U708" s="32">
        <f>DaybyDay[[#This Row],[Serv-Bud-RU]]+DaybyDay[[#This Row],[Ret-Bud-RU]]</f>
        <v>0</v>
      </c>
      <c r="V708" s="32">
        <f>DaybyDay[[#This Row],[Serv-Act-RU]]+DaybyDay[[#This Row],[Ret-Act-RU]]</f>
        <v>0</v>
      </c>
      <c r="W708" s="36">
        <f>IF(DaybyDay[[#This Row],[_Space]],IFERROR(
((DaybyDay[[#This Row],[Actual-Rollup]]-DaybyDay[[#This Row],[Budget-Rollup]])/DaybyDay[[#This Row],[Budget-Rollup]]),0),"")</f>
        <v>0</v>
      </c>
      <c r="X708" t="b">
        <f>NOT(AND(ISBLANK(DaybyDay[[#This Row],[Appts]]),ISBLANK(DaybyDay[[#This Row],[Service-Actuals]]),ISBLANK(DaybyDay[[#This Row],[Retail-Actuals]])))</f>
        <v>1</v>
      </c>
      <c r="Y708" s="36">
        <f>IF(DaybyDay[[#This Row],[_Space]],IFERROR(
((DaybyDay[[#This Row],[Actual-Rollup]]-DaybyDay[[#This Row],[LY-Rollup]])/DaybyDay[[#This Row],[LY-Rollup]]),0),"")</f>
        <v>0</v>
      </c>
      <c r="Z708"/>
      <c r="AA708" s="37" t="e">
        <f>IF(DaybyDay[[#This Row],[_Space]],DaybyDay[[#This Row],[Ret-Act-RU]]/DaybyDay[[#This Row],[Serv-Act-RU]],"")</f>
        <v>#DIV/0!</v>
      </c>
      <c r="AB708" s="50" t="e">
        <f>IF(DaybyDay[[#This Row],[_Space]],DaybyDay[[#This Row],[RETPEN-Act]]/DaybyDay[[#This Row],[RETPEN-Bud]],"")</f>
        <v>#DIV/0!</v>
      </c>
      <c r="AC708" s="37" t="e">
        <f>IF(DaybyDay[[#This Row],[_Space]],DaybyDay[[#This Row],[Ret-Bud-RU]]/DaybyDay[[#This Row],[Serv-Bud-RU]],"")</f>
        <v>#DIV/0!</v>
      </c>
      <c r="AD708" s="37" t="e">
        <f>IF(DaybyDay[[#This Row],[_Space]],DaybyDay[[#This Row],[Ret-LY-RU]]/DaybyDay[[#This Row],[Serv-LY-RU]],"")</f>
        <v>#DIV/0!</v>
      </c>
      <c r="AE708" s="30">
        <f>WEEKDAY(DaybyDay[[#This Row],[LY-Date]])</f>
        <v>2</v>
      </c>
      <c r="AF708" s="38">
        <f>$E$2+_xlfn.DAYS(DaybyDay[[#This Row],[Date]],minDate)</f>
        <v>43073</v>
      </c>
      <c r="AG708" s="39" cm="1">
        <f t="array" ref="AG708">IFERROR(INDEX(DaybyDay[],DaybyDay[[#This Row],[FORM_MATCH_HELPER]],8),"")</f>
        <v>10</v>
      </c>
      <c r="AH708" s="39" cm="1">
        <f t="array" ref="AH708">IFERROR(INDEX(DaybyDay[],DaybyDay[[#This Row],[FORM_MATCH_HELPER]],10),"")</f>
        <v>1747.18</v>
      </c>
      <c r="AI708" s="39" cm="1">
        <f t="array" ref="AI708">IFERROR(INDEX(DaybyDay[],DaybyDay[[#This Row],[FORM_MATCH_HELPER]],12),"")</f>
        <v>876.3</v>
      </c>
      <c r="AJ708" s="32">
        <f>IFERROR(DaybyDay[[#This Row],[Serv-LY-RU]]+DaybyDay[[#This Row],[Ret-LY-RU]],"")</f>
        <v>0</v>
      </c>
      <c r="AK7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8" s="77"/>
      <c r="AM708" s="40" t="str">
        <f>IF(DaybyDay[[#This Row],[Admin Hours]]&gt;0,DaybyDay[[#This Row],[Admin Hours]]*$AM$2+$AM$3,"")</f>
        <v/>
      </c>
      <c r="AN708" s="40">
        <f>SUMIFS(DaybyDay[Est-Admin-Payroll],DaybyDay[Date],"&gt;="&amp;$C$5,DaybyDay[RowYear],"&gt;="&amp;$C$4,DaybyDay[Date],"&lt;="&amp;DaybyDay[[#This Row],[Date]])</f>
        <v>0</v>
      </c>
      <c r="AO708" s="41" t="str">
        <f>IF(AND(DaybyDay[[#This Row],[_Space]],ISNUMBER(DaybyDay[[#This Row],[Admin Hours]])),DaybyDay[[#This Row],[Est-Admin-Payroll]]/(DaybyDay[[#This Row],[Service-Actuals]]+DaybyDay[[#This Row],[Retail-Actuals]]),"")</f>
        <v/>
      </c>
      <c r="AP708" s="41" t="e">
        <f>DaybyDay[[#This Row],[Estimated-Payroll-Rollup]]/DaybyDay[[#This Row],[Simple-Forecast]]</f>
        <v>#DIV/0!</v>
      </c>
      <c r="AQ7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8" s="77"/>
      <c r="AS708" s="40" t="str">
        <f>IF(DaybyDay[[#This Row],[Retail Hours]]&gt;0,DaybyDay[[#This Row],[Retail Hours]]*$AS$2,"")</f>
        <v/>
      </c>
      <c r="AT708" s="40">
        <f>SUMIFS(DaybyDay[Est-Retail-Payroll],DaybyDay[Date],"&gt;="&amp;$C$5,DaybyDay[RowYear],"&gt;="&amp;$C$4,DaybyDay[Date],"&lt;="&amp;DaybyDay[[#This Row],[Date]])</f>
        <v>0</v>
      </c>
      <c r="AU708" s="82" t="str">
        <f>IF(AND(DaybyDay[[#This Row],[_Space]],ISNUMBER(DaybyDay[[#This Row],[Retail Hours]])),DaybyDay[[#This Row],[Est-Retail-Payroll]]/(DaybyDay[[#This Row],[Retail-Actuals]]),"")</f>
        <v/>
      </c>
      <c r="AV708" s="82" t="e">
        <f>DaybyDay[[#This Row],[Est-Retail-PayrollRU]]/DaybyDay[[#This Row],[Simple-Forecast-Retail]]</f>
        <v>#DIV/0!</v>
      </c>
      <c r="AW708" s="8"/>
    </row>
    <row r="709" spans="3:49" hidden="1" x14ac:dyDescent="0.25">
      <c r="C709" s="26" t="str">
        <f>Tools!$C$1</f>
        <v>Example</v>
      </c>
      <c r="D709" s="27" t="s">
        <v>79</v>
      </c>
      <c r="E709" s="28">
        <v>2018</v>
      </c>
      <c r="F709" s="28">
        <f>MATCH(DaybyDay[[#This Row],[RowMonth]],Table3[SummaryMonth],0)</f>
        <v>12</v>
      </c>
      <c r="G709" s="29">
        <f>MATCH(DaybyDay[[#This Row],[LY-Date]],DaybyDay[Date],0)</f>
        <v>339</v>
      </c>
      <c r="H709" s="30">
        <f>WEEKDAY(DaybyDay[[#This Row],[Date]])</f>
        <v>3</v>
      </c>
      <c r="I709" s="31">
        <v>43438</v>
      </c>
      <c r="J709" s="74">
        <v>13</v>
      </c>
      <c r="K709" s="32">
        <f>SUMIFS(BudgetSeasonality[365 Seasonality],BudgetSeasonality[MonthAdjustment],DaybyDay[[#This Row],[Date]])*SUMIFS(Budgets[Service-Budget],Budgets[BudgetMonth],DaybyDay[[#This Row],[RowMonth]],Budgets[BudgetYear],DaybyDay[[#This Row],[RowYear]])</f>
        <v>4480.8849882325758</v>
      </c>
      <c r="L709" s="75">
        <v>3727</v>
      </c>
      <c r="M709" s="32">
        <f>INDEX(BudgetSeasonality[365 Seasonality],MATCH(DaybyDay[[#This Row],[Date]],BudgetSeasonality[MonthAdjustment],0))*SUMIFS(Budgets[Retail-Budget],Budgets[BudgetMonth],DaybyDay[[#This Row],[RowMonth]],Budgets[BudgetYear],DaybyDay[[#This Row],[RowYear]])</f>
        <v>1254.8872287234451</v>
      </c>
      <c r="N709" s="75">
        <v>1341.5</v>
      </c>
      <c r="O709" s="33">
        <f>SUMIFS(DaybyDay[Service-Budgets],DaybyDay[Date],"&gt;="&amp;$C$5,DaybyDay[RowYear],"&gt;="&amp;$C$4,DaybyDay[Date],"&lt;="&amp;DaybyDay[[#This Row],[Date]])</f>
        <v>0</v>
      </c>
      <c r="P709" s="33">
        <f>SUMIFS(DaybyDay[Retail-Budgets],DaybyDay[Date],"&gt;="&amp;$C$5,DaybyDay[RowYear],"&gt;="&amp;$C$4,DaybyDay[Date],"&lt;="&amp;DaybyDay[[#This Row],[Date]])</f>
        <v>0</v>
      </c>
      <c r="Q709" s="34">
        <f>SUMIFS(DaybyDay[Service-Actuals],DaybyDay[Date],"&gt;="&amp;$C$5,DaybyDay[RowYear],"&gt;="&amp;$C$4,DaybyDay[Date],"&lt;="&amp;DaybyDay[[#This Row],[Date]])</f>
        <v>0</v>
      </c>
      <c r="R709" s="34">
        <f>SUMIFS(DaybyDay[Retail-Actuals],DaybyDay[Date],"&gt;="&amp;$C$5,DaybyDay[RowYear],"&gt;="&amp;$C$4,DaybyDay[Date],"&lt;="&amp;DaybyDay[[#This Row],[Date]])</f>
        <v>0</v>
      </c>
      <c r="S709" s="35">
        <f>SUMIFS(DaybyDay[Service-LY],DaybyDay[Date],"&gt;="&amp;$C$5,DaybyDay[RowYear],"&gt;="&amp;$C$4,DaybyDay[Date],"&lt;="&amp;DaybyDay[[#This Row],[Date]])</f>
        <v>0</v>
      </c>
      <c r="T709" s="35">
        <f>SUMIFS(DaybyDay[Retail-LY],DaybyDay[Date],"&gt;="&amp;$C$5,DaybyDay[RowYear],"&gt;="&amp;$C$4,DaybyDay[Date],"&lt;="&amp;DaybyDay[[#This Row],[Date]])</f>
        <v>0</v>
      </c>
      <c r="U709" s="32">
        <f>DaybyDay[[#This Row],[Serv-Bud-RU]]+DaybyDay[[#This Row],[Ret-Bud-RU]]</f>
        <v>0</v>
      </c>
      <c r="V709" s="32">
        <f>DaybyDay[[#This Row],[Serv-Act-RU]]+DaybyDay[[#This Row],[Ret-Act-RU]]</f>
        <v>0</v>
      </c>
      <c r="W709" s="36">
        <f>IF(DaybyDay[[#This Row],[_Space]],IFERROR(
((DaybyDay[[#This Row],[Actual-Rollup]]-DaybyDay[[#This Row],[Budget-Rollup]])/DaybyDay[[#This Row],[Budget-Rollup]]),0),"")</f>
        <v>0</v>
      </c>
      <c r="X709" t="b">
        <f>NOT(AND(ISBLANK(DaybyDay[[#This Row],[Appts]]),ISBLANK(DaybyDay[[#This Row],[Service-Actuals]]),ISBLANK(DaybyDay[[#This Row],[Retail-Actuals]])))</f>
        <v>1</v>
      </c>
      <c r="Y709" s="36">
        <f>IF(DaybyDay[[#This Row],[_Space]],IFERROR(
((DaybyDay[[#This Row],[Actual-Rollup]]-DaybyDay[[#This Row],[LY-Rollup]])/DaybyDay[[#This Row],[LY-Rollup]]),0),"")</f>
        <v>0</v>
      </c>
      <c r="Z709"/>
      <c r="AA709" s="37" t="e">
        <f>IF(DaybyDay[[#This Row],[_Space]],DaybyDay[[#This Row],[Ret-Act-RU]]/DaybyDay[[#This Row],[Serv-Act-RU]],"")</f>
        <v>#DIV/0!</v>
      </c>
      <c r="AB709" s="50" t="e">
        <f>IF(DaybyDay[[#This Row],[_Space]],DaybyDay[[#This Row],[RETPEN-Act]]/DaybyDay[[#This Row],[RETPEN-Bud]],"")</f>
        <v>#DIV/0!</v>
      </c>
      <c r="AC709" s="37" t="e">
        <f>IF(DaybyDay[[#This Row],[_Space]],DaybyDay[[#This Row],[Ret-Bud-RU]]/DaybyDay[[#This Row],[Serv-Bud-RU]],"")</f>
        <v>#DIV/0!</v>
      </c>
      <c r="AD709" s="37" t="e">
        <f>IF(DaybyDay[[#This Row],[_Space]],DaybyDay[[#This Row],[Ret-LY-RU]]/DaybyDay[[#This Row],[Serv-LY-RU]],"")</f>
        <v>#DIV/0!</v>
      </c>
      <c r="AE709" s="30">
        <f>WEEKDAY(DaybyDay[[#This Row],[LY-Date]])</f>
        <v>3</v>
      </c>
      <c r="AF709" s="38">
        <f>$E$2+_xlfn.DAYS(DaybyDay[[#This Row],[Date]],minDate)</f>
        <v>43074</v>
      </c>
      <c r="AG709" s="39" cm="1">
        <f t="array" ref="AG709">IFERROR(INDEX(DaybyDay[],DaybyDay[[#This Row],[FORM_MATCH_HELPER]],8),"")</f>
        <v>20</v>
      </c>
      <c r="AH709" s="39" cm="1">
        <f t="array" ref="AH709">IFERROR(INDEX(DaybyDay[],DaybyDay[[#This Row],[FORM_MATCH_HELPER]],10),"")</f>
        <v>3607.9</v>
      </c>
      <c r="AI709" s="39" cm="1">
        <f t="array" ref="AI709">IFERROR(INDEX(DaybyDay[],DaybyDay[[#This Row],[FORM_MATCH_HELPER]],12),"")</f>
        <v>2340.1999999999998</v>
      </c>
      <c r="AJ709" s="32">
        <f>IFERROR(DaybyDay[[#This Row],[Serv-LY-RU]]+DaybyDay[[#This Row],[Ret-LY-RU]],"")</f>
        <v>0</v>
      </c>
      <c r="AK7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09" s="77"/>
      <c r="AM709" s="40" t="str">
        <f>IF(DaybyDay[[#This Row],[Admin Hours]]&gt;0,DaybyDay[[#This Row],[Admin Hours]]*$AM$2+$AM$3,"")</f>
        <v/>
      </c>
      <c r="AN709" s="40">
        <f>SUMIFS(DaybyDay[Est-Admin-Payroll],DaybyDay[Date],"&gt;="&amp;$C$5,DaybyDay[RowYear],"&gt;="&amp;$C$4,DaybyDay[Date],"&lt;="&amp;DaybyDay[[#This Row],[Date]])</f>
        <v>0</v>
      </c>
      <c r="AO709" s="41" t="str">
        <f>IF(AND(DaybyDay[[#This Row],[_Space]],ISNUMBER(DaybyDay[[#This Row],[Admin Hours]])),DaybyDay[[#This Row],[Est-Admin-Payroll]]/(DaybyDay[[#This Row],[Service-Actuals]]+DaybyDay[[#This Row],[Retail-Actuals]]),"")</f>
        <v/>
      </c>
      <c r="AP709" s="41" t="e">
        <f>DaybyDay[[#This Row],[Estimated-Payroll-Rollup]]/DaybyDay[[#This Row],[Simple-Forecast]]</f>
        <v>#DIV/0!</v>
      </c>
      <c r="AQ7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09" s="77"/>
      <c r="AS709" s="40" t="str">
        <f>IF(DaybyDay[[#This Row],[Retail Hours]]&gt;0,DaybyDay[[#This Row],[Retail Hours]]*$AS$2,"")</f>
        <v/>
      </c>
      <c r="AT709" s="40">
        <f>SUMIFS(DaybyDay[Est-Retail-Payroll],DaybyDay[Date],"&gt;="&amp;$C$5,DaybyDay[RowYear],"&gt;="&amp;$C$4,DaybyDay[Date],"&lt;="&amp;DaybyDay[[#This Row],[Date]])</f>
        <v>0</v>
      </c>
      <c r="AU709" s="82" t="str">
        <f>IF(AND(DaybyDay[[#This Row],[_Space]],ISNUMBER(DaybyDay[[#This Row],[Retail Hours]])),DaybyDay[[#This Row],[Est-Retail-Payroll]]/(DaybyDay[[#This Row],[Retail-Actuals]]),"")</f>
        <v/>
      </c>
      <c r="AV709" s="82" t="e">
        <f>DaybyDay[[#This Row],[Est-Retail-PayrollRU]]/DaybyDay[[#This Row],[Simple-Forecast-Retail]]</f>
        <v>#DIV/0!</v>
      </c>
      <c r="AW709" s="8"/>
    </row>
    <row r="710" spans="3:49" hidden="1" x14ac:dyDescent="0.25">
      <c r="C710" s="26" t="str">
        <f>Tools!$C$1</f>
        <v>Example</v>
      </c>
      <c r="D710" s="27" t="s">
        <v>79</v>
      </c>
      <c r="E710" s="28">
        <v>2018</v>
      </c>
      <c r="F710" s="28">
        <f>MATCH(DaybyDay[[#This Row],[RowMonth]],Table3[SummaryMonth],0)</f>
        <v>12</v>
      </c>
      <c r="G710" s="29">
        <f>MATCH(DaybyDay[[#This Row],[LY-Date]],DaybyDay[Date],0)</f>
        <v>340</v>
      </c>
      <c r="H710" s="30">
        <f>WEEKDAY(DaybyDay[[#This Row],[Date]])</f>
        <v>4</v>
      </c>
      <c r="I710" s="31">
        <v>43439</v>
      </c>
      <c r="J710" s="74">
        <v>27</v>
      </c>
      <c r="K710" s="32">
        <f>SUMIFS(BudgetSeasonality[365 Seasonality],BudgetSeasonality[MonthAdjustment],DaybyDay[[#This Row],[Date]])*SUMIFS(Budgets[Service-Budget],Budgets[BudgetMonth],DaybyDay[[#This Row],[RowMonth]],Budgets[BudgetYear],DaybyDay[[#This Row],[RowYear]])</f>
        <v>5186.19616475157</v>
      </c>
      <c r="L710" s="75">
        <v>6240.1</v>
      </c>
      <c r="M710" s="32">
        <f>INDEX(BudgetSeasonality[365 Seasonality],MATCH(DaybyDay[[#This Row],[Date]],BudgetSeasonality[MonthAdjustment],0))*SUMIFS(Budgets[Retail-Budget],Budgets[BudgetMonth],DaybyDay[[#This Row],[RowMonth]],Budgets[BudgetYear],DaybyDay[[#This Row],[RowYear]])</f>
        <v>1452.4120458106836</v>
      </c>
      <c r="N710" s="75">
        <v>376.5</v>
      </c>
      <c r="O710" s="33">
        <f>SUMIFS(DaybyDay[Service-Budgets],DaybyDay[Date],"&gt;="&amp;$C$5,DaybyDay[RowYear],"&gt;="&amp;$C$4,DaybyDay[Date],"&lt;="&amp;DaybyDay[[#This Row],[Date]])</f>
        <v>0</v>
      </c>
      <c r="P710" s="33">
        <f>SUMIFS(DaybyDay[Retail-Budgets],DaybyDay[Date],"&gt;="&amp;$C$5,DaybyDay[RowYear],"&gt;="&amp;$C$4,DaybyDay[Date],"&lt;="&amp;DaybyDay[[#This Row],[Date]])</f>
        <v>0</v>
      </c>
      <c r="Q710" s="34">
        <f>SUMIFS(DaybyDay[Service-Actuals],DaybyDay[Date],"&gt;="&amp;$C$5,DaybyDay[RowYear],"&gt;="&amp;$C$4,DaybyDay[Date],"&lt;="&amp;DaybyDay[[#This Row],[Date]])</f>
        <v>0</v>
      </c>
      <c r="R710" s="34">
        <f>SUMIFS(DaybyDay[Retail-Actuals],DaybyDay[Date],"&gt;="&amp;$C$5,DaybyDay[RowYear],"&gt;="&amp;$C$4,DaybyDay[Date],"&lt;="&amp;DaybyDay[[#This Row],[Date]])</f>
        <v>0</v>
      </c>
      <c r="S710" s="35">
        <f>SUMIFS(DaybyDay[Service-LY],DaybyDay[Date],"&gt;="&amp;$C$5,DaybyDay[RowYear],"&gt;="&amp;$C$4,DaybyDay[Date],"&lt;="&amp;DaybyDay[[#This Row],[Date]])</f>
        <v>0</v>
      </c>
      <c r="T710" s="35">
        <f>SUMIFS(DaybyDay[Retail-LY],DaybyDay[Date],"&gt;="&amp;$C$5,DaybyDay[RowYear],"&gt;="&amp;$C$4,DaybyDay[Date],"&lt;="&amp;DaybyDay[[#This Row],[Date]])</f>
        <v>0</v>
      </c>
      <c r="U710" s="32">
        <f>DaybyDay[[#This Row],[Serv-Bud-RU]]+DaybyDay[[#This Row],[Ret-Bud-RU]]</f>
        <v>0</v>
      </c>
      <c r="V710" s="32">
        <f>DaybyDay[[#This Row],[Serv-Act-RU]]+DaybyDay[[#This Row],[Ret-Act-RU]]</f>
        <v>0</v>
      </c>
      <c r="W710" s="36">
        <f>IF(DaybyDay[[#This Row],[_Space]],IFERROR(
((DaybyDay[[#This Row],[Actual-Rollup]]-DaybyDay[[#This Row],[Budget-Rollup]])/DaybyDay[[#This Row],[Budget-Rollup]]),0),"")</f>
        <v>0</v>
      </c>
      <c r="X710" t="b">
        <f>NOT(AND(ISBLANK(DaybyDay[[#This Row],[Appts]]),ISBLANK(DaybyDay[[#This Row],[Service-Actuals]]),ISBLANK(DaybyDay[[#This Row],[Retail-Actuals]])))</f>
        <v>1</v>
      </c>
      <c r="Y710" s="36">
        <f>IF(DaybyDay[[#This Row],[_Space]],IFERROR(
((DaybyDay[[#This Row],[Actual-Rollup]]-DaybyDay[[#This Row],[LY-Rollup]])/DaybyDay[[#This Row],[LY-Rollup]]),0),"")</f>
        <v>0</v>
      </c>
      <c r="Z710"/>
      <c r="AA710" s="37" t="e">
        <f>IF(DaybyDay[[#This Row],[_Space]],DaybyDay[[#This Row],[Ret-Act-RU]]/DaybyDay[[#This Row],[Serv-Act-RU]],"")</f>
        <v>#DIV/0!</v>
      </c>
      <c r="AB710" s="50" t="e">
        <f>IF(DaybyDay[[#This Row],[_Space]],DaybyDay[[#This Row],[RETPEN-Act]]/DaybyDay[[#This Row],[RETPEN-Bud]],"")</f>
        <v>#DIV/0!</v>
      </c>
      <c r="AC710" s="37" t="e">
        <f>IF(DaybyDay[[#This Row],[_Space]],DaybyDay[[#This Row],[Ret-Bud-RU]]/DaybyDay[[#This Row],[Serv-Bud-RU]],"")</f>
        <v>#DIV/0!</v>
      </c>
      <c r="AD710" s="37" t="e">
        <f>IF(DaybyDay[[#This Row],[_Space]],DaybyDay[[#This Row],[Ret-LY-RU]]/DaybyDay[[#This Row],[Serv-LY-RU]],"")</f>
        <v>#DIV/0!</v>
      </c>
      <c r="AE710" s="30">
        <f>WEEKDAY(DaybyDay[[#This Row],[LY-Date]])</f>
        <v>4</v>
      </c>
      <c r="AF710" s="38">
        <f>$E$2+_xlfn.DAYS(DaybyDay[[#This Row],[Date]],minDate)</f>
        <v>43075</v>
      </c>
      <c r="AG710" s="39" cm="1">
        <f t="array" ref="AG710">IFERROR(INDEX(DaybyDay[],DaybyDay[[#This Row],[FORM_MATCH_HELPER]],8),"")</f>
        <v>21</v>
      </c>
      <c r="AH710" s="39" cm="1">
        <f t="array" ref="AH710">IFERROR(INDEX(DaybyDay[],DaybyDay[[#This Row],[FORM_MATCH_HELPER]],10),"")</f>
        <v>3797.5</v>
      </c>
      <c r="AI710" s="39" cm="1">
        <f t="array" ref="AI710">IFERROR(INDEX(DaybyDay[],DaybyDay[[#This Row],[FORM_MATCH_HELPER]],12),"")</f>
        <v>743.45</v>
      </c>
      <c r="AJ710" s="32">
        <f>IFERROR(DaybyDay[[#This Row],[Serv-LY-RU]]+DaybyDay[[#This Row],[Ret-LY-RU]],"")</f>
        <v>0</v>
      </c>
      <c r="AK7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0" s="77"/>
      <c r="AM710" s="40" t="str">
        <f>IF(DaybyDay[[#This Row],[Admin Hours]]&gt;0,DaybyDay[[#This Row],[Admin Hours]]*$AM$2+$AM$3,"")</f>
        <v/>
      </c>
      <c r="AN710" s="40">
        <f>SUMIFS(DaybyDay[Est-Admin-Payroll],DaybyDay[Date],"&gt;="&amp;$C$5,DaybyDay[RowYear],"&gt;="&amp;$C$4,DaybyDay[Date],"&lt;="&amp;DaybyDay[[#This Row],[Date]])</f>
        <v>0</v>
      </c>
      <c r="AO710" s="41" t="str">
        <f>IF(AND(DaybyDay[[#This Row],[_Space]],ISNUMBER(DaybyDay[[#This Row],[Admin Hours]])),DaybyDay[[#This Row],[Est-Admin-Payroll]]/(DaybyDay[[#This Row],[Service-Actuals]]+DaybyDay[[#This Row],[Retail-Actuals]]),"")</f>
        <v/>
      </c>
      <c r="AP710" s="41" t="e">
        <f>DaybyDay[[#This Row],[Estimated-Payroll-Rollup]]/DaybyDay[[#This Row],[Simple-Forecast]]</f>
        <v>#DIV/0!</v>
      </c>
      <c r="AQ7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0" s="77"/>
      <c r="AS710" s="40" t="str">
        <f>IF(DaybyDay[[#This Row],[Retail Hours]]&gt;0,DaybyDay[[#This Row],[Retail Hours]]*$AS$2,"")</f>
        <v/>
      </c>
      <c r="AT710" s="40">
        <f>SUMIFS(DaybyDay[Est-Retail-Payroll],DaybyDay[Date],"&gt;="&amp;$C$5,DaybyDay[RowYear],"&gt;="&amp;$C$4,DaybyDay[Date],"&lt;="&amp;DaybyDay[[#This Row],[Date]])</f>
        <v>0</v>
      </c>
      <c r="AU710" s="82" t="str">
        <f>IF(AND(DaybyDay[[#This Row],[_Space]],ISNUMBER(DaybyDay[[#This Row],[Retail Hours]])),DaybyDay[[#This Row],[Est-Retail-Payroll]]/(DaybyDay[[#This Row],[Retail-Actuals]]),"")</f>
        <v/>
      </c>
      <c r="AV710" s="82" t="e">
        <f>DaybyDay[[#This Row],[Est-Retail-PayrollRU]]/DaybyDay[[#This Row],[Simple-Forecast-Retail]]</f>
        <v>#DIV/0!</v>
      </c>
      <c r="AW710" s="8"/>
    </row>
    <row r="711" spans="3:49" hidden="1" x14ac:dyDescent="0.25">
      <c r="C711" s="26" t="str">
        <f>Tools!$C$1</f>
        <v>Example</v>
      </c>
      <c r="D711" s="27" t="s">
        <v>79</v>
      </c>
      <c r="E711" s="28">
        <v>2018</v>
      </c>
      <c r="F711" s="28">
        <f>MATCH(DaybyDay[[#This Row],[RowMonth]],Table3[SummaryMonth],0)</f>
        <v>12</v>
      </c>
      <c r="G711" s="29">
        <f>MATCH(DaybyDay[[#This Row],[LY-Date]],DaybyDay[Date],0)</f>
        <v>341</v>
      </c>
      <c r="H711" s="30">
        <f>WEEKDAY(DaybyDay[[#This Row],[Date]])</f>
        <v>5</v>
      </c>
      <c r="I711" s="31">
        <v>43440</v>
      </c>
      <c r="J711" s="74">
        <v>23</v>
      </c>
      <c r="K711" s="32">
        <f>SUMIFS(BudgetSeasonality[365 Seasonality],BudgetSeasonality[MonthAdjustment],DaybyDay[[#This Row],[Date]])*SUMIFS(Budgets[Service-Budget],Budgets[BudgetMonth],DaybyDay[[#This Row],[RowMonth]],Budgets[BudgetYear],DaybyDay[[#This Row],[RowYear]])</f>
        <v>5376.6748025183661</v>
      </c>
      <c r="L711" s="75">
        <v>5249.4</v>
      </c>
      <c r="M711" s="32">
        <f>INDEX(BudgetSeasonality[365 Seasonality],MATCH(DaybyDay[[#This Row],[Date]],BudgetSeasonality[MonthAdjustment],0))*SUMIFS(Budgets[Retail-Budget],Budgets[BudgetMonth],DaybyDay[[#This Row],[RowMonth]],Budgets[BudgetYear],DaybyDay[[#This Row],[RowYear]])</f>
        <v>1505.75624243834</v>
      </c>
      <c r="N711" s="75">
        <v>736.5</v>
      </c>
      <c r="O711" s="33">
        <f>SUMIFS(DaybyDay[Service-Budgets],DaybyDay[Date],"&gt;="&amp;$C$5,DaybyDay[RowYear],"&gt;="&amp;$C$4,DaybyDay[Date],"&lt;="&amp;DaybyDay[[#This Row],[Date]])</f>
        <v>0</v>
      </c>
      <c r="P711" s="33">
        <f>SUMIFS(DaybyDay[Retail-Budgets],DaybyDay[Date],"&gt;="&amp;$C$5,DaybyDay[RowYear],"&gt;="&amp;$C$4,DaybyDay[Date],"&lt;="&amp;DaybyDay[[#This Row],[Date]])</f>
        <v>0</v>
      </c>
      <c r="Q711" s="34">
        <f>SUMIFS(DaybyDay[Service-Actuals],DaybyDay[Date],"&gt;="&amp;$C$5,DaybyDay[RowYear],"&gt;="&amp;$C$4,DaybyDay[Date],"&lt;="&amp;DaybyDay[[#This Row],[Date]])</f>
        <v>0</v>
      </c>
      <c r="R711" s="34">
        <f>SUMIFS(DaybyDay[Retail-Actuals],DaybyDay[Date],"&gt;="&amp;$C$5,DaybyDay[RowYear],"&gt;="&amp;$C$4,DaybyDay[Date],"&lt;="&amp;DaybyDay[[#This Row],[Date]])</f>
        <v>0</v>
      </c>
      <c r="S711" s="35">
        <f>SUMIFS(DaybyDay[Service-LY],DaybyDay[Date],"&gt;="&amp;$C$5,DaybyDay[RowYear],"&gt;="&amp;$C$4,DaybyDay[Date],"&lt;="&amp;DaybyDay[[#This Row],[Date]])</f>
        <v>0</v>
      </c>
      <c r="T711" s="35">
        <f>SUMIFS(DaybyDay[Retail-LY],DaybyDay[Date],"&gt;="&amp;$C$5,DaybyDay[RowYear],"&gt;="&amp;$C$4,DaybyDay[Date],"&lt;="&amp;DaybyDay[[#This Row],[Date]])</f>
        <v>0</v>
      </c>
      <c r="U711" s="32">
        <f>DaybyDay[[#This Row],[Serv-Bud-RU]]+DaybyDay[[#This Row],[Ret-Bud-RU]]</f>
        <v>0</v>
      </c>
      <c r="V711" s="32">
        <f>DaybyDay[[#This Row],[Serv-Act-RU]]+DaybyDay[[#This Row],[Ret-Act-RU]]</f>
        <v>0</v>
      </c>
      <c r="W711" s="36">
        <f>IF(DaybyDay[[#This Row],[_Space]],IFERROR(
((DaybyDay[[#This Row],[Actual-Rollup]]-DaybyDay[[#This Row],[Budget-Rollup]])/DaybyDay[[#This Row],[Budget-Rollup]]),0),"")</f>
        <v>0</v>
      </c>
      <c r="X711" t="b">
        <f>NOT(AND(ISBLANK(DaybyDay[[#This Row],[Appts]]),ISBLANK(DaybyDay[[#This Row],[Service-Actuals]]),ISBLANK(DaybyDay[[#This Row],[Retail-Actuals]])))</f>
        <v>1</v>
      </c>
      <c r="Y711" s="36">
        <f>IF(DaybyDay[[#This Row],[_Space]],IFERROR(
((DaybyDay[[#This Row],[Actual-Rollup]]-DaybyDay[[#This Row],[LY-Rollup]])/DaybyDay[[#This Row],[LY-Rollup]]),0),"")</f>
        <v>0</v>
      </c>
      <c r="Z711"/>
      <c r="AA711" s="37" t="e">
        <f>IF(DaybyDay[[#This Row],[_Space]],DaybyDay[[#This Row],[Ret-Act-RU]]/DaybyDay[[#This Row],[Serv-Act-RU]],"")</f>
        <v>#DIV/0!</v>
      </c>
      <c r="AB711" s="50" t="e">
        <f>IF(DaybyDay[[#This Row],[_Space]],DaybyDay[[#This Row],[RETPEN-Act]]/DaybyDay[[#This Row],[RETPEN-Bud]],"")</f>
        <v>#DIV/0!</v>
      </c>
      <c r="AC711" s="37" t="e">
        <f>IF(DaybyDay[[#This Row],[_Space]],DaybyDay[[#This Row],[Ret-Bud-RU]]/DaybyDay[[#This Row],[Serv-Bud-RU]],"")</f>
        <v>#DIV/0!</v>
      </c>
      <c r="AD711" s="37" t="e">
        <f>IF(DaybyDay[[#This Row],[_Space]],DaybyDay[[#This Row],[Ret-LY-RU]]/DaybyDay[[#This Row],[Serv-LY-RU]],"")</f>
        <v>#DIV/0!</v>
      </c>
      <c r="AE711" s="30">
        <f>WEEKDAY(DaybyDay[[#This Row],[LY-Date]])</f>
        <v>5</v>
      </c>
      <c r="AF711" s="38">
        <f>$E$2+_xlfn.DAYS(DaybyDay[[#This Row],[Date]],minDate)</f>
        <v>43076</v>
      </c>
      <c r="AG711" s="39" cm="1">
        <f t="array" ref="AG711">IFERROR(INDEX(DaybyDay[],DaybyDay[[#This Row],[FORM_MATCH_HELPER]],8),"")</f>
        <v>22</v>
      </c>
      <c r="AH711" s="39" cm="1">
        <f t="array" ref="AH711">IFERROR(INDEX(DaybyDay[],DaybyDay[[#This Row],[FORM_MATCH_HELPER]],10),"")</f>
        <v>4627.2</v>
      </c>
      <c r="AI711" s="39" cm="1">
        <f t="array" ref="AI711">IFERROR(INDEX(DaybyDay[],DaybyDay[[#This Row],[FORM_MATCH_HELPER]],12),"")</f>
        <v>2122.88</v>
      </c>
      <c r="AJ711" s="32">
        <f>IFERROR(DaybyDay[[#This Row],[Serv-LY-RU]]+DaybyDay[[#This Row],[Ret-LY-RU]],"")</f>
        <v>0</v>
      </c>
      <c r="AK7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1" s="77"/>
      <c r="AM711" s="40" t="str">
        <f>IF(DaybyDay[[#This Row],[Admin Hours]]&gt;0,DaybyDay[[#This Row],[Admin Hours]]*$AM$2+$AM$3,"")</f>
        <v/>
      </c>
      <c r="AN711" s="40">
        <f>SUMIFS(DaybyDay[Est-Admin-Payroll],DaybyDay[Date],"&gt;="&amp;$C$5,DaybyDay[RowYear],"&gt;="&amp;$C$4,DaybyDay[Date],"&lt;="&amp;DaybyDay[[#This Row],[Date]])</f>
        <v>0</v>
      </c>
      <c r="AO711" s="41" t="str">
        <f>IF(AND(DaybyDay[[#This Row],[_Space]],ISNUMBER(DaybyDay[[#This Row],[Admin Hours]])),DaybyDay[[#This Row],[Est-Admin-Payroll]]/(DaybyDay[[#This Row],[Service-Actuals]]+DaybyDay[[#This Row],[Retail-Actuals]]),"")</f>
        <v/>
      </c>
      <c r="AP711" s="41" t="e">
        <f>DaybyDay[[#This Row],[Estimated-Payroll-Rollup]]/DaybyDay[[#This Row],[Simple-Forecast]]</f>
        <v>#DIV/0!</v>
      </c>
      <c r="AQ7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1" s="77"/>
      <c r="AS711" s="40" t="str">
        <f>IF(DaybyDay[[#This Row],[Retail Hours]]&gt;0,DaybyDay[[#This Row],[Retail Hours]]*$AS$2,"")</f>
        <v/>
      </c>
      <c r="AT711" s="40">
        <f>SUMIFS(DaybyDay[Est-Retail-Payroll],DaybyDay[Date],"&gt;="&amp;$C$5,DaybyDay[RowYear],"&gt;="&amp;$C$4,DaybyDay[Date],"&lt;="&amp;DaybyDay[[#This Row],[Date]])</f>
        <v>0</v>
      </c>
      <c r="AU711" s="82" t="str">
        <f>IF(AND(DaybyDay[[#This Row],[_Space]],ISNUMBER(DaybyDay[[#This Row],[Retail Hours]])),DaybyDay[[#This Row],[Est-Retail-Payroll]]/(DaybyDay[[#This Row],[Retail-Actuals]]),"")</f>
        <v/>
      </c>
      <c r="AV711" s="82" t="e">
        <f>DaybyDay[[#This Row],[Est-Retail-PayrollRU]]/DaybyDay[[#This Row],[Simple-Forecast-Retail]]</f>
        <v>#DIV/0!</v>
      </c>
      <c r="AW711" s="8"/>
    </row>
    <row r="712" spans="3:49" hidden="1" x14ac:dyDescent="0.25">
      <c r="C712" s="26" t="str">
        <f>Tools!$C$1</f>
        <v>Example</v>
      </c>
      <c r="D712" s="27" t="s">
        <v>79</v>
      </c>
      <c r="E712" s="28">
        <v>2018</v>
      </c>
      <c r="F712" s="28">
        <f>MATCH(DaybyDay[[#This Row],[RowMonth]],Table3[SummaryMonth],0)</f>
        <v>12</v>
      </c>
      <c r="G712" s="29">
        <f>MATCH(DaybyDay[[#This Row],[LY-Date]],DaybyDay[Date],0)</f>
        <v>342</v>
      </c>
      <c r="H712" s="30">
        <f>WEEKDAY(DaybyDay[[#This Row],[Date]])</f>
        <v>6</v>
      </c>
      <c r="I712" s="31">
        <v>43441</v>
      </c>
      <c r="J712" s="74">
        <v>30</v>
      </c>
      <c r="K712" s="32">
        <f>SUMIFS(BudgetSeasonality[365 Seasonality],BudgetSeasonality[MonthAdjustment],DaybyDay[[#This Row],[Date]])*SUMIFS(Budgets[Service-Budget],Budgets[BudgetMonth],DaybyDay[[#This Row],[RowMonth]],Budgets[BudgetYear],DaybyDay[[#This Row],[RowYear]])</f>
        <v>6651.9095873647748</v>
      </c>
      <c r="L712" s="75">
        <v>7281.8</v>
      </c>
      <c r="M712" s="32">
        <f>INDEX(BudgetSeasonality[365 Seasonality],MATCH(DaybyDay[[#This Row],[Date]],BudgetSeasonality[MonthAdjustment],0))*SUMIFS(Budgets[Retail-Budget],Budgets[BudgetMonth],DaybyDay[[#This Row],[RowMonth]],Budgets[BudgetYear],DaybyDay[[#This Row],[RowYear]])</f>
        <v>1862.8901232074727</v>
      </c>
      <c r="N712" s="75">
        <v>2083</v>
      </c>
      <c r="O712" s="33">
        <f>SUMIFS(DaybyDay[Service-Budgets],DaybyDay[Date],"&gt;="&amp;$C$5,DaybyDay[RowYear],"&gt;="&amp;$C$4,DaybyDay[Date],"&lt;="&amp;DaybyDay[[#This Row],[Date]])</f>
        <v>0</v>
      </c>
      <c r="P712" s="33">
        <f>SUMIFS(DaybyDay[Retail-Budgets],DaybyDay[Date],"&gt;="&amp;$C$5,DaybyDay[RowYear],"&gt;="&amp;$C$4,DaybyDay[Date],"&lt;="&amp;DaybyDay[[#This Row],[Date]])</f>
        <v>0</v>
      </c>
      <c r="Q712" s="34">
        <f>SUMIFS(DaybyDay[Service-Actuals],DaybyDay[Date],"&gt;="&amp;$C$5,DaybyDay[RowYear],"&gt;="&amp;$C$4,DaybyDay[Date],"&lt;="&amp;DaybyDay[[#This Row],[Date]])</f>
        <v>0</v>
      </c>
      <c r="R712" s="34">
        <f>SUMIFS(DaybyDay[Retail-Actuals],DaybyDay[Date],"&gt;="&amp;$C$5,DaybyDay[RowYear],"&gt;="&amp;$C$4,DaybyDay[Date],"&lt;="&amp;DaybyDay[[#This Row],[Date]])</f>
        <v>0</v>
      </c>
      <c r="S712" s="35">
        <f>SUMIFS(DaybyDay[Service-LY],DaybyDay[Date],"&gt;="&amp;$C$5,DaybyDay[RowYear],"&gt;="&amp;$C$4,DaybyDay[Date],"&lt;="&amp;DaybyDay[[#This Row],[Date]])</f>
        <v>0</v>
      </c>
      <c r="T712" s="35">
        <f>SUMIFS(DaybyDay[Retail-LY],DaybyDay[Date],"&gt;="&amp;$C$5,DaybyDay[RowYear],"&gt;="&amp;$C$4,DaybyDay[Date],"&lt;="&amp;DaybyDay[[#This Row],[Date]])</f>
        <v>0</v>
      </c>
      <c r="U712" s="32">
        <f>DaybyDay[[#This Row],[Serv-Bud-RU]]+DaybyDay[[#This Row],[Ret-Bud-RU]]</f>
        <v>0</v>
      </c>
      <c r="V712" s="32">
        <f>DaybyDay[[#This Row],[Serv-Act-RU]]+DaybyDay[[#This Row],[Ret-Act-RU]]</f>
        <v>0</v>
      </c>
      <c r="W712" s="36">
        <f>IF(DaybyDay[[#This Row],[_Space]],IFERROR(
((DaybyDay[[#This Row],[Actual-Rollup]]-DaybyDay[[#This Row],[Budget-Rollup]])/DaybyDay[[#This Row],[Budget-Rollup]]),0),"")</f>
        <v>0</v>
      </c>
      <c r="X712" t="b">
        <f>NOT(AND(ISBLANK(DaybyDay[[#This Row],[Appts]]),ISBLANK(DaybyDay[[#This Row],[Service-Actuals]]),ISBLANK(DaybyDay[[#This Row],[Retail-Actuals]])))</f>
        <v>1</v>
      </c>
      <c r="Y712" s="36">
        <f>IF(DaybyDay[[#This Row],[_Space]],IFERROR(
((DaybyDay[[#This Row],[Actual-Rollup]]-DaybyDay[[#This Row],[LY-Rollup]])/DaybyDay[[#This Row],[LY-Rollup]]),0),"")</f>
        <v>0</v>
      </c>
      <c r="Z712"/>
      <c r="AA712" s="37" t="e">
        <f>IF(DaybyDay[[#This Row],[_Space]],DaybyDay[[#This Row],[Ret-Act-RU]]/DaybyDay[[#This Row],[Serv-Act-RU]],"")</f>
        <v>#DIV/0!</v>
      </c>
      <c r="AB712" s="50" t="e">
        <f>IF(DaybyDay[[#This Row],[_Space]],DaybyDay[[#This Row],[RETPEN-Act]]/DaybyDay[[#This Row],[RETPEN-Bud]],"")</f>
        <v>#DIV/0!</v>
      </c>
      <c r="AC712" s="37" t="e">
        <f>IF(DaybyDay[[#This Row],[_Space]],DaybyDay[[#This Row],[Ret-Bud-RU]]/DaybyDay[[#This Row],[Serv-Bud-RU]],"")</f>
        <v>#DIV/0!</v>
      </c>
      <c r="AD712" s="37" t="e">
        <f>IF(DaybyDay[[#This Row],[_Space]],DaybyDay[[#This Row],[Ret-LY-RU]]/DaybyDay[[#This Row],[Serv-LY-RU]],"")</f>
        <v>#DIV/0!</v>
      </c>
      <c r="AE712" s="30">
        <f>WEEKDAY(DaybyDay[[#This Row],[LY-Date]])</f>
        <v>6</v>
      </c>
      <c r="AF712" s="38">
        <f>$E$2+_xlfn.DAYS(DaybyDay[[#This Row],[Date]],minDate)</f>
        <v>43077</v>
      </c>
      <c r="AG712" s="39" cm="1">
        <f t="array" ref="AG712">IFERROR(INDEX(DaybyDay[],DaybyDay[[#This Row],[FORM_MATCH_HELPER]],8),"")</f>
        <v>16</v>
      </c>
      <c r="AH712" s="39" cm="1">
        <f t="array" ref="AH712">IFERROR(INDEX(DaybyDay[],DaybyDay[[#This Row],[FORM_MATCH_HELPER]],10),"")</f>
        <v>3336.2</v>
      </c>
      <c r="AI712" s="39" cm="1">
        <f t="array" ref="AI712">IFERROR(INDEX(DaybyDay[],DaybyDay[[#This Row],[FORM_MATCH_HELPER]],12),"")</f>
        <v>504.5</v>
      </c>
      <c r="AJ712" s="32">
        <f>IFERROR(DaybyDay[[#This Row],[Serv-LY-RU]]+DaybyDay[[#This Row],[Ret-LY-RU]],"")</f>
        <v>0</v>
      </c>
      <c r="AK7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2" s="77"/>
      <c r="AM712" s="40" t="str">
        <f>IF(DaybyDay[[#This Row],[Admin Hours]]&gt;0,DaybyDay[[#This Row],[Admin Hours]]*$AM$2+$AM$3,"")</f>
        <v/>
      </c>
      <c r="AN712" s="40">
        <f>SUMIFS(DaybyDay[Est-Admin-Payroll],DaybyDay[Date],"&gt;="&amp;$C$5,DaybyDay[RowYear],"&gt;="&amp;$C$4,DaybyDay[Date],"&lt;="&amp;DaybyDay[[#This Row],[Date]])</f>
        <v>0</v>
      </c>
      <c r="AO712" s="41" t="str">
        <f>IF(AND(DaybyDay[[#This Row],[_Space]],ISNUMBER(DaybyDay[[#This Row],[Admin Hours]])),DaybyDay[[#This Row],[Est-Admin-Payroll]]/(DaybyDay[[#This Row],[Service-Actuals]]+DaybyDay[[#This Row],[Retail-Actuals]]),"")</f>
        <v/>
      </c>
      <c r="AP712" s="41" t="e">
        <f>DaybyDay[[#This Row],[Estimated-Payroll-Rollup]]/DaybyDay[[#This Row],[Simple-Forecast]]</f>
        <v>#DIV/0!</v>
      </c>
      <c r="AQ7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2" s="77"/>
      <c r="AS712" s="40" t="str">
        <f>IF(DaybyDay[[#This Row],[Retail Hours]]&gt;0,DaybyDay[[#This Row],[Retail Hours]]*$AS$2,"")</f>
        <v/>
      </c>
      <c r="AT712" s="40">
        <f>SUMIFS(DaybyDay[Est-Retail-Payroll],DaybyDay[Date],"&gt;="&amp;$C$5,DaybyDay[RowYear],"&gt;="&amp;$C$4,DaybyDay[Date],"&lt;="&amp;DaybyDay[[#This Row],[Date]])</f>
        <v>0</v>
      </c>
      <c r="AU712" s="82" t="str">
        <f>IF(AND(DaybyDay[[#This Row],[_Space]],ISNUMBER(DaybyDay[[#This Row],[Retail Hours]])),DaybyDay[[#This Row],[Est-Retail-Payroll]]/(DaybyDay[[#This Row],[Retail-Actuals]]),"")</f>
        <v/>
      </c>
      <c r="AV712" s="82" t="e">
        <f>DaybyDay[[#This Row],[Est-Retail-PayrollRU]]/DaybyDay[[#This Row],[Simple-Forecast-Retail]]</f>
        <v>#DIV/0!</v>
      </c>
      <c r="AW712" s="8"/>
    </row>
    <row r="713" spans="3:49" hidden="1" x14ac:dyDescent="0.25">
      <c r="C713" s="26" t="str">
        <f>Tools!$C$1</f>
        <v>Example</v>
      </c>
      <c r="D713" s="27" t="s">
        <v>79</v>
      </c>
      <c r="E713" s="28">
        <v>2018</v>
      </c>
      <c r="F713" s="28">
        <f>MATCH(DaybyDay[[#This Row],[RowMonth]],Table3[SummaryMonth],0)</f>
        <v>12</v>
      </c>
      <c r="G713" s="29">
        <f>MATCH(DaybyDay[[#This Row],[LY-Date]],DaybyDay[Date],0)</f>
        <v>343</v>
      </c>
      <c r="H713" s="30">
        <f>WEEKDAY(DaybyDay[[#This Row],[Date]])</f>
        <v>7</v>
      </c>
      <c r="I713" s="31">
        <v>43442</v>
      </c>
      <c r="J713" s="74">
        <v>32</v>
      </c>
      <c r="K713" s="32">
        <f>SUMIFS(BudgetSeasonality[365 Seasonality],BudgetSeasonality[MonthAdjustment],DaybyDay[[#This Row],[Date]])*SUMIFS(Budgets[Service-Budget],Budgets[BudgetMonth],DaybyDay[[#This Row],[RowMonth]],Budgets[BudgetYear],DaybyDay[[#This Row],[RowYear]])</f>
        <v>9288.9516405742161</v>
      </c>
      <c r="L713" s="75">
        <v>8187</v>
      </c>
      <c r="M713" s="32">
        <f>INDEX(BudgetSeasonality[365 Seasonality],MATCH(DaybyDay[[#This Row],[Date]],BudgetSeasonality[MonthAdjustment],0))*SUMIFS(Budgets[Retail-Budget],Budgets[BudgetMonth],DaybyDay[[#This Row],[RowMonth]],Budgets[BudgetYear],DaybyDay[[#This Row],[RowYear]])</f>
        <v>2601.4028060523956</v>
      </c>
      <c r="N713" s="75">
        <v>700</v>
      </c>
      <c r="O713" s="33">
        <f>SUMIFS(DaybyDay[Service-Budgets],DaybyDay[Date],"&gt;="&amp;$C$5,DaybyDay[RowYear],"&gt;="&amp;$C$4,DaybyDay[Date],"&lt;="&amp;DaybyDay[[#This Row],[Date]])</f>
        <v>0</v>
      </c>
      <c r="P713" s="33">
        <f>SUMIFS(DaybyDay[Retail-Budgets],DaybyDay[Date],"&gt;="&amp;$C$5,DaybyDay[RowYear],"&gt;="&amp;$C$4,DaybyDay[Date],"&lt;="&amp;DaybyDay[[#This Row],[Date]])</f>
        <v>0</v>
      </c>
      <c r="Q713" s="34">
        <f>SUMIFS(DaybyDay[Service-Actuals],DaybyDay[Date],"&gt;="&amp;$C$5,DaybyDay[RowYear],"&gt;="&amp;$C$4,DaybyDay[Date],"&lt;="&amp;DaybyDay[[#This Row],[Date]])</f>
        <v>0</v>
      </c>
      <c r="R713" s="34">
        <f>SUMIFS(DaybyDay[Retail-Actuals],DaybyDay[Date],"&gt;="&amp;$C$5,DaybyDay[RowYear],"&gt;="&amp;$C$4,DaybyDay[Date],"&lt;="&amp;DaybyDay[[#This Row],[Date]])</f>
        <v>0</v>
      </c>
      <c r="S713" s="35">
        <f>SUMIFS(DaybyDay[Service-LY],DaybyDay[Date],"&gt;="&amp;$C$5,DaybyDay[RowYear],"&gt;="&amp;$C$4,DaybyDay[Date],"&lt;="&amp;DaybyDay[[#This Row],[Date]])</f>
        <v>0</v>
      </c>
      <c r="T713" s="35">
        <f>SUMIFS(DaybyDay[Retail-LY],DaybyDay[Date],"&gt;="&amp;$C$5,DaybyDay[RowYear],"&gt;="&amp;$C$4,DaybyDay[Date],"&lt;="&amp;DaybyDay[[#This Row],[Date]])</f>
        <v>0</v>
      </c>
      <c r="U713" s="32">
        <f>DaybyDay[[#This Row],[Serv-Bud-RU]]+DaybyDay[[#This Row],[Ret-Bud-RU]]</f>
        <v>0</v>
      </c>
      <c r="V713" s="32">
        <f>DaybyDay[[#This Row],[Serv-Act-RU]]+DaybyDay[[#This Row],[Ret-Act-RU]]</f>
        <v>0</v>
      </c>
      <c r="W713" s="36">
        <f>IF(DaybyDay[[#This Row],[_Space]],IFERROR(
((DaybyDay[[#This Row],[Actual-Rollup]]-DaybyDay[[#This Row],[Budget-Rollup]])/DaybyDay[[#This Row],[Budget-Rollup]]),0),"")</f>
        <v>0</v>
      </c>
      <c r="X713" t="b">
        <f>NOT(AND(ISBLANK(DaybyDay[[#This Row],[Appts]]),ISBLANK(DaybyDay[[#This Row],[Service-Actuals]]),ISBLANK(DaybyDay[[#This Row],[Retail-Actuals]])))</f>
        <v>1</v>
      </c>
      <c r="Y713" s="36">
        <f>IF(DaybyDay[[#This Row],[_Space]],IFERROR(
((DaybyDay[[#This Row],[Actual-Rollup]]-DaybyDay[[#This Row],[LY-Rollup]])/DaybyDay[[#This Row],[LY-Rollup]]),0),"")</f>
        <v>0</v>
      </c>
      <c r="Z713"/>
      <c r="AA713" s="37" t="e">
        <f>IF(DaybyDay[[#This Row],[_Space]],DaybyDay[[#This Row],[Ret-Act-RU]]/DaybyDay[[#This Row],[Serv-Act-RU]],"")</f>
        <v>#DIV/0!</v>
      </c>
      <c r="AB713" s="50" t="e">
        <f>IF(DaybyDay[[#This Row],[_Space]],DaybyDay[[#This Row],[RETPEN-Act]]/DaybyDay[[#This Row],[RETPEN-Bud]],"")</f>
        <v>#DIV/0!</v>
      </c>
      <c r="AC713" s="37" t="e">
        <f>IF(DaybyDay[[#This Row],[_Space]],DaybyDay[[#This Row],[Ret-Bud-RU]]/DaybyDay[[#This Row],[Serv-Bud-RU]],"")</f>
        <v>#DIV/0!</v>
      </c>
      <c r="AD713" s="37" t="e">
        <f>IF(DaybyDay[[#This Row],[_Space]],DaybyDay[[#This Row],[Ret-LY-RU]]/DaybyDay[[#This Row],[Serv-LY-RU]],"")</f>
        <v>#DIV/0!</v>
      </c>
      <c r="AE713" s="30">
        <f>WEEKDAY(DaybyDay[[#This Row],[LY-Date]])</f>
        <v>7</v>
      </c>
      <c r="AF713" s="38">
        <f>$E$2+_xlfn.DAYS(DaybyDay[[#This Row],[Date]],minDate)</f>
        <v>43078</v>
      </c>
      <c r="AG713" s="39" cm="1">
        <f t="array" ref="AG713">IFERROR(INDEX(DaybyDay[],DaybyDay[[#This Row],[FORM_MATCH_HELPER]],8),"")</f>
        <v>26</v>
      </c>
      <c r="AH713" s="39" cm="1">
        <f t="array" ref="AH713">IFERROR(INDEX(DaybyDay[],DaybyDay[[#This Row],[FORM_MATCH_HELPER]],10),"")</f>
        <v>6063.5</v>
      </c>
      <c r="AI713" s="39" cm="1">
        <f t="array" ref="AI713">IFERROR(INDEX(DaybyDay[],DaybyDay[[#This Row],[FORM_MATCH_HELPER]],12),"")</f>
        <v>690</v>
      </c>
      <c r="AJ713" s="32">
        <f>IFERROR(DaybyDay[[#This Row],[Serv-LY-RU]]+DaybyDay[[#This Row],[Ret-LY-RU]],"")</f>
        <v>0</v>
      </c>
      <c r="AK7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3" s="77"/>
      <c r="AM713" s="40" t="str">
        <f>IF(DaybyDay[[#This Row],[Admin Hours]]&gt;0,DaybyDay[[#This Row],[Admin Hours]]*$AM$2+$AM$3,"")</f>
        <v/>
      </c>
      <c r="AN713" s="40">
        <f>SUMIFS(DaybyDay[Est-Admin-Payroll],DaybyDay[Date],"&gt;="&amp;$C$5,DaybyDay[RowYear],"&gt;="&amp;$C$4,DaybyDay[Date],"&lt;="&amp;DaybyDay[[#This Row],[Date]])</f>
        <v>0</v>
      </c>
      <c r="AO713" s="41" t="str">
        <f>IF(AND(DaybyDay[[#This Row],[_Space]],ISNUMBER(DaybyDay[[#This Row],[Admin Hours]])),DaybyDay[[#This Row],[Est-Admin-Payroll]]/(DaybyDay[[#This Row],[Service-Actuals]]+DaybyDay[[#This Row],[Retail-Actuals]]),"")</f>
        <v/>
      </c>
      <c r="AP713" s="41" t="e">
        <f>DaybyDay[[#This Row],[Estimated-Payroll-Rollup]]/DaybyDay[[#This Row],[Simple-Forecast]]</f>
        <v>#DIV/0!</v>
      </c>
      <c r="AQ7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3" s="77"/>
      <c r="AS713" s="40" t="str">
        <f>IF(DaybyDay[[#This Row],[Retail Hours]]&gt;0,DaybyDay[[#This Row],[Retail Hours]]*$AS$2,"")</f>
        <v/>
      </c>
      <c r="AT713" s="40">
        <f>SUMIFS(DaybyDay[Est-Retail-Payroll],DaybyDay[Date],"&gt;="&amp;$C$5,DaybyDay[RowYear],"&gt;="&amp;$C$4,DaybyDay[Date],"&lt;="&amp;DaybyDay[[#This Row],[Date]])</f>
        <v>0</v>
      </c>
      <c r="AU713" s="82" t="str">
        <f>IF(AND(DaybyDay[[#This Row],[_Space]],ISNUMBER(DaybyDay[[#This Row],[Retail Hours]])),DaybyDay[[#This Row],[Est-Retail-Payroll]]/(DaybyDay[[#This Row],[Retail-Actuals]]),"")</f>
        <v/>
      </c>
      <c r="AV713" s="82" t="e">
        <f>DaybyDay[[#This Row],[Est-Retail-PayrollRU]]/DaybyDay[[#This Row],[Simple-Forecast-Retail]]</f>
        <v>#DIV/0!</v>
      </c>
      <c r="AW713" s="8"/>
    </row>
    <row r="714" spans="3:49" hidden="1" x14ac:dyDescent="0.25">
      <c r="C714" s="26" t="str">
        <f>Tools!$C$1</f>
        <v>Example</v>
      </c>
      <c r="D714" s="27" t="s">
        <v>79</v>
      </c>
      <c r="E714" s="28">
        <v>2018</v>
      </c>
      <c r="F714" s="28">
        <f>MATCH(DaybyDay[[#This Row],[RowMonth]],Table3[SummaryMonth],0)</f>
        <v>12</v>
      </c>
      <c r="G714" s="29">
        <f>MATCH(DaybyDay[[#This Row],[LY-Date]],DaybyDay[Date],0)</f>
        <v>344</v>
      </c>
      <c r="H714" s="30">
        <f>WEEKDAY(DaybyDay[[#This Row],[Date]])</f>
        <v>1</v>
      </c>
      <c r="I714" s="31">
        <v>43443</v>
      </c>
      <c r="J714" s="74">
        <v>42</v>
      </c>
      <c r="K714" s="32">
        <f>SUMIFS(BudgetSeasonality[365 Seasonality],BudgetSeasonality[MonthAdjustment],DaybyDay[[#This Row],[Date]])*SUMIFS(Budgets[Service-Budget],Budgets[BudgetMonth],DaybyDay[[#This Row],[RowMonth]],Budgets[BudgetYear],DaybyDay[[#This Row],[RowYear]])</f>
        <v>7452.5535354949725</v>
      </c>
      <c r="L714" s="75">
        <v>7533</v>
      </c>
      <c r="M714" s="32">
        <f>INDEX(BudgetSeasonality[365 Seasonality],MATCH(DaybyDay[[#This Row],[Date]],BudgetSeasonality[MonthAdjustment],0))*SUMIFS(Budgets[Retail-Budget],Budgets[BudgetMonth],DaybyDay[[#This Row],[RowMonth]],Budgets[BudgetYear],DaybyDay[[#This Row],[RowYear]])</f>
        <v>2087.1132103658865</v>
      </c>
      <c r="N714" s="75">
        <v>1587</v>
      </c>
      <c r="O714" s="33">
        <f>SUMIFS(DaybyDay[Service-Budgets],DaybyDay[Date],"&gt;="&amp;$C$5,DaybyDay[RowYear],"&gt;="&amp;$C$4,DaybyDay[Date],"&lt;="&amp;DaybyDay[[#This Row],[Date]])</f>
        <v>0</v>
      </c>
      <c r="P714" s="33">
        <f>SUMIFS(DaybyDay[Retail-Budgets],DaybyDay[Date],"&gt;="&amp;$C$5,DaybyDay[RowYear],"&gt;="&amp;$C$4,DaybyDay[Date],"&lt;="&amp;DaybyDay[[#This Row],[Date]])</f>
        <v>0</v>
      </c>
      <c r="Q714" s="34">
        <f>SUMIFS(DaybyDay[Service-Actuals],DaybyDay[Date],"&gt;="&amp;$C$5,DaybyDay[RowYear],"&gt;="&amp;$C$4,DaybyDay[Date],"&lt;="&amp;DaybyDay[[#This Row],[Date]])</f>
        <v>0</v>
      </c>
      <c r="R714" s="34">
        <f>SUMIFS(DaybyDay[Retail-Actuals],DaybyDay[Date],"&gt;="&amp;$C$5,DaybyDay[RowYear],"&gt;="&amp;$C$4,DaybyDay[Date],"&lt;="&amp;DaybyDay[[#This Row],[Date]])</f>
        <v>0</v>
      </c>
      <c r="S714" s="35">
        <f>SUMIFS(DaybyDay[Service-LY],DaybyDay[Date],"&gt;="&amp;$C$5,DaybyDay[RowYear],"&gt;="&amp;$C$4,DaybyDay[Date],"&lt;="&amp;DaybyDay[[#This Row],[Date]])</f>
        <v>0</v>
      </c>
      <c r="T714" s="35">
        <f>SUMIFS(DaybyDay[Retail-LY],DaybyDay[Date],"&gt;="&amp;$C$5,DaybyDay[RowYear],"&gt;="&amp;$C$4,DaybyDay[Date],"&lt;="&amp;DaybyDay[[#This Row],[Date]])</f>
        <v>0</v>
      </c>
      <c r="U714" s="32">
        <f>DaybyDay[[#This Row],[Serv-Bud-RU]]+DaybyDay[[#This Row],[Ret-Bud-RU]]</f>
        <v>0</v>
      </c>
      <c r="V714" s="32">
        <f>DaybyDay[[#This Row],[Serv-Act-RU]]+DaybyDay[[#This Row],[Ret-Act-RU]]</f>
        <v>0</v>
      </c>
      <c r="W714" s="36">
        <f>IF(DaybyDay[[#This Row],[_Space]],IFERROR(
((DaybyDay[[#This Row],[Actual-Rollup]]-DaybyDay[[#This Row],[Budget-Rollup]])/DaybyDay[[#This Row],[Budget-Rollup]]),0),"")</f>
        <v>0</v>
      </c>
      <c r="X714" t="b">
        <f>NOT(AND(ISBLANK(DaybyDay[[#This Row],[Appts]]),ISBLANK(DaybyDay[[#This Row],[Service-Actuals]]),ISBLANK(DaybyDay[[#This Row],[Retail-Actuals]])))</f>
        <v>1</v>
      </c>
      <c r="Y714" s="36">
        <f>IF(DaybyDay[[#This Row],[_Space]],IFERROR(
((DaybyDay[[#This Row],[Actual-Rollup]]-DaybyDay[[#This Row],[LY-Rollup]])/DaybyDay[[#This Row],[LY-Rollup]]),0),"")</f>
        <v>0</v>
      </c>
      <c r="Z714"/>
      <c r="AA714" s="37" t="e">
        <f>IF(DaybyDay[[#This Row],[_Space]],DaybyDay[[#This Row],[Ret-Act-RU]]/DaybyDay[[#This Row],[Serv-Act-RU]],"")</f>
        <v>#DIV/0!</v>
      </c>
      <c r="AB714" s="50" t="e">
        <f>IF(DaybyDay[[#This Row],[_Space]],DaybyDay[[#This Row],[RETPEN-Act]]/DaybyDay[[#This Row],[RETPEN-Bud]],"")</f>
        <v>#DIV/0!</v>
      </c>
      <c r="AC714" s="37" t="e">
        <f>IF(DaybyDay[[#This Row],[_Space]],DaybyDay[[#This Row],[Ret-Bud-RU]]/DaybyDay[[#This Row],[Serv-Bud-RU]],"")</f>
        <v>#DIV/0!</v>
      </c>
      <c r="AD714" s="37" t="e">
        <f>IF(DaybyDay[[#This Row],[_Space]],DaybyDay[[#This Row],[Ret-LY-RU]]/DaybyDay[[#This Row],[Serv-LY-RU]],"")</f>
        <v>#DIV/0!</v>
      </c>
      <c r="AE714" s="30">
        <f>WEEKDAY(DaybyDay[[#This Row],[LY-Date]])</f>
        <v>1</v>
      </c>
      <c r="AF714" s="38">
        <f>$E$2+_xlfn.DAYS(DaybyDay[[#This Row],[Date]],minDate)</f>
        <v>43079</v>
      </c>
      <c r="AG714" s="39" cm="1">
        <f t="array" ref="AG714">IFERROR(INDEX(DaybyDay[],DaybyDay[[#This Row],[FORM_MATCH_HELPER]],8),"")</f>
        <v>32</v>
      </c>
      <c r="AH714" s="39" cm="1">
        <f t="array" ref="AH714">IFERROR(INDEX(DaybyDay[],DaybyDay[[#This Row],[FORM_MATCH_HELPER]],10),"")</f>
        <v>7187.15</v>
      </c>
      <c r="AI714" s="39" cm="1">
        <f t="array" ref="AI714">IFERROR(INDEX(DaybyDay[],DaybyDay[[#This Row],[FORM_MATCH_HELPER]],12),"")</f>
        <v>815</v>
      </c>
      <c r="AJ714" s="32">
        <f>IFERROR(DaybyDay[[#This Row],[Serv-LY-RU]]+DaybyDay[[#This Row],[Ret-LY-RU]],"")</f>
        <v>0</v>
      </c>
      <c r="AK7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4" s="77"/>
      <c r="AM714" s="40" t="str">
        <f>IF(DaybyDay[[#This Row],[Admin Hours]]&gt;0,DaybyDay[[#This Row],[Admin Hours]]*$AM$2+$AM$3,"")</f>
        <v/>
      </c>
      <c r="AN714" s="40">
        <f>SUMIFS(DaybyDay[Est-Admin-Payroll],DaybyDay[Date],"&gt;="&amp;$C$5,DaybyDay[RowYear],"&gt;="&amp;$C$4,DaybyDay[Date],"&lt;="&amp;DaybyDay[[#This Row],[Date]])</f>
        <v>0</v>
      </c>
      <c r="AO714" s="41" t="str">
        <f>IF(AND(DaybyDay[[#This Row],[_Space]],ISNUMBER(DaybyDay[[#This Row],[Admin Hours]])),DaybyDay[[#This Row],[Est-Admin-Payroll]]/(DaybyDay[[#This Row],[Service-Actuals]]+DaybyDay[[#This Row],[Retail-Actuals]]),"")</f>
        <v/>
      </c>
      <c r="AP714" s="41" t="e">
        <f>DaybyDay[[#This Row],[Estimated-Payroll-Rollup]]/DaybyDay[[#This Row],[Simple-Forecast]]</f>
        <v>#DIV/0!</v>
      </c>
      <c r="AQ7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4" s="77"/>
      <c r="AS714" s="40" t="str">
        <f>IF(DaybyDay[[#This Row],[Retail Hours]]&gt;0,DaybyDay[[#This Row],[Retail Hours]]*$AS$2,"")</f>
        <v/>
      </c>
      <c r="AT714" s="40">
        <f>SUMIFS(DaybyDay[Est-Retail-Payroll],DaybyDay[Date],"&gt;="&amp;$C$5,DaybyDay[RowYear],"&gt;="&amp;$C$4,DaybyDay[Date],"&lt;="&amp;DaybyDay[[#This Row],[Date]])</f>
        <v>0</v>
      </c>
      <c r="AU714" s="82" t="str">
        <f>IF(AND(DaybyDay[[#This Row],[_Space]],ISNUMBER(DaybyDay[[#This Row],[Retail Hours]])),DaybyDay[[#This Row],[Est-Retail-Payroll]]/(DaybyDay[[#This Row],[Retail-Actuals]]),"")</f>
        <v/>
      </c>
      <c r="AV714" s="82" t="e">
        <f>DaybyDay[[#This Row],[Est-Retail-PayrollRU]]/DaybyDay[[#This Row],[Simple-Forecast-Retail]]</f>
        <v>#DIV/0!</v>
      </c>
      <c r="AW714" s="8"/>
    </row>
    <row r="715" spans="3:49" hidden="1" x14ac:dyDescent="0.25">
      <c r="C715" s="26" t="str">
        <f>Tools!$C$1</f>
        <v>Example</v>
      </c>
      <c r="D715" s="27" t="s">
        <v>79</v>
      </c>
      <c r="E715" s="28">
        <v>2018</v>
      </c>
      <c r="F715" s="28">
        <f>MATCH(DaybyDay[[#This Row],[RowMonth]],Table3[SummaryMonth],0)</f>
        <v>12</v>
      </c>
      <c r="G715" s="29">
        <f>MATCH(DaybyDay[[#This Row],[LY-Date]],DaybyDay[Date],0)</f>
        <v>345</v>
      </c>
      <c r="H715" s="30">
        <f>WEEKDAY(DaybyDay[[#This Row],[Date]])</f>
        <v>2</v>
      </c>
      <c r="I715" s="31">
        <v>43444</v>
      </c>
      <c r="J715" s="74">
        <v>23</v>
      </c>
      <c r="K715" s="32">
        <f>SUMIFS(BudgetSeasonality[365 Seasonality],BudgetSeasonality[MonthAdjustment],DaybyDay[[#This Row],[Date]])*SUMIFS(Budgets[Service-Budget],Budgets[BudgetMonth],DaybyDay[[#This Row],[RowMonth]],Budgets[BudgetYear],DaybyDay[[#This Row],[RowYear]])</f>
        <v>4745.3376588573492</v>
      </c>
      <c r="L715" s="75">
        <v>4419.1499999999996</v>
      </c>
      <c r="M715" s="32">
        <f>INDEX(BudgetSeasonality[365 Seasonality],MATCH(DaybyDay[[#This Row],[Date]],BudgetSeasonality[MonthAdjustment],0))*SUMIFS(Budgets[Retail-Budget],Budgets[BudgetMonth],DaybyDay[[#This Row],[RowMonth]],Budgets[BudgetYear],DaybyDay[[#This Row],[RowYear]])</f>
        <v>1328.9481072865731</v>
      </c>
      <c r="N715" s="75">
        <v>794.5</v>
      </c>
      <c r="O715" s="33">
        <f>SUMIFS(DaybyDay[Service-Budgets],DaybyDay[Date],"&gt;="&amp;$C$5,DaybyDay[RowYear],"&gt;="&amp;$C$4,DaybyDay[Date],"&lt;="&amp;DaybyDay[[#This Row],[Date]])</f>
        <v>0</v>
      </c>
      <c r="P715" s="33">
        <f>SUMIFS(DaybyDay[Retail-Budgets],DaybyDay[Date],"&gt;="&amp;$C$5,DaybyDay[RowYear],"&gt;="&amp;$C$4,DaybyDay[Date],"&lt;="&amp;DaybyDay[[#This Row],[Date]])</f>
        <v>0</v>
      </c>
      <c r="Q715" s="34">
        <f>SUMIFS(DaybyDay[Service-Actuals],DaybyDay[Date],"&gt;="&amp;$C$5,DaybyDay[RowYear],"&gt;="&amp;$C$4,DaybyDay[Date],"&lt;="&amp;DaybyDay[[#This Row],[Date]])</f>
        <v>0</v>
      </c>
      <c r="R715" s="34">
        <f>SUMIFS(DaybyDay[Retail-Actuals],DaybyDay[Date],"&gt;="&amp;$C$5,DaybyDay[RowYear],"&gt;="&amp;$C$4,DaybyDay[Date],"&lt;="&amp;DaybyDay[[#This Row],[Date]])</f>
        <v>0</v>
      </c>
      <c r="S715" s="35">
        <f>SUMIFS(DaybyDay[Service-LY],DaybyDay[Date],"&gt;="&amp;$C$5,DaybyDay[RowYear],"&gt;="&amp;$C$4,DaybyDay[Date],"&lt;="&amp;DaybyDay[[#This Row],[Date]])</f>
        <v>0</v>
      </c>
      <c r="T715" s="35">
        <f>SUMIFS(DaybyDay[Retail-LY],DaybyDay[Date],"&gt;="&amp;$C$5,DaybyDay[RowYear],"&gt;="&amp;$C$4,DaybyDay[Date],"&lt;="&amp;DaybyDay[[#This Row],[Date]])</f>
        <v>0</v>
      </c>
      <c r="U715" s="32">
        <f>DaybyDay[[#This Row],[Serv-Bud-RU]]+DaybyDay[[#This Row],[Ret-Bud-RU]]</f>
        <v>0</v>
      </c>
      <c r="V715" s="32">
        <f>DaybyDay[[#This Row],[Serv-Act-RU]]+DaybyDay[[#This Row],[Ret-Act-RU]]</f>
        <v>0</v>
      </c>
      <c r="W715" s="36">
        <f>IF(DaybyDay[[#This Row],[_Space]],IFERROR(
((DaybyDay[[#This Row],[Actual-Rollup]]-DaybyDay[[#This Row],[Budget-Rollup]])/DaybyDay[[#This Row],[Budget-Rollup]]),0),"")</f>
        <v>0</v>
      </c>
      <c r="X715" t="b">
        <f>NOT(AND(ISBLANK(DaybyDay[[#This Row],[Appts]]),ISBLANK(DaybyDay[[#This Row],[Service-Actuals]]),ISBLANK(DaybyDay[[#This Row],[Retail-Actuals]])))</f>
        <v>1</v>
      </c>
      <c r="Y715" s="36">
        <f>IF(DaybyDay[[#This Row],[_Space]],IFERROR(
((DaybyDay[[#This Row],[Actual-Rollup]]-DaybyDay[[#This Row],[LY-Rollup]])/DaybyDay[[#This Row],[LY-Rollup]]),0),"")</f>
        <v>0</v>
      </c>
      <c r="Z715"/>
      <c r="AA715" s="37" t="e">
        <f>IF(DaybyDay[[#This Row],[_Space]],DaybyDay[[#This Row],[Ret-Act-RU]]/DaybyDay[[#This Row],[Serv-Act-RU]],"")</f>
        <v>#DIV/0!</v>
      </c>
      <c r="AB715" s="50" t="e">
        <f>IF(DaybyDay[[#This Row],[_Space]],DaybyDay[[#This Row],[RETPEN-Act]]/DaybyDay[[#This Row],[RETPEN-Bud]],"")</f>
        <v>#DIV/0!</v>
      </c>
      <c r="AC715" s="37" t="e">
        <f>IF(DaybyDay[[#This Row],[_Space]],DaybyDay[[#This Row],[Ret-Bud-RU]]/DaybyDay[[#This Row],[Serv-Bud-RU]],"")</f>
        <v>#DIV/0!</v>
      </c>
      <c r="AD715" s="37" t="e">
        <f>IF(DaybyDay[[#This Row],[_Space]],DaybyDay[[#This Row],[Ret-LY-RU]]/DaybyDay[[#This Row],[Serv-LY-RU]],"")</f>
        <v>#DIV/0!</v>
      </c>
      <c r="AE715" s="30">
        <f>WEEKDAY(DaybyDay[[#This Row],[LY-Date]])</f>
        <v>2</v>
      </c>
      <c r="AF715" s="38">
        <f>$E$2+_xlfn.DAYS(DaybyDay[[#This Row],[Date]],minDate)</f>
        <v>43080</v>
      </c>
      <c r="AG715" s="39" cm="1">
        <f t="array" ref="AG715">IFERROR(INDEX(DaybyDay[],DaybyDay[[#This Row],[FORM_MATCH_HELPER]],8),"")</f>
        <v>11</v>
      </c>
      <c r="AH715" s="39" cm="1">
        <f t="array" ref="AH715">IFERROR(INDEX(DaybyDay[],DaybyDay[[#This Row],[FORM_MATCH_HELPER]],10),"")</f>
        <v>2423.9</v>
      </c>
      <c r="AI715" s="39" cm="1">
        <f t="array" ref="AI715">IFERROR(INDEX(DaybyDay[],DaybyDay[[#This Row],[FORM_MATCH_HELPER]],12),"")</f>
        <v>0</v>
      </c>
      <c r="AJ715" s="32">
        <f>IFERROR(DaybyDay[[#This Row],[Serv-LY-RU]]+DaybyDay[[#This Row],[Ret-LY-RU]],"")</f>
        <v>0</v>
      </c>
      <c r="AK7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5" s="77"/>
      <c r="AM715" s="40" t="str">
        <f>IF(DaybyDay[[#This Row],[Admin Hours]]&gt;0,DaybyDay[[#This Row],[Admin Hours]]*$AM$2+$AM$3,"")</f>
        <v/>
      </c>
      <c r="AN715" s="40">
        <f>SUMIFS(DaybyDay[Est-Admin-Payroll],DaybyDay[Date],"&gt;="&amp;$C$5,DaybyDay[RowYear],"&gt;="&amp;$C$4,DaybyDay[Date],"&lt;="&amp;DaybyDay[[#This Row],[Date]])</f>
        <v>0</v>
      </c>
      <c r="AO715" s="41" t="str">
        <f>IF(AND(DaybyDay[[#This Row],[_Space]],ISNUMBER(DaybyDay[[#This Row],[Admin Hours]])),DaybyDay[[#This Row],[Est-Admin-Payroll]]/(DaybyDay[[#This Row],[Service-Actuals]]+DaybyDay[[#This Row],[Retail-Actuals]]),"")</f>
        <v/>
      </c>
      <c r="AP715" s="41" t="e">
        <f>DaybyDay[[#This Row],[Estimated-Payroll-Rollup]]/DaybyDay[[#This Row],[Simple-Forecast]]</f>
        <v>#DIV/0!</v>
      </c>
      <c r="AQ7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5" s="77"/>
      <c r="AS715" s="40" t="str">
        <f>IF(DaybyDay[[#This Row],[Retail Hours]]&gt;0,DaybyDay[[#This Row],[Retail Hours]]*$AS$2,"")</f>
        <v/>
      </c>
      <c r="AT715" s="40">
        <f>SUMIFS(DaybyDay[Est-Retail-Payroll],DaybyDay[Date],"&gt;="&amp;$C$5,DaybyDay[RowYear],"&gt;="&amp;$C$4,DaybyDay[Date],"&lt;="&amp;DaybyDay[[#This Row],[Date]])</f>
        <v>0</v>
      </c>
      <c r="AU715" s="82" t="str">
        <f>IF(AND(DaybyDay[[#This Row],[_Space]],ISNUMBER(DaybyDay[[#This Row],[Retail Hours]])),DaybyDay[[#This Row],[Est-Retail-Payroll]]/(DaybyDay[[#This Row],[Retail-Actuals]]),"")</f>
        <v/>
      </c>
      <c r="AV715" s="82" t="e">
        <f>DaybyDay[[#This Row],[Est-Retail-PayrollRU]]/DaybyDay[[#This Row],[Simple-Forecast-Retail]]</f>
        <v>#DIV/0!</v>
      </c>
      <c r="AW715" s="8"/>
    </row>
    <row r="716" spans="3:49" hidden="1" x14ac:dyDescent="0.25">
      <c r="C716" s="26" t="str">
        <f>Tools!$C$1</f>
        <v>Example</v>
      </c>
      <c r="D716" s="27" t="s">
        <v>79</v>
      </c>
      <c r="E716" s="28">
        <v>2018</v>
      </c>
      <c r="F716" s="28">
        <f>MATCH(DaybyDay[[#This Row],[RowMonth]],Table3[SummaryMonth],0)</f>
        <v>12</v>
      </c>
      <c r="G716" s="29">
        <f>MATCH(DaybyDay[[#This Row],[LY-Date]],DaybyDay[Date],0)</f>
        <v>346</v>
      </c>
      <c r="H716" s="30">
        <f>WEEKDAY(DaybyDay[[#This Row],[Date]])</f>
        <v>3</v>
      </c>
      <c r="I716" s="31">
        <v>43445</v>
      </c>
      <c r="J716" s="74">
        <v>24</v>
      </c>
      <c r="K716" s="32">
        <f>SUMIFS(BudgetSeasonality[365 Seasonality],BudgetSeasonality[MonthAdjustment],DaybyDay[[#This Row],[Date]])*SUMIFS(Budgets[Service-Budget],Budgets[BudgetMonth],DaybyDay[[#This Row],[RowMonth]],Budgets[BudgetYear],DaybyDay[[#This Row],[RowYear]])</f>
        <v>4962.5418303713595</v>
      </c>
      <c r="L716" s="75">
        <v>3999.4</v>
      </c>
      <c r="M716" s="32">
        <f>INDEX(BudgetSeasonality[365 Seasonality],MATCH(DaybyDay[[#This Row],[Date]],BudgetSeasonality[MonthAdjustment],0))*SUMIFS(Budgets[Retail-Budget],Budgets[BudgetMonth],DaybyDay[[#This Row],[RowMonth]],Budgets[BudgetYear],DaybyDay[[#This Row],[RowYear]])</f>
        <v>1389.776881418064</v>
      </c>
      <c r="N716" s="75">
        <v>379</v>
      </c>
      <c r="O716" s="33">
        <f>SUMIFS(DaybyDay[Service-Budgets],DaybyDay[Date],"&gt;="&amp;$C$5,DaybyDay[RowYear],"&gt;="&amp;$C$4,DaybyDay[Date],"&lt;="&amp;DaybyDay[[#This Row],[Date]])</f>
        <v>0</v>
      </c>
      <c r="P716" s="33">
        <f>SUMIFS(DaybyDay[Retail-Budgets],DaybyDay[Date],"&gt;="&amp;$C$5,DaybyDay[RowYear],"&gt;="&amp;$C$4,DaybyDay[Date],"&lt;="&amp;DaybyDay[[#This Row],[Date]])</f>
        <v>0</v>
      </c>
      <c r="Q716" s="34">
        <f>SUMIFS(DaybyDay[Service-Actuals],DaybyDay[Date],"&gt;="&amp;$C$5,DaybyDay[RowYear],"&gt;="&amp;$C$4,DaybyDay[Date],"&lt;="&amp;DaybyDay[[#This Row],[Date]])</f>
        <v>0</v>
      </c>
      <c r="R716" s="34">
        <f>SUMIFS(DaybyDay[Retail-Actuals],DaybyDay[Date],"&gt;="&amp;$C$5,DaybyDay[RowYear],"&gt;="&amp;$C$4,DaybyDay[Date],"&lt;="&amp;DaybyDay[[#This Row],[Date]])</f>
        <v>0</v>
      </c>
      <c r="S716" s="35">
        <f>SUMIFS(DaybyDay[Service-LY],DaybyDay[Date],"&gt;="&amp;$C$5,DaybyDay[RowYear],"&gt;="&amp;$C$4,DaybyDay[Date],"&lt;="&amp;DaybyDay[[#This Row],[Date]])</f>
        <v>0</v>
      </c>
      <c r="T716" s="35">
        <f>SUMIFS(DaybyDay[Retail-LY],DaybyDay[Date],"&gt;="&amp;$C$5,DaybyDay[RowYear],"&gt;="&amp;$C$4,DaybyDay[Date],"&lt;="&amp;DaybyDay[[#This Row],[Date]])</f>
        <v>0</v>
      </c>
      <c r="U716" s="32">
        <f>DaybyDay[[#This Row],[Serv-Bud-RU]]+DaybyDay[[#This Row],[Ret-Bud-RU]]</f>
        <v>0</v>
      </c>
      <c r="V716" s="32">
        <f>DaybyDay[[#This Row],[Serv-Act-RU]]+DaybyDay[[#This Row],[Ret-Act-RU]]</f>
        <v>0</v>
      </c>
      <c r="W716" s="36">
        <f>IF(DaybyDay[[#This Row],[_Space]],IFERROR(
((DaybyDay[[#This Row],[Actual-Rollup]]-DaybyDay[[#This Row],[Budget-Rollup]])/DaybyDay[[#This Row],[Budget-Rollup]]),0),"")</f>
        <v>0</v>
      </c>
      <c r="X716" t="b">
        <f>NOT(AND(ISBLANK(DaybyDay[[#This Row],[Appts]]),ISBLANK(DaybyDay[[#This Row],[Service-Actuals]]),ISBLANK(DaybyDay[[#This Row],[Retail-Actuals]])))</f>
        <v>1</v>
      </c>
      <c r="Y716" s="36">
        <f>IF(DaybyDay[[#This Row],[_Space]],IFERROR(
((DaybyDay[[#This Row],[Actual-Rollup]]-DaybyDay[[#This Row],[LY-Rollup]])/DaybyDay[[#This Row],[LY-Rollup]]),0),"")</f>
        <v>0</v>
      </c>
      <c r="Z716"/>
      <c r="AA716" s="37" t="e">
        <f>IF(DaybyDay[[#This Row],[_Space]],DaybyDay[[#This Row],[Ret-Act-RU]]/DaybyDay[[#This Row],[Serv-Act-RU]],"")</f>
        <v>#DIV/0!</v>
      </c>
      <c r="AB716" s="50" t="e">
        <f>IF(DaybyDay[[#This Row],[_Space]],DaybyDay[[#This Row],[RETPEN-Act]]/DaybyDay[[#This Row],[RETPEN-Bud]],"")</f>
        <v>#DIV/0!</v>
      </c>
      <c r="AC716" s="37" t="e">
        <f>IF(DaybyDay[[#This Row],[_Space]],DaybyDay[[#This Row],[Ret-Bud-RU]]/DaybyDay[[#This Row],[Serv-Bud-RU]],"")</f>
        <v>#DIV/0!</v>
      </c>
      <c r="AD716" s="37" t="e">
        <f>IF(DaybyDay[[#This Row],[_Space]],DaybyDay[[#This Row],[Ret-LY-RU]]/DaybyDay[[#This Row],[Serv-LY-RU]],"")</f>
        <v>#DIV/0!</v>
      </c>
      <c r="AE716" s="30">
        <f>WEEKDAY(DaybyDay[[#This Row],[LY-Date]])</f>
        <v>3</v>
      </c>
      <c r="AF716" s="38">
        <f>$E$2+_xlfn.DAYS(DaybyDay[[#This Row],[Date]],minDate)</f>
        <v>43081</v>
      </c>
      <c r="AG716" s="39" cm="1">
        <f t="array" ref="AG716">IFERROR(INDEX(DaybyDay[],DaybyDay[[#This Row],[FORM_MATCH_HELPER]],8),"")</f>
        <v>22</v>
      </c>
      <c r="AH716" s="39" cm="1">
        <f t="array" ref="AH716">IFERROR(INDEX(DaybyDay[],DaybyDay[[#This Row],[FORM_MATCH_HELPER]],10),"")</f>
        <v>5045</v>
      </c>
      <c r="AI716" s="39" cm="1">
        <f t="array" ref="AI716">IFERROR(INDEX(DaybyDay[],DaybyDay[[#This Row],[FORM_MATCH_HELPER]],12),"")</f>
        <v>1410.68</v>
      </c>
      <c r="AJ716" s="32">
        <f>IFERROR(DaybyDay[[#This Row],[Serv-LY-RU]]+DaybyDay[[#This Row],[Ret-LY-RU]],"")</f>
        <v>0</v>
      </c>
      <c r="AK7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6" s="77"/>
      <c r="AM716" s="40" t="str">
        <f>IF(DaybyDay[[#This Row],[Admin Hours]]&gt;0,DaybyDay[[#This Row],[Admin Hours]]*$AM$2+$AM$3,"")</f>
        <v/>
      </c>
      <c r="AN716" s="40">
        <f>SUMIFS(DaybyDay[Est-Admin-Payroll],DaybyDay[Date],"&gt;="&amp;$C$5,DaybyDay[RowYear],"&gt;="&amp;$C$4,DaybyDay[Date],"&lt;="&amp;DaybyDay[[#This Row],[Date]])</f>
        <v>0</v>
      </c>
      <c r="AO716" s="41" t="str">
        <f>IF(AND(DaybyDay[[#This Row],[_Space]],ISNUMBER(DaybyDay[[#This Row],[Admin Hours]])),DaybyDay[[#This Row],[Est-Admin-Payroll]]/(DaybyDay[[#This Row],[Service-Actuals]]+DaybyDay[[#This Row],[Retail-Actuals]]),"")</f>
        <v/>
      </c>
      <c r="AP716" s="41" t="e">
        <f>DaybyDay[[#This Row],[Estimated-Payroll-Rollup]]/DaybyDay[[#This Row],[Simple-Forecast]]</f>
        <v>#DIV/0!</v>
      </c>
      <c r="AQ7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6" s="77"/>
      <c r="AS716" s="40" t="str">
        <f>IF(DaybyDay[[#This Row],[Retail Hours]]&gt;0,DaybyDay[[#This Row],[Retail Hours]]*$AS$2,"")</f>
        <v/>
      </c>
      <c r="AT716" s="40">
        <f>SUMIFS(DaybyDay[Est-Retail-Payroll],DaybyDay[Date],"&gt;="&amp;$C$5,DaybyDay[RowYear],"&gt;="&amp;$C$4,DaybyDay[Date],"&lt;="&amp;DaybyDay[[#This Row],[Date]])</f>
        <v>0</v>
      </c>
      <c r="AU716" s="82" t="str">
        <f>IF(AND(DaybyDay[[#This Row],[_Space]],ISNUMBER(DaybyDay[[#This Row],[Retail Hours]])),DaybyDay[[#This Row],[Est-Retail-Payroll]]/(DaybyDay[[#This Row],[Retail-Actuals]]),"")</f>
        <v/>
      </c>
      <c r="AV716" s="82" t="e">
        <f>DaybyDay[[#This Row],[Est-Retail-PayrollRU]]/DaybyDay[[#This Row],[Simple-Forecast-Retail]]</f>
        <v>#DIV/0!</v>
      </c>
      <c r="AW716" s="8"/>
    </row>
    <row r="717" spans="3:49" hidden="1" x14ac:dyDescent="0.25">
      <c r="C717" s="26" t="str">
        <f>Tools!$C$1</f>
        <v>Example</v>
      </c>
      <c r="D717" s="27" t="s">
        <v>79</v>
      </c>
      <c r="E717" s="28">
        <v>2018</v>
      </c>
      <c r="F717" s="28">
        <f>MATCH(DaybyDay[[#This Row],[RowMonth]],Table3[SummaryMonth],0)</f>
        <v>12</v>
      </c>
      <c r="G717" s="29">
        <f>MATCH(DaybyDay[[#This Row],[LY-Date]],DaybyDay[Date],0)</f>
        <v>347</v>
      </c>
      <c r="H717" s="30">
        <f>WEEKDAY(DaybyDay[[#This Row],[Date]])</f>
        <v>4</v>
      </c>
      <c r="I717" s="31">
        <v>43446</v>
      </c>
      <c r="J717" s="74">
        <v>27</v>
      </c>
      <c r="K717" s="32">
        <f>SUMIFS(BudgetSeasonality[365 Seasonality],BudgetSeasonality[MonthAdjustment],DaybyDay[[#This Row],[Date]])*SUMIFS(Budgets[Service-Budget],Budgets[BudgetMonth],DaybyDay[[#This Row],[RowMonth]],Budgets[BudgetYear],DaybyDay[[#This Row],[RowYear]])</f>
        <v>5691.8118993366343</v>
      </c>
      <c r="L717" s="75">
        <v>5126.7</v>
      </c>
      <c r="M717" s="32">
        <f>INDEX(BudgetSeasonality[365 Seasonality],MATCH(DaybyDay[[#This Row],[Date]],BudgetSeasonality[MonthAdjustment],0))*SUMIFS(Budgets[Retail-Budget],Budgets[BudgetMonth],DaybyDay[[#This Row],[RowMonth]],Budgets[BudgetYear],DaybyDay[[#This Row],[RowYear]])</f>
        <v>1594.0114686119118</v>
      </c>
      <c r="N717" s="75">
        <v>1599.5</v>
      </c>
      <c r="O717" s="33">
        <f>SUMIFS(DaybyDay[Service-Budgets],DaybyDay[Date],"&gt;="&amp;$C$5,DaybyDay[RowYear],"&gt;="&amp;$C$4,DaybyDay[Date],"&lt;="&amp;DaybyDay[[#This Row],[Date]])</f>
        <v>0</v>
      </c>
      <c r="P717" s="33">
        <f>SUMIFS(DaybyDay[Retail-Budgets],DaybyDay[Date],"&gt;="&amp;$C$5,DaybyDay[RowYear],"&gt;="&amp;$C$4,DaybyDay[Date],"&lt;="&amp;DaybyDay[[#This Row],[Date]])</f>
        <v>0</v>
      </c>
      <c r="Q717" s="34">
        <f>SUMIFS(DaybyDay[Service-Actuals],DaybyDay[Date],"&gt;="&amp;$C$5,DaybyDay[RowYear],"&gt;="&amp;$C$4,DaybyDay[Date],"&lt;="&amp;DaybyDay[[#This Row],[Date]])</f>
        <v>0</v>
      </c>
      <c r="R717" s="34">
        <f>SUMIFS(DaybyDay[Retail-Actuals],DaybyDay[Date],"&gt;="&amp;$C$5,DaybyDay[RowYear],"&gt;="&amp;$C$4,DaybyDay[Date],"&lt;="&amp;DaybyDay[[#This Row],[Date]])</f>
        <v>0</v>
      </c>
      <c r="S717" s="35">
        <f>SUMIFS(DaybyDay[Service-LY],DaybyDay[Date],"&gt;="&amp;$C$5,DaybyDay[RowYear],"&gt;="&amp;$C$4,DaybyDay[Date],"&lt;="&amp;DaybyDay[[#This Row],[Date]])</f>
        <v>0</v>
      </c>
      <c r="T717" s="35">
        <f>SUMIFS(DaybyDay[Retail-LY],DaybyDay[Date],"&gt;="&amp;$C$5,DaybyDay[RowYear],"&gt;="&amp;$C$4,DaybyDay[Date],"&lt;="&amp;DaybyDay[[#This Row],[Date]])</f>
        <v>0</v>
      </c>
      <c r="U717" s="32">
        <f>DaybyDay[[#This Row],[Serv-Bud-RU]]+DaybyDay[[#This Row],[Ret-Bud-RU]]</f>
        <v>0</v>
      </c>
      <c r="V717" s="32">
        <f>DaybyDay[[#This Row],[Serv-Act-RU]]+DaybyDay[[#This Row],[Ret-Act-RU]]</f>
        <v>0</v>
      </c>
      <c r="W717" s="36">
        <f>IF(DaybyDay[[#This Row],[_Space]],IFERROR(
((DaybyDay[[#This Row],[Actual-Rollup]]-DaybyDay[[#This Row],[Budget-Rollup]])/DaybyDay[[#This Row],[Budget-Rollup]]),0),"")</f>
        <v>0</v>
      </c>
      <c r="X717" t="b">
        <f>NOT(AND(ISBLANK(DaybyDay[[#This Row],[Appts]]),ISBLANK(DaybyDay[[#This Row],[Service-Actuals]]),ISBLANK(DaybyDay[[#This Row],[Retail-Actuals]])))</f>
        <v>1</v>
      </c>
      <c r="Y717" s="36">
        <f>IF(DaybyDay[[#This Row],[_Space]],IFERROR(
((DaybyDay[[#This Row],[Actual-Rollup]]-DaybyDay[[#This Row],[LY-Rollup]])/DaybyDay[[#This Row],[LY-Rollup]]),0),"")</f>
        <v>0</v>
      </c>
      <c r="Z717"/>
      <c r="AA717" s="37" t="e">
        <f>IF(DaybyDay[[#This Row],[_Space]],DaybyDay[[#This Row],[Ret-Act-RU]]/DaybyDay[[#This Row],[Serv-Act-RU]],"")</f>
        <v>#DIV/0!</v>
      </c>
      <c r="AB717" s="50" t="e">
        <f>IF(DaybyDay[[#This Row],[_Space]],DaybyDay[[#This Row],[RETPEN-Act]]/DaybyDay[[#This Row],[RETPEN-Bud]],"")</f>
        <v>#DIV/0!</v>
      </c>
      <c r="AC717" s="37" t="e">
        <f>IF(DaybyDay[[#This Row],[_Space]],DaybyDay[[#This Row],[Ret-Bud-RU]]/DaybyDay[[#This Row],[Serv-Bud-RU]],"")</f>
        <v>#DIV/0!</v>
      </c>
      <c r="AD717" s="37" t="e">
        <f>IF(DaybyDay[[#This Row],[_Space]],DaybyDay[[#This Row],[Ret-LY-RU]]/DaybyDay[[#This Row],[Serv-LY-RU]],"")</f>
        <v>#DIV/0!</v>
      </c>
      <c r="AE717" s="30">
        <f>WEEKDAY(DaybyDay[[#This Row],[LY-Date]])</f>
        <v>4</v>
      </c>
      <c r="AF717" s="38">
        <f>$E$2+_xlfn.DAYS(DaybyDay[[#This Row],[Date]],minDate)</f>
        <v>43082</v>
      </c>
      <c r="AG717" s="39" cm="1">
        <f t="array" ref="AG717">IFERROR(INDEX(DaybyDay[],DaybyDay[[#This Row],[FORM_MATCH_HELPER]],8),"")</f>
        <v>11</v>
      </c>
      <c r="AH717" s="39" cm="1">
        <f t="array" ref="AH717">IFERROR(INDEX(DaybyDay[],DaybyDay[[#This Row],[FORM_MATCH_HELPER]],10),"")</f>
        <v>2506</v>
      </c>
      <c r="AI717" s="39" cm="1">
        <f t="array" ref="AI717">IFERROR(INDEX(DaybyDay[],DaybyDay[[#This Row],[FORM_MATCH_HELPER]],12),"")</f>
        <v>1660</v>
      </c>
      <c r="AJ717" s="32">
        <f>IFERROR(DaybyDay[[#This Row],[Serv-LY-RU]]+DaybyDay[[#This Row],[Ret-LY-RU]],"")</f>
        <v>0</v>
      </c>
      <c r="AK7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7" s="77"/>
      <c r="AM717" s="40" t="str">
        <f>IF(DaybyDay[[#This Row],[Admin Hours]]&gt;0,DaybyDay[[#This Row],[Admin Hours]]*$AM$2+$AM$3,"")</f>
        <v/>
      </c>
      <c r="AN717" s="40">
        <f>SUMIFS(DaybyDay[Est-Admin-Payroll],DaybyDay[Date],"&gt;="&amp;$C$5,DaybyDay[RowYear],"&gt;="&amp;$C$4,DaybyDay[Date],"&lt;="&amp;DaybyDay[[#This Row],[Date]])</f>
        <v>0</v>
      </c>
      <c r="AO717" s="41" t="str">
        <f>IF(AND(DaybyDay[[#This Row],[_Space]],ISNUMBER(DaybyDay[[#This Row],[Admin Hours]])),DaybyDay[[#This Row],[Est-Admin-Payroll]]/(DaybyDay[[#This Row],[Service-Actuals]]+DaybyDay[[#This Row],[Retail-Actuals]]),"")</f>
        <v/>
      </c>
      <c r="AP717" s="41" t="e">
        <f>DaybyDay[[#This Row],[Estimated-Payroll-Rollup]]/DaybyDay[[#This Row],[Simple-Forecast]]</f>
        <v>#DIV/0!</v>
      </c>
      <c r="AQ7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7" s="77"/>
      <c r="AS717" s="40" t="str">
        <f>IF(DaybyDay[[#This Row],[Retail Hours]]&gt;0,DaybyDay[[#This Row],[Retail Hours]]*$AS$2,"")</f>
        <v/>
      </c>
      <c r="AT717" s="40">
        <f>SUMIFS(DaybyDay[Est-Retail-Payroll],DaybyDay[Date],"&gt;="&amp;$C$5,DaybyDay[RowYear],"&gt;="&amp;$C$4,DaybyDay[Date],"&lt;="&amp;DaybyDay[[#This Row],[Date]])</f>
        <v>0</v>
      </c>
      <c r="AU717" s="82" t="str">
        <f>IF(AND(DaybyDay[[#This Row],[_Space]],ISNUMBER(DaybyDay[[#This Row],[Retail Hours]])),DaybyDay[[#This Row],[Est-Retail-Payroll]]/(DaybyDay[[#This Row],[Retail-Actuals]]),"")</f>
        <v/>
      </c>
      <c r="AV717" s="82" t="e">
        <f>DaybyDay[[#This Row],[Est-Retail-PayrollRU]]/DaybyDay[[#This Row],[Simple-Forecast-Retail]]</f>
        <v>#DIV/0!</v>
      </c>
      <c r="AW717" s="8"/>
    </row>
    <row r="718" spans="3:49" hidden="1" x14ac:dyDescent="0.25">
      <c r="C718" s="26" t="str">
        <f>Tools!$C$1</f>
        <v>Example</v>
      </c>
      <c r="D718" s="27" t="s">
        <v>79</v>
      </c>
      <c r="E718" s="28">
        <v>2018</v>
      </c>
      <c r="F718" s="28">
        <f>MATCH(DaybyDay[[#This Row],[RowMonth]],Table3[SummaryMonth],0)</f>
        <v>12</v>
      </c>
      <c r="G718" s="29">
        <f>MATCH(DaybyDay[[#This Row],[LY-Date]],DaybyDay[Date],0)</f>
        <v>348</v>
      </c>
      <c r="H718" s="30">
        <f>WEEKDAY(DaybyDay[[#This Row],[Date]])</f>
        <v>5</v>
      </c>
      <c r="I718" s="31">
        <v>43447</v>
      </c>
      <c r="J718" s="74">
        <v>33</v>
      </c>
      <c r="K718" s="32">
        <f>SUMIFS(BudgetSeasonality[365 Seasonality],BudgetSeasonality[MonthAdjustment],DaybyDay[[#This Row],[Date]])*SUMIFS(Budgets[Service-Budget],Budgets[BudgetMonth],DaybyDay[[#This Row],[RowMonth]],Budgets[BudgetYear],DaybyDay[[#This Row],[RowYear]])</f>
        <v>5899.0091603076789</v>
      </c>
      <c r="L718" s="75">
        <v>4895.3999999999996</v>
      </c>
      <c r="M718" s="32">
        <f>INDEX(BudgetSeasonality[365 Seasonality],MATCH(DaybyDay[[#This Row],[Date]],BudgetSeasonality[MonthAdjustment],0))*SUMIFS(Budgets[Retail-Budget],Budgets[BudgetMonth],DaybyDay[[#This Row],[RowMonth]],Budgets[BudgetYear],DaybyDay[[#This Row],[RowYear]])</f>
        <v>1652.0377730811992</v>
      </c>
      <c r="N718" s="75">
        <v>2005</v>
      </c>
      <c r="O718" s="33">
        <f>SUMIFS(DaybyDay[Service-Budgets],DaybyDay[Date],"&gt;="&amp;$C$5,DaybyDay[RowYear],"&gt;="&amp;$C$4,DaybyDay[Date],"&lt;="&amp;DaybyDay[[#This Row],[Date]])</f>
        <v>0</v>
      </c>
      <c r="P718" s="33">
        <f>SUMIFS(DaybyDay[Retail-Budgets],DaybyDay[Date],"&gt;="&amp;$C$5,DaybyDay[RowYear],"&gt;="&amp;$C$4,DaybyDay[Date],"&lt;="&amp;DaybyDay[[#This Row],[Date]])</f>
        <v>0</v>
      </c>
      <c r="Q718" s="34">
        <f>SUMIFS(DaybyDay[Service-Actuals],DaybyDay[Date],"&gt;="&amp;$C$5,DaybyDay[RowYear],"&gt;="&amp;$C$4,DaybyDay[Date],"&lt;="&amp;DaybyDay[[#This Row],[Date]])</f>
        <v>0</v>
      </c>
      <c r="R718" s="34">
        <f>SUMIFS(DaybyDay[Retail-Actuals],DaybyDay[Date],"&gt;="&amp;$C$5,DaybyDay[RowYear],"&gt;="&amp;$C$4,DaybyDay[Date],"&lt;="&amp;DaybyDay[[#This Row],[Date]])</f>
        <v>0</v>
      </c>
      <c r="S718" s="35">
        <f>SUMIFS(DaybyDay[Service-LY],DaybyDay[Date],"&gt;="&amp;$C$5,DaybyDay[RowYear],"&gt;="&amp;$C$4,DaybyDay[Date],"&lt;="&amp;DaybyDay[[#This Row],[Date]])</f>
        <v>0</v>
      </c>
      <c r="T718" s="35">
        <f>SUMIFS(DaybyDay[Retail-LY],DaybyDay[Date],"&gt;="&amp;$C$5,DaybyDay[RowYear],"&gt;="&amp;$C$4,DaybyDay[Date],"&lt;="&amp;DaybyDay[[#This Row],[Date]])</f>
        <v>0</v>
      </c>
      <c r="U718" s="32">
        <f>DaybyDay[[#This Row],[Serv-Bud-RU]]+DaybyDay[[#This Row],[Ret-Bud-RU]]</f>
        <v>0</v>
      </c>
      <c r="V718" s="32">
        <f>DaybyDay[[#This Row],[Serv-Act-RU]]+DaybyDay[[#This Row],[Ret-Act-RU]]</f>
        <v>0</v>
      </c>
      <c r="W718" s="36">
        <f>IF(DaybyDay[[#This Row],[_Space]],IFERROR(
((DaybyDay[[#This Row],[Actual-Rollup]]-DaybyDay[[#This Row],[Budget-Rollup]])/DaybyDay[[#This Row],[Budget-Rollup]]),0),"")</f>
        <v>0</v>
      </c>
      <c r="X718" t="b">
        <f>NOT(AND(ISBLANK(DaybyDay[[#This Row],[Appts]]),ISBLANK(DaybyDay[[#This Row],[Service-Actuals]]),ISBLANK(DaybyDay[[#This Row],[Retail-Actuals]])))</f>
        <v>1</v>
      </c>
      <c r="Y718" s="36">
        <f>IF(DaybyDay[[#This Row],[_Space]],IFERROR(
((DaybyDay[[#This Row],[Actual-Rollup]]-DaybyDay[[#This Row],[LY-Rollup]])/DaybyDay[[#This Row],[LY-Rollup]]),0),"")</f>
        <v>0</v>
      </c>
      <c r="Z718"/>
      <c r="AA718" s="37" t="e">
        <f>IF(DaybyDay[[#This Row],[_Space]],DaybyDay[[#This Row],[Ret-Act-RU]]/DaybyDay[[#This Row],[Serv-Act-RU]],"")</f>
        <v>#DIV/0!</v>
      </c>
      <c r="AB718" s="50" t="e">
        <f>IF(DaybyDay[[#This Row],[_Space]],DaybyDay[[#This Row],[RETPEN-Act]]/DaybyDay[[#This Row],[RETPEN-Bud]],"")</f>
        <v>#DIV/0!</v>
      </c>
      <c r="AC718" s="37" t="e">
        <f>IF(DaybyDay[[#This Row],[_Space]],DaybyDay[[#This Row],[Ret-Bud-RU]]/DaybyDay[[#This Row],[Serv-Bud-RU]],"")</f>
        <v>#DIV/0!</v>
      </c>
      <c r="AD718" s="37" t="e">
        <f>IF(DaybyDay[[#This Row],[_Space]],DaybyDay[[#This Row],[Ret-LY-RU]]/DaybyDay[[#This Row],[Serv-LY-RU]],"")</f>
        <v>#DIV/0!</v>
      </c>
      <c r="AE718" s="30">
        <f>WEEKDAY(DaybyDay[[#This Row],[LY-Date]])</f>
        <v>5</v>
      </c>
      <c r="AF718" s="38">
        <f>$E$2+_xlfn.DAYS(DaybyDay[[#This Row],[Date]],minDate)</f>
        <v>43083</v>
      </c>
      <c r="AG718" s="39" cm="1">
        <f t="array" ref="AG718">IFERROR(INDEX(DaybyDay[],DaybyDay[[#This Row],[FORM_MATCH_HELPER]],8),"")</f>
        <v>15</v>
      </c>
      <c r="AH718" s="39" cm="1">
        <f t="array" ref="AH718">IFERROR(INDEX(DaybyDay[],DaybyDay[[#This Row],[FORM_MATCH_HELPER]],10),"")</f>
        <v>3925.99</v>
      </c>
      <c r="AI718" s="39" cm="1">
        <f t="array" ref="AI718">IFERROR(INDEX(DaybyDay[],DaybyDay[[#This Row],[FORM_MATCH_HELPER]],12),"")</f>
        <v>1090.1199999999999</v>
      </c>
      <c r="AJ718" s="32">
        <f>IFERROR(DaybyDay[[#This Row],[Serv-LY-RU]]+DaybyDay[[#This Row],[Ret-LY-RU]],"")</f>
        <v>0</v>
      </c>
      <c r="AK7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8" s="77"/>
      <c r="AM718" s="40" t="str">
        <f>IF(DaybyDay[[#This Row],[Admin Hours]]&gt;0,DaybyDay[[#This Row],[Admin Hours]]*$AM$2+$AM$3,"")</f>
        <v/>
      </c>
      <c r="AN718" s="40">
        <f>SUMIFS(DaybyDay[Est-Admin-Payroll],DaybyDay[Date],"&gt;="&amp;$C$5,DaybyDay[RowYear],"&gt;="&amp;$C$4,DaybyDay[Date],"&lt;="&amp;DaybyDay[[#This Row],[Date]])</f>
        <v>0</v>
      </c>
      <c r="AO718" s="41" t="str">
        <f>IF(AND(DaybyDay[[#This Row],[_Space]],ISNUMBER(DaybyDay[[#This Row],[Admin Hours]])),DaybyDay[[#This Row],[Est-Admin-Payroll]]/(DaybyDay[[#This Row],[Service-Actuals]]+DaybyDay[[#This Row],[Retail-Actuals]]),"")</f>
        <v/>
      </c>
      <c r="AP718" s="41" t="e">
        <f>DaybyDay[[#This Row],[Estimated-Payroll-Rollup]]/DaybyDay[[#This Row],[Simple-Forecast]]</f>
        <v>#DIV/0!</v>
      </c>
      <c r="AQ7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8" s="77"/>
      <c r="AS718" s="40" t="str">
        <f>IF(DaybyDay[[#This Row],[Retail Hours]]&gt;0,DaybyDay[[#This Row],[Retail Hours]]*$AS$2,"")</f>
        <v/>
      </c>
      <c r="AT718" s="40">
        <f>SUMIFS(DaybyDay[Est-Retail-Payroll],DaybyDay[Date],"&gt;="&amp;$C$5,DaybyDay[RowYear],"&gt;="&amp;$C$4,DaybyDay[Date],"&lt;="&amp;DaybyDay[[#This Row],[Date]])</f>
        <v>0</v>
      </c>
      <c r="AU718" s="82" t="str">
        <f>IF(AND(DaybyDay[[#This Row],[_Space]],ISNUMBER(DaybyDay[[#This Row],[Retail Hours]])),DaybyDay[[#This Row],[Est-Retail-Payroll]]/(DaybyDay[[#This Row],[Retail-Actuals]]),"")</f>
        <v/>
      </c>
      <c r="AV718" s="82" t="e">
        <f>DaybyDay[[#This Row],[Est-Retail-PayrollRU]]/DaybyDay[[#This Row],[Simple-Forecast-Retail]]</f>
        <v>#DIV/0!</v>
      </c>
      <c r="AW718" s="8"/>
    </row>
    <row r="719" spans="3:49" hidden="1" x14ac:dyDescent="0.25">
      <c r="C719" s="26" t="str">
        <f>Tools!$C$1</f>
        <v>Example</v>
      </c>
      <c r="D719" s="27" t="s">
        <v>79</v>
      </c>
      <c r="E719" s="28">
        <v>2018</v>
      </c>
      <c r="F719" s="28">
        <f>MATCH(DaybyDay[[#This Row],[RowMonth]],Table3[SummaryMonth],0)</f>
        <v>12</v>
      </c>
      <c r="G719" s="29">
        <f>MATCH(DaybyDay[[#This Row],[LY-Date]],DaybyDay[Date],0)</f>
        <v>349</v>
      </c>
      <c r="H719" s="30">
        <f>WEEKDAY(DaybyDay[[#This Row],[Date]])</f>
        <v>6</v>
      </c>
      <c r="I719" s="31">
        <v>43448</v>
      </c>
      <c r="J719" s="74">
        <v>36</v>
      </c>
      <c r="K719" s="32">
        <f>SUMIFS(BudgetSeasonality[365 Seasonality],BudgetSeasonality[MonthAdjustment],DaybyDay[[#This Row],[Date]])*SUMIFS(Budgets[Service-Budget],Budgets[BudgetMonth],DaybyDay[[#This Row],[RowMonth]],Budgets[BudgetYear],DaybyDay[[#This Row],[RowYear]])</f>
        <v>7183.3099270397497</v>
      </c>
      <c r="L719" s="75">
        <v>7182.25</v>
      </c>
      <c r="M719" s="32">
        <f>INDEX(BudgetSeasonality[365 Seasonality],MATCH(DaybyDay[[#This Row],[Date]],BudgetSeasonality[MonthAdjustment],0))*SUMIFS(Budgets[Retail-Budget],Budgets[BudgetMonth],DaybyDay[[#This Row],[RowMonth]],Budgets[BudgetYear],DaybyDay[[#This Row],[RowYear]])</f>
        <v>2011.7106132108227</v>
      </c>
      <c r="N719" s="75">
        <v>0</v>
      </c>
      <c r="O719" s="33">
        <f>SUMIFS(DaybyDay[Service-Budgets],DaybyDay[Date],"&gt;="&amp;$C$5,DaybyDay[RowYear],"&gt;="&amp;$C$4,DaybyDay[Date],"&lt;="&amp;DaybyDay[[#This Row],[Date]])</f>
        <v>0</v>
      </c>
      <c r="P719" s="33">
        <f>SUMIFS(DaybyDay[Retail-Budgets],DaybyDay[Date],"&gt;="&amp;$C$5,DaybyDay[RowYear],"&gt;="&amp;$C$4,DaybyDay[Date],"&lt;="&amp;DaybyDay[[#This Row],[Date]])</f>
        <v>0</v>
      </c>
      <c r="Q719" s="34">
        <f>SUMIFS(DaybyDay[Service-Actuals],DaybyDay[Date],"&gt;="&amp;$C$5,DaybyDay[RowYear],"&gt;="&amp;$C$4,DaybyDay[Date],"&lt;="&amp;DaybyDay[[#This Row],[Date]])</f>
        <v>0</v>
      </c>
      <c r="R719" s="34">
        <f>SUMIFS(DaybyDay[Retail-Actuals],DaybyDay[Date],"&gt;="&amp;$C$5,DaybyDay[RowYear],"&gt;="&amp;$C$4,DaybyDay[Date],"&lt;="&amp;DaybyDay[[#This Row],[Date]])</f>
        <v>0</v>
      </c>
      <c r="S719" s="35">
        <f>SUMIFS(DaybyDay[Service-LY],DaybyDay[Date],"&gt;="&amp;$C$5,DaybyDay[RowYear],"&gt;="&amp;$C$4,DaybyDay[Date],"&lt;="&amp;DaybyDay[[#This Row],[Date]])</f>
        <v>0</v>
      </c>
      <c r="T719" s="35">
        <f>SUMIFS(DaybyDay[Retail-LY],DaybyDay[Date],"&gt;="&amp;$C$5,DaybyDay[RowYear],"&gt;="&amp;$C$4,DaybyDay[Date],"&lt;="&amp;DaybyDay[[#This Row],[Date]])</f>
        <v>0</v>
      </c>
      <c r="U719" s="32">
        <f>DaybyDay[[#This Row],[Serv-Bud-RU]]+DaybyDay[[#This Row],[Ret-Bud-RU]]</f>
        <v>0</v>
      </c>
      <c r="V719" s="32">
        <f>DaybyDay[[#This Row],[Serv-Act-RU]]+DaybyDay[[#This Row],[Ret-Act-RU]]</f>
        <v>0</v>
      </c>
      <c r="W719" s="36">
        <f>IF(DaybyDay[[#This Row],[_Space]],IFERROR(
((DaybyDay[[#This Row],[Actual-Rollup]]-DaybyDay[[#This Row],[Budget-Rollup]])/DaybyDay[[#This Row],[Budget-Rollup]]),0),"")</f>
        <v>0</v>
      </c>
      <c r="X719" t="b">
        <f>NOT(AND(ISBLANK(DaybyDay[[#This Row],[Appts]]),ISBLANK(DaybyDay[[#This Row],[Service-Actuals]]),ISBLANK(DaybyDay[[#This Row],[Retail-Actuals]])))</f>
        <v>1</v>
      </c>
      <c r="Y719" s="36">
        <f>IF(DaybyDay[[#This Row],[_Space]],IFERROR(
((DaybyDay[[#This Row],[Actual-Rollup]]-DaybyDay[[#This Row],[LY-Rollup]])/DaybyDay[[#This Row],[LY-Rollup]]),0),"")</f>
        <v>0</v>
      </c>
      <c r="Z719"/>
      <c r="AA719" s="37" t="e">
        <f>IF(DaybyDay[[#This Row],[_Space]],DaybyDay[[#This Row],[Ret-Act-RU]]/DaybyDay[[#This Row],[Serv-Act-RU]],"")</f>
        <v>#DIV/0!</v>
      </c>
      <c r="AB719" s="50" t="e">
        <f>IF(DaybyDay[[#This Row],[_Space]],DaybyDay[[#This Row],[RETPEN-Act]]/DaybyDay[[#This Row],[RETPEN-Bud]],"")</f>
        <v>#DIV/0!</v>
      </c>
      <c r="AC719" s="37" t="e">
        <f>IF(DaybyDay[[#This Row],[_Space]],DaybyDay[[#This Row],[Ret-Bud-RU]]/DaybyDay[[#This Row],[Serv-Bud-RU]],"")</f>
        <v>#DIV/0!</v>
      </c>
      <c r="AD719" s="37" t="e">
        <f>IF(DaybyDay[[#This Row],[_Space]],DaybyDay[[#This Row],[Ret-LY-RU]]/DaybyDay[[#This Row],[Serv-LY-RU]],"")</f>
        <v>#DIV/0!</v>
      </c>
      <c r="AE719" s="30">
        <f>WEEKDAY(DaybyDay[[#This Row],[LY-Date]])</f>
        <v>6</v>
      </c>
      <c r="AF719" s="38">
        <f>$E$2+_xlfn.DAYS(DaybyDay[[#This Row],[Date]],minDate)</f>
        <v>43084</v>
      </c>
      <c r="AG719" s="39" cm="1">
        <f t="array" ref="AG719">IFERROR(INDEX(DaybyDay[],DaybyDay[[#This Row],[FORM_MATCH_HELPER]],8),"")</f>
        <v>13</v>
      </c>
      <c r="AH719" s="39" cm="1">
        <f t="array" ref="AH719">IFERROR(INDEX(DaybyDay[],DaybyDay[[#This Row],[FORM_MATCH_HELPER]],10),"")</f>
        <v>2201</v>
      </c>
      <c r="AI719" s="39" cm="1">
        <f t="array" ref="AI719">IFERROR(INDEX(DaybyDay[],DaybyDay[[#This Row],[FORM_MATCH_HELPER]],12),"")</f>
        <v>1314.97</v>
      </c>
      <c r="AJ719" s="32">
        <f>IFERROR(DaybyDay[[#This Row],[Serv-LY-RU]]+DaybyDay[[#This Row],[Ret-LY-RU]],"")</f>
        <v>0</v>
      </c>
      <c r="AK7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19" s="77"/>
      <c r="AM719" s="40" t="str">
        <f>IF(DaybyDay[[#This Row],[Admin Hours]]&gt;0,DaybyDay[[#This Row],[Admin Hours]]*$AM$2+$AM$3,"")</f>
        <v/>
      </c>
      <c r="AN719" s="40">
        <f>SUMIFS(DaybyDay[Est-Admin-Payroll],DaybyDay[Date],"&gt;="&amp;$C$5,DaybyDay[RowYear],"&gt;="&amp;$C$4,DaybyDay[Date],"&lt;="&amp;DaybyDay[[#This Row],[Date]])</f>
        <v>0</v>
      </c>
      <c r="AO719" s="41" t="str">
        <f>IF(AND(DaybyDay[[#This Row],[_Space]],ISNUMBER(DaybyDay[[#This Row],[Admin Hours]])),DaybyDay[[#This Row],[Est-Admin-Payroll]]/(DaybyDay[[#This Row],[Service-Actuals]]+DaybyDay[[#This Row],[Retail-Actuals]]),"")</f>
        <v/>
      </c>
      <c r="AP719" s="41" t="e">
        <f>DaybyDay[[#This Row],[Estimated-Payroll-Rollup]]/DaybyDay[[#This Row],[Simple-Forecast]]</f>
        <v>#DIV/0!</v>
      </c>
      <c r="AQ7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19" s="77"/>
      <c r="AS719" s="40" t="str">
        <f>IF(DaybyDay[[#This Row],[Retail Hours]]&gt;0,DaybyDay[[#This Row],[Retail Hours]]*$AS$2,"")</f>
        <v/>
      </c>
      <c r="AT719" s="40">
        <f>SUMIFS(DaybyDay[Est-Retail-Payroll],DaybyDay[Date],"&gt;="&amp;$C$5,DaybyDay[RowYear],"&gt;="&amp;$C$4,DaybyDay[Date],"&lt;="&amp;DaybyDay[[#This Row],[Date]])</f>
        <v>0</v>
      </c>
      <c r="AU719" s="82" t="str">
        <f>IF(AND(DaybyDay[[#This Row],[_Space]],ISNUMBER(DaybyDay[[#This Row],[Retail Hours]])),DaybyDay[[#This Row],[Est-Retail-Payroll]]/(DaybyDay[[#This Row],[Retail-Actuals]]),"")</f>
        <v/>
      </c>
      <c r="AV719" s="82" t="e">
        <f>DaybyDay[[#This Row],[Est-Retail-PayrollRU]]/DaybyDay[[#This Row],[Simple-Forecast-Retail]]</f>
        <v>#DIV/0!</v>
      </c>
      <c r="AW719" s="8"/>
    </row>
    <row r="720" spans="3:49" hidden="1" x14ac:dyDescent="0.25">
      <c r="C720" s="26" t="str">
        <f>Tools!$C$1</f>
        <v>Example</v>
      </c>
      <c r="D720" s="27" t="s">
        <v>79</v>
      </c>
      <c r="E720" s="28">
        <v>2018</v>
      </c>
      <c r="F720" s="28">
        <f>MATCH(DaybyDay[[#This Row],[RowMonth]],Table3[SummaryMonth],0)</f>
        <v>12</v>
      </c>
      <c r="G720" s="29">
        <f>MATCH(DaybyDay[[#This Row],[LY-Date]],DaybyDay[Date],0)</f>
        <v>350</v>
      </c>
      <c r="H720" s="30">
        <f>WEEKDAY(DaybyDay[[#This Row],[Date]])</f>
        <v>7</v>
      </c>
      <c r="I720" s="31">
        <v>43449</v>
      </c>
      <c r="J720" s="74">
        <v>41</v>
      </c>
      <c r="K720" s="32">
        <f>SUMIFS(BudgetSeasonality[365 Seasonality],BudgetSeasonality[MonthAdjustment],DaybyDay[[#This Row],[Date]])*SUMIFS(Budgets[Service-Budget],Budgets[BudgetMonth],DaybyDay[[#This Row],[RowMonth]],Budgets[BudgetYear],DaybyDay[[#This Row],[RowYear]])</f>
        <v>9821.5077014656927</v>
      </c>
      <c r="L720" s="75">
        <v>9409</v>
      </c>
      <c r="M720" s="32">
        <f>INDEX(BudgetSeasonality[365 Seasonality],MATCH(DaybyDay[[#This Row],[Date]],BudgetSeasonality[MonthAdjustment],0))*SUMIFS(Budgets[Retail-Budget],Budgets[BudgetMonth],DaybyDay[[#This Row],[RowMonth]],Budgets[BudgetYear],DaybyDay[[#This Row],[RowYear]])</f>
        <v>2750.5469597512788</v>
      </c>
      <c r="N720" s="75">
        <v>893</v>
      </c>
      <c r="O720" s="33">
        <f>SUMIFS(DaybyDay[Service-Budgets],DaybyDay[Date],"&gt;="&amp;$C$5,DaybyDay[RowYear],"&gt;="&amp;$C$4,DaybyDay[Date],"&lt;="&amp;DaybyDay[[#This Row],[Date]])</f>
        <v>0</v>
      </c>
      <c r="P720" s="33">
        <f>SUMIFS(DaybyDay[Retail-Budgets],DaybyDay[Date],"&gt;="&amp;$C$5,DaybyDay[RowYear],"&gt;="&amp;$C$4,DaybyDay[Date],"&lt;="&amp;DaybyDay[[#This Row],[Date]])</f>
        <v>0</v>
      </c>
      <c r="Q720" s="34">
        <f>SUMIFS(DaybyDay[Service-Actuals],DaybyDay[Date],"&gt;="&amp;$C$5,DaybyDay[RowYear],"&gt;="&amp;$C$4,DaybyDay[Date],"&lt;="&amp;DaybyDay[[#This Row],[Date]])</f>
        <v>0</v>
      </c>
      <c r="R720" s="34">
        <f>SUMIFS(DaybyDay[Retail-Actuals],DaybyDay[Date],"&gt;="&amp;$C$5,DaybyDay[RowYear],"&gt;="&amp;$C$4,DaybyDay[Date],"&lt;="&amp;DaybyDay[[#This Row],[Date]])</f>
        <v>0</v>
      </c>
      <c r="S720" s="35">
        <f>SUMIFS(DaybyDay[Service-LY],DaybyDay[Date],"&gt;="&amp;$C$5,DaybyDay[RowYear],"&gt;="&amp;$C$4,DaybyDay[Date],"&lt;="&amp;DaybyDay[[#This Row],[Date]])</f>
        <v>0</v>
      </c>
      <c r="T720" s="35">
        <f>SUMIFS(DaybyDay[Retail-LY],DaybyDay[Date],"&gt;="&amp;$C$5,DaybyDay[RowYear],"&gt;="&amp;$C$4,DaybyDay[Date],"&lt;="&amp;DaybyDay[[#This Row],[Date]])</f>
        <v>0</v>
      </c>
      <c r="U720" s="32">
        <f>DaybyDay[[#This Row],[Serv-Bud-RU]]+DaybyDay[[#This Row],[Ret-Bud-RU]]</f>
        <v>0</v>
      </c>
      <c r="V720" s="32">
        <f>DaybyDay[[#This Row],[Serv-Act-RU]]+DaybyDay[[#This Row],[Ret-Act-RU]]</f>
        <v>0</v>
      </c>
      <c r="W720" s="36">
        <f>IF(DaybyDay[[#This Row],[_Space]],IFERROR(
((DaybyDay[[#This Row],[Actual-Rollup]]-DaybyDay[[#This Row],[Budget-Rollup]])/DaybyDay[[#This Row],[Budget-Rollup]]),0),"")</f>
        <v>0</v>
      </c>
      <c r="X720" t="b">
        <f>NOT(AND(ISBLANK(DaybyDay[[#This Row],[Appts]]),ISBLANK(DaybyDay[[#This Row],[Service-Actuals]]),ISBLANK(DaybyDay[[#This Row],[Retail-Actuals]])))</f>
        <v>1</v>
      </c>
      <c r="Y720" s="36">
        <f>IF(DaybyDay[[#This Row],[_Space]],IFERROR(
((DaybyDay[[#This Row],[Actual-Rollup]]-DaybyDay[[#This Row],[LY-Rollup]])/DaybyDay[[#This Row],[LY-Rollup]]),0),"")</f>
        <v>0</v>
      </c>
      <c r="Z720"/>
      <c r="AA720" s="37" t="e">
        <f>IF(DaybyDay[[#This Row],[_Space]],DaybyDay[[#This Row],[Ret-Act-RU]]/DaybyDay[[#This Row],[Serv-Act-RU]],"")</f>
        <v>#DIV/0!</v>
      </c>
      <c r="AB720" s="50" t="e">
        <f>IF(DaybyDay[[#This Row],[_Space]],DaybyDay[[#This Row],[RETPEN-Act]]/DaybyDay[[#This Row],[RETPEN-Bud]],"")</f>
        <v>#DIV/0!</v>
      </c>
      <c r="AC720" s="37" t="e">
        <f>IF(DaybyDay[[#This Row],[_Space]],DaybyDay[[#This Row],[Ret-Bud-RU]]/DaybyDay[[#This Row],[Serv-Bud-RU]],"")</f>
        <v>#DIV/0!</v>
      </c>
      <c r="AD720" s="37" t="e">
        <f>IF(DaybyDay[[#This Row],[_Space]],DaybyDay[[#This Row],[Ret-LY-RU]]/DaybyDay[[#This Row],[Serv-LY-RU]],"")</f>
        <v>#DIV/0!</v>
      </c>
      <c r="AE720" s="30">
        <f>WEEKDAY(DaybyDay[[#This Row],[LY-Date]])</f>
        <v>7</v>
      </c>
      <c r="AF720" s="38">
        <f>$E$2+_xlfn.DAYS(DaybyDay[[#This Row],[Date]],minDate)</f>
        <v>43085</v>
      </c>
      <c r="AG720" s="39" cm="1">
        <f t="array" ref="AG720">IFERROR(INDEX(DaybyDay[],DaybyDay[[#This Row],[FORM_MATCH_HELPER]],8),"")</f>
        <v>22</v>
      </c>
      <c r="AH720" s="39" cm="1">
        <f t="array" ref="AH720">IFERROR(INDEX(DaybyDay[],DaybyDay[[#This Row],[FORM_MATCH_HELPER]],10),"")</f>
        <v>6188</v>
      </c>
      <c r="AI720" s="39" cm="1">
        <f t="array" ref="AI720">IFERROR(INDEX(DaybyDay[],DaybyDay[[#This Row],[FORM_MATCH_HELPER]],12),"")</f>
        <v>871.5</v>
      </c>
      <c r="AJ720" s="32">
        <f>IFERROR(DaybyDay[[#This Row],[Serv-LY-RU]]+DaybyDay[[#This Row],[Ret-LY-RU]],"")</f>
        <v>0</v>
      </c>
      <c r="AK7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0" s="77"/>
      <c r="AM720" s="40" t="str">
        <f>IF(DaybyDay[[#This Row],[Admin Hours]]&gt;0,DaybyDay[[#This Row],[Admin Hours]]*$AM$2+$AM$3,"")</f>
        <v/>
      </c>
      <c r="AN720" s="40">
        <f>SUMIFS(DaybyDay[Est-Admin-Payroll],DaybyDay[Date],"&gt;="&amp;$C$5,DaybyDay[RowYear],"&gt;="&amp;$C$4,DaybyDay[Date],"&lt;="&amp;DaybyDay[[#This Row],[Date]])</f>
        <v>0</v>
      </c>
      <c r="AO720" s="41" t="str">
        <f>IF(AND(DaybyDay[[#This Row],[_Space]],ISNUMBER(DaybyDay[[#This Row],[Admin Hours]])),DaybyDay[[#This Row],[Est-Admin-Payroll]]/(DaybyDay[[#This Row],[Service-Actuals]]+DaybyDay[[#This Row],[Retail-Actuals]]),"")</f>
        <v/>
      </c>
      <c r="AP720" s="41" t="e">
        <f>DaybyDay[[#This Row],[Estimated-Payroll-Rollup]]/DaybyDay[[#This Row],[Simple-Forecast]]</f>
        <v>#DIV/0!</v>
      </c>
      <c r="AQ7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0" s="77"/>
      <c r="AS720" s="40" t="str">
        <f>IF(DaybyDay[[#This Row],[Retail Hours]]&gt;0,DaybyDay[[#This Row],[Retail Hours]]*$AS$2,"")</f>
        <v/>
      </c>
      <c r="AT720" s="40">
        <f>SUMIFS(DaybyDay[Est-Retail-Payroll],DaybyDay[Date],"&gt;="&amp;$C$5,DaybyDay[RowYear],"&gt;="&amp;$C$4,DaybyDay[Date],"&lt;="&amp;DaybyDay[[#This Row],[Date]])</f>
        <v>0</v>
      </c>
      <c r="AU720" s="82" t="str">
        <f>IF(AND(DaybyDay[[#This Row],[_Space]],ISNUMBER(DaybyDay[[#This Row],[Retail Hours]])),DaybyDay[[#This Row],[Est-Retail-Payroll]]/(DaybyDay[[#This Row],[Retail-Actuals]]),"")</f>
        <v/>
      </c>
      <c r="AV720" s="82" t="e">
        <f>DaybyDay[[#This Row],[Est-Retail-PayrollRU]]/DaybyDay[[#This Row],[Simple-Forecast-Retail]]</f>
        <v>#DIV/0!</v>
      </c>
      <c r="AW720" s="8"/>
    </row>
    <row r="721" spans="3:49" hidden="1" x14ac:dyDescent="0.25">
      <c r="C721" s="26" t="str">
        <f>Tools!$C$1</f>
        <v>Example</v>
      </c>
      <c r="D721" s="27" t="s">
        <v>79</v>
      </c>
      <c r="E721" s="28">
        <v>2018</v>
      </c>
      <c r="F721" s="28">
        <f>MATCH(DaybyDay[[#This Row],[RowMonth]],Table3[SummaryMonth],0)</f>
        <v>12</v>
      </c>
      <c r="G721" s="29">
        <f>MATCH(DaybyDay[[#This Row],[LY-Date]],DaybyDay[Date],0)</f>
        <v>351</v>
      </c>
      <c r="H721" s="30">
        <f>WEEKDAY(DaybyDay[[#This Row],[Date]])</f>
        <v>1</v>
      </c>
      <c r="I721" s="31">
        <v>43450</v>
      </c>
      <c r="J721" s="74">
        <v>37</v>
      </c>
      <c r="K721" s="32">
        <f>SUMIFS(BudgetSeasonality[365 Seasonality],BudgetSeasonality[MonthAdjustment],DaybyDay[[#This Row],[Date]])*SUMIFS(Budgets[Service-Budget],Budgets[BudgetMonth],DaybyDay[[#This Row],[RowMonth]],Budgets[BudgetYear],DaybyDay[[#This Row],[RowYear]])</f>
        <v>7978.2579225014542</v>
      </c>
      <c r="L721" s="75">
        <v>8005.6</v>
      </c>
      <c r="M721" s="32">
        <f>INDEX(BudgetSeasonality[365 Seasonality],MATCH(DaybyDay[[#This Row],[Date]],BudgetSeasonality[MonthAdjustment],0))*SUMIFS(Budgets[Retail-Budget],Budgets[BudgetMonth],DaybyDay[[#This Row],[RowMonth]],Budgets[BudgetYear],DaybyDay[[#This Row],[RowYear]])</f>
        <v>2234.3385292640023</v>
      </c>
      <c r="N721" s="75">
        <v>1684</v>
      </c>
      <c r="O721" s="33">
        <f>SUMIFS(DaybyDay[Service-Budgets],DaybyDay[Date],"&gt;="&amp;$C$5,DaybyDay[RowYear],"&gt;="&amp;$C$4,DaybyDay[Date],"&lt;="&amp;DaybyDay[[#This Row],[Date]])</f>
        <v>0</v>
      </c>
      <c r="P721" s="33">
        <f>SUMIFS(DaybyDay[Retail-Budgets],DaybyDay[Date],"&gt;="&amp;$C$5,DaybyDay[RowYear],"&gt;="&amp;$C$4,DaybyDay[Date],"&lt;="&amp;DaybyDay[[#This Row],[Date]])</f>
        <v>0</v>
      </c>
      <c r="Q721" s="34">
        <f>SUMIFS(DaybyDay[Service-Actuals],DaybyDay[Date],"&gt;="&amp;$C$5,DaybyDay[RowYear],"&gt;="&amp;$C$4,DaybyDay[Date],"&lt;="&amp;DaybyDay[[#This Row],[Date]])</f>
        <v>0</v>
      </c>
      <c r="R721" s="34">
        <f>SUMIFS(DaybyDay[Retail-Actuals],DaybyDay[Date],"&gt;="&amp;$C$5,DaybyDay[RowYear],"&gt;="&amp;$C$4,DaybyDay[Date],"&lt;="&amp;DaybyDay[[#This Row],[Date]])</f>
        <v>0</v>
      </c>
      <c r="S721" s="35">
        <f>SUMIFS(DaybyDay[Service-LY],DaybyDay[Date],"&gt;="&amp;$C$5,DaybyDay[RowYear],"&gt;="&amp;$C$4,DaybyDay[Date],"&lt;="&amp;DaybyDay[[#This Row],[Date]])</f>
        <v>0</v>
      </c>
      <c r="T721" s="35">
        <f>SUMIFS(DaybyDay[Retail-LY],DaybyDay[Date],"&gt;="&amp;$C$5,DaybyDay[RowYear],"&gt;="&amp;$C$4,DaybyDay[Date],"&lt;="&amp;DaybyDay[[#This Row],[Date]])</f>
        <v>0</v>
      </c>
      <c r="U721" s="32">
        <f>DaybyDay[[#This Row],[Serv-Bud-RU]]+DaybyDay[[#This Row],[Ret-Bud-RU]]</f>
        <v>0</v>
      </c>
      <c r="V721" s="32">
        <f>DaybyDay[[#This Row],[Serv-Act-RU]]+DaybyDay[[#This Row],[Ret-Act-RU]]</f>
        <v>0</v>
      </c>
      <c r="W721" s="36">
        <f>IF(DaybyDay[[#This Row],[_Space]],IFERROR(
((DaybyDay[[#This Row],[Actual-Rollup]]-DaybyDay[[#This Row],[Budget-Rollup]])/DaybyDay[[#This Row],[Budget-Rollup]]),0),"")</f>
        <v>0</v>
      </c>
      <c r="X721" t="b">
        <f>NOT(AND(ISBLANK(DaybyDay[[#This Row],[Appts]]),ISBLANK(DaybyDay[[#This Row],[Service-Actuals]]),ISBLANK(DaybyDay[[#This Row],[Retail-Actuals]])))</f>
        <v>1</v>
      </c>
      <c r="Y721" s="36">
        <f>IF(DaybyDay[[#This Row],[_Space]],IFERROR(
((DaybyDay[[#This Row],[Actual-Rollup]]-DaybyDay[[#This Row],[LY-Rollup]])/DaybyDay[[#This Row],[LY-Rollup]]),0),"")</f>
        <v>0</v>
      </c>
      <c r="Z721"/>
      <c r="AA721" s="37" t="e">
        <f>IF(DaybyDay[[#This Row],[_Space]],DaybyDay[[#This Row],[Ret-Act-RU]]/DaybyDay[[#This Row],[Serv-Act-RU]],"")</f>
        <v>#DIV/0!</v>
      </c>
      <c r="AB721" s="50" t="e">
        <f>IF(DaybyDay[[#This Row],[_Space]],DaybyDay[[#This Row],[RETPEN-Act]]/DaybyDay[[#This Row],[RETPEN-Bud]],"")</f>
        <v>#DIV/0!</v>
      </c>
      <c r="AC721" s="37" t="e">
        <f>IF(DaybyDay[[#This Row],[_Space]],DaybyDay[[#This Row],[Ret-Bud-RU]]/DaybyDay[[#This Row],[Serv-Bud-RU]],"")</f>
        <v>#DIV/0!</v>
      </c>
      <c r="AD721" s="37" t="e">
        <f>IF(DaybyDay[[#This Row],[_Space]],DaybyDay[[#This Row],[Ret-LY-RU]]/DaybyDay[[#This Row],[Serv-LY-RU]],"")</f>
        <v>#DIV/0!</v>
      </c>
      <c r="AE721" s="30">
        <f>WEEKDAY(DaybyDay[[#This Row],[LY-Date]])</f>
        <v>1</v>
      </c>
      <c r="AF721" s="38">
        <f>$E$2+_xlfn.DAYS(DaybyDay[[#This Row],[Date]],minDate)</f>
        <v>43086</v>
      </c>
      <c r="AG721" s="39" cm="1">
        <f t="array" ref="AG721">IFERROR(INDEX(DaybyDay[],DaybyDay[[#This Row],[FORM_MATCH_HELPER]],8),"")</f>
        <v>16</v>
      </c>
      <c r="AH721" s="39" cm="1">
        <f t="array" ref="AH721">IFERROR(INDEX(DaybyDay[],DaybyDay[[#This Row],[FORM_MATCH_HELPER]],10),"")</f>
        <v>4071.2</v>
      </c>
      <c r="AI721" s="39" cm="1">
        <f t="array" ref="AI721">IFERROR(INDEX(DaybyDay[],DaybyDay[[#This Row],[FORM_MATCH_HELPER]],12),"")</f>
        <v>169</v>
      </c>
      <c r="AJ721" s="32">
        <f>IFERROR(DaybyDay[[#This Row],[Serv-LY-RU]]+DaybyDay[[#This Row],[Ret-LY-RU]],"")</f>
        <v>0</v>
      </c>
      <c r="AK7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1" s="77"/>
      <c r="AM721" s="40" t="str">
        <f>IF(DaybyDay[[#This Row],[Admin Hours]]&gt;0,DaybyDay[[#This Row],[Admin Hours]]*$AM$2+$AM$3,"")</f>
        <v/>
      </c>
      <c r="AN721" s="40">
        <f>SUMIFS(DaybyDay[Est-Admin-Payroll],DaybyDay[Date],"&gt;="&amp;$C$5,DaybyDay[RowYear],"&gt;="&amp;$C$4,DaybyDay[Date],"&lt;="&amp;DaybyDay[[#This Row],[Date]])</f>
        <v>0</v>
      </c>
      <c r="AO721" s="41" t="str">
        <f>IF(AND(DaybyDay[[#This Row],[_Space]],ISNUMBER(DaybyDay[[#This Row],[Admin Hours]])),DaybyDay[[#This Row],[Est-Admin-Payroll]]/(DaybyDay[[#This Row],[Service-Actuals]]+DaybyDay[[#This Row],[Retail-Actuals]]),"")</f>
        <v/>
      </c>
      <c r="AP721" s="41" t="e">
        <f>DaybyDay[[#This Row],[Estimated-Payroll-Rollup]]/DaybyDay[[#This Row],[Simple-Forecast]]</f>
        <v>#DIV/0!</v>
      </c>
      <c r="AQ7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1" s="77"/>
      <c r="AS721" s="40" t="str">
        <f>IF(DaybyDay[[#This Row],[Retail Hours]]&gt;0,DaybyDay[[#This Row],[Retail Hours]]*$AS$2,"")</f>
        <v/>
      </c>
      <c r="AT721" s="40">
        <f>SUMIFS(DaybyDay[Est-Retail-Payroll],DaybyDay[Date],"&gt;="&amp;$C$5,DaybyDay[RowYear],"&gt;="&amp;$C$4,DaybyDay[Date],"&lt;="&amp;DaybyDay[[#This Row],[Date]])</f>
        <v>0</v>
      </c>
      <c r="AU721" s="82" t="str">
        <f>IF(AND(DaybyDay[[#This Row],[_Space]],ISNUMBER(DaybyDay[[#This Row],[Retail Hours]])),DaybyDay[[#This Row],[Est-Retail-Payroll]]/(DaybyDay[[#This Row],[Retail-Actuals]]),"")</f>
        <v/>
      </c>
      <c r="AV721" s="82" t="e">
        <f>DaybyDay[[#This Row],[Est-Retail-PayrollRU]]/DaybyDay[[#This Row],[Simple-Forecast-Retail]]</f>
        <v>#DIV/0!</v>
      </c>
      <c r="AW721" s="8"/>
    </row>
    <row r="722" spans="3:49" hidden="1" x14ac:dyDescent="0.25">
      <c r="C722" s="26" t="str">
        <f>Tools!$C$1</f>
        <v>Example</v>
      </c>
      <c r="D722" s="27" t="s">
        <v>79</v>
      </c>
      <c r="E722" s="28">
        <v>2018</v>
      </c>
      <c r="F722" s="28">
        <f>MATCH(DaybyDay[[#This Row],[RowMonth]],Table3[SummaryMonth],0)</f>
        <v>12</v>
      </c>
      <c r="G722" s="29">
        <f>MATCH(DaybyDay[[#This Row],[LY-Date]],DaybyDay[Date],0)</f>
        <v>352</v>
      </c>
      <c r="H722" s="30">
        <f>WEEKDAY(DaybyDay[[#This Row],[Date]])</f>
        <v>2</v>
      </c>
      <c r="I722" s="31">
        <v>43451</v>
      </c>
      <c r="J722" s="74">
        <v>25</v>
      </c>
      <c r="K722" s="32">
        <f>SUMIFS(BudgetSeasonality[365 Seasonality],BudgetSeasonality[MonthAdjustment],DaybyDay[[#This Row],[Date]])*SUMIFS(Budgets[Service-Budget],Budgets[BudgetMonth],DaybyDay[[#This Row],[RowMonth]],Budgets[BudgetYear],DaybyDay[[#This Row],[RowYear]])</f>
        <v>5256.248303170184</v>
      </c>
      <c r="L722" s="75">
        <v>5221.3999999999996</v>
      </c>
      <c r="M722" s="32">
        <f>INDEX(BudgetSeasonality[365 Seasonality],MATCH(DaybyDay[[#This Row],[Date]],BudgetSeasonality[MonthAdjustment],0))*SUMIFS(Budgets[Retail-Budget],Budgets[BudgetMonth],DaybyDay[[#This Row],[RowMonth]],Budgets[BudgetYear],DaybyDay[[#This Row],[RowYear]])</f>
        <v>1472.0303877402675</v>
      </c>
      <c r="N722" s="75">
        <v>1364.5</v>
      </c>
      <c r="O722" s="33">
        <f>SUMIFS(DaybyDay[Service-Budgets],DaybyDay[Date],"&gt;="&amp;$C$5,DaybyDay[RowYear],"&gt;="&amp;$C$4,DaybyDay[Date],"&lt;="&amp;DaybyDay[[#This Row],[Date]])</f>
        <v>0</v>
      </c>
      <c r="P722" s="33">
        <f>SUMIFS(DaybyDay[Retail-Budgets],DaybyDay[Date],"&gt;="&amp;$C$5,DaybyDay[RowYear],"&gt;="&amp;$C$4,DaybyDay[Date],"&lt;="&amp;DaybyDay[[#This Row],[Date]])</f>
        <v>0</v>
      </c>
      <c r="Q722" s="34">
        <f>SUMIFS(DaybyDay[Service-Actuals],DaybyDay[Date],"&gt;="&amp;$C$5,DaybyDay[RowYear],"&gt;="&amp;$C$4,DaybyDay[Date],"&lt;="&amp;DaybyDay[[#This Row],[Date]])</f>
        <v>0</v>
      </c>
      <c r="R722" s="34">
        <f>SUMIFS(DaybyDay[Retail-Actuals],DaybyDay[Date],"&gt;="&amp;$C$5,DaybyDay[RowYear],"&gt;="&amp;$C$4,DaybyDay[Date],"&lt;="&amp;DaybyDay[[#This Row],[Date]])</f>
        <v>0</v>
      </c>
      <c r="S722" s="35">
        <f>SUMIFS(DaybyDay[Service-LY],DaybyDay[Date],"&gt;="&amp;$C$5,DaybyDay[RowYear],"&gt;="&amp;$C$4,DaybyDay[Date],"&lt;="&amp;DaybyDay[[#This Row],[Date]])</f>
        <v>0</v>
      </c>
      <c r="T722" s="35">
        <f>SUMIFS(DaybyDay[Retail-LY],DaybyDay[Date],"&gt;="&amp;$C$5,DaybyDay[RowYear],"&gt;="&amp;$C$4,DaybyDay[Date],"&lt;="&amp;DaybyDay[[#This Row],[Date]])</f>
        <v>0</v>
      </c>
      <c r="U722" s="32">
        <f>DaybyDay[[#This Row],[Serv-Bud-RU]]+DaybyDay[[#This Row],[Ret-Bud-RU]]</f>
        <v>0</v>
      </c>
      <c r="V722" s="32">
        <f>DaybyDay[[#This Row],[Serv-Act-RU]]+DaybyDay[[#This Row],[Ret-Act-RU]]</f>
        <v>0</v>
      </c>
      <c r="W722" s="36">
        <f>IF(DaybyDay[[#This Row],[_Space]],IFERROR(
((DaybyDay[[#This Row],[Actual-Rollup]]-DaybyDay[[#This Row],[Budget-Rollup]])/DaybyDay[[#This Row],[Budget-Rollup]]),0),"")</f>
        <v>0</v>
      </c>
      <c r="X722" t="b">
        <f>NOT(AND(ISBLANK(DaybyDay[[#This Row],[Appts]]),ISBLANK(DaybyDay[[#This Row],[Service-Actuals]]),ISBLANK(DaybyDay[[#This Row],[Retail-Actuals]])))</f>
        <v>1</v>
      </c>
      <c r="Y722" s="36">
        <f>IF(DaybyDay[[#This Row],[_Space]],IFERROR(
((DaybyDay[[#This Row],[Actual-Rollup]]-DaybyDay[[#This Row],[LY-Rollup]])/DaybyDay[[#This Row],[LY-Rollup]]),0),"")</f>
        <v>0</v>
      </c>
      <c r="Z722"/>
      <c r="AA722" s="37" t="e">
        <f>IF(DaybyDay[[#This Row],[_Space]],DaybyDay[[#This Row],[Ret-Act-RU]]/DaybyDay[[#This Row],[Serv-Act-RU]],"")</f>
        <v>#DIV/0!</v>
      </c>
      <c r="AB722" s="50" t="e">
        <f>IF(DaybyDay[[#This Row],[_Space]],DaybyDay[[#This Row],[RETPEN-Act]]/DaybyDay[[#This Row],[RETPEN-Bud]],"")</f>
        <v>#DIV/0!</v>
      </c>
      <c r="AC722" s="37" t="e">
        <f>IF(DaybyDay[[#This Row],[_Space]],DaybyDay[[#This Row],[Ret-Bud-RU]]/DaybyDay[[#This Row],[Serv-Bud-RU]],"")</f>
        <v>#DIV/0!</v>
      </c>
      <c r="AD722" s="37" t="e">
        <f>IF(DaybyDay[[#This Row],[_Space]],DaybyDay[[#This Row],[Ret-LY-RU]]/DaybyDay[[#This Row],[Serv-LY-RU]],"")</f>
        <v>#DIV/0!</v>
      </c>
      <c r="AE722" s="30">
        <f>WEEKDAY(DaybyDay[[#This Row],[LY-Date]])</f>
        <v>2</v>
      </c>
      <c r="AF722" s="38">
        <f>$E$2+_xlfn.DAYS(DaybyDay[[#This Row],[Date]],minDate)</f>
        <v>43087</v>
      </c>
      <c r="AG722" s="39" cm="1">
        <f t="array" ref="AG722">IFERROR(INDEX(DaybyDay[],DaybyDay[[#This Row],[FORM_MATCH_HELPER]],8),"")</f>
        <v>23</v>
      </c>
      <c r="AH722" s="39" cm="1">
        <f t="array" ref="AH722">IFERROR(INDEX(DaybyDay[],DaybyDay[[#This Row],[FORM_MATCH_HELPER]],10),"")</f>
        <v>4913.7</v>
      </c>
      <c r="AI722" s="39" cm="1">
        <f t="array" ref="AI722">IFERROR(INDEX(DaybyDay[],DaybyDay[[#This Row],[FORM_MATCH_HELPER]],12),"")</f>
        <v>1540</v>
      </c>
      <c r="AJ722" s="32">
        <f>IFERROR(DaybyDay[[#This Row],[Serv-LY-RU]]+DaybyDay[[#This Row],[Ret-LY-RU]],"")</f>
        <v>0</v>
      </c>
      <c r="AK7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2" s="77"/>
      <c r="AM722" s="40" t="str">
        <f>IF(DaybyDay[[#This Row],[Admin Hours]]&gt;0,DaybyDay[[#This Row],[Admin Hours]]*$AM$2+$AM$3,"")</f>
        <v/>
      </c>
      <c r="AN722" s="40">
        <f>SUMIFS(DaybyDay[Est-Admin-Payroll],DaybyDay[Date],"&gt;="&amp;$C$5,DaybyDay[RowYear],"&gt;="&amp;$C$4,DaybyDay[Date],"&lt;="&amp;DaybyDay[[#This Row],[Date]])</f>
        <v>0</v>
      </c>
      <c r="AO722" s="41" t="str">
        <f>IF(AND(DaybyDay[[#This Row],[_Space]],ISNUMBER(DaybyDay[[#This Row],[Admin Hours]])),DaybyDay[[#This Row],[Est-Admin-Payroll]]/(DaybyDay[[#This Row],[Service-Actuals]]+DaybyDay[[#This Row],[Retail-Actuals]]),"")</f>
        <v/>
      </c>
      <c r="AP722" s="41" t="e">
        <f>DaybyDay[[#This Row],[Estimated-Payroll-Rollup]]/DaybyDay[[#This Row],[Simple-Forecast]]</f>
        <v>#DIV/0!</v>
      </c>
      <c r="AQ7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2" s="77"/>
      <c r="AS722" s="40" t="str">
        <f>IF(DaybyDay[[#This Row],[Retail Hours]]&gt;0,DaybyDay[[#This Row],[Retail Hours]]*$AS$2,"")</f>
        <v/>
      </c>
      <c r="AT722" s="40">
        <f>SUMIFS(DaybyDay[Est-Retail-Payroll],DaybyDay[Date],"&gt;="&amp;$C$5,DaybyDay[RowYear],"&gt;="&amp;$C$4,DaybyDay[Date],"&lt;="&amp;DaybyDay[[#This Row],[Date]])</f>
        <v>0</v>
      </c>
      <c r="AU722" s="82" t="str">
        <f>IF(AND(DaybyDay[[#This Row],[_Space]],ISNUMBER(DaybyDay[[#This Row],[Retail Hours]])),DaybyDay[[#This Row],[Est-Retail-Payroll]]/(DaybyDay[[#This Row],[Retail-Actuals]]),"")</f>
        <v/>
      </c>
      <c r="AV722" s="82" t="e">
        <f>DaybyDay[[#This Row],[Est-Retail-PayrollRU]]/DaybyDay[[#This Row],[Simple-Forecast-Retail]]</f>
        <v>#DIV/0!</v>
      </c>
      <c r="AW722" s="8"/>
    </row>
    <row r="723" spans="3:49" hidden="1" x14ac:dyDescent="0.25">
      <c r="C723" s="26" t="str">
        <f>Tools!$C$1</f>
        <v>Example</v>
      </c>
      <c r="D723" s="27" t="s">
        <v>79</v>
      </c>
      <c r="E723" s="28">
        <v>2018</v>
      </c>
      <c r="F723" s="28">
        <f>MATCH(DaybyDay[[#This Row],[RowMonth]],Table3[SummaryMonth],0)</f>
        <v>12</v>
      </c>
      <c r="G723" s="29">
        <f>MATCH(DaybyDay[[#This Row],[LY-Date]],DaybyDay[Date],0)</f>
        <v>353</v>
      </c>
      <c r="H723" s="30">
        <f>WEEKDAY(DaybyDay[[#This Row],[Date]])</f>
        <v>3</v>
      </c>
      <c r="I723" s="31">
        <v>43452</v>
      </c>
      <c r="J723" s="74">
        <v>29</v>
      </c>
      <c r="K723" s="32">
        <f>SUMIFS(BudgetSeasonality[365 Seasonality],BudgetSeasonality[MonthAdjustment],DaybyDay[[#This Row],[Date]])*SUMIFS(Budgets[Service-Budget],Budgets[BudgetMonth],DaybyDay[[#This Row],[RowMonth]],Budgets[BudgetYear],DaybyDay[[#This Row],[RowYear]])</f>
        <v>5450.9426660932932</v>
      </c>
      <c r="L723" s="75">
        <v>6032.2</v>
      </c>
      <c r="M723" s="32">
        <f>INDEX(BudgetSeasonality[365 Seasonality],MATCH(DaybyDay[[#This Row],[Date]],BudgetSeasonality[MonthAdjustment],0))*SUMIFS(Budgets[Retail-Budget],Budgets[BudgetMonth],DaybyDay[[#This Row],[RowMonth]],Budgets[BudgetYear],DaybyDay[[#This Row],[RowYear]])</f>
        <v>1526.555212675135</v>
      </c>
      <c r="N723" s="75">
        <v>3340.5</v>
      </c>
      <c r="O723" s="33">
        <f>SUMIFS(DaybyDay[Service-Budgets],DaybyDay[Date],"&gt;="&amp;$C$5,DaybyDay[RowYear],"&gt;="&amp;$C$4,DaybyDay[Date],"&lt;="&amp;DaybyDay[[#This Row],[Date]])</f>
        <v>0</v>
      </c>
      <c r="P723" s="33">
        <f>SUMIFS(DaybyDay[Retail-Budgets],DaybyDay[Date],"&gt;="&amp;$C$5,DaybyDay[RowYear],"&gt;="&amp;$C$4,DaybyDay[Date],"&lt;="&amp;DaybyDay[[#This Row],[Date]])</f>
        <v>0</v>
      </c>
      <c r="Q723" s="34">
        <f>SUMIFS(DaybyDay[Service-Actuals],DaybyDay[Date],"&gt;="&amp;$C$5,DaybyDay[RowYear],"&gt;="&amp;$C$4,DaybyDay[Date],"&lt;="&amp;DaybyDay[[#This Row],[Date]])</f>
        <v>0</v>
      </c>
      <c r="R723" s="34">
        <f>SUMIFS(DaybyDay[Retail-Actuals],DaybyDay[Date],"&gt;="&amp;$C$5,DaybyDay[RowYear],"&gt;="&amp;$C$4,DaybyDay[Date],"&lt;="&amp;DaybyDay[[#This Row],[Date]])</f>
        <v>0</v>
      </c>
      <c r="S723" s="35">
        <f>SUMIFS(DaybyDay[Service-LY],DaybyDay[Date],"&gt;="&amp;$C$5,DaybyDay[RowYear],"&gt;="&amp;$C$4,DaybyDay[Date],"&lt;="&amp;DaybyDay[[#This Row],[Date]])</f>
        <v>0</v>
      </c>
      <c r="T723" s="35">
        <f>SUMIFS(DaybyDay[Retail-LY],DaybyDay[Date],"&gt;="&amp;$C$5,DaybyDay[RowYear],"&gt;="&amp;$C$4,DaybyDay[Date],"&lt;="&amp;DaybyDay[[#This Row],[Date]])</f>
        <v>0</v>
      </c>
      <c r="U723" s="32">
        <f>DaybyDay[[#This Row],[Serv-Bud-RU]]+DaybyDay[[#This Row],[Ret-Bud-RU]]</f>
        <v>0</v>
      </c>
      <c r="V723" s="32">
        <f>DaybyDay[[#This Row],[Serv-Act-RU]]+DaybyDay[[#This Row],[Ret-Act-RU]]</f>
        <v>0</v>
      </c>
      <c r="W723" s="36">
        <f>IF(DaybyDay[[#This Row],[_Space]],IFERROR(
((DaybyDay[[#This Row],[Actual-Rollup]]-DaybyDay[[#This Row],[Budget-Rollup]])/DaybyDay[[#This Row],[Budget-Rollup]]),0),"")</f>
        <v>0</v>
      </c>
      <c r="X723" t="b">
        <f>NOT(AND(ISBLANK(DaybyDay[[#This Row],[Appts]]),ISBLANK(DaybyDay[[#This Row],[Service-Actuals]]),ISBLANK(DaybyDay[[#This Row],[Retail-Actuals]])))</f>
        <v>1</v>
      </c>
      <c r="Y723" s="36">
        <f>IF(DaybyDay[[#This Row],[_Space]],IFERROR(
((DaybyDay[[#This Row],[Actual-Rollup]]-DaybyDay[[#This Row],[LY-Rollup]])/DaybyDay[[#This Row],[LY-Rollup]]),0),"")</f>
        <v>0</v>
      </c>
      <c r="Z723"/>
      <c r="AA723" s="37" t="e">
        <f>IF(DaybyDay[[#This Row],[_Space]],DaybyDay[[#This Row],[Ret-Act-RU]]/DaybyDay[[#This Row],[Serv-Act-RU]],"")</f>
        <v>#DIV/0!</v>
      </c>
      <c r="AB723" s="50" t="e">
        <f>IF(DaybyDay[[#This Row],[_Space]],DaybyDay[[#This Row],[RETPEN-Act]]/DaybyDay[[#This Row],[RETPEN-Bud]],"")</f>
        <v>#DIV/0!</v>
      </c>
      <c r="AC723" s="37" t="e">
        <f>IF(DaybyDay[[#This Row],[_Space]],DaybyDay[[#This Row],[Ret-Bud-RU]]/DaybyDay[[#This Row],[Serv-Bud-RU]],"")</f>
        <v>#DIV/0!</v>
      </c>
      <c r="AD723" s="37" t="e">
        <f>IF(DaybyDay[[#This Row],[_Space]],DaybyDay[[#This Row],[Ret-LY-RU]]/DaybyDay[[#This Row],[Serv-LY-RU]],"")</f>
        <v>#DIV/0!</v>
      </c>
      <c r="AE723" s="30">
        <f>WEEKDAY(DaybyDay[[#This Row],[LY-Date]])</f>
        <v>3</v>
      </c>
      <c r="AF723" s="38">
        <f>$E$2+_xlfn.DAYS(DaybyDay[[#This Row],[Date]],minDate)</f>
        <v>43088</v>
      </c>
      <c r="AG723" s="39" cm="1">
        <f t="array" ref="AG723">IFERROR(INDEX(DaybyDay[],DaybyDay[[#This Row],[FORM_MATCH_HELPER]],8),"")</f>
        <v>27</v>
      </c>
      <c r="AH723" s="39" cm="1">
        <f t="array" ref="AH723">IFERROR(INDEX(DaybyDay[],DaybyDay[[#This Row],[FORM_MATCH_HELPER]],10),"")</f>
        <v>5941.73</v>
      </c>
      <c r="AI723" s="39" cm="1">
        <f t="array" ref="AI723">IFERROR(INDEX(DaybyDay[],DaybyDay[[#This Row],[FORM_MATCH_HELPER]],12),"")</f>
        <v>1719.67</v>
      </c>
      <c r="AJ723" s="32">
        <f>IFERROR(DaybyDay[[#This Row],[Serv-LY-RU]]+DaybyDay[[#This Row],[Ret-LY-RU]],"")</f>
        <v>0</v>
      </c>
      <c r="AK7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3" s="77"/>
      <c r="AM723" s="40" t="str">
        <f>IF(DaybyDay[[#This Row],[Admin Hours]]&gt;0,DaybyDay[[#This Row],[Admin Hours]]*$AM$2+$AM$3,"")</f>
        <v/>
      </c>
      <c r="AN723" s="40">
        <f>SUMIFS(DaybyDay[Est-Admin-Payroll],DaybyDay[Date],"&gt;="&amp;$C$5,DaybyDay[RowYear],"&gt;="&amp;$C$4,DaybyDay[Date],"&lt;="&amp;DaybyDay[[#This Row],[Date]])</f>
        <v>0</v>
      </c>
      <c r="AO723" s="41" t="str">
        <f>IF(AND(DaybyDay[[#This Row],[_Space]],ISNUMBER(DaybyDay[[#This Row],[Admin Hours]])),DaybyDay[[#This Row],[Est-Admin-Payroll]]/(DaybyDay[[#This Row],[Service-Actuals]]+DaybyDay[[#This Row],[Retail-Actuals]]),"")</f>
        <v/>
      </c>
      <c r="AP723" s="41" t="e">
        <f>DaybyDay[[#This Row],[Estimated-Payroll-Rollup]]/DaybyDay[[#This Row],[Simple-Forecast]]</f>
        <v>#DIV/0!</v>
      </c>
      <c r="AQ7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3" s="77"/>
      <c r="AS723" s="40" t="str">
        <f>IF(DaybyDay[[#This Row],[Retail Hours]]&gt;0,DaybyDay[[#This Row],[Retail Hours]]*$AS$2,"")</f>
        <v/>
      </c>
      <c r="AT723" s="40">
        <f>SUMIFS(DaybyDay[Est-Retail-Payroll],DaybyDay[Date],"&gt;="&amp;$C$5,DaybyDay[RowYear],"&gt;="&amp;$C$4,DaybyDay[Date],"&lt;="&amp;DaybyDay[[#This Row],[Date]])</f>
        <v>0</v>
      </c>
      <c r="AU723" s="82" t="str">
        <f>IF(AND(DaybyDay[[#This Row],[_Space]],ISNUMBER(DaybyDay[[#This Row],[Retail Hours]])),DaybyDay[[#This Row],[Est-Retail-Payroll]]/(DaybyDay[[#This Row],[Retail-Actuals]]),"")</f>
        <v/>
      </c>
      <c r="AV723" s="82" t="e">
        <f>DaybyDay[[#This Row],[Est-Retail-PayrollRU]]/DaybyDay[[#This Row],[Simple-Forecast-Retail]]</f>
        <v>#DIV/0!</v>
      </c>
      <c r="AW723" s="8"/>
    </row>
    <row r="724" spans="3:49" hidden="1" x14ac:dyDescent="0.25">
      <c r="C724" s="26" t="str">
        <f>Tools!$C$1</f>
        <v>Example</v>
      </c>
      <c r="D724" s="27" t="s">
        <v>79</v>
      </c>
      <c r="E724" s="28">
        <v>2018</v>
      </c>
      <c r="F724" s="28">
        <f>MATCH(DaybyDay[[#This Row],[RowMonth]],Table3[SummaryMonth],0)</f>
        <v>12</v>
      </c>
      <c r="G724" s="29">
        <f>MATCH(DaybyDay[[#This Row],[LY-Date]],DaybyDay[Date],0)</f>
        <v>354</v>
      </c>
      <c r="H724" s="30">
        <f>WEEKDAY(DaybyDay[[#This Row],[Date]])</f>
        <v>4</v>
      </c>
      <c r="I724" s="31">
        <v>43453</v>
      </c>
      <c r="J724" s="74">
        <v>25</v>
      </c>
      <c r="K724" s="32">
        <f>SUMIFS(BudgetSeasonality[365 Seasonality],BudgetSeasonality[MonthAdjustment],DaybyDay[[#This Row],[Date]])*SUMIFS(Budgets[Service-Budget],Budgets[BudgetMonth],DaybyDay[[#This Row],[RowMonth]],Budgets[BudgetYear],DaybyDay[[#This Row],[RowYear]])</f>
        <v>6150.3681078073732</v>
      </c>
      <c r="L724" s="75">
        <v>6027.8</v>
      </c>
      <c r="M724" s="32">
        <f>INDEX(BudgetSeasonality[365 Seasonality],MATCH(DaybyDay[[#This Row],[Date]],BudgetSeasonality[MonthAdjustment],0))*SUMIFS(Budgets[Retail-Budget],Budgets[BudgetMonth],DaybyDay[[#This Row],[RowMonth]],Budgets[BudgetYear],DaybyDay[[#This Row],[RowYear]])</f>
        <v>1722.4317095181059</v>
      </c>
      <c r="N724" s="75">
        <v>752</v>
      </c>
      <c r="O724" s="33">
        <f>SUMIFS(DaybyDay[Service-Budgets],DaybyDay[Date],"&gt;="&amp;$C$5,DaybyDay[RowYear],"&gt;="&amp;$C$4,DaybyDay[Date],"&lt;="&amp;DaybyDay[[#This Row],[Date]])</f>
        <v>0</v>
      </c>
      <c r="P724" s="33">
        <f>SUMIFS(DaybyDay[Retail-Budgets],DaybyDay[Date],"&gt;="&amp;$C$5,DaybyDay[RowYear],"&gt;="&amp;$C$4,DaybyDay[Date],"&lt;="&amp;DaybyDay[[#This Row],[Date]])</f>
        <v>0</v>
      </c>
      <c r="Q724" s="34">
        <f>SUMIFS(DaybyDay[Service-Actuals],DaybyDay[Date],"&gt;="&amp;$C$5,DaybyDay[RowYear],"&gt;="&amp;$C$4,DaybyDay[Date],"&lt;="&amp;DaybyDay[[#This Row],[Date]])</f>
        <v>0</v>
      </c>
      <c r="R724" s="34">
        <f>SUMIFS(DaybyDay[Retail-Actuals],DaybyDay[Date],"&gt;="&amp;$C$5,DaybyDay[RowYear],"&gt;="&amp;$C$4,DaybyDay[Date],"&lt;="&amp;DaybyDay[[#This Row],[Date]])</f>
        <v>0</v>
      </c>
      <c r="S724" s="35">
        <f>SUMIFS(DaybyDay[Service-LY],DaybyDay[Date],"&gt;="&amp;$C$5,DaybyDay[RowYear],"&gt;="&amp;$C$4,DaybyDay[Date],"&lt;="&amp;DaybyDay[[#This Row],[Date]])</f>
        <v>0</v>
      </c>
      <c r="T724" s="35">
        <f>SUMIFS(DaybyDay[Retail-LY],DaybyDay[Date],"&gt;="&amp;$C$5,DaybyDay[RowYear],"&gt;="&amp;$C$4,DaybyDay[Date],"&lt;="&amp;DaybyDay[[#This Row],[Date]])</f>
        <v>0</v>
      </c>
      <c r="U724" s="32">
        <f>DaybyDay[[#This Row],[Serv-Bud-RU]]+DaybyDay[[#This Row],[Ret-Bud-RU]]</f>
        <v>0</v>
      </c>
      <c r="V724" s="32">
        <f>DaybyDay[[#This Row],[Serv-Act-RU]]+DaybyDay[[#This Row],[Ret-Act-RU]]</f>
        <v>0</v>
      </c>
      <c r="W724" s="36">
        <f>IF(DaybyDay[[#This Row],[_Space]],IFERROR(
((DaybyDay[[#This Row],[Actual-Rollup]]-DaybyDay[[#This Row],[Budget-Rollup]])/DaybyDay[[#This Row],[Budget-Rollup]]),0),"")</f>
        <v>0</v>
      </c>
      <c r="X724" t="b">
        <f>NOT(AND(ISBLANK(DaybyDay[[#This Row],[Appts]]),ISBLANK(DaybyDay[[#This Row],[Service-Actuals]]),ISBLANK(DaybyDay[[#This Row],[Retail-Actuals]])))</f>
        <v>1</v>
      </c>
      <c r="Y724" s="36">
        <f>IF(DaybyDay[[#This Row],[_Space]],IFERROR(
((DaybyDay[[#This Row],[Actual-Rollup]]-DaybyDay[[#This Row],[LY-Rollup]])/DaybyDay[[#This Row],[LY-Rollup]]),0),"")</f>
        <v>0</v>
      </c>
      <c r="Z724"/>
      <c r="AA724" s="37" t="e">
        <f>IF(DaybyDay[[#This Row],[_Space]],DaybyDay[[#This Row],[Ret-Act-RU]]/DaybyDay[[#This Row],[Serv-Act-RU]],"")</f>
        <v>#DIV/0!</v>
      </c>
      <c r="AB724" s="50" t="e">
        <f>IF(DaybyDay[[#This Row],[_Space]],DaybyDay[[#This Row],[RETPEN-Act]]/DaybyDay[[#This Row],[RETPEN-Bud]],"")</f>
        <v>#DIV/0!</v>
      </c>
      <c r="AC724" s="37" t="e">
        <f>IF(DaybyDay[[#This Row],[_Space]],DaybyDay[[#This Row],[Ret-Bud-RU]]/DaybyDay[[#This Row],[Serv-Bud-RU]],"")</f>
        <v>#DIV/0!</v>
      </c>
      <c r="AD724" s="37" t="e">
        <f>IF(DaybyDay[[#This Row],[_Space]],DaybyDay[[#This Row],[Ret-LY-RU]]/DaybyDay[[#This Row],[Serv-LY-RU]],"")</f>
        <v>#DIV/0!</v>
      </c>
      <c r="AE724" s="30">
        <f>WEEKDAY(DaybyDay[[#This Row],[LY-Date]])</f>
        <v>4</v>
      </c>
      <c r="AF724" s="38">
        <f>$E$2+_xlfn.DAYS(DaybyDay[[#This Row],[Date]],minDate)</f>
        <v>43089</v>
      </c>
      <c r="AG724" s="39" cm="1">
        <f t="array" ref="AG724">IFERROR(INDEX(DaybyDay[],DaybyDay[[#This Row],[FORM_MATCH_HELPER]],8),"")</f>
        <v>29</v>
      </c>
      <c r="AH724" s="39" cm="1">
        <f t="array" ref="AH724">IFERROR(INDEX(DaybyDay[],DaybyDay[[#This Row],[FORM_MATCH_HELPER]],10),"")</f>
        <v>5655</v>
      </c>
      <c r="AI724" s="39" cm="1">
        <f t="array" ref="AI724">IFERROR(INDEX(DaybyDay[],DaybyDay[[#This Row],[FORM_MATCH_HELPER]],12),"")</f>
        <v>929.1</v>
      </c>
      <c r="AJ724" s="32">
        <f>IFERROR(DaybyDay[[#This Row],[Serv-LY-RU]]+DaybyDay[[#This Row],[Ret-LY-RU]],"")</f>
        <v>0</v>
      </c>
      <c r="AK7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4" s="77"/>
      <c r="AM724" s="40" t="str">
        <f>IF(DaybyDay[[#This Row],[Admin Hours]]&gt;0,DaybyDay[[#This Row],[Admin Hours]]*$AM$2+$AM$3,"")</f>
        <v/>
      </c>
      <c r="AN724" s="40">
        <f>SUMIFS(DaybyDay[Est-Admin-Payroll],DaybyDay[Date],"&gt;="&amp;$C$5,DaybyDay[RowYear],"&gt;="&amp;$C$4,DaybyDay[Date],"&lt;="&amp;DaybyDay[[#This Row],[Date]])</f>
        <v>0</v>
      </c>
      <c r="AO724" s="41" t="str">
        <f>IF(AND(DaybyDay[[#This Row],[_Space]],ISNUMBER(DaybyDay[[#This Row],[Admin Hours]])),DaybyDay[[#This Row],[Est-Admin-Payroll]]/(DaybyDay[[#This Row],[Service-Actuals]]+DaybyDay[[#This Row],[Retail-Actuals]]),"")</f>
        <v/>
      </c>
      <c r="AP724" s="41" t="e">
        <f>DaybyDay[[#This Row],[Estimated-Payroll-Rollup]]/DaybyDay[[#This Row],[Simple-Forecast]]</f>
        <v>#DIV/0!</v>
      </c>
      <c r="AQ7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4" s="77"/>
      <c r="AS724" s="40" t="str">
        <f>IF(DaybyDay[[#This Row],[Retail Hours]]&gt;0,DaybyDay[[#This Row],[Retail Hours]]*$AS$2,"")</f>
        <v/>
      </c>
      <c r="AT724" s="40">
        <f>SUMIFS(DaybyDay[Est-Retail-Payroll],DaybyDay[Date],"&gt;="&amp;$C$5,DaybyDay[RowYear],"&gt;="&amp;$C$4,DaybyDay[Date],"&lt;="&amp;DaybyDay[[#This Row],[Date]])</f>
        <v>0</v>
      </c>
      <c r="AU724" s="82" t="str">
        <f>IF(AND(DaybyDay[[#This Row],[_Space]],ISNUMBER(DaybyDay[[#This Row],[Retail Hours]])),DaybyDay[[#This Row],[Est-Retail-Payroll]]/(DaybyDay[[#This Row],[Retail-Actuals]]),"")</f>
        <v/>
      </c>
      <c r="AV724" s="82" t="e">
        <f>DaybyDay[[#This Row],[Est-Retail-PayrollRU]]/DaybyDay[[#This Row],[Simple-Forecast-Retail]]</f>
        <v>#DIV/0!</v>
      </c>
      <c r="AW724" s="8"/>
    </row>
    <row r="725" spans="3:49" hidden="1" x14ac:dyDescent="0.25">
      <c r="C725" s="26" t="str">
        <f>Tools!$C$1</f>
        <v>Example</v>
      </c>
      <c r="D725" s="27" t="s">
        <v>79</v>
      </c>
      <c r="E725" s="28">
        <v>2018</v>
      </c>
      <c r="F725" s="28">
        <f>MATCH(DaybyDay[[#This Row],[RowMonth]],Table3[SummaryMonth],0)</f>
        <v>12</v>
      </c>
      <c r="G725" s="29">
        <f>MATCH(DaybyDay[[#This Row],[LY-Date]],DaybyDay[Date],0)</f>
        <v>355</v>
      </c>
      <c r="H725" s="30">
        <f>WEEKDAY(DaybyDay[[#This Row],[Date]])</f>
        <v>5</v>
      </c>
      <c r="I725" s="31">
        <v>43454</v>
      </c>
      <c r="J725" s="74">
        <v>29</v>
      </c>
      <c r="K725" s="32">
        <f>SUMIFS(BudgetSeasonality[365 Seasonality],BudgetSeasonality[MonthAdjustment],DaybyDay[[#This Row],[Date]])*SUMIFS(Budgets[Service-Budget],Budgets[BudgetMonth],DaybyDay[[#This Row],[RowMonth]],Budgets[BudgetYear],DaybyDay[[#This Row],[RowYear]])</f>
        <v>6320.9134774313061</v>
      </c>
      <c r="L725" s="75">
        <v>5647.7</v>
      </c>
      <c r="M725" s="32">
        <f>INDEX(BudgetSeasonality[365 Seasonality],MATCH(DaybyDay[[#This Row],[Date]],BudgetSeasonality[MonthAdjustment],0))*SUMIFS(Budgets[Retail-Budget],Budgets[BudgetMonth],DaybyDay[[#This Row],[RowMonth]],Budgets[BudgetYear],DaybyDay[[#This Row],[RowYear]])</f>
        <v>1770.1935259496872</v>
      </c>
      <c r="N725" s="75">
        <v>6622.75</v>
      </c>
      <c r="O725" s="33">
        <f>SUMIFS(DaybyDay[Service-Budgets],DaybyDay[Date],"&gt;="&amp;$C$5,DaybyDay[RowYear],"&gt;="&amp;$C$4,DaybyDay[Date],"&lt;="&amp;DaybyDay[[#This Row],[Date]])</f>
        <v>0</v>
      </c>
      <c r="P725" s="33">
        <f>SUMIFS(DaybyDay[Retail-Budgets],DaybyDay[Date],"&gt;="&amp;$C$5,DaybyDay[RowYear],"&gt;="&amp;$C$4,DaybyDay[Date],"&lt;="&amp;DaybyDay[[#This Row],[Date]])</f>
        <v>0</v>
      </c>
      <c r="Q725" s="34">
        <f>SUMIFS(DaybyDay[Service-Actuals],DaybyDay[Date],"&gt;="&amp;$C$5,DaybyDay[RowYear],"&gt;="&amp;$C$4,DaybyDay[Date],"&lt;="&amp;DaybyDay[[#This Row],[Date]])</f>
        <v>0</v>
      </c>
      <c r="R725" s="34">
        <f>SUMIFS(DaybyDay[Retail-Actuals],DaybyDay[Date],"&gt;="&amp;$C$5,DaybyDay[RowYear],"&gt;="&amp;$C$4,DaybyDay[Date],"&lt;="&amp;DaybyDay[[#This Row],[Date]])</f>
        <v>0</v>
      </c>
      <c r="S725" s="35">
        <f>SUMIFS(DaybyDay[Service-LY],DaybyDay[Date],"&gt;="&amp;$C$5,DaybyDay[RowYear],"&gt;="&amp;$C$4,DaybyDay[Date],"&lt;="&amp;DaybyDay[[#This Row],[Date]])</f>
        <v>0</v>
      </c>
      <c r="T725" s="35">
        <f>SUMIFS(DaybyDay[Retail-LY],DaybyDay[Date],"&gt;="&amp;$C$5,DaybyDay[RowYear],"&gt;="&amp;$C$4,DaybyDay[Date],"&lt;="&amp;DaybyDay[[#This Row],[Date]])</f>
        <v>0</v>
      </c>
      <c r="U725" s="32">
        <f>DaybyDay[[#This Row],[Serv-Bud-RU]]+DaybyDay[[#This Row],[Ret-Bud-RU]]</f>
        <v>0</v>
      </c>
      <c r="V725" s="32">
        <f>DaybyDay[[#This Row],[Serv-Act-RU]]+DaybyDay[[#This Row],[Ret-Act-RU]]</f>
        <v>0</v>
      </c>
      <c r="W725" s="36">
        <f>IF(DaybyDay[[#This Row],[_Space]],IFERROR(
((DaybyDay[[#This Row],[Actual-Rollup]]-DaybyDay[[#This Row],[Budget-Rollup]])/DaybyDay[[#This Row],[Budget-Rollup]]),0),"")</f>
        <v>0</v>
      </c>
      <c r="X725" t="b">
        <f>NOT(AND(ISBLANK(DaybyDay[[#This Row],[Appts]]),ISBLANK(DaybyDay[[#This Row],[Service-Actuals]]),ISBLANK(DaybyDay[[#This Row],[Retail-Actuals]])))</f>
        <v>1</v>
      </c>
      <c r="Y725" s="36">
        <f>IF(DaybyDay[[#This Row],[_Space]],IFERROR(
((DaybyDay[[#This Row],[Actual-Rollup]]-DaybyDay[[#This Row],[LY-Rollup]])/DaybyDay[[#This Row],[LY-Rollup]]),0),"")</f>
        <v>0</v>
      </c>
      <c r="Z725"/>
      <c r="AA725" s="37" t="e">
        <f>IF(DaybyDay[[#This Row],[_Space]],DaybyDay[[#This Row],[Ret-Act-RU]]/DaybyDay[[#This Row],[Serv-Act-RU]],"")</f>
        <v>#DIV/0!</v>
      </c>
      <c r="AB725" s="50" t="e">
        <f>IF(DaybyDay[[#This Row],[_Space]],DaybyDay[[#This Row],[RETPEN-Act]]/DaybyDay[[#This Row],[RETPEN-Bud]],"")</f>
        <v>#DIV/0!</v>
      </c>
      <c r="AC725" s="37" t="e">
        <f>IF(DaybyDay[[#This Row],[_Space]],DaybyDay[[#This Row],[Ret-Bud-RU]]/DaybyDay[[#This Row],[Serv-Bud-RU]],"")</f>
        <v>#DIV/0!</v>
      </c>
      <c r="AD725" s="37" t="e">
        <f>IF(DaybyDay[[#This Row],[_Space]],DaybyDay[[#This Row],[Ret-LY-RU]]/DaybyDay[[#This Row],[Serv-LY-RU]],"")</f>
        <v>#DIV/0!</v>
      </c>
      <c r="AE725" s="30">
        <f>WEEKDAY(DaybyDay[[#This Row],[LY-Date]])</f>
        <v>5</v>
      </c>
      <c r="AF725" s="38">
        <f>$E$2+_xlfn.DAYS(DaybyDay[[#This Row],[Date]],minDate)</f>
        <v>43090</v>
      </c>
      <c r="AG725" s="39" cm="1">
        <f t="array" ref="AG725">IFERROR(INDEX(DaybyDay[],DaybyDay[[#This Row],[FORM_MATCH_HELPER]],8),"")</f>
        <v>26</v>
      </c>
      <c r="AH725" s="39" cm="1">
        <f t="array" ref="AH725">IFERROR(INDEX(DaybyDay[],DaybyDay[[#This Row],[FORM_MATCH_HELPER]],10),"")</f>
        <v>6663</v>
      </c>
      <c r="AI725" s="39" cm="1">
        <f t="array" ref="AI725">IFERROR(INDEX(DaybyDay[],DaybyDay[[#This Row],[FORM_MATCH_HELPER]],12),"")</f>
        <v>9009.4</v>
      </c>
      <c r="AJ725" s="32">
        <f>IFERROR(DaybyDay[[#This Row],[Serv-LY-RU]]+DaybyDay[[#This Row],[Ret-LY-RU]],"")</f>
        <v>0</v>
      </c>
      <c r="AK7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5" s="77"/>
      <c r="AM725" s="40" t="str">
        <f>IF(DaybyDay[[#This Row],[Admin Hours]]&gt;0,DaybyDay[[#This Row],[Admin Hours]]*$AM$2+$AM$3,"")</f>
        <v/>
      </c>
      <c r="AN725" s="40">
        <f>SUMIFS(DaybyDay[Est-Admin-Payroll],DaybyDay[Date],"&gt;="&amp;$C$5,DaybyDay[RowYear],"&gt;="&amp;$C$4,DaybyDay[Date],"&lt;="&amp;DaybyDay[[#This Row],[Date]])</f>
        <v>0</v>
      </c>
      <c r="AO725" s="41" t="str">
        <f>IF(AND(DaybyDay[[#This Row],[_Space]],ISNUMBER(DaybyDay[[#This Row],[Admin Hours]])),DaybyDay[[#This Row],[Est-Admin-Payroll]]/(DaybyDay[[#This Row],[Service-Actuals]]+DaybyDay[[#This Row],[Retail-Actuals]]),"")</f>
        <v/>
      </c>
      <c r="AP725" s="41" t="e">
        <f>DaybyDay[[#This Row],[Estimated-Payroll-Rollup]]/DaybyDay[[#This Row],[Simple-Forecast]]</f>
        <v>#DIV/0!</v>
      </c>
      <c r="AQ7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5" s="77"/>
      <c r="AS725" s="40" t="str">
        <f>IF(DaybyDay[[#This Row],[Retail Hours]]&gt;0,DaybyDay[[#This Row],[Retail Hours]]*$AS$2,"")</f>
        <v/>
      </c>
      <c r="AT725" s="40">
        <f>SUMIFS(DaybyDay[Est-Retail-Payroll],DaybyDay[Date],"&gt;="&amp;$C$5,DaybyDay[RowYear],"&gt;="&amp;$C$4,DaybyDay[Date],"&lt;="&amp;DaybyDay[[#This Row],[Date]])</f>
        <v>0</v>
      </c>
      <c r="AU725" s="82" t="str">
        <f>IF(AND(DaybyDay[[#This Row],[_Space]],ISNUMBER(DaybyDay[[#This Row],[Retail Hours]])),DaybyDay[[#This Row],[Est-Retail-Payroll]]/(DaybyDay[[#This Row],[Retail-Actuals]]),"")</f>
        <v/>
      </c>
      <c r="AV725" s="82" t="e">
        <f>DaybyDay[[#This Row],[Est-Retail-PayrollRU]]/DaybyDay[[#This Row],[Simple-Forecast-Retail]]</f>
        <v>#DIV/0!</v>
      </c>
      <c r="AW725" s="8"/>
    </row>
    <row r="726" spans="3:49" hidden="1" x14ac:dyDescent="0.25">
      <c r="C726" s="26" t="str">
        <f>Tools!$C$1</f>
        <v>Example</v>
      </c>
      <c r="D726" s="27" t="s">
        <v>79</v>
      </c>
      <c r="E726" s="28">
        <v>2018</v>
      </c>
      <c r="F726" s="28">
        <f>MATCH(DaybyDay[[#This Row],[RowMonth]],Table3[SummaryMonth],0)</f>
        <v>12</v>
      </c>
      <c r="G726" s="29">
        <f>MATCH(DaybyDay[[#This Row],[LY-Date]],DaybyDay[Date],0)</f>
        <v>356</v>
      </c>
      <c r="H726" s="30">
        <f>WEEKDAY(DaybyDay[[#This Row],[Date]])</f>
        <v>6</v>
      </c>
      <c r="I726" s="31">
        <v>43455</v>
      </c>
      <c r="J726" s="74">
        <v>26</v>
      </c>
      <c r="K726" s="32">
        <f>SUMIFS(BudgetSeasonality[365 Seasonality],BudgetSeasonality[MonthAdjustment],DaybyDay[[#This Row],[Date]])*SUMIFS(Budgets[Service-Budget],Budgets[BudgetMonth],DaybyDay[[#This Row],[RowMonth]],Budgets[BudgetYear],DaybyDay[[#This Row],[RowYear]])</f>
        <v>7562.4168099841654</v>
      </c>
      <c r="L726" s="75">
        <v>6605.4</v>
      </c>
      <c r="M726" s="32">
        <f>INDEX(BudgetSeasonality[365 Seasonality],MATCH(DaybyDay[[#This Row],[Date]],BudgetSeasonality[MonthAdjustment],0))*SUMIFS(Budgets[Retail-Budget],Budgets[BudgetMonth],DaybyDay[[#This Row],[RowMonth]],Budgets[BudgetYear],DaybyDay[[#This Row],[RowYear]])</f>
        <v>2117.8807976671187</v>
      </c>
      <c r="N726" s="75">
        <v>1221.5</v>
      </c>
      <c r="O726" s="33">
        <f>SUMIFS(DaybyDay[Service-Budgets],DaybyDay[Date],"&gt;="&amp;$C$5,DaybyDay[RowYear],"&gt;="&amp;$C$4,DaybyDay[Date],"&lt;="&amp;DaybyDay[[#This Row],[Date]])</f>
        <v>0</v>
      </c>
      <c r="P726" s="33">
        <f>SUMIFS(DaybyDay[Retail-Budgets],DaybyDay[Date],"&gt;="&amp;$C$5,DaybyDay[RowYear],"&gt;="&amp;$C$4,DaybyDay[Date],"&lt;="&amp;DaybyDay[[#This Row],[Date]])</f>
        <v>0</v>
      </c>
      <c r="Q726" s="34">
        <f>SUMIFS(DaybyDay[Service-Actuals],DaybyDay[Date],"&gt;="&amp;$C$5,DaybyDay[RowYear],"&gt;="&amp;$C$4,DaybyDay[Date],"&lt;="&amp;DaybyDay[[#This Row],[Date]])</f>
        <v>0</v>
      </c>
      <c r="R726" s="34">
        <f>SUMIFS(DaybyDay[Retail-Actuals],DaybyDay[Date],"&gt;="&amp;$C$5,DaybyDay[RowYear],"&gt;="&amp;$C$4,DaybyDay[Date],"&lt;="&amp;DaybyDay[[#This Row],[Date]])</f>
        <v>0</v>
      </c>
      <c r="S726" s="35">
        <f>SUMIFS(DaybyDay[Service-LY],DaybyDay[Date],"&gt;="&amp;$C$5,DaybyDay[RowYear],"&gt;="&amp;$C$4,DaybyDay[Date],"&lt;="&amp;DaybyDay[[#This Row],[Date]])</f>
        <v>0</v>
      </c>
      <c r="T726" s="35">
        <f>SUMIFS(DaybyDay[Retail-LY],DaybyDay[Date],"&gt;="&amp;$C$5,DaybyDay[RowYear],"&gt;="&amp;$C$4,DaybyDay[Date],"&lt;="&amp;DaybyDay[[#This Row],[Date]])</f>
        <v>0</v>
      </c>
      <c r="U726" s="32">
        <f>DaybyDay[[#This Row],[Serv-Bud-RU]]+DaybyDay[[#This Row],[Ret-Bud-RU]]</f>
        <v>0</v>
      </c>
      <c r="V726" s="32">
        <f>DaybyDay[[#This Row],[Serv-Act-RU]]+DaybyDay[[#This Row],[Ret-Act-RU]]</f>
        <v>0</v>
      </c>
      <c r="W726" s="36">
        <f>IF(DaybyDay[[#This Row],[_Space]],IFERROR(
((DaybyDay[[#This Row],[Actual-Rollup]]-DaybyDay[[#This Row],[Budget-Rollup]])/DaybyDay[[#This Row],[Budget-Rollup]]),0),"")</f>
        <v>0</v>
      </c>
      <c r="X726" t="b">
        <f>NOT(AND(ISBLANK(DaybyDay[[#This Row],[Appts]]),ISBLANK(DaybyDay[[#This Row],[Service-Actuals]]),ISBLANK(DaybyDay[[#This Row],[Retail-Actuals]])))</f>
        <v>1</v>
      </c>
      <c r="Y726" s="36">
        <f>IF(DaybyDay[[#This Row],[_Space]],IFERROR(
((DaybyDay[[#This Row],[Actual-Rollup]]-DaybyDay[[#This Row],[LY-Rollup]])/DaybyDay[[#This Row],[LY-Rollup]]),0),"")</f>
        <v>0</v>
      </c>
      <c r="Z726"/>
      <c r="AA726" s="37" t="e">
        <f>IF(DaybyDay[[#This Row],[_Space]],DaybyDay[[#This Row],[Ret-Act-RU]]/DaybyDay[[#This Row],[Serv-Act-RU]],"")</f>
        <v>#DIV/0!</v>
      </c>
      <c r="AB726" s="50" t="e">
        <f>IF(DaybyDay[[#This Row],[_Space]],DaybyDay[[#This Row],[RETPEN-Act]]/DaybyDay[[#This Row],[RETPEN-Bud]],"")</f>
        <v>#DIV/0!</v>
      </c>
      <c r="AC726" s="37" t="e">
        <f>IF(DaybyDay[[#This Row],[_Space]],DaybyDay[[#This Row],[Ret-Bud-RU]]/DaybyDay[[#This Row],[Serv-Bud-RU]],"")</f>
        <v>#DIV/0!</v>
      </c>
      <c r="AD726" s="37" t="e">
        <f>IF(DaybyDay[[#This Row],[_Space]],DaybyDay[[#This Row],[Ret-LY-RU]]/DaybyDay[[#This Row],[Serv-LY-RU]],"")</f>
        <v>#DIV/0!</v>
      </c>
      <c r="AE726" s="30">
        <f>WEEKDAY(DaybyDay[[#This Row],[LY-Date]])</f>
        <v>6</v>
      </c>
      <c r="AF726" s="38">
        <f>$E$2+_xlfn.DAYS(DaybyDay[[#This Row],[Date]],minDate)</f>
        <v>43091</v>
      </c>
      <c r="AG726" s="39" cm="1">
        <f t="array" ref="AG726">IFERROR(INDEX(DaybyDay[],DaybyDay[[#This Row],[FORM_MATCH_HELPER]],8),"")</f>
        <v>26</v>
      </c>
      <c r="AH726" s="39" cm="1">
        <f t="array" ref="AH726">IFERROR(INDEX(DaybyDay[],DaybyDay[[#This Row],[FORM_MATCH_HELPER]],10),"")</f>
        <v>6378</v>
      </c>
      <c r="AI726" s="39" cm="1">
        <f t="array" ref="AI726">IFERROR(INDEX(DaybyDay[],DaybyDay[[#This Row],[FORM_MATCH_HELPER]],12),"")</f>
        <v>8142.3</v>
      </c>
      <c r="AJ726" s="32">
        <f>IFERROR(DaybyDay[[#This Row],[Serv-LY-RU]]+DaybyDay[[#This Row],[Ret-LY-RU]],"")</f>
        <v>0</v>
      </c>
      <c r="AK7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6" s="77"/>
      <c r="AM726" s="40" t="str">
        <f>IF(DaybyDay[[#This Row],[Admin Hours]]&gt;0,DaybyDay[[#This Row],[Admin Hours]]*$AM$2+$AM$3,"")</f>
        <v/>
      </c>
      <c r="AN726" s="40">
        <f>SUMIFS(DaybyDay[Est-Admin-Payroll],DaybyDay[Date],"&gt;="&amp;$C$5,DaybyDay[RowYear],"&gt;="&amp;$C$4,DaybyDay[Date],"&lt;="&amp;DaybyDay[[#This Row],[Date]])</f>
        <v>0</v>
      </c>
      <c r="AO726" s="41" t="str">
        <f>IF(AND(DaybyDay[[#This Row],[_Space]],ISNUMBER(DaybyDay[[#This Row],[Admin Hours]])),DaybyDay[[#This Row],[Est-Admin-Payroll]]/(DaybyDay[[#This Row],[Service-Actuals]]+DaybyDay[[#This Row],[Retail-Actuals]]),"")</f>
        <v/>
      </c>
      <c r="AP726" s="41" t="e">
        <f>DaybyDay[[#This Row],[Estimated-Payroll-Rollup]]/DaybyDay[[#This Row],[Simple-Forecast]]</f>
        <v>#DIV/0!</v>
      </c>
      <c r="AQ7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6" s="77"/>
      <c r="AS726" s="40" t="str">
        <f>IF(DaybyDay[[#This Row],[Retail Hours]]&gt;0,DaybyDay[[#This Row],[Retail Hours]]*$AS$2,"")</f>
        <v/>
      </c>
      <c r="AT726" s="40">
        <f>SUMIFS(DaybyDay[Est-Retail-Payroll],DaybyDay[Date],"&gt;="&amp;$C$5,DaybyDay[RowYear],"&gt;="&amp;$C$4,DaybyDay[Date],"&lt;="&amp;DaybyDay[[#This Row],[Date]])</f>
        <v>0</v>
      </c>
      <c r="AU726" s="82" t="str">
        <f>IF(AND(DaybyDay[[#This Row],[_Space]],ISNUMBER(DaybyDay[[#This Row],[Retail Hours]])),DaybyDay[[#This Row],[Est-Retail-Payroll]]/(DaybyDay[[#This Row],[Retail-Actuals]]),"")</f>
        <v/>
      </c>
      <c r="AV726" s="82" t="e">
        <f>DaybyDay[[#This Row],[Est-Retail-PayrollRU]]/DaybyDay[[#This Row],[Simple-Forecast-Retail]]</f>
        <v>#DIV/0!</v>
      </c>
      <c r="AW726" s="8"/>
    </row>
    <row r="727" spans="3:49" hidden="1" x14ac:dyDescent="0.25">
      <c r="C727" s="26" t="str">
        <f>Tools!$C$1</f>
        <v>Example</v>
      </c>
      <c r="D727" s="27" t="s">
        <v>79</v>
      </c>
      <c r="E727" s="28">
        <v>2018</v>
      </c>
      <c r="F727" s="28">
        <f>MATCH(DaybyDay[[#This Row],[RowMonth]],Table3[SummaryMonth],0)</f>
        <v>12</v>
      </c>
      <c r="G727" s="29">
        <f>MATCH(DaybyDay[[#This Row],[LY-Date]],DaybyDay[Date],0)</f>
        <v>357</v>
      </c>
      <c r="H727" s="30">
        <f>WEEKDAY(DaybyDay[[#This Row],[Date]])</f>
        <v>7</v>
      </c>
      <c r="I727" s="31">
        <v>43456</v>
      </c>
      <c r="J727" s="74">
        <v>30</v>
      </c>
      <c r="K727" s="32">
        <f>SUMIFS(BudgetSeasonality[365 Seasonality],BudgetSeasonality[MonthAdjustment],DaybyDay[[#This Row],[Date]])*SUMIFS(Budgets[Service-Budget],Budgets[BudgetMonth],DaybyDay[[#This Row],[RowMonth]],Budgets[BudgetYear],DaybyDay[[#This Row],[RowYear]])</f>
        <v>10152.452483933663</v>
      </c>
      <c r="L727" s="75">
        <v>7689.5</v>
      </c>
      <c r="M727" s="32">
        <f>INDEX(BudgetSeasonality[365 Seasonality],MATCH(DaybyDay[[#This Row],[Date]],BudgetSeasonality[MonthAdjustment],0))*SUMIFS(Budgets[Retail-Budget],Budgets[BudgetMonth],DaybyDay[[#This Row],[RowMonth]],Budgets[BudgetYear],DaybyDay[[#This Row],[RowYear]])</f>
        <v>2843.2291825760881</v>
      </c>
      <c r="N727" s="75">
        <v>799.5</v>
      </c>
      <c r="O727" s="33">
        <f>SUMIFS(DaybyDay[Service-Budgets],DaybyDay[Date],"&gt;="&amp;$C$5,DaybyDay[RowYear],"&gt;="&amp;$C$4,DaybyDay[Date],"&lt;="&amp;DaybyDay[[#This Row],[Date]])</f>
        <v>0</v>
      </c>
      <c r="P727" s="33">
        <f>SUMIFS(DaybyDay[Retail-Budgets],DaybyDay[Date],"&gt;="&amp;$C$5,DaybyDay[RowYear],"&gt;="&amp;$C$4,DaybyDay[Date],"&lt;="&amp;DaybyDay[[#This Row],[Date]])</f>
        <v>0</v>
      </c>
      <c r="Q727" s="34">
        <f>SUMIFS(DaybyDay[Service-Actuals],DaybyDay[Date],"&gt;="&amp;$C$5,DaybyDay[RowYear],"&gt;="&amp;$C$4,DaybyDay[Date],"&lt;="&amp;DaybyDay[[#This Row],[Date]])</f>
        <v>0</v>
      </c>
      <c r="R727" s="34">
        <f>SUMIFS(DaybyDay[Retail-Actuals],DaybyDay[Date],"&gt;="&amp;$C$5,DaybyDay[RowYear],"&gt;="&amp;$C$4,DaybyDay[Date],"&lt;="&amp;DaybyDay[[#This Row],[Date]])</f>
        <v>0</v>
      </c>
      <c r="S727" s="35">
        <f>SUMIFS(DaybyDay[Service-LY],DaybyDay[Date],"&gt;="&amp;$C$5,DaybyDay[RowYear],"&gt;="&amp;$C$4,DaybyDay[Date],"&lt;="&amp;DaybyDay[[#This Row],[Date]])</f>
        <v>0</v>
      </c>
      <c r="T727" s="35">
        <f>SUMIFS(DaybyDay[Retail-LY],DaybyDay[Date],"&gt;="&amp;$C$5,DaybyDay[RowYear],"&gt;="&amp;$C$4,DaybyDay[Date],"&lt;="&amp;DaybyDay[[#This Row],[Date]])</f>
        <v>0</v>
      </c>
      <c r="U727" s="32">
        <f>DaybyDay[[#This Row],[Serv-Bud-RU]]+DaybyDay[[#This Row],[Ret-Bud-RU]]</f>
        <v>0</v>
      </c>
      <c r="V727" s="32">
        <f>DaybyDay[[#This Row],[Serv-Act-RU]]+DaybyDay[[#This Row],[Ret-Act-RU]]</f>
        <v>0</v>
      </c>
      <c r="W727" s="36">
        <f>IF(DaybyDay[[#This Row],[_Space]],IFERROR(
((DaybyDay[[#This Row],[Actual-Rollup]]-DaybyDay[[#This Row],[Budget-Rollup]])/DaybyDay[[#This Row],[Budget-Rollup]]),0),"")</f>
        <v>0</v>
      </c>
      <c r="X727" t="b">
        <f>NOT(AND(ISBLANK(DaybyDay[[#This Row],[Appts]]),ISBLANK(DaybyDay[[#This Row],[Service-Actuals]]),ISBLANK(DaybyDay[[#This Row],[Retail-Actuals]])))</f>
        <v>1</v>
      </c>
      <c r="Y727" s="36">
        <f>IF(DaybyDay[[#This Row],[_Space]],IFERROR(
((DaybyDay[[#This Row],[Actual-Rollup]]-DaybyDay[[#This Row],[LY-Rollup]])/DaybyDay[[#This Row],[LY-Rollup]]),0),"")</f>
        <v>0</v>
      </c>
      <c r="Z727"/>
      <c r="AA727" s="37" t="e">
        <f>IF(DaybyDay[[#This Row],[_Space]],DaybyDay[[#This Row],[Ret-Act-RU]]/DaybyDay[[#This Row],[Serv-Act-RU]],"")</f>
        <v>#DIV/0!</v>
      </c>
      <c r="AB727" s="50" t="e">
        <f>IF(DaybyDay[[#This Row],[_Space]],DaybyDay[[#This Row],[RETPEN-Act]]/DaybyDay[[#This Row],[RETPEN-Bud]],"")</f>
        <v>#DIV/0!</v>
      </c>
      <c r="AC727" s="37" t="e">
        <f>IF(DaybyDay[[#This Row],[_Space]],DaybyDay[[#This Row],[Ret-Bud-RU]]/DaybyDay[[#This Row],[Serv-Bud-RU]],"")</f>
        <v>#DIV/0!</v>
      </c>
      <c r="AD727" s="37" t="e">
        <f>IF(DaybyDay[[#This Row],[_Space]],DaybyDay[[#This Row],[Ret-LY-RU]]/DaybyDay[[#This Row],[Serv-LY-RU]],"")</f>
        <v>#DIV/0!</v>
      </c>
      <c r="AE727" s="30">
        <f>WEEKDAY(DaybyDay[[#This Row],[LY-Date]])</f>
        <v>7</v>
      </c>
      <c r="AF727" s="38">
        <f>$E$2+_xlfn.DAYS(DaybyDay[[#This Row],[Date]],minDate)</f>
        <v>43092</v>
      </c>
      <c r="AG727" s="39" cm="1">
        <f t="array" ref="AG727">IFERROR(INDEX(DaybyDay[],DaybyDay[[#This Row],[FORM_MATCH_HELPER]],8),"")</f>
        <v>28</v>
      </c>
      <c r="AH727" s="39" cm="1">
        <f t="array" ref="AH727">IFERROR(INDEX(DaybyDay[],DaybyDay[[#This Row],[FORM_MATCH_HELPER]],10),"")</f>
        <v>7112</v>
      </c>
      <c r="AI727" s="39" cm="1">
        <f t="array" ref="AI727">IFERROR(INDEX(DaybyDay[],DaybyDay[[#This Row],[FORM_MATCH_HELPER]],12),"")</f>
        <v>4254</v>
      </c>
      <c r="AJ727" s="32">
        <f>IFERROR(DaybyDay[[#This Row],[Serv-LY-RU]]+DaybyDay[[#This Row],[Ret-LY-RU]],"")</f>
        <v>0</v>
      </c>
      <c r="AK7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7" s="77"/>
      <c r="AM727" s="40" t="str">
        <f>IF(DaybyDay[[#This Row],[Admin Hours]]&gt;0,DaybyDay[[#This Row],[Admin Hours]]*$AM$2+$AM$3,"")</f>
        <v/>
      </c>
      <c r="AN727" s="40">
        <f>SUMIFS(DaybyDay[Est-Admin-Payroll],DaybyDay[Date],"&gt;="&amp;$C$5,DaybyDay[RowYear],"&gt;="&amp;$C$4,DaybyDay[Date],"&lt;="&amp;DaybyDay[[#This Row],[Date]])</f>
        <v>0</v>
      </c>
      <c r="AO727" s="41" t="str">
        <f>IF(AND(DaybyDay[[#This Row],[_Space]],ISNUMBER(DaybyDay[[#This Row],[Admin Hours]])),DaybyDay[[#This Row],[Est-Admin-Payroll]]/(DaybyDay[[#This Row],[Service-Actuals]]+DaybyDay[[#This Row],[Retail-Actuals]]),"")</f>
        <v/>
      </c>
      <c r="AP727" s="41" t="e">
        <f>DaybyDay[[#This Row],[Estimated-Payroll-Rollup]]/DaybyDay[[#This Row],[Simple-Forecast]]</f>
        <v>#DIV/0!</v>
      </c>
      <c r="AQ7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7" s="77"/>
      <c r="AS727" s="40" t="str">
        <f>IF(DaybyDay[[#This Row],[Retail Hours]]&gt;0,DaybyDay[[#This Row],[Retail Hours]]*$AS$2,"")</f>
        <v/>
      </c>
      <c r="AT727" s="40">
        <f>SUMIFS(DaybyDay[Est-Retail-Payroll],DaybyDay[Date],"&gt;="&amp;$C$5,DaybyDay[RowYear],"&gt;="&amp;$C$4,DaybyDay[Date],"&lt;="&amp;DaybyDay[[#This Row],[Date]])</f>
        <v>0</v>
      </c>
      <c r="AU727" s="82" t="str">
        <f>IF(AND(DaybyDay[[#This Row],[_Space]],ISNUMBER(DaybyDay[[#This Row],[Retail Hours]])),DaybyDay[[#This Row],[Est-Retail-Payroll]]/(DaybyDay[[#This Row],[Retail-Actuals]]),"")</f>
        <v/>
      </c>
      <c r="AV727" s="82" t="e">
        <f>DaybyDay[[#This Row],[Est-Retail-PayrollRU]]/DaybyDay[[#This Row],[Simple-Forecast-Retail]]</f>
        <v>#DIV/0!</v>
      </c>
      <c r="AW727" s="8"/>
    </row>
    <row r="728" spans="3:49" hidden="1" x14ac:dyDescent="0.25">
      <c r="C728" s="26" t="str">
        <f>Tools!$C$1</f>
        <v>Example</v>
      </c>
      <c r="D728" s="27" t="s">
        <v>79</v>
      </c>
      <c r="E728" s="28">
        <v>2018</v>
      </c>
      <c r="F728" s="28">
        <f>MATCH(DaybyDay[[#This Row],[RowMonth]],Table3[SummaryMonth],0)</f>
        <v>12</v>
      </c>
      <c r="G728" s="29">
        <f>MATCH(DaybyDay[[#This Row],[LY-Date]],DaybyDay[Date],0)</f>
        <v>358</v>
      </c>
      <c r="H728" s="30">
        <f>WEEKDAY(DaybyDay[[#This Row],[Date]])</f>
        <v>1</v>
      </c>
      <c r="I728" s="31">
        <v>43457</v>
      </c>
      <c r="J728" s="74">
        <v>26</v>
      </c>
      <c r="K728" s="32">
        <f>SUMIFS(BudgetSeasonality[365 Seasonality],BudgetSeasonality[MonthAdjustment],DaybyDay[[#This Row],[Date]])*SUMIFS(Budgets[Service-Budget],Budgets[BudgetMonth],DaybyDay[[#This Row],[RowMonth]],Budgets[BudgetYear],DaybyDay[[#This Row],[RowYear]])</f>
        <v>8256.5584852863703</v>
      </c>
      <c r="L728" s="75">
        <v>7208.7</v>
      </c>
      <c r="M728" s="32">
        <f>INDEX(BudgetSeasonality[365 Seasonality],MATCH(DaybyDay[[#This Row],[Date]],BudgetSeasonality[MonthAdjustment],0))*SUMIFS(Budgets[Retail-Budget],Budgets[BudgetMonth],DaybyDay[[#This Row],[RowMonth]],Budgets[BudgetYear],DaybyDay[[#This Row],[RowYear]])</f>
        <v>2312.2775575815067</v>
      </c>
      <c r="N728" s="75">
        <v>2080</v>
      </c>
      <c r="O728" s="33">
        <f>SUMIFS(DaybyDay[Service-Budgets],DaybyDay[Date],"&gt;="&amp;$C$5,DaybyDay[RowYear],"&gt;="&amp;$C$4,DaybyDay[Date],"&lt;="&amp;DaybyDay[[#This Row],[Date]])</f>
        <v>0</v>
      </c>
      <c r="P728" s="33">
        <f>SUMIFS(DaybyDay[Retail-Budgets],DaybyDay[Date],"&gt;="&amp;$C$5,DaybyDay[RowYear],"&gt;="&amp;$C$4,DaybyDay[Date],"&lt;="&amp;DaybyDay[[#This Row],[Date]])</f>
        <v>0</v>
      </c>
      <c r="Q728" s="34">
        <f>SUMIFS(DaybyDay[Service-Actuals],DaybyDay[Date],"&gt;="&amp;$C$5,DaybyDay[RowYear],"&gt;="&amp;$C$4,DaybyDay[Date],"&lt;="&amp;DaybyDay[[#This Row],[Date]])</f>
        <v>0</v>
      </c>
      <c r="R728" s="34">
        <f>SUMIFS(DaybyDay[Retail-Actuals],DaybyDay[Date],"&gt;="&amp;$C$5,DaybyDay[RowYear],"&gt;="&amp;$C$4,DaybyDay[Date],"&lt;="&amp;DaybyDay[[#This Row],[Date]])</f>
        <v>0</v>
      </c>
      <c r="S728" s="35">
        <f>SUMIFS(DaybyDay[Service-LY],DaybyDay[Date],"&gt;="&amp;$C$5,DaybyDay[RowYear],"&gt;="&amp;$C$4,DaybyDay[Date],"&lt;="&amp;DaybyDay[[#This Row],[Date]])</f>
        <v>0</v>
      </c>
      <c r="T728" s="35">
        <f>SUMIFS(DaybyDay[Retail-LY],DaybyDay[Date],"&gt;="&amp;$C$5,DaybyDay[RowYear],"&gt;="&amp;$C$4,DaybyDay[Date],"&lt;="&amp;DaybyDay[[#This Row],[Date]])</f>
        <v>0</v>
      </c>
      <c r="U728" s="32">
        <f>DaybyDay[[#This Row],[Serv-Bud-RU]]+DaybyDay[[#This Row],[Ret-Bud-RU]]</f>
        <v>0</v>
      </c>
      <c r="V728" s="32">
        <f>DaybyDay[[#This Row],[Serv-Act-RU]]+DaybyDay[[#This Row],[Ret-Act-RU]]</f>
        <v>0</v>
      </c>
      <c r="W728" s="36">
        <f>IF(DaybyDay[[#This Row],[_Space]],IFERROR(
((DaybyDay[[#This Row],[Actual-Rollup]]-DaybyDay[[#This Row],[Budget-Rollup]])/DaybyDay[[#This Row],[Budget-Rollup]]),0),"")</f>
        <v>0</v>
      </c>
      <c r="X728" t="b">
        <f>NOT(AND(ISBLANK(DaybyDay[[#This Row],[Appts]]),ISBLANK(DaybyDay[[#This Row],[Service-Actuals]]),ISBLANK(DaybyDay[[#This Row],[Retail-Actuals]])))</f>
        <v>1</v>
      </c>
      <c r="Y728" s="36">
        <f>IF(DaybyDay[[#This Row],[_Space]],IFERROR(
((DaybyDay[[#This Row],[Actual-Rollup]]-DaybyDay[[#This Row],[LY-Rollup]])/DaybyDay[[#This Row],[LY-Rollup]]),0),"")</f>
        <v>0</v>
      </c>
      <c r="Z728"/>
      <c r="AA728" s="37" t="e">
        <f>IF(DaybyDay[[#This Row],[_Space]],DaybyDay[[#This Row],[Ret-Act-RU]]/DaybyDay[[#This Row],[Serv-Act-RU]],"")</f>
        <v>#DIV/0!</v>
      </c>
      <c r="AB728" s="50" t="e">
        <f>IF(DaybyDay[[#This Row],[_Space]],DaybyDay[[#This Row],[RETPEN-Act]]/DaybyDay[[#This Row],[RETPEN-Bud]],"")</f>
        <v>#DIV/0!</v>
      </c>
      <c r="AC728" s="37" t="e">
        <f>IF(DaybyDay[[#This Row],[_Space]],DaybyDay[[#This Row],[Ret-Bud-RU]]/DaybyDay[[#This Row],[Serv-Bud-RU]],"")</f>
        <v>#DIV/0!</v>
      </c>
      <c r="AD728" s="37" t="e">
        <f>IF(DaybyDay[[#This Row],[_Space]],DaybyDay[[#This Row],[Ret-LY-RU]]/DaybyDay[[#This Row],[Serv-LY-RU]],"")</f>
        <v>#DIV/0!</v>
      </c>
      <c r="AE728" s="30">
        <f>WEEKDAY(DaybyDay[[#This Row],[LY-Date]])</f>
        <v>1</v>
      </c>
      <c r="AF728" s="38">
        <f>$E$2+_xlfn.DAYS(DaybyDay[[#This Row],[Date]],minDate)</f>
        <v>43093</v>
      </c>
      <c r="AG728" s="39" cm="1">
        <f t="array" ref="AG728">IFERROR(INDEX(DaybyDay[],DaybyDay[[#This Row],[FORM_MATCH_HELPER]],8),"")</f>
        <v>17</v>
      </c>
      <c r="AH728" s="39" cm="1">
        <f t="array" ref="AH728">IFERROR(INDEX(DaybyDay[],DaybyDay[[#This Row],[FORM_MATCH_HELPER]],10),"")</f>
        <v>4381</v>
      </c>
      <c r="AI728" s="39" cm="1">
        <f t="array" ref="AI728">IFERROR(INDEX(DaybyDay[],DaybyDay[[#This Row],[FORM_MATCH_HELPER]],12),"")</f>
        <v>550</v>
      </c>
      <c r="AJ728" s="32">
        <f>IFERROR(DaybyDay[[#This Row],[Serv-LY-RU]]+DaybyDay[[#This Row],[Ret-LY-RU]],"")</f>
        <v>0</v>
      </c>
      <c r="AK7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8" s="77"/>
      <c r="AM728" s="40" t="str">
        <f>IF(DaybyDay[[#This Row],[Admin Hours]]&gt;0,DaybyDay[[#This Row],[Admin Hours]]*$AM$2+$AM$3,"")</f>
        <v/>
      </c>
      <c r="AN728" s="40">
        <f>SUMIFS(DaybyDay[Est-Admin-Payroll],DaybyDay[Date],"&gt;="&amp;$C$5,DaybyDay[RowYear],"&gt;="&amp;$C$4,DaybyDay[Date],"&lt;="&amp;DaybyDay[[#This Row],[Date]])</f>
        <v>0</v>
      </c>
      <c r="AO728" s="41" t="str">
        <f>IF(AND(DaybyDay[[#This Row],[_Space]],ISNUMBER(DaybyDay[[#This Row],[Admin Hours]])),DaybyDay[[#This Row],[Est-Admin-Payroll]]/(DaybyDay[[#This Row],[Service-Actuals]]+DaybyDay[[#This Row],[Retail-Actuals]]),"")</f>
        <v/>
      </c>
      <c r="AP728" s="41" t="e">
        <f>DaybyDay[[#This Row],[Estimated-Payroll-Rollup]]/DaybyDay[[#This Row],[Simple-Forecast]]</f>
        <v>#DIV/0!</v>
      </c>
      <c r="AQ7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8" s="77"/>
      <c r="AS728" s="40" t="str">
        <f>IF(DaybyDay[[#This Row],[Retail Hours]]&gt;0,DaybyDay[[#This Row],[Retail Hours]]*$AS$2,"")</f>
        <v/>
      </c>
      <c r="AT728" s="40">
        <f>SUMIFS(DaybyDay[Est-Retail-Payroll],DaybyDay[Date],"&gt;="&amp;$C$5,DaybyDay[RowYear],"&gt;="&amp;$C$4,DaybyDay[Date],"&lt;="&amp;DaybyDay[[#This Row],[Date]])</f>
        <v>0</v>
      </c>
      <c r="AU728" s="82" t="str">
        <f>IF(AND(DaybyDay[[#This Row],[_Space]],ISNUMBER(DaybyDay[[#This Row],[Retail Hours]])),DaybyDay[[#This Row],[Est-Retail-Payroll]]/(DaybyDay[[#This Row],[Retail-Actuals]]),"")</f>
        <v/>
      </c>
      <c r="AV728" s="82" t="e">
        <f>DaybyDay[[#This Row],[Est-Retail-PayrollRU]]/DaybyDay[[#This Row],[Simple-Forecast-Retail]]</f>
        <v>#DIV/0!</v>
      </c>
      <c r="AW728" s="8"/>
    </row>
    <row r="729" spans="3:49" hidden="1" x14ac:dyDescent="0.25">
      <c r="C729" s="26" t="str">
        <f>Tools!$C$1</f>
        <v>Example</v>
      </c>
      <c r="D729" s="27" t="s">
        <v>79</v>
      </c>
      <c r="E729" s="28">
        <v>2018</v>
      </c>
      <c r="F729" s="28">
        <f>MATCH(DaybyDay[[#This Row],[RowMonth]],Table3[SummaryMonth],0)</f>
        <v>12</v>
      </c>
      <c r="G729" s="29">
        <f>MATCH(DaybyDay[[#This Row],[LY-Date]],DaybyDay[Date],0)</f>
        <v>359</v>
      </c>
      <c r="H729" s="30">
        <f>WEEKDAY(DaybyDay[[#This Row],[Date]])</f>
        <v>2</v>
      </c>
      <c r="I729" s="31">
        <v>43458</v>
      </c>
      <c r="J729" s="74">
        <v>18</v>
      </c>
      <c r="K729" s="32">
        <f>SUMIFS(BudgetSeasonality[365 Seasonality],BudgetSeasonality[MonthAdjustment],DaybyDay[[#This Row],[Date]])*SUMIFS(Budgets[Service-Budget],Budgets[BudgetMonth],DaybyDay[[#This Row],[RowMonth]],Budgets[BudgetYear],DaybyDay[[#This Row],[RowYear]])</f>
        <v>5478.3872783092002</v>
      </c>
      <c r="L729" s="75">
        <v>3248.3</v>
      </c>
      <c r="M729" s="32">
        <f>INDEX(BudgetSeasonality[365 Seasonality],MATCH(DaybyDay[[#This Row],[Date]],BudgetSeasonality[MonthAdjustment],0))*SUMIFS(Budgets[Retail-Budget],Budgets[BudgetMonth],DaybyDay[[#This Row],[RowMonth]],Budgets[BudgetYear],DaybyDay[[#This Row],[RowYear]])</f>
        <v>1534.2411705735085</v>
      </c>
      <c r="N729" s="75">
        <v>1767</v>
      </c>
      <c r="O729" s="33">
        <f>SUMIFS(DaybyDay[Service-Budgets],DaybyDay[Date],"&gt;="&amp;$C$5,DaybyDay[RowYear],"&gt;="&amp;$C$4,DaybyDay[Date],"&lt;="&amp;DaybyDay[[#This Row],[Date]])</f>
        <v>0</v>
      </c>
      <c r="P729" s="33">
        <f>SUMIFS(DaybyDay[Retail-Budgets],DaybyDay[Date],"&gt;="&amp;$C$5,DaybyDay[RowYear],"&gt;="&amp;$C$4,DaybyDay[Date],"&lt;="&amp;DaybyDay[[#This Row],[Date]])</f>
        <v>0</v>
      </c>
      <c r="Q729" s="34">
        <f>SUMIFS(DaybyDay[Service-Actuals],DaybyDay[Date],"&gt;="&amp;$C$5,DaybyDay[RowYear],"&gt;="&amp;$C$4,DaybyDay[Date],"&lt;="&amp;DaybyDay[[#This Row],[Date]])</f>
        <v>0</v>
      </c>
      <c r="R729" s="34">
        <f>SUMIFS(DaybyDay[Retail-Actuals],DaybyDay[Date],"&gt;="&amp;$C$5,DaybyDay[RowYear],"&gt;="&amp;$C$4,DaybyDay[Date],"&lt;="&amp;DaybyDay[[#This Row],[Date]])</f>
        <v>0</v>
      </c>
      <c r="S729" s="35">
        <f>SUMIFS(DaybyDay[Service-LY],DaybyDay[Date],"&gt;="&amp;$C$5,DaybyDay[RowYear],"&gt;="&amp;$C$4,DaybyDay[Date],"&lt;="&amp;DaybyDay[[#This Row],[Date]])</f>
        <v>0</v>
      </c>
      <c r="T729" s="35">
        <f>SUMIFS(DaybyDay[Retail-LY],DaybyDay[Date],"&gt;="&amp;$C$5,DaybyDay[RowYear],"&gt;="&amp;$C$4,DaybyDay[Date],"&lt;="&amp;DaybyDay[[#This Row],[Date]])</f>
        <v>0</v>
      </c>
      <c r="U729" s="32">
        <f>DaybyDay[[#This Row],[Serv-Bud-RU]]+DaybyDay[[#This Row],[Ret-Bud-RU]]</f>
        <v>0</v>
      </c>
      <c r="V729" s="32">
        <f>DaybyDay[[#This Row],[Serv-Act-RU]]+DaybyDay[[#This Row],[Ret-Act-RU]]</f>
        <v>0</v>
      </c>
      <c r="W729" s="36">
        <f>IF(DaybyDay[[#This Row],[_Space]],IFERROR(
((DaybyDay[[#This Row],[Actual-Rollup]]-DaybyDay[[#This Row],[Budget-Rollup]])/DaybyDay[[#This Row],[Budget-Rollup]]),0),"")</f>
        <v>0</v>
      </c>
      <c r="X729" t="b">
        <f>NOT(AND(ISBLANK(DaybyDay[[#This Row],[Appts]]),ISBLANK(DaybyDay[[#This Row],[Service-Actuals]]),ISBLANK(DaybyDay[[#This Row],[Retail-Actuals]])))</f>
        <v>1</v>
      </c>
      <c r="Y729" s="36">
        <f>IF(DaybyDay[[#This Row],[_Space]],IFERROR(
((DaybyDay[[#This Row],[Actual-Rollup]]-DaybyDay[[#This Row],[LY-Rollup]])/DaybyDay[[#This Row],[LY-Rollup]]),0),"")</f>
        <v>0</v>
      </c>
      <c r="Z729"/>
      <c r="AA729" s="37" t="e">
        <f>IF(DaybyDay[[#This Row],[_Space]],DaybyDay[[#This Row],[Ret-Act-RU]]/DaybyDay[[#This Row],[Serv-Act-RU]],"")</f>
        <v>#DIV/0!</v>
      </c>
      <c r="AB729" s="50" t="e">
        <f>IF(DaybyDay[[#This Row],[_Space]],DaybyDay[[#This Row],[RETPEN-Act]]/DaybyDay[[#This Row],[RETPEN-Bud]],"")</f>
        <v>#DIV/0!</v>
      </c>
      <c r="AC729" s="37" t="e">
        <f>IF(DaybyDay[[#This Row],[_Space]],DaybyDay[[#This Row],[Ret-Bud-RU]]/DaybyDay[[#This Row],[Serv-Bud-RU]],"")</f>
        <v>#DIV/0!</v>
      </c>
      <c r="AD729" s="37" t="e">
        <f>IF(DaybyDay[[#This Row],[_Space]],DaybyDay[[#This Row],[Ret-LY-RU]]/DaybyDay[[#This Row],[Serv-LY-RU]],"")</f>
        <v>#DIV/0!</v>
      </c>
      <c r="AE729" s="30">
        <f>WEEKDAY(DaybyDay[[#This Row],[LY-Date]])</f>
        <v>2</v>
      </c>
      <c r="AF729" s="38">
        <f>$E$2+_xlfn.DAYS(DaybyDay[[#This Row],[Date]],minDate)</f>
        <v>43094</v>
      </c>
      <c r="AG729" s="39" cm="1">
        <f t="array" ref="AG729">IFERROR(INDEX(DaybyDay[],DaybyDay[[#This Row],[FORM_MATCH_HELPER]],8),"")</f>
        <v>13</v>
      </c>
      <c r="AH729" s="39" cm="1">
        <f t="array" ref="AH729">IFERROR(INDEX(DaybyDay[],DaybyDay[[#This Row],[FORM_MATCH_HELPER]],10),"")</f>
        <v>3494</v>
      </c>
      <c r="AI729" s="39" cm="1">
        <f t="array" ref="AI729">IFERROR(INDEX(DaybyDay[],DaybyDay[[#This Row],[FORM_MATCH_HELPER]],12),"")</f>
        <v>0</v>
      </c>
      <c r="AJ729" s="32">
        <f>IFERROR(DaybyDay[[#This Row],[Serv-LY-RU]]+DaybyDay[[#This Row],[Ret-LY-RU]],"")</f>
        <v>0</v>
      </c>
      <c r="AK7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29" s="77"/>
      <c r="AM729" s="40" t="str">
        <f>IF(DaybyDay[[#This Row],[Admin Hours]]&gt;0,DaybyDay[[#This Row],[Admin Hours]]*$AM$2+$AM$3,"")</f>
        <v/>
      </c>
      <c r="AN729" s="40">
        <f>SUMIFS(DaybyDay[Est-Admin-Payroll],DaybyDay[Date],"&gt;="&amp;$C$5,DaybyDay[RowYear],"&gt;="&amp;$C$4,DaybyDay[Date],"&lt;="&amp;DaybyDay[[#This Row],[Date]])</f>
        <v>0</v>
      </c>
      <c r="AO729" s="41" t="str">
        <f>IF(AND(DaybyDay[[#This Row],[_Space]],ISNUMBER(DaybyDay[[#This Row],[Admin Hours]])),DaybyDay[[#This Row],[Est-Admin-Payroll]]/(DaybyDay[[#This Row],[Service-Actuals]]+DaybyDay[[#This Row],[Retail-Actuals]]),"")</f>
        <v/>
      </c>
      <c r="AP729" s="41" t="e">
        <f>DaybyDay[[#This Row],[Estimated-Payroll-Rollup]]/DaybyDay[[#This Row],[Simple-Forecast]]</f>
        <v>#DIV/0!</v>
      </c>
      <c r="AQ7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29" s="77"/>
      <c r="AS729" s="40" t="str">
        <f>IF(DaybyDay[[#This Row],[Retail Hours]]&gt;0,DaybyDay[[#This Row],[Retail Hours]]*$AS$2,"")</f>
        <v/>
      </c>
      <c r="AT729" s="40">
        <f>SUMIFS(DaybyDay[Est-Retail-Payroll],DaybyDay[Date],"&gt;="&amp;$C$5,DaybyDay[RowYear],"&gt;="&amp;$C$4,DaybyDay[Date],"&lt;="&amp;DaybyDay[[#This Row],[Date]])</f>
        <v>0</v>
      </c>
      <c r="AU729" s="82" t="str">
        <f>IF(AND(DaybyDay[[#This Row],[_Space]],ISNUMBER(DaybyDay[[#This Row],[Retail Hours]])),DaybyDay[[#This Row],[Est-Retail-Payroll]]/(DaybyDay[[#This Row],[Retail-Actuals]]),"")</f>
        <v/>
      </c>
      <c r="AV729" s="82" t="e">
        <f>DaybyDay[[#This Row],[Est-Retail-PayrollRU]]/DaybyDay[[#This Row],[Simple-Forecast-Retail]]</f>
        <v>#DIV/0!</v>
      </c>
      <c r="AW729" s="8"/>
    </row>
    <row r="730" spans="3:49" hidden="1" x14ac:dyDescent="0.25">
      <c r="C730" s="26" t="str">
        <f>Tools!$C$1</f>
        <v>Example</v>
      </c>
      <c r="D730" s="27" t="s">
        <v>79</v>
      </c>
      <c r="E730" s="28">
        <v>2018</v>
      </c>
      <c r="F730" s="28">
        <f>MATCH(DaybyDay[[#This Row],[RowMonth]],Table3[SummaryMonth],0)</f>
        <v>12</v>
      </c>
      <c r="G730" s="29">
        <f>MATCH(DaybyDay[[#This Row],[LY-Date]],DaybyDay[Date],0)</f>
        <v>360</v>
      </c>
      <c r="H730" s="30">
        <f>WEEKDAY(DaybyDay[[#This Row],[Date]])</f>
        <v>3</v>
      </c>
      <c r="I730" s="31">
        <v>43459</v>
      </c>
      <c r="J730" s="74">
        <v>12</v>
      </c>
      <c r="K730" s="32">
        <f>SUMIFS(BudgetSeasonality[365 Seasonality],BudgetSeasonality[MonthAdjustment],DaybyDay[[#This Row],[Date]])*SUMIFS(Budgets[Service-Budget],Budgets[BudgetMonth],DaybyDay[[#This Row],[RowMonth]],Budgets[BudgetYear],DaybyDay[[#This Row],[RowYear]])</f>
        <v>4581.7298272186899</v>
      </c>
      <c r="L730" s="75">
        <v>3801</v>
      </c>
      <c r="M730" s="32">
        <f>INDEX(BudgetSeasonality[365 Seasonality],MATCH(DaybyDay[[#This Row],[Date]],BudgetSeasonality[MonthAdjustment],0))*SUMIFS(Budgets[Retail-Budget],Budgets[BudgetMonth],DaybyDay[[#This Row],[RowMonth]],Budgets[BudgetYear],DaybyDay[[#This Row],[RowYear]])</f>
        <v>1283.1291721919076</v>
      </c>
      <c r="N730" s="75">
        <v>192.95</v>
      </c>
      <c r="O730" s="33">
        <f>SUMIFS(DaybyDay[Service-Budgets],DaybyDay[Date],"&gt;="&amp;$C$5,DaybyDay[RowYear],"&gt;="&amp;$C$4,DaybyDay[Date],"&lt;="&amp;DaybyDay[[#This Row],[Date]])</f>
        <v>0</v>
      </c>
      <c r="P730" s="33">
        <f>SUMIFS(DaybyDay[Retail-Budgets],DaybyDay[Date],"&gt;="&amp;$C$5,DaybyDay[RowYear],"&gt;="&amp;$C$4,DaybyDay[Date],"&lt;="&amp;DaybyDay[[#This Row],[Date]])</f>
        <v>0</v>
      </c>
      <c r="Q730" s="34">
        <f>SUMIFS(DaybyDay[Service-Actuals],DaybyDay[Date],"&gt;="&amp;$C$5,DaybyDay[RowYear],"&gt;="&amp;$C$4,DaybyDay[Date],"&lt;="&amp;DaybyDay[[#This Row],[Date]])</f>
        <v>0</v>
      </c>
      <c r="R730" s="34">
        <f>SUMIFS(DaybyDay[Retail-Actuals],DaybyDay[Date],"&gt;="&amp;$C$5,DaybyDay[RowYear],"&gt;="&amp;$C$4,DaybyDay[Date],"&lt;="&amp;DaybyDay[[#This Row],[Date]])</f>
        <v>0</v>
      </c>
      <c r="S730" s="35">
        <f>SUMIFS(DaybyDay[Service-LY],DaybyDay[Date],"&gt;="&amp;$C$5,DaybyDay[RowYear],"&gt;="&amp;$C$4,DaybyDay[Date],"&lt;="&amp;DaybyDay[[#This Row],[Date]])</f>
        <v>0</v>
      </c>
      <c r="T730" s="35">
        <f>SUMIFS(DaybyDay[Retail-LY],DaybyDay[Date],"&gt;="&amp;$C$5,DaybyDay[RowYear],"&gt;="&amp;$C$4,DaybyDay[Date],"&lt;="&amp;DaybyDay[[#This Row],[Date]])</f>
        <v>0</v>
      </c>
      <c r="U730" s="32">
        <f>DaybyDay[[#This Row],[Serv-Bud-RU]]+DaybyDay[[#This Row],[Ret-Bud-RU]]</f>
        <v>0</v>
      </c>
      <c r="V730" s="32">
        <f>DaybyDay[[#This Row],[Serv-Act-RU]]+DaybyDay[[#This Row],[Ret-Act-RU]]</f>
        <v>0</v>
      </c>
      <c r="W730" s="36">
        <f>IF(DaybyDay[[#This Row],[_Space]],IFERROR(
((DaybyDay[[#This Row],[Actual-Rollup]]-DaybyDay[[#This Row],[Budget-Rollup]])/DaybyDay[[#This Row],[Budget-Rollup]]),0),"")</f>
        <v>0</v>
      </c>
      <c r="X730" t="b">
        <f>NOT(AND(ISBLANK(DaybyDay[[#This Row],[Appts]]),ISBLANK(DaybyDay[[#This Row],[Service-Actuals]]),ISBLANK(DaybyDay[[#This Row],[Retail-Actuals]])))</f>
        <v>1</v>
      </c>
      <c r="Y730" s="36">
        <f>IF(DaybyDay[[#This Row],[_Space]],IFERROR(
((DaybyDay[[#This Row],[Actual-Rollup]]-DaybyDay[[#This Row],[LY-Rollup]])/DaybyDay[[#This Row],[LY-Rollup]]),0),"")</f>
        <v>0</v>
      </c>
      <c r="Z730"/>
      <c r="AA730" s="37" t="e">
        <f>IF(DaybyDay[[#This Row],[_Space]],DaybyDay[[#This Row],[Ret-Act-RU]]/DaybyDay[[#This Row],[Serv-Act-RU]],"")</f>
        <v>#DIV/0!</v>
      </c>
      <c r="AB730" s="50" t="e">
        <f>IF(DaybyDay[[#This Row],[_Space]],DaybyDay[[#This Row],[RETPEN-Act]]/DaybyDay[[#This Row],[RETPEN-Bud]],"")</f>
        <v>#DIV/0!</v>
      </c>
      <c r="AC730" s="37" t="e">
        <f>IF(DaybyDay[[#This Row],[_Space]],DaybyDay[[#This Row],[Ret-Bud-RU]]/DaybyDay[[#This Row],[Serv-Bud-RU]],"")</f>
        <v>#DIV/0!</v>
      </c>
      <c r="AD730" s="37" t="e">
        <f>IF(DaybyDay[[#This Row],[_Space]],DaybyDay[[#This Row],[Ret-LY-RU]]/DaybyDay[[#This Row],[Serv-LY-RU]],"")</f>
        <v>#DIV/0!</v>
      </c>
      <c r="AE730" s="30">
        <f>WEEKDAY(DaybyDay[[#This Row],[LY-Date]])</f>
        <v>3</v>
      </c>
      <c r="AF730" s="38">
        <f>$E$2+_xlfn.DAYS(DaybyDay[[#This Row],[Date]],minDate)</f>
        <v>43095</v>
      </c>
      <c r="AG730" s="39" cm="1">
        <f t="array" ref="AG730">IFERROR(INDEX(DaybyDay[],DaybyDay[[#This Row],[FORM_MATCH_HELPER]],8),"")</f>
        <v>18</v>
      </c>
      <c r="AH730" s="39" cm="1">
        <f t="array" ref="AH730">IFERROR(INDEX(DaybyDay[],DaybyDay[[#This Row],[FORM_MATCH_HELPER]],10),"")</f>
        <v>3622</v>
      </c>
      <c r="AI730" s="39" cm="1">
        <f t="array" ref="AI730">IFERROR(INDEX(DaybyDay[],DaybyDay[[#This Row],[FORM_MATCH_HELPER]],12),"")</f>
        <v>263</v>
      </c>
      <c r="AJ730" s="32">
        <f>IFERROR(DaybyDay[[#This Row],[Serv-LY-RU]]+DaybyDay[[#This Row],[Ret-LY-RU]],"")</f>
        <v>0</v>
      </c>
      <c r="AK7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0" s="77"/>
      <c r="AM730" s="40" t="str">
        <f>IF(DaybyDay[[#This Row],[Admin Hours]]&gt;0,DaybyDay[[#This Row],[Admin Hours]]*$AM$2+$AM$3,"")</f>
        <v/>
      </c>
      <c r="AN730" s="40">
        <f>SUMIFS(DaybyDay[Est-Admin-Payroll],DaybyDay[Date],"&gt;="&amp;$C$5,DaybyDay[RowYear],"&gt;="&amp;$C$4,DaybyDay[Date],"&lt;="&amp;DaybyDay[[#This Row],[Date]])</f>
        <v>0</v>
      </c>
      <c r="AO730" s="41" t="str">
        <f>IF(AND(DaybyDay[[#This Row],[_Space]],ISNUMBER(DaybyDay[[#This Row],[Admin Hours]])),DaybyDay[[#This Row],[Est-Admin-Payroll]]/(DaybyDay[[#This Row],[Service-Actuals]]+DaybyDay[[#This Row],[Retail-Actuals]]),"")</f>
        <v/>
      </c>
      <c r="AP730" s="41" t="e">
        <f>DaybyDay[[#This Row],[Estimated-Payroll-Rollup]]/DaybyDay[[#This Row],[Simple-Forecast]]</f>
        <v>#DIV/0!</v>
      </c>
      <c r="AQ7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0" s="77"/>
      <c r="AS730" s="40" t="str">
        <f>IF(DaybyDay[[#This Row],[Retail Hours]]&gt;0,DaybyDay[[#This Row],[Retail Hours]]*$AS$2,"")</f>
        <v/>
      </c>
      <c r="AT730" s="40">
        <f>SUMIFS(DaybyDay[Est-Retail-Payroll],DaybyDay[Date],"&gt;="&amp;$C$5,DaybyDay[RowYear],"&gt;="&amp;$C$4,DaybyDay[Date],"&lt;="&amp;DaybyDay[[#This Row],[Date]])</f>
        <v>0</v>
      </c>
      <c r="AU730" s="82" t="str">
        <f>IF(AND(DaybyDay[[#This Row],[_Space]],ISNUMBER(DaybyDay[[#This Row],[Retail Hours]])),DaybyDay[[#This Row],[Est-Retail-Payroll]]/(DaybyDay[[#This Row],[Retail-Actuals]]),"")</f>
        <v/>
      </c>
      <c r="AV730" s="82" t="e">
        <f>DaybyDay[[#This Row],[Est-Retail-PayrollRU]]/DaybyDay[[#This Row],[Simple-Forecast-Retail]]</f>
        <v>#DIV/0!</v>
      </c>
      <c r="AW730" s="8"/>
    </row>
    <row r="731" spans="3:49" hidden="1" x14ac:dyDescent="0.25">
      <c r="C731" s="26" t="str">
        <f>Tools!$C$1</f>
        <v>Example</v>
      </c>
      <c r="D731" s="27" t="s">
        <v>79</v>
      </c>
      <c r="E731" s="28">
        <v>2018</v>
      </c>
      <c r="F731" s="28">
        <f>MATCH(DaybyDay[[#This Row],[RowMonth]],Table3[SummaryMonth],0)</f>
        <v>12</v>
      </c>
      <c r="G731" s="29">
        <f>MATCH(DaybyDay[[#This Row],[LY-Date]],DaybyDay[Date],0)</f>
        <v>361</v>
      </c>
      <c r="H731" s="30">
        <f>WEEKDAY(DaybyDay[[#This Row],[Date]])</f>
        <v>4</v>
      </c>
      <c r="I731" s="31">
        <v>43460</v>
      </c>
      <c r="J731" s="74">
        <v>14</v>
      </c>
      <c r="K731" s="32">
        <f>SUMIFS(BudgetSeasonality[365 Seasonality],BudgetSeasonality[MonthAdjustment],DaybyDay[[#This Row],[Date]])*SUMIFS(Budgets[Service-Budget],Budgets[BudgetMonth],DaybyDay[[#This Row],[RowMonth]],Budgets[BudgetYear],DaybyDay[[#This Row],[RowYear]])</f>
        <v>4277.2506340459831</v>
      </c>
      <c r="L731" s="75">
        <v>2701.05</v>
      </c>
      <c r="M731" s="32">
        <f>INDEX(BudgetSeasonality[365 Seasonality],MATCH(DaybyDay[[#This Row],[Date]],BudgetSeasonality[MonthAdjustment],0))*SUMIFS(Budgets[Retail-Budget],Budgets[BudgetMonth],DaybyDay[[#This Row],[RowMonth]],Budgets[BudgetYear],DaybyDay[[#This Row],[RowYear]])</f>
        <v>1197.8587285344913</v>
      </c>
      <c r="N731" s="75">
        <v>208</v>
      </c>
      <c r="O731" s="33">
        <f>SUMIFS(DaybyDay[Service-Budgets],DaybyDay[Date],"&gt;="&amp;$C$5,DaybyDay[RowYear],"&gt;="&amp;$C$4,DaybyDay[Date],"&lt;="&amp;DaybyDay[[#This Row],[Date]])</f>
        <v>0</v>
      </c>
      <c r="P731" s="33">
        <f>SUMIFS(DaybyDay[Retail-Budgets],DaybyDay[Date],"&gt;="&amp;$C$5,DaybyDay[RowYear],"&gt;="&amp;$C$4,DaybyDay[Date],"&lt;="&amp;DaybyDay[[#This Row],[Date]])</f>
        <v>0</v>
      </c>
      <c r="Q731" s="34">
        <f>SUMIFS(DaybyDay[Service-Actuals],DaybyDay[Date],"&gt;="&amp;$C$5,DaybyDay[RowYear],"&gt;="&amp;$C$4,DaybyDay[Date],"&lt;="&amp;DaybyDay[[#This Row],[Date]])</f>
        <v>0</v>
      </c>
      <c r="R731" s="34">
        <f>SUMIFS(DaybyDay[Retail-Actuals],DaybyDay[Date],"&gt;="&amp;$C$5,DaybyDay[RowYear],"&gt;="&amp;$C$4,DaybyDay[Date],"&lt;="&amp;DaybyDay[[#This Row],[Date]])</f>
        <v>0</v>
      </c>
      <c r="S731" s="35">
        <f>SUMIFS(DaybyDay[Service-LY],DaybyDay[Date],"&gt;="&amp;$C$5,DaybyDay[RowYear],"&gt;="&amp;$C$4,DaybyDay[Date],"&lt;="&amp;DaybyDay[[#This Row],[Date]])</f>
        <v>0</v>
      </c>
      <c r="T731" s="35">
        <f>SUMIFS(DaybyDay[Retail-LY],DaybyDay[Date],"&gt;="&amp;$C$5,DaybyDay[RowYear],"&gt;="&amp;$C$4,DaybyDay[Date],"&lt;="&amp;DaybyDay[[#This Row],[Date]])</f>
        <v>0</v>
      </c>
      <c r="U731" s="32">
        <f>DaybyDay[[#This Row],[Serv-Bud-RU]]+DaybyDay[[#This Row],[Ret-Bud-RU]]</f>
        <v>0</v>
      </c>
      <c r="V731" s="32">
        <f>DaybyDay[[#This Row],[Serv-Act-RU]]+DaybyDay[[#This Row],[Ret-Act-RU]]</f>
        <v>0</v>
      </c>
      <c r="W731" s="36">
        <f>IF(DaybyDay[[#This Row],[_Space]],IFERROR(
((DaybyDay[[#This Row],[Actual-Rollup]]-DaybyDay[[#This Row],[Budget-Rollup]])/DaybyDay[[#This Row],[Budget-Rollup]]),0),"")</f>
        <v>0</v>
      </c>
      <c r="X731" t="b">
        <f>NOT(AND(ISBLANK(DaybyDay[[#This Row],[Appts]]),ISBLANK(DaybyDay[[#This Row],[Service-Actuals]]),ISBLANK(DaybyDay[[#This Row],[Retail-Actuals]])))</f>
        <v>1</v>
      </c>
      <c r="Y731" s="36">
        <f>IF(DaybyDay[[#This Row],[_Space]],IFERROR(
((DaybyDay[[#This Row],[Actual-Rollup]]-DaybyDay[[#This Row],[LY-Rollup]])/DaybyDay[[#This Row],[LY-Rollup]]),0),"")</f>
        <v>0</v>
      </c>
      <c r="Z731"/>
      <c r="AA731" s="37" t="e">
        <f>IF(DaybyDay[[#This Row],[_Space]],DaybyDay[[#This Row],[Ret-Act-RU]]/DaybyDay[[#This Row],[Serv-Act-RU]],"")</f>
        <v>#DIV/0!</v>
      </c>
      <c r="AB731" s="50" t="e">
        <f>IF(DaybyDay[[#This Row],[_Space]],DaybyDay[[#This Row],[RETPEN-Act]]/DaybyDay[[#This Row],[RETPEN-Bud]],"")</f>
        <v>#DIV/0!</v>
      </c>
      <c r="AC731" s="37" t="e">
        <f>IF(DaybyDay[[#This Row],[_Space]],DaybyDay[[#This Row],[Ret-Bud-RU]]/DaybyDay[[#This Row],[Serv-Bud-RU]],"")</f>
        <v>#DIV/0!</v>
      </c>
      <c r="AD731" s="37" t="e">
        <f>IF(DaybyDay[[#This Row],[_Space]],DaybyDay[[#This Row],[Ret-LY-RU]]/DaybyDay[[#This Row],[Serv-LY-RU]],"")</f>
        <v>#DIV/0!</v>
      </c>
      <c r="AE731" s="30">
        <f>WEEKDAY(DaybyDay[[#This Row],[LY-Date]])</f>
        <v>4</v>
      </c>
      <c r="AF731" s="38">
        <f>$E$2+_xlfn.DAYS(DaybyDay[[#This Row],[Date]],minDate)</f>
        <v>43096</v>
      </c>
      <c r="AG731" s="39" cm="1">
        <f t="array" ref="AG731">IFERROR(INDEX(DaybyDay[],DaybyDay[[#This Row],[FORM_MATCH_HELPER]],8),"")</f>
        <v>27</v>
      </c>
      <c r="AH731" s="39" cm="1">
        <f t="array" ref="AH731">IFERROR(INDEX(DaybyDay[],DaybyDay[[#This Row],[FORM_MATCH_HELPER]],10),"")</f>
        <v>6072.5</v>
      </c>
      <c r="AI731" s="39" cm="1">
        <f t="array" ref="AI731">IFERROR(INDEX(DaybyDay[],DaybyDay[[#This Row],[FORM_MATCH_HELPER]],12),"")</f>
        <v>2511.5</v>
      </c>
      <c r="AJ731" s="32">
        <f>IFERROR(DaybyDay[[#This Row],[Serv-LY-RU]]+DaybyDay[[#This Row],[Ret-LY-RU]],"")</f>
        <v>0</v>
      </c>
      <c r="AK7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1" s="77"/>
      <c r="AM731" s="40" t="str">
        <f>IF(DaybyDay[[#This Row],[Admin Hours]]&gt;0,DaybyDay[[#This Row],[Admin Hours]]*$AM$2+$AM$3,"")</f>
        <v/>
      </c>
      <c r="AN731" s="40">
        <f>SUMIFS(DaybyDay[Est-Admin-Payroll],DaybyDay[Date],"&gt;="&amp;$C$5,DaybyDay[RowYear],"&gt;="&amp;$C$4,DaybyDay[Date],"&lt;="&amp;DaybyDay[[#This Row],[Date]])</f>
        <v>0</v>
      </c>
      <c r="AO731" s="41" t="str">
        <f>IF(AND(DaybyDay[[#This Row],[_Space]],ISNUMBER(DaybyDay[[#This Row],[Admin Hours]])),DaybyDay[[#This Row],[Est-Admin-Payroll]]/(DaybyDay[[#This Row],[Service-Actuals]]+DaybyDay[[#This Row],[Retail-Actuals]]),"")</f>
        <v/>
      </c>
      <c r="AP731" s="41" t="e">
        <f>DaybyDay[[#This Row],[Estimated-Payroll-Rollup]]/DaybyDay[[#This Row],[Simple-Forecast]]</f>
        <v>#DIV/0!</v>
      </c>
      <c r="AQ7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1" s="77"/>
      <c r="AS731" s="40" t="str">
        <f>IF(DaybyDay[[#This Row],[Retail Hours]]&gt;0,DaybyDay[[#This Row],[Retail Hours]]*$AS$2,"")</f>
        <v/>
      </c>
      <c r="AT731" s="40">
        <f>SUMIFS(DaybyDay[Est-Retail-Payroll],DaybyDay[Date],"&gt;="&amp;$C$5,DaybyDay[RowYear],"&gt;="&amp;$C$4,DaybyDay[Date],"&lt;="&amp;DaybyDay[[#This Row],[Date]])</f>
        <v>0</v>
      </c>
      <c r="AU731" s="82" t="str">
        <f>IF(AND(DaybyDay[[#This Row],[_Space]],ISNUMBER(DaybyDay[[#This Row],[Retail Hours]])),DaybyDay[[#This Row],[Est-Retail-Payroll]]/(DaybyDay[[#This Row],[Retail-Actuals]]),"")</f>
        <v/>
      </c>
      <c r="AV731" s="82" t="e">
        <f>DaybyDay[[#This Row],[Est-Retail-PayrollRU]]/DaybyDay[[#This Row],[Simple-Forecast-Retail]]</f>
        <v>#DIV/0!</v>
      </c>
      <c r="AW731" s="8"/>
    </row>
    <row r="732" spans="3:49" hidden="1" x14ac:dyDescent="0.25">
      <c r="C732" s="26" t="str">
        <f>Tools!$C$1</f>
        <v>Example</v>
      </c>
      <c r="D732" s="27" t="s">
        <v>79</v>
      </c>
      <c r="E732" s="28">
        <v>2018</v>
      </c>
      <c r="F732" s="28">
        <f>MATCH(DaybyDay[[#This Row],[RowMonth]],Table3[SummaryMonth],0)</f>
        <v>12</v>
      </c>
      <c r="G732" s="29">
        <f>MATCH(DaybyDay[[#This Row],[LY-Date]],DaybyDay[Date],0)</f>
        <v>362</v>
      </c>
      <c r="H732" s="30">
        <f>WEEKDAY(DaybyDay[[#This Row],[Date]])</f>
        <v>5</v>
      </c>
      <c r="I732" s="31">
        <v>43461</v>
      </c>
      <c r="J732" s="74">
        <v>28</v>
      </c>
      <c r="K732" s="32">
        <f>SUMIFS(BudgetSeasonality[365 Seasonality],BudgetSeasonality[MonthAdjustment],DaybyDay[[#This Row],[Date]])*SUMIFS(Budgets[Service-Budget],Budgets[BudgetMonth],DaybyDay[[#This Row],[RowMonth]],Budgets[BudgetYear],DaybyDay[[#This Row],[RowYear]])</f>
        <v>6363.8972454934064</v>
      </c>
      <c r="L732" s="75">
        <v>5702.05</v>
      </c>
      <c r="M732" s="32">
        <f>INDEX(BudgetSeasonality[365 Seasonality],MATCH(DaybyDay[[#This Row],[Date]],BudgetSeasonality[MonthAdjustment],0))*SUMIFS(Budgets[Retail-Budget],Budgets[BudgetMonth],DaybyDay[[#This Row],[RowMonth]],Budgets[BudgetYear],DaybyDay[[#This Row],[RowYear]])</f>
        <v>1782.2312778056696</v>
      </c>
      <c r="N732" s="75">
        <v>2146</v>
      </c>
      <c r="O732" s="33">
        <f>SUMIFS(DaybyDay[Service-Budgets],DaybyDay[Date],"&gt;="&amp;$C$5,DaybyDay[RowYear],"&gt;="&amp;$C$4,DaybyDay[Date],"&lt;="&amp;DaybyDay[[#This Row],[Date]])</f>
        <v>0</v>
      </c>
      <c r="P732" s="33">
        <f>SUMIFS(DaybyDay[Retail-Budgets],DaybyDay[Date],"&gt;="&amp;$C$5,DaybyDay[RowYear],"&gt;="&amp;$C$4,DaybyDay[Date],"&lt;="&amp;DaybyDay[[#This Row],[Date]])</f>
        <v>0</v>
      </c>
      <c r="Q732" s="34">
        <f>SUMIFS(DaybyDay[Service-Actuals],DaybyDay[Date],"&gt;="&amp;$C$5,DaybyDay[RowYear],"&gt;="&amp;$C$4,DaybyDay[Date],"&lt;="&amp;DaybyDay[[#This Row],[Date]])</f>
        <v>0</v>
      </c>
      <c r="R732" s="34">
        <f>SUMIFS(DaybyDay[Retail-Actuals],DaybyDay[Date],"&gt;="&amp;$C$5,DaybyDay[RowYear],"&gt;="&amp;$C$4,DaybyDay[Date],"&lt;="&amp;DaybyDay[[#This Row],[Date]])</f>
        <v>0</v>
      </c>
      <c r="S732" s="35">
        <f>SUMIFS(DaybyDay[Service-LY],DaybyDay[Date],"&gt;="&amp;$C$5,DaybyDay[RowYear],"&gt;="&amp;$C$4,DaybyDay[Date],"&lt;="&amp;DaybyDay[[#This Row],[Date]])</f>
        <v>0</v>
      </c>
      <c r="T732" s="35">
        <f>SUMIFS(DaybyDay[Retail-LY],DaybyDay[Date],"&gt;="&amp;$C$5,DaybyDay[RowYear],"&gt;="&amp;$C$4,DaybyDay[Date],"&lt;="&amp;DaybyDay[[#This Row],[Date]])</f>
        <v>0</v>
      </c>
      <c r="U732" s="32">
        <f>DaybyDay[[#This Row],[Serv-Bud-RU]]+DaybyDay[[#This Row],[Ret-Bud-RU]]</f>
        <v>0</v>
      </c>
      <c r="V732" s="32">
        <f>DaybyDay[[#This Row],[Serv-Act-RU]]+DaybyDay[[#This Row],[Ret-Act-RU]]</f>
        <v>0</v>
      </c>
      <c r="W732" s="36">
        <f>IF(DaybyDay[[#This Row],[_Space]],IFERROR(
((DaybyDay[[#This Row],[Actual-Rollup]]-DaybyDay[[#This Row],[Budget-Rollup]])/DaybyDay[[#This Row],[Budget-Rollup]]),0),"")</f>
        <v>0</v>
      </c>
      <c r="X732" t="b">
        <f>NOT(AND(ISBLANK(DaybyDay[[#This Row],[Appts]]),ISBLANK(DaybyDay[[#This Row],[Service-Actuals]]),ISBLANK(DaybyDay[[#This Row],[Retail-Actuals]])))</f>
        <v>1</v>
      </c>
      <c r="Y732" s="36">
        <f>IF(DaybyDay[[#This Row],[_Space]],IFERROR(
((DaybyDay[[#This Row],[Actual-Rollup]]-DaybyDay[[#This Row],[LY-Rollup]])/DaybyDay[[#This Row],[LY-Rollup]]),0),"")</f>
        <v>0</v>
      </c>
      <c r="Z732"/>
      <c r="AA732" s="37" t="e">
        <f>IF(DaybyDay[[#This Row],[_Space]],DaybyDay[[#This Row],[Ret-Act-RU]]/DaybyDay[[#This Row],[Serv-Act-RU]],"")</f>
        <v>#DIV/0!</v>
      </c>
      <c r="AB732" s="50" t="e">
        <f>IF(DaybyDay[[#This Row],[_Space]],DaybyDay[[#This Row],[RETPEN-Act]]/DaybyDay[[#This Row],[RETPEN-Bud]],"")</f>
        <v>#DIV/0!</v>
      </c>
      <c r="AC732" s="37" t="e">
        <f>IF(DaybyDay[[#This Row],[_Space]],DaybyDay[[#This Row],[Ret-Bud-RU]]/DaybyDay[[#This Row],[Serv-Bud-RU]],"")</f>
        <v>#DIV/0!</v>
      </c>
      <c r="AD732" s="37" t="e">
        <f>IF(DaybyDay[[#This Row],[_Space]],DaybyDay[[#This Row],[Ret-LY-RU]]/DaybyDay[[#This Row],[Serv-LY-RU]],"")</f>
        <v>#DIV/0!</v>
      </c>
      <c r="AE732" s="30">
        <f>WEEKDAY(DaybyDay[[#This Row],[LY-Date]])</f>
        <v>5</v>
      </c>
      <c r="AF732" s="38">
        <f>$E$2+_xlfn.DAYS(DaybyDay[[#This Row],[Date]],minDate)</f>
        <v>43097</v>
      </c>
      <c r="AG732" s="39" cm="1">
        <f t="array" ref="AG732">IFERROR(INDEX(DaybyDay[],DaybyDay[[#This Row],[FORM_MATCH_HELPER]],8),"")</f>
        <v>35</v>
      </c>
      <c r="AH732" s="39" cm="1">
        <f t="array" ref="AH732">IFERROR(INDEX(DaybyDay[],DaybyDay[[#This Row],[FORM_MATCH_HELPER]],10),"")</f>
        <v>7769.33</v>
      </c>
      <c r="AI732" s="39" cm="1">
        <f t="array" ref="AI732">IFERROR(INDEX(DaybyDay[],DaybyDay[[#This Row],[FORM_MATCH_HELPER]],12),"")</f>
        <v>1559</v>
      </c>
      <c r="AJ732" s="32">
        <f>IFERROR(DaybyDay[[#This Row],[Serv-LY-RU]]+DaybyDay[[#This Row],[Ret-LY-RU]],"")</f>
        <v>0</v>
      </c>
      <c r="AK7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2" s="77"/>
      <c r="AM732" s="40" t="str">
        <f>IF(DaybyDay[[#This Row],[Admin Hours]]&gt;0,DaybyDay[[#This Row],[Admin Hours]]*$AM$2+$AM$3,"")</f>
        <v/>
      </c>
      <c r="AN732" s="40">
        <f>SUMIFS(DaybyDay[Est-Admin-Payroll],DaybyDay[Date],"&gt;="&amp;$C$5,DaybyDay[RowYear],"&gt;="&amp;$C$4,DaybyDay[Date],"&lt;="&amp;DaybyDay[[#This Row],[Date]])</f>
        <v>0</v>
      </c>
      <c r="AO732" s="41" t="str">
        <f>IF(AND(DaybyDay[[#This Row],[_Space]],ISNUMBER(DaybyDay[[#This Row],[Admin Hours]])),DaybyDay[[#This Row],[Est-Admin-Payroll]]/(DaybyDay[[#This Row],[Service-Actuals]]+DaybyDay[[#This Row],[Retail-Actuals]]),"")</f>
        <v/>
      </c>
      <c r="AP732" s="41" t="e">
        <f>DaybyDay[[#This Row],[Estimated-Payroll-Rollup]]/DaybyDay[[#This Row],[Simple-Forecast]]</f>
        <v>#DIV/0!</v>
      </c>
      <c r="AQ7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2" s="77"/>
      <c r="AS732" s="40" t="str">
        <f>IF(DaybyDay[[#This Row],[Retail Hours]]&gt;0,DaybyDay[[#This Row],[Retail Hours]]*$AS$2,"")</f>
        <v/>
      </c>
      <c r="AT732" s="40">
        <f>SUMIFS(DaybyDay[Est-Retail-Payroll],DaybyDay[Date],"&gt;="&amp;$C$5,DaybyDay[RowYear],"&gt;="&amp;$C$4,DaybyDay[Date],"&lt;="&amp;DaybyDay[[#This Row],[Date]])</f>
        <v>0</v>
      </c>
      <c r="AU732" s="82" t="str">
        <f>IF(AND(DaybyDay[[#This Row],[_Space]],ISNUMBER(DaybyDay[[#This Row],[Retail Hours]])),DaybyDay[[#This Row],[Est-Retail-Payroll]]/(DaybyDay[[#This Row],[Retail-Actuals]]),"")</f>
        <v/>
      </c>
      <c r="AV732" s="82" t="e">
        <f>DaybyDay[[#This Row],[Est-Retail-PayrollRU]]/DaybyDay[[#This Row],[Simple-Forecast-Retail]]</f>
        <v>#DIV/0!</v>
      </c>
      <c r="AW732" s="8"/>
    </row>
    <row r="733" spans="3:49" hidden="1" x14ac:dyDescent="0.25">
      <c r="C733" s="26" t="str">
        <f>Tools!$C$1</f>
        <v>Example</v>
      </c>
      <c r="D733" s="27" t="s">
        <v>79</v>
      </c>
      <c r="E733" s="28">
        <v>2018</v>
      </c>
      <c r="F733" s="28">
        <f>MATCH(DaybyDay[[#This Row],[RowMonth]],Table3[SummaryMonth],0)</f>
        <v>12</v>
      </c>
      <c r="G733" s="29">
        <f>MATCH(DaybyDay[[#This Row],[LY-Date]],DaybyDay[Date],0)</f>
        <v>363</v>
      </c>
      <c r="H733" s="30">
        <f>WEEKDAY(DaybyDay[[#This Row],[Date]])</f>
        <v>6</v>
      </c>
      <c r="I733" s="31">
        <v>43462</v>
      </c>
      <c r="J733" s="74">
        <v>28</v>
      </c>
      <c r="K733" s="32">
        <f>SUMIFS(BudgetSeasonality[365 Seasonality],BudgetSeasonality[MonthAdjustment],DaybyDay[[#This Row],[Date]])*SUMIFS(Budgets[Service-Budget],Budgets[BudgetMonth],DaybyDay[[#This Row],[RowMonth]],Budgets[BudgetYear],DaybyDay[[#This Row],[RowYear]])</f>
        <v>7545.7102109764019</v>
      </c>
      <c r="L733" s="75">
        <v>7004.2</v>
      </c>
      <c r="M733" s="32">
        <f>INDEX(BudgetSeasonality[365 Seasonality],MATCH(DaybyDay[[#This Row],[Date]],BudgetSeasonality[MonthAdjustment],0))*SUMIFS(Budgets[Retail-Budget],Budgets[BudgetMonth],DaybyDay[[#This Row],[RowMonth]],Budgets[BudgetYear],DaybyDay[[#This Row],[RowYear]])</f>
        <v>2113.2020572430051</v>
      </c>
      <c r="N733" s="75">
        <v>1128.5</v>
      </c>
      <c r="O733" s="33">
        <f>SUMIFS(DaybyDay[Service-Budgets],DaybyDay[Date],"&gt;="&amp;$C$5,DaybyDay[RowYear],"&gt;="&amp;$C$4,DaybyDay[Date],"&lt;="&amp;DaybyDay[[#This Row],[Date]])</f>
        <v>0</v>
      </c>
      <c r="P733" s="33">
        <f>SUMIFS(DaybyDay[Retail-Budgets],DaybyDay[Date],"&gt;="&amp;$C$5,DaybyDay[RowYear],"&gt;="&amp;$C$4,DaybyDay[Date],"&lt;="&amp;DaybyDay[[#This Row],[Date]])</f>
        <v>0</v>
      </c>
      <c r="Q733" s="34">
        <f>SUMIFS(DaybyDay[Service-Actuals],DaybyDay[Date],"&gt;="&amp;$C$5,DaybyDay[RowYear],"&gt;="&amp;$C$4,DaybyDay[Date],"&lt;="&amp;DaybyDay[[#This Row],[Date]])</f>
        <v>0</v>
      </c>
      <c r="R733" s="34">
        <f>SUMIFS(DaybyDay[Retail-Actuals],DaybyDay[Date],"&gt;="&amp;$C$5,DaybyDay[RowYear],"&gt;="&amp;$C$4,DaybyDay[Date],"&lt;="&amp;DaybyDay[[#This Row],[Date]])</f>
        <v>0</v>
      </c>
      <c r="S733" s="35">
        <f>SUMIFS(DaybyDay[Service-LY],DaybyDay[Date],"&gt;="&amp;$C$5,DaybyDay[RowYear],"&gt;="&amp;$C$4,DaybyDay[Date],"&lt;="&amp;DaybyDay[[#This Row],[Date]])</f>
        <v>0</v>
      </c>
      <c r="T733" s="35">
        <f>SUMIFS(DaybyDay[Retail-LY],DaybyDay[Date],"&gt;="&amp;$C$5,DaybyDay[RowYear],"&gt;="&amp;$C$4,DaybyDay[Date],"&lt;="&amp;DaybyDay[[#This Row],[Date]])</f>
        <v>0</v>
      </c>
      <c r="U733" s="32">
        <f>DaybyDay[[#This Row],[Serv-Bud-RU]]+DaybyDay[[#This Row],[Ret-Bud-RU]]</f>
        <v>0</v>
      </c>
      <c r="V733" s="32">
        <f>DaybyDay[[#This Row],[Serv-Act-RU]]+DaybyDay[[#This Row],[Ret-Act-RU]]</f>
        <v>0</v>
      </c>
      <c r="W733" s="36">
        <f>IF(DaybyDay[[#This Row],[_Space]],IFERROR(
((DaybyDay[[#This Row],[Actual-Rollup]]-DaybyDay[[#This Row],[Budget-Rollup]])/DaybyDay[[#This Row],[Budget-Rollup]]),0),"")</f>
        <v>0</v>
      </c>
      <c r="X733" t="b">
        <f>NOT(AND(ISBLANK(DaybyDay[[#This Row],[Appts]]),ISBLANK(DaybyDay[[#This Row],[Service-Actuals]]),ISBLANK(DaybyDay[[#This Row],[Retail-Actuals]])))</f>
        <v>1</v>
      </c>
      <c r="Y733" s="36">
        <f>IF(DaybyDay[[#This Row],[_Space]],IFERROR(
((DaybyDay[[#This Row],[Actual-Rollup]]-DaybyDay[[#This Row],[LY-Rollup]])/DaybyDay[[#This Row],[LY-Rollup]]),0),"")</f>
        <v>0</v>
      </c>
      <c r="Z733"/>
      <c r="AA733" s="37" t="e">
        <f>IF(DaybyDay[[#This Row],[_Space]],DaybyDay[[#This Row],[Ret-Act-RU]]/DaybyDay[[#This Row],[Serv-Act-RU]],"")</f>
        <v>#DIV/0!</v>
      </c>
      <c r="AB733" s="50" t="e">
        <f>IF(DaybyDay[[#This Row],[_Space]],DaybyDay[[#This Row],[RETPEN-Act]]/DaybyDay[[#This Row],[RETPEN-Bud]],"")</f>
        <v>#DIV/0!</v>
      </c>
      <c r="AC733" s="37" t="e">
        <f>IF(DaybyDay[[#This Row],[_Space]],DaybyDay[[#This Row],[Ret-Bud-RU]]/DaybyDay[[#This Row],[Serv-Bud-RU]],"")</f>
        <v>#DIV/0!</v>
      </c>
      <c r="AD733" s="37" t="e">
        <f>IF(DaybyDay[[#This Row],[_Space]],DaybyDay[[#This Row],[Ret-LY-RU]]/DaybyDay[[#This Row],[Serv-LY-RU]],"")</f>
        <v>#DIV/0!</v>
      </c>
      <c r="AE733" s="30">
        <f>WEEKDAY(DaybyDay[[#This Row],[LY-Date]])</f>
        <v>6</v>
      </c>
      <c r="AF733" s="38">
        <f>$E$2+_xlfn.DAYS(DaybyDay[[#This Row],[Date]],minDate)</f>
        <v>43098</v>
      </c>
      <c r="AG733" s="39" cm="1">
        <f t="array" ref="AG733">IFERROR(INDEX(DaybyDay[],DaybyDay[[#This Row],[FORM_MATCH_HELPER]],8),"")</f>
        <v>40</v>
      </c>
      <c r="AH733" s="39" cm="1">
        <f t="array" ref="AH733">IFERROR(INDEX(DaybyDay[],DaybyDay[[#This Row],[FORM_MATCH_HELPER]],10),"")</f>
        <v>9815.1</v>
      </c>
      <c r="AI733" s="39" cm="1">
        <f t="array" ref="AI733">IFERROR(INDEX(DaybyDay[],DaybyDay[[#This Row],[FORM_MATCH_HELPER]],12),"")</f>
        <v>1359</v>
      </c>
      <c r="AJ733" s="32">
        <f>IFERROR(DaybyDay[[#This Row],[Serv-LY-RU]]+DaybyDay[[#This Row],[Ret-LY-RU]],"")</f>
        <v>0</v>
      </c>
      <c r="AK7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3" s="77"/>
      <c r="AM733" s="40" t="str">
        <f>IF(DaybyDay[[#This Row],[Admin Hours]]&gt;0,DaybyDay[[#This Row],[Admin Hours]]*$AM$2+$AM$3,"")</f>
        <v/>
      </c>
      <c r="AN733" s="40">
        <f>SUMIFS(DaybyDay[Est-Admin-Payroll],DaybyDay[Date],"&gt;="&amp;$C$5,DaybyDay[RowYear],"&gt;="&amp;$C$4,DaybyDay[Date],"&lt;="&amp;DaybyDay[[#This Row],[Date]])</f>
        <v>0</v>
      </c>
      <c r="AO733" s="41" t="str">
        <f>IF(AND(DaybyDay[[#This Row],[_Space]],ISNUMBER(DaybyDay[[#This Row],[Admin Hours]])),DaybyDay[[#This Row],[Est-Admin-Payroll]]/(DaybyDay[[#This Row],[Service-Actuals]]+DaybyDay[[#This Row],[Retail-Actuals]]),"")</f>
        <v/>
      </c>
      <c r="AP733" s="41" t="e">
        <f>DaybyDay[[#This Row],[Estimated-Payroll-Rollup]]/DaybyDay[[#This Row],[Simple-Forecast]]</f>
        <v>#DIV/0!</v>
      </c>
      <c r="AQ7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3" s="77"/>
      <c r="AS733" s="40" t="str">
        <f>IF(DaybyDay[[#This Row],[Retail Hours]]&gt;0,DaybyDay[[#This Row],[Retail Hours]]*$AS$2,"")</f>
        <v/>
      </c>
      <c r="AT733" s="40">
        <f>SUMIFS(DaybyDay[Est-Retail-Payroll],DaybyDay[Date],"&gt;="&amp;$C$5,DaybyDay[RowYear],"&gt;="&amp;$C$4,DaybyDay[Date],"&lt;="&amp;DaybyDay[[#This Row],[Date]])</f>
        <v>0</v>
      </c>
      <c r="AU733" s="82" t="str">
        <f>IF(AND(DaybyDay[[#This Row],[_Space]],ISNUMBER(DaybyDay[[#This Row],[Retail Hours]])),DaybyDay[[#This Row],[Est-Retail-Payroll]]/(DaybyDay[[#This Row],[Retail-Actuals]]),"")</f>
        <v/>
      </c>
      <c r="AV733" s="82" t="e">
        <f>DaybyDay[[#This Row],[Est-Retail-PayrollRU]]/DaybyDay[[#This Row],[Simple-Forecast-Retail]]</f>
        <v>#DIV/0!</v>
      </c>
      <c r="AW733" s="8"/>
    </row>
    <row r="734" spans="3:49" hidden="1" x14ac:dyDescent="0.25">
      <c r="C734" s="26" t="str">
        <f>Tools!$C$1</f>
        <v>Example</v>
      </c>
      <c r="D734" s="27" t="s">
        <v>79</v>
      </c>
      <c r="E734" s="28">
        <v>2018</v>
      </c>
      <c r="F734" s="28">
        <f>MATCH(DaybyDay[[#This Row],[RowMonth]],Table3[SummaryMonth],0)</f>
        <v>12</v>
      </c>
      <c r="G734" s="29">
        <f>MATCH(DaybyDay[[#This Row],[LY-Date]],DaybyDay[Date],0)</f>
        <v>364</v>
      </c>
      <c r="H734" s="30">
        <f>WEEKDAY(DaybyDay[[#This Row],[Date]])</f>
        <v>7</v>
      </c>
      <c r="I734" s="31">
        <v>43463</v>
      </c>
      <c r="J734" s="74">
        <v>30</v>
      </c>
      <c r="K734" s="32">
        <f>SUMIFS(BudgetSeasonality[365 Seasonality],BudgetSeasonality[MonthAdjustment],DaybyDay[[#This Row],[Date]])*SUMIFS(Budgets[Service-Budget],Budgets[BudgetMonth],DaybyDay[[#This Row],[RowMonth]],Budgets[BudgetYear],DaybyDay[[#This Row],[RowYear]])</f>
        <v>10077.837908580483</v>
      </c>
      <c r="L734" s="75">
        <v>8035</v>
      </c>
      <c r="M734" s="32">
        <f>INDEX(BudgetSeasonality[365 Seasonality],MATCH(DaybyDay[[#This Row],[Date]],BudgetSeasonality[MonthAdjustment],0))*SUMIFS(Budgets[Retail-Budget],Budgets[BudgetMonth],DaybyDay[[#This Row],[RowMonth]],Budgets[BudgetYear],DaybyDay[[#This Row],[RowYear]])</f>
        <v>2822.3331145151533</v>
      </c>
      <c r="N734" s="75">
        <v>716</v>
      </c>
      <c r="O734" s="33">
        <f>SUMIFS(DaybyDay[Service-Budgets],DaybyDay[Date],"&gt;="&amp;$C$5,DaybyDay[RowYear],"&gt;="&amp;$C$4,DaybyDay[Date],"&lt;="&amp;DaybyDay[[#This Row],[Date]])</f>
        <v>0</v>
      </c>
      <c r="P734" s="33">
        <f>SUMIFS(DaybyDay[Retail-Budgets],DaybyDay[Date],"&gt;="&amp;$C$5,DaybyDay[RowYear],"&gt;="&amp;$C$4,DaybyDay[Date],"&lt;="&amp;DaybyDay[[#This Row],[Date]])</f>
        <v>0</v>
      </c>
      <c r="Q734" s="34">
        <f>SUMIFS(DaybyDay[Service-Actuals],DaybyDay[Date],"&gt;="&amp;$C$5,DaybyDay[RowYear],"&gt;="&amp;$C$4,DaybyDay[Date],"&lt;="&amp;DaybyDay[[#This Row],[Date]])</f>
        <v>0</v>
      </c>
      <c r="R734" s="34">
        <f>SUMIFS(DaybyDay[Retail-Actuals],DaybyDay[Date],"&gt;="&amp;$C$5,DaybyDay[RowYear],"&gt;="&amp;$C$4,DaybyDay[Date],"&lt;="&amp;DaybyDay[[#This Row],[Date]])</f>
        <v>0</v>
      </c>
      <c r="S734" s="35">
        <f>SUMIFS(DaybyDay[Service-LY],DaybyDay[Date],"&gt;="&amp;$C$5,DaybyDay[RowYear],"&gt;="&amp;$C$4,DaybyDay[Date],"&lt;="&amp;DaybyDay[[#This Row],[Date]])</f>
        <v>0</v>
      </c>
      <c r="T734" s="35">
        <f>SUMIFS(DaybyDay[Retail-LY],DaybyDay[Date],"&gt;="&amp;$C$5,DaybyDay[RowYear],"&gt;="&amp;$C$4,DaybyDay[Date],"&lt;="&amp;DaybyDay[[#This Row],[Date]])</f>
        <v>0</v>
      </c>
      <c r="U734" s="32">
        <f>DaybyDay[[#This Row],[Serv-Bud-RU]]+DaybyDay[[#This Row],[Ret-Bud-RU]]</f>
        <v>0</v>
      </c>
      <c r="V734" s="32">
        <f>DaybyDay[[#This Row],[Serv-Act-RU]]+DaybyDay[[#This Row],[Ret-Act-RU]]</f>
        <v>0</v>
      </c>
      <c r="W734" s="36">
        <f>IF(DaybyDay[[#This Row],[_Space]],IFERROR(
((DaybyDay[[#This Row],[Actual-Rollup]]-DaybyDay[[#This Row],[Budget-Rollup]])/DaybyDay[[#This Row],[Budget-Rollup]]),0),"")</f>
        <v>0</v>
      </c>
      <c r="X734" t="b">
        <f>NOT(AND(ISBLANK(DaybyDay[[#This Row],[Appts]]),ISBLANK(DaybyDay[[#This Row],[Service-Actuals]]),ISBLANK(DaybyDay[[#This Row],[Retail-Actuals]])))</f>
        <v>1</v>
      </c>
      <c r="Y734" s="36">
        <f>IF(DaybyDay[[#This Row],[_Space]],IFERROR(
((DaybyDay[[#This Row],[Actual-Rollup]]-DaybyDay[[#This Row],[LY-Rollup]])/DaybyDay[[#This Row],[LY-Rollup]]),0),"")</f>
        <v>0</v>
      </c>
      <c r="Z734"/>
      <c r="AA734" s="37" t="e">
        <f>IF(DaybyDay[[#This Row],[_Space]],DaybyDay[[#This Row],[Ret-Act-RU]]/DaybyDay[[#This Row],[Serv-Act-RU]],"")</f>
        <v>#DIV/0!</v>
      </c>
      <c r="AB734" s="50" t="e">
        <f>IF(DaybyDay[[#This Row],[_Space]],DaybyDay[[#This Row],[RETPEN-Act]]/DaybyDay[[#This Row],[RETPEN-Bud]],"")</f>
        <v>#DIV/0!</v>
      </c>
      <c r="AC734" s="37" t="e">
        <f>IF(DaybyDay[[#This Row],[_Space]],DaybyDay[[#This Row],[Ret-Bud-RU]]/DaybyDay[[#This Row],[Serv-Bud-RU]],"")</f>
        <v>#DIV/0!</v>
      </c>
      <c r="AD734" s="37" t="e">
        <f>IF(DaybyDay[[#This Row],[_Space]],DaybyDay[[#This Row],[Ret-LY-RU]]/DaybyDay[[#This Row],[Serv-LY-RU]],"")</f>
        <v>#DIV/0!</v>
      </c>
      <c r="AE734" s="30">
        <f>WEEKDAY(DaybyDay[[#This Row],[LY-Date]])</f>
        <v>7</v>
      </c>
      <c r="AF734" s="38">
        <f>$E$2+_xlfn.DAYS(DaybyDay[[#This Row],[Date]],minDate)</f>
        <v>43099</v>
      </c>
      <c r="AG734" s="39" cm="1">
        <f t="array" ref="AG734">IFERROR(INDEX(DaybyDay[],DaybyDay[[#This Row],[FORM_MATCH_HELPER]],8),"")</f>
        <v>21</v>
      </c>
      <c r="AH734" s="39" cm="1">
        <f t="array" ref="AH734">IFERROR(INDEX(DaybyDay[],DaybyDay[[#This Row],[FORM_MATCH_HELPER]],10),"")</f>
        <v>5200</v>
      </c>
      <c r="AI734" s="39" cm="1">
        <f t="array" ref="AI734">IFERROR(INDEX(DaybyDay[],DaybyDay[[#This Row],[FORM_MATCH_HELPER]],12),"")</f>
        <v>4635.5</v>
      </c>
      <c r="AJ734" s="32">
        <f>IFERROR(DaybyDay[[#This Row],[Serv-LY-RU]]+DaybyDay[[#This Row],[Ret-LY-RU]],"")</f>
        <v>0</v>
      </c>
      <c r="AK7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4" s="77"/>
      <c r="AM734" s="40" t="str">
        <f>IF(DaybyDay[[#This Row],[Admin Hours]]&gt;0,DaybyDay[[#This Row],[Admin Hours]]*$AM$2+$AM$3,"")</f>
        <v/>
      </c>
      <c r="AN734" s="40">
        <f>SUMIFS(DaybyDay[Est-Admin-Payroll],DaybyDay[Date],"&gt;="&amp;$C$5,DaybyDay[RowYear],"&gt;="&amp;$C$4,DaybyDay[Date],"&lt;="&amp;DaybyDay[[#This Row],[Date]])</f>
        <v>0</v>
      </c>
      <c r="AO734" s="41" t="str">
        <f>IF(AND(DaybyDay[[#This Row],[_Space]],ISNUMBER(DaybyDay[[#This Row],[Admin Hours]])),DaybyDay[[#This Row],[Est-Admin-Payroll]]/(DaybyDay[[#This Row],[Service-Actuals]]+DaybyDay[[#This Row],[Retail-Actuals]]),"")</f>
        <v/>
      </c>
      <c r="AP734" s="41" t="e">
        <f>DaybyDay[[#This Row],[Estimated-Payroll-Rollup]]/DaybyDay[[#This Row],[Simple-Forecast]]</f>
        <v>#DIV/0!</v>
      </c>
      <c r="AQ7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4" s="77"/>
      <c r="AS734" s="40" t="str">
        <f>IF(DaybyDay[[#This Row],[Retail Hours]]&gt;0,DaybyDay[[#This Row],[Retail Hours]]*$AS$2,"")</f>
        <v/>
      </c>
      <c r="AT734" s="40">
        <f>SUMIFS(DaybyDay[Est-Retail-Payroll],DaybyDay[Date],"&gt;="&amp;$C$5,DaybyDay[RowYear],"&gt;="&amp;$C$4,DaybyDay[Date],"&lt;="&amp;DaybyDay[[#This Row],[Date]])</f>
        <v>0</v>
      </c>
      <c r="AU734" s="82" t="str">
        <f>IF(AND(DaybyDay[[#This Row],[_Space]],ISNUMBER(DaybyDay[[#This Row],[Retail Hours]])),DaybyDay[[#This Row],[Est-Retail-Payroll]]/(DaybyDay[[#This Row],[Retail-Actuals]]),"")</f>
        <v/>
      </c>
      <c r="AV734" s="82" t="e">
        <f>DaybyDay[[#This Row],[Est-Retail-PayrollRU]]/DaybyDay[[#This Row],[Simple-Forecast-Retail]]</f>
        <v>#DIV/0!</v>
      </c>
      <c r="AW734" s="8"/>
    </row>
    <row r="735" spans="3:49" hidden="1" x14ac:dyDescent="0.25">
      <c r="C735" s="26" t="str">
        <f>Tools!$C$1</f>
        <v>Example</v>
      </c>
      <c r="D735" s="27" t="s">
        <v>79</v>
      </c>
      <c r="E735" s="28">
        <v>2018</v>
      </c>
      <c r="F735" s="28">
        <f>MATCH(DaybyDay[[#This Row],[RowMonth]],Table3[SummaryMonth],0)</f>
        <v>12</v>
      </c>
      <c r="G735" s="29">
        <f>MATCH(DaybyDay[[#This Row],[LY-Date]],DaybyDay[Date],0)</f>
        <v>365</v>
      </c>
      <c r="H735" s="30">
        <f>WEEKDAY(DaybyDay[[#This Row],[Date]])</f>
        <v>1</v>
      </c>
      <c r="I735" s="31">
        <v>43464</v>
      </c>
      <c r="J735" s="74">
        <v>40</v>
      </c>
      <c r="K735" s="32">
        <f>SUMIFS(BudgetSeasonality[365 Seasonality],BudgetSeasonality[MonthAdjustment],DaybyDay[[#This Row],[Date]])*SUMIFS(Budgets[Service-Budget],Budgets[BudgetMonth],DaybyDay[[#This Row],[RowMonth]],Budgets[BudgetYear],DaybyDay[[#This Row],[RowYear]])</f>
        <v>8126.8202842344281</v>
      </c>
      <c r="L735" s="75">
        <v>7773.2</v>
      </c>
      <c r="M735" s="32">
        <f>INDEX(BudgetSeasonality[365 Seasonality],MATCH(DaybyDay[[#This Row],[Date]],BudgetSeasonality[MonthAdjustment],0))*SUMIFS(Budgets[Retail-Budget],Budgets[BudgetMonth],DaybyDay[[#This Row],[RowMonth]],Budgets[BudgetYear],DaybyDay[[#This Row],[RowYear]])</f>
        <v>2275.9439288440608</v>
      </c>
      <c r="N735" s="75">
        <v>1662.5</v>
      </c>
      <c r="O735" s="33">
        <f>SUMIFS(DaybyDay[Service-Budgets],DaybyDay[Date],"&gt;="&amp;$C$5,DaybyDay[RowYear],"&gt;="&amp;$C$4,DaybyDay[Date],"&lt;="&amp;DaybyDay[[#This Row],[Date]])</f>
        <v>0</v>
      </c>
      <c r="P735" s="33">
        <f>SUMIFS(DaybyDay[Retail-Budgets],DaybyDay[Date],"&gt;="&amp;$C$5,DaybyDay[RowYear],"&gt;="&amp;$C$4,DaybyDay[Date],"&lt;="&amp;DaybyDay[[#This Row],[Date]])</f>
        <v>0</v>
      </c>
      <c r="Q735" s="34">
        <f>SUMIFS(DaybyDay[Service-Actuals],DaybyDay[Date],"&gt;="&amp;$C$5,DaybyDay[RowYear],"&gt;="&amp;$C$4,DaybyDay[Date],"&lt;="&amp;DaybyDay[[#This Row],[Date]])</f>
        <v>0</v>
      </c>
      <c r="R735" s="34">
        <f>SUMIFS(DaybyDay[Retail-Actuals],DaybyDay[Date],"&gt;="&amp;$C$5,DaybyDay[RowYear],"&gt;="&amp;$C$4,DaybyDay[Date],"&lt;="&amp;DaybyDay[[#This Row],[Date]])</f>
        <v>0</v>
      </c>
      <c r="S735" s="35">
        <f>SUMIFS(DaybyDay[Service-LY],DaybyDay[Date],"&gt;="&amp;$C$5,DaybyDay[RowYear],"&gt;="&amp;$C$4,DaybyDay[Date],"&lt;="&amp;DaybyDay[[#This Row],[Date]])</f>
        <v>0</v>
      </c>
      <c r="T735" s="35">
        <f>SUMIFS(DaybyDay[Retail-LY],DaybyDay[Date],"&gt;="&amp;$C$5,DaybyDay[RowYear],"&gt;="&amp;$C$4,DaybyDay[Date],"&lt;="&amp;DaybyDay[[#This Row],[Date]])</f>
        <v>0</v>
      </c>
      <c r="U735" s="32">
        <f>DaybyDay[[#This Row],[Serv-Bud-RU]]+DaybyDay[[#This Row],[Ret-Bud-RU]]</f>
        <v>0</v>
      </c>
      <c r="V735" s="32">
        <f>DaybyDay[[#This Row],[Serv-Act-RU]]+DaybyDay[[#This Row],[Ret-Act-RU]]</f>
        <v>0</v>
      </c>
      <c r="W735" s="36">
        <f>IF(DaybyDay[[#This Row],[_Space]],IFERROR(
((DaybyDay[[#This Row],[Actual-Rollup]]-DaybyDay[[#This Row],[Budget-Rollup]])/DaybyDay[[#This Row],[Budget-Rollup]]),0),"")</f>
        <v>0</v>
      </c>
      <c r="X735" t="b">
        <f>NOT(AND(ISBLANK(DaybyDay[[#This Row],[Appts]]),ISBLANK(DaybyDay[[#This Row],[Service-Actuals]]),ISBLANK(DaybyDay[[#This Row],[Retail-Actuals]])))</f>
        <v>1</v>
      </c>
      <c r="Y735" s="36">
        <f>IF(DaybyDay[[#This Row],[_Space]],IFERROR(
((DaybyDay[[#This Row],[Actual-Rollup]]-DaybyDay[[#This Row],[LY-Rollup]])/DaybyDay[[#This Row],[LY-Rollup]]),0),"")</f>
        <v>0</v>
      </c>
      <c r="Z735"/>
      <c r="AA735" s="37" t="e">
        <f>IF(DaybyDay[[#This Row],[_Space]],DaybyDay[[#This Row],[Ret-Act-RU]]/DaybyDay[[#This Row],[Serv-Act-RU]],"")</f>
        <v>#DIV/0!</v>
      </c>
      <c r="AB735" s="50" t="e">
        <f>IF(DaybyDay[[#This Row],[_Space]],DaybyDay[[#This Row],[RETPEN-Act]]/DaybyDay[[#This Row],[RETPEN-Bud]],"")</f>
        <v>#DIV/0!</v>
      </c>
      <c r="AC735" s="37" t="e">
        <f>IF(DaybyDay[[#This Row],[_Space]],DaybyDay[[#This Row],[Ret-Bud-RU]]/DaybyDay[[#This Row],[Serv-Bud-RU]],"")</f>
        <v>#DIV/0!</v>
      </c>
      <c r="AD735" s="37" t="e">
        <f>IF(DaybyDay[[#This Row],[_Space]],DaybyDay[[#This Row],[Ret-LY-RU]]/DaybyDay[[#This Row],[Serv-LY-RU]],"")</f>
        <v>#DIV/0!</v>
      </c>
      <c r="AE735" s="30">
        <f>WEEKDAY(DaybyDay[[#This Row],[LY-Date]])</f>
        <v>1</v>
      </c>
      <c r="AF735" s="38">
        <f>$E$2+_xlfn.DAYS(DaybyDay[[#This Row],[Date]],minDate)</f>
        <v>43100</v>
      </c>
      <c r="AG735" s="39" cm="1">
        <f t="array" ref="AG735">IFERROR(INDEX(DaybyDay[],DaybyDay[[#This Row],[FORM_MATCH_HELPER]],8),"")</f>
        <v>17</v>
      </c>
      <c r="AH735" s="39" cm="1">
        <f t="array" ref="AH735">IFERROR(INDEX(DaybyDay[],DaybyDay[[#This Row],[FORM_MATCH_HELPER]],10),"")</f>
        <v>4589</v>
      </c>
      <c r="AI735" s="39" cm="1">
        <f t="array" ref="AI735">IFERROR(INDEX(DaybyDay[],DaybyDay[[#This Row],[FORM_MATCH_HELPER]],12),"")</f>
        <v>201</v>
      </c>
      <c r="AJ735" s="32">
        <f>IFERROR(DaybyDay[[#This Row],[Serv-LY-RU]]+DaybyDay[[#This Row],[Ret-LY-RU]],"")</f>
        <v>0</v>
      </c>
      <c r="AK7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5" s="77"/>
      <c r="AM735" s="40" t="str">
        <f>IF(DaybyDay[[#This Row],[Admin Hours]]&gt;0,DaybyDay[[#This Row],[Admin Hours]]*$AM$2+$AM$3,"")</f>
        <v/>
      </c>
      <c r="AN735" s="40">
        <f>SUMIFS(DaybyDay[Est-Admin-Payroll],DaybyDay[Date],"&gt;="&amp;$C$5,DaybyDay[RowYear],"&gt;="&amp;$C$4,DaybyDay[Date],"&lt;="&amp;DaybyDay[[#This Row],[Date]])</f>
        <v>0</v>
      </c>
      <c r="AO735" s="41" t="str">
        <f>IF(AND(DaybyDay[[#This Row],[_Space]],ISNUMBER(DaybyDay[[#This Row],[Admin Hours]])),DaybyDay[[#This Row],[Est-Admin-Payroll]]/(DaybyDay[[#This Row],[Service-Actuals]]+DaybyDay[[#This Row],[Retail-Actuals]]),"")</f>
        <v/>
      </c>
      <c r="AP735" s="41" t="e">
        <f>DaybyDay[[#This Row],[Estimated-Payroll-Rollup]]/DaybyDay[[#This Row],[Simple-Forecast]]</f>
        <v>#DIV/0!</v>
      </c>
      <c r="AQ7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5" s="77"/>
      <c r="AS735" s="40" t="str">
        <f>IF(DaybyDay[[#This Row],[Retail Hours]]&gt;0,DaybyDay[[#This Row],[Retail Hours]]*$AS$2,"")</f>
        <v/>
      </c>
      <c r="AT735" s="40">
        <f>SUMIFS(DaybyDay[Est-Retail-Payroll],DaybyDay[Date],"&gt;="&amp;$C$5,DaybyDay[RowYear],"&gt;="&amp;$C$4,DaybyDay[Date],"&lt;="&amp;DaybyDay[[#This Row],[Date]])</f>
        <v>0</v>
      </c>
      <c r="AU735" s="82" t="str">
        <f>IF(AND(DaybyDay[[#This Row],[_Space]],ISNUMBER(DaybyDay[[#This Row],[Retail Hours]])),DaybyDay[[#This Row],[Est-Retail-Payroll]]/(DaybyDay[[#This Row],[Retail-Actuals]]),"")</f>
        <v/>
      </c>
      <c r="AV735" s="82" t="e">
        <f>DaybyDay[[#This Row],[Est-Retail-PayrollRU]]/DaybyDay[[#This Row],[Simple-Forecast-Retail]]</f>
        <v>#DIV/0!</v>
      </c>
      <c r="AW735" s="8"/>
    </row>
    <row r="736" spans="3:49" hidden="1" x14ac:dyDescent="0.25">
      <c r="C736" s="26" t="str">
        <f>Tools!$C$1</f>
        <v>Example</v>
      </c>
      <c r="D736" s="27" t="s">
        <v>79</v>
      </c>
      <c r="E736" s="28">
        <v>2018</v>
      </c>
      <c r="F736" s="28">
        <f>MATCH(DaybyDay[[#This Row],[RowMonth]],Table3[SummaryMonth],0)</f>
        <v>12</v>
      </c>
      <c r="G736" s="29">
        <f>MATCH(DaybyDay[[#This Row],[LY-Date]],DaybyDay[Date],0)</f>
        <v>366</v>
      </c>
      <c r="H736" s="30">
        <f>WEEKDAY(DaybyDay[[#This Row],[Date]])</f>
        <v>2</v>
      </c>
      <c r="I736" s="31">
        <v>43465</v>
      </c>
      <c r="J736" s="74">
        <v>26</v>
      </c>
      <c r="K736" s="32">
        <f>SUMIFS(BudgetSeasonality[365 Seasonality],BudgetSeasonality[MonthAdjustment],DaybyDay[[#This Row],[Date]])*SUMIFS(Budgets[Service-Budget],Budgets[BudgetMonth],DaybyDay[[#This Row],[RowMonth]],Budgets[BudgetYear],DaybyDay[[#This Row],[RowYear]])</f>
        <v>5297.2449810290655</v>
      </c>
      <c r="L736" s="75">
        <v>5772.55</v>
      </c>
      <c r="M736" s="32">
        <f>INDEX(BudgetSeasonality[365 Seasonality],MATCH(DaybyDay[[#This Row],[Date]],BudgetSeasonality[MonthAdjustment],0))*SUMIFS(Budgets[Retail-Budget],Budgets[BudgetMonth],DaybyDay[[#This Row],[RowMonth]],Budgets[BudgetYear],DaybyDay[[#This Row],[RowYear]])</f>
        <v>1483.5116481609891</v>
      </c>
      <c r="N736" s="75">
        <v>738</v>
      </c>
      <c r="O736" s="33">
        <f>SUMIFS(DaybyDay[Service-Budgets],DaybyDay[Date],"&gt;="&amp;$C$5,DaybyDay[RowYear],"&gt;="&amp;$C$4,DaybyDay[Date],"&lt;="&amp;DaybyDay[[#This Row],[Date]])</f>
        <v>0</v>
      </c>
      <c r="P736" s="33">
        <f>SUMIFS(DaybyDay[Retail-Budgets],DaybyDay[Date],"&gt;="&amp;$C$5,DaybyDay[RowYear],"&gt;="&amp;$C$4,DaybyDay[Date],"&lt;="&amp;DaybyDay[[#This Row],[Date]])</f>
        <v>0</v>
      </c>
      <c r="Q736" s="34">
        <f>SUMIFS(DaybyDay[Service-Actuals],DaybyDay[Date],"&gt;="&amp;$C$5,DaybyDay[RowYear],"&gt;="&amp;$C$4,DaybyDay[Date],"&lt;="&amp;DaybyDay[[#This Row],[Date]])</f>
        <v>0</v>
      </c>
      <c r="R736" s="34">
        <f>SUMIFS(DaybyDay[Retail-Actuals],DaybyDay[Date],"&gt;="&amp;$C$5,DaybyDay[RowYear],"&gt;="&amp;$C$4,DaybyDay[Date],"&lt;="&amp;DaybyDay[[#This Row],[Date]])</f>
        <v>0</v>
      </c>
      <c r="S736" s="35">
        <f>SUMIFS(DaybyDay[Service-LY],DaybyDay[Date],"&gt;="&amp;$C$5,DaybyDay[RowYear],"&gt;="&amp;$C$4,DaybyDay[Date],"&lt;="&amp;DaybyDay[[#This Row],[Date]])</f>
        <v>0</v>
      </c>
      <c r="T736" s="35">
        <f>SUMIFS(DaybyDay[Retail-LY],DaybyDay[Date],"&gt;="&amp;$C$5,DaybyDay[RowYear],"&gt;="&amp;$C$4,DaybyDay[Date],"&lt;="&amp;DaybyDay[[#This Row],[Date]])</f>
        <v>0</v>
      </c>
      <c r="U736" s="32">
        <f>DaybyDay[[#This Row],[Serv-Bud-RU]]+DaybyDay[[#This Row],[Ret-Bud-RU]]</f>
        <v>0</v>
      </c>
      <c r="V736" s="32">
        <f>DaybyDay[[#This Row],[Serv-Act-RU]]+DaybyDay[[#This Row],[Ret-Act-RU]]</f>
        <v>0</v>
      </c>
      <c r="W736" s="36">
        <f>IF(DaybyDay[[#This Row],[_Space]],IFERROR(
((DaybyDay[[#This Row],[Actual-Rollup]]-DaybyDay[[#This Row],[Budget-Rollup]])/DaybyDay[[#This Row],[Budget-Rollup]]),0),"")</f>
        <v>0</v>
      </c>
      <c r="X736" t="b">
        <f>NOT(AND(ISBLANK(DaybyDay[[#This Row],[Appts]]),ISBLANK(DaybyDay[[#This Row],[Service-Actuals]]),ISBLANK(DaybyDay[[#This Row],[Retail-Actuals]])))</f>
        <v>1</v>
      </c>
      <c r="Y736" s="36">
        <f>IF(DaybyDay[[#This Row],[_Space]],IFERROR(
((DaybyDay[[#This Row],[Actual-Rollup]]-DaybyDay[[#This Row],[LY-Rollup]])/DaybyDay[[#This Row],[LY-Rollup]]),0),"")</f>
        <v>0</v>
      </c>
      <c r="Z736"/>
      <c r="AA736" s="37" t="e">
        <f>IF(DaybyDay[[#This Row],[_Space]],DaybyDay[[#This Row],[Ret-Act-RU]]/DaybyDay[[#This Row],[Serv-Act-RU]],"")</f>
        <v>#DIV/0!</v>
      </c>
      <c r="AB736" s="50" t="e">
        <f>IF(DaybyDay[[#This Row],[_Space]],DaybyDay[[#This Row],[RETPEN-Act]]/DaybyDay[[#This Row],[RETPEN-Bud]],"")</f>
        <v>#DIV/0!</v>
      </c>
      <c r="AC736" s="37" t="e">
        <f>IF(DaybyDay[[#This Row],[_Space]],DaybyDay[[#This Row],[Ret-Bud-RU]]/DaybyDay[[#This Row],[Serv-Bud-RU]],"")</f>
        <v>#DIV/0!</v>
      </c>
      <c r="AD736" s="37" t="e">
        <f>IF(DaybyDay[[#This Row],[_Space]],DaybyDay[[#This Row],[Ret-LY-RU]]/DaybyDay[[#This Row],[Serv-LY-RU]],"")</f>
        <v>#DIV/0!</v>
      </c>
      <c r="AE736" s="30">
        <f>WEEKDAY(DaybyDay[[#This Row],[LY-Date]])</f>
        <v>2</v>
      </c>
      <c r="AF736" s="38">
        <f>$E$2+_xlfn.DAYS(DaybyDay[[#This Row],[Date]],minDate)</f>
        <v>43101</v>
      </c>
      <c r="AG736" s="39" cm="1">
        <f t="array" ref="AG736">IFERROR(INDEX(DaybyDay[],DaybyDay[[#This Row],[FORM_MATCH_HELPER]],8),"")</f>
        <v>17</v>
      </c>
      <c r="AH736" s="39" cm="1">
        <f t="array" ref="AH736">IFERROR(INDEX(DaybyDay[],DaybyDay[[#This Row],[FORM_MATCH_HELPER]],10),"")</f>
        <v>3699</v>
      </c>
      <c r="AI736" s="39" cm="1">
        <f t="array" ref="AI736">IFERROR(INDEX(DaybyDay[],DaybyDay[[#This Row],[FORM_MATCH_HELPER]],12),"")</f>
        <v>385</v>
      </c>
      <c r="AJ736" s="32">
        <f>IFERROR(DaybyDay[[#This Row],[Serv-LY-RU]]+DaybyDay[[#This Row],[Ret-LY-RU]],"")</f>
        <v>0</v>
      </c>
      <c r="AK7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6" s="77"/>
      <c r="AM736" s="40" t="str">
        <f>IF(DaybyDay[[#This Row],[Admin Hours]]&gt;0,DaybyDay[[#This Row],[Admin Hours]]*$AM$2+$AM$3,"")</f>
        <v/>
      </c>
      <c r="AN736" s="40">
        <f>SUMIFS(DaybyDay[Est-Admin-Payroll],DaybyDay[Date],"&gt;="&amp;$C$5,DaybyDay[RowYear],"&gt;="&amp;$C$4,DaybyDay[Date],"&lt;="&amp;DaybyDay[[#This Row],[Date]])</f>
        <v>0</v>
      </c>
      <c r="AO736" s="41" t="str">
        <f>IF(AND(DaybyDay[[#This Row],[_Space]],ISNUMBER(DaybyDay[[#This Row],[Admin Hours]])),DaybyDay[[#This Row],[Est-Admin-Payroll]]/(DaybyDay[[#This Row],[Service-Actuals]]+DaybyDay[[#This Row],[Retail-Actuals]]),"")</f>
        <v/>
      </c>
      <c r="AP736" s="41" t="e">
        <f>DaybyDay[[#This Row],[Estimated-Payroll-Rollup]]/DaybyDay[[#This Row],[Simple-Forecast]]</f>
        <v>#DIV/0!</v>
      </c>
      <c r="AQ7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6" s="77"/>
      <c r="AS736" s="40" t="str">
        <f>IF(DaybyDay[[#This Row],[Retail Hours]]&gt;0,DaybyDay[[#This Row],[Retail Hours]]*$AS$2,"")</f>
        <v/>
      </c>
      <c r="AT736" s="40">
        <f>SUMIFS(DaybyDay[Est-Retail-Payroll],DaybyDay[Date],"&gt;="&amp;$C$5,DaybyDay[RowYear],"&gt;="&amp;$C$4,DaybyDay[Date],"&lt;="&amp;DaybyDay[[#This Row],[Date]])</f>
        <v>0</v>
      </c>
      <c r="AU736" s="82" t="str">
        <f>IF(AND(DaybyDay[[#This Row],[_Space]],ISNUMBER(DaybyDay[[#This Row],[Retail Hours]])),DaybyDay[[#This Row],[Est-Retail-Payroll]]/(DaybyDay[[#This Row],[Retail-Actuals]]),"")</f>
        <v/>
      </c>
      <c r="AV736" s="82" t="e">
        <f>DaybyDay[[#This Row],[Est-Retail-PayrollRU]]/DaybyDay[[#This Row],[Simple-Forecast-Retail]]</f>
        <v>#DIV/0!</v>
      </c>
      <c r="AW736" s="8"/>
    </row>
    <row r="737" spans="3:56" hidden="1" x14ac:dyDescent="0.25">
      <c r="C737" s="26" t="str">
        <f>Tools!$C$1</f>
        <v>Example</v>
      </c>
      <c r="D737" s="27" t="s">
        <v>79</v>
      </c>
      <c r="E737" s="28">
        <v>2018</v>
      </c>
      <c r="F737" s="28">
        <f>MATCH(DaybyDay[[#This Row],[RowMonth]],Table3[SummaryMonth],0)</f>
        <v>12</v>
      </c>
      <c r="G737" s="29">
        <f>MATCH(DaybyDay[[#This Row],[LY-Date]],DaybyDay[Date],0)</f>
        <v>367</v>
      </c>
      <c r="H737" s="30">
        <f>WEEKDAY(DaybyDay[[#This Row],[Date]])</f>
        <v>3</v>
      </c>
      <c r="I737" s="31">
        <v>43466</v>
      </c>
      <c r="J737" s="74">
        <v>18</v>
      </c>
      <c r="K737" s="32">
        <f>SUMIFS(BudgetSeasonality[365 Seasonality],BudgetSeasonality[MonthAdjustment],DaybyDay[[#This Row],[Date]])*SUMIFS(Budgets[Service-Budget],Budgets[BudgetMonth],DaybyDay[[#This Row],[RowMonth]],Budgets[BudgetYear],DaybyDay[[#This Row],[RowYear]])</f>
        <v>5386.4530345780431</v>
      </c>
      <c r="L737" s="75">
        <v>4615.5</v>
      </c>
      <c r="M737" s="32">
        <f>INDEX(BudgetSeasonality[365 Seasonality],MATCH(DaybyDay[[#This Row],[Date]],BudgetSeasonality[MonthAdjustment],0))*SUMIFS(Budgets[Retail-Budget],Budgets[BudgetMonth],DaybyDay[[#This Row],[RowMonth]],Budgets[BudgetYear],DaybyDay[[#This Row],[RowYear]])</f>
        <v>1508.4946699059958</v>
      </c>
      <c r="N737" s="75">
        <v>223</v>
      </c>
      <c r="O737" s="33">
        <f>SUMIFS(DaybyDay[Service-Budgets],DaybyDay[Date],"&gt;="&amp;$C$5,DaybyDay[RowYear],"&gt;="&amp;$C$4,DaybyDay[Date],"&lt;="&amp;DaybyDay[[#This Row],[Date]])</f>
        <v>0</v>
      </c>
      <c r="P737" s="33">
        <f>SUMIFS(DaybyDay[Retail-Budgets],DaybyDay[Date],"&gt;="&amp;$C$5,DaybyDay[RowYear],"&gt;="&amp;$C$4,DaybyDay[Date],"&lt;="&amp;DaybyDay[[#This Row],[Date]])</f>
        <v>0</v>
      </c>
      <c r="Q737" s="34">
        <f>SUMIFS(DaybyDay[Service-Actuals],DaybyDay[Date],"&gt;="&amp;$C$5,DaybyDay[RowYear],"&gt;="&amp;$C$4,DaybyDay[Date],"&lt;="&amp;DaybyDay[[#This Row],[Date]])</f>
        <v>0</v>
      </c>
      <c r="R737" s="34">
        <f>SUMIFS(DaybyDay[Retail-Actuals],DaybyDay[Date],"&gt;="&amp;$C$5,DaybyDay[RowYear],"&gt;="&amp;$C$4,DaybyDay[Date],"&lt;="&amp;DaybyDay[[#This Row],[Date]])</f>
        <v>0</v>
      </c>
      <c r="S737" s="35">
        <f>SUMIFS(DaybyDay[Service-LY],DaybyDay[Date],"&gt;="&amp;$C$5,DaybyDay[RowYear],"&gt;="&amp;$C$4,DaybyDay[Date],"&lt;="&amp;DaybyDay[[#This Row],[Date]])</f>
        <v>0</v>
      </c>
      <c r="T737" s="35">
        <f>SUMIFS(DaybyDay[Retail-LY],DaybyDay[Date],"&gt;="&amp;$C$5,DaybyDay[RowYear],"&gt;="&amp;$C$4,DaybyDay[Date],"&lt;="&amp;DaybyDay[[#This Row],[Date]])</f>
        <v>0</v>
      </c>
      <c r="U737" s="32">
        <f>DaybyDay[[#This Row],[Serv-Bud-RU]]+DaybyDay[[#This Row],[Ret-Bud-RU]]</f>
        <v>0</v>
      </c>
      <c r="V737" s="32">
        <f>DaybyDay[[#This Row],[Serv-Act-RU]]+DaybyDay[[#This Row],[Ret-Act-RU]]</f>
        <v>0</v>
      </c>
      <c r="W737" s="36">
        <f>IF(DaybyDay[[#This Row],[_Space]],IFERROR(
((DaybyDay[[#This Row],[Actual-Rollup]]-DaybyDay[[#This Row],[Budget-Rollup]])/DaybyDay[[#This Row],[Budget-Rollup]]),0),"")</f>
        <v>0</v>
      </c>
      <c r="X737" t="b">
        <f>NOT(AND(ISBLANK(DaybyDay[[#This Row],[Appts]]),ISBLANK(DaybyDay[[#This Row],[Service-Actuals]]),ISBLANK(DaybyDay[[#This Row],[Retail-Actuals]])))</f>
        <v>1</v>
      </c>
      <c r="Y737" s="36">
        <f>IF(DaybyDay[[#This Row],[_Space]],IFERROR(
((DaybyDay[[#This Row],[Actual-Rollup]]-DaybyDay[[#This Row],[LY-Rollup]])/DaybyDay[[#This Row],[LY-Rollup]]),0),"")</f>
        <v>0</v>
      </c>
      <c r="Z737"/>
      <c r="AA737" s="37" t="e">
        <f>IF(DaybyDay[[#This Row],[_Space]],DaybyDay[[#This Row],[Ret-Act-RU]]/DaybyDay[[#This Row],[Serv-Act-RU]],"")</f>
        <v>#DIV/0!</v>
      </c>
      <c r="AB737" s="50" t="e">
        <f>IF(DaybyDay[[#This Row],[_Space]],DaybyDay[[#This Row],[RETPEN-Act]]/DaybyDay[[#This Row],[RETPEN-Bud]],"")</f>
        <v>#DIV/0!</v>
      </c>
      <c r="AC737" s="37" t="e">
        <f>IF(DaybyDay[[#This Row],[_Space]],DaybyDay[[#This Row],[Ret-Bud-RU]]/DaybyDay[[#This Row],[Serv-Bud-RU]],"")</f>
        <v>#DIV/0!</v>
      </c>
      <c r="AD737" s="37" t="e">
        <f>IF(DaybyDay[[#This Row],[_Space]],DaybyDay[[#This Row],[Ret-LY-RU]]/DaybyDay[[#This Row],[Serv-LY-RU]],"")</f>
        <v>#DIV/0!</v>
      </c>
      <c r="AE737" s="30">
        <f>WEEKDAY(DaybyDay[[#This Row],[LY-Date]])</f>
        <v>3</v>
      </c>
      <c r="AF737" s="38">
        <f>$E$2+_xlfn.DAYS(DaybyDay[[#This Row],[Date]],minDate)</f>
        <v>43102</v>
      </c>
      <c r="AG737" s="39" cm="1">
        <f t="array" ref="AG737">IFERROR(INDEX(DaybyDay[],DaybyDay[[#This Row],[FORM_MATCH_HELPER]],8),"")</f>
        <v>15</v>
      </c>
      <c r="AH737" s="39" cm="1">
        <f t="array" ref="AH737">IFERROR(INDEX(DaybyDay[],DaybyDay[[#This Row],[FORM_MATCH_HELPER]],10),"")</f>
        <v>3613.5</v>
      </c>
      <c r="AI737" s="39" cm="1">
        <f t="array" ref="AI737">IFERROR(INDEX(DaybyDay[],DaybyDay[[#This Row],[FORM_MATCH_HELPER]],12),"")</f>
        <v>730.5</v>
      </c>
      <c r="AJ737" s="32">
        <f>IFERROR(DaybyDay[[#This Row],[Serv-LY-RU]]+DaybyDay[[#This Row],[Ret-LY-RU]],"")</f>
        <v>0</v>
      </c>
      <c r="AK7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7" s="77"/>
      <c r="AM737" s="40" t="str">
        <f>IF(DaybyDay[[#This Row],[Admin Hours]]&gt;0,DaybyDay[[#This Row],[Admin Hours]]*$AM$2+$AM$3,"")</f>
        <v/>
      </c>
      <c r="AN737" s="40">
        <f>SUMIFS(DaybyDay[Est-Admin-Payroll],DaybyDay[Date],"&gt;="&amp;$C$5,DaybyDay[RowYear],"&gt;="&amp;$C$4,DaybyDay[Date],"&lt;="&amp;DaybyDay[[#This Row],[Date]])</f>
        <v>0</v>
      </c>
      <c r="AO737" s="41" t="str">
        <f>IF(AND(DaybyDay[[#This Row],[_Space]],ISNUMBER(DaybyDay[[#This Row],[Admin Hours]])),DaybyDay[[#This Row],[Est-Admin-Payroll]]/(DaybyDay[[#This Row],[Service-Actuals]]+DaybyDay[[#This Row],[Retail-Actuals]]),"")</f>
        <v/>
      </c>
      <c r="AP737" s="41" t="e">
        <f>DaybyDay[[#This Row],[Estimated-Payroll-Rollup]]/DaybyDay[[#This Row],[Simple-Forecast]]</f>
        <v>#DIV/0!</v>
      </c>
      <c r="AQ7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7" s="77"/>
      <c r="AS737" s="40" t="str">
        <f>IF(DaybyDay[[#This Row],[Retail Hours]]&gt;0,DaybyDay[[#This Row],[Retail Hours]]*$AS$2,"")</f>
        <v/>
      </c>
      <c r="AT737" s="40">
        <f>SUMIFS(DaybyDay[Est-Retail-Payroll],DaybyDay[Date],"&gt;="&amp;$C$5,DaybyDay[RowYear],"&gt;="&amp;$C$4,DaybyDay[Date],"&lt;="&amp;DaybyDay[[#This Row],[Date]])</f>
        <v>0</v>
      </c>
      <c r="AU737" s="82" t="str">
        <f>IF(AND(DaybyDay[[#This Row],[_Space]],ISNUMBER(DaybyDay[[#This Row],[Retail Hours]])),DaybyDay[[#This Row],[Est-Retail-Payroll]]/(DaybyDay[[#This Row],[Retail-Actuals]]),"")</f>
        <v/>
      </c>
      <c r="AV737" s="82" t="e">
        <f>DaybyDay[[#This Row],[Est-Retail-PayrollRU]]/DaybyDay[[#This Row],[Simple-Forecast-Retail]]</f>
        <v>#DIV/0!</v>
      </c>
      <c r="AW737" s="8"/>
    </row>
    <row r="738" spans="3:56" hidden="1" x14ac:dyDescent="0.25">
      <c r="C738" s="26" t="str">
        <f>Tools!$C$1</f>
        <v>Example</v>
      </c>
      <c r="D738" s="27" t="s">
        <v>79</v>
      </c>
      <c r="E738" s="28">
        <v>2018</v>
      </c>
      <c r="F738" s="28">
        <f>MATCH(DaybyDay[[#This Row],[RowMonth]],Table3[SummaryMonth],0)</f>
        <v>12</v>
      </c>
      <c r="G738" s="29">
        <f>MATCH(DaybyDay[[#This Row],[LY-Date]],DaybyDay[Date],0)</f>
        <v>368</v>
      </c>
      <c r="H738" s="30">
        <f>WEEKDAY(DaybyDay[[#This Row],[Date]])</f>
        <v>4</v>
      </c>
      <c r="I738" s="31">
        <v>43467</v>
      </c>
      <c r="J738" s="74">
        <v>25</v>
      </c>
      <c r="K738" s="32">
        <f>SUMIFS(BudgetSeasonality[365 Seasonality],BudgetSeasonality[MonthAdjustment],DaybyDay[[#This Row],[Date]])*SUMIFS(Budgets[Service-Budget],Budgets[BudgetMonth],DaybyDay[[#This Row],[RowMonth]],Budgets[BudgetYear],DaybyDay[[#This Row],[RowYear]])</f>
        <v>5984.2891356120181</v>
      </c>
      <c r="L738" s="75">
        <v>5214.37</v>
      </c>
      <c r="M738" s="32">
        <f>INDEX(BudgetSeasonality[365 Seasonality],MATCH(DaybyDay[[#This Row],[Date]],BudgetSeasonality[MonthAdjustment],0))*SUMIFS(Budgets[Retail-Budget],Budgets[BudgetMonth],DaybyDay[[#This Row],[RowMonth]],Budgets[BudgetYear],DaybyDay[[#This Row],[RowYear]])</f>
        <v>1675.9207230244151</v>
      </c>
      <c r="N738" s="75">
        <v>1676</v>
      </c>
      <c r="O738" s="33">
        <f>SUMIFS(DaybyDay[Service-Budgets],DaybyDay[Date],"&gt;="&amp;$C$5,DaybyDay[RowYear],"&gt;="&amp;$C$4,DaybyDay[Date],"&lt;="&amp;DaybyDay[[#This Row],[Date]])</f>
        <v>0</v>
      </c>
      <c r="P738" s="33">
        <f>SUMIFS(DaybyDay[Retail-Budgets],DaybyDay[Date],"&gt;="&amp;$C$5,DaybyDay[RowYear],"&gt;="&amp;$C$4,DaybyDay[Date],"&lt;="&amp;DaybyDay[[#This Row],[Date]])</f>
        <v>0</v>
      </c>
      <c r="Q738" s="34">
        <f>SUMIFS(DaybyDay[Service-Actuals],DaybyDay[Date],"&gt;="&amp;$C$5,DaybyDay[RowYear],"&gt;="&amp;$C$4,DaybyDay[Date],"&lt;="&amp;DaybyDay[[#This Row],[Date]])</f>
        <v>0</v>
      </c>
      <c r="R738" s="34">
        <f>SUMIFS(DaybyDay[Retail-Actuals],DaybyDay[Date],"&gt;="&amp;$C$5,DaybyDay[RowYear],"&gt;="&amp;$C$4,DaybyDay[Date],"&lt;="&amp;DaybyDay[[#This Row],[Date]])</f>
        <v>0</v>
      </c>
      <c r="S738" s="35">
        <f>SUMIFS(DaybyDay[Service-LY],DaybyDay[Date],"&gt;="&amp;$C$5,DaybyDay[RowYear],"&gt;="&amp;$C$4,DaybyDay[Date],"&lt;="&amp;DaybyDay[[#This Row],[Date]])</f>
        <v>0</v>
      </c>
      <c r="T738" s="35">
        <f>SUMIFS(DaybyDay[Retail-LY],DaybyDay[Date],"&gt;="&amp;$C$5,DaybyDay[RowYear],"&gt;="&amp;$C$4,DaybyDay[Date],"&lt;="&amp;DaybyDay[[#This Row],[Date]])</f>
        <v>0</v>
      </c>
      <c r="U738" s="32">
        <f>DaybyDay[[#This Row],[Serv-Bud-RU]]+DaybyDay[[#This Row],[Ret-Bud-RU]]</f>
        <v>0</v>
      </c>
      <c r="V738" s="32">
        <f>DaybyDay[[#This Row],[Serv-Act-RU]]+DaybyDay[[#This Row],[Ret-Act-RU]]</f>
        <v>0</v>
      </c>
      <c r="W738" s="36">
        <f>IF(DaybyDay[[#This Row],[_Space]],IFERROR(
((DaybyDay[[#This Row],[Actual-Rollup]]-DaybyDay[[#This Row],[Budget-Rollup]])/DaybyDay[[#This Row],[Budget-Rollup]]),0),"")</f>
        <v>0</v>
      </c>
      <c r="X738" t="b">
        <f>NOT(AND(ISBLANK(DaybyDay[[#This Row],[Appts]]),ISBLANK(DaybyDay[[#This Row],[Service-Actuals]]),ISBLANK(DaybyDay[[#This Row],[Retail-Actuals]])))</f>
        <v>1</v>
      </c>
      <c r="Y738" s="36">
        <f>IF(DaybyDay[[#This Row],[_Space]],IFERROR(
((DaybyDay[[#This Row],[Actual-Rollup]]-DaybyDay[[#This Row],[LY-Rollup]])/DaybyDay[[#This Row],[LY-Rollup]]),0),"")</f>
        <v>0</v>
      </c>
      <c r="Z738"/>
      <c r="AA738" s="37" t="e">
        <f>IF(DaybyDay[[#This Row],[_Space]],DaybyDay[[#This Row],[Ret-Act-RU]]/DaybyDay[[#This Row],[Serv-Act-RU]],"")</f>
        <v>#DIV/0!</v>
      </c>
      <c r="AB738" s="50" t="e">
        <f>IF(DaybyDay[[#This Row],[_Space]],DaybyDay[[#This Row],[RETPEN-Act]]/DaybyDay[[#This Row],[RETPEN-Bud]],"")</f>
        <v>#DIV/0!</v>
      </c>
      <c r="AC738" s="37" t="e">
        <f>IF(DaybyDay[[#This Row],[_Space]],DaybyDay[[#This Row],[Ret-Bud-RU]]/DaybyDay[[#This Row],[Serv-Bud-RU]],"")</f>
        <v>#DIV/0!</v>
      </c>
      <c r="AD738" s="37" t="e">
        <f>IF(DaybyDay[[#This Row],[_Space]],DaybyDay[[#This Row],[Ret-LY-RU]]/DaybyDay[[#This Row],[Serv-LY-RU]],"")</f>
        <v>#DIV/0!</v>
      </c>
      <c r="AE738" s="30">
        <f>WEEKDAY(DaybyDay[[#This Row],[LY-Date]])</f>
        <v>4</v>
      </c>
      <c r="AF738" s="38">
        <f>$E$2+_xlfn.DAYS(DaybyDay[[#This Row],[Date]],minDate)</f>
        <v>43103</v>
      </c>
      <c r="AG738" s="39" cm="1">
        <f t="array" ref="AG738">IFERROR(INDEX(DaybyDay[],DaybyDay[[#This Row],[FORM_MATCH_HELPER]],8),"")</f>
        <v>16</v>
      </c>
      <c r="AH738" s="39" cm="1">
        <f t="array" ref="AH738">IFERROR(INDEX(DaybyDay[],DaybyDay[[#This Row],[FORM_MATCH_HELPER]],10),"")</f>
        <v>3517.7</v>
      </c>
      <c r="AI738" s="39" cm="1">
        <f t="array" ref="AI738">IFERROR(INDEX(DaybyDay[],DaybyDay[[#This Row],[FORM_MATCH_HELPER]],12),"")</f>
        <v>0</v>
      </c>
      <c r="AJ738" s="32">
        <f>IFERROR(DaybyDay[[#This Row],[Serv-LY-RU]]+DaybyDay[[#This Row],[Ret-LY-RU]],"")</f>
        <v>0</v>
      </c>
      <c r="AK7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8" s="77"/>
      <c r="AM738" s="40" t="str">
        <f>IF(DaybyDay[[#This Row],[Admin Hours]]&gt;0,DaybyDay[[#This Row],[Admin Hours]]*$AM$2+$AM$3,"")</f>
        <v/>
      </c>
      <c r="AN738" s="40">
        <f>SUMIFS(DaybyDay[Est-Admin-Payroll],DaybyDay[Date],"&gt;="&amp;$C$5,DaybyDay[RowYear],"&gt;="&amp;$C$4,DaybyDay[Date],"&lt;="&amp;DaybyDay[[#This Row],[Date]])</f>
        <v>0</v>
      </c>
      <c r="AO738" s="41" t="str">
        <f>IF(AND(DaybyDay[[#This Row],[_Space]],ISNUMBER(DaybyDay[[#This Row],[Admin Hours]])),DaybyDay[[#This Row],[Est-Admin-Payroll]]/(DaybyDay[[#This Row],[Service-Actuals]]+DaybyDay[[#This Row],[Retail-Actuals]]),"")</f>
        <v/>
      </c>
      <c r="AP738" s="41" t="e">
        <f>DaybyDay[[#This Row],[Estimated-Payroll-Rollup]]/DaybyDay[[#This Row],[Simple-Forecast]]</f>
        <v>#DIV/0!</v>
      </c>
      <c r="AQ7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8" s="77"/>
      <c r="AS738" s="40" t="str">
        <f>IF(DaybyDay[[#This Row],[Retail Hours]]&gt;0,DaybyDay[[#This Row],[Retail Hours]]*$AS$2,"")</f>
        <v/>
      </c>
      <c r="AT738" s="40">
        <f>SUMIFS(DaybyDay[Est-Retail-Payroll],DaybyDay[Date],"&gt;="&amp;$C$5,DaybyDay[RowYear],"&gt;="&amp;$C$4,DaybyDay[Date],"&lt;="&amp;DaybyDay[[#This Row],[Date]])</f>
        <v>0</v>
      </c>
      <c r="AU738" s="82" t="str">
        <f>IF(AND(DaybyDay[[#This Row],[_Space]],ISNUMBER(DaybyDay[[#This Row],[Retail Hours]])),DaybyDay[[#This Row],[Est-Retail-Payroll]]/(DaybyDay[[#This Row],[Retail-Actuals]]),"")</f>
        <v/>
      </c>
      <c r="AV738" s="82" t="e">
        <f>DaybyDay[[#This Row],[Est-Retail-PayrollRU]]/DaybyDay[[#This Row],[Simple-Forecast-Retail]]</f>
        <v>#DIV/0!</v>
      </c>
      <c r="AW738" s="8"/>
    </row>
    <row r="739" spans="3:56" hidden="1" x14ac:dyDescent="0.25">
      <c r="C739" s="26" t="str">
        <f>Tools!$C$1</f>
        <v>Example</v>
      </c>
      <c r="D739" s="27" t="s">
        <v>79</v>
      </c>
      <c r="E739" s="28">
        <v>2018</v>
      </c>
      <c r="F739" s="28">
        <f>MATCH(DaybyDay[[#This Row],[RowMonth]],Table3[SummaryMonth],0)</f>
        <v>12</v>
      </c>
      <c r="G739" s="29">
        <f>MATCH(DaybyDay[[#This Row],[LY-Date]],DaybyDay[Date],0)</f>
        <v>369</v>
      </c>
      <c r="H739" s="30">
        <f>WEEKDAY(DaybyDay[[#This Row],[Date]])</f>
        <v>5</v>
      </c>
      <c r="I739" s="31">
        <v>43468</v>
      </c>
      <c r="J739" s="74">
        <v>25</v>
      </c>
      <c r="K739" s="32">
        <f>SUMIFS(BudgetSeasonality[365 Seasonality],BudgetSeasonality[MonthAdjustment],DaybyDay[[#This Row],[Date]])*SUMIFS(Budgets[Service-Budget],Budgets[BudgetMonth],DaybyDay[[#This Row],[RowMonth]],Budgets[BudgetYear],DaybyDay[[#This Row],[RowYear]])</f>
        <v>6058.8652591748914</v>
      </c>
      <c r="L739" s="75">
        <v>4670.1499999999996</v>
      </c>
      <c r="M739" s="32">
        <f>INDEX(BudgetSeasonality[365 Seasonality],MATCH(DaybyDay[[#This Row],[Date]],BudgetSeasonality[MonthAdjustment],0))*SUMIFS(Budgets[Retail-Budget],Budgets[BudgetMonth],DaybyDay[[#This Row],[RowMonth]],Budgets[BudgetYear],DaybyDay[[#This Row],[RowYear]])</f>
        <v>1696.8060225294275</v>
      </c>
      <c r="N739" s="75">
        <v>1264.7</v>
      </c>
      <c r="O739" s="33">
        <f>SUMIFS(DaybyDay[Service-Budgets],DaybyDay[Date],"&gt;="&amp;$C$5,DaybyDay[RowYear],"&gt;="&amp;$C$4,DaybyDay[Date],"&lt;="&amp;DaybyDay[[#This Row],[Date]])</f>
        <v>0</v>
      </c>
      <c r="P739" s="33">
        <f>SUMIFS(DaybyDay[Retail-Budgets],DaybyDay[Date],"&gt;="&amp;$C$5,DaybyDay[RowYear],"&gt;="&amp;$C$4,DaybyDay[Date],"&lt;="&amp;DaybyDay[[#This Row],[Date]])</f>
        <v>0</v>
      </c>
      <c r="Q739" s="34">
        <f>SUMIFS(DaybyDay[Service-Actuals],DaybyDay[Date],"&gt;="&amp;$C$5,DaybyDay[RowYear],"&gt;="&amp;$C$4,DaybyDay[Date],"&lt;="&amp;DaybyDay[[#This Row],[Date]])</f>
        <v>0</v>
      </c>
      <c r="R739" s="34">
        <f>SUMIFS(DaybyDay[Retail-Actuals],DaybyDay[Date],"&gt;="&amp;$C$5,DaybyDay[RowYear],"&gt;="&amp;$C$4,DaybyDay[Date],"&lt;="&amp;DaybyDay[[#This Row],[Date]])</f>
        <v>0</v>
      </c>
      <c r="S739" s="35">
        <f>SUMIFS(DaybyDay[Service-LY],DaybyDay[Date],"&gt;="&amp;$C$5,DaybyDay[RowYear],"&gt;="&amp;$C$4,DaybyDay[Date],"&lt;="&amp;DaybyDay[[#This Row],[Date]])</f>
        <v>0</v>
      </c>
      <c r="T739" s="35">
        <f>SUMIFS(DaybyDay[Retail-LY],DaybyDay[Date],"&gt;="&amp;$C$5,DaybyDay[RowYear],"&gt;="&amp;$C$4,DaybyDay[Date],"&lt;="&amp;DaybyDay[[#This Row],[Date]])</f>
        <v>0</v>
      </c>
      <c r="U739" s="32">
        <f>DaybyDay[[#This Row],[Serv-Bud-RU]]+DaybyDay[[#This Row],[Ret-Bud-RU]]</f>
        <v>0</v>
      </c>
      <c r="V739" s="32">
        <f>DaybyDay[[#This Row],[Serv-Act-RU]]+DaybyDay[[#This Row],[Ret-Act-RU]]</f>
        <v>0</v>
      </c>
      <c r="W739" s="36">
        <f>IF(DaybyDay[[#This Row],[_Space]],IFERROR(
((DaybyDay[[#This Row],[Actual-Rollup]]-DaybyDay[[#This Row],[Budget-Rollup]])/DaybyDay[[#This Row],[Budget-Rollup]]),0),"")</f>
        <v>0</v>
      </c>
      <c r="X739" t="b">
        <f>NOT(AND(ISBLANK(DaybyDay[[#This Row],[Appts]]),ISBLANK(DaybyDay[[#This Row],[Service-Actuals]]),ISBLANK(DaybyDay[[#This Row],[Retail-Actuals]])))</f>
        <v>1</v>
      </c>
      <c r="Y739" s="36">
        <f>IF(DaybyDay[[#This Row],[_Space]],IFERROR(
((DaybyDay[[#This Row],[Actual-Rollup]]-DaybyDay[[#This Row],[LY-Rollup]])/DaybyDay[[#This Row],[LY-Rollup]]),0),"")</f>
        <v>0</v>
      </c>
      <c r="Z739"/>
      <c r="AA739" s="37" t="e">
        <f>IF(DaybyDay[[#This Row],[_Space]],DaybyDay[[#This Row],[Ret-Act-RU]]/DaybyDay[[#This Row],[Serv-Act-RU]],"")</f>
        <v>#DIV/0!</v>
      </c>
      <c r="AB739" s="50" t="e">
        <f>IF(DaybyDay[[#This Row],[_Space]],DaybyDay[[#This Row],[RETPEN-Act]]/DaybyDay[[#This Row],[RETPEN-Bud]],"")</f>
        <v>#DIV/0!</v>
      </c>
      <c r="AC739" s="37" t="e">
        <f>IF(DaybyDay[[#This Row],[_Space]],DaybyDay[[#This Row],[Ret-Bud-RU]]/DaybyDay[[#This Row],[Serv-Bud-RU]],"")</f>
        <v>#DIV/0!</v>
      </c>
      <c r="AD739" s="37" t="e">
        <f>IF(DaybyDay[[#This Row],[_Space]],DaybyDay[[#This Row],[Ret-LY-RU]]/DaybyDay[[#This Row],[Serv-LY-RU]],"")</f>
        <v>#DIV/0!</v>
      </c>
      <c r="AE739" s="30">
        <f>WEEKDAY(DaybyDay[[#This Row],[LY-Date]])</f>
        <v>5</v>
      </c>
      <c r="AF739" s="38">
        <f>$E$2+_xlfn.DAYS(DaybyDay[[#This Row],[Date]],minDate)</f>
        <v>43104</v>
      </c>
      <c r="AG739" s="39" cm="1">
        <f t="array" ref="AG739">IFERROR(INDEX(DaybyDay[],DaybyDay[[#This Row],[FORM_MATCH_HELPER]],8),"")</f>
        <v>20</v>
      </c>
      <c r="AH739" s="39" cm="1">
        <f t="array" ref="AH739">IFERROR(INDEX(DaybyDay[],DaybyDay[[#This Row],[FORM_MATCH_HELPER]],10),"")</f>
        <v>5642</v>
      </c>
      <c r="AI739" s="39" cm="1">
        <f t="array" ref="AI739">IFERROR(INDEX(DaybyDay[],DaybyDay[[#This Row],[FORM_MATCH_HELPER]],12),"")</f>
        <v>1751.75</v>
      </c>
      <c r="AJ739" s="32">
        <f>IFERROR(DaybyDay[[#This Row],[Serv-LY-RU]]+DaybyDay[[#This Row],[Ret-LY-RU]],"")</f>
        <v>0</v>
      </c>
      <c r="AK7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39" s="77"/>
      <c r="AM739" s="40" t="str">
        <f>IF(DaybyDay[[#This Row],[Admin Hours]]&gt;0,DaybyDay[[#This Row],[Admin Hours]]*$AM$2+$AM$3,"")</f>
        <v/>
      </c>
      <c r="AN739" s="40">
        <f>SUMIFS(DaybyDay[Est-Admin-Payroll],DaybyDay[Date],"&gt;="&amp;$C$5,DaybyDay[RowYear],"&gt;="&amp;$C$4,DaybyDay[Date],"&lt;="&amp;DaybyDay[[#This Row],[Date]])</f>
        <v>0</v>
      </c>
      <c r="AO739" s="41" t="str">
        <f>IF(AND(DaybyDay[[#This Row],[_Space]],ISNUMBER(DaybyDay[[#This Row],[Admin Hours]])),DaybyDay[[#This Row],[Est-Admin-Payroll]]/(DaybyDay[[#This Row],[Service-Actuals]]+DaybyDay[[#This Row],[Retail-Actuals]]),"")</f>
        <v/>
      </c>
      <c r="AP739" s="41" t="e">
        <f>DaybyDay[[#This Row],[Estimated-Payroll-Rollup]]/DaybyDay[[#This Row],[Simple-Forecast]]</f>
        <v>#DIV/0!</v>
      </c>
      <c r="AQ7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39" s="77"/>
      <c r="AS739" s="40" t="str">
        <f>IF(DaybyDay[[#This Row],[Retail Hours]]&gt;0,DaybyDay[[#This Row],[Retail Hours]]*$AS$2,"")</f>
        <v/>
      </c>
      <c r="AT739" s="40">
        <f>SUMIFS(DaybyDay[Est-Retail-Payroll],DaybyDay[Date],"&gt;="&amp;$C$5,DaybyDay[RowYear],"&gt;="&amp;$C$4,DaybyDay[Date],"&lt;="&amp;DaybyDay[[#This Row],[Date]])</f>
        <v>0</v>
      </c>
      <c r="AU739" s="82" t="str">
        <f>IF(AND(DaybyDay[[#This Row],[_Space]],ISNUMBER(DaybyDay[[#This Row],[Retail Hours]])),DaybyDay[[#This Row],[Est-Retail-Payroll]]/(DaybyDay[[#This Row],[Retail-Actuals]]),"")</f>
        <v/>
      </c>
      <c r="AV739" s="82" t="e">
        <f>DaybyDay[[#This Row],[Est-Retail-PayrollRU]]/DaybyDay[[#This Row],[Simple-Forecast-Retail]]</f>
        <v>#DIV/0!</v>
      </c>
      <c r="AW739" s="8"/>
    </row>
    <row r="740" spans="3:56" hidden="1" x14ac:dyDescent="0.25">
      <c r="C740" s="26" t="str">
        <f>Tools!$C$1</f>
        <v>Example</v>
      </c>
      <c r="D740" s="27" t="s">
        <v>79</v>
      </c>
      <c r="E740" s="28">
        <v>2018</v>
      </c>
      <c r="F740" s="28">
        <f>MATCH(DaybyDay[[#This Row],[RowMonth]],Table3[SummaryMonth],0)</f>
        <v>12</v>
      </c>
      <c r="G740" s="29">
        <f>MATCH(DaybyDay[[#This Row],[LY-Date]],DaybyDay[Date],0)</f>
        <v>370</v>
      </c>
      <c r="H740" s="30">
        <f>WEEKDAY(DaybyDay[[#This Row],[Date]])</f>
        <v>6</v>
      </c>
      <c r="I740" s="31">
        <v>43469</v>
      </c>
      <c r="J740" s="74">
        <v>21</v>
      </c>
      <c r="K740" s="32">
        <f>SUMIFS(BudgetSeasonality[365 Seasonality],BudgetSeasonality[MonthAdjustment],DaybyDay[[#This Row],[Date]])*SUMIFS(Budgets[Service-Budget],Budgets[BudgetMonth],DaybyDay[[#This Row],[RowMonth]],Budgets[BudgetYear],DaybyDay[[#This Row],[RowYear]])</f>
        <v>7211.6160087201606</v>
      </c>
      <c r="L740" s="75">
        <v>4711.8</v>
      </c>
      <c r="M740" s="32">
        <f>INDEX(BudgetSeasonality[365 Seasonality],MATCH(DaybyDay[[#This Row],[Date]],BudgetSeasonality[MonthAdjustment],0))*SUMIFS(Budgets[Retail-Budget],Budgets[BudgetMonth],DaybyDay[[#This Row],[RowMonth]],Budgets[BudgetYear],DaybyDay[[#This Row],[RowYear]])</f>
        <v>2019.6378285910953</v>
      </c>
      <c r="N740" s="75">
        <v>68.5</v>
      </c>
      <c r="O740" s="33">
        <f>SUMIFS(DaybyDay[Service-Budgets],DaybyDay[Date],"&gt;="&amp;$C$5,DaybyDay[RowYear],"&gt;="&amp;$C$4,DaybyDay[Date],"&lt;="&amp;DaybyDay[[#This Row],[Date]])</f>
        <v>0</v>
      </c>
      <c r="P740" s="33">
        <f>SUMIFS(DaybyDay[Retail-Budgets],DaybyDay[Date],"&gt;="&amp;$C$5,DaybyDay[RowYear],"&gt;="&amp;$C$4,DaybyDay[Date],"&lt;="&amp;DaybyDay[[#This Row],[Date]])</f>
        <v>0</v>
      </c>
      <c r="Q740" s="34">
        <f>SUMIFS(DaybyDay[Service-Actuals],DaybyDay[Date],"&gt;="&amp;$C$5,DaybyDay[RowYear],"&gt;="&amp;$C$4,DaybyDay[Date],"&lt;="&amp;DaybyDay[[#This Row],[Date]])</f>
        <v>0</v>
      </c>
      <c r="R740" s="34">
        <f>SUMIFS(DaybyDay[Retail-Actuals],DaybyDay[Date],"&gt;="&amp;$C$5,DaybyDay[RowYear],"&gt;="&amp;$C$4,DaybyDay[Date],"&lt;="&amp;DaybyDay[[#This Row],[Date]])</f>
        <v>0</v>
      </c>
      <c r="S740" s="35">
        <f>SUMIFS(DaybyDay[Service-LY],DaybyDay[Date],"&gt;="&amp;$C$5,DaybyDay[RowYear],"&gt;="&amp;$C$4,DaybyDay[Date],"&lt;="&amp;DaybyDay[[#This Row],[Date]])</f>
        <v>0</v>
      </c>
      <c r="T740" s="35">
        <f>SUMIFS(DaybyDay[Retail-LY],DaybyDay[Date],"&gt;="&amp;$C$5,DaybyDay[RowYear],"&gt;="&amp;$C$4,DaybyDay[Date],"&lt;="&amp;DaybyDay[[#This Row],[Date]])</f>
        <v>0</v>
      </c>
      <c r="U740" s="32">
        <f>DaybyDay[[#This Row],[Serv-Bud-RU]]+DaybyDay[[#This Row],[Ret-Bud-RU]]</f>
        <v>0</v>
      </c>
      <c r="V740" s="32">
        <f>DaybyDay[[#This Row],[Serv-Act-RU]]+DaybyDay[[#This Row],[Ret-Act-RU]]</f>
        <v>0</v>
      </c>
      <c r="W740" s="36">
        <f>IF(DaybyDay[[#This Row],[_Space]],IFERROR(
((DaybyDay[[#This Row],[Actual-Rollup]]-DaybyDay[[#This Row],[Budget-Rollup]])/DaybyDay[[#This Row],[Budget-Rollup]]),0),"")</f>
        <v>0</v>
      </c>
      <c r="X740" t="b">
        <f>NOT(AND(ISBLANK(DaybyDay[[#This Row],[Appts]]),ISBLANK(DaybyDay[[#This Row],[Service-Actuals]]),ISBLANK(DaybyDay[[#This Row],[Retail-Actuals]])))</f>
        <v>1</v>
      </c>
      <c r="Y740" s="36">
        <f>IF(DaybyDay[[#This Row],[_Space]],IFERROR(
((DaybyDay[[#This Row],[Actual-Rollup]]-DaybyDay[[#This Row],[LY-Rollup]])/DaybyDay[[#This Row],[LY-Rollup]]),0),"")</f>
        <v>0</v>
      </c>
      <c r="Z740"/>
      <c r="AA740" s="37" t="e">
        <f>IF(DaybyDay[[#This Row],[_Space]],DaybyDay[[#This Row],[Ret-Act-RU]]/DaybyDay[[#This Row],[Serv-Act-RU]],"")</f>
        <v>#DIV/0!</v>
      </c>
      <c r="AB740" s="50" t="e">
        <f>IF(DaybyDay[[#This Row],[_Space]],DaybyDay[[#This Row],[RETPEN-Act]]/DaybyDay[[#This Row],[RETPEN-Bud]],"")</f>
        <v>#DIV/0!</v>
      </c>
      <c r="AC740" s="37" t="e">
        <f>IF(DaybyDay[[#This Row],[_Space]],DaybyDay[[#This Row],[Ret-Bud-RU]]/DaybyDay[[#This Row],[Serv-Bud-RU]],"")</f>
        <v>#DIV/0!</v>
      </c>
      <c r="AD740" s="37" t="e">
        <f>IF(DaybyDay[[#This Row],[_Space]],DaybyDay[[#This Row],[Ret-LY-RU]]/DaybyDay[[#This Row],[Serv-LY-RU]],"")</f>
        <v>#DIV/0!</v>
      </c>
      <c r="AE740" s="30">
        <f>WEEKDAY(DaybyDay[[#This Row],[LY-Date]])</f>
        <v>6</v>
      </c>
      <c r="AF740" s="38">
        <f>$E$2+_xlfn.DAYS(DaybyDay[[#This Row],[Date]],minDate)</f>
        <v>43105</v>
      </c>
      <c r="AG740" s="39" cm="1">
        <f t="array" ref="AG740">IFERROR(INDEX(DaybyDay[],DaybyDay[[#This Row],[FORM_MATCH_HELPER]],8),"")</f>
        <v>25</v>
      </c>
      <c r="AH740" s="39" cm="1">
        <f t="array" ref="AH740">IFERROR(INDEX(DaybyDay[],DaybyDay[[#This Row],[FORM_MATCH_HELPER]],10),"")</f>
        <v>4776.8900000000003</v>
      </c>
      <c r="AI740" s="39" cm="1">
        <f t="array" ref="AI740">IFERROR(INDEX(DaybyDay[],DaybyDay[[#This Row],[FORM_MATCH_HELPER]],12),"")</f>
        <v>2608.5</v>
      </c>
      <c r="AJ740" s="32">
        <f>IFERROR(DaybyDay[[#This Row],[Serv-LY-RU]]+DaybyDay[[#This Row],[Ret-LY-RU]],"")</f>
        <v>0</v>
      </c>
      <c r="AK7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0" s="77"/>
      <c r="AM740" s="40" t="str">
        <f>IF(DaybyDay[[#This Row],[Admin Hours]]&gt;0,DaybyDay[[#This Row],[Admin Hours]]*$AM$2+$AM$3,"")</f>
        <v/>
      </c>
      <c r="AN740" s="40">
        <f>SUMIFS(DaybyDay[Est-Admin-Payroll],DaybyDay[Date],"&gt;="&amp;$C$5,DaybyDay[RowYear],"&gt;="&amp;$C$4,DaybyDay[Date],"&lt;="&amp;DaybyDay[[#This Row],[Date]])</f>
        <v>0</v>
      </c>
      <c r="AO740" s="41" t="str">
        <f>IF(AND(DaybyDay[[#This Row],[_Space]],ISNUMBER(DaybyDay[[#This Row],[Admin Hours]])),DaybyDay[[#This Row],[Est-Admin-Payroll]]/(DaybyDay[[#This Row],[Service-Actuals]]+DaybyDay[[#This Row],[Retail-Actuals]]),"")</f>
        <v/>
      </c>
      <c r="AP740" s="41" t="e">
        <f>DaybyDay[[#This Row],[Estimated-Payroll-Rollup]]/DaybyDay[[#This Row],[Simple-Forecast]]</f>
        <v>#DIV/0!</v>
      </c>
      <c r="AQ7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0" s="77"/>
      <c r="AS740" s="40" t="str">
        <f>IF(DaybyDay[[#This Row],[Retail Hours]]&gt;0,DaybyDay[[#This Row],[Retail Hours]]*$AS$2,"")</f>
        <v/>
      </c>
      <c r="AT740" s="40">
        <f>SUMIFS(DaybyDay[Est-Retail-Payroll],DaybyDay[Date],"&gt;="&amp;$C$5,DaybyDay[RowYear],"&gt;="&amp;$C$4,DaybyDay[Date],"&lt;="&amp;DaybyDay[[#This Row],[Date]])</f>
        <v>0</v>
      </c>
      <c r="AU740" s="82" t="str">
        <f>IF(AND(DaybyDay[[#This Row],[_Space]],ISNUMBER(DaybyDay[[#This Row],[Retail Hours]])),DaybyDay[[#This Row],[Est-Retail-Payroll]]/(DaybyDay[[#This Row],[Retail-Actuals]]),"")</f>
        <v/>
      </c>
      <c r="AV740" s="82" t="e">
        <f>DaybyDay[[#This Row],[Est-Retail-PayrollRU]]/DaybyDay[[#This Row],[Simple-Forecast-Retail]]</f>
        <v>#DIV/0!</v>
      </c>
      <c r="AW740" s="8"/>
    </row>
    <row r="741" spans="3:56" hidden="1" x14ac:dyDescent="0.25">
      <c r="C741" s="26" t="str">
        <f>Tools!$C$1</f>
        <v>Example</v>
      </c>
      <c r="D741" s="27" t="s">
        <v>79</v>
      </c>
      <c r="E741" s="28">
        <v>2018</v>
      </c>
      <c r="F741" s="28">
        <f>MATCH(DaybyDay[[#This Row],[RowMonth]],Table3[SummaryMonth],0)</f>
        <v>12</v>
      </c>
      <c r="G741" s="29">
        <f>MATCH(DaybyDay[[#This Row],[LY-Date]],DaybyDay[Date],0)</f>
        <v>371</v>
      </c>
      <c r="H741" s="30">
        <f>WEEKDAY(DaybyDay[[#This Row],[Date]])</f>
        <v>7</v>
      </c>
      <c r="I741" s="31">
        <v>43470</v>
      </c>
      <c r="J741" s="74">
        <v>18</v>
      </c>
      <c r="K741" s="32">
        <f>SUMIFS(BudgetSeasonality[365 Seasonality],BudgetSeasonality[MonthAdjustment],DaybyDay[[#This Row],[Date]])*SUMIFS(Budgets[Service-Budget],Budgets[BudgetMonth],DaybyDay[[#This Row],[RowMonth]],Budgets[BudgetYear],DaybyDay[[#This Row],[RowYear]])</f>
        <v>9721.5570515421277</v>
      </c>
      <c r="L741" s="75">
        <v>4603</v>
      </c>
      <c r="M741" s="32">
        <f>INDEX(BudgetSeasonality[365 Seasonality],MATCH(DaybyDay[[#This Row],[Date]],BudgetSeasonality[MonthAdjustment],0))*SUMIFS(Budgets[Retail-Budget],Budgets[BudgetMonth],DaybyDay[[#This Row],[RowMonth]],Budgets[BudgetYear],DaybyDay[[#This Row],[RowYear]])</f>
        <v>2722.5554370005102</v>
      </c>
      <c r="N741" s="75">
        <v>450</v>
      </c>
      <c r="O741" s="33">
        <f>SUMIFS(DaybyDay[Service-Budgets],DaybyDay[Date],"&gt;="&amp;$C$5,DaybyDay[RowYear],"&gt;="&amp;$C$4,DaybyDay[Date],"&lt;="&amp;DaybyDay[[#This Row],[Date]])</f>
        <v>0</v>
      </c>
      <c r="P741" s="33">
        <f>SUMIFS(DaybyDay[Retail-Budgets],DaybyDay[Date],"&gt;="&amp;$C$5,DaybyDay[RowYear],"&gt;="&amp;$C$4,DaybyDay[Date],"&lt;="&amp;DaybyDay[[#This Row],[Date]])</f>
        <v>0</v>
      </c>
      <c r="Q741" s="34">
        <f>SUMIFS(DaybyDay[Service-Actuals],DaybyDay[Date],"&gt;="&amp;$C$5,DaybyDay[RowYear],"&gt;="&amp;$C$4,DaybyDay[Date],"&lt;="&amp;DaybyDay[[#This Row],[Date]])</f>
        <v>0</v>
      </c>
      <c r="R741" s="34">
        <f>SUMIFS(DaybyDay[Retail-Actuals],DaybyDay[Date],"&gt;="&amp;$C$5,DaybyDay[RowYear],"&gt;="&amp;$C$4,DaybyDay[Date],"&lt;="&amp;DaybyDay[[#This Row],[Date]])</f>
        <v>0</v>
      </c>
      <c r="S741" s="35">
        <f>SUMIFS(DaybyDay[Service-LY],DaybyDay[Date],"&gt;="&amp;$C$5,DaybyDay[RowYear],"&gt;="&amp;$C$4,DaybyDay[Date],"&lt;="&amp;DaybyDay[[#This Row],[Date]])</f>
        <v>0</v>
      </c>
      <c r="T741" s="35">
        <f>SUMIFS(DaybyDay[Retail-LY],DaybyDay[Date],"&gt;="&amp;$C$5,DaybyDay[RowYear],"&gt;="&amp;$C$4,DaybyDay[Date],"&lt;="&amp;DaybyDay[[#This Row],[Date]])</f>
        <v>0</v>
      </c>
      <c r="U741" s="32">
        <f>DaybyDay[[#This Row],[Serv-Bud-RU]]+DaybyDay[[#This Row],[Ret-Bud-RU]]</f>
        <v>0</v>
      </c>
      <c r="V741" s="32">
        <f>DaybyDay[[#This Row],[Serv-Act-RU]]+DaybyDay[[#This Row],[Ret-Act-RU]]</f>
        <v>0</v>
      </c>
      <c r="W741" s="36">
        <f>IF(DaybyDay[[#This Row],[_Space]],IFERROR(
((DaybyDay[[#This Row],[Actual-Rollup]]-DaybyDay[[#This Row],[Budget-Rollup]])/DaybyDay[[#This Row],[Budget-Rollup]]),0),"")</f>
        <v>0</v>
      </c>
      <c r="X741" t="b">
        <f>NOT(AND(ISBLANK(DaybyDay[[#This Row],[Appts]]),ISBLANK(DaybyDay[[#This Row],[Service-Actuals]]),ISBLANK(DaybyDay[[#This Row],[Retail-Actuals]])))</f>
        <v>1</v>
      </c>
      <c r="Y741" s="36">
        <f>IF(DaybyDay[[#This Row],[_Space]],IFERROR(
((DaybyDay[[#This Row],[Actual-Rollup]]-DaybyDay[[#This Row],[LY-Rollup]])/DaybyDay[[#This Row],[LY-Rollup]]),0),"")</f>
        <v>0</v>
      </c>
      <c r="Z741"/>
      <c r="AA741" s="37" t="e">
        <f>IF(DaybyDay[[#This Row],[_Space]],DaybyDay[[#This Row],[Ret-Act-RU]]/DaybyDay[[#This Row],[Serv-Act-RU]],"")</f>
        <v>#DIV/0!</v>
      </c>
      <c r="AB741" s="50" t="e">
        <f>IF(DaybyDay[[#This Row],[_Space]],DaybyDay[[#This Row],[RETPEN-Act]]/DaybyDay[[#This Row],[RETPEN-Bud]],"")</f>
        <v>#DIV/0!</v>
      </c>
      <c r="AC741" s="37" t="e">
        <f>IF(DaybyDay[[#This Row],[_Space]],DaybyDay[[#This Row],[Ret-Bud-RU]]/DaybyDay[[#This Row],[Serv-Bud-RU]],"")</f>
        <v>#DIV/0!</v>
      </c>
      <c r="AD741" s="37" t="e">
        <f>IF(DaybyDay[[#This Row],[_Space]],DaybyDay[[#This Row],[Ret-LY-RU]]/DaybyDay[[#This Row],[Serv-LY-RU]],"")</f>
        <v>#DIV/0!</v>
      </c>
      <c r="AE741" s="30">
        <f>WEEKDAY(DaybyDay[[#This Row],[LY-Date]])</f>
        <v>7</v>
      </c>
      <c r="AF741" s="38">
        <f>$E$2+_xlfn.DAYS(DaybyDay[[#This Row],[Date]],minDate)</f>
        <v>43106</v>
      </c>
      <c r="AG741" s="39" cm="1">
        <f t="array" ref="AG741">IFERROR(INDEX(DaybyDay[],DaybyDay[[#This Row],[FORM_MATCH_HELPER]],8),"")</f>
        <v>25</v>
      </c>
      <c r="AH741" s="39" cm="1">
        <f t="array" ref="AH741">IFERROR(INDEX(DaybyDay[],DaybyDay[[#This Row],[FORM_MATCH_HELPER]],10),"")</f>
        <v>6741</v>
      </c>
      <c r="AI741" s="39" cm="1">
        <f t="array" ref="AI741">IFERROR(INDEX(DaybyDay[],DaybyDay[[#This Row],[FORM_MATCH_HELPER]],12),"")</f>
        <v>561</v>
      </c>
      <c r="AJ741" s="32">
        <f>IFERROR(DaybyDay[[#This Row],[Serv-LY-RU]]+DaybyDay[[#This Row],[Ret-LY-RU]],"")</f>
        <v>0</v>
      </c>
      <c r="AK7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1" s="77"/>
      <c r="AM741" s="40" t="str">
        <f>IF(DaybyDay[[#This Row],[Admin Hours]]&gt;0,DaybyDay[[#This Row],[Admin Hours]]*$AM$2+$AM$3,"")</f>
        <v/>
      </c>
      <c r="AN741" s="40">
        <f>SUMIFS(DaybyDay[Est-Admin-Payroll],DaybyDay[Date],"&gt;="&amp;$C$5,DaybyDay[RowYear],"&gt;="&amp;$C$4,DaybyDay[Date],"&lt;="&amp;DaybyDay[[#This Row],[Date]])</f>
        <v>0</v>
      </c>
      <c r="AO741" s="41" t="str">
        <f>IF(AND(DaybyDay[[#This Row],[_Space]],ISNUMBER(DaybyDay[[#This Row],[Admin Hours]])),DaybyDay[[#This Row],[Est-Admin-Payroll]]/(DaybyDay[[#This Row],[Service-Actuals]]+DaybyDay[[#This Row],[Retail-Actuals]]),"")</f>
        <v/>
      </c>
      <c r="AP741" s="41" t="e">
        <f>DaybyDay[[#This Row],[Estimated-Payroll-Rollup]]/DaybyDay[[#This Row],[Simple-Forecast]]</f>
        <v>#DIV/0!</v>
      </c>
      <c r="AQ7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1" s="77"/>
      <c r="AS741" s="40" t="str">
        <f>IF(DaybyDay[[#This Row],[Retail Hours]]&gt;0,DaybyDay[[#This Row],[Retail Hours]]*$AS$2,"")</f>
        <v/>
      </c>
      <c r="AT741" s="40">
        <f>SUMIFS(DaybyDay[Est-Retail-Payroll],DaybyDay[Date],"&gt;="&amp;$C$5,DaybyDay[RowYear],"&gt;="&amp;$C$4,DaybyDay[Date],"&lt;="&amp;DaybyDay[[#This Row],[Date]])</f>
        <v>0</v>
      </c>
      <c r="AU741" s="82" t="str">
        <f>IF(AND(DaybyDay[[#This Row],[_Space]],ISNUMBER(DaybyDay[[#This Row],[Retail Hours]])),DaybyDay[[#This Row],[Est-Retail-Payroll]]/(DaybyDay[[#This Row],[Retail-Actuals]]),"")</f>
        <v/>
      </c>
      <c r="AV741" s="82" t="e">
        <f>DaybyDay[[#This Row],[Est-Retail-PayrollRU]]/DaybyDay[[#This Row],[Simple-Forecast-Retail]]</f>
        <v>#DIV/0!</v>
      </c>
      <c r="AW741" s="8"/>
    </row>
    <row r="742" spans="3:56" hidden="1" x14ac:dyDescent="0.25">
      <c r="C742" s="26" t="str">
        <f>Tools!$C$1</f>
        <v>Example</v>
      </c>
      <c r="D742" s="27" t="s">
        <v>68</v>
      </c>
      <c r="E742" s="28">
        <v>2019</v>
      </c>
      <c r="F742" s="28">
        <f>MATCH(DaybyDay[[#This Row],[RowMonth]],Table3[SummaryMonth],0)</f>
        <v>1</v>
      </c>
      <c r="G742" s="29">
        <f>MATCH(DaybyDay[[#This Row],[LY-Date]],DaybyDay[Date],0)</f>
        <v>372</v>
      </c>
      <c r="H742" s="30">
        <f>WEEKDAY(DaybyDay[[#This Row],[Date]])</f>
        <v>1</v>
      </c>
      <c r="I742" s="31">
        <v>43471</v>
      </c>
      <c r="J742" s="74">
        <v>29</v>
      </c>
      <c r="K742" s="32">
        <f>SUMIFS(BudgetSeasonality[365 Seasonality],BudgetSeasonality[MonthAdjustment],DaybyDay[[#This Row],[Date]])*SUMIFS(Budgets[Service-Budget],Budgets[BudgetMonth],DaybyDay[[#This Row],[RowMonth]],Budgets[BudgetYear],DaybyDay[[#This Row],[RowYear]])</f>
        <v>5985.6365686427598</v>
      </c>
      <c r="L742" s="75">
        <v>5580.05</v>
      </c>
      <c r="M742" s="32">
        <f>INDEX(BudgetSeasonality[365 Seasonality],MATCH(DaybyDay[[#This Row],[Date]],BudgetSeasonality[MonthAdjustment],0))*SUMIFS(Budgets[Retail-Budget],Budgets[BudgetMonth],DaybyDay[[#This Row],[RowMonth]],Budgets[BudgetYear],DaybyDay[[#This Row],[RowYear]])</f>
        <v>1059.0924177000325</v>
      </c>
      <c r="N742" s="75">
        <v>766.25</v>
      </c>
      <c r="O742" s="33">
        <f>SUMIFS(DaybyDay[Service-Budgets],DaybyDay[Date],"&gt;="&amp;$C$5,DaybyDay[RowYear],"&gt;="&amp;$C$4,DaybyDay[Date],"&lt;="&amp;DaybyDay[[#This Row],[Date]])</f>
        <v>0</v>
      </c>
      <c r="P742" s="33">
        <f>SUMIFS(DaybyDay[Retail-Budgets],DaybyDay[Date],"&gt;="&amp;$C$5,DaybyDay[RowYear],"&gt;="&amp;$C$4,DaybyDay[Date],"&lt;="&amp;DaybyDay[[#This Row],[Date]])</f>
        <v>0</v>
      </c>
      <c r="Q742" s="34">
        <f>SUMIFS(DaybyDay[Service-Actuals],DaybyDay[Date],"&gt;="&amp;$C$5,DaybyDay[RowYear],"&gt;="&amp;$C$4,DaybyDay[Date],"&lt;="&amp;DaybyDay[[#This Row],[Date]])</f>
        <v>0</v>
      </c>
      <c r="R742" s="34">
        <f>SUMIFS(DaybyDay[Retail-Actuals],DaybyDay[Date],"&gt;="&amp;$C$5,DaybyDay[RowYear],"&gt;="&amp;$C$4,DaybyDay[Date],"&lt;="&amp;DaybyDay[[#This Row],[Date]])</f>
        <v>0</v>
      </c>
      <c r="S742" s="35">
        <f>SUMIFS(DaybyDay[Service-LY],DaybyDay[Date],"&gt;="&amp;$C$5,DaybyDay[RowYear],"&gt;="&amp;$C$4,DaybyDay[Date],"&lt;="&amp;DaybyDay[[#This Row],[Date]])</f>
        <v>0</v>
      </c>
      <c r="T742" s="35">
        <f>SUMIFS(DaybyDay[Retail-LY],DaybyDay[Date],"&gt;="&amp;$C$5,DaybyDay[RowYear],"&gt;="&amp;$C$4,DaybyDay[Date],"&lt;="&amp;DaybyDay[[#This Row],[Date]])</f>
        <v>0</v>
      </c>
      <c r="U742" s="32">
        <f>DaybyDay[[#This Row],[Serv-Bud-RU]]+DaybyDay[[#This Row],[Ret-Bud-RU]]</f>
        <v>0</v>
      </c>
      <c r="V742" s="32">
        <f>DaybyDay[[#This Row],[Serv-Act-RU]]+DaybyDay[[#This Row],[Ret-Act-RU]]</f>
        <v>0</v>
      </c>
      <c r="W742" s="36">
        <f>IF(DaybyDay[[#This Row],[_Space]],IFERROR(
((DaybyDay[[#This Row],[Actual-Rollup]]-DaybyDay[[#This Row],[Budget-Rollup]])/DaybyDay[[#This Row],[Budget-Rollup]]),0),"")</f>
        <v>0</v>
      </c>
      <c r="X742" t="b">
        <f>NOT(AND(ISBLANK(DaybyDay[[#This Row],[Appts]]),ISBLANK(DaybyDay[[#This Row],[Service-Actuals]]),ISBLANK(DaybyDay[[#This Row],[Retail-Actuals]])))</f>
        <v>1</v>
      </c>
      <c r="Y742" s="36">
        <f>IF(DaybyDay[[#This Row],[_Space]],IFERROR(
((DaybyDay[[#This Row],[Actual-Rollup]]-DaybyDay[[#This Row],[LY-Rollup]])/DaybyDay[[#This Row],[LY-Rollup]]),0),"")</f>
        <v>0</v>
      </c>
      <c r="Z742"/>
      <c r="AA742" s="37" t="e">
        <f>IF(DaybyDay[[#This Row],[_Space]],DaybyDay[[#This Row],[Ret-Act-RU]]/DaybyDay[[#This Row],[Serv-Act-RU]],"")</f>
        <v>#DIV/0!</v>
      </c>
      <c r="AB742" s="50" t="e">
        <f>IF(DaybyDay[[#This Row],[_Space]],DaybyDay[[#This Row],[RETPEN-Act]]/DaybyDay[[#This Row],[RETPEN-Bud]],"")</f>
        <v>#DIV/0!</v>
      </c>
      <c r="AC742" s="37" t="e">
        <f>IF(DaybyDay[[#This Row],[_Space]],DaybyDay[[#This Row],[Ret-Bud-RU]]/DaybyDay[[#This Row],[Serv-Bud-RU]],"")</f>
        <v>#DIV/0!</v>
      </c>
      <c r="AD742" s="37" t="e">
        <f>IF(DaybyDay[[#This Row],[_Space]],DaybyDay[[#This Row],[Ret-LY-RU]]/DaybyDay[[#This Row],[Serv-LY-RU]],"")</f>
        <v>#DIV/0!</v>
      </c>
      <c r="AE742" s="30">
        <f>WEEKDAY(DaybyDay[[#This Row],[LY-Date]])</f>
        <v>1</v>
      </c>
      <c r="AF742" s="38">
        <f>$E$2+_xlfn.DAYS(DaybyDay[[#This Row],[Date]],minDate)</f>
        <v>43107</v>
      </c>
      <c r="AG742" s="39" cm="1">
        <f t="array" ref="AG742">IFERROR(INDEX(DaybyDay[],DaybyDay[[#This Row],[FORM_MATCH_HELPER]],8),"")</f>
        <v>25</v>
      </c>
      <c r="AH742" s="39" cm="1">
        <f t="array" ref="AH742">IFERROR(INDEX(DaybyDay[],DaybyDay[[#This Row],[FORM_MATCH_HELPER]],10),"")</f>
        <v>5549</v>
      </c>
      <c r="AI742" s="39" cm="1">
        <f t="array" ref="AI742">IFERROR(INDEX(DaybyDay[],DaybyDay[[#This Row],[FORM_MATCH_HELPER]],12),"")</f>
        <v>438</v>
      </c>
      <c r="AJ742" s="32">
        <f>IFERROR(DaybyDay[[#This Row],[Serv-LY-RU]]+DaybyDay[[#This Row],[Ret-LY-RU]],"")</f>
        <v>0</v>
      </c>
      <c r="AK7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2" s="77"/>
      <c r="AM742" s="40" t="str">
        <f>IF(DaybyDay[[#This Row],[Admin Hours]]&gt;0,DaybyDay[[#This Row],[Admin Hours]]*$AM$2+$AM$3,"")</f>
        <v/>
      </c>
      <c r="AN742" s="40">
        <f>SUMIFS(DaybyDay[Est-Admin-Payroll],DaybyDay[Date],"&gt;="&amp;$C$5,DaybyDay[RowYear],"&gt;="&amp;$C$4,DaybyDay[Date],"&lt;="&amp;DaybyDay[[#This Row],[Date]])</f>
        <v>0</v>
      </c>
      <c r="AO742" s="41" t="str">
        <f>IF(AND(DaybyDay[[#This Row],[_Space]],ISNUMBER(DaybyDay[[#This Row],[Admin Hours]])),DaybyDay[[#This Row],[Est-Admin-Payroll]]/(DaybyDay[[#This Row],[Service-Actuals]]+DaybyDay[[#This Row],[Retail-Actuals]]),"")</f>
        <v/>
      </c>
      <c r="AP742" s="41" t="e">
        <f>DaybyDay[[#This Row],[Estimated-Payroll-Rollup]]/DaybyDay[[#This Row],[Simple-Forecast]]</f>
        <v>#DIV/0!</v>
      </c>
      <c r="AQ7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2" s="77"/>
      <c r="AS742" s="40" t="str">
        <f>IF(DaybyDay[[#This Row],[Retail Hours]]&gt;0,DaybyDay[[#This Row],[Retail Hours]]*$AS$2,"")</f>
        <v/>
      </c>
      <c r="AT742" s="40">
        <f>SUMIFS(DaybyDay[Est-Retail-Payroll],DaybyDay[Date],"&gt;="&amp;$C$5,DaybyDay[RowYear],"&gt;="&amp;$C$4,DaybyDay[Date],"&lt;="&amp;DaybyDay[[#This Row],[Date]])</f>
        <v>0</v>
      </c>
      <c r="AU742" s="82" t="str">
        <f>IF(AND(DaybyDay[[#This Row],[_Space]],ISNUMBER(DaybyDay[[#This Row],[Retail Hours]])),DaybyDay[[#This Row],[Est-Retail-Payroll]]/(DaybyDay[[#This Row],[Retail-Actuals]]),"")</f>
        <v/>
      </c>
      <c r="AV742" s="82" t="e">
        <f>DaybyDay[[#This Row],[Est-Retail-PayrollRU]]/DaybyDay[[#This Row],[Simple-Forecast-Retail]]</f>
        <v>#DIV/0!</v>
      </c>
      <c r="AW742" s="8"/>
    </row>
    <row r="743" spans="3:56" hidden="1" x14ac:dyDescent="0.25">
      <c r="C743" s="26" t="str">
        <f>Tools!$C$1</f>
        <v>Example</v>
      </c>
      <c r="D743" s="27" t="s">
        <v>68</v>
      </c>
      <c r="E743" s="28">
        <v>2019</v>
      </c>
      <c r="F743" s="28">
        <f>MATCH(DaybyDay[[#This Row],[RowMonth]],Table3[SummaryMonth],0)</f>
        <v>1</v>
      </c>
      <c r="G743" s="29">
        <f>MATCH(DaybyDay[[#This Row],[LY-Date]],DaybyDay[Date],0)</f>
        <v>373</v>
      </c>
      <c r="H743" s="30">
        <f>WEEKDAY(DaybyDay[[#This Row],[Date]])</f>
        <v>2</v>
      </c>
      <c r="I743" s="31">
        <v>43472</v>
      </c>
      <c r="J743" s="74">
        <v>10</v>
      </c>
      <c r="K743" s="32">
        <f>SUMIFS(BudgetSeasonality[365 Seasonality],BudgetSeasonality[MonthAdjustment],DaybyDay[[#This Row],[Date]])*SUMIFS(Budgets[Service-Budget],Budgets[BudgetMonth],DaybyDay[[#This Row],[RowMonth]],Budgets[BudgetYear],DaybyDay[[#This Row],[RowYear]])</f>
        <v>3795.7745690234383</v>
      </c>
      <c r="L743" s="75">
        <v>1931</v>
      </c>
      <c r="M743" s="32">
        <f>INDEX(BudgetSeasonality[365 Seasonality],MATCH(DaybyDay[[#This Row],[Date]],BudgetSeasonality[MonthAdjustment],0))*SUMIFS(Budgets[Retail-Budget],Budgets[BudgetMonth],DaybyDay[[#This Row],[RowMonth]],Budgets[BudgetYear],DaybyDay[[#This Row],[RowYear]])</f>
        <v>671.62047331966266</v>
      </c>
      <c r="N743" s="75">
        <v>207</v>
      </c>
      <c r="O743" s="33">
        <f>SUMIFS(DaybyDay[Service-Budgets],DaybyDay[Date],"&gt;="&amp;$C$5,DaybyDay[RowYear],"&gt;="&amp;$C$4,DaybyDay[Date],"&lt;="&amp;DaybyDay[[#This Row],[Date]])</f>
        <v>0</v>
      </c>
      <c r="P743" s="33">
        <f>SUMIFS(DaybyDay[Retail-Budgets],DaybyDay[Date],"&gt;="&amp;$C$5,DaybyDay[RowYear],"&gt;="&amp;$C$4,DaybyDay[Date],"&lt;="&amp;DaybyDay[[#This Row],[Date]])</f>
        <v>0</v>
      </c>
      <c r="Q743" s="34">
        <f>SUMIFS(DaybyDay[Service-Actuals],DaybyDay[Date],"&gt;="&amp;$C$5,DaybyDay[RowYear],"&gt;="&amp;$C$4,DaybyDay[Date],"&lt;="&amp;DaybyDay[[#This Row],[Date]])</f>
        <v>0</v>
      </c>
      <c r="R743" s="34">
        <f>SUMIFS(DaybyDay[Retail-Actuals],DaybyDay[Date],"&gt;="&amp;$C$5,DaybyDay[RowYear],"&gt;="&amp;$C$4,DaybyDay[Date],"&lt;="&amp;DaybyDay[[#This Row],[Date]])</f>
        <v>0</v>
      </c>
      <c r="S743" s="35">
        <f>SUMIFS(DaybyDay[Service-LY],DaybyDay[Date],"&gt;="&amp;$C$5,DaybyDay[RowYear],"&gt;="&amp;$C$4,DaybyDay[Date],"&lt;="&amp;DaybyDay[[#This Row],[Date]])</f>
        <v>0</v>
      </c>
      <c r="T743" s="35">
        <f>SUMIFS(DaybyDay[Retail-LY],DaybyDay[Date],"&gt;="&amp;$C$5,DaybyDay[RowYear],"&gt;="&amp;$C$4,DaybyDay[Date],"&lt;="&amp;DaybyDay[[#This Row],[Date]])</f>
        <v>0</v>
      </c>
      <c r="U743" s="32">
        <f>DaybyDay[[#This Row],[Serv-Bud-RU]]+DaybyDay[[#This Row],[Ret-Bud-RU]]</f>
        <v>0</v>
      </c>
      <c r="V743" s="32">
        <f>DaybyDay[[#This Row],[Serv-Act-RU]]+DaybyDay[[#This Row],[Ret-Act-RU]]</f>
        <v>0</v>
      </c>
      <c r="W743" s="36">
        <f>IF(DaybyDay[[#This Row],[_Space]],IFERROR(
((DaybyDay[[#This Row],[Actual-Rollup]]-DaybyDay[[#This Row],[Budget-Rollup]])/DaybyDay[[#This Row],[Budget-Rollup]]),0),"")</f>
        <v>0</v>
      </c>
      <c r="X743" t="b">
        <f>NOT(AND(ISBLANK(DaybyDay[[#This Row],[Appts]]),ISBLANK(DaybyDay[[#This Row],[Service-Actuals]]),ISBLANK(DaybyDay[[#This Row],[Retail-Actuals]])))</f>
        <v>1</v>
      </c>
      <c r="Y743" s="36">
        <f>IF(DaybyDay[[#This Row],[_Space]],IFERROR(
((DaybyDay[[#This Row],[Actual-Rollup]]-DaybyDay[[#This Row],[LY-Rollup]])/DaybyDay[[#This Row],[LY-Rollup]]),0),"")</f>
        <v>0</v>
      </c>
      <c r="Z743"/>
      <c r="AA743" s="37" t="e">
        <f>IF(DaybyDay[[#This Row],[_Space]],DaybyDay[[#This Row],[Ret-Act-RU]]/DaybyDay[[#This Row],[Serv-Act-RU]],"")</f>
        <v>#DIV/0!</v>
      </c>
      <c r="AB743" s="50" t="e">
        <f>IF(DaybyDay[[#This Row],[_Space]],DaybyDay[[#This Row],[RETPEN-Act]]/DaybyDay[[#This Row],[RETPEN-Bud]],"")</f>
        <v>#DIV/0!</v>
      </c>
      <c r="AC743" s="37" t="e">
        <f>IF(DaybyDay[[#This Row],[_Space]],DaybyDay[[#This Row],[Ret-Bud-RU]]/DaybyDay[[#This Row],[Serv-Bud-RU]],"")</f>
        <v>#DIV/0!</v>
      </c>
      <c r="AD743" s="37" t="e">
        <f>IF(DaybyDay[[#This Row],[_Space]],DaybyDay[[#This Row],[Ret-LY-RU]]/DaybyDay[[#This Row],[Serv-LY-RU]],"")</f>
        <v>#DIV/0!</v>
      </c>
      <c r="AE743" s="30">
        <f>WEEKDAY(DaybyDay[[#This Row],[LY-Date]])</f>
        <v>2</v>
      </c>
      <c r="AF743" s="38">
        <f>$E$2+_xlfn.DAYS(DaybyDay[[#This Row],[Date]],minDate)</f>
        <v>43108</v>
      </c>
      <c r="AG743" s="39" cm="1">
        <f t="array" ref="AG743">IFERROR(INDEX(DaybyDay[],DaybyDay[[#This Row],[FORM_MATCH_HELPER]],8),"")</f>
        <v>7</v>
      </c>
      <c r="AH743" s="39" cm="1">
        <f t="array" ref="AH743">IFERROR(INDEX(DaybyDay[],DaybyDay[[#This Row],[FORM_MATCH_HELPER]],10),"")</f>
        <v>1248.5</v>
      </c>
      <c r="AI743" s="39" cm="1">
        <f t="array" ref="AI743">IFERROR(INDEX(DaybyDay[],DaybyDay[[#This Row],[FORM_MATCH_HELPER]],12),"")</f>
        <v>738</v>
      </c>
      <c r="AJ743" s="32">
        <f>IFERROR(DaybyDay[[#This Row],[Serv-LY-RU]]+DaybyDay[[#This Row],[Ret-LY-RU]],"")</f>
        <v>0</v>
      </c>
      <c r="AK7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3" s="77"/>
      <c r="AM743" s="40" t="str">
        <f>IF(DaybyDay[[#This Row],[Admin Hours]]&gt;0,DaybyDay[[#This Row],[Admin Hours]]*$AM$2+$AM$3,"")</f>
        <v/>
      </c>
      <c r="AN743" s="40">
        <f>SUMIFS(DaybyDay[Est-Admin-Payroll],DaybyDay[Date],"&gt;="&amp;$C$5,DaybyDay[RowYear],"&gt;="&amp;$C$4,DaybyDay[Date],"&lt;="&amp;DaybyDay[[#This Row],[Date]])</f>
        <v>0</v>
      </c>
      <c r="AO743" s="41" t="str">
        <f>IF(AND(DaybyDay[[#This Row],[_Space]],ISNUMBER(DaybyDay[[#This Row],[Admin Hours]])),DaybyDay[[#This Row],[Est-Admin-Payroll]]/(DaybyDay[[#This Row],[Service-Actuals]]+DaybyDay[[#This Row],[Retail-Actuals]]),"")</f>
        <v/>
      </c>
      <c r="AP743" s="41" t="e">
        <f>DaybyDay[[#This Row],[Estimated-Payroll-Rollup]]/DaybyDay[[#This Row],[Simple-Forecast]]</f>
        <v>#DIV/0!</v>
      </c>
      <c r="AQ7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3" s="77"/>
      <c r="AS743" s="40" t="str">
        <f>IF(DaybyDay[[#This Row],[Retail Hours]]&gt;0,DaybyDay[[#This Row],[Retail Hours]]*$AS$2,"")</f>
        <v/>
      </c>
      <c r="AT743" s="40">
        <f>SUMIFS(DaybyDay[Est-Retail-Payroll],DaybyDay[Date],"&gt;="&amp;$C$5,DaybyDay[RowYear],"&gt;="&amp;$C$4,DaybyDay[Date],"&lt;="&amp;DaybyDay[[#This Row],[Date]])</f>
        <v>0</v>
      </c>
      <c r="AU743" s="82" t="str">
        <f>IF(AND(DaybyDay[[#This Row],[_Space]],ISNUMBER(DaybyDay[[#This Row],[Retail Hours]])),DaybyDay[[#This Row],[Est-Retail-Payroll]]/(DaybyDay[[#This Row],[Retail-Actuals]]),"")</f>
        <v/>
      </c>
      <c r="AV743" s="82" t="e">
        <f>DaybyDay[[#This Row],[Est-Retail-PayrollRU]]/DaybyDay[[#This Row],[Simple-Forecast-Retail]]</f>
        <v>#DIV/0!</v>
      </c>
      <c r="AW743" s="8"/>
    </row>
    <row r="744" spans="3:56" hidden="1" x14ac:dyDescent="0.25">
      <c r="C744" s="26" t="str">
        <f>Tools!$C$1</f>
        <v>Example</v>
      </c>
      <c r="D744" s="27" t="s">
        <v>68</v>
      </c>
      <c r="E744" s="28">
        <v>2019</v>
      </c>
      <c r="F744" s="28">
        <f>MATCH(DaybyDay[[#This Row],[RowMonth]],Table3[SummaryMonth],0)</f>
        <v>1</v>
      </c>
      <c r="G744" s="29">
        <f>MATCH(DaybyDay[[#This Row],[LY-Date]],DaybyDay[Date],0)</f>
        <v>374</v>
      </c>
      <c r="H744" s="30">
        <f>WEEKDAY(DaybyDay[[#This Row],[Date]])</f>
        <v>3</v>
      </c>
      <c r="I744" s="31">
        <v>43473</v>
      </c>
      <c r="J744" s="74">
        <v>17</v>
      </c>
      <c r="K744" s="32">
        <f>SUMIFS(BudgetSeasonality[365 Seasonality],BudgetSeasonality[MonthAdjustment],DaybyDay[[#This Row],[Date]])*SUMIFS(Budgets[Service-Budget],Budgets[BudgetMonth],DaybyDay[[#This Row],[RowMonth]],Budgets[BudgetYear],DaybyDay[[#This Row],[RowYear]])</f>
        <v>3864.2090069081123</v>
      </c>
      <c r="L744" s="75">
        <v>3957</v>
      </c>
      <c r="M744" s="32">
        <f>INDEX(BudgetSeasonality[365 Seasonality],MATCH(DaybyDay[[#This Row],[Date]],BudgetSeasonality[MonthAdjustment],0))*SUMIFS(Budgets[Retail-Budget],Budgets[BudgetMonth],DaybyDay[[#This Row],[RowMonth]],Budgets[BudgetYear],DaybyDay[[#This Row],[RowYear]])</f>
        <v>683.72919282544058</v>
      </c>
      <c r="N744" s="75">
        <v>739.93</v>
      </c>
      <c r="O744" s="33">
        <f>SUMIFS(DaybyDay[Service-Budgets],DaybyDay[Date],"&gt;="&amp;$C$5,DaybyDay[RowYear],"&gt;="&amp;$C$4,DaybyDay[Date],"&lt;="&amp;DaybyDay[[#This Row],[Date]])</f>
        <v>0</v>
      </c>
      <c r="P744" s="33">
        <f>SUMIFS(DaybyDay[Retail-Budgets],DaybyDay[Date],"&gt;="&amp;$C$5,DaybyDay[RowYear],"&gt;="&amp;$C$4,DaybyDay[Date],"&lt;="&amp;DaybyDay[[#This Row],[Date]])</f>
        <v>0</v>
      </c>
      <c r="Q744" s="34">
        <f>SUMIFS(DaybyDay[Service-Actuals],DaybyDay[Date],"&gt;="&amp;$C$5,DaybyDay[RowYear],"&gt;="&amp;$C$4,DaybyDay[Date],"&lt;="&amp;DaybyDay[[#This Row],[Date]])</f>
        <v>0</v>
      </c>
      <c r="R744" s="34">
        <f>SUMIFS(DaybyDay[Retail-Actuals],DaybyDay[Date],"&gt;="&amp;$C$5,DaybyDay[RowYear],"&gt;="&amp;$C$4,DaybyDay[Date],"&lt;="&amp;DaybyDay[[#This Row],[Date]])</f>
        <v>0</v>
      </c>
      <c r="S744" s="35">
        <f>SUMIFS(DaybyDay[Service-LY],DaybyDay[Date],"&gt;="&amp;$C$5,DaybyDay[RowYear],"&gt;="&amp;$C$4,DaybyDay[Date],"&lt;="&amp;DaybyDay[[#This Row],[Date]])</f>
        <v>0</v>
      </c>
      <c r="T744" s="35">
        <f>SUMIFS(DaybyDay[Retail-LY],DaybyDay[Date],"&gt;="&amp;$C$5,DaybyDay[RowYear],"&gt;="&amp;$C$4,DaybyDay[Date],"&lt;="&amp;DaybyDay[[#This Row],[Date]])</f>
        <v>0</v>
      </c>
      <c r="U744" s="32">
        <f>DaybyDay[[#This Row],[Serv-Bud-RU]]+DaybyDay[[#This Row],[Ret-Bud-RU]]</f>
        <v>0</v>
      </c>
      <c r="V744" s="32">
        <f>DaybyDay[[#This Row],[Serv-Act-RU]]+DaybyDay[[#This Row],[Ret-Act-RU]]</f>
        <v>0</v>
      </c>
      <c r="W744" s="36">
        <f>IF(DaybyDay[[#This Row],[_Space]],IFERROR(
((DaybyDay[[#This Row],[Actual-Rollup]]-DaybyDay[[#This Row],[Budget-Rollup]])/DaybyDay[[#This Row],[Budget-Rollup]]),0),"")</f>
        <v>0</v>
      </c>
      <c r="X744" t="b">
        <f>NOT(AND(ISBLANK(DaybyDay[[#This Row],[Appts]]),ISBLANK(DaybyDay[[#This Row],[Service-Actuals]]),ISBLANK(DaybyDay[[#This Row],[Retail-Actuals]])))</f>
        <v>1</v>
      </c>
      <c r="Y744" s="36">
        <f>IF(DaybyDay[[#This Row],[_Space]],IFERROR(
((DaybyDay[[#This Row],[Actual-Rollup]]-DaybyDay[[#This Row],[LY-Rollup]])/DaybyDay[[#This Row],[LY-Rollup]]),0),"")</f>
        <v>0</v>
      </c>
      <c r="Z744"/>
      <c r="AA744" s="37" t="e">
        <f>IF(DaybyDay[[#This Row],[_Space]],DaybyDay[[#This Row],[Ret-Act-RU]]/DaybyDay[[#This Row],[Serv-Act-RU]],"")</f>
        <v>#DIV/0!</v>
      </c>
      <c r="AB744" s="50" t="e">
        <f>IF(DaybyDay[[#This Row],[_Space]],DaybyDay[[#This Row],[RETPEN-Act]]/DaybyDay[[#This Row],[RETPEN-Bud]],"")</f>
        <v>#DIV/0!</v>
      </c>
      <c r="AC744" s="37" t="e">
        <f>IF(DaybyDay[[#This Row],[_Space]],DaybyDay[[#This Row],[Ret-Bud-RU]]/DaybyDay[[#This Row],[Serv-Bud-RU]],"")</f>
        <v>#DIV/0!</v>
      </c>
      <c r="AD744" s="37" t="e">
        <f>IF(DaybyDay[[#This Row],[_Space]],DaybyDay[[#This Row],[Ret-LY-RU]]/DaybyDay[[#This Row],[Serv-LY-RU]],"")</f>
        <v>#DIV/0!</v>
      </c>
      <c r="AE744" s="30">
        <f>WEEKDAY(DaybyDay[[#This Row],[LY-Date]])</f>
        <v>3</v>
      </c>
      <c r="AF744" s="38">
        <f>$E$2+_xlfn.DAYS(DaybyDay[[#This Row],[Date]],minDate)</f>
        <v>43109</v>
      </c>
      <c r="AG744" s="39" cm="1">
        <f t="array" ref="AG744">IFERROR(INDEX(DaybyDay[],DaybyDay[[#This Row],[FORM_MATCH_HELPER]],8),"")</f>
        <v>14</v>
      </c>
      <c r="AH744" s="39" cm="1">
        <f t="array" ref="AH744">IFERROR(INDEX(DaybyDay[],DaybyDay[[#This Row],[FORM_MATCH_HELPER]],10),"")</f>
        <v>2786</v>
      </c>
      <c r="AI744" s="39" cm="1">
        <f t="array" ref="AI744">IFERROR(INDEX(DaybyDay[],DaybyDay[[#This Row],[FORM_MATCH_HELPER]],12),"")</f>
        <v>217</v>
      </c>
      <c r="AJ744" s="32">
        <f>IFERROR(DaybyDay[[#This Row],[Serv-LY-RU]]+DaybyDay[[#This Row],[Ret-LY-RU]],"")</f>
        <v>0</v>
      </c>
      <c r="AK7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4" s="77"/>
      <c r="AM744" s="40" t="str">
        <f>IF(DaybyDay[[#This Row],[Admin Hours]]&gt;0,DaybyDay[[#This Row],[Admin Hours]]*$AM$2+$AM$3,"")</f>
        <v/>
      </c>
      <c r="AN744" s="40">
        <f>SUMIFS(DaybyDay[Est-Admin-Payroll],DaybyDay[Date],"&gt;="&amp;$C$5,DaybyDay[RowYear],"&gt;="&amp;$C$4,DaybyDay[Date],"&lt;="&amp;DaybyDay[[#This Row],[Date]])</f>
        <v>0</v>
      </c>
      <c r="AO744" s="41" t="str">
        <f>IF(AND(DaybyDay[[#This Row],[_Space]],ISNUMBER(DaybyDay[[#This Row],[Admin Hours]])),DaybyDay[[#This Row],[Est-Admin-Payroll]]/(DaybyDay[[#This Row],[Service-Actuals]]+DaybyDay[[#This Row],[Retail-Actuals]]),"")</f>
        <v/>
      </c>
      <c r="AP744" s="41" t="e">
        <f>DaybyDay[[#This Row],[Estimated-Payroll-Rollup]]/DaybyDay[[#This Row],[Simple-Forecast]]</f>
        <v>#DIV/0!</v>
      </c>
      <c r="AQ7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4" s="77"/>
      <c r="AS744" s="40" t="str">
        <f>IF(DaybyDay[[#This Row],[Retail Hours]]&gt;0,DaybyDay[[#This Row],[Retail Hours]]*$AS$2,"")</f>
        <v/>
      </c>
      <c r="AT744" s="40">
        <f>SUMIFS(DaybyDay[Est-Retail-Payroll],DaybyDay[Date],"&gt;="&amp;$C$5,DaybyDay[RowYear],"&gt;="&amp;$C$4,DaybyDay[Date],"&lt;="&amp;DaybyDay[[#This Row],[Date]])</f>
        <v>0</v>
      </c>
      <c r="AU744" s="82" t="str">
        <f>IF(AND(DaybyDay[[#This Row],[_Space]],ISNUMBER(DaybyDay[[#This Row],[Retail Hours]])),DaybyDay[[#This Row],[Est-Retail-Payroll]]/(DaybyDay[[#This Row],[Retail-Actuals]]),"")</f>
        <v/>
      </c>
      <c r="AV744" s="82" t="e">
        <f>DaybyDay[[#This Row],[Est-Retail-PayrollRU]]/DaybyDay[[#This Row],[Simple-Forecast-Retail]]</f>
        <v>#DIV/0!</v>
      </c>
      <c r="AW744" s="8"/>
    </row>
    <row r="745" spans="3:56" hidden="1" x14ac:dyDescent="0.25">
      <c r="C745" s="26" t="str">
        <f>Tools!$C$1</f>
        <v>Example</v>
      </c>
      <c r="D745" s="27" t="s">
        <v>68</v>
      </c>
      <c r="E745" s="28">
        <v>2019</v>
      </c>
      <c r="F745" s="28">
        <f>MATCH(DaybyDay[[#This Row],[RowMonth]],Table3[SummaryMonth],0)</f>
        <v>1</v>
      </c>
      <c r="G745" s="29">
        <f>MATCH(DaybyDay[[#This Row],[LY-Date]],DaybyDay[Date],0)</f>
        <v>375</v>
      </c>
      <c r="H745" s="30">
        <f>WEEKDAY(DaybyDay[[#This Row],[Date]])</f>
        <v>4</v>
      </c>
      <c r="I745" s="31">
        <v>43474</v>
      </c>
      <c r="J745" s="74">
        <v>17</v>
      </c>
      <c r="K745" s="32">
        <f>SUMIFS(BudgetSeasonality[365 Seasonality],BudgetSeasonality[MonthAdjustment],DaybyDay[[#This Row],[Date]])*SUMIFS(Budgets[Service-Budget],Budgets[BudgetMonth],DaybyDay[[#This Row],[RowMonth]],Budgets[BudgetYear],DaybyDay[[#This Row],[RowYear]])</f>
        <v>4330.6921089672132</v>
      </c>
      <c r="L745" s="75">
        <v>3415.3</v>
      </c>
      <c r="M745" s="32">
        <f>INDEX(BudgetSeasonality[365 Seasonality],MATCH(DaybyDay[[#This Row],[Date]],BudgetSeasonality[MonthAdjustment],0))*SUMIFS(Budgets[Retail-Budget],Budgets[BudgetMonth],DaybyDay[[#This Row],[RowMonth]],Budgets[BudgetYear],DaybyDay[[#This Row],[RowYear]])</f>
        <v>766.26823620207665</v>
      </c>
      <c r="N745" s="75">
        <v>644.71</v>
      </c>
      <c r="O745" s="33">
        <f>SUMIFS(DaybyDay[Service-Budgets],DaybyDay[Date],"&gt;="&amp;$C$5,DaybyDay[RowYear],"&gt;="&amp;$C$4,DaybyDay[Date],"&lt;="&amp;DaybyDay[[#This Row],[Date]])</f>
        <v>0</v>
      </c>
      <c r="P745" s="33">
        <f>SUMIFS(DaybyDay[Retail-Budgets],DaybyDay[Date],"&gt;="&amp;$C$5,DaybyDay[RowYear],"&gt;="&amp;$C$4,DaybyDay[Date],"&lt;="&amp;DaybyDay[[#This Row],[Date]])</f>
        <v>0</v>
      </c>
      <c r="Q745" s="34">
        <f>SUMIFS(DaybyDay[Service-Actuals],DaybyDay[Date],"&gt;="&amp;$C$5,DaybyDay[RowYear],"&gt;="&amp;$C$4,DaybyDay[Date],"&lt;="&amp;DaybyDay[[#This Row],[Date]])</f>
        <v>0</v>
      </c>
      <c r="R745" s="34">
        <f>SUMIFS(DaybyDay[Retail-Actuals],DaybyDay[Date],"&gt;="&amp;$C$5,DaybyDay[RowYear],"&gt;="&amp;$C$4,DaybyDay[Date],"&lt;="&amp;DaybyDay[[#This Row],[Date]])</f>
        <v>0</v>
      </c>
      <c r="S745" s="35">
        <f>SUMIFS(DaybyDay[Service-LY],DaybyDay[Date],"&gt;="&amp;$C$5,DaybyDay[RowYear],"&gt;="&amp;$C$4,DaybyDay[Date],"&lt;="&amp;DaybyDay[[#This Row],[Date]])</f>
        <v>0</v>
      </c>
      <c r="T745" s="35">
        <f>SUMIFS(DaybyDay[Retail-LY],DaybyDay[Date],"&gt;="&amp;$C$5,DaybyDay[RowYear],"&gt;="&amp;$C$4,DaybyDay[Date],"&lt;="&amp;DaybyDay[[#This Row],[Date]])</f>
        <v>0</v>
      </c>
      <c r="U745" s="32">
        <f>DaybyDay[[#This Row],[Serv-Bud-RU]]+DaybyDay[[#This Row],[Ret-Bud-RU]]</f>
        <v>0</v>
      </c>
      <c r="V745" s="32">
        <f>DaybyDay[[#This Row],[Serv-Act-RU]]+DaybyDay[[#This Row],[Ret-Act-RU]]</f>
        <v>0</v>
      </c>
      <c r="W745" s="36">
        <f>IF(DaybyDay[[#This Row],[_Space]],IFERROR(
((DaybyDay[[#This Row],[Actual-Rollup]]-DaybyDay[[#This Row],[Budget-Rollup]])/DaybyDay[[#This Row],[Budget-Rollup]]),0),"")</f>
        <v>0</v>
      </c>
      <c r="X745" t="b">
        <f>NOT(AND(ISBLANK(DaybyDay[[#This Row],[Appts]]),ISBLANK(DaybyDay[[#This Row],[Service-Actuals]]),ISBLANK(DaybyDay[[#This Row],[Retail-Actuals]])))</f>
        <v>1</v>
      </c>
      <c r="Y745" s="36">
        <f>IF(DaybyDay[[#This Row],[_Space]],IFERROR(
((DaybyDay[[#This Row],[Actual-Rollup]]-DaybyDay[[#This Row],[LY-Rollup]])/DaybyDay[[#This Row],[LY-Rollup]]),0),"")</f>
        <v>0</v>
      </c>
      <c r="Z745"/>
      <c r="AA745" s="37" t="e">
        <f>IF(DaybyDay[[#This Row],[_Space]],DaybyDay[[#This Row],[Ret-Act-RU]]/DaybyDay[[#This Row],[Serv-Act-RU]],"")</f>
        <v>#DIV/0!</v>
      </c>
      <c r="AB745" s="50" t="e">
        <f>IF(DaybyDay[[#This Row],[_Space]],DaybyDay[[#This Row],[RETPEN-Act]]/DaybyDay[[#This Row],[RETPEN-Bud]],"")</f>
        <v>#DIV/0!</v>
      </c>
      <c r="AC745" s="37" t="e">
        <f>IF(DaybyDay[[#This Row],[_Space]],DaybyDay[[#This Row],[Ret-Bud-RU]]/DaybyDay[[#This Row],[Serv-Bud-RU]],"")</f>
        <v>#DIV/0!</v>
      </c>
      <c r="AD745" s="37" t="e">
        <f>IF(DaybyDay[[#This Row],[_Space]],DaybyDay[[#This Row],[Ret-LY-RU]]/DaybyDay[[#This Row],[Serv-LY-RU]],"")</f>
        <v>#DIV/0!</v>
      </c>
      <c r="AE745" s="30">
        <f>WEEKDAY(DaybyDay[[#This Row],[LY-Date]])</f>
        <v>4</v>
      </c>
      <c r="AF745" s="38">
        <f>$E$2+_xlfn.DAYS(DaybyDay[[#This Row],[Date]],minDate)</f>
        <v>43110</v>
      </c>
      <c r="AG745" s="39" cm="1">
        <f t="array" ref="AG745">IFERROR(INDEX(DaybyDay[],DaybyDay[[#This Row],[FORM_MATCH_HELPER]],8),"")</f>
        <v>21</v>
      </c>
      <c r="AH745" s="39" cm="1">
        <f t="array" ref="AH745">IFERROR(INDEX(DaybyDay[],DaybyDay[[#This Row],[FORM_MATCH_HELPER]],10),"")</f>
        <v>5272</v>
      </c>
      <c r="AI745" s="39" cm="1">
        <f t="array" ref="AI745">IFERROR(INDEX(DaybyDay[],DaybyDay[[#This Row],[FORM_MATCH_HELPER]],12),"")</f>
        <v>898</v>
      </c>
      <c r="AJ745" s="32">
        <f>IFERROR(DaybyDay[[#This Row],[Serv-LY-RU]]+DaybyDay[[#This Row],[Ret-LY-RU]],"")</f>
        <v>0</v>
      </c>
      <c r="AK7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5" s="77"/>
      <c r="AM745" s="40" t="str">
        <f>IF(DaybyDay[[#This Row],[Admin Hours]]&gt;0,DaybyDay[[#This Row],[Admin Hours]]*$AM$2+$AM$3,"")</f>
        <v/>
      </c>
      <c r="AN745" s="40">
        <f>SUMIFS(DaybyDay[Est-Admin-Payroll],DaybyDay[Date],"&gt;="&amp;$C$5,DaybyDay[RowYear],"&gt;="&amp;$C$4,DaybyDay[Date],"&lt;="&amp;DaybyDay[[#This Row],[Date]])</f>
        <v>0</v>
      </c>
      <c r="AO745" s="41" t="str">
        <f>IF(AND(DaybyDay[[#This Row],[_Space]],ISNUMBER(DaybyDay[[#This Row],[Admin Hours]])),DaybyDay[[#This Row],[Est-Admin-Payroll]]/(DaybyDay[[#This Row],[Service-Actuals]]+DaybyDay[[#This Row],[Retail-Actuals]]),"")</f>
        <v/>
      </c>
      <c r="AP745" s="41" t="e">
        <f>DaybyDay[[#This Row],[Estimated-Payroll-Rollup]]/DaybyDay[[#This Row],[Simple-Forecast]]</f>
        <v>#DIV/0!</v>
      </c>
      <c r="AQ7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5" s="77"/>
      <c r="AS745" s="40" t="str">
        <f>IF(DaybyDay[[#This Row],[Retail Hours]]&gt;0,DaybyDay[[#This Row],[Retail Hours]]*$AS$2,"")</f>
        <v/>
      </c>
      <c r="AT745" s="40">
        <f>SUMIFS(DaybyDay[Est-Retail-Payroll],DaybyDay[Date],"&gt;="&amp;$C$5,DaybyDay[RowYear],"&gt;="&amp;$C$4,DaybyDay[Date],"&lt;="&amp;DaybyDay[[#This Row],[Date]])</f>
        <v>0</v>
      </c>
      <c r="AU745" s="82" t="str">
        <f>IF(AND(DaybyDay[[#This Row],[_Space]],ISNUMBER(DaybyDay[[#This Row],[Retail Hours]])),DaybyDay[[#This Row],[Est-Retail-Payroll]]/(DaybyDay[[#This Row],[Retail-Actuals]]),"")</f>
        <v/>
      </c>
      <c r="AV745" s="82" t="e">
        <f>DaybyDay[[#This Row],[Est-Retail-PayrollRU]]/DaybyDay[[#This Row],[Simple-Forecast-Retail]]</f>
        <v>#DIV/0!</v>
      </c>
      <c r="AW745" s="8"/>
    </row>
    <row r="746" spans="3:56" hidden="1" x14ac:dyDescent="0.25">
      <c r="C746" s="26" t="str">
        <f>Tools!$C$1</f>
        <v>Example</v>
      </c>
      <c r="D746" s="27" t="s">
        <v>68</v>
      </c>
      <c r="E746" s="28">
        <v>2019</v>
      </c>
      <c r="F746" s="28">
        <f>MATCH(DaybyDay[[#This Row],[RowMonth]],Table3[SummaryMonth],0)</f>
        <v>1</v>
      </c>
      <c r="G746" s="29">
        <f>MATCH(DaybyDay[[#This Row],[LY-Date]],DaybyDay[Date],0)</f>
        <v>376</v>
      </c>
      <c r="H746" s="30">
        <f>WEEKDAY(DaybyDay[[#This Row],[Date]])</f>
        <v>5</v>
      </c>
      <c r="I746" s="31">
        <v>43475</v>
      </c>
      <c r="J746" s="74">
        <v>9</v>
      </c>
      <c r="K746" s="32">
        <f>SUMIFS(BudgetSeasonality[365 Seasonality],BudgetSeasonality[MonthAdjustment],DaybyDay[[#This Row],[Date]])*SUMIFS(Budgets[Service-Budget],Budgets[BudgetMonth],DaybyDay[[#This Row],[RowMonth]],Budgets[BudgetYear],DaybyDay[[#This Row],[RowYear]])</f>
        <v>4398.6193282288277</v>
      </c>
      <c r="L746" s="75">
        <v>2520.6</v>
      </c>
      <c r="M746" s="32">
        <f>INDEX(BudgetSeasonality[365 Seasonality],MATCH(DaybyDay[[#This Row],[Date]],BudgetSeasonality[MonthAdjustment],0))*SUMIFS(Budgets[Retail-Budget],Budgets[BudgetMonth],DaybyDay[[#This Row],[RowMonth]],Budgets[BudgetYear],DaybyDay[[#This Row],[RowYear]])</f>
        <v>778.28720896301991</v>
      </c>
      <c r="N746" s="75">
        <v>585</v>
      </c>
      <c r="O746" s="33">
        <f>SUMIFS(DaybyDay[Service-Budgets],DaybyDay[Date],"&gt;="&amp;$C$5,DaybyDay[RowYear],"&gt;="&amp;$C$4,DaybyDay[Date],"&lt;="&amp;DaybyDay[[#This Row],[Date]])</f>
        <v>0</v>
      </c>
      <c r="P746" s="33">
        <f>SUMIFS(DaybyDay[Retail-Budgets],DaybyDay[Date],"&gt;="&amp;$C$5,DaybyDay[RowYear],"&gt;="&amp;$C$4,DaybyDay[Date],"&lt;="&amp;DaybyDay[[#This Row],[Date]])</f>
        <v>0</v>
      </c>
      <c r="Q746" s="34">
        <f>SUMIFS(DaybyDay[Service-Actuals],DaybyDay[Date],"&gt;="&amp;$C$5,DaybyDay[RowYear],"&gt;="&amp;$C$4,DaybyDay[Date],"&lt;="&amp;DaybyDay[[#This Row],[Date]])</f>
        <v>0</v>
      </c>
      <c r="R746" s="34">
        <f>SUMIFS(DaybyDay[Retail-Actuals],DaybyDay[Date],"&gt;="&amp;$C$5,DaybyDay[RowYear],"&gt;="&amp;$C$4,DaybyDay[Date],"&lt;="&amp;DaybyDay[[#This Row],[Date]])</f>
        <v>0</v>
      </c>
      <c r="S746" s="35">
        <f>SUMIFS(DaybyDay[Service-LY],DaybyDay[Date],"&gt;="&amp;$C$5,DaybyDay[RowYear],"&gt;="&amp;$C$4,DaybyDay[Date],"&lt;="&amp;DaybyDay[[#This Row],[Date]])</f>
        <v>0</v>
      </c>
      <c r="T746" s="35">
        <f>SUMIFS(DaybyDay[Retail-LY],DaybyDay[Date],"&gt;="&amp;$C$5,DaybyDay[RowYear],"&gt;="&amp;$C$4,DaybyDay[Date],"&lt;="&amp;DaybyDay[[#This Row],[Date]])</f>
        <v>0</v>
      </c>
      <c r="U746" s="32">
        <f>DaybyDay[[#This Row],[Serv-Bud-RU]]+DaybyDay[[#This Row],[Ret-Bud-RU]]</f>
        <v>0</v>
      </c>
      <c r="V746" s="32">
        <f>DaybyDay[[#This Row],[Serv-Act-RU]]+DaybyDay[[#This Row],[Ret-Act-RU]]</f>
        <v>0</v>
      </c>
      <c r="W746" s="36">
        <f>IF(DaybyDay[[#This Row],[_Space]],IFERROR(
((DaybyDay[[#This Row],[Actual-Rollup]]-DaybyDay[[#This Row],[Budget-Rollup]])/DaybyDay[[#This Row],[Budget-Rollup]]),0),"")</f>
        <v>0</v>
      </c>
      <c r="X746" t="b">
        <f>NOT(AND(ISBLANK(DaybyDay[[#This Row],[Appts]]),ISBLANK(DaybyDay[[#This Row],[Service-Actuals]]),ISBLANK(DaybyDay[[#This Row],[Retail-Actuals]])))</f>
        <v>1</v>
      </c>
      <c r="Y746" s="36">
        <f>IF(DaybyDay[[#This Row],[_Space]],IFERROR(
((DaybyDay[[#This Row],[Actual-Rollup]]-DaybyDay[[#This Row],[LY-Rollup]])/DaybyDay[[#This Row],[LY-Rollup]]),0),"")</f>
        <v>0</v>
      </c>
      <c r="Z746"/>
      <c r="AA746" s="37" t="e">
        <f>IF(DaybyDay[[#This Row],[_Space]],DaybyDay[[#This Row],[Ret-Act-RU]]/DaybyDay[[#This Row],[Serv-Act-RU]],"")</f>
        <v>#DIV/0!</v>
      </c>
      <c r="AB746" s="50" t="e">
        <f>IF(DaybyDay[[#This Row],[_Space]],DaybyDay[[#This Row],[RETPEN-Act]]/DaybyDay[[#This Row],[RETPEN-Bud]],"")</f>
        <v>#DIV/0!</v>
      </c>
      <c r="AC746" s="37" t="e">
        <f>IF(DaybyDay[[#This Row],[_Space]],DaybyDay[[#This Row],[Ret-Bud-RU]]/DaybyDay[[#This Row],[Serv-Bud-RU]],"")</f>
        <v>#DIV/0!</v>
      </c>
      <c r="AD746" s="37" t="e">
        <f>IF(DaybyDay[[#This Row],[_Space]],DaybyDay[[#This Row],[Ret-LY-RU]]/DaybyDay[[#This Row],[Serv-LY-RU]],"")</f>
        <v>#DIV/0!</v>
      </c>
      <c r="AE746" s="30">
        <f>WEEKDAY(DaybyDay[[#This Row],[LY-Date]])</f>
        <v>5</v>
      </c>
      <c r="AF746" s="38">
        <f>$E$2+_xlfn.DAYS(DaybyDay[[#This Row],[Date]],minDate)</f>
        <v>43111</v>
      </c>
      <c r="AG746" s="39" cm="1">
        <f t="array" ref="AG746">IFERROR(INDEX(DaybyDay[],DaybyDay[[#This Row],[FORM_MATCH_HELPER]],8),"")</f>
        <v>17</v>
      </c>
      <c r="AH746" s="39" cm="1">
        <f t="array" ref="AH746">IFERROR(INDEX(DaybyDay[],DaybyDay[[#This Row],[FORM_MATCH_HELPER]],10),"")</f>
        <v>3506.5</v>
      </c>
      <c r="AI746" s="39" cm="1">
        <f t="array" ref="AI746">IFERROR(INDEX(DaybyDay[],DaybyDay[[#This Row],[FORM_MATCH_HELPER]],12),"")</f>
        <v>222.99</v>
      </c>
      <c r="AJ746" s="32">
        <f>IFERROR(DaybyDay[[#This Row],[Serv-LY-RU]]+DaybyDay[[#This Row],[Ret-LY-RU]],"")</f>
        <v>0</v>
      </c>
      <c r="AK7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6" s="77"/>
      <c r="AM746" s="40" t="str">
        <f>IF(DaybyDay[[#This Row],[Admin Hours]]&gt;0,DaybyDay[[#This Row],[Admin Hours]]*$AM$2+$AM$3,"")</f>
        <v/>
      </c>
      <c r="AN746" s="40">
        <f>SUMIFS(DaybyDay[Est-Admin-Payroll],DaybyDay[Date],"&gt;="&amp;$C$5,DaybyDay[RowYear],"&gt;="&amp;$C$4,DaybyDay[Date],"&lt;="&amp;DaybyDay[[#This Row],[Date]])</f>
        <v>0</v>
      </c>
      <c r="AO746" s="41" t="str">
        <f>IF(AND(DaybyDay[[#This Row],[_Space]],ISNUMBER(DaybyDay[[#This Row],[Admin Hours]])),DaybyDay[[#This Row],[Est-Admin-Payroll]]/(DaybyDay[[#This Row],[Service-Actuals]]+DaybyDay[[#This Row],[Retail-Actuals]]),"")</f>
        <v/>
      </c>
      <c r="AP746" s="41" t="e">
        <f>DaybyDay[[#This Row],[Estimated-Payroll-Rollup]]/DaybyDay[[#This Row],[Simple-Forecast]]</f>
        <v>#DIV/0!</v>
      </c>
      <c r="AQ7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6" s="77"/>
      <c r="AS746" s="40" t="str">
        <f>IF(DaybyDay[[#This Row],[Retail Hours]]&gt;0,DaybyDay[[#This Row],[Retail Hours]]*$AS$2,"")</f>
        <v/>
      </c>
      <c r="AT746" s="40">
        <f>SUMIFS(DaybyDay[Est-Retail-Payroll],DaybyDay[Date],"&gt;="&amp;$C$5,DaybyDay[RowYear],"&gt;="&amp;$C$4,DaybyDay[Date],"&lt;="&amp;DaybyDay[[#This Row],[Date]])</f>
        <v>0</v>
      </c>
      <c r="AU746" s="82" t="str">
        <f>IF(AND(DaybyDay[[#This Row],[_Space]],ISNUMBER(DaybyDay[[#This Row],[Retail Hours]])),DaybyDay[[#This Row],[Est-Retail-Payroll]]/(DaybyDay[[#This Row],[Retail-Actuals]]),"")</f>
        <v/>
      </c>
      <c r="AV746" s="82" t="e">
        <f>DaybyDay[[#This Row],[Est-Retail-PayrollRU]]/DaybyDay[[#This Row],[Simple-Forecast-Retail]]</f>
        <v>#DIV/0!</v>
      </c>
      <c r="AW746" s="8"/>
    </row>
    <row r="747" spans="3:56" hidden="1" x14ac:dyDescent="0.25">
      <c r="C747" s="26" t="str">
        <f>Tools!$C$1</f>
        <v>Example</v>
      </c>
      <c r="D747" s="27" t="s">
        <v>68</v>
      </c>
      <c r="E747" s="28">
        <v>2019</v>
      </c>
      <c r="F747" s="28">
        <f>MATCH(DaybyDay[[#This Row],[RowMonth]],Table3[SummaryMonth],0)</f>
        <v>1</v>
      </c>
      <c r="G747" s="29">
        <f>MATCH(DaybyDay[[#This Row],[LY-Date]],DaybyDay[Date],0)</f>
        <v>377</v>
      </c>
      <c r="H747" s="30">
        <f>WEEKDAY(DaybyDay[[#This Row],[Date]])</f>
        <v>6</v>
      </c>
      <c r="I747" s="31">
        <v>43476</v>
      </c>
      <c r="J747" s="74">
        <v>25</v>
      </c>
      <c r="K747" s="32">
        <f>SUMIFS(BudgetSeasonality[365 Seasonality],BudgetSeasonality[MonthAdjustment],DaybyDay[[#This Row],[Date]])*SUMIFS(Budgets[Service-Budget],Budgets[BudgetMonth],DaybyDay[[#This Row],[RowMonth]],Budgets[BudgetYear],DaybyDay[[#This Row],[RowYear]])</f>
        <v>5303.6794112323842</v>
      </c>
      <c r="L747" s="75">
        <v>5096</v>
      </c>
      <c r="M747" s="32">
        <f>INDEX(BudgetSeasonality[365 Seasonality],MATCH(DaybyDay[[#This Row],[Date]],BudgetSeasonality[MonthAdjustment],0))*SUMIFS(Budgets[Retail-Budget],Budgets[BudgetMonth],DaybyDay[[#This Row],[RowMonth]],Budgets[BudgetYear],DaybyDay[[#This Row],[RowYear]])</f>
        <v>938.42761516368864</v>
      </c>
      <c r="N747" s="75">
        <v>608</v>
      </c>
      <c r="O747" s="33">
        <f>SUMIFS(DaybyDay[Service-Budgets],DaybyDay[Date],"&gt;="&amp;$C$5,DaybyDay[RowYear],"&gt;="&amp;$C$4,DaybyDay[Date],"&lt;="&amp;DaybyDay[[#This Row],[Date]])</f>
        <v>0</v>
      </c>
      <c r="P747" s="33">
        <f>SUMIFS(DaybyDay[Retail-Budgets],DaybyDay[Date],"&gt;="&amp;$C$5,DaybyDay[RowYear],"&gt;="&amp;$C$4,DaybyDay[Date],"&lt;="&amp;DaybyDay[[#This Row],[Date]])</f>
        <v>0</v>
      </c>
      <c r="Q747" s="34">
        <f>SUMIFS(DaybyDay[Service-Actuals],DaybyDay[Date],"&gt;="&amp;$C$5,DaybyDay[RowYear],"&gt;="&amp;$C$4,DaybyDay[Date],"&lt;="&amp;DaybyDay[[#This Row],[Date]])</f>
        <v>0</v>
      </c>
      <c r="R747" s="34">
        <f>SUMIFS(DaybyDay[Retail-Actuals],DaybyDay[Date],"&gt;="&amp;$C$5,DaybyDay[RowYear],"&gt;="&amp;$C$4,DaybyDay[Date],"&lt;="&amp;DaybyDay[[#This Row],[Date]])</f>
        <v>0</v>
      </c>
      <c r="S747" s="35">
        <f>SUMIFS(DaybyDay[Service-LY],DaybyDay[Date],"&gt;="&amp;$C$5,DaybyDay[RowYear],"&gt;="&amp;$C$4,DaybyDay[Date],"&lt;="&amp;DaybyDay[[#This Row],[Date]])</f>
        <v>0</v>
      </c>
      <c r="T747" s="35">
        <f>SUMIFS(DaybyDay[Retail-LY],DaybyDay[Date],"&gt;="&amp;$C$5,DaybyDay[RowYear],"&gt;="&amp;$C$4,DaybyDay[Date],"&lt;="&amp;DaybyDay[[#This Row],[Date]])</f>
        <v>0</v>
      </c>
      <c r="U747" s="32">
        <f>DaybyDay[[#This Row],[Serv-Bud-RU]]+DaybyDay[[#This Row],[Ret-Bud-RU]]</f>
        <v>0</v>
      </c>
      <c r="V747" s="32">
        <f>DaybyDay[[#This Row],[Serv-Act-RU]]+DaybyDay[[#This Row],[Ret-Act-RU]]</f>
        <v>0</v>
      </c>
      <c r="W747" s="36">
        <f>IF(DaybyDay[[#This Row],[_Space]],IFERROR(
((DaybyDay[[#This Row],[Actual-Rollup]]-DaybyDay[[#This Row],[Budget-Rollup]])/DaybyDay[[#This Row],[Budget-Rollup]]),0),"")</f>
        <v>0</v>
      </c>
      <c r="X747" t="b">
        <f>NOT(AND(ISBLANK(DaybyDay[[#This Row],[Appts]]),ISBLANK(DaybyDay[[#This Row],[Service-Actuals]]),ISBLANK(DaybyDay[[#This Row],[Retail-Actuals]])))</f>
        <v>1</v>
      </c>
      <c r="Y747" s="36">
        <f>IF(DaybyDay[[#This Row],[_Space]],IFERROR(
((DaybyDay[[#This Row],[Actual-Rollup]]-DaybyDay[[#This Row],[LY-Rollup]])/DaybyDay[[#This Row],[LY-Rollup]]),0),"")</f>
        <v>0</v>
      </c>
      <c r="Z747"/>
      <c r="AA747" s="37" t="e">
        <f>IF(DaybyDay[[#This Row],[_Space]],DaybyDay[[#This Row],[Ret-Act-RU]]/DaybyDay[[#This Row],[Serv-Act-RU]],"")</f>
        <v>#DIV/0!</v>
      </c>
      <c r="AB747" s="50" t="e">
        <f>IF(DaybyDay[[#This Row],[_Space]],DaybyDay[[#This Row],[RETPEN-Act]]/DaybyDay[[#This Row],[RETPEN-Bud]],"")</f>
        <v>#DIV/0!</v>
      </c>
      <c r="AC747" s="37" t="e">
        <f>IF(DaybyDay[[#This Row],[_Space]],DaybyDay[[#This Row],[Ret-Bud-RU]]/DaybyDay[[#This Row],[Serv-Bud-RU]],"")</f>
        <v>#DIV/0!</v>
      </c>
      <c r="AD747" s="37" t="e">
        <f>IF(DaybyDay[[#This Row],[_Space]],DaybyDay[[#This Row],[Ret-LY-RU]]/DaybyDay[[#This Row],[Serv-LY-RU]],"")</f>
        <v>#DIV/0!</v>
      </c>
      <c r="AE747" s="30">
        <f>WEEKDAY(DaybyDay[[#This Row],[LY-Date]])</f>
        <v>6</v>
      </c>
      <c r="AF747" s="38">
        <f>$E$2+_xlfn.DAYS(DaybyDay[[#This Row],[Date]],minDate)</f>
        <v>43112</v>
      </c>
      <c r="AG747" s="39" cm="1">
        <f t="array" ref="AG747">IFERROR(INDEX(DaybyDay[],DaybyDay[[#This Row],[FORM_MATCH_HELPER]],8),"")</f>
        <v>32</v>
      </c>
      <c r="AH747" s="39" cm="1">
        <f t="array" ref="AH747">IFERROR(INDEX(DaybyDay[],DaybyDay[[#This Row],[FORM_MATCH_HELPER]],10),"")</f>
        <v>6347.99</v>
      </c>
      <c r="AI747" s="39" cm="1">
        <f t="array" ref="AI747">IFERROR(INDEX(DaybyDay[],DaybyDay[[#This Row],[FORM_MATCH_HELPER]],12),"")</f>
        <v>746.95</v>
      </c>
      <c r="AJ747" s="32">
        <f>IFERROR(DaybyDay[[#This Row],[Serv-LY-RU]]+DaybyDay[[#This Row],[Ret-LY-RU]],"")</f>
        <v>0</v>
      </c>
      <c r="AK7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7" s="77"/>
      <c r="AM747" s="40" t="str">
        <f>IF(DaybyDay[[#This Row],[Admin Hours]]&gt;0,DaybyDay[[#This Row],[Admin Hours]]*$AM$2+$AM$3,"")</f>
        <v/>
      </c>
      <c r="AN747" s="40">
        <f>SUMIFS(DaybyDay[Est-Admin-Payroll],DaybyDay[Date],"&gt;="&amp;$C$5,DaybyDay[RowYear],"&gt;="&amp;$C$4,DaybyDay[Date],"&lt;="&amp;DaybyDay[[#This Row],[Date]])</f>
        <v>0</v>
      </c>
      <c r="AO747" s="41" t="str">
        <f>IF(AND(DaybyDay[[#This Row],[_Space]],ISNUMBER(DaybyDay[[#This Row],[Admin Hours]])),DaybyDay[[#This Row],[Est-Admin-Payroll]]/(DaybyDay[[#This Row],[Service-Actuals]]+DaybyDay[[#This Row],[Retail-Actuals]]),"")</f>
        <v/>
      </c>
      <c r="AP747" s="41" t="e">
        <f>DaybyDay[[#This Row],[Estimated-Payroll-Rollup]]/DaybyDay[[#This Row],[Simple-Forecast]]</f>
        <v>#DIV/0!</v>
      </c>
      <c r="AQ7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7" s="77"/>
      <c r="AS747" s="40" t="str">
        <f>IF(DaybyDay[[#This Row],[Retail Hours]]&gt;0,DaybyDay[[#This Row],[Retail Hours]]*$AS$2,"")</f>
        <v/>
      </c>
      <c r="AT747" s="40">
        <f>SUMIFS(DaybyDay[Est-Retail-Payroll],DaybyDay[Date],"&gt;="&amp;$C$5,DaybyDay[RowYear],"&gt;="&amp;$C$4,DaybyDay[Date],"&lt;="&amp;DaybyDay[[#This Row],[Date]])</f>
        <v>0</v>
      </c>
      <c r="AU747" s="82" t="str">
        <f>IF(AND(DaybyDay[[#This Row],[_Space]],ISNUMBER(DaybyDay[[#This Row],[Retail Hours]])),DaybyDay[[#This Row],[Est-Retail-Payroll]]/(DaybyDay[[#This Row],[Retail-Actuals]]),"")</f>
        <v/>
      </c>
      <c r="AV747" s="82" t="e">
        <f>DaybyDay[[#This Row],[Est-Retail-PayrollRU]]/DaybyDay[[#This Row],[Simple-Forecast-Retail]]</f>
        <v>#DIV/0!</v>
      </c>
      <c r="AW747" s="8"/>
    </row>
    <row r="748" spans="3:56" hidden="1" x14ac:dyDescent="0.25">
      <c r="C748" s="26" t="str">
        <f>Tools!$C$1</f>
        <v>Example</v>
      </c>
      <c r="D748" s="27" t="s">
        <v>68</v>
      </c>
      <c r="E748" s="28">
        <v>2019</v>
      </c>
      <c r="F748" s="28">
        <f>MATCH(DaybyDay[[#This Row],[RowMonth]],Table3[SummaryMonth],0)</f>
        <v>1</v>
      </c>
      <c r="G748" s="29">
        <f>MATCH(DaybyDay[[#This Row],[LY-Date]],DaybyDay[Date],0)</f>
        <v>378</v>
      </c>
      <c r="H748" s="30">
        <f>WEEKDAY(DaybyDay[[#This Row],[Date]])</f>
        <v>7</v>
      </c>
      <c r="I748" s="31">
        <v>43477</v>
      </c>
      <c r="J748" s="74">
        <v>30</v>
      </c>
      <c r="K748" s="32">
        <f>SUMIFS(BudgetSeasonality[365 Seasonality],BudgetSeasonality[MonthAdjustment],DaybyDay[[#This Row],[Date]])*SUMIFS(Budgets[Service-Budget],Budgets[BudgetMonth],DaybyDay[[#This Row],[RowMonth]],Budgets[BudgetYear],DaybyDay[[#This Row],[RowYear]])</f>
        <v>7260.8455285510345</v>
      </c>
      <c r="L748" s="75">
        <v>6945.96</v>
      </c>
      <c r="M748" s="32">
        <f>INDEX(BudgetSeasonality[365 Seasonality],MATCH(DaybyDay[[#This Row],[Date]],BudgetSeasonality[MonthAdjustment],0))*SUMIFS(Budgets[Retail-Budget],Budgets[BudgetMonth],DaybyDay[[#This Row],[RowMonth]],Budgets[BudgetYear],DaybyDay[[#This Row],[RowYear]])</f>
        <v>1284.7265879230063</v>
      </c>
      <c r="N748" s="75">
        <v>727</v>
      </c>
      <c r="O748" s="33">
        <f>SUMIFS(DaybyDay[Service-Budgets],DaybyDay[Date],"&gt;="&amp;$C$5,DaybyDay[RowYear],"&gt;="&amp;$C$4,DaybyDay[Date],"&lt;="&amp;DaybyDay[[#This Row],[Date]])</f>
        <v>0</v>
      </c>
      <c r="P748" s="33">
        <f>SUMIFS(DaybyDay[Retail-Budgets],DaybyDay[Date],"&gt;="&amp;$C$5,DaybyDay[RowYear],"&gt;="&amp;$C$4,DaybyDay[Date],"&lt;="&amp;DaybyDay[[#This Row],[Date]])</f>
        <v>0</v>
      </c>
      <c r="Q748" s="34">
        <f>SUMIFS(DaybyDay[Service-Actuals],DaybyDay[Date],"&gt;="&amp;$C$5,DaybyDay[RowYear],"&gt;="&amp;$C$4,DaybyDay[Date],"&lt;="&amp;DaybyDay[[#This Row],[Date]])</f>
        <v>0</v>
      </c>
      <c r="R748" s="34">
        <f>SUMIFS(DaybyDay[Retail-Actuals],DaybyDay[Date],"&gt;="&amp;$C$5,DaybyDay[RowYear],"&gt;="&amp;$C$4,DaybyDay[Date],"&lt;="&amp;DaybyDay[[#This Row],[Date]])</f>
        <v>0</v>
      </c>
      <c r="S748" s="35">
        <f>SUMIFS(DaybyDay[Service-LY],DaybyDay[Date],"&gt;="&amp;$C$5,DaybyDay[RowYear],"&gt;="&amp;$C$4,DaybyDay[Date],"&lt;="&amp;DaybyDay[[#This Row],[Date]])</f>
        <v>0</v>
      </c>
      <c r="T748" s="35">
        <f>SUMIFS(DaybyDay[Retail-LY],DaybyDay[Date],"&gt;="&amp;$C$5,DaybyDay[RowYear],"&gt;="&amp;$C$4,DaybyDay[Date],"&lt;="&amp;DaybyDay[[#This Row],[Date]])</f>
        <v>0</v>
      </c>
      <c r="U748" s="32">
        <f>DaybyDay[[#This Row],[Serv-Bud-RU]]+DaybyDay[[#This Row],[Ret-Bud-RU]]</f>
        <v>0</v>
      </c>
      <c r="V748" s="32">
        <f>DaybyDay[[#This Row],[Serv-Act-RU]]+DaybyDay[[#This Row],[Ret-Act-RU]]</f>
        <v>0</v>
      </c>
      <c r="W748" s="36">
        <f>IF(DaybyDay[[#This Row],[_Space]],IFERROR(
((DaybyDay[[#This Row],[Actual-Rollup]]-DaybyDay[[#This Row],[Budget-Rollup]])/DaybyDay[[#This Row],[Budget-Rollup]]),0),"")</f>
        <v>0</v>
      </c>
      <c r="X748" t="b">
        <f>NOT(AND(ISBLANK(DaybyDay[[#This Row],[Appts]]),ISBLANK(DaybyDay[[#This Row],[Service-Actuals]]),ISBLANK(DaybyDay[[#This Row],[Retail-Actuals]])))</f>
        <v>1</v>
      </c>
      <c r="Y748" s="36">
        <f>IF(DaybyDay[[#This Row],[_Space]],IFERROR(
((DaybyDay[[#This Row],[Actual-Rollup]]-DaybyDay[[#This Row],[LY-Rollup]])/DaybyDay[[#This Row],[LY-Rollup]]),0),"")</f>
        <v>0</v>
      </c>
      <c r="Z748"/>
      <c r="AA748" s="37" t="e">
        <f>IF(DaybyDay[[#This Row],[_Space]],DaybyDay[[#This Row],[Ret-Act-RU]]/DaybyDay[[#This Row],[Serv-Act-RU]],"")</f>
        <v>#DIV/0!</v>
      </c>
      <c r="AB748" s="50" t="e">
        <f>IF(DaybyDay[[#This Row],[_Space]],DaybyDay[[#This Row],[RETPEN-Act]]/DaybyDay[[#This Row],[RETPEN-Bud]],"")</f>
        <v>#DIV/0!</v>
      </c>
      <c r="AC748" s="37" t="e">
        <f>IF(DaybyDay[[#This Row],[_Space]],DaybyDay[[#This Row],[Ret-Bud-RU]]/DaybyDay[[#This Row],[Serv-Bud-RU]],"")</f>
        <v>#DIV/0!</v>
      </c>
      <c r="AD748" s="37" t="e">
        <f>IF(DaybyDay[[#This Row],[_Space]],DaybyDay[[#This Row],[Ret-LY-RU]]/DaybyDay[[#This Row],[Serv-LY-RU]],"")</f>
        <v>#DIV/0!</v>
      </c>
      <c r="AE748" s="30">
        <f>WEEKDAY(DaybyDay[[#This Row],[LY-Date]])</f>
        <v>7</v>
      </c>
      <c r="AF748" s="38">
        <f>$E$2+_xlfn.DAYS(DaybyDay[[#This Row],[Date]],minDate)</f>
        <v>43113</v>
      </c>
      <c r="AG748" s="39" cm="1">
        <f t="array" ref="AG748">IFERROR(INDEX(DaybyDay[],DaybyDay[[#This Row],[FORM_MATCH_HELPER]],8),"")</f>
        <v>32</v>
      </c>
      <c r="AH748" s="39" cm="1">
        <f t="array" ref="AH748">IFERROR(INDEX(DaybyDay[],DaybyDay[[#This Row],[FORM_MATCH_HELPER]],10),"")</f>
        <v>7661</v>
      </c>
      <c r="AI748" s="39" cm="1">
        <f t="array" ref="AI748">IFERROR(INDEX(DaybyDay[],DaybyDay[[#This Row],[FORM_MATCH_HELPER]],12),"")</f>
        <v>960</v>
      </c>
      <c r="AJ748" s="32">
        <f>IFERROR(DaybyDay[[#This Row],[Serv-LY-RU]]+DaybyDay[[#This Row],[Ret-LY-RU]],"")</f>
        <v>0</v>
      </c>
      <c r="AK7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8" s="77"/>
      <c r="AM748" s="40" t="str">
        <f>IF(DaybyDay[[#This Row],[Admin Hours]]&gt;0,DaybyDay[[#This Row],[Admin Hours]]*$AM$2+$AM$3,"")</f>
        <v/>
      </c>
      <c r="AN748" s="40">
        <f>SUMIFS(DaybyDay[Est-Admin-Payroll],DaybyDay[Date],"&gt;="&amp;$C$5,DaybyDay[RowYear],"&gt;="&amp;$C$4,DaybyDay[Date],"&lt;="&amp;DaybyDay[[#This Row],[Date]])</f>
        <v>0</v>
      </c>
      <c r="AO748" s="41" t="str">
        <f>IF(AND(DaybyDay[[#This Row],[_Space]],ISNUMBER(DaybyDay[[#This Row],[Admin Hours]])),DaybyDay[[#This Row],[Est-Admin-Payroll]]/(DaybyDay[[#This Row],[Service-Actuals]]+DaybyDay[[#This Row],[Retail-Actuals]]),"")</f>
        <v/>
      </c>
      <c r="AP748" s="41" t="e">
        <f>DaybyDay[[#This Row],[Estimated-Payroll-Rollup]]/DaybyDay[[#This Row],[Simple-Forecast]]</f>
        <v>#DIV/0!</v>
      </c>
      <c r="AQ7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8" s="77"/>
      <c r="AS748" s="40" t="str">
        <f>IF(DaybyDay[[#This Row],[Retail Hours]]&gt;0,DaybyDay[[#This Row],[Retail Hours]]*$AS$2,"")</f>
        <v/>
      </c>
      <c r="AT748" s="40">
        <f>SUMIFS(DaybyDay[Est-Retail-Payroll],DaybyDay[Date],"&gt;="&amp;$C$5,DaybyDay[RowYear],"&gt;="&amp;$C$4,DaybyDay[Date],"&lt;="&amp;DaybyDay[[#This Row],[Date]])</f>
        <v>0</v>
      </c>
      <c r="AU748" s="82" t="str">
        <f>IF(AND(DaybyDay[[#This Row],[_Space]],ISNUMBER(DaybyDay[[#This Row],[Retail Hours]])),DaybyDay[[#This Row],[Est-Retail-Payroll]]/(DaybyDay[[#This Row],[Retail-Actuals]]),"")</f>
        <v/>
      </c>
      <c r="AV748" s="82" t="e">
        <f>DaybyDay[[#This Row],[Est-Retail-PayrollRU]]/DaybyDay[[#This Row],[Simple-Forecast-Retail]]</f>
        <v>#DIV/0!</v>
      </c>
      <c r="AW748" s="8"/>
      <c r="AX748" s="49"/>
      <c r="AY748" s="48"/>
      <c r="AZ748" s="47"/>
      <c r="BA748" s="47"/>
      <c r="BB748" s="47"/>
      <c r="BC748" s="47"/>
      <c r="BD748" s="47"/>
    </row>
    <row r="749" spans="3:56" hidden="1" x14ac:dyDescent="0.25">
      <c r="C749" s="26" t="str">
        <f>Tools!$C$1</f>
        <v>Example</v>
      </c>
      <c r="D749" s="27" t="s">
        <v>68</v>
      </c>
      <c r="E749" s="28">
        <v>2019</v>
      </c>
      <c r="F749" s="28">
        <f>MATCH(DaybyDay[[#This Row],[RowMonth]],Table3[SummaryMonth],0)</f>
        <v>1</v>
      </c>
      <c r="G749" s="29">
        <f>MATCH(DaybyDay[[#This Row],[LY-Date]],DaybyDay[Date],0)</f>
        <v>379</v>
      </c>
      <c r="H749" s="30">
        <f>WEEKDAY(DaybyDay[[#This Row],[Date]])</f>
        <v>1</v>
      </c>
      <c r="I749" s="31">
        <v>43478</v>
      </c>
      <c r="J749" s="74">
        <v>31</v>
      </c>
      <c r="K749" s="32">
        <f>SUMIFS(BudgetSeasonality[365 Seasonality],BudgetSeasonality[MonthAdjustment],DaybyDay[[#This Row],[Date]])*SUMIFS(Budgets[Service-Budget],Budgets[BudgetMonth],DaybyDay[[#This Row],[RowMonth]],Budgets[BudgetYear],DaybyDay[[#This Row],[RowYear]])</f>
        <v>5767.6483453731535</v>
      </c>
      <c r="L749" s="75">
        <v>6872.6</v>
      </c>
      <c r="M749" s="32">
        <f>INDEX(BudgetSeasonality[365 Seasonality],MATCH(DaybyDay[[#This Row],[Date]],BudgetSeasonality[MonthAdjustment],0))*SUMIFS(Budgets[Retail-Budget],Budgets[BudgetMonth],DaybyDay[[#This Row],[RowMonth]],Budgets[BudgetYear],DaybyDay[[#This Row],[RowYear]])</f>
        <v>1020.5218042380975</v>
      </c>
      <c r="N749" s="75">
        <v>613</v>
      </c>
      <c r="O749" s="33">
        <f>SUMIFS(DaybyDay[Service-Budgets],DaybyDay[Date],"&gt;="&amp;$C$5,DaybyDay[RowYear],"&gt;="&amp;$C$4,DaybyDay[Date],"&lt;="&amp;DaybyDay[[#This Row],[Date]])</f>
        <v>0</v>
      </c>
      <c r="P749" s="33">
        <f>SUMIFS(DaybyDay[Retail-Budgets],DaybyDay[Date],"&gt;="&amp;$C$5,DaybyDay[RowYear],"&gt;="&amp;$C$4,DaybyDay[Date],"&lt;="&amp;DaybyDay[[#This Row],[Date]])</f>
        <v>0</v>
      </c>
      <c r="Q749" s="34">
        <f>SUMIFS(DaybyDay[Service-Actuals],DaybyDay[Date],"&gt;="&amp;$C$5,DaybyDay[RowYear],"&gt;="&amp;$C$4,DaybyDay[Date],"&lt;="&amp;DaybyDay[[#This Row],[Date]])</f>
        <v>0</v>
      </c>
      <c r="R749" s="34">
        <f>SUMIFS(DaybyDay[Retail-Actuals],DaybyDay[Date],"&gt;="&amp;$C$5,DaybyDay[RowYear],"&gt;="&amp;$C$4,DaybyDay[Date],"&lt;="&amp;DaybyDay[[#This Row],[Date]])</f>
        <v>0</v>
      </c>
      <c r="S749" s="35">
        <f>SUMIFS(DaybyDay[Service-LY],DaybyDay[Date],"&gt;="&amp;$C$5,DaybyDay[RowYear],"&gt;="&amp;$C$4,DaybyDay[Date],"&lt;="&amp;DaybyDay[[#This Row],[Date]])</f>
        <v>0</v>
      </c>
      <c r="T749" s="35">
        <f>SUMIFS(DaybyDay[Retail-LY],DaybyDay[Date],"&gt;="&amp;$C$5,DaybyDay[RowYear],"&gt;="&amp;$C$4,DaybyDay[Date],"&lt;="&amp;DaybyDay[[#This Row],[Date]])</f>
        <v>0</v>
      </c>
      <c r="U749" s="32">
        <f>DaybyDay[[#This Row],[Serv-Bud-RU]]+DaybyDay[[#This Row],[Ret-Bud-RU]]</f>
        <v>0</v>
      </c>
      <c r="V749" s="32">
        <f>DaybyDay[[#This Row],[Serv-Act-RU]]+DaybyDay[[#This Row],[Ret-Act-RU]]</f>
        <v>0</v>
      </c>
      <c r="W749" s="36">
        <f>IF(DaybyDay[[#This Row],[_Space]],IFERROR(
((DaybyDay[[#This Row],[Actual-Rollup]]-DaybyDay[[#This Row],[Budget-Rollup]])/DaybyDay[[#This Row],[Budget-Rollup]]),0),"")</f>
        <v>0</v>
      </c>
      <c r="X749" t="b">
        <f>NOT(AND(ISBLANK(DaybyDay[[#This Row],[Appts]]),ISBLANK(DaybyDay[[#This Row],[Service-Actuals]]),ISBLANK(DaybyDay[[#This Row],[Retail-Actuals]])))</f>
        <v>1</v>
      </c>
      <c r="Y749" s="36">
        <f>IF(DaybyDay[[#This Row],[_Space]],IFERROR(
((DaybyDay[[#This Row],[Actual-Rollup]]-DaybyDay[[#This Row],[LY-Rollup]])/DaybyDay[[#This Row],[LY-Rollup]]),0),"")</f>
        <v>0</v>
      </c>
      <c r="Z749"/>
      <c r="AA749" s="37" t="e">
        <f>IF(DaybyDay[[#This Row],[_Space]],DaybyDay[[#This Row],[Ret-Act-RU]]/DaybyDay[[#This Row],[Serv-Act-RU]],"")</f>
        <v>#DIV/0!</v>
      </c>
      <c r="AB749" s="50" t="e">
        <f>IF(DaybyDay[[#This Row],[_Space]],DaybyDay[[#This Row],[RETPEN-Act]]/DaybyDay[[#This Row],[RETPEN-Bud]],"")</f>
        <v>#DIV/0!</v>
      </c>
      <c r="AC749" s="37" t="e">
        <f>IF(DaybyDay[[#This Row],[_Space]],DaybyDay[[#This Row],[Ret-Bud-RU]]/DaybyDay[[#This Row],[Serv-Bud-RU]],"")</f>
        <v>#DIV/0!</v>
      </c>
      <c r="AD749" s="37" t="e">
        <f>IF(DaybyDay[[#This Row],[_Space]],DaybyDay[[#This Row],[Ret-LY-RU]]/DaybyDay[[#This Row],[Serv-LY-RU]],"")</f>
        <v>#DIV/0!</v>
      </c>
      <c r="AE749" s="30">
        <f>WEEKDAY(DaybyDay[[#This Row],[LY-Date]])</f>
        <v>1</v>
      </c>
      <c r="AF749" s="38">
        <f>$E$2+_xlfn.DAYS(DaybyDay[[#This Row],[Date]],minDate)</f>
        <v>43114</v>
      </c>
      <c r="AG749" s="39" cm="1">
        <f t="array" ref="AG749">IFERROR(INDEX(DaybyDay[],DaybyDay[[#This Row],[FORM_MATCH_HELPER]],8),"")</f>
        <v>33</v>
      </c>
      <c r="AH749" s="39" cm="1">
        <f t="array" ref="AH749">IFERROR(INDEX(DaybyDay[],DaybyDay[[#This Row],[FORM_MATCH_HELPER]],10),"")</f>
        <v>6768.1</v>
      </c>
      <c r="AI749" s="39" cm="1">
        <f t="array" ref="AI749">IFERROR(INDEX(DaybyDay[],DaybyDay[[#This Row],[FORM_MATCH_HELPER]],12),"")</f>
        <v>527</v>
      </c>
      <c r="AJ749" s="32">
        <f>IFERROR(DaybyDay[[#This Row],[Serv-LY-RU]]+DaybyDay[[#This Row],[Ret-LY-RU]],"")</f>
        <v>0</v>
      </c>
      <c r="AK7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49" s="77"/>
      <c r="AM749" s="40" t="str">
        <f>IF(DaybyDay[[#This Row],[Admin Hours]]&gt;0,DaybyDay[[#This Row],[Admin Hours]]*$AM$2+$AM$3,"")</f>
        <v/>
      </c>
      <c r="AN749" s="40">
        <f>SUMIFS(DaybyDay[Est-Admin-Payroll],DaybyDay[Date],"&gt;="&amp;$C$5,DaybyDay[RowYear],"&gt;="&amp;$C$4,DaybyDay[Date],"&lt;="&amp;DaybyDay[[#This Row],[Date]])</f>
        <v>0</v>
      </c>
      <c r="AO749" s="41" t="str">
        <f>IF(AND(DaybyDay[[#This Row],[_Space]],ISNUMBER(DaybyDay[[#This Row],[Admin Hours]])),DaybyDay[[#This Row],[Est-Admin-Payroll]]/(DaybyDay[[#This Row],[Service-Actuals]]+DaybyDay[[#This Row],[Retail-Actuals]]),"")</f>
        <v/>
      </c>
      <c r="AP749" s="41" t="e">
        <f>DaybyDay[[#This Row],[Estimated-Payroll-Rollup]]/DaybyDay[[#This Row],[Simple-Forecast]]</f>
        <v>#DIV/0!</v>
      </c>
      <c r="AQ7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49" s="77"/>
      <c r="AS749" s="40" t="str">
        <f>IF(DaybyDay[[#This Row],[Retail Hours]]&gt;0,DaybyDay[[#This Row],[Retail Hours]]*$AS$2,"")</f>
        <v/>
      </c>
      <c r="AT749" s="40">
        <f>SUMIFS(DaybyDay[Est-Retail-Payroll],DaybyDay[Date],"&gt;="&amp;$C$5,DaybyDay[RowYear],"&gt;="&amp;$C$4,DaybyDay[Date],"&lt;="&amp;DaybyDay[[#This Row],[Date]])</f>
        <v>0</v>
      </c>
      <c r="AU749" s="82" t="str">
        <f>IF(AND(DaybyDay[[#This Row],[_Space]],ISNUMBER(DaybyDay[[#This Row],[Retail Hours]])),DaybyDay[[#This Row],[Est-Retail-Payroll]]/(DaybyDay[[#This Row],[Retail-Actuals]]),"")</f>
        <v/>
      </c>
      <c r="AV749" s="82" t="e">
        <f>DaybyDay[[#This Row],[Est-Retail-PayrollRU]]/DaybyDay[[#This Row],[Simple-Forecast-Retail]]</f>
        <v>#DIV/0!</v>
      </c>
      <c r="AW749" s="8"/>
      <c r="AX749" s="49"/>
      <c r="AY749" s="48"/>
      <c r="AZ749" s="47"/>
      <c r="BA749" s="47"/>
      <c r="BB749" s="47"/>
      <c r="BC749" s="47"/>
      <c r="BD749" s="47"/>
    </row>
    <row r="750" spans="3:56" hidden="1" x14ac:dyDescent="0.25">
      <c r="C750" s="26" t="str">
        <f>Tools!$C$1</f>
        <v>Example</v>
      </c>
      <c r="D750" s="27" t="s">
        <v>68</v>
      </c>
      <c r="E750" s="28">
        <v>2019</v>
      </c>
      <c r="F750" s="28">
        <f>MATCH(DaybyDay[[#This Row],[RowMonth]],Table3[SummaryMonth],0)</f>
        <v>1</v>
      </c>
      <c r="G750" s="29">
        <f>MATCH(DaybyDay[[#This Row],[LY-Date]],DaybyDay[Date],0)</f>
        <v>380</v>
      </c>
      <c r="H750" s="30">
        <f>WEEKDAY(DaybyDay[[#This Row],[Date]])</f>
        <v>2</v>
      </c>
      <c r="I750" s="31">
        <v>43479</v>
      </c>
      <c r="J750" s="74">
        <v>12</v>
      </c>
      <c r="K750" s="32">
        <f>SUMIFS(BudgetSeasonality[365 Seasonality],BudgetSeasonality[MonthAdjustment],DaybyDay[[#This Row],[Date]])*SUMIFS(Budgets[Service-Budget],Budgets[BudgetMonth],DaybyDay[[#This Row],[RowMonth]],Budgets[BudgetYear],DaybyDay[[#This Row],[RowYear]])</f>
        <v>3605.6784984620981</v>
      </c>
      <c r="L750" s="75">
        <v>3787.4</v>
      </c>
      <c r="M750" s="32">
        <f>INDEX(BudgetSeasonality[365 Seasonality],MATCH(DaybyDay[[#This Row],[Date]],BudgetSeasonality[MonthAdjustment],0))*SUMIFS(Budgets[Retail-Budget],Budgets[BudgetMonth],DaybyDay[[#This Row],[RowMonth]],Budgets[BudgetYear],DaybyDay[[#This Row],[RowYear]])</f>
        <v>637.98506885478093</v>
      </c>
      <c r="N750" s="75">
        <v>128.5</v>
      </c>
      <c r="O750" s="33">
        <f>SUMIFS(DaybyDay[Service-Budgets],DaybyDay[Date],"&gt;="&amp;$C$5,DaybyDay[RowYear],"&gt;="&amp;$C$4,DaybyDay[Date],"&lt;="&amp;DaybyDay[[#This Row],[Date]])</f>
        <v>0</v>
      </c>
      <c r="P750" s="33">
        <f>SUMIFS(DaybyDay[Retail-Budgets],DaybyDay[Date],"&gt;="&amp;$C$5,DaybyDay[RowYear],"&gt;="&amp;$C$4,DaybyDay[Date],"&lt;="&amp;DaybyDay[[#This Row],[Date]])</f>
        <v>0</v>
      </c>
      <c r="Q750" s="34">
        <f>SUMIFS(DaybyDay[Service-Actuals],DaybyDay[Date],"&gt;="&amp;$C$5,DaybyDay[RowYear],"&gt;="&amp;$C$4,DaybyDay[Date],"&lt;="&amp;DaybyDay[[#This Row],[Date]])</f>
        <v>0</v>
      </c>
      <c r="R750" s="34">
        <f>SUMIFS(DaybyDay[Retail-Actuals],DaybyDay[Date],"&gt;="&amp;$C$5,DaybyDay[RowYear],"&gt;="&amp;$C$4,DaybyDay[Date],"&lt;="&amp;DaybyDay[[#This Row],[Date]])</f>
        <v>0</v>
      </c>
      <c r="S750" s="35">
        <f>SUMIFS(DaybyDay[Service-LY],DaybyDay[Date],"&gt;="&amp;$C$5,DaybyDay[RowYear],"&gt;="&amp;$C$4,DaybyDay[Date],"&lt;="&amp;DaybyDay[[#This Row],[Date]])</f>
        <v>0</v>
      </c>
      <c r="T750" s="35">
        <f>SUMIFS(DaybyDay[Retail-LY],DaybyDay[Date],"&gt;="&amp;$C$5,DaybyDay[RowYear],"&gt;="&amp;$C$4,DaybyDay[Date],"&lt;="&amp;DaybyDay[[#This Row],[Date]])</f>
        <v>0</v>
      </c>
      <c r="U750" s="32">
        <f>DaybyDay[[#This Row],[Serv-Bud-RU]]+DaybyDay[[#This Row],[Ret-Bud-RU]]</f>
        <v>0</v>
      </c>
      <c r="V750" s="32">
        <f>DaybyDay[[#This Row],[Serv-Act-RU]]+DaybyDay[[#This Row],[Ret-Act-RU]]</f>
        <v>0</v>
      </c>
      <c r="W750" s="36">
        <f>IF(DaybyDay[[#This Row],[_Space]],IFERROR(
((DaybyDay[[#This Row],[Actual-Rollup]]-DaybyDay[[#This Row],[Budget-Rollup]])/DaybyDay[[#This Row],[Budget-Rollup]]),0),"")</f>
        <v>0</v>
      </c>
      <c r="X750" t="b">
        <f>NOT(AND(ISBLANK(DaybyDay[[#This Row],[Appts]]),ISBLANK(DaybyDay[[#This Row],[Service-Actuals]]),ISBLANK(DaybyDay[[#This Row],[Retail-Actuals]])))</f>
        <v>1</v>
      </c>
      <c r="Y750" s="36">
        <f>IF(DaybyDay[[#This Row],[_Space]],IFERROR(
((DaybyDay[[#This Row],[Actual-Rollup]]-DaybyDay[[#This Row],[LY-Rollup]])/DaybyDay[[#This Row],[LY-Rollup]]),0),"")</f>
        <v>0</v>
      </c>
      <c r="Z750"/>
      <c r="AA750" s="37" t="e">
        <f>IF(DaybyDay[[#This Row],[_Space]],DaybyDay[[#This Row],[Ret-Act-RU]]/DaybyDay[[#This Row],[Serv-Act-RU]],"")</f>
        <v>#DIV/0!</v>
      </c>
      <c r="AB750" s="50" t="e">
        <f>IF(DaybyDay[[#This Row],[_Space]],DaybyDay[[#This Row],[RETPEN-Act]]/DaybyDay[[#This Row],[RETPEN-Bud]],"")</f>
        <v>#DIV/0!</v>
      </c>
      <c r="AC750" s="37" t="e">
        <f>IF(DaybyDay[[#This Row],[_Space]],DaybyDay[[#This Row],[Ret-Bud-RU]]/DaybyDay[[#This Row],[Serv-Bud-RU]],"")</f>
        <v>#DIV/0!</v>
      </c>
      <c r="AD750" s="37" t="e">
        <f>IF(DaybyDay[[#This Row],[_Space]],DaybyDay[[#This Row],[Ret-LY-RU]]/DaybyDay[[#This Row],[Serv-LY-RU]],"")</f>
        <v>#DIV/0!</v>
      </c>
      <c r="AE750" s="30">
        <f>WEEKDAY(DaybyDay[[#This Row],[LY-Date]])</f>
        <v>2</v>
      </c>
      <c r="AF750" s="38">
        <f>$E$2+_xlfn.DAYS(DaybyDay[[#This Row],[Date]],minDate)</f>
        <v>43115</v>
      </c>
      <c r="AG750" s="39" cm="1">
        <f t="array" ref="AG750">IFERROR(INDEX(DaybyDay[],DaybyDay[[#This Row],[FORM_MATCH_HELPER]],8),"")</f>
        <v>25</v>
      </c>
      <c r="AH750" s="39" cm="1">
        <f t="array" ref="AH750">IFERROR(INDEX(DaybyDay[],DaybyDay[[#This Row],[FORM_MATCH_HELPER]],10),"")</f>
        <v>4658.58</v>
      </c>
      <c r="AI750" s="39" cm="1">
        <f t="array" ref="AI750">IFERROR(INDEX(DaybyDay[],DaybyDay[[#This Row],[FORM_MATCH_HELPER]],12),"")</f>
        <v>483.4</v>
      </c>
      <c r="AJ750" s="32">
        <f>IFERROR(DaybyDay[[#This Row],[Serv-LY-RU]]+DaybyDay[[#This Row],[Ret-LY-RU]],"")</f>
        <v>0</v>
      </c>
      <c r="AK7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0" s="77"/>
      <c r="AM750" s="40" t="str">
        <f>IF(DaybyDay[[#This Row],[Admin Hours]]&gt;0,DaybyDay[[#This Row],[Admin Hours]]*$AM$2+$AM$3,"")</f>
        <v/>
      </c>
      <c r="AN750" s="40">
        <f>SUMIFS(DaybyDay[Est-Admin-Payroll],DaybyDay[Date],"&gt;="&amp;$C$5,DaybyDay[RowYear],"&gt;="&amp;$C$4,DaybyDay[Date],"&lt;="&amp;DaybyDay[[#This Row],[Date]])</f>
        <v>0</v>
      </c>
      <c r="AO750" s="41" t="str">
        <f>IF(AND(DaybyDay[[#This Row],[_Space]],ISNUMBER(DaybyDay[[#This Row],[Admin Hours]])),DaybyDay[[#This Row],[Est-Admin-Payroll]]/(DaybyDay[[#This Row],[Service-Actuals]]+DaybyDay[[#This Row],[Retail-Actuals]]),"")</f>
        <v/>
      </c>
      <c r="AP750" s="41" t="e">
        <f>DaybyDay[[#This Row],[Estimated-Payroll-Rollup]]/DaybyDay[[#This Row],[Simple-Forecast]]</f>
        <v>#DIV/0!</v>
      </c>
      <c r="AQ7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0" s="77"/>
      <c r="AS750" s="40" t="str">
        <f>IF(DaybyDay[[#This Row],[Retail Hours]]&gt;0,DaybyDay[[#This Row],[Retail Hours]]*$AS$2,"")</f>
        <v/>
      </c>
      <c r="AT750" s="40">
        <f>SUMIFS(DaybyDay[Est-Retail-Payroll],DaybyDay[Date],"&gt;="&amp;$C$5,DaybyDay[RowYear],"&gt;="&amp;$C$4,DaybyDay[Date],"&lt;="&amp;DaybyDay[[#This Row],[Date]])</f>
        <v>0</v>
      </c>
      <c r="AU750" s="82" t="str">
        <f>IF(AND(DaybyDay[[#This Row],[_Space]],ISNUMBER(DaybyDay[[#This Row],[Retail Hours]])),DaybyDay[[#This Row],[Est-Retail-Payroll]]/(DaybyDay[[#This Row],[Retail-Actuals]]),"")</f>
        <v/>
      </c>
      <c r="AV750" s="82" t="e">
        <f>DaybyDay[[#This Row],[Est-Retail-PayrollRU]]/DaybyDay[[#This Row],[Simple-Forecast-Retail]]</f>
        <v>#DIV/0!</v>
      </c>
      <c r="AW750" s="8"/>
      <c r="AX750" s="49"/>
      <c r="AY750" s="48"/>
      <c r="AZ750" s="47"/>
      <c r="BA750" s="47"/>
      <c r="BB750" s="47"/>
      <c r="BC750" s="47"/>
      <c r="BD750" s="47"/>
    </row>
    <row r="751" spans="3:56" hidden="1" x14ac:dyDescent="0.25">
      <c r="C751" s="26" t="str">
        <f>Tools!$C$1</f>
        <v>Example</v>
      </c>
      <c r="D751" s="27" t="s">
        <v>68</v>
      </c>
      <c r="E751" s="28">
        <v>2019</v>
      </c>
      <c r="F751" s="28">
        <f>MATCH(DaybyDay[[#This Row],[RowMonth]],Table3[SummaryMonth],0)</f>
        <v>1</v>
      </c>
      <c r="G751" s="29">
        <f>MATCH(DaybyDay[[#This Row],[LY-Date]],DaybyDay[Date],0)</f>
        <v>381</v>
      </c>
      <c r="H751" s="30">
        <f>WEEKDAY(DaybyDay[[#This Row],[Date]])</f>
        <v>3</v>
      </c>
      <c r="I751" s="31">
        <v>43480</v>
      </c>
      <c r="J751" s="74">
        <v>11</v>
      </c>
      <c r="K751" s="32">
        <f>SUMIFS(BudgetSeasonality[365 Seasonality],BudgetSeasonality[MonthAdjustment],DaybyDay[[#This Row],[Date]])*SUMIFS(Budgets[Service-Budget],Budgets[BudgetMonth],DaybyDay[[#This Row],[RowMonth]],Budgets[BudgetYear],DaybyDay[[#This Row],[RowYear]])</f>
        <v>3705.1377154500315</v>
      </c>
      <c r="L751" s="75">
        <v>2004.8</v>
      </c>
      <c r="M751" s="32">
        <f>INDEX(BudgetSeasonality[365 Seasonality],MATCH(DaybyDay[[#This Row],[Date]],BudgetSeasonality[MonthAdjustment],0))*SUMIFS(Budgets[Retail-Budget],Budgets[BudgetMonth],DaybyDay[[#This Row],[RowMonth]],Budgets[BudgetYear],DaybyDay[[#This Row],[RowYear]])</f>
        <v>655.5832810706936</v>
      </c>
      <c r="N751" s="75">
        <v>0</v>
      </c>
      <c r="O751" s="33">
        <f>SUMIFS(DaybyDay[Service-Budgets],DaybyDay[Date],"&gt;="&amp;$C$5,DaybyDay[RowYear],"&gt;="&amp;$C$4,DaybyDay[Date],"&lt;="&amp;DaybyDay[[#This Row],[Date]])</f>
        <v>0</v>
      </c>
      <c r="P751" s="33">
        <f>SUMIFS(DaybyDay[Retail-Budgets],DaybyDay[Date],"&gt;="&amp;$C$5,DaybyDay[RowYear],"&gt;="&amp;$C$4,DaybyDay[Date],"&lt;="&amp;DaybyDay[[#This Row],[Date]])</f>
        <v>0</v>
      </c>
      <c r="Q751" s="34">
        <f>SUMIFS(DaybyDay[Service-Actuals],DaybyDay[Date],"&gt;="&amp;$C$5,DaybyDay[RowYear],"&gt;="&amp;$C$4,DaybyDay[Date],"&lt;="&amp;DaybyDay[[#This Row],[Date]])</f>
        <v>0</v>
      </c>
      <c r="R751" s="34">
        <f>SUMIFS(DaybyDay[Retail-Actuals],DaybyDay[Date],"&gt;="&amp;$C$5,DaybyDay[RowYear],"&gt;="&amp;$C$4,DaybyDay[Date],"&lt;="&amp;DaybyDay[[#This Row],[Date]])</f>
        <v>0</v>
      </c>
      <c r="S751" s="35">
        <f>SUMIFS(DaybyDay[Service-LY],DaybyDay[Date],"&gt;="&amp;$C$5,DaybyDay[RowYear],"&gt;="&amp;$C$4,DaybyDay[Date],"&lt;="&amp;DaybyDay[[#This Row],[Date]])</f>
        <v>0</v>
      </c>
      <c r="T751" s="35">
        <f>SUMIFS(DaybyDay[Retail-LY],DaybyDay[Date],"&gt;="&amp;$C$5,DaybyDay[RowYear],"&gt;="&amp;$C$4,DaybyDay[Date],"&lt;="&amp;DaybyDay[[#This Row],[Date]])</f>
        <v>0</v>
      </c>
      <c r="U751" s="32">
        <f>DaybyDay[[#This Row],[Serv-Bud-RU]]+DaybyDay[[#This Row],[Ret-Bud-RU]]</f>
        <v>0</v>
      </c>
      <c r="V751" s="32">
        <f>DaybyDay[[#This Row],[Serv-Act-RU]]+DaybyDay[[#This Row],[Ret-Act-RU]]</f>
        <v>0</v>
      </c>
      <c r="W751" s="36">
        <f>IF(DaybyDay[[#This Row],[_Space]],IFERROR(
((DaybyDay[[#This Row],[Actual-Rollup]]-DaybyDay[[#This Row],[Budget-Rollup]])/DaybyDay[[#This Row],[Budget-Rollup]]),0),"")</f>
        <v>0</v>
      </c>
      <c r="X751" t="b">
        <f>NOT(AND(ISBLANK(DaybyDay[[#This Row],[Appts]]),ISBLANK(DaybyDay[[#This Row],[Service-Actuals]]),ISBLANK(DaybyDay[[#This Row],[Retail-Actuals]])))</f>
        <v>1</v>
      </c>
      <c r="Y751" s="36">
        <f>IF(DaybyDay[[#This Row],[_Space]],IFERROR(
((DaybyDay[[#This Row],[Actual-Rollup]]-DaybyDay[[#This Row],[LY-Rollup]])/DaybyDay[[#This Row],[LY-Rollup]]),0),"")</f>
        <v>0</v>
      </c>
      <c r="Z751"/>
      <c r="AA751" s="37" t="e">
        <f>IF(DaybyDay[[#This Row],[_Space]],DaybyDay[[#This Row],[Ret-Act-RU]]/DaybyDay[[#This Row],[Serv-Act-RU]],"")</f>
        <v>#DIV/0!</v>
      </c>
      <c r="AB751" s="50" t="e">
        <f>IF(DaybyDay[[#This Row],[_Space]],DaybyDay[[#This Row],[RETPEN-Act]]/DaybyDay[[#This Row],[RETPEN-Bud]],"")</f>
        <v>#DIV/0!</v>
      </c>
      <c r="AC751" s="37" t="e">
        <f>IF(DaybyDay[[#This Row],[_Space]],DaybyDay[[#This Row],[Ret-Bud-RU]]/DaybyDay[[#This Row],[Serv-Bud-RU]],"")</f>
        <v>#DIV/0!</v>
      </c>
      <c r="AD751" s="37" t="e">
        <f>IF(DaybyDay[[#This Row],[_Space]],DaybyDay[[#This Row],[Ret-LY-RU]]/DaybyDay[[#This Row],[Serv-LY-RU]],"")</f>
        <v>#DIV/0!</v>
      </c>
      <c r="AE751" s="30">
        <f>WEEKDAY(DaybyDay[[#This Row],[LY-Date]])</f>
        <v>3</v>
      </c>
      <c r="AF751" s="38">
        <f>$E$2+_xlfn.DAYS(DaybyDay[[#This Row],[Date]],minDate)</f>
        <v>43116</v>
      </c>
      <c r="AG751" s="39" cm="1">
        <f t="array" ref="AG751">IFERROR(INDEX(DaybyDay[],DaybyDay[[#This Row],[FORM_MATCH_HELPER]],8),"")</f>
        <v>12</v>
      </c>
      <c r="AH751" s="39" cm="1">
        <f t="array" ref="AH751">IFERROR(INDEX(DaybyDay[],DaybyDay[[#This Row],[FORM_MATCH_HELPER]],10),"")</f>
        <v>2598</v>
      </c>
      <c r="AI751" s="39" cm="1">
        <f t="array" ref="AI751">IFERROR(INDEX(DaybyDay[],DaybyDay[[#This Row],[FORM_MATCH_HELPER]],12),"")</f>
        <v>194</v>
      </c>
      <c r="AJ751" s="32">
        <f>IFERROR(DaybyDay[[#This Row],[Serv-LY-RU]]+DaybyDay[[#This Row],[Ret-LY-RU]],"")</f>
        <v>0</v>
      </c>
      <c r="AK7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1" s="77"/>
      <c r="AM751" s="40" t="str">
        <f>IF(DaybyDay[[#This Row],[Admin Hours]]&gt;0,DaybyDay[[#This Row],[Admin Hours]]*$AM$2+$AM$3,"")</f>
        <v/>
      </c>
      <c r="AN751" s="40">
        <f>SUMIFS(DaybyDay[Est-Admin-Payroll],DaybyDay[Date],"&gt;="&amp;$C$5,DaybyDay[RowYear],"&gt;="&amp;$C$4,DaybyDay[Date],"&lt;="&amp;DaybyDay[[#This Row],[Date]])</f>
        <v>0</v>
      </c>
      <c r="AO751" s="41" t="str">
        <f>IF(AND(DaybyDay[[#This Row],[_Space]],ISNUMBER(DaybyDay[[#This Row],[Admin Hours]])),DaybyDay[[#This Row],[Est-Admin-Payroll]]/(DaybyDay[[#This Row],[Service-Actuals]]+DaybyDay[[#This Row],[Retail-Actuals]]),"")</f>
        <v/>
      </c>
      <c r="AP751" s="41" t="e">
        <f>DaybyDay[[#This Row],[Estimated-Payroll-Rollup]]/DaybyDay[[#This Row],[Simple-Forecast]]</f>
        <v>#DIV/0!</v>
      </c>
      <c r="AQ7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1" s="77"/>
      <c r="AS751" s="40" t="str">
        <f>IF(DaybyDay[[#This Row],[Retail Hours]]&gt;0,DaybyDay[[#This Row],[Retail Hours]]*$AS$2,"")</f>
        <v/>
      </c>
      <c r="AT751" s="40">
        <f>SUMIFS(DaybyDay[Est-Retail-Payroll],DaybyDay[Date],"&gt;="&amp;$C$5,DaybyDay[RowYear],"&gt;="&amp;$C$4,DaybyDay[Date],"&lt;="&amp;DaybyDay[[#This Row],[Date]])</f>
        <v>0</v>
      </c>
      <c r="AU751" s="82" t="str">
        <f>IF(AND(DaybyDay[[#This Row],[_Space]],ISNUMBER(DaybyDay[[#This Row],[Retail Hours]])),DaybyDay[[#This Row],[Est-Retail-Payroll]]/(DaybyDay[[#This Row],[Retail-Actuals]]),"")</f>
        <v/>
      </c>
      <c r="AV751" s="82" t="e">
        <f>DaybyDay[[#This Row],[Est-Retail-PayrollRU]]/DaybyDay[[#This Row],[Simple-Forecast-Retail]]</f>
        <v>#DIV/0!</v>
      </c>
      <c r="AW751" s="8"/>
      <c r="AX751" s="49"/>
      <c r="AY751" s="48"/>
      <c r="AZ751" s="47"/>
      <c r="BA751" s="47"/>
      <c r="BB751" s="47"/>
      <c r="BC751" s="47"/>
      <c r="BD751" s="47"/>
    </row>
    <row r="752" spans="3:56" hidden="1" x14ac:dyDescent="0.25">
      <c r="C752" s="26" t="str">
        <f>Tools!$C$1</f>
        <v>Example</v>
      </c>
      <c r="D752" s="27" t="s">
        <v>68</v>
      </c>
      <c r="E752" s="28">
        <v>2019</v>
      </c>
      <c r="F752" s="28">
        <f>MATCH(DaybyDay[[#This Row],[RowMonth]],Table3[SummaryMonth],0)</f>
        <v>1</v>
      </c>
      <c r="G752" s="29">
        <f>MATCH(DaybyDay[[#This Row],[LY-Date]],DaybyDay[Date],0)</f>
        <v>382</v>
      </c>
      <c r="H752" s="30">
        <f>WEEKDAY(DaybyDay[[#This Row],[Date]])</f>
        <v>4</v>
      </c>
      <c r="I752" s="31">
        <v>43481</v>
      </c>
      <c r="J752" s="74">
        <v>18</v>
      </c>
      <c r="K752" s="32">
        <f>SUMIFS(BudgetSeasonality[365 Seasonality],BudgetSeasonality[MonthAdjustment],DaybyDay[[#This Row],[Date]])*SUMIFS(Budgets[Service-Budget],Budgets[BudgetMonth],DaybyDay[[#This Row],[RowMonth]],Budgets[BudgetYear],DaybyDay[[#This Row],[RowYear]])</f>
        <v>4205.1797817680954</v>
      </c>
      <c r="L752" s="75">
        <v>4229.59</v>
      </c>
      <c r="M752" s="32">
        <f>INDEX(BudgetSeasonality[365 Seasonality],MATCH(DaybyDay[[#This Row],[Date]],BudgetSeasonality[MonthAdjustment],0))*SUMIFS(Budgets[Retail-Budget],Budgets[BudgetMonth],DaybyDay[[#This Row],[RowMonth]],Budgets[BudgetYear],DaybyDay[[#This Row],[RowYear]])</f>
        <v>744.06021328921668</v>
      </c>
      <c r="N752" s="75">
        <v>3474.5</v>
      </c>
      <c r="O752" s="33">
        <f>SUMIFS(DaybyDay[Service-Budgets],DaybyDay[Date],"&gt;="&amp;$C$5,DaybyDay[RowYear],"&gt;="&amp;$C$4,DaybyDay[Date],"&lt;="&amp;DaybyDay[[#This Row],[Date]])</f>
        <v>0</v>
      </c>
      <c r="P752" s="33">
        <f>SUMIFS(DaybyDay[Retail-Budgets],DaybyDay[Date],"&gt;="&amp;$C$5,DaybyDay[RowYear],"&gt;="&amp;$C$4,DaybyDay[Date],"&lt;="&amp;DaybyDay[[#This Row],[Date]])</f>
        <v>0</v>
      </c>
      <c r="Q752" s="34">
        <f>SUMIFS(DaybyDay[Service-Actuals],DaybyDay[Date],"&gt;="&amp;$C$5,DaybyDay[RowYear],"&gt;="&amp;$C$4,DaybyDay[Date],"&lt;="&amp;DaybyDay[[#This Row],[Date]])</f>
        <v>0</v>
      </c>
      <c r="R752" s="34">
        <f>SUMIFS(DaybyDay[Retail-Actuals],DaybyDay[Date],"&gt;="&amp;$C$5,DaybyDay[RowYear],"&gt;="&amp;$C$4,DaybyDay[Date],"&lt;="&amp;DaybyDay[[#This Row],[Date]])</f>
        <v>0</v>
      </c>
      <c r="S752" s="35">
        <f>SUMIFS(DaybyDay[Service-LY],DaybyDay[Date],"&gt;="&amp;$C$5,DaybyDay[RowYear],"&gt;="&amp;$C$4,DaybyDay[Date],"&lt;="&amp;DaybyDay[[#This Row],[Date]])</f>
        <v>0</v>
      </c>
      <c r="T752" s="35">
        <f>SUMIFS(DaybyDay[Retail-LY],DaybyDay[Date],"&gt;="&amp;$C$5,DaybyDay[RowYear],"&gt;="&amp;$C$4,DaybyDay[Date],"&lt;="&amp;DaybyDay[[#This Row],[Date]])</f>
        <v>0</v>
      </c>
      <c r="U752" s="32">
        <f>DaybyDay[[#This Row],[Serv-Bud-RU]]+DaybyDay[[#This Row],[Ret-Bud-RU]]</f>
        <v>0</v>
      </c>
      <c r="V752" s="32">
        <f>DaybyDay[[#This Row],[Serv-Act-RU]]+DaybyDay[[#This Row],[Ret-Act-RU]]</f>
        <v>0</v>
      </c>
      <c r="W752" s="36">
        <f>IF(DaybyDay[[#This Row],[_Space]],IFERROR(
((DaybyDay[[#This Row],[Actual-Rollup]]-DaybyDay[[#This Row],[Budget-Rollup]])/DaybyDay[[#This Row],[Budget-Rollup]]),0),"")</f>
        <v>0</v>
      </c>
      <c r="X752" t="b">
        <f>NOT(AND(ISBLANK(DaybyDay[[#This Row],[Appts]]),ISBLANK(DaybyDay[[#This Row],[Service-Actuals]]),ISBLANK(DaybyDay[[#This Row],[Retail-Actuals]])))</f>
        <v>1</v>
      </c>
      <c r="Y752" s="36">
        <f>IF(DaybyDay[[#This Row],[_Space]],IFERROR(
((DaybyDay[[#This Row],[Actual-Rollup]]-DaybyDay[[#This Row],[LY-Rollup]])/DaybyDay[[#This Row],[LY-Rollup]]),0),"")</f>
        <v>0</v>
      </c>
      <c r="Z752"/>
      <c r="AA752" s="37" t="e">
        <f>IF(DaybyDay[[#This Row],[_Space]],DaybyDay[[#This Row],[Ret-Act-RU]]/DaybyDay[[#This Row],[Serv-Act-RU]],"")</f>
        <v>#DIV/0!</v>
      </c>
      <c r="AB752" s="50" t="e">
        <f>IF(DaybyDay[[#This Row],[_Space]],DaybyDay[[#This Row],[RETPEN-Act]]/DaybyDay[[#This Row],[RETPEN-Bud]],"")</f>
        <v>#DIV/0!</v>
      </c>
      <c r="AC752" s="37" t="e">
        <f>IF(DaybyDay[[#This Row],[_Space]],DaybyDay[[#This Row],[Ret-Bud-RU]]/DaybyDay[[#This Row],[Serv-Bud-RU]],"")</f>
        <v>#DIV/0!</v>
      </c>
      <c r="AD752" s="37" t="e">
        <f>IF(DaybyDay[[#This Row],[_Space]],DaybyDay[[#This Row],[Ret-LY-RU]]/DaybyDay[[#This Row],[Serv-LY-RU]],"")</f>
        <v>#DIV/0!</v>
      </c>
      <c r="AE752" s="30">
        <f>WEEKDAY(DaybyDay[[#This Row],[LY-Date]])</f>
        <v>4</v>
      </c>
      <c r="AF752" s="38">
        <f>$E$2+_xlfn.DAYS(DaybyDay[[#This Row],[Date]],minDate)</f>
        <v>43117</v>
      </c>
      <c r="AG752" s="39" cm="1">
        <f t="array" ref="AG752">IFERROR(INDEX(DaybyDay[],DaybyDay[[#This Row],[FORM_MATCH_HELPER]],8),"")</f>
        <v>18</v>
      </c>
      <c r="AH752" s="39" cm="1">
        <f t="array" ref="AH752">IFERROR(INDEX(DaybyDay[],DaybyDay[[#This Row],[FORM_MATCH_HELPER]],10),"")</f>
        <v>4118</v>
      </c>
      <c r="AI752" s="39" cm="1">
        <f t="array" ref="AI752">IFERROR(INDEX(DaybyDay[],DaybyDay[[#This Row],[FORM_MATCH_HELPER]],12),"")</f>
        <v>127</v>
      </c>
      <c r="AJ752" s="32">
        <f>IFERROR(DaybyDay[[#This Row],[Serv-LY-RU]]+DaybyDay[[#This Row],[Ret-LY-RU]],"")</f>
        <v>0</v>
      </c>
      <c r="AK7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2" s="77"/>
      <c r="AM752" s="40" t="str">
        <f>IF(DaybyDay[[#This Row],[Admin Hours]]&gt;0,DaybyDay[[#This Row],[Admin Hours]]*$AM$2+$AM$3,"")</f>
        <v/>
      </c>
      <c r="AN752" s="40">
        <f>SUMIFS(DaybyDay[Est-Admin-Payroll],DaybyDay[Date],"&gt;="&amp;$C$5,DaybyDay[RowYear],"&gt;="&amp;$C$4,DaybyDay[Date],"&lt;="&amp;DaybyDay[[#This Row],[Date]])</f>
        <v>0</v>
      </c>
      <c r="AO752" s="41" t="str">
        <f>IF(AND(DaybyDay[[#This Row],[_Space]],ISNUMBER(DaybyDay[[#This Row],[Admin Hours]])),DaybyDay[[#This Row],[Est-Admin-Payroll]]/(DaybyDay[[#This Row],[Service-Actuals]]+DaybyDay[[#This Row],[Retail-Actuals]]),"")</f>
        <v/>
      </c>
      <c r="AP752" s="41" t="e">
        <f>DaybyDay[[#This Row],[Estimated-Payroll-Rollup]]/DaybyDay[[#This Row],[Simple-Forecast]]</f>
        <v>#DIV/0!</v>
      </c>
      <c r="AQ7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2" s="77"/>
      <c r="AS752" s="40" t="str">
        <f>IF(DaybyDay[[#This Row],[Retail Hours]]&gt;0,DaybyDay[[#This Row],[Retail Hours]]*$AS$2,"")</f>
        <v/>
      </c>
      <c r="AT752" s="40">
        <f>SUMIFS(DaybyDay[Est-Retail-Payroll],DaybyDay[Date],"&gt;="&amp;$C$5,DaybyDay[RowYear],"&gt;="&amp;$C$4,DaybyDay[Date],"&lt;="&amp;DaybyDay[[#This Row],[Date]])</f>
        <v>0</v>
      </c>
      <c r="AU752" s="82" t="str">
        <f>IF(AND(DaybyDay[[#This Row],[_Space]],ISNUMBER(DaybyDay[[#This Row],[Retail Hours]])),DaybyDay[[#This Row],[Est-Retail-Payroll]]/(DaybyDay[[#This Row],[Retail-Actuals]]),"")</f>
        <v/>
      </c>
      <c r="AV752" s="82" t="e">
        <f>DaybyDay[[#This Row],[Est-Retail-PayrollRU]]/DaybyDay[[#This Row],[Simple-Forecast-Retail]]</f>
        <v>#DIV/0!</v>
      </c>
      <c r="AW752" s="8"/>
      <c r="AX752" s="49"/>
      <c r="AY752" s="48"/>
      <c r="AZ752" s="47"/>
      <c r="BA752" s="47"/>
      <c r="BB752" s="47"/>
      <c r="BC752" s="47"/>
      <c r="BD752" s="47"/>
    </row>
    <row r="753" spans="3:56" hidden="1" x14ac:dyDescent="0.25">
      <c r="C753" s="26" t="str">
        <f>Tools!$C$1</f>
        <v>Example</v>
      </c>
      <c r="D753" s="27" t="s">
        <v>68</v>
      </c>
      <c r="E753" s="28">
        <v>2019</v>
      </c>
      <c r="F753" s="28">
        <f>MATCH(DaybyDay[[#This Row],[RowMonth]],Table3[SummaryMonth],0)</f>
        <v>1</v>
      </c>
      <c r="G753" s="29">
        <f>MATCH(DaybyDay[[#This Row],[LY-Date]],DaybyDay[Date],0)</f>
        <v>383</v>
      </c>
      <c r="H753" s="30">
        <f>WEEKDAY(DaybyDay[[#This Row],[Date]])</f>
        <v>5</v>
      </c>
      <c r="I753" s="31">
        <v>43482</v>
      </c>
      <c r="J753" s="74">
        <v>14</v>
      </c>
      <c r="K753" s="32">
        <f>SUMIFS(BudgetSeasonality[365 Seasonality],BudgetSeasonality[MonthAdjustment],DaybyDay[[#This Row],[Date]])*SUMIFS(Budgets[Service-Budget],Budgets[BudgetMonth],DaybyDay[[#This Row],[RowMonth]],Budgets[BudgetYear],DaybyDay[[#This Row],[RowYear]])</f>
        <v>4308.5706590234331</v>
      </c>
      <c r="L753" s="75">
        <v>3352.38</v>
      </c>
      <c r="M753" s="32">
        <f>INDEX(BudgetSeasonality[365 Seasonality],MATCH(DaybyDay[[#This Row],[Date]],BudgetSeasonality[MonthAdjustment],0))*SUMIFS(Budgets[Retail-Budget],Budgets[BudgetMonth],DaybyDay[[#This Row],[RowMonth]],Budgets[BudgetYear],DaybyDay[[#This Row],[RowYear]])</f>
        <v>762.3540894550581</v>
      </c>
      <c r="N753" s="75">
        <v>122.36</v>
      </c>
      <c r="O753" s="33">
        <f>SUMIFS(DaybyDay[Service-Budgets],DaybyDay[Date],"&gt;="&amp;$C$5,DaybyDay[RowYear],"&gt;="&amp;$C$4,DaybyDay[Date],"&lt;="&amp;DaybyDay[[#This Row],[Date]])</f>
        <v>0</v>
      </c>
      <c r="P753" s="33">
        <f>SUMIFS(DaybyDay[Retail-Budgets],DaybyDay[Date],"&gt;="&amp;$C$5,DaybyDay[RowYear],"&gt;="&amp;$C$4,DaybyDay[Date],"&lt;="&amp;DaybyDay[[#This Row],[Date]])</f>
        <v>0</v>
      </c>
      <c r="Q753" s="34">
        <f>SUMIFS(DaybyDay[Service-Actuals],DaybyDay[Date],"&gt;="&amp;$C$5,DaybyDay[RowYear],"&gt;="&amp;$C$4,DaybyDay[Date],"&lt;="&amp;DaybyDay[[#This Row],[Date]])</f>
        <v>0</v>
      </c>
      <c r="R753" s="34">
        <f>SUMIFS(DaybyDay[Retail-Actuals],DaybyDay[Date],"&gt;="&amp;$C$5,DaybyDay[RowYear],"&gt;="&amp;$C$4,DaybyDay[Date],"&lt;="&amp;DaybyDay[[#This Row],[Date]])</f>
        <v>0</v>
      </c>
      <c r="S753" s="35">
        <f>SUMIFS(DaybyDay[Service-LY],DaybyDay[Date],"&gt;="&amp;$C$5,DaybyDay[RowYear],"&gt;="&amp;$C$4,DaybyDay[Date],"&lt;="&amp;DaybyDay[[#This Row],[Date]])</f>
        <v>0</v>
      </c>
      <c r="T753" s="35">
        <f>SUMIFS(DaybyDay[Retail-LY],DaybyDay[Date],"&gt;="&amp;$C$5,DaybyDay[RowYear],"&gt;="&amp;$C$4,DaybyDay[Date],"&lt;="&amp;DaybyDay[[#This Row],[Date]])</f>
        <v>0</v>
      </c>
      <c r="U753" s="32">
        <f>DaybyDay[[#This Row],[Serv-Bud-RU]]+DaybyDay[[#This Row],[Ret-Bud-RU]]</f>
        <v>0</v>
      </c>
      <c r="V753" s="32">
        <f>DaybyDay[[#This Row],[Serv-Act-RU]]+DaybyDay[[#This Row],[Ret-Act-RU]]</f>
        <v>0</v>
      </c>
      <c r="W753" s="36">
        <f>IF(DaybyDay[[#This Row],[_Space]],IFERROR(
((DaybyDay[[#This Row],[Actual-Rollup]]-DaybyDay[[#This Row],[Budget-Rollup]])/DaybyDay[[#This Row],[Budget-Rollup]]),0),"")</f>
        <v>0</v>
      </c>
      <c r="X753" t="b">
        <f>NOT(AND(ISBLANK(DaybyDay[[#This Row],[Appts]]),ISBLANK(DaybyDay[[#This Row],[Service-Actuals]]),ISBLANK(DaybyDay[[#This Row],[Retail-Actuals]])))</f>
        <v>1</v>
      </c>
      <c r="Y753" s="36">
        <f>IF(DaybyDay[[#This Row],[_Space]],IFERROR(
((DaybyDay[[#This Row],[Actual-Rollup]]-DaybyDay[[#This Row],[LY-Rollup]])/DaybyDay[[#This Row],[LY-Rollup]]),0),"")</f>
        <v>0</v>
      </c>
      <c r="Z753"/>
      <c r="AA753" s="37" t="e">
        <f>IF(DaybyDay[[#This Row],[_Space]],DaybyDay[[#This Row],[Ret-Act-RU]]/DaybyDay[[#This Row],[Serv-Act-RU]],"")</f>
        <v>#DIV/0!</v>
      </c>
      <c r="AB753" s="50" t="e">
        <f>IF(DaybyDay[[#This Row],[_Space]],DaybyDay[[#This Row],[RETPEN-Act]]/DaybyDay[[#This Row],[RETPEN-Bud]],"")</f>
        <v>#DIV/0!</v>
      </c>
      <c r="AC753" s="37" t="e">
        <f>IF(DaybyDay[[#This Row],[_Space]],DaybyDay[[#This Row],[Ret-Bud-RU]]/DaybyDay[[#This Row],[Serv-Bud-RU]],"")</f>
        <v>#DIV/0!</v>
      </c>
      <c r="AD753" s="37" t="e">
        <f>IF(DaybyDay[[#This Row],[_Space]],DaybyDay[[#This Row],[Ret-LY-RU]]/DaybyDay[[#This Row],[Serv-LY-RU]],"")</f>
        <v>#DIV/0!</v>
      </c>
      <c r="AE753" s="30">
        <f>WEEKDAY(DaybyDay[[#This Row],[LY-Date]])</f>
        <v>5</v>
      </c>
      <c r="AF753" s="38">
        <f>$E$2+_xlfn.DAYS(DaybyDay[[#This Row],[Date]],minDate)</f>
        <v>43118</v>
      </c>
      <c r="AG753" s="39" cm="1">
        <f t="array" ref="AG753">IFERROR(INDEX(DaybyDay[],DaybyDay[[#This Row],[FORM_MATCH_HELPER]],8),"")</f>
        <v>15</v>
      </c>
      <c r="AH753" s="39" cm="1">
        <f t="array" ref="AH753">IFERROR(INDEX(DaybyDay[],DaybyDay[[#This Row],[FORM_MATCH_HELPER]],10),"")</f>
        <v>4079</v>
      </c>
      <c r="AI753" s="39" cm="1">
        <f t="array" ref="AI753">IFERROR(INDEX(DaybyDay[],DaybyDay[[#This Row],[FORM_MATCH_HELPER]],12),"")</f>
        <v>155</v>
      </c>
      <c r="AJ753" s="32">
        <f>IFERROR(DaybyDay[[#This Row],[Serv-LY-RU]]+DaybyDay[[#This Row],[Ret-LY-RU]],"")</f>
        <v>0</v>
      </c>
      <c r="AK7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3" s="77"/>
      <c r="AM753" s="40" t="str">
        <f>IF(DaybyDay[[#This Row],[Admin Hours]]&gt;0,DaybyDay[[#This Row],[Admin Hours]]*$AM$2+$AM$3,"")</f>
        <v/>
      </c>
      <c r="AN753" s="40">
        <f>SUMIFS(DaybyDay[Est-Admin-Payroll],DaybyDay[Date],"&gt;="&amp;$C$5,DaybyDay[RowYear],"&gt;="&amp;$C$4,DaybyDay[Date],"&lt;="&amp;DaybyDay[[#This Row],[Date]])</f>
        <v>0</v>
      </c>
      <c r="AO753" s="41" t="str">
        <f>IF(AND(DaybyDay[[#This Row],[_Space]],ISNUMBER(DaybyDay[[#This Row],[Admin Hours]])),DaybyDay[[#This Row],[Est-Admin-Payroll]]/(DaybyDay[[#This Row],[Service-Actuals]]+DaybyDay[[#This Row],[Retail-Actuals]]),"")</f>
        <v/>
      </c>
      <c r="AP753" s="41" t="e">
        <f>DaybyDay[[#This Row],[Estimated-Payroll-Rollup]]/DaybyDay[[#This Row],[Simple-Forecast]]</f>
        <v>#DIV/0!</v>
      </c>
      <c r="AQ7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3" s="77"/>
      <c r="AS753" s="40" t="str">
        <f>IF(DaybyDay[[#This Row],[Retail Hours]]&gt;0,DaybyDay[[#This Row],[Retail Hours]]*$AS$2,"")</f>
        <v/>
      </c>
      <c r="AT753" s="40">
        <f>SUMIFS(DaybyDay[Est-Retail-Payroll],DaybyDay[Date],"&gt;="&amp;$C$5,DaybyDay[RowYear],"&gt;="&amp;$C$4,DaybyDay[Date],"&lt;="&amp;DaybyDay[[#This Row],[Date]])</f>
        <v>0</v>
      </c>
      <c r="AU753" s="82" t="str">
        <f>IF(AND(DaybyDay[[#This Row],[_Space]],ISNUMBER(DaybyDay[[#This Row],[Retail Hours]])),DaybyDay[[#This Row],[Est-Retail-Payroll]]/(DaybyDay[[#This Row],[Retail-Actuals]]),"")</f>
        <v/>
      </c>
      <c r="AV753" s="82" t="e">
        <f>DaybyDay[[#This Row],[Est-Retail-PayrollRU]]/DaybyDay[[#This Row],[Simple-Forecast-Retail]]</f>
        <v>#DIV/0!</v>
      </c>
      <c r="AW753" s="8"/>
      <c r="AX753" s="49"/>
      <c r="AY753" s="48"/>
      <c r="AZ753" s="47"/>
      <c r="BA753" s="47"/>
      <c r="BB753" s="47"/>
      <c r="BC753" s="47"/>
      <c r="BD753" s="47"/>
    </row>
    <row r="754" spans="3:56" hidden="1" x14ac:dyDescent="0.25">
      <c r="C754" s="26" t="str">
        <f>Tools!$C$1</f>
        <v>Example</v>
      </c>
      <c r="D754" s="27" t="s">
        <v>68</v>
      </c>
      <c r="E754" s="28">
        <v>2019</v>
      </c>
      <c r="F754" s="28">
        <f>MATCH(DaybyDay[[#This Row],[RowMonth]],Table3[SummaryMonth],0)</f>
        <v>1</v>
      </c>
      <c r="G754" s="29">
        <f>MATCH(DaybyDay[[#This Row],[LY-Date]],DaybyDay[Date],0)</f>
        <v>384</v>
      </c>
      <c r="H754" s="30">
        <f>WEEKDAY(DaybyDay[[#This Row],[Date]])</f>
        <v>6</v>
      </c>
      <c r="I754" s="31">
        <v>43483</v>
      </c>
      <c r="J754" s="74">
        <v>20</v>
      </c>
      <c r="K754" s="32">
        <f>SUMIFS(BudgetSeasonality[365 Seasonality],BudgetSeasonality[MonthAdjustment],DaybyDay[[#This Row],[Date]])*SUMIFS(Budgets[Service-Budget],Budgets[BudgetMonth],DaybyDay[[#This Row],[RowMonth]],Budgets[BudgetYear],DaybyDay[[#This Row],[RowYear]])</f>
        <v>5250.349252883454</v>
      </c>
      <c r="L754" s="75">
        <v>4278.7</v>
      </c>
      <c r="M754" s="32">
        <f>INDEX(BudgetSeasonality[365 Seasonality],MATCH(DaybyDay[[#This Row],[Date]],BudgetSeasonality[MonthAdjustment],0))*SUMIFS(Budgets[Retail-Budget],Budgets[BudgetMonth],DaybyDay[[#This Row],[RowMonth]],Budgets[BudgetYear],DaybyDay[[#This Row],[RowYear]])</f>
        <v>928.99143144381731</v>
      </c>
      <c r="N754" s="75">
        <v>57</v>
      </c>
      <c r="O754" s="33">
        <f>SUMIFS(DaybyDay[Service-Budgets],DaybyDay[Date],"&gt;="&amp;$C$5,DaybyDay[RowYear],"&gt;="&amp;$C$4,DaybyDay[Date],"&lt;="&amp;DaybyDay[[#This Row],[Date]])</f>
        <v>0</v>
      </c>
      <c r="P754" s="33">
        <f>SUMIFS(DaybyDay[Retail-Budgets],DaybyDay[Date],"&gt;="&amp;$C$5,DaybyDay[RowYear],"&gt;="&amp;$C$4,DaybyDay[Date],"&lt;="&amp;DaybyDay[[#This Row],[Date]])</f>
        <v>0</v>
      </c>
      <c r="Q754" s="34">
        <f>SUMIFS(DaybyDay[Service-Actuals],DaybyDay[Date],"&gt;="&amp;$C$5,DaybyDay[RowYear],"&gt;="&amp;$C$4,DaybyDay[Date],"&lt;="&amp;DaybyDay[[#This Row],[Date]])</f>
        <v>0</v>
      </c>
      <c r="R754" s="34">
        <f>SUMIFS(DaybyDay[Retail-Actuals],DaybyDay[Date],"&gt;="&amp;$C$5,DaybyDay[RowYear],"&gt;="&amp;$C$4,DaybyDay[Date],"&lt;="&amp;DaybyDay[[#This Row],[Date]])</f>
        <v>0</v>
      </c>
      <c r="S754" s="35">
        <f>SUMIFS(DaybyDay[Service-LY],DaybyDay[Date],"&gt;="&amp;$C$5,DaybyDay[RowYear],"&gt;="&amp;$C$4,DaybyDay[Date],"&lt;="&amp;DaybyDay[[#This Row],[Date]])</f>
        <v>0</v>
      </c>
      <c r="T754" s="35">
        <f>SUMIFS(DaybyDay[Retail-LY],DaybyDay[Date],"&gt;="&amp;$C$5,DaybyDay[RowYear],"&gt;="&amp;$C$4,DaybyDay[Date],"&lt;="&amp;DaybyDay[[#This Row],[Date]])</f>
        <v>0</v>
      </c>
      <c r="U754" s="32">
        <f>DaybyDay[[#This Row],[Serv-Bud-RU]]+DaybyDay[[#This Row],[Ret-Bud-RU]]</f>
        <v>0</v>
      </c>
      <c r="V754" s="32">
        <f>DaybyDay[[#This Row],[Serv-Act-RU]]+DaybyDay[[#This Row],[Ret-Act-RU]]</f>
        <v>0</v>
      </c>
      <c r="W754" s="36">
        <f>IF(DaybyDay[[#This Row],[_Space]],IFERROR(
((DaybyDay[[#This Row],[Actual-Rollup]]-DaybyDay[[#This Row],[Budget-Rollup]])/DaybyDay[[#This Row],[Budget-Rollup]]),0),"")</f>
        <v>0</v>
      </c>
      <c r="X754" t="b">
        <f>NOT(AND(ISBLANK(DaybyDay[[#This Row],[Appts]]),ISBLANK(DaybyDay[[#This Row],[Service-Actuals]]),ISBLANK(DaybyDay[[#This Row],[Retail-Actuals]])))</f>
        <v>1</v>
      </c>
      <c r="Y754" s="36">
        <f>IF(DaybyDay[[#This Row],[_Space]],IFERROR(
((DaybyDay[[#This Row],[Actual-Rollup]]-DaybyDay[[#This Row],[LY-Rollup]])/DaybyDay[[#This Row],[LY-Rollup]]),0),"")</f>
        <v>0</v>
      </c>
      <c r="Z754"/>
      <c r="AA754" s="37" t="e">
        <f>IF(DaybyDay[[#This Row],[_Space]],DaybyDay[[#This Row],[Ret-Act-RU]]/DaybyDay[[#This Row],[Serv-Act-RU]],"")</f>
        <v>#DIV/0!</v>
      </c>
      <c r="AB754" s="50" t="e">
        <f>IF(DaybyDay[[#This Row],[_Space]],DaybyDay[[#This Row],[RETPEN-Act]]/DaybyDay[[#This Row],[RETPEN-Bud]],"")</f>
        <v>#DIV/0!</v>
      </c>
      <c r="AC754" s="37" t="e">
        <f>IF(DaybyDay[[#This Row],[_Space]],DaybyDay[[#This Row],[Ret-Bud-RU]]/DaybyDay[[#This Row],[Serv-Bud-RU]],"")</f>
        <v>#DIV/0!</v>
      </c>
      <c r="AD754" s="37" t="e">
        <f>IF(DaybyDay[[#This Row],[_Space]],DaybyDay[[#This Row],[Ret-LY-RU]]/DaybyDay[[#This Row],[Serv-LY-RU]],"")</f>
        <v>#DIV/0!</v>
      </c>
      <c r="AE754" s="30">
        <f>WEEKDAY(DaybyDay[[#This Row],[LY-Date]])</f>
        <v>6</v>
      </c>
      <c r="AF754" s="38">
        <f>$E$2+_xlfn.DAYS(DaybyDay[[#This Row],[Date]],minDate)</f>
        <v>43119</v>
      </c>
      <c r="AG754" s="39" cm="1">
        <f t="array" ref="AG754">IFERROR(INDEX(DaybyDay[],DaybyDay[[#This Row],[FORM_MATCH_HELPER]],8),"")</f>
        <v>21</v>
      </c>
      <c r="AH754" s="39" cm="1">
        <f t="array" ref="AH754">IFERROR(INDEX(DaybyDay[],DaybyDay[[#This Row],[FORM_MATCH_HELPER]],10),"")</f>
        <v>5604</v>
      </c>
      <c r="AI754" s="39" cm="1">
        <f t="array" ref="AI754">IFERROR(INDEX(DaybyDay[],DaybyDay[[#This Row],[FORM_MATCH_HELPER]],12),"")</f>
        <v>973.2</v>
      </c>
      <c r="AJ754" s="32">
        <f>IFERROR(DaybyDay[[#This Row],[Serv-LY-RU]]+DaybyDay[[#This Row],[Ret-LY-RU]],"")</f>
        <v>0</v>
      </c>
      <c r="AK7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4" s="77"/>
      <c r="AM754" s="40" t="str">
        <f>IF(DaybyDay[[#This Row],[Admin Hours]]&gt;0,DaybyDay[[#This Row],[Admin Hours]]*$AM$2+$AM$3,"")</f>
        <v/>
      </c>
      <c r="AN754" s="40">
        <f>SUMIFS(DaybyDay[Est-Admin-Payroll],DaybyDay[Date],"&gt;="&amp;$C$5,DaybyDay[RowYear],"&gt;="&amp;$C$4,DaybyDay[Date],"&lt;="&amp;DaybyDay[[#This Row],[Date]])</f>
        <v>0</v>
      </c>
      <c r="AO754" s="41" t="str">
        <f>IF(AND(DaybyDay[[#This Row],[_Space]],ISNUMBER(DaybyDay[[#This Row],[Admin Hours]])),DaybyDay[[#This Row],[Est-Admin-Payroll]]/(DaybyDay[[#This Row],[Service-Actuals]]+DaybyDay[[#This Row],[Retail-Actuals]]),"")</f>
        <v/>
      </c>
      <c r="AP754" s="41" t="e">
        <f>DaybyDay[[#This Row],[Estimated-Payroll-Rollup]]/DaybyDay[[#This Row],[Simple-Forecast]]</f>
        <v>#DIV/0!</v>
      </c>
      <c r="AQ7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4" s="77"/>
      <c r="AS754" s="40" t="str">
        <f>IF(DaybyDay[[#This Row],[Retail Hours]]&gt;0,DaybyDay[[#This Row],[Retail Hours]]*$AS$2,"")</f>
        <v/>
      </c>
      <c r="AT754" s="40">
        <f>SUMIFS(DaybyDay[Est-Retail-Payroll],DaybyDay[Date],"&gt;="&amp;$C$5,DaybyDay[RowYear],"&gt;="&amp;$C$4,DaybyDay[Date],"&lt;="&amp;DaybyDay[[#This Row],[Date]])</f>
        <v>0</v>
      </c>
      <c r="AU754" s="82" t="str">
        <f>IF(AND(DaybyDay[[#This Row],[_Space]],ISNUMBER(DaybyDay[[#This Row],[Retail Hours]])),DaybyDay[[#This Row],[Est-Retail-Payroll]]/(DaybyDay[[#This Row],[Retail-Actuals]]),"")</f>
        <v/>
      </c>
      <c r="AV754" s="82" t="e">
        <f>DaybyDay[[#This Row],[Est-Retail-PayrollRU]]/DaybyDay[[#This Row],[Simple-Forecast-Retail]]</f>
        <v>#DIV/0!</v>
      </c>
      <c r="AW754" s="8"/>
      <c r="AX754" s="49"/>
      <c r="AY754" s="48"/>
      <c r="AZ754" s="47"/>
      <c r="BA754" s="47"/>
      <c r="BB754" s="47"/>
      <c r="BC754" s="47"/>
      <c r="BD754" s="47"/>
    </row>
    <row r="755" spans="3:56" hidden="1" x14ac:dyDescent="0.25">
      <c r="C755" s="26" t="str">
        <f>Tools!$C$1</f>
        <v>Example</v>
      </c>
      <c r="D755" s="27" t="s">
        <v>68</v>
      </c>
      <c r="E755" s="28">
        <v>2019</v>
      </c>
      <c r="F755" s="28">
        <f>MATCH(DaybyDay[[#This Row],[RowMonth]],Table3[SummaryMonth],0)</f>
        <v>1</v>
      </c>
      <c r="G755" s="29">
        <f>MATCH(DaybyDay[[#This Row],[LY-Date]],DaybyDay[Date],0)</f>
        <v>385</v>
      </c>
      <c r="H755" s="30">
        <f>WEEKDAY(DaybyDay[[#This Row],[Date]])</f>
        <v>7</v>
      </c>
      <c r="I755" s="31">
        <v>43484</v>
      </c>
      <c r="J755" s="74">
        <v>33</v>
      </c>
      <c r="K755" s="32">
        <f>SUMIFS(BudgetSeasonality[365 Seasonality],BudgetSeasonality[MonthAdjustment],DaybyDay[[#This Row],[Date]])*SUMIFS(Budgets[Service-Budget],Budgets[BudgetMonth],DaybyDay[[#This Row],[RowMonth]],Budgets[BudgetYear],DaybyDay[[#This Row],[RowYear]])</f>
        <v>7244.8289838224127</v>
      </c>
      <c r="L755" s="75">
        <v>8946</v>
      </c>
      <c r="M755" s="32">
        <f>INDEX(BudgetSeasonality[365 Seasonality],MATCH(DaybyDay[[#This Row],[Date]],BudgetSeasonality[MonthAdjustment],0))*SUMIFS(Budgets[Retail-Budget],Budgets[BudgetMonth],DaybyDay[[#This Row],[RowMonth]],Budgets[BudgetYear],DaybyDay[[#This Row],[RowYear]])</f>
        <v>1281.8926368661209</v>
      </c>
      <c r="N755" s="75">
        <v>118.8</v>
      </c>
      <c r="O755" s="33">
        <f>SUMIFS(DaybyDay[Service-Budgets],DaybyDay[Date],"&gt;="&amp;$C$5,DaybyDay[RowYear],"&gt;="&amp;$C$4,DaybyDay[Date],"&lt;="&amp;DaybyDay[[#This Row],[Date]])</f>
        <v>0</v>
      </c>
      <c r="P755" s="33">
        <f>SUMIFS(DaybyDay[Retail-Budgets],DaybyDay[Date],"&gt;="&amp;$C$5,DaybyDay[RowYear],"&gt;="&amp;$C$4,DaybyDay[Date],"&lt;="&amp;DaybyDay[[#This Row],[Date]])</f>
        <v>0</v>
      </c>
      <c r="Q755" s="34">
        <f>SUMIFS(DaybyDay[Service-Actuals],DaybyDay[Date],"&gt;="&amp;$C$5,DaybyDay[RowYear],"&gt;="&amp;$C$4,DaybyDay[Date],"&lt;="&amp;DaybyDay[[#This Row],[Date]])</f>
        <v>0</v>
      </c>
      <c r="R755" s="34">
        <f>SUMIFS(DaybyDay[Retail-Actuals],DaybyDay[Date],"&gt;="&amp;$C$5,DaybyDay[RowYear],"&gt;="&amp;$C$4,DaybyDay[Date],"&lt;="&amp;DaybyDay[[#This Row],[Date]])</f>
        <v>0</v>
      </c>
      <c r="S755" s="35">
        <f>SUMIFS(DaybyDay[Service-LY],DaybyDay[Date],"&gt;="&amp;$C$5,DaybyDay[RowYear],"&gt;="&amp;$C$4,DaybyDay[Date],"&lt;="&amp;DaybyDay[[#This Row],[Date]])</f>
        <v>0</v>
      </c>
      <c r="T755" s="35">
        <f>SUMIFS(DaybyDay[Retail-LY],DaybyDay[Date],"&gt;="&amp;$C$5,DaybyDay[RowYear],"&gt;="&amp;$C$4,DaybyDay[Date],"&lt;="&amp;DaybyDay[[#This Row],[Date]])</f>
        <v>0</v>
      </c>
      <c r="U755" s="32">
        <f>DaybyDay[[#This Row],[Serv-Bud-RU]]+DaybyDay[[#This Row],[Ret-Bud-RU]]</f>
        <v>0</v>
      </c>
      <c r="V755" s="32">
        <f>DaybyDay[[#This Row],[Serv-Act-RU]]+DaybyDay[[#This Row],[Ret-Act-RU]]</f>
        <v>0</v>
      </c>
      <c r="W755" s="36">
        <f>IF(DaybyDay[[#This Row],[_Space]],IFERROR(
((DaybyDay[[#This Row],[Actual-Rollup]]-DaybyDay[[#This Row],[Budget-Rollup]])/DaybyDay[[#This Row],[Budget-Rollup]]),0),"")</f>
        <v>0</v>
      </c>
      <c r="X755" t="b">
        <f>NOT(AND(ISBLANK(DaybyDay[[#This Row],[Appts]]),ISBLANK(DaybyDay[[#This Row],[Service-Actuals]]),ISBLANK(DaybyDay[[#This Row],[Retail-Actuals]])))</f>
        <v>1</v>
      </c>
      <c r="Y755" s="36">
        <f>IF(DaybyDay[[#This Row],[_Space]],IFERROR(
((DaybyDay[[#This Row],[Actual-Rollup]]-DaybyDay[[#This Row],[LY-Rollup]])/DaybyDay[[#This Row],[LY-Rollup]]),0),"")</f>
        <v>0</v>
      </c>
      <c r="Z755"/>
      <c r="AA755" s="37" t="e">
        <f>IF(DaybyDay[[#This Row],[_Space]],DaybyDay[[#This Row],[Ret-Act-RU]]/DaybyDay[[#This Row],[Serv-Act-RU]],"")</f>
        <v>#DIV/0!</v>
      </c>
      <c r="AB755" s="50" t="e">
        <f>IF(DaybyDay[[#This Row],[_Space]],DaybyDay[[#This Row],[RETPEN-Act]]/DaybyDay[[#This Row],[RETPEN-Bud]],"")</f>
        <v>#DIV/0!</v>
      </c>
      <c r="AC755" s="37" t="e">
        <f>IF(DaybyDay[[#This Row],[_Space]],DaybyDay[[#This Row],[Ret-Bud-RU]]/DaybyDay[[#This Row],[Serv-Bud-RU]],"")</f>
        <v>#DIV/0!</v>
      </c>
      <c r="AD755" s="37" t="e">
        <f>IF(DaybyDay[[#This Row],[_Space]],DaybyDay[[#This Row],[Ret-LY-RU]]/DaybyDay[[#This Row],[Serv-LY-RU]],"")</f>
        <v>#DIV/0!</v>
      </c>
      <c r="AE755" s="30">
        <f>WEEKDAY(DaybyDay[[#This Row],[LY-Date]])</f>
        <v>7</v>
      </c>
      <c r="AF755" s="38">
        <f>$E$2+_xlfn.DAYS(DaybyDay[[#This Row],[Date]],minDate)</f>
        <v>43120</v>
      </c>
      <c r="AG755" s="39" cm="1">
        <f t="array" ref="AG755">IFERROR(INDEX(DaybyDay[],DaybyDay[[#This Row],[FORM_MATCH_HELPER]],8),"")</f>
        <v>35</v>
      </c>
      <c r="AH755" s="39" cm="1">
        <f t="array" ref="AH755">IFERROR(INDEX(DaybyDay[],DaybyDay[[#This Row],[FORM_MATCH_HELPER]],10),"")</f>
        <v>8917.42</v>
      </c>
      <c r="AI755" s="39" cm="1">
        <f t="array" ref="AI755">IFERROR(INDEX(DaybyDay[],DaybyDay[[#This Row],[FORM_MATCH_HELPER]],12),"")</f>
        <v>2784.58</v>
      </c>
      <c r="AJ755" s="32">
        <f>IFERROR(DaybyDay[[#This Row],[Serv-LY-RU]]+DaybyDay[[#This Row],[Ret-LY-RU]],"")</f>
        <v>0</v>
      </c>
      <c r="AK7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5" s="77"/>
      <c r="AM755" s="40" t="str">
        <f>IF(DaybyDay[[#This Row],[Admin Hours]]&gt;0,DaybyDay[[#This Row],[Admin Hours]]*$AM$2+$AM$3,"")</f>
        <v/>
      </c>
      <c r="AN755" s="40">
        <f>SUMIFS(DaybyDay[Est-Admin-Payroll],DaybyDay[Date],"&gt;="&amp;$C$5,DaybyDay[RowYear],"&gt;="&amp;$C$4,DaybyDay[Date],"&lt;="&amp;DaybyDay[[#This Row],[Date]])</f>
        <v>0</v>
      </c>
      <c r="AO755" s="41" t="str">
        <f>IF(AND(DaybyDay[[#This Row],[_Space]],ISNUMBER(DaybyDay[[#This Row],[Admin Hours]])),DaybyDay[[#This Row],[Est-Admin-Payroll]]/(DaybyDay[[#This Row],[Service-Actuals]]+DaybyDay[[#This Row],[Retail-Actuals]]),"")</f>
        <v/>
      </c>
      <c r="AP755" s="41" t="e">
        <f>DaybyDay[[#This Row],[Estimated-Payroll-Rollup]]/DaybyDay[[#This Row],[Simple-Forecast]]</f>
        <v>#DIV/0!</v>
      </c>
      <c r="AQ7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5" s="77"/>
      <c r="AS755" s="40" t="str">
        <f>IF(DaybyDay[[#This Row],[Retail Hours]]&gt;0,DaybyDay[[#This Row],[Retail Hours]]*$AS$2,"")</f>
        <v/>
      </c>
      <c r="AT755" s="40">
        <f>SUMIFS(DaybyDay[Est-Retail-Payroll],DaybyDay[Date],"&gt;="&amp;$C$5,DaybyDay[RowYear],"&gt;="&amp;$C$4,DaybyDay[Date],"&lt;="&amp;DaybyDay[[#This Row],[Date]])</f>
        <v>0</v>
      </c>
      <c r="AU755" s="82" t="str">
        <f>IF(AND(DaybyDay[[#This Row],[_Space]],ISNUMBER(DaybyDay[[#This Row],[Retail Hours]])),DaybyDay[[#This Row],[Est-Retail-Payroll]]/(DaybyDay[[#This Row],[Retail-Actuals]]),"")</f>
        <v/>
      </c>
      <c r="AV755" s="82" t="e">
        <f>DaybyDay[[#This Row],[Est-Retail-PayrollRU]]/DaybyDay[[#This Row],[Simple-Forecast-Retail]]</f>
        <v>#DIV/0!</v>
      </c>
      <c r="AW755" s="8"/>
      <c r="AX755" s="49"/>
      <c r="AY755" s="48"/>
      <c r="AZ755" s="47"/>
      <c r="BA755" s="47"/>
      <c r="BB755" s="47"/>
      <c r="BC755" s="47"/>
      <c r="BD755" s="47"/>
    </row>
    <row r="756" spans="3:56" hidden="1" x14ac:dyDescent="0.25">
      <c r="C756" s="26" t="str">
        <f>Tools!$C$1</f>
        <v>Example</v>
      </c>
      <c r="D756" s="27" t="s">
        <v>68</v>
      </c>
      <c r="E756" s="28">
        <v>2019</v>
      </c>
      <c r="F756" s="28">
        <f>MATCH(DaybyDay[[#This Row],[RowMonth]],Table3[SummaryMonth],0)</f>
        <v>1</v>
      </c>
      <c r="G756" s="29">
        <f>MATCH(DaybyDay[[#This Row],[LY-Date]],DaybyDay[Date],0)</f>
        <v>386</v>
      </c>
      <c r="H756" s="30">
        <f>WEEKDAY(DaybyDay[[#This Row],[Date]])</f>
        <v>1</v>
      </c>
      <c r="I756" s="31">
        <v>43485</v>
      </c>
      <c r="J756" s="74">
        <v>27</v>
      </c>
      <c r="K756" s="32">
        <f>SUMIFS(BudgetSeasonality[365 Seasonality],BudgetSeasonality[MonthAdjustment],DaybyDay[[#This Row],[Date]])*SUMIFS(Budgets[Service-Budget],Budgets[BudgetMonth],DaybyDay[[#This Row],[RowMonth]],Budgets[BudgetYear],DaybyDay[[#This Row],[RowYear]])</f>
        <v>5788.8809021752531</v>
      </c>
      <c r="L756" s="75">
        <v>7351.6</v>
      </c>
      <c r="M756" s="32">
        <f>INDEX(BudgetSeasonality[365 Seasonality],MATCH(DaybyDay[[#This Row],[Date]],BudgetSeasonality[MonthAdjustment],0))*SUMIFS(Budgets[Retail-Budget],Budgets[BudgetMonth],DaybyDay[[#This Row],[RowMonth]],Budgets[BudgetYear],DaybyDay[[#This Row],[RowYear]])</f>
        <v>1024.2786711409919</v>
      </c>
      <c r="N756" s="75">
        <v>474.8</v>
      </c>
      <c r="O756" s="33">
        <f>SUMIFS(DaybyDay[Service-Budgets],DaybyDay[Date],"&gt;="&amp;$C$5,DaybyDay[RowYear],"&gt;="&amp;$C$4,DaybyDay[Date],"&lt;="&amp;DaybyDay[[#This Row],[Date]])</f>
        <v>0</v>
      </c>
      <c r="P756" s="33">
        <f>SUMIFS(DaybyDay[Retail-Budgets],DaybyDay[Date],"&gt;="&amp;$C$5,DaybyDay[RowYear],"&gt;="&amp;$C$4,DaybyDay[Date],"&lt;="&amp;DaybyDay[[#This Row],[Date]])</f>
        <v>0</v>
      </c>
      <c r="Q756" s="34">
        <f>SUMIFS(DaybyDay[Service-Actuals],DaybyDay[Date],"&gt;="&amp;$C$5,DaybyDay[RowYear],"&gt;="&amp;$C$4,DaybyDay[Date],"&lt;="&amp;DaybyDay[[#This Row],[Date]])</f>
        <v>0</v>
      </c>
      <c r="R756" s="34">
        <f>SUMIFS(DaybyDay[Retail-Actuals],DaybyDay[Date],"&gt;="&amp;$C$5,DaybyDay[RowYear],"&gt;="&amp;$C$4,DaybyDay[Date],"&lt;="&amp;DaybyDay[[#This Row],[Date]])</f>
        <v>0</v>
      </c>
      <c r="S756" s="35">
        <f>SUMIFS(DaybyDay[Service-LY],DaybyDay[Date],"&gt;="&amp;$C$5,DaybyDay[RowYear],"&gt;="&amp;$C$4,DaybyDay[Date],"&lt;="&amp;DaybyDay[[#This Row],[Date]])</f>
        <v>0</v>
      </c>
      <c r="T756" s="35">
        <f>SUMIFS(DaybyDay[Retail-LY],DaybyDay[Date],"&gt;="&amp;$C$5,DaybyDay[RowYear],"&gt;="&amp;$C$4,DaybyDay[Date],"&lt;="&amp;DaybyDay[[#This Row],[Date]])</f>
        <v>0</v>
      </c>
      <c r="U756" s="32">
        <f>DaybyDay[[#This Row],[Serv-Bud-RU]]+DaybyDay[[#This Row],[Ret-Bud-RU]]</f>
        <v>0</v>
      </c>
      <c r="V756" s="32">
        <f>DaybyDay[[#This Row],[Serv-Act-RU]]+DaybyDay[[#This Row],[Ret-Act-RU]]</f>
        <v>0</v>
      </c>
      <c r="W756" s="36">
        <f>IF(DaybyDay[[#This Row],[_Space]],IFERROR(
((DaybyDay[[#This Row],[Actual-Rollup]]-DaybyDay[[#This Row],[Budget-Rollup]])/DaybyDay[[#This Row],[Budget-Rollup]]),0),"")</f>
        <v>0</v>
      </c>
      <c r="X756" t="b">
        <f>NOT(AND(ISBLANK(DaybyDay[[#This Row],[Appts]]),ISBLANK(DaybyDay[[#This Row],[Service-Actuals]]),ISBLANK(DaybyDay[[#This Row],[Retail-Actuals]])))</f>
        <v>1</v>
      </c>
      <c r="Y756" s="36">
        <f>IF(DaybyDay[[#This Row],[_Space]],IFERROR(
((DaybyDay[[#This Row],[Actual-Rollup]]-DaybyDay[[#This Row],[LY-Rollup]])/DaybyDay[[#This Row],[LY-Rollup]]),0),"")</f>
        <v>0</v>
      </c>
      <c r="Z756"/>
      <c r="AA756" s="37" t="e">
        <f>IF(DaybyDay[[#This Row],[_Space]],DaybyDay[[#This Row],[Ret-Act-RU]]/DaybyDay[[#This Row],[Serv-Act-RU]],"")</f>
        <v>#DIV/0!</v>
      </c>
      <c r="AB756" s="50" t="e">
        <f>IF(DaybyDay[[#This Row],[_Space]],DaybyDay[[#This Row],[RETPEN-Act]]/DaybyDay[[#This Row],[RETPEN-Bud]],"")</f>
        <v>#DIV/0!</v>
      </c>
      <c r="AC756" s="37" t="e">
        <f>IF(DaybyDay[[#This Row],[_Space]],DaybyDay[[#This Row],[Ret-Bud-RU]]/DaybyDay[[#This Row],[Serv-Bud-RU]],"")</f>
        <v>#DIV/0!</v>
      </c>
      <c r="AD756" s="37" t="e">
        <f>IF(DaybyDay[[#This Row],[_Space]],DaybyDay[[#This Row],[Ret-LY-RU]]/DaybyDay[[#This Row],[Serv-LY-RU]],"")</f>
        <v>#DIV/0!</v>
      </c>
      <c r="AE756" s="30">
        <f>WEEKDAY(DaybyDay[[#This Row],[LY-Date]])</f>
        <v>1</v>
      </c>
      <c r="AF756" s="38">
        <f>$E$2+_xlfn.DAYS(DaybyDay[[#This Row],[Date]],minDate)</f>
        <v>43121</v>
      </c>
      <c r="AG756" s="39" cm="1">
        <f t="array" ref="AG756">IFERROR(INDEX(DaybyDay[],DaybyDay[[#This Row],[FORM_MATCH_HELPER]],8),"")</f>
        <v>28</v>
      </c>
      <c r="AH756" s="39" cm="1">
        <f t="array" ref="AH756">IFERROR(INDEX(DaybyDay[],DaybyDay[[#This Row],[FORM_MATCH_HELPER]],10),"")</f>
        <v>5787</v>
      </c>
      <c r="AI756" s="39" cm="1">
        <f t="array" ref="AI756">IFERROR(INDEX(DaybyDay[],DaybyDay[[#This Row],[FORM_MATCH_HELPER]],12),"")</f>
        <v>1795.5</v>
      </c>
      <c r="AJ756" s="32">
        <f>IFERROR(DaybyDay[[#This Row],[Serv-LY-RU]]+DaybyDay[[#This Row],[Ret-LY-RU]],"")</f>
        <v>0</v>
      </c>
      <c r="AK7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6" s="77"/>
      <c r="AM756" s="40" t="str">
        <f>IF(DaybyDay[[#This Row],[Admin Hours]]&gt;0,DaybyDay[[#This Row],[Admin Hours]]*$AM$2+$AM$3,"")</f>
        <v/>
      </c>
      <c r="AN756" s="40">
        <f>SUMIFS(DaybyDay[Est-Admin-Payroll],DaybyDay[Date],"&gt;="&amp;$C$5,DaybyDay[RowYear],"&gt;="&amp;$C$4,DaybyDay[Date],"&lt;="&amp;DaybyDay[[#This Row],[Date]])</f>
        <v>0</v>
      </c>
      <c r="AO756" s="41" t="str">
        <f>IF(AND(DaybyDay[[#This Row],[_Space]],ISNUMBER(DaybyDay[[#This Row],[Admin Hours]])),DaybyDay[[#This Row],[Est-Admin-Payroll]]/(DaybyDay[[#This Row],[Service-Actuals]]+DaybyDay[[#This Row],[Retail-Actuals]]),"")</f>
        <v/>
      </c>
      <c r="AP756" s="41" t="e">
        <f>DaybyDay[[#This Row],[Estimated-Payroll-Rollup]]/DaybyDay[[#This Row],[Simple-Forecast]]</f>
        <v>#DIV/0!</v>
      </c>
      <c r="AQ7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6" s="77"/>
      <c r="AS756" s="40" t="str">
        <f>IF(DaybyDay[[#This Row],[Retail Hours]]&gt;0,DaybyDay[[#This Row],[Retail Hours]]*$AS$2,"")</f>
        <v/>
      </c>
      <c r="AT756" s="40">
        <f>SUMIFS(DaybyDay[Est-Retail-Payroll],DaybyDay[Date],"&gt;="&amp;$C$5,DaybyDay[RowYear],"&gt;="&amp;$C$4,DaybyDay[Date],"&lt;="&amp;DaybyDay[[#This Row],[Date]])</f>
        <v>0</v>
      </c>
      <c r="AU756" s="82" t="str">
        <f>IF(AND(DaybyDay[[#This Row],[_Space]],ISNUMBER(DaybyDay[[#This Row],[Retail Hours]])),DaybyDay[[#This Row],[Est-Retail-Payroll]]/(DaybyDay[[#This Row],[Retail-Actuals]]),"")</f>
        <v/>
      </c>
      <c r="AV756" s="82" t="e">
        <f>DaybyDay[[#This Row],[Est-Retail-PayrollRU]]/DaybyDay[[#This Row],[Simple-Forecast-Retail]]</f>
        <v>#DIV/0!</v>
      </c>
      <c r="AW756" s="8"/>
      <c r="AX756" s="49"/>
      <c r="AY756" s="48"/>
      <c r="AZ756" s="47"/>
      <c r="BA756" s="47"/>
      <c r="BB756" s="47"/>
      <c r="BC756" s="47"/>
      <c r="BD756" s="47"/>
    </row>
    <row r="757" spans="3:56" hidden="1" x14ac:dyDescent="0.25">
      <c r="C757" s="26" t="str">
        <f>Tools!$C$1</f>
        <v>Example</v>
      </c>
      <c r="D757" s="27" t="s">
        <v>68</v>
      </c>
      <c r="E757" s="28">
        <v>2019</v>
      </c>
      <c r="F757" s="28">
        <f>MATCH(DaybyDay[[#This Row],[RowMonth]],Table3[SummaryMonth],0)</f>
        <v>1</v>
      </c>
      <c r="G757" s="29">
        <f>MATCH(DaybyDay[[#This Row],[LY-Date]],DaybyDay[Date],0)</f>
        <v>387</v>
      </c>
      <c r="H757" s="30">
        <f>WEEKDAY(DaybyDay[[#This Row],[Date]])</f>
        <v>2</v>
      </c>
      <c r="I757" s="31">
        <v>43486</v>
      </c>
      <c r="J757" s="74">
        <v>26</v>
      </c>
      <c r="K757" s="32">
        <f>SUMIFS(BudgetSeasonality[365 Seasonality],BudgetSeasonality[MonthAdjustment],DaybyDay[[#This Row],[Date]])*SUMIFS(Budgets[Service-Budget],Budgets[BudgetMonth],DaybyDay[[#This Row],[RowMonth]],Budgets[BudgetYear],DaybyDay[[#This Row],[RowYear]])</f>
        <v>3663.4456622340299</v>
      </c>
      <c r="L757" s="75">
        <v>5761.8</v>
      </c>
      <c r="M757" s="32">
        <f>INDEX(BudgetSeasonality[365 Seasonality],MATCH(DaybyDay[[#This Row],[Date]],BudgetSeasonality[MonthAdjustment],0))*SUMIFS(Budgets[Retail-Budget],Budgets[BudgetMonth],DaybyDay[[#This Row],[RowMonth]],Budgets[BudgetYear],DaybyDay[[#This Row],[RowYear]])</f>
        <v>648.20633177999753</v>
      </c>
      <c r="N757" s="75">
        <v>1072.5</v>
      </c>
      <c r="O757" s="33">
        <f>SUMIFS(DaybyDay[Service-Budgets],DaybyDay[Date],"&gt;="&amp;$C$5,DaybyDay[RowYear],"&gt;="&amp;$C$4,DaybyDay[Date],"&lt;="&amp;DaybyDay[[#This Row],[Date]])</f>
        <v>0</v>
      </c>
      <c r="P757" s="33">
        <f>SUMIFS(DaybyDay[Retail-Budgets],DaybyDay[Date],"&gt;="&amp;$C$5,DaybyDay[RowYear],"&gt;="&amp;$C$4,DaybyDay[Date],"&lt;="&amp;DaybyDay[[#This Row],[Date]])</f>
        <v>0</v>
      </c>
      <c r="Q757" s="34">
        <f>SUMIFS(DaybyDay[Service-Actuals],DaybyDay[Date],"&gt;="&amp;$C$5,DaybyDay[RowYear],"&gt;="&amp;$C$4,DaybyDay[Date],"&lt;="&amp;DaybyDay[[#This Row],[Date]])</f>
        <v>0</v>
      </c>
      <c r="R757" s="34">
        <f>SUMIFS(DaybyDay[Retail-Actuals],DaybyDay[Date],"&gt;="&amp;$C$5,DaybyDay[RowYear],"&gt;="&amp;$C$4,DaybyDay[Date],"&lt;="&amp;DaybyDay[[#This Row],[Date]])</f>
        <v>0</v>
      </c>
      <c r="S757" s="35">
        <f>SUMIFS(DaybyDay[Service-LY],DaybyDay[Date],"&gt;="&amp;$C$5,DaybyDay[RowYear],"&gt;="&amp;$C$4,DaybyDay[Date],"&lt;="&amp;DaybyDay[[#This Row],[Date]])</f>
        <v>0</v>
      </c>
      <c r="T757" s="35">
        <f>SUMIFS(DaybyDay[Retail-LY],DaybyDay[Date],"&gt;="&amp;$C$5,DaybyDay[RowYear],"&gt;="&amp;$C$4,DaybyDay[Date],"&lt;="&amp;DaybyDay[[#This Row],[Date]])</f>
        <v>0</v>
      </c>
      <c r="U757" s="32">
        <f>DaybyDay[[#This Row],[Serv-Bud-RU]]+DaybyDay[[#This Row],[Ret-Bud-RU]]</f>
        <v>0</v>
      </c>
      <c r="V757" s="32">
        <f>DaybyDay[[#This Row],[Serv-Act-RU]]+DaybyDay[[#This Row],[Ret-Act-RU]]</f>
        <v>0</v>
      </c>
      <c r="W757" s="36">
        <f>IF(DaybyDay[[#This Row],[_Space]],IFERROR(
((DaybyDay[[#This Row],[Actual-Rollup]]-DaybyDay[[#This Row],[Budget-Rollup]])/DaybyDay[[#This Row],[Budget-Rollup]]),0),"")</f>
        <v>0</v>
      </c>
      <c r="X757" t="b">
        <f>NOT(AND(ISBLANK(DaybyDay[[#This Row],[Appts]]),ISBLANK(DaybyDay[[#This Row],[Service-Actuals]]),ISBLANK(DaybyDay[[#This Row],[Retail-Actuals]])))</f>
        <v>1</v>
      </c>
      <c r="Y757" s="36">
        <f>IF(DaybyDay[[#This Row],[_Space]],IFERROR(
((DaybyDay[[#This Row],[Actual-Rollup]]-DaybyDay[[#This Row],[LY-Rollup]])/DaybyDay[[#This Row],[LY-Rollup]]),0),"")</f>
        <v>0</v>
      </c>
      <c r="Z757"/>
      <c r="AA757" s="37" t="e">
        <f>IF(DaybyDay[[#This Row],[_Space]],DaybyDay[[#This Row],[Ret-Act-RU]]/DaybyDay[[#This Row],[Serv-Act-RU]],"")</f>
        <v>#DIV/0!</v>
      </c>
      <c r="AB757" s="50" t="e">
        <f>IF(DaybyDay[[#This Row],[_Space]],DaybyDay[[#This Row],[RETPEN-Act]]/DaybyDay[[#This Row],[RETPEN-Bud]],"")</f>
        <v>#DIV/0!</v>
      </c>
      <c r="AC757" s="37" t="e">
        <f>IF(DaybyDay[[#This Row],[_Space]],DaybyDay[[#This Row],[Ret-Bud-RU]]/DaybyDay[[#This Row],[Serv-Bud-RU]],"")</f>
        <v>#DIV/0!</v>
      </c>
      <c r="AD757" s="37" t="e">
        <f>IF(DaybyDay[[#This Row],[_Space]],DaybyDay[[#This Row],[Ret-LY-RU]]/DaybyDay[[#This Row],[Serv-LY-RU]],"")</f>
        <v>#DIV/0!</v>
      </c>
      <c r="AE757" s="30">
        <f>WEEKDAY(DaybyDay[[#This Row],[LY-Date]])</f>
        <v>2</v>
      </c>
      <c r="AF757" s="38">
        <f>$E$2+_xlfn.DAYS(DaybyDay[[#This Row],[Date]],minDate)</f>
        <v>43122</v>
      </c>
      <c r="AG757" s="39" cm="1">
        <f t="array" ref="AG757">IFERROR(INDEX(DaybyDay[],DaybyDay[[#This Row],[FORM_MATCH_HELPER]],8),"")</f>
        <v>7</v>
      </c>
      <c r="AH757" s="39" cm="1">
        <f t="array" ref="AH757">IFERROR(INDEX(DaybyDay[],DaybyDay[[#This Row],[FORM_MATCH_HELPER]],10),"")</f>
        <v>1887.5</v>
      </c>
      <c r="AI757" s="39" cm="1">
        <f t="array" ref="AI757">IFERROR(INDEX(DaybyDay[],DaybyDay[[#This Row],[FORM_MATCH_HELPER]],12),"")</f>
        <v>0</v>
      </c>
      <c r="AJ757" s="32">
        <f>IFERROR(DaybyDay[[#This Row],[Serv-LY-RU]]+DaybyDay[[#This Row],[Ret-LY-RU]],"")</f>
        <v>0</v>
      </c>
      <c r="AK7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7" s="77"/>
      <c r="AM757" s="40" t="str">
        <f>IF(DaybyDay[[#This Row],[Admin Hours]]&gt;0,DaybyDay[[#This Row],[Admin Hours]]*$AM$2+$AM$3,"")</f>
        <v/>
      </c>
      <c r="AN757" s="40">
        <f>SUMIFS(DaybyDay[Est-Admin-Payroll],DaybyDay[Date],"&gt;="&amp;$C$5,DaybyDay[RowYear],"&gt;="&amp;$C$4,DaybyDay[Date],"&lt;="&amp;DaybyDay[[#This Row],[Date]])</f>
        <v>0</v>
      </c>
      <c r="AO757" s="41" t="str">
        <f>IF(AND(DaybyDay[[#This Row],[_Space]],ISNUMBER(DaybyDay[[#This Row],[Admin Hours]])),DaybyDay[[#This Row],[Est-Admin-Payroll]]/(DaybyDay[[#This Row],[Service-Actuals]]+DaybyDay[[#This Row],[Retail-Actuals]]),"")</f>
        <v/>
      </c>
      <c r="AP757" s="41" t="e">
        <f>DaybyDay[[#This Row],[Estimated-Payroll-Rollup]]/DaybyDay[[#This Row],[Simple-Forecast]]</f>
        <v>#DIV/0!</v>
      </c>
      <c r="AQ7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7" s="77"/>
      <c r="AS757" s="40" t="str">
        <f>IF(DaybyDay[[#This Row],[Retail Hours]]&gt;0,DaybyDay[[#This Row],[Retail Hours]]*$AS$2,"")</f>
        <v/>
      </c>
      <c r="AT757" s="40">
        <f>SUMIFS(DaybyDay[Est-Retail-Payroll],DaybyDay[Date],"&gt;="&amp;$C$5,DaybyDay[RowYear],"&gt;="&amp;$C$4,DaybyDay[Date],"&lt;="&amp;DaybyDay[[#This Row],[Date]])</f>
        <v>0</v>
      </c>
      <c r="AU757" s="82" t="str">
        <f>IF(AND(DaybyDay[[#This Row],[_Space]],ISNUMBER(DaybyDay[[#This Row],[Retail Hours]])),DaybyDay[[#This Row],[Est-Retail-Payroll]]/(DaybyDay[[#This Row],[Retail-Actuals]]),"")</f>
        <v/>
      </c>
      <c r="AV757" s="82" t="e">
        <f>DaybyDay[[#This Row],[Est-Retail-PayrollRU]]/DaybyDay[[#This Row],[Simple-Forecast-Retail]]</f>
        <v>#DIV/0!</v>
      </c>
      <c r="AW757" s="8"/>
      <c r="AX757" s="49"/>
      <c r="AY757" s="48"/>
      <c r="AZ757" s="47"/>
      <c r="BA757" s="47"/>
      <c r="BB757" s="47"/>
      <c r="BC757" s="47"/>
      <c r="BD757" s="47"/>
    </row>
    <row r="758" spans="3:56" hidden="1" x14ac:dyDescent="0.25">
      <c r="C758" s="26" t="str">
        <f>Tools!$C$1</f>
        <v>Example</v>
      </c>
      <c r="D758" s="27" t="s">
        <v>68</v>
      </c>
      <c r="E758" s="28">
        <v>2019</v>
      </c>
      <c r="F758" s="28">
        <f>MATCH(DaybyDay[[#This Row],[RowMonth]],Table3[SummaryMonth],0)</f>
        <v>1</v>
      </c>
      <c r="G758" s="29">
        <f>MATCH(DaybyDay[[#This Row],[LY-Date]],DaybyDay[Date],0)</f>
        <v>388</v>
      </c>
      <c r="H758" s="30">
        <f>WEEKDAY(DaybyDay[[#This Row],[Date]])</f>
        <v>3</v>
      </c>
      <c r="I758" s="31">
        <v>43487</v>
      </c>
      <c r="J758" s="74">
        <v>18</v>
      </c>
      <c r="K758" s="32">
        <f>SUMIFS(BudgetSeasonality[365 Seasonality],BudgetSeasonality[MonthAdjustment],DaybyDay[[#This Row],[Date]])*SUMIFS(Budgets[Service-Budget],Budgets[BudgetMonth],DaybyDay[[#This Row],[RowMonth]],Budgets[BudgetYear],DaybyDay[[#This Row],[RowYear]])</f>
        <v>3798.093504204659</v>
      </c>
      <c r="L758" s="75">
        <v>3531.2</v>
      </c>
      <c r="M758" s="32">
        <f>INDEX(BudgetSeasonality[365 Seasonality],MATCH(DaybyDay[[#This Row],[Date]],BudgetSeasonality[MonthAdjustment],0))*SUMIFS(Budgets[Retail-Budget],Budgets[BudgetMonth],DaybyDay[[#This Row],[RowMonth]],Budgets[BudgetYear],DaybyDay[[#This Row],[RowYear]])</f>
        <v>672.03078334089491</v>
      </c>
      <c r="N758" s="75">
        <v>525.5</v>
      </c>
      <c r="O758" s="33">
        <f>SUMIFS(DaybyDay[Service-Budgets],DaybyDay[Date],"&gt;="&amp;$C$5,DaybyDay[RowYear],"&gt;="&amp;$C$4,DaybyDay[Date],"&lt;="&amp;DaybyDay[[#This Row],[Date]])</f>
        <v>0</v>
      </c>
      <c r="P758" s="33">
        <f>SUMIFS(DaybyDay[Retail-Budgets],DaybyDay[Date],"&gt;="&amp;$C$5,DaybyDay[RowYear],"&gt;="&amp;$C$4,DaybyDay[Date],"&lt;="&amp;DaybyDay[[#This Row],[Date]])</f>
        <v>0</v>
      </c>
      <c r="Q758" s="34">
        <f>SUMIFS(DaybyDay[Service-Actuals],DaybyDay[Date],"&gt;="&amp;$C$5,DaybyDay[RowYear],"&gt;="&amp;$C$4,DaybyDay[Date],"&lt;="&amp;DaybyDay[[#This Row],[Date]])</f>
        <v>0</v>
      </c>
      <c r="R758" s="34">
        <f>SUMIFS(DaybyDay[Retail-Actuals],DaybyDay[Date],"&gt;="&amp;$C$5,DaybyDay[RowYear],"&gt;="&amp;$C$4,DaybyDay[Date],"&lt;="&amp;DaybyDay[[#This Row],[Date]])</f>
        <v>0</v>
      </c>
      <c r="S758" s="35">
        <f>SUMIFS(DaybyDay[Service-LY],DaybyDay[Date],"&gt;="&amp;$C$5,DaybyDay[RowYear],"&gt;="&amp;$C$4,DaybyDay[Date],"&lt;="&amp;DaybyDay[[#This Row],[Date]])</f>
        <v>0</v>
      </c>
      <c r="T758" s="35">
        <f>SUMIFS(DaybyDay[Retail-LY],DaybyDay[Date],"&gt;="&amp;$C$5,DaybyDay[RowYear],"&gt;="&amp;$C$4,DaybyDay[Date],"&lt;="&amp;DaybyDay[[#This Row],[Date]])</f>
        <v>0</v>
      </c>
      <c r="U758" s="32">
        <f>DaybyDay[[#This Row],[Serv-Bud-RU]]+DaybyDay[[#This Row],[Ret-Bud-RU]]</f>
        <v>0</v>
      </c>
      <c r="V758" s="32">
        <f>DaybyDay[[#This Row],[Serv-Act-RU]]+DaybyDay[[#This Row],[Ret-Act-RU]]</f>
        <v>0</v>
      </c>
      <c r="W758" s="36">
        <f>IF(DaybyDay[[#This Row],[_Space]],IFERROR(
((DaybyDay[[#This Row],[Actual-Rollup]]-DaybyDay[[#This Row],[Budget-Rollup]])/DaybyDay[[#This Row],[Budget-Rollup]]),0),"")</f>
        <v>0</v>
      </c>
      <c r="X758" t="b">
        <f>NOT(AND(ISBLANK(DaybyDay[[#This Row],[Appts]]),ISBLANK(DaybyDay[[#This Row],[Service-Actuals]]),ISBLANK(DaybyDay[[#This Row],[Retail-Actuals]])))</f>
        <v>1</v>
      </c>
      <c r="Y758" s="36">
        <f>IF(DaybyDay[[#This Row],[_Space]],IFERROR(
((DaybyDay[[#This Row],[Actual-Rollup]]-DaybyDay[[#This Row],[LY-Rollup]])/DaybyDay[[#This Row],[LY-Rollup]]),0),"")</f>
        <v>0</v>
      </c>
      <c r="Z758"/>
      <c r="AA758" s="37" t="e">
        <f>IF(DaybyDay[[#This Row],[_Space]],DaybyDay[[#This Row],[Ret-Act-RU]]/DaybyDay[[#This Row],[Serv-Act-RU]],"")</f>
        <v>#DIV/0!</v>
      </c>
      <c r="AB758" s="50" t="e">
        <f>IF(DaybyDay[[#This Row],[_Space]],DaybyDay[[#This Row],[RETPEN-Act]]/DaybyDay[[#This Row],[RETPEN-Bud]],"")</f>
        <v>#DIV/0!</v>
      </c>
      <c r="AC758" s="37" t="e">
        <f>IF(DaybyDay[[#This Row],[_Space]],DaybyDay[[#This Row],[Ret-Bud-RU]]/DaybyDay[[#This Row],[Serv-Bud-RU]],"")</f>
        <v>#DIV/0!</v>
      </c>
      <c r="AD758" s="37" t="e">
        <f>IF(DaybyDay[[#This Row],[_Space]],DaybyDay[[#This Row],[Ret-LY-RU]]/DaybyDay[[#This Row],[Serv-LY-RU]],"")</f>
        <v>#DIV/0!</v>
      </c>
      <c r="AE758" s="30">
        <f>WEEKDAY(DaybyDay[[#This Row],[LY-Date]])</f>
        <v>3</v>
      </c>
      <c r="AF758" s="38">
        <f>$E$2+_xlfn.DAYS(DaybyDay[[#This Row],[Date]],minDate)</f>
        <v>43123</v>
      </c>
      <c r="AG758" s="39" cm="1">
        <f t="array" ref="AG758">IFERROR(INDEX(DaybyDay[],DaybyDay[[#This Row],[FORM_MATCH_HELPER]],8),"")</f>
        <v>26</v>
      </c>
      <c r="AH758" s="39" cm="1">
        <f t="array" ref="AH758">IFERROR(INDEX(DaybyDay[],DaybyDay[[#This Row],[FORM_MATCH_HELPER]],10),"")</f>
        <v>7299.39</v>
      </c>
      <c r="AI758" s="39" cm="1">
        <f t="array" ref="AI758">IFERROR(INDEX(DaybyDay[],DaybyDay[[#This Row],[FORM_MATCH_HELPER]],12),"")</f>
        <v>1288.56</v>
      </c>
      <c r="AJ758" s="32">
        <f>IFERROR(DaybyDay[[#This Row],[Serv-LY-RU]]+DaybyDay[[#This Row],[Ret-LY-RU]],"")</f>
        <v>0</v>
      </c>
      <c r="AK7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8" s="77"/>
      <c r="AM758" s="40" t="str">
        <f>IF(DaybyDay[[#This Row],[Admin Hours]]&gt;0,DaybyDay[[#This Row],[Admin Hours]]*$AM$2+$AM$3,"")</f>
        <v/>
      </c>
      <c r="AN758" s="40">
        <f>SUMIFS(DaybyDay[Est-Admin-Payroll],DaybyDay[Date],"&gt;="&amp;$C$5,DaybyDay[RowYear],"&gt;="&amp;$C$4,DaybyDay[Date],"&lt;="&amp;DaybyDay[[#This Row],[Date]])</f>
        <v>0</v>
      </c>
      <c r="AO758" s="41" t="str">
        <f>IF(AND(DaybyDay[[#This Row],[_Space]],ISNUMBER(DaybyDay[[#This Row],[Admin Hours]])),DaybyDay[[#This Row],[Est-Admin-Payroll]]/(DaybyDay[[#This Row],[Service-Actuals]]+DaybyDay[[#This Row],[Retail-Actuals]]),"")</f>
        <v/>
      </c>
      <c r="AP758" s="41" t="e">
        <f>DaybyDay[[#This Row],[Estimated-Payroll-Rollup]]/DaybyDay[[#This Row],[Simple-Forecast]]</f>
        <v>#DIV/0!</v>
      </c>
      <c r="AQ7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8" s="77"/>
      <c r="AS758" s="40" t="str">
        <f>IF(DaybyDay[[#This Row],[Retail Hours]]&gt;0,DaybyDay[[#This Row],[Retail Hours]]*$AS$2,"")</f>
        <v/>
      </c>
      <c r="AT758" s="40">
        <f>SUMIFS(DaybyDay[Est-Retail-Payroll],DaybyDay[Date],"&gt;="&amp;$C$5,DaybyDay[RowYear],"&gt;="&amp;$C$4,DaybyDay[Date],"&lt;="&amp;DaybyDay[[#This Row],[Date]])</f>
        <v>0</v>
      </c>
      <c r="AU758" s="82" t="str">
        <f>IF(AND(DaybyDay[[#This Row],[_Space]],ISNUMBER(DaybyDay[[#This Row],[Retail Hours]])),DaybyDay[[#This Row],[Est-Retail-Payroll]]/(DaybyDay[[#This Row],[Retail-Actuals]]),"")</f>
        <v/>
      </c>
      <c r="AV758" s="82" t="e">
        <f>DaybyDay[[#This Row],[Est-Retail-PayrollRU]]/DaybyDay[[#This Row],[Simple-Forecast-Retail]]</f>
        <v>#DIV/0!</v>
      </c>
      <c r="AW758" s="8"/>
      <c r="AX758" s="49"/>
      <c r="AY758" s="48"/>
      <c r="AZ758" s="47"/>
      <c r="BA758" s="47"/>
      <c r="BB758" s="47"/>
      <c r="BC758" s="47"/>
      <c r="BD758" s="47"/>
    </row>
    <row r="759" spans="3:56" hidden="1" x14ac:dyDescent="0.25">
      <c r="C759" s="26" t="str">
        <f>Tools!$C$1</f>
        <v>Example</v>
      </c>
      <c r="D759" s="27" t="s">
        <v>68</v>
      </c>
      <c r="E759" s="28">
        <v>2019</v>
      </c>
      <c r="F759" s="28">
        <f>MATCH(DaybyDay[[#This Row],[RowMonth]],Table3[SummaryMonth],0)</f>
        <v>1</v>
      </c>
      <c r="G759" s="29">
        <f>MATCH(DaybyDay[[#This Row],[LY-Date]],DaybyDay[Date],0)</f>
        <v>389</v>
      </c>
      <c r="H759" s="30">
        <f>WEEKDAY(DaybyDay[[#This Row],[Date]])</f>
        <v>4</v>
      </c>
      <c r="I759" s="31">
        <v>43488</v>
      </c>
      <c r="J759" s="74">
        <v>34</v>
      </c>
      <c r="K759" s="32">
        <f>SUMIFS(BudgetSeasonality[365 Seasonality],BudgetSeasonality[MonthAdjustment],DaybyDay[[#This Row],[Date]])*SUMIFS(Budgets[Service-Budget],Budgets[BudgetMonth],DaybyDay[[#This Row],[RowMonth]],Budgets[BudgetYear],DaybyDay[[#This Row],[RowYear]])</f>
        <v>4331.3733712651647</v>
      </c>
      <c r="L759" s="75">
        <v>5575</v>
      </c>
      <c r="M759" s="32">
        <f>INDEX(BudgetSeasonality[365 Seasonality],MATCH(DaybyDay[[#This Row],[Date]],BudgetSeasonality[MonthAdjustment],0))*SUMIFS(Budgets[Retail-Budget],Budgets[BudgetMonth],DaybyDay[[#This Row],[RowMonth]],Budgets[BudgetYear],DaybyDay[[#This Row],[RowYear]])</f>
        <v>766.38877805689037</v>
      </c>
      <c r="N759" s="75">
        <v>2755.87</v>
      </c>
      <c r="O759" s="33">
        <f>SUMIFS(DaybyDay[Service-Budgets],DaybyDay[Date],"&gt;="&amp;$C$5,DaybyDay[RowYear],"&gt;="&amp;$C$4,DaybyDay[Date],"&lt;="&amp;DaybyDay[[#This Row],[Date]])</f>
        <v>0</v>
      </c>
      <c r="P759" s="33">
        <f>SUMIFS(DaybyDay[Retail-Budgets],DaybyDay[Date],"&gt;="&amp;$C$5,DaybyDay[RowYear],"&gt;="&amp;$C$4,DaybyDay[Date],"&lt;="&amp;DaybyDay[[#This Row],[Date]])</f>
        <v>0</v>
      </c>
      <c r="Q759" s="34">
        <f>SUMIFS(DaybyDay[Service-Actuals],DaybyDay[Date],"&gt;="&amp;$C$5,DaybyDay[RowYear],"&gt;="&amp;$C$4,DaybyDay[Date],"&lt;="&amp;DaybyDay[[#This Row],[Date]])</f>
        <v>0</v>
      </c>
      <c r="R759" s="34">
        <f>SUMIFS(DaybyDay[Retail-Actuals],DaybyDay[Date],"&gt;="&amp;$C$5,DaybyDay[RowYear],"&gt;="&amp;$C$4,DaybyDay[Date],"&lt;="&amp;DaybyDay[[#This Row],[Date]])</f>
        <v>0</v>
      </c>
      <c r="S759" s="35">
        <f>SUMIFS(DaybyDay[Service-LY],DaybyDay[Date],"&gt;="&amp;$C$5,DaybyDay[RowYear],"&gt;="&amp;$C$4,DaybyDay[Date],"&lt;="&amp;DaybyDay[[#This Row],[Date]])</f>
        <v>0</v>
      </c>
      <c r="T759" s="35">
        <f>SUMIFS(DaybyDay[Retail-LY],DaybyDay[Date],"&gt;="&amp;$C$5,DaybyDay[RowYear],"&gt;="&amp;$C$4,DaybyDay[Date],"&lt;="&amp;DaybyDay[[#This Row],[Date]])</f>
        <v>0</v>
      </c>
      <c r="U759" s="32">
        <f>DaybyDay[[#This Row],[Serv-Bud-RU]]+DaybyDay[[#This Row],[Ret-Bud-RU]]</f>
        <v>0</v>
      </c>
      <c r="V759" s="32">
        <f>DaybyDay[[#This Row],[Serv-Act-RU]]+DaybyDay[[#This Row],[Ret-Act-RU]]</f>
        <v>0</v>
      </c>
      <c r="W759" s="36">
        <f>IF(DaybyDay[[#This Row],[_Space]],IFERROR(
((DaybyDay[[#This Row],[Actual-Rollup]]-DaybyDay[[#This Row],[Budget-Rollup]])/DaybyDay[[#This Row],[Budget-Rollup]]),0),"")</f>
        <v>0</v>
      </c>
      <c r="X759" t="b">
        <f>NOT(AND(ISBLANK(DaybyDay[[#This Row],[Appts]]),ISBLANK(DaybyDay[[#This Row],[Service-Actuals]]),ISBLANK(DaybyDay[[#This Row],[Retail-Actuals]])))</f>
        <v>1</v>
      </c>
      <c r="Y759" s="36">
        <f>IF(DaybyDay[[#This Row],[_Space]],IFERROR(
((DaybyDay[[#This Row],[Actual-Rollup]]-DaybyDay[[#This Row],[LY-Rollup]])/DaybyDay[[#This Row],[LY-Rollup]]),0),"")</f>
        <v>0</v>
      </c>
      <c r="Z759"/>
      <c r="AA759" s="37" t="e">
        <f>IF(DaybyDay[[#This Row],[_Space]],DaybyDay[[#This Row],[Ret-Act-RU]]/DaybyDay[[#This Row],[Serv-Act-RU]],"")</f>
        <v>#DIV/0!</v>
      </c>
      <c r="AB759" s="50" t="e">
        <f>IF(DaybyDay[[#This Row],[_Space]],DaybyDay[[#This Row],[RETPEN-Act]]/DaybyDay[[#This Row],[RETPEN-Bud]],"")</f>
        <v>#DIV/0!</v>
      </c>
      <c r="AC759" s="37" t="e">
        <f>IF(DaybyDay[[#This Row],[_Space]],DaybyDay[[#This Row],[Ret-Bud-RU]]/DaybyDay[[#This Row],[Serv-Bud-RU]],"")</f>
        <v>#DIV/0!</v>
      </c>
      <c r="AD759" s="37" t="e">
        <f>IF(DaybyDay[[#This Row],[_Space]],DaybyDay[[#This Row],[Ret-LY-RU]]/DaybyDay[[#This Row],[Serv-LY-RU]],"")</f>
        <v>#DIV/0!</v>
      </c>
      <c r="AE759" s="30">
        <f>WEEKDAY(DaybyDay[[#This Row],[LY-Date]])</f>
        <v>4</v>
      </c>
      <c r="AF759" s="38">
        <f>$E$2+_xlfn.DAYS(DaybyDay[[#This Row],[Date]],minDate)</f>
        <v>43124</v>
      </c>
      <c r="AG759" s="39" cm="1">
        <f t="array" ref="AG759">IFERROR(INDEX(DaybyDay[],DaybyDay[[#This Row],[FORM_MATCH_HELPER]],8),"")</f>
        <v>26</v>
      </c>
      <c r="AH759" s="39" cm="1">
        <f t="array" ref="AH759">IFERROR(INDEX(DaybyDay[],DaybyDay[[#This Row],[FORM_MATCH_HELPER]],10),"")</f>
        <v>5525.3</v>
      </c>
      <c r="AI759" s="39" cm="1">
        <f t="array" ref="AI759">IFERROR(INDEX(DaybyDay[],DaybyDay[[#This Row],[FORM_MATCH_HELPER]],12),"")</f>
        <v>1290</v>
      </c>
      <c r="AJ759" s="32">
        <f>IFERROR(DaybyDay[[#This Row],[Serv-LY-RU]]+DaybyDay[[#This Row],[Ret-LY-RU]],"")</f>
        <v>0</v>
      </c>
      <c r="AK7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59" s="77"/>
      <c r="AM759" s="40" t="str">
        <f>IF(DaybyDay[[#This Row],[Admin Hours]]&gt;0,DaybyDay[[#This Row],[Admin Hours]]*$AM$2+$AM$3,"")</f>
        <v/>
      </c>
      <c r="AN759" s="40">
        <f>SUMIFS(DaybyDay[Est-Admin-Payroll],DaybyDay[Date],"&gt;="&amp;$C$5,DaybyDay[RowYear],"&gt;="&amp;$C$4,DaybyDay[Date],"&lt;="&amp;DaybyDay[[#This Row],[Date]])</f>
        <v>0</v>
      </c>
      <c r="AO759" s="41" t="str">
        <f>IF(AND(DaybyDay[[#This Row],[_Space]],ISNUMBER(DaybyDay[[#This Row],[Admin Hours]])),DaybyDay[[#This Row],[Est-Admin-Payroll]]/(DaybyDay[[#This Row],[Service-Actuals]]+DaybyDay[[#This Row],[Retail-Actuals]]),"")</f>
        <v/>
      </c>
      <c r="AP759" s="41" t="e">
        <f>DaybyDay[[#This Row],[Estimated-Payroll-Rollup]]/DaybyDay[[#This Row],[Simple-Forecast]]</f>
        <v>#DIV/0!</v>
      </c>
      <c r="AQ7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59" s="77"/>
      <c r="AS759" s="40" t="str">
        <f>IF(DaybyDay[[#This Row],[Retail Hours]]&gt;0,DaybyDay[[#This Row],[Retail Hours]]*$AS$2,"")</f>
        <v/>
      </c>
      <c r="AT759" s="40">
        <f>SUMIFS(DaybyDay[Est-Retail-Payroll],DaybyDay[Date],"&gt;="&amp;$C$5,DaybyDay[RowYear],"&gt;="&amp;$C$4,DaybyDay[Date],"&lt;="&amp;DaybyDay[[#This Row],[Date]])</f>
        <v>0</v>
      </c>
      <c r="AU759" s="82" t="str">
        <f>IF(AND(DaybyDay[[#This Row],[_Space]],ISNUMBER(DaybyDay[[#This Row],[Retail Hours]])),DaybyDay[[#This Row],[Est-Retail-Payroll]]/(DaybyDay[[#This Row],[Retail-Actuals]]),"")</f>
        <v/>
      </c>
      <c r="AV759" s="82" t="e">
        <f>DaybyDay[[#This Row],[Est-Retail-PayrollRU]]/DaybyDay[[#This Row],[Simple-Forecast-Retail]]</f>
        <v>#DIV/0!</v>
      </c>
      <c r="AW759" s="8"/>
      <c r="AX759" s="49"/>
      <c r="AY759" s="48"/>
      <c r="AZ759" s="47"/>
      <c r="BA759" s="47"/>
      <c r="BB759" s="47"/>
      <c r="BC759" s="47"/>
      <c r="BD759" s="47"/>
    </row>
    <row r="760" spans="3:56" hidden="1" x14ac:dyDescent="0.25">
      <c r="C760" s="26" t="str">
        <f>Tools!$C$1</f>
        <v>Example</v>
      </c>
      <c r="D760" s="27" t="s">
        <v>68</v>
      </c>
      <c r="E760" s="28">
        <v>2019</v>
      </c>
      <c r="F760" s="28">
        <f>MATCH(DaybyDay[[#This Row],[RowMonth]],Table3[SummaryMonth],0)</f>
        <v>1</v>
      </c>
      <c r="G760" s="29">
        <f>MATCH(DaybyDay[[#This Row],[LY-Date]],DaybyDay[Date],0)</f>
        <v>390</v>
      </c>
      <c r="H760" s="30">
        <f>WEEKDAY(DaybyDay[[#This Row],[Date]])</f>
        <v>5</v>
      </c>
      <c r="I760" s="31">
        <v>43489</v>
      </c>
      <c r="J760" s="74">
        <v>14</v>
      </c>
      <c r="K760" s="32">
        <f>SUMIFS(BudgetSeasonality[365 Seasonality],BudgetSeasonality[MonthAdjustment],DaybyDay[[#This Row],[Date]])*SUMIFS(Budgets[Service-Budget],Budgets[BudgetMonth],DaybyDay[[#This Row],[RowMonth]],Budgets[BudgetYear],DaybyDay[[#This Row],[RowYear]])</f>
        <v>4465.4804283207113</v>
      </c>
      <c r="L760" s="75">
        <v>2734.4</v>
      </c>
      <c r="M760" s="32">
        <f>INDEX(BudgetSeasonality[365 Seasonality],MATCH(DaybyDay[[#This Row],[Date]],BudgetSeasonality[MonthAdjustment],0))*SUMIFS(Budgets[Retail-Budget],Budgets[BudgetMonth],DaybyDay[[#This Row],[RowMonth]],Budgets[BudgetYear],DaybyDay[[#This Row],[RowYear]])</f>
        <v>790.11754368754418</v>
      </c>
      <c r="N760" s="75">
        <v>73</v>
      </c>
      <c r="O760" s="33">
        <f>SUMIFS(DaybyDay[Service-Budgets],DaybyDay[Date],"&gt;="&amp;$C$5,DaybyDay[RowYear],"&gt;="&amp;$C$4,DaybyDay[Date],"&lt;="&amp;DaybyDay[[#This Row],[Date]])</f>
        <v>0</v>
      </c>
      <c r="P760" s="33">
        <f>SUMIFS(DaybyDay[Retail-Budgets],DaybyDay[Date],"&gt;="&amp;$C$5,DaybyDay[RowYear],"&gt;="&amp;$C$4,DaybyDay[Date],"&lt;="&amp;DaybyDay[[#This Row],[Date]])</f>
        <v>0</v>
      </c>
      <c r="Q760" s="34">
        <f>SUMIFS(DaybyDay[Service-Actuals],DaybyDay[Date],"&gt;="&amp;$C$5,DaybyDay[RowYear],"&gt;="&amp;$C$4,DaybyDay[Date],"&lt;="&amp;DaybyDay[[#This Row],[Date]])</f>
        <v>0</v>
      </c>
      <c r="R760" s="34">
        <f>SUMIFS(DaybyDay[Retail-Actuals],DaybyDay[Date],"&gt;="&amp;$C$5,DaybyDay[RowYear],"&gt;="&amp;$C$4,DaybyDay[Date],"&lt;="&amp;DaybyDay[[#This Row],[Date]])</f>
        <v>0</v>
      </c>
      <c r="S760" s="35">
        <f>SUMIFS(DaybyDay[Service-LY],DaybyDay[Date],"&gt;="&amp;$C$5,DaybyDay[RowYear],"&gt;="&amp;$C$4,DaybyDay[Date],"&lt;="&amp;DaybyDay[[#This Row],[Date]])</f>
        <v>0</v>
      </c>
      <c r="T760" s="35">
        <f>SUMIFS(DaybyDay[Retail-LY],DaybyDay[Date],"&gt;="&amp;$C$5,DaybyDay[RowYear],"&gt;="&amp;$C$4,DaybyDay[Date],"&lt;="&amp;DaybyDay[[#This Row],[Date]])</f>
        <v>0</v>
      </c>
      <c r="U760" s="32">
        <f>DaybyDay[[#This Row],[Serv-Bud-RU]]+DaybyDay[[#This Row],[Ret-Bud-RU]]</f>
        <v>0</v>
      </c>
      <c r="V760" s="32">
        <f>DaybyDay[[#This Row],[Serv-Act-RU]]+DaybyDay[[#This Row],[Ret-Act-RU]]</f>
        <v>0</v>
      </c>
      <c r="W760" s="36">
        <f>IF(DaybyDay[[#This Row],[_Space]],IFERROR(
((DaybyDay[[#This Row],[Actual-Rollup]]-DaybyDay[[#This Row],[Budget-Rollup]])/DaybyDay[[#This Row],[Budget-Rollup]]),0),"")</f>
        <v>0</v>
      </c>
      <c r="X760" t="b">
        <f>NOT(AND(ISBLANK(DaybyDay[[#This Row],[Appts]]),ISBLANK(DaybyDay[[#This Row],[Service-Actuals]]),ISBLANK(DaybyDay[[#This Row],[Retail-Actuals]])))</f>
        <v>1</v>
      </c>
      <c r="Y760" s="36">
        <f>IF(DaybyDay[[#This Row],[_Space]],IFERROR(
((DaybyDay[[#This Row],[Actual-Rollup]]-DaybyDay[[#This Row],[LY-Rollup]])/DaybyDay[[#This Row],[LY-Rollup]]),0),"")</f>
        <v>0</v>
      </c>
      <c r="Z760"/>
      <c r="AA760" s="37" t="e">
        <f>IF(DaybyDay[[#This Row],[_Space]],DaybyDay[[#This Row],[Ret-Act-RU]]/DaybyDay[[#This Row],[Serv-Act-RU]],"")</f>
        <v>#DIV/0!</v>
      </c>
      <c r="AB760" s="50" t="e">
        <f>IF(DaybyDay[[#This Row],[_Space]],DaybyDay[[#This Row],[RETPEN-Act]]/DaybyDay[[#This Row],[RETPEN-Bud]],"")</f>
        <v>#DIV/0!</v>
      </c>
      <c r="AC760" s="37" t="e">
        <f>IF(DaybyDay[[#This Row],[_Space]],DaybyDay[[#This Row],[Ret-Bud-RU]]/DaybyDay[[#This Row],[Serv-Bud-RU]],"")</f>
        <v>#DIV/0!</v>
      </c>
      <c r="AD760" s="37" t="e">
        <f>IF(DaybyDay[[#This Row],[_Space]],DaybyDay[[#This Row],[Ret-LY-RU]]/DaybyDay[[#This Row],[Serv-LY-RU]],"")</f>
        <v>#DIV/0!</v>
      </c>
      <c r="AE760" s="30">
        <f>WEEKDAY(DaybyDay[[#This Row],[LY-Date]])</f>
        <v>5</v>
      </c>
      <c r="AF760" s="38">
        <f>$E$2+_xlfn.DAYS(DaybyDay[[#This Row],[Date]],minDate)</f>
        <v>43125</v>
      </c>
      <c r="AG760" s="39" cm="1">
        <f t="array" ref="AG760">IFERROR(INDEX(DaybyDay[],DaybyDay[[#This Row],[FORM_MATCH_HELPER]],8),"")</f>
        <v>20</v>
      </c>
      <c r="AH760" s="39" cm="1">
        <f t="array" ref="AH760">IFERROR(INDEX(DaybyDay[],DaybyDay[[#This Row],[FORM_MATCH_HELPER]],10),"")</f>
        <v>3789.38</v>
      </c>
      <c r="AI760" s="39" cm="1">
        <f t="array" ref="AI760">IFERROR(INDEX(DaybyDay[],DaybyDay[[#This Row],[FORM_MATCH_HELPER]],12),"")</f>
        <v>1391.4</v>
      </c>
      <c r="AJ760" s="32">
        <f>IFERROR(DaybyDay[[#This Row],[Serv-LY-RU]]+DaybyDay[[#This Row],[Ret-LY-RU]],"")</f>
        <v>0</v>
      </c>
      <c r="AK7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0" s="77"/>
      <c r="AM760" s="40" t="str">
        <f>IF(DaybyDay[[#This Row],[Admin Hours]]&gt;0,DaybyDay[[#This Row],[Admin Hours]]*$AM$2+$AM$3,"")</f>
        <v/>
      </c>
      <c r="AN760" s="40">
        <f>SUMIFS(DaybyDay[Est-Admin-Payroll],DaybyDay[Date],"&gt;="&amp;$C$5,DaybyDay[RowYear],"&gt;="&amp;$C$4,DaybyDay[Date],"&lt;="&amp;DaybyDay[[#This Row],[Date]])</f>
        <v>0</v>
      </c>
      <c r="AO760" s="41" t="str">
        <f>IF(AND(DaybyDay[[#This Row],[_Space]],ISNUMBER(DaybyDay[[#This Row],[Admin Hours]])),DaybyDay[[#This Row],[Est-Admin-Payroll]]/(DaybyDay[[#This Row],[Service-Actuals]]+DaybyDay[[#This Row],[Retail-Actuals]]),"")</f>
        <v/>
      </c>
      <c r="AP760" s="41" t="e">
        <f>DaybyDay[[#This Row],[Estimated-Payroll-Rollup]]/DaybyDay[[#This Row],[Simple-Forecast]]</f>
        <v>#DIV/0!</v>
      </c>
      <c r="AQ7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0" s="77"/>
      <c r="AS760" s="40" t="str">
        <f>IF(DaybyDay[[#This Row],[Retail Hours]]&gt;0,DaybyDay[[#This Row],[Retail Hours]]*$AS$2,"")</f>
        <v/>
      </c>
      <c r="AT760" s="40">
        <f>SUMIFS(DaybyDay[Est-Retail-Payroll],DaybyDay[Date],"&gt;="&amp;$C$5,DaybyDay[RowYear],"&gt;="&amp;$C$4,DaybyDay[Date],"&lt;="&amp;DaybyDay[[#This Row],[Date]])</f>
        <v>0</v>
      </c>
      <c r="AU760" s="82" t="str">
        <f>IF(AND(DaybyDay[[#This Row],[_Space]],ISNUMBER(DaybyDay[[#This Row],[Retail Hours]])),DaybyDay[[#This Row],[Est-Retail-Payroll]]/(DaybyDay[[#This Row],[Retail-Actuals]]),"")</f>
        <v/>
      </c>
      <c r="AV760" s="82" t="e">
        <f>DaybyDay[[#This Row],[Est-Retail-PayrollRU]]/DaybyDay[[#This Row],[Simple-Forecast-Retail]]</f>
        <v>#DIV/0!</v>
      </c>
      <c r="AW760" s="8"/>
      <c r="AX760" s="49"/>
      <c r="AY760" s="48"/>
      <c r="AZ760" s="47"/>
      <c r="BA760" s="47"/>
      <c r="BB760" s="47"/>
      <c r="BC760" s="47"/>
      <c r="BD760" s="47"/>
    </row>
    <row r="761" spans="3:56" hidden="1" x14ac:dyDescent="0.25">
      <c r="C761" s="26" t="str">
        <f>Tools!$C$1</f>
        <v>Example</v>
      </c>
      <c r="D761" s="27" t="s">
        <v>68</v>
      </c>
      <c r="E761" s="28">
        <v>2019</v>
      </c>
      <c r="F761" s="28">
        <f>MATCH(DaybyDay[[#This Row],[RowMonth]],Table3[SummaryMonth],0)</f>
        <v>1</v>
      </c>
      <c r="G761" s="29">
        <f>MATCH(DaybyDay[[#This Row],[LY-Date]],DaybyDay[Date],0)</f>
        <v>391</v>
      </c>
      <c r="H761" s="30">
        <f>WEEKDAY(DaybyDay[[#This Row],[Date]])</f>
        <v>6</v>
      </c>
      <c r="I761" s="31">
        <v>43490</v>
      </c>
      <c r="J761" s="74">
        <v>24</v>
      </c>
      <c r="K761" s="32">
        <f>SUMIFS(BudgetSeasonality[365 Seasonality],BudgetSeasonality[MonthAdjustment],DaybyDay[[#This Row],[Date]])*SUMIFS(Budgets[Service-Budget],Budgets[BudgetMonth],DaybyDay[[#This Row],[RowMonth]],Budgets[BudgetYear],DaybyDay[[#This Row],[RowYear]])</f>
        <v>5434.9234723466352</v>
      </c>
      <c r="L761" s="75">
        <v>4861.2</v>
      </c>
      <c r="M761" s="32">
        <f>INDEX(BudgetSeasonality[365 Seasonality],MATCH(DaybyDay[[#This Row],[Date]],BudgetSeasonality[MonthAdjustment],0))*SUMIFS(Budgets[Retail-Budget],Budgets[BudgetMonth],DaybyDay[[#This Row],[RowMonth]],Budgets[BudgetYear],DaybyDay[[#This Row],[RowYear]])</f>
        <v>961.64980521820132</v>
      </c>
      <c r="N761" s="75">
        <v>888</v>
      </c>
      <c r="O761" s="33">
        <f>SUMIFS(DaybyDay[Service-Budgets],DaybyDay[Date],"&gt;="&amp;$C$5,DaybyDay[RowYear],"&gt;="&amp;$C$4,DaybyDay[Date],"&lt;="&amp;DaybyDay[[#This Row],[Date]])</f>
        <v>0</v>
      </c>
      <c r="P761" s="33">
        <f>SUMIFS(DaybyDay[Retail-Budgets],DaybyDay[Date],"&gt;="&amp;$C$5,DaybyDay[RowYear],"&gt;="&amp;$C$4,DaybyDay[Date],"&lt;="&amp;DaybyDay[[#This Row],[Date]])</f>
        <v>0</v>
      </c>
      <c r="Q761" s="34">
        <f>SUMIFS(DaybyDay[Service-Actuals],DaybyDay[Date],"&gt;="&amp;$C$5,DaybyDay[RowYear],"&gt;="&amp;$C$4,DaybyDay[Date],"&lt;="&amp;DaybyDay[[#This Row],[Date]])</f>
        <v>0</v>
      </c>
      <c r="R761" s="34">
        <f>SUMIFS(DaybyDay[Retail-Actuals],DaybyDay[Date],"&gt;="&amp;$C$5,DaybyDay[RowYear],"&gt;="&amp;$C$4,DaybyDay[Date],"&lt;="&amp;DaybyDay[[#This Row],[Date]])</f>
        <v>0</v>
      </c>
      <c r="S761" s="35">
        <f>SUMIFS(DaybyDay[Service-LY],DaybyDay[Date],"&gt;="&amp;$C$5,DaybyDay[RowYear],"&gt;="&amp;$C$4,DaybyDay[Date],"&lt;="&amp;DaybyDay[[#This Row],[Date]])</f>
        <v>0</v>
      </c>
      <c r="T761" s="35">
        <f>SUMIFS(DaybyDay[Retail-LY],DaybyDay[Date],"&gt;="&amp;$C$5,DaybyDay[RowYear],"&gt;="&amp;$C$4,DaybyDay[Date],"&lt;="&amp;DaybyDay[[#This Row],[Date]])</f>
        <v>0</v>
      </c>
      <c r="U761" s="32">
        <f>DaybyDay[[#This Row],[Serv-Bud-RU]]+DaybyDay[[#This Row],[Ret-Bud-RU]]</f>
        <v>0</v>
      </c>
      <c r="V761" s="32">
        <f>DaybyDay[[#This Row],[Serv-Act-RU]]+DaybyDay[[#This Row],[Ret-Act-RU]]</f>
        <v>0</v>
      </c>
      <c r="W761" s="36">
        <f>IF(DaybyDay[[#This Row],[_Space]],IFERROR(
((DaybyDay[[#This Row],[Actual-Rollup]]-DaybyDay[[#This Row],[Budget-Rollup]])/DaybyDay[[#This Row],[Budget-Rollup]]),0),"")</f>
        <v>0</v>
      </c>
      <c r="X761" t="b">
        <f>NOT(AND(ISBLANK(DaybyDay[[#This Row],[Appts]]),ISBLANK(DaybyDay[[#This Row],[Service-Actuals]]),ISBLANK(DaybyDay[[#This Row],[Retail-Actuals]])))</f>
        <v>1</v>
      </c>
      <c r="Y761" s="36">
        <f>IF(DaybyDay[[#This Row],[_Space]],IFERROR(
((DaybyDay[[#This Row],[Actual-Rollup]]-DaybyDay[[#This Row],[LY-Rollup]])/DaybyDay[[#This Row],[LY-Rollup]]),0),"")</f>
        <v>0</v>
      </c>
      <c r="Z761"/>
      <c r="AA761" s="37" t="e">
        <f>IF(DaybyDay[[#This Row],[_Space]],DaybyDay[[#This Row],[Ret-Act-RU]]/DaybyDay[[#This Row],[Serv-Act-RU]],"")</f>
        <v>#DIV/0!</v>
      </c>
      <c r="AB761" s="50" t="e">
        <f>IF(DaybyDay[[#This Row],[_Space]],DaybyDay[[#This Row],[RETPEN-Act]]/DaybyDay[[#This Row],[RETPEN-Bud]],"")</f>
        <v>#DIV/0!</v>
      </c>
      <c r="AC761" s="37" t="e">
        <f>IF(DaybyDay[[#This Row],[_Space]],DaybyDay[[#This Row],[Ret-Bud-RU]]/DaybyDay[[#This Row],[Serv-Bud-RU]],"")</f>
        <v>#DIV/0!</v>
      </c>
      <c r="AD761" s="37" t="e">
        <f>IF(DaybyDay[[#This Row],[_Space]],DaybyDay[[#This Row],[Ret-LY-RU]]/DaybyDay[[#This Row],[Serv-LY-RU]],"")</f>
        <v>#DIV/0!</v>
      </c>
      <c r="AE761" s="30">
        <f>WEEKDAY(DaybyDay[[#This Row],[LY-Date]])</f>
        <v>6</v>
      </c>
      <c r="AF761" s="38">
        <f>$E$2+_xlfn.DAYS(DaybyDay[[#This Row],[Date]],minDate)</f>
        <v>43126</v>
      </c>
      <c r="AG761" s="39" cm="1">
        <f t="array" ref="AG761">IFERROR(INDEX(DaybyDay[],DaybyDay[[#This Row],[FORM_MATCH_HELPER]],8),"")</f>
        <v>16</v>
      </c>
      <c r="AH761" s="39" cm="1">
        <f t="array" ref="AH761">IFERROR(INDEX(DaybyDay[],DaybyDay[[#This Row],[FORM_MATCH_HELPER]],10),"")</f>
        <v>4408</v>
      </c>
      <c r="AI761" s="39" cm="1">
        <f t="array" ref="AI761">IFERROR(INDEX(DaybyDay[],DaybyDay[[#This Row],[FORM_MATCH_HELPER]],12),"")</f>
        <v>659</v>
      </c>
      <c r="AJ761" s="32">
        <f>IFERROR(DaybyDay[[#This Row],[Serv-LY-RU]]+DaybyDay[[#This Row],[Ret-LY-RU]],"")</f>
        <v>0</v>
      </c>
      <c r="AK7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1" s="77"/>
      <c r="AM761" s="40" t="str">
        <f>IF(DaybyDay[[#This Row],[Admin Hours]]&gt;0,DaybyDay[[#This Row],[Admin Hours]]*$AM$2+$AM$3,"")</f>
        <v/>
      </c>
      <c r="AN761" s="40">
        <f>SUMIFS(DaybyDay[Est-Admin-Payroll],DaybyDay[Date],"&gt;="&amp;$C$5,DaybyDay[RowYear],"&gt;="&amp;$C$4,DaybyDay[Date],"&lt;="&amp;DaybyDay[[#This Row],[Date]])</f>
        <v>0</v>
      </c>
      <c r="AO761" s="41" t="str">
        <f>IF(AND(DaybyDay[[#This Row],[_Space]],ISNUMBER(DaybyDay[[#This Row],[Admin Hours]])),DaybyDay[[#This Row],[Est-Admin-Payroll]]/(DaybyDay[[#This Row],[Service-Actuals]]+DaybyDay[[#This Row],[Retail-Actuals]]),"")</f>
        <v/>
      </c>
      <c r="AP761" s="41" t="e">
        <f>DaybyDay[[#This Row],[Estimated-Payroll-Rollup]]/DaybyDay[[#This Row],[Simple-Forecast]]</f>
        <v>#DIV/0!</v>
      </c>
      <c r="AQ7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1" s="77"/>
      <c r="AS761" s="40" t="str">
        <f>IF(DaybyDay[[#This Row],[Retail Hours]]&gt;0,DaybyDay[[#This Row],[Retail Hours]]*$AS$2,"")</f>
        <v/>
      </c>
      <c r="AT761" s="40">
        <f>SUMIFS(DaybyDay[Est-Retail-Payroll],DaybyDay[Date],"&gt;="&amp;$C$5,DaybyDay[RowYear],"&gt;="&amp;$C$4,DaybyDay[Date],"&lt;="&amp;DaybyDay[[#This Row],[Date]])</f>
        <v>0</v>
      </c>
      <c r="AU761" s="82" t="str">
        <f>IF(AND(DaybyDay[[#This Row],[_Space]],ISNUMBER(DaybyDay[[#This Row],[Retail Hours]])),DaybyDay[[#This Row],[Est-Retail-Payroll]]/(DaybyDay[[#This Row],[Retail-Actuals]]),"")</f>
        <v/>
      </c>
      <c r="AV761" s="82" t="e">
        <f>DaybyDay[[#This Row],[Est-Retail-PayrollRU]]/DaybyDay[[#This Row],[Simple-Forecast-Retail]]</f>
        <v>#DIV/0!</v>
      </c>
      <c r="AW761" s="8"/>
      <c r="AX761" s="49"/>
      <c r="AY761" s="48"/>
      <c r="AZ761" s="47"/>
      <c r="BA761" s="47"/>
      <c r="BB761" s="47"/>
      <c r="BC761" s="47"/>
      <c r="BD761" s="47"/>
    </row>
    <row r="762" spans="3:56" hidden="1" x14ac:dyDescent="0.25">
      <c r="C762" s="26" t="str">
        <f>Tools!$C$1</f>
        <v>Example</v>
      </c>
      <c r="D762" s="27" t="s">
        <v>68</v>
      </c>
      <c r="E762" s="28">
        <v>2019</v>
      </c>
      <c r="F762" s="28">
        <f>MATCH(DaybyDay[[#This Row],[RowMonth]],Table3[SummaryMonth],0)</f>
        <v>1</v>
      </c>
      <c r="G762" s="29">
        <f>MATCH(DaybyDay[[#This Row],[LY-Date]],DaybyDay[Date],0)</f>
        <v>392</v>
      </c>
      <c r="H762" s="30">
        <f>WEEKDAY(DaybyDay[[#This Row],[Date]])</f>
        <v>7</v>
      </c>
      <c r="I762" s="31">
        <v>43491</v>
      </c>
      <c r="J762" s="74">
        <v>40</v>
      </c>
      <c r="K762" s="32">
        <f>SUMIFS(BudgetSeasonality[365 Seasonality],BudgetSeasonality[MonthAdjustment],DaybyDay[[#This Row],[Date]])*SUMIFS(Budgets[Service-Budget],Budgets[BudgetMonth],DaybyDay[[#This Row],[RowMonth]],Budgets[BudgetYear],DaybyDay[[#This Row],[RowYear]])</f>
        <v>7453.532385859151</v>
      </c>
      <c r="L762" s="75">
        <v>9549</v>
      </c>
      <c r="M762" s="32">
        <f>INDEX(BudgetSeasonality[365 Seasonality],MATCH(DaybyDay[[#This Row],[Date]],BudgetSeasonality[MonthAdjustment],0))*SUMIFS(Budgets[Retail-Budget],Budgets[BudgetMonth],DaybyDay[[#This Row],[RowMonth]],Budgets[BudgetYear],DaybyDay[[#This Row],[RowYear]])</f>
        <v>1318.8204035473232</v>
      </c>
      <c r="N762" s="75">
        <v>1010.5</v>
      </c>
      <c r="O762" s="33">
        <f>SUMIFS(DaybyDay[Service-Budgets],DaybyDay[Date],"&gt;="&amp;$C$5,DaybyDay[RowYear],"&gt;="&amp;$C$4,DaybyDay[Date],"&lt;="&amp;DaybyDay[[#This Row],[Date]])</f>
        <v>0</v>
      </c>
      <c r="P762" s="33">
        <f>SUMIFS(DaybyDay[Retail-Budgets],DaybyDay[Date],"&gt;="&amp;$C$5,DaybyDay[RowYear],"&gt;="&amp;$C$4,DaybyDay[Date],"&lt;="&amp;DaybyDay[[#This Row],[Date]])</f>
        <v>0</v>
      </c>
      <c r="Q762" s="34">
        <f>SUMIFS(DaybyDay[Service-Actuals],DaybyDay[Date],"&gt;="&amp;$C$5,DaybyDay[RowYear],"&gt;="&amp;$C$4,DaybyDay[Date],"&lt;="&amp;DaybyDay[[#This Row],[Date]])</f>
        <v>0</v>
      </c>
      <c r="R762" s="34">
        <f>SUMIFS(DaybyDay[Retail-Actuals],DaybyDay[Date],"&gt;="&amp;$C$5,DaybyDay[RowYear],"&gt;="&amp;$C$4,DaybyDay[Date],"&lt;="&amp;DaybyDay[[#This Row],[Date]])</f>
        <v>0</v>
      </c>
      <c r="S762" s="35">
        <f>SUMIFS(DaybyDay[Service-LY],DaybyDay[Date],"&gt;="&amp;$C$5,DaybyDay[RowYear],"&gt;="&amp;$C$4,DaybyDay[Date],"&lt;="&amp;DaybyDay[[#This Row],[Date]])</f>
        <v>0</v>
      </c>
      <c r="T762" s="35">
        <f>SUMIFS(DaybyDay[Retail-LY],DaybyDay[Date],"&gt;="&amp;$C$5,DaybyDay[RowYear],"&gt;="&amp;$C$4,DaybyDay[Date],"&lt;="&amp;DaybyDay[[#This Row],[Date]])</f>
        <v>0</v>
      </c>
      <c r="U762" s="32">
        <f>DaybyDay[[#This Row],[Serv-Bud-RU]]+DaybyDay[[#This Row],[Ret-Bud-RU]]</f>
        <v>0</v>
      </c>
      <c r="V762" s="32">
        <f>DaybyDay[[#This Row],[Serv-Act-RU]]+DaybyDay[[#This Row],[Ret-Act-RU]]</f>
        <v>0</v>
      </c>
      <c r="W762" s="36">
        <f>IF(DaybyDay[[#This Row],[_Space]],IFERROR(
((DaybyDay[[#This Row],[Actual-Rollup]]-DaybyDay[[#This Row],[Budget-Rollup]])/DaybyDay[[#This Row],[Budget-Rollup]]),0),"")</f>
        <v>0</v>
      </c>
      <c r="X762" t="b">
        <f>NOT(AND(ISBLANK(DaybyDay[[#This Row],[Appts]]),ISBLANK(DaybyDay[[#This Row],[Service-Actuals]]),ISBLANK(DaybyDay[[#This Row],[Retail-Actuals]])))</f>
        <v>1</v>
      </c>
      <c r="Y762" s="36">
        <f>IF(DaybyDay[[#This Row],[_Space]],IFERROR(
((DaybyDay[[#This Row],[Actual-Rollup]]-DaybyDay[[#This Row],[LY-Rollup]])/DaybyDay[[#This Row],[LY-Rollup]]),0),"")</f>
        <v>0</v>
      </c>
      <c r="Z762"/>
      <c r="AA762" s="37" t="e">
        <f>IF(DaybyDay[[#This Row],[_Space]],DaybyDay[[#This Row],[Ret-Act-RU]]/DaybyDay[[#This Row],[Serv-Act-RU]],"")</f>
        <v>#DIV/0!</v>
      </c>
      <c r="AB762" s="50" t="e">
        <f>IF(DaybyDay[[#This Row],[_Space]],DaybyDay[[#This Row],[RETPEN-Act]]/DaybyDay[[#This Row],[RETPEN-Bud]],"")</f>
        <v>#DIV/0!</v>
      </c>
      <c r="AC762" s="37" t="e">
        <f>IF(DaybyDay[[#This Row],[_Space]],DaybyDay[[#This Row],[Ret-Bud-RU]]/DaybyDay[[#This Row],[Serv-Bud-RU]],"")</f>
        <v>#DIV/0!</v>
      </c>
      <c r="AD762" s="37" t="e">
        <f>IF(DaybyDay[[#This Row],[_Space]],DaybyDay[[#This Row],[Ret-LY-RU]]/DaybyDay[[#This Row],[Serv-LY-RU]],"")</f>
        <v>#DIV/0!</v>
      </c>
      <c r="AE762" s="30">
        <f>WEEKDAY(DaybyDay[[#This Row],[LY-Date]])</f>
        <v>7</v>
      </c>
      <c r="AF762" s="38">
        <f>$E$2+_xlfn.DAYS(DaybyDay[[#This Row],[Date]],minDate)</f>
        <v>43127</v>
      </c>
      <c r="AG762" s="39" cm="1">
        <f t="array" ref="AG762">IFERROR(INDEX(DaybyDay[],DaybyDay[[#This Row],[FORM_MATCH_HELPER]],8),"")</f>
        <v>34</v>
      </c>
      <c r="AH762" s="39" cm="1">
        <f t="array" ref="AH762">IFERROR(INDEX(DaybyDay[],DaybyDay[[#This Row],[FORM_MATCH_HELPER]],10),"")</f>
        <v>8048.75</v>
      </c>
      <c r="AI762" s="39" cm="1">
        <f t="array" ref="AI762">IFERROR(INDEX(DaybyDay[],DaybyDay[[#This Row],[FORM_MATCH_HELPER]],12),"")</f>
        <v>1942.25</v>
      </c>
      <c r="AJ762" s="32">
        <f>IFERROR(DaybyDay[[#This Row],[Serv-LY-RU]]+DaybyDay[[#This Row],[Ret-LY-RU]],"")</f>
        <v>0</v>
      </c>
      <c r="AK7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2" s="77"/>
      <c r="AM762" s="40" t="str">
        <f>IF(DaybyDay[[#This Row],[Admin Hours]]&gt;0,DaybyDay[[#This Row],[Admin Hours]]*$AM$2+$AM$3,"")</f>
        <v/>
      </c>
      <c r="AN762" s="40">
        <f>SUMIFS(DaybyDay[Est-Admin-Payroll],DaybyDay[Date],"&gt;="&amp;$C$5,DaybyDay[RowYear],"&gt;="&amp;$C$4,DaybyDay[Date],"&lt;="&amp;DaybyDay[[#This Row],[Date]])</f>
        <v>0</v>
      </c>
      <c r="AO762" s="41" t="str">
        <f>IF(AND(DaybyDay[[#This Row],[_Space]],ISNUMBER(DaybyDay[[#This Row],[Admin Hours]])),DaybyDay[[#This Row],[Est-Admin-Payroll]]/(DaybyDay[[#This Row],[Service-Actuals]]+DaybyDay[[#This Row],[Retail-Actuals]]),"")</f>
        <v/>
      </c>
      <c r="AP762" s="41" t="e">
        <f>DaybyDay[[#This Row],[Estimated-Payroll-Rollup]]/DaybyDay[[#This Row],[Simple-Forecast]]</f>
        <v>#DIV/0!</v>
      </c>
      <c r="AQ7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2" s="77"/>
      <c r="AS762" s="40" t="str">
        <f>IF(DaybyDay[[#This Row],[Retail Hours]]&gt;0,DaybyDay[[#This Row],[Retail Hours]]*$AS$2,"")</f>
        <v/>
      </c>
      <c r="AT762" s="40">
        <f>SUMIFS(DaybyDay[Est-Retail-Payroll],DaybyDay[Date],"&gt;="&amp;$C$5,DaybyDay[RowYear],"&gt;="&amp;$C$4,DaybyDay[Date],"&lt;="&amp;DaybyDay[[#This Row],[Date]])</f>
        <v>0</v>
      </c>
      <c r="AU762" s="82" t="str">
        <f>IF(AND(DaybyDay[[#This Row],[_Space]],ISNUMBER(DaybyDay[[#This Row],[Retail Hours]])),DaybyDay[[#This Row],[Est-Retail-Payroll]]/(DaybyDay[[#This Row],[Retail-Actuals]]),"")</f>
        <v/>
      </c>
      <c r="AV762" s="82" t="e">
        <f>DaybyDay[[#This Row],[Est-Retail-PayrollRU]]/DaybyDay[[#This Row],[Simple-Forecast-Retail]]</f>
        <v>#DIV/0!</v>
      </c>
      <c r="AW762" s="8"/>
      <c r="AX762" s="49"/>
      <c r="AY762" s="48"/>
      <c r="AZ762" s="47"/>
      <c r="BA762" s="47"/>
      <c r="BB762" s="47"/>
      <c r="BC762" s="47"/>
      <c r="BD762" s="47"/>
    </row>
    <row r="763" spans="3:56" hidden="1" x14ac:dyDescent="0.25">
      <c r="C763" s="26" t="str">
        <f>Tools!$C$1</f>
        <v>Example</v>
      </c>
      <c r="D763" s="27" t="s">
        <v>68</v>
      </c>
      <c r="E763" s="28">
        <v>2019</v>
      </c>
      <c r="F763" s="28">
        <f>MATCH(DaybyDay[[#This Row],[RowMonth]],Table3[SummaryMonth],0)</f>
        <v>1</v>
      </c>
      <c r="G763" s="29">
        <f>MATCH(DaybyDay[[#This Row],[LY-Date]],DaybyDay[Date],0)</f>
        <v>393</v>
      </c>
      <c r="H763" s="30">
        <f>WEEKDAY(DaybyDay[[#This Row],[Date]])</f>
        <v>1</v>
      </c>
      <c r="I763" s="31">
        <v>43492</v>
      </c>
      <c r="J763" s="74">
        <v>30</v>
      </c>
      <c r="K763" s="32">
        <f>SUMIFS(BudgetSeasonality[365 Seasonality],BudgetSeasonality[MonthAdjustment],DaybyDay[[#This Row],[Date]])*SUMIFS(Budgets[Service-Budget],Budgets[BudgetMonth],DaybyDay[[#This Row],[RowMonth]],Budgets[BudgetYear],DaybyDay[[#This Row],[RowYear]])</f>
        <v>6017.7464121739204</v>
      </c>
      <c r="L763" s="75">
        <v>6199.11</v>
      </c>
      <c r="M763" s="32">
        <f>INDEX(BudgetSeasonality[365 Seasonality],MATCH(DaybyDay[[#This Row],[Date]],BudgetSeasonality[MonthAdjustment],0))*SUMIFS(Budgets[Retail-Budget],Budgets[BudgetMonth],DaybyDay[[#This Row],[RowMonth]],Budgets[BudgetYear],DaybyDay[[#This Row],[RowYear]])</f>
        <v>1064.7739006012064</v>
      </c>
      <c r="N763" s="75">
        <v>0</v>
      </c>
      <c r="O763" s="33">
        <f>SUMIFS(DaybyDay[Service-Budgets],DaybyDay[Date],"&gt;="&amp;$C$5,DaybyDay[RowYear],"&gt;="&amp;$C$4,DaybyDay[Date],"&lt;="&amp;DaybyDay[[#This Row],[Date]])</f>
        <v>0</v>
      </c>
      <c r="P763" s="33">
        <f>SUMIFS(DaybyDay[Retail-Budgets],DaybyDay[Date],"&gt;="&amp;$C$5,DaybyDay[RowYear],"&gt;="&amp;$C$4,DaybyDay[Date],"&lt;="&amp;DaybyDay[[#This Row],[Date]])</f>
        <v>0</v>
      </c>
      <c r="Q763" s="34">
        <f>SUMIFS(DaybyDay[Service-Actuals],DaybyDay[Date],"&gt;="&amp;$C$5,DaybyDay[RowYear],"&gt;="&amp;$C$4,DaybyDay[Date],"&lt;="&amp;DaybyDay[[#This Row],[Date]])</f>
        <v>0</v>
      </c>
      <c r="R763" s="34">
        <f>SUMIFS(DaybyDay[Retail-Actuals],DaybyDay[Date],"&gt;="&amp;$C$5,DaybyDay[RowYear],"&gt;="&amp;$C$4,DaybyDay[Date],"&lt;="&amp;DaybyDay[[#This Row],[Date]])</f>
        <v>0</v>
      </c>
      <c r="S763" s="35">
        <f>SUMIFS(DaybyDay[Service-LY],DaybyDay[Date],"&gt;="&amp;$C$5,DaybyDay[RowYear],"&gt;="&amp;$C$4,DaybyDay[Date],"&lt;="&amp;DaybyDay[[#This Row],[Date]])</f>
        <v>0</v>
      </c>
      <c r="T763" s="35">
        <f>SUMIFS(DaybyDay[Retail-LY],DaybyDay[Date],"&gt;="&amp;$C$5,DaybyDay[RowYear],"&gt;="&amp;$C$4,DaybyDay[Date],"&lt;="&amp;DaybyDay[[#This Row],[Date]])</f>
        <v>0</v>
      </c>
      <c r="U763" s="32">
        <f>DaybyDay[[#This Row],[Serv-Bud-RU]]+DaybyDay[[#This Row],[Ret-Bud-RU]]</f>
        <v>0</v>
      </c>
      <c r="V763" s="32">
        <f>DaybyDay[[#This Row],[Serv-Act-RU]]+DaybyDay[[#This Row],[Ret-Act-RU]]</f>
        <v>0</v>
      </c>
      <c r="W763" s="36">
        <f>IF(DaybyDay[[#This Row],[_Space]],IFERROR(
((DaybyDay[[#This Row],[Actual-Rollup]]-DaybyDay[[#This Row],[Budget-Rollup]])/DaybyDay[[#This Row],[Budget-Rollup]]),0),"")</f>
        <v>0</v>
      </c>
      <c r="X763" t="b">
        <f>NOT(AND(ISBLANK(DaybyDay[[#This Row],[Appts]]),ISBLANK(DaybyDay[[#This Row],[Service-Actuals]]),ISBLANK(DaybyDay[[#This Row],[Retail-Actuals]])))</f>
        <v>1</v>
      </c>
      <c r="Y763" s="36">
        <f>IF(DaybyDay[[#This Row],[_Space]],IFERROR(
((DaybyDay[[#This Row],[Actual-Rollup]]-DaybyDay[[#This Row],[LY-Rollup]])/DaybyDay[[#This Row],[LY-Rollup]]),0),"")</f>
        <v>0</v>
      </c>
      <c r="Z763"/>
      <c r="AA763" s="37" t="e">
        <f>IF(DaybyDay[[#This Row],[_Space]],DaybyDay[[#This Row],[Ret-Act-RU]]/DaybyDay[[#This Row],[Serv-Act-RU]],"")</f>
        <v>#DIV/0!</v>
      </c>
      <c r="AB763" s="50" t="e">
        <f>IF(DaybyDay[[#This Row],[_Space]],DaybyDay[[#This Row],[RETPEN-Act]]/DaybyDay[[#This Row],[RETPEN-Bud]],"")</f>
        <v>#DIV/0!</v>
      </c>
      <c r="AC763" s="37" t="e">
        <f>IF(DaybyDay[[#This Row],[_Space]],DaybyDay[[#This Row],[Ret-Bud-RU]]/DaybyDay[[#This Row],[Serv-Bud-RU]],"")</f>
        <v>#DIV/0!</v>
      </c>
      <c r="AD763" s="37" t="e">
        <f>IF(DaybyDay[[#This Row],[_Space]],DaybyDay[[#This Row],[Ret-LY-RU]]/DaybyDay[[#This Row],[Serv-LY-RU]],"")</f>
        <v>#DIV/0!</v>
      </c>
      <c r="AE763" s="30">
        <f>WEEKDAY(DaybyDay[[#This Row],[LY-Date]])</f>
        <v>1</v>
      </c>
      <c r="AF763" s="38">
        <f>$E$2+_xlfn.DAYS(DaybyDay[[#This Row],[Date]],minDate)</f>
        <v>43128</v>
      </c>
      <c r="AG763" s="39" cm="1">
        <f t="array" ref="AG763">IFERROR(INDEX(DaybyDay[],DaybyDay[[#This Row],[FORM_MATCH_HELPER]],8),"")</f>
        <v>49</v>
      </c>
      <c r="AH763" s="39" cm="1">
        <f t="array" ref="AH763">IFERROR(INDEX(DaybyDay[],DaybyDay[[#This Row],[FORM_MATCH_HELPER]],10),"")</f>
        <v>10326</v>
      </c>
      <c r="AI763" s="39" cm="1">
        <f t="array" ref="AI763">IFERROR(INDEX(DaybyDay[],DaybyDay[[#This Row],[FORM_MATCH_HELPER]],12),"")</f>
        <v>464</v>
      </c>
      <c r="AJ763" s="32">
        <f>IFERROR(DaybyDay[[#This Row],[Serv-LY-RU]]+DaybyDay[[#This Row],[Ret-LY-RU]],"")</f>
        <v>0</v>
      </c>
      <c r="AK7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3" s="77"/>
      <c r="AM763" s="40" t="str">
        <f>IF(DaybyDay[[#This Row],[Admin Hours]]&gt;0,DaybyDay[[#This Row],[Admin Hours]]*$AM$2+$AM$3,"")</f>
        <v/>
      </c>
      <c r="AN763" s="40">
        <f>SUMIFS(DaybyDay[Est-Admin-Payroll],DaybyDay[Date],"&gt;="&amp;$C$5,DaybyDay[RowYear],"&gt;="&amp;$C$4,DaybyDay[Date],"&lt;="&amp;DaybyDay[[#This Row],[Date]])</f>
        <v>0</v>
      </c>
      <c r="AO763" s="41" t="str">
        <f>IF(AND(DaybyDay[[#This Row],[_Space]],ISNUMBER(DaybyDay[[#This Row],[Admin Hours]])),DaybyDay[[#This Row],[Est-Admin-Payroll]]/(DaybyDay[[#This Row],[Service-Actuals]]+DaybyDay[[#This Row],[Retail-Actuals]]),"")</f>
        <v/>
      </c>
      <c r="AP763" s="41" t="e">
        <f>DaybyDay[[#This Row],[Estimated-Payroll-Rollup]]/DaybyDay[[#This Row],[Simple-Forecast]]</f>
        <v>#DIV/0!</v>
      </c>
      <c r="AQ7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3" s="77"/>
      <c r="AS763" s="40" t="str">
        <f>IF(DaybyDay[[#This Row],[Retail Hours]]&gt;0,DaybyDay[[#This Row],[Retail Hours]]*$AS$2,"")</f>
        <v/>
      </c>
      <c r="AT763" s="40">
        <f>SUMIFS(DaybyDay[Est-Retail-Payroll],DaybyDay[Date],"&gt;="&amp;$C$5,DaybyDay[RowYear],"&gt;="&amp;$C$4,DaybyDay[Date],"&lt;="&amp;DaybyDay[[#This Row],[Date]])</f>
        <v>0</v>
      </c>
      <c r="AU763" s="82" t="str">
        <f>IF(AND(DaybyDay[[#This Row],[_Space]],ISNUMBER(DaybyDay[[#This Row],[Retail Hours]])),DaybyDay[[#This Row],[Est-Retail-Payroll]]/(DaybyDay[[#This Row],[Retail-Actuals]]),"")</f>
        <v/>
      </c>
      <c r="AV763" s="82" t="e">
        <f>DaybyDay[[#This Row],[Est-Retail-PayrollRU]]/DaybyDay[[#This Row],[Simple-Forecast-Retail]]</f>
        <v>#DIV/0!</v>
      </c>
      <c r="AW763" s="8"/>
      <c r="AX763" s="49"/>
      <c r="AY763" s="48"/>
      <c r="AZ763" s="47"/>
      <c r="BA763" s="47"/>
      <c r="BB763" s="47"/>
      <c r="BC763" s="47"/>
      <c r="BD763" s="47"/>
    </row>
    <row r="764" spans="3:56" hidden="1" x14ac:dyDescent="0.25">
      <c r="C764" s="26" t="str">
        <f>Tools!$C$1</f>
        <v>Example</v>
      </c>
      <c r="D764" s="27" t="s">
        <v>68</v>
      </c>
      <c r="E764" s="28">
        <v>2019</v>
      </c>
      <c r="F764" s="28">
        <f>MATCH(DaybyDay[[#This Row],[RowMonth]],Table3[SummaryMonth],0)</f>
        <v>1</v>
      </c>
      <c r="G764" s="29">
        <f>MATCH(DaybyDay[[#This Row],[LY-Date]],DaybyDay[Date],0)</f>
        <v>394</v>
      </c>
      <c r="H764" s="30">
        <f>WEEKDAY(DaybyDay[[#This Row],[Date]])</f>
        <v>2</v>
      </c>
      <c r="I764" s="31">
        <v>43493</v>
      </c>
      <c r="J764" s="74">
        <v>15</v>
      </c>
      <c r="K764" s="32">
        <f>SUMIFS(BudgetSeasonality[365 Seasonality],BudgetSeasonality[MonthAdjustment],DaybyDay[[#This Row],[Date]])*SUMIFS(Budgets[Service-Budget],Budgets[BudgetMonth],DaybyDay[[#This Row],[RowMonth]],Budgets[BudgetYear],DaybyDay[[#This Row],[RowYear]])</f>
        <v>3908.1305998644912</v>
      </c>
      <c r="L764" s="75">
        <v>3640.6000000000004</v>
      </c>
      <c r="M764" s="32">
        <f>INDEX(BudgetSeasonality[365 Seasonality],MATCH(DaybyDay[[#This Row],[Date]],BudgetSeasonality[MonthAdjustment],0))*SUMIFS(Budgets[Retail-Budget],Budgets[BudgetMonth],DaybyDay[[#This Row],[RowMonth]],Budgets[BudgetYear],DaybyDay[[#This Row],[RowYear]])</f>
        <v>691.50063459941975</v>
      </c>
      <c r="N764" s="75">
        <v>972</v>
      </c>
      <c r="O764" s="33">
        <f>SUMIFS(DaybyDay[Service-Budgets],DaybyDay[Date],"&gt;="&amp;$C$5,DaybyDay[RowYear],"&gt;="&amp;$C$4,DaybyDay[Date],"&lt;="&amp;DaybyDay[[#This Row],[Date]])</f>
        <v>0</v>
      </c>
      <c r="P764" s="33">
        <f>SUMIFS(DaybyDay[Retail-Budgets],DaybyDay[Date],"&gt;="&amp;$C$5,DaybyDay[RowYear],"&gt;="&amp;$C$4,DaybyDay[Date],"&lt;="&amp;DaybyDay[[#This Row],[Date]])</f>
        <v>0</v>
      </c>
      <c r="Q764" s="34">
        <f>SUMIFS(DaybyDay[Service-Actuals],DaybyDay[Date],"&gt;="&amp;$C$5,DaybyDay[RowYear],"&gt;="&amp;$C$4,DaybyDay[Date],"&lt;="&amp;DaybyDay[[#This Row],[Date]])</f>
        <v>0</v>
      </c>
      <c r="R764" s="34">
        <f>SUMIFS(DaybyDay[Retail-Actuals],DaybyDay[Date],"&gt;="&amp;$C$5,DaybyDay[RowYear],"&gt;="&amp;$C$4,DaybyDay[Date],"&lt;="&amp;DaybyDay[[#This Row],[Date]])</f>
        <v>0</v>
      </c>
      <c r="S764" s="35">
        <f>SUMIFS(DaybyDay[Service-LY],DaybyDay[Date],"&gt;="&amp;$C$5,DaybyDay[RowYear],"&gt;="&amp;$C$4,DaybyDay[Date],"&lt;="&amp;DaybyDay[[#This Row],[Date]])</f>
        <v>0</v>
      </c>
      <c r="T764" s="35">
        <f>SUMIFS(DaybyDay[Retail-LY],DaybyDay[Date],"&gt;="&amp;$C$5,DaybyDay[RowYear],"&gt;="&amp;$C$4,DaybyDay[Date],"&lt;="&amp;DaybyDay[[#This Row],[Date]])</f>
        <v>0</v>
      </c>
      <c r="U764" s="32">
        <f>DaybyDay[[#This Row],[Serv-Bud-RU]]+DaybyDay[[#This Row],[Ret-Bud-RU]]</f>
        <v>0</v>
      </c>
      <c r="V764" s="32">
        <f>DaybyDay[[#This Row],[Serv-Act-RU]]+DaybyDay[[#This Row],[Ret-Act-RU]]</f>
        <v>0</v>
      </c>
      <c r="W764" s="36">
        <f>IF(DaybyDay[[#This Row],[_Space]],IFERROR(
((DaybyDay[[#This Row],[Actual-Rollup]]-DaybyDay[[#This Row],[Budget-Rollup]])/DaybyDay[[#This Row],[Budget-Rollup]]),0),"")</f>
        <v>0</v>
      </c>
      <c r="X764" t="b">
        <f>NOT(AND(ISBLANK(DaybyDay[[#This Row],[Appts]]),ISBLANK(DaybyDay[[#This Row],[Service-Actuals]]),ISBLANK(DaybyDay[[#This Row],[Retail-Actuals]])))</f>
        <v>1</v>
      </c>
      <c r="Y764" s="36">
        <f>IF(DaybyDay[[#This Row],[_Space]],IFERROR(
((DaybyDay[[#This Row],[Actual-Rollup]]-DaybyDay[[#This Row],[LY-Rollup]])/DaybyDay[[#This Row],[LY-Rollup]]),0),"")</f>
        <v>0</v>
      </c>
      <c r="Z764"/>
      <c r="AA764" s="37" t="e">
        <f>IF(DaybyDay[[#This Row],[_Space]],DaybyDay[[#This Row],[Ret-Act-RU]]/DaybyDay[[#This Row],[Serv-Act-RU]],"")</f>
        <v>#DIV/0!</v>
      </c>
      <c r="AB764" s="50" t="e">
        <f>IF(DaybyDay[[#This Row],[_Space]],DaybyDay[[#This Row],[RETPEN-Act]]/DaybyDay[[#This Row],[RETPEN-Bud]],"")</f>
        <v>#DIV/0!</v>
      </c>
      <c r="AC764" s="37" t="e">
        <f>IF(DaybyDay[[#This Row],[_Space]],DaybyDay[[#This Row],[Ret-Bud-RU]]/DaybyDay[[#This Row],[Serv-Bud-RU]],"")</f>
        <v>#DIV/0!</v>
      </c>
      <c r="AD764" s="37" t="e">
        <f>IF(DaybyDay[[#This Row],[_Space]],DaybyDay[[#This Row],[Ret-LY-RU]]/DaybyDay[[#This Row],[Serv-LY-RU]],"")</f>
        <v>#DIV/0!</v>
      </c>
      <c r="AE764" s="30">
        <f>WEEKDAY(DaybyDay[[#This Row],[LY-Date]])</f>
        <v>2</v>
      </c>
      <c r="AF764" s="38">
        <f>$E$2+_xlfn.DAYS(DaybyDay[[#This Row],[Date]],minDate)</f>
        <v>43129</v>
      </c>
      <c r="AG764" s="39" cm="1">
        <f t="array" ref="AG764">IFERROR(INDEX(DaybyDay[],DaybyDay[[#This Row],[FORM_MATCH_HELPER]],8),"")</f>
        <v>6</v>
      </c>
      <c r="AH764" s="39" cm="1">
        <f t="array" ref="AH764">IFERROR(INDEX(DaybyDay[],DaybyDay[[#This Row],[FORM_MATCH_HELPER]],10),"")</f>
        <v>1448.5</v>
      </c>
      <c r="AI764" s="39" cm="1">
        <f t="array" ref="AI764">IFERROR(INDEX(DaybyDay[],DaybyDay[[#This Row],[FORM_MATCH_HELPER]],12),"")</f>
        <v>249</v>
      </c>
      <c r="AJ764" s="32">
        <f>IFERROR(DaybyDay[[#This Row],[Serv-LY-RU]]+DaybyDay[[#This Row],[Ret-LY-RU]],"")</f>
        <v>0</v>
      </c>
      <c r="AK7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4" s="77"/>
      <c r="AM764" s="40" t="str">
        <f>IF(DaybyDay[[#This Row],[Admin Hours]]&gt;0,DaybyDay[[#This Row],[Admin Hours]]*$AM$2+$AM$3,"")</f>
        <v/>
      </c>
      <c r="AN764" s="40">
        <f>SUMIFS(DaybyDay[Est-Admin-Payroll],DaybyDay[Date],"&gt;="&amp;$C$5,DaybyDay[RowYear],"&gt;="&amp;$C$4,DaybyDay[Date],"&lt;="&amp;DaybyDay[[#This Row],[Date]])</f>
        <v>0</v>
      </c>
      <c r="AO764" s="41" t="str">
        <f>IF(AND(DaybyDay[[#This Row],[_Space]],ISNUMBER(DaybyDay[[#This Row],[Admin Hours]])),DaybyDay[[#This Row],[Est-Admin-Payroll]]/(DaybyDay[[#This Row],[Service-Actuals]]+DaybyDay[[#This Row],[Retail-Actuals]]),"")</f>
        <v/>
      </c>
      <c r="AP764" s="41" t="e">
        <f>DaybyDay[[#This Row],[Estimated-Payroll-Rollup]]/DaybyDay[[#This Row],[Simple-Forecast]]</f>
        <v>#DIV/0!</v>
      </c>
      <c r="AQ7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4" s="77"/>
      <c r="AS764" s="40" t="str">
        <f>IF(DaybyDay[[#This Row],[Retail Hours]]&gt;0,DaybyDay[[#This Row],[Retail Hours]]*$AS$2,"")</f>
        <v/>
      </c>
      <c r="AT764" s="40">
        <f>SUMIFS(DaybyDay[Est-Retail-Payroll],DaybyDay[Date],"&gt;="&amp;$C$5,DaybyDay[RowYear],"&gt;="&amp;$C$4,DaybyDay[Date],"&lt;="&amp;DaybyDay[[#This Row],[Date]])</f>
        <v>0</v>
      </c>
      <c r="AU764" s="82" t="str">
        <f>IF(AND(DaybyDay[[#This Row],[_Space]],ISNUMBER(DaybyDay[[#This Row],[Retail Hours]])),DaybyDay[[#This Row],[Est-Retail-Payroll]]/(DaybyDay[[#This Row],[Retail-Actuals]]),"")</f>
        <v/>
      </c>
      <c r="AV764" s="82" t="e">
        <f>DaybyDay[[#This Row],[Est-Retail-PayrollRU]]/DaybyDay[[#This Row],[Simple-Forecast-Retail]]</f>
        <v>#DIV/0!</v>
      </c>
      <c r="AW764" s="8"/>
      <c r="AX764" s="49"/>
      <c r="AY764" s="48"/>
      <c r="AZ764" s="47"/>
      <c r="BA764" s="47"/>
      <c r="BB764" s="47"/>
      <c r="BC764" s="47"/>
      <c r="BD764" s="47"/>
    </row>
    <row r="765" spans="3:56" hidden="1" x14ac:dyDescent="0.25">
      <c r="C765" s="26" t="str">
        <f>Tools!$C$1</f>
        <v>Example</v>
      </c>
      <c r="D765" s="27" t="s">
        <v>68</v>
      </c>
      <c r="E765" s="28">
        <v>2019</v>
      </c>
      <c r="F765" s="28">
        <f>MATCH(DaybyDay[[#This Row],[RowMonth]],Table3[SummaryMonth],0)</f>
        <v>1</v>
      </c>
      <c r="G765" s="29">
        <f>MATCH(DaybyDay[[#This Row],[LY-Date]],DaybyDay[Date],0)</f>
        <v>395</v>
      </c>
      <c r="H765" s="30">
        <f>WEEKDAY(DaybyDay[[#This Row],[Date]])</f>
        <v>3</v>
      </c>
      <c r="I765" s="31">
        <v>43494</v>
      </c>
      <c r="J765" s="74">
        <v>11</v>
      </c>
      <c r="K765" s="32">
        <f>SUMIFS(BudgetSeasonality[365 Seasonality],BudgetSeasonality[MonthAdjustment],DaybyDay[[#This Row],[Date]])*SUMIFS(Budgets[Service-Budget],Budgets[BudgetMonth],DaybyDay[[#This Row],[RowMonth]],Budgets[BudgetYear],DaybyDay[[#This Row],[RowYear]])</f>
        <v>4053.9396260535168</v>
      </c>
      <c r="L765" s="75">
        <v>2142</v>
      </c>
      <c r="M765" s="32">
        <f>INDEX(BudgetSeasonality[365 Seasonality],MATCH(DaybyDay[[#This Row],[Date]],BudgetSeasonality[MonthAdjustment],0))*SUMIFS(Budgets[Retail-Budget],Budgets[BudgetMonth],DaybyDay[[#This Row],[RowMonth]],Budgets[BudgetYear],DaybyDay[[#This Row],[RowYear]])</f>
        <v>717.29993469024339</v>
      </c>
      <c r="N765" s="75">
        <v>1580</v>
      </c>
      <c r="O765" s="33">
        <f>SUMIFS(DaybyDay[Service-Budgets],DaybyDay[Date],"&gt;="&amp;$C$5,DaybyDay[RowYear],"&gt;="&amp;$C$4,DaybyDay[Date],"&lt;="&amp;DaybyDay[[#This Row],[Date]])</f>
        <v>0</v>
      </c>
      <c r="P765" s="33">
        <f>SUMIFS(DaybyDay[Retail-Budgets],DaybyDay[Date],"&gt;="&amp;$C$5,DaybyDay[RowYear],"&gt;="&amp;$C$4,DaybyDay[Date],"&lt;="&amp;DaybyDay[[#This Row],[Date]])</f>
        <v>0</v>
      </c>
      <c r="Q765" s="34">
        <f>SUMIFS(DaybyDay[Service-Actuals],DaybyDay[Date],"&gt;="&amp;$C$5,DaybyDay[RowYear],"&gt;="&amp;$C$4,DaybyDay[Date],"&lt;="&amp;DaybyDay[[#This Row],[Date]])</f>
        <v>0</v>
      </c>
      <c r="R765" s="34">
        <f>SUMIFS(DaybyDay[Retail-Actuals],DaybyDay[Date],"&gt;="&amp;$C$5,DaybyDay[RowYear],"&gt;="&amp;$C$4,DaybyDay[Date],"&lt;="&amp;DaybyDay[[#This Row],[Date]])</f>
        <v>0</v>
      </c>
      <c r="S765" s="35">
        <f>SUMIFS(DaybyDay[Service-LY],DaybyDay[Date],"&gt;="&amp;$C$5,DaybyDay[RowYear],"&gt;="&amp;$C$4,DaybyDay[Date],"&lt;="&amp;DaybyDay[[#This Row],[Date]])</f>
        <v>0</v>
      </c>
      <c r="T765" s="35">
        <f>SUMIFS(DaybyDay[Retail-LY],DaybyDay[Date],"&gt;="&amp;$C$5,DaybyDay[RowYear],"&gt;="&amp;$C$4,DaybyDay[Date],"&lt;="&amp;DaybyDay[[#This Row],[Date]])</f>
        <v>0</v>
      </c>
      <c r="U765" s="32">
        <f>DaybyDay[[#This Row],[Serv-Bud-RU]]+DaybyDay[[#This Row],[Ret-Bud-RU]]</f>
        <v>0</v>
      </c>
      <c r="V765" s="32">
        <f>DaybyDay[[#This Row],[Serv-Act-RU]]+DaybyDay[[#This Row],[Ret-Act-RU]]</f>
        <v>0</v>
      </c>
      <c r="W765" s="36">
        <f>IF(DaybyDay[[#This Row],[_Space]],IFERROR(
((DaybyDay[[#This Row],[Actual-Rollup]]-DaybyDay[[#This Row],[Budget-Rollup]])/DaybyDay[[#This Row],[Budget-Rollup]]),0),"")</f>
        <v>0</v>
      </c>
      <c r="X765" t="b">
        <f>NOT(AND(ISBLANK(DaybyDay[[#This Row],[Appts]]),ISBLANK(DaybyDay[[#This Row],[Service-Actuals]]),ISBLANK(DaybyDay[[#This Row],[Retail-Actuals]])))</f>
        <v>1</v>
      </c>
      <c r="Y765" s="36">
        <f>IF(DaybyDay[[#This Row],[_Space]],IFERROR(
((DaybyDay[[#This Row],[Actual-Rollup]]-DaybyDay[[#This Row],[LY-Rollup]])/DaybyDay[[#This Row],[LY-Rollup]]),0),"")</f>
        <v>0</v>
      </c>
      <c r="Z765"/>
      <c r="AA765" s="37" t="e">
        <f>IF(DaybyDay[[#This Row],[_Space]],DaybyDay[[#This Row],[Ret-Act-RU]]/DaybyDay[[#This Row],[Serv-Act-RU]],"")</f>
        <v>#DIV/0!</v>
      </c>
      <c r="AB765" s="50" t="e">
        <f>IF(DaybyDay[[#This Row],[_Space]],DaybyDay[[#This Row],[RETPEN-Act]]/DaybyDay[[#This Row],[RETPEN-Bud]],"")</f>
        <v>#DIV/0!</v>
      </c>
      <c r="AC765" s="37" t="e">
        <f>IF(DaybyDay[[#This Row],[_Space]],DaybyDay[[#This Row],[Ret-Bud-RU]]/DaybyDay[[#This Row],[Serv-Bud-RU]],"")</f>
        <v>#DIV/0!</v>
      </c>
      <c r="AD765" s="37" t="e">
        <f>IF(DaybyDay[[#This Row],[_Space]],DaybyDay[[#This Row],[Ret-LY-RU]]/DaybyDay[[#This Row],[Serv-LY-RU]],"")</f>
        <v>#DIV/0!</v>
      </c>
      <c r="AE765" s="30">
        <f>WEEKDAY(DaybyDay[[#This Row],[LY-Date]])</f>
        <v>3</v>
      </c>
      <c r="AF765" s="38">
        <f>$E$2+_xlfn.DAYS(DaybyDay[[#This Row],[Date]],minDate)</f>
        <v>43130</v>
      </c>
      <c r="AG765" s="39" cm="1">
        <f t="array" ref="AG765">IFERROR(INDEX(DaybyDay[],DaybyDay[[#This Row],[FORM_MATCH_HELPER]],8),"")</f>
        <v>18</v>
      </c>
      <c r="AH765" s="39" cm="1">
        <f t="array" ref="AH765">IFERROR(INDEX(DaybyDay[],DaybyDay[[#This Row],[FORM_MATCH_HELPER]],10),"")</f>
        <v>3061.5</v>
      </c>
      <c r="AI765" s="39" cm="1">
        <f t="array" ref="AI765">IFERROR(INDEX(DaybyDay[],DaybyDay[[#This Row],[FORM_MATCH_HELPER]],12),"")</f>
        <v>32.03</v>
      </c>
      <c r="AJ765" s="32">
        <f>IFERROR(DaybyDay[[#This Row],[Serv-LY-RU]]+DaybyDay[[#This Row],[Ret-LY-RU]],"")</f>
        <v>0</v>
      </c>
      <c r="AK7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5" s="77"/>
      <c r="AM765" s="40" t="str">
        <f>IF(DaybyDay[[#This Row],[Admin Hours]]&gt;0,DaybyDay[[#This Row],[Admin Hours]]*$AM$2+$AM$3,"")</f>
        <v/>
      </c>
      <c r="AN765" s="40">
        <f>SUMIFS(DaybyDay[Est-Admin-Payroll],DaybyDay[Date],"&gt;="&amp;$C$5,DaybyDay[RowYear],"&gt;="&amp;$C$4,DaybyDay[Date],"&lt;="&amp;DaybyDay[[#This Row],[Date]])</f>
        <v>0</v>
      </c>
      <c r="AO765" s="41" t="str">
        <f>IF(AND(DaybyDay[[#This Row],[_Space]],ISNUMBER(DaybyDay[[#This Row],[Admin Hours]])),DaybyDay[[#This Row],[Est-Admin-Payroll]]/(DaybyDay[[#This Row],[Service-Actuals]]+DaybyDay[[#This Row],[Retail-Actuals]]),"")</f>
        <v/>
      </c>
      <c r="AP765" s="41" t="e">
        <f>DaybyDay[[#This Row],[Estimated-Payroll-Rollup]]/DaybyDay[[#This Row],[Simple-Forecast]]</f>
        <v>#DIV/0!</v>
      </c>
      <c r="AQ7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5" s="77"/>
      <c r="AS765" s="40" t="str">
        <f>IF(DaybyDay[[#This Row],[Retail Hours]]&gt;0,DaybyDay[[#This Row],[Retail Hours]]*$AS$2,"")</f>
        <v/>
      </c>
      <c r="AT765" s="40">
        <f>SUMIFS(DaybyDay[Est-Retail-Payroll],DaybyDay[Date],"&gt;="&amp;$C$5,DaybyDay[RowYear],"&gt;="&amp;$C$4,DaybyDay[Date],"&lt;="&amp;DaybyDay[[#This Row],[Date]])</f>
        <v>0</v>
      </c>
      <c r="AU765" s="82" t="str">
        <f>IF(AND(DaybyDay[[#This Row],[_Space]],ISNUMBER(DaybyDay[[#This Row],[Retail Hours]])),DaybyDay[[#This Row],[Est-Retail-Payroll]]/(DaybyDay[[#This Row],[Retail-Actuals]]),"")</f>
        <v/>
      </c>
      <c r="AV765" s="82" t="e">
        <f>DaybyDay[[#This Row],[Est-Retail-PayrollRU]]/DaybyDay[[#This Row],[Simple-Forecast-Retail]]</f>
        <v>#DIV/0!</v>
      </c>
      <c r="AW765" s="8"/>
      <c r="AX765" s="49"/>
      <c r="AY765" s="48"/>
      <c r="AZ765" s="47"/>
      <c r="BA765" s="47"/>
      <c r="BB765" s="47"/>
      <c r="BC765" s="47"/>
      <c r="BD765" s="47"/>
    </row>
    <row r="766" spans="3:56" hidden="1" x14ac:dyDescent="0.25">
      <c r="C766" s="26" t="str">
        <f>Tools!$C$1</f>
        <v>Example</v>
      </c>
      <c r="D766" s="27" t="s">
        <v>68</v>
      </c>
      <c r="E766" s="28">
        <v>2019</v>
      </c>
      <c r="F766" s="28">
        <f>MATCH(DaybyDay[[#This Row],[RowMonth]],Table3[SummaryMonth],0)</f>
        <v>1</v>
      </c>
      <c r="G766" s="29">
        <f>MATCH(DaybyDay[[#This Row],[LY-Date]],DaybyDay[Date],0)</f>
        <v>396</v>
      </c>
      <c r="H766" s="30">
        <f>WEEKDAY(DaybyDay[[#This Row],[Date]])</f>
        <v>4</v>
      </c>
      <c r="I766" s="31">
        <v>43495</v>
      </c>
      <c r="J766" s="74">
        <v>18</v>
      </c>
      <c r="K766" s="32">
        <f>SUMIFS(BudgetSeasonality[365 Seasonality],BudgetSeasonality[MonthAdjustment],DaybyDay[[#This Row],[Date]])*SUMIFS(Budgets[Service-Budget],Budgets[BudgetMonth],DaybyDay[[#This Row],[RowMonth]],Budgets[BudgetYear],DaybyDay[[#This Row],[RowYear]])</f>
        <v>4593.4701729776052</v>
      </c>
      <c r="L766" s="75">
        <v>3564</v>
      </c>
      <c r="M766" s="32">
        <f>INDEX(BudgetSeasonality[365 Seasonality],MATCH(DaybyDay[[#This Row],[Date]],BudgetSeasonality[MonthAdjustment],0))*SUMIFS(Budgets[Retail-Budget],Budgets[BudgetMonth],DaybyDay[[#This Row],[RowMonth]],Budgets[BudgetYear],DaybyDay[[#This Row],[RowYear]])</f>
        <v>812.76391831369631</v>
      </c>
      <c r="N766" s="75">
        <v>751</v>
      </c>
      <c r="O766" s="33">
        <f>SUMIFS(DaybyDay[Service-Budgets],DaybyDay[Date],"&gt;="&amp;$C$5,DaybyDay[RowYear],"&gt;="&amp;$C$4,DaybyDay[Date],"&lt;="&amp;DaybyDay[[#This Row],[Date]])</f>
        <v>0</v>
      </c>
      <c r="P766" s="33">
        <f>SUMIFS(DaybyDay[Retail-Budgets],DaybyDay[Date],"&gt;="&amp;$C$5,DaybyDay[RowYear],"&gt;="&amp;$C$4,DaybyDay[Date],"&lt;="&amp;DaybyDay[[#This Row],[Date]])</f>
        <v>0</v>
      </c>
      <c r="Q766" s="34">
        <f>SUMIFS(DaybyDay[Service-Actuals],DaybyDay[Date],"&gt;="&amp;$C$5,DaybyDay[RowYear],"&gt;="&amp;$C$4,DaybyDay[Date],"&lt;="&amp;DaybyDay[[#This Row],[Date]])</f>
        <v>0</v>
      </c>
      <c r="R766" s="34">
        <f>SUMIFS(DaybyDay[Retail-Actuals],DaybyDay[Date],"&gt;="&amp;$C$5,DaybyDay[RowYear],"&gt;="&amp;$C$4,DaybyDay[Date],"&lt;="&amp;DaybyDay[[#This Row],[Date]])</f>
        <v>0</v>
      </c>
      <c r="S766" s="35">
        <f>SUMIFS(DaybyDay[Service-LY],DaybyDay[Date],"&gt;="&amp;$C$5,DaybyDay[RowYear],"&gt;="&amp;$C$4,DaybyDay[Date],"&lt;="&amp;DaybyDay[[#This Row],[Date]])</f>
        <v>0</v>
      </c>
      <c r="T766" s="35">
        <f>SUMIFS(DaybyDay[Retail-LY],DaybyDay[Date],"&gt;="&amp;$C$5,DaybyDay[RowYear],"&gt;="&amp;$C$4,DaybyDay[Date],"&lt;="&amp;DaybyDay[[#This Row],[Date]])</f>
        <v>0</v>
      </c>
      <c r="U766" s="32">
        <f>DaybyDay[[#This Row],[Serv-Bud-RU]]+DaybyDay[[#This Row],[Ret-Bud-RU]]</f>
        <v>0</v>
      </c>
      <c r="V766" s="32">
        <f>DaybyDay[[#This Row],[Serv-Act-RU]]+DaybyDay[[#This Row],[Ret-Act-RU]]</f>
        <v>0</v>
      </c>
      <c r="W766" s="36">
        <f>IF(DaybyDay[[#This Row],[_Space]],IFERROR(
((DaybyDay[[#This Row],[Actual-Rollup]]-DaybyDay[[#This Row],[Budget-Rollup]])/DaybyDay[[#This Row],[Budget-Rollup]]),0),"")</f>
        <v>0</v>
      </c>
      <c r="X766" t="b">
        <f>NOT(AND(ISBLANK(DaybyDay[[#This Row],[Appts]]),ISBLANK(DaybyDay[[#This Row],[Service-Actuals]]),ISBLANK(DaybyDay[[#This Row],[Retail-Actuals]])))</f>
        <v>1</v>
      </c>
      <c r="Y766" s="36">
        <f>IF(DaybyDay[[#This Row],[_Space]],IFERROR(
((DaybyDay[[#This Row],[Actual-Rollup]]-DaybyDay[[#This Row],[LY-Rollup]])/DaybyDay[[#This Row],[LY-Rollup]]),0),"")</f>
        <v>0</v>
      </c>
      <c r="Z766"/>
      <c r="AA766" s="37" t="e">
        <f>IF(DaybyDay[[#This Row],[_Space]],DaybyDay[[#This Row],[Ret-Act-RU]]/DaybyDay[[#This Row],[Serv-Act-RU]],"")</f>
        <v>#DIV/0!</v>
      </c>
      <c r="AB766" s="50" t="e">
        <f>IF(DaybyDay[[#This Row],[_Space]],DaybyDay[[#This Row],[RETPEN-Act]]/DaybyDay[[#This Row],[RETPEN-Bud]],"")</f>
        <v>#DIV/0!</v>
      </c>
      <c r="AC766" s="37" t="e">
        <f>IF(DaybyDay[[#This Row],[_Space]],DaybyDay[[#This Row],[Ret-Bud-RU]]/DaybyDay[[#This Row],[Serv-Bud-RU]],"")</f>
        <v>#DIV/0!</v>
      </c>
      <c r="AD766" s="37" t="e">
        <f>IF(DaybyDay[[#This Row],[_Space]],DaybyDay[[#This Row],[Ret-LY-RU]]/DaybyDay[[#This Row],[Serv-LY-RU]],"")</f>
        <v>#DIV/0!</v>
      </c>
      <c r="AE766" s="30">
        <f>WEEKDAY(DaybyDay[[#This Row],[LY-Date]])</f>
        <v>4</v>
      </c>
      <c r="AF766" s="38">
        <f>$E$2+_xlfn.DAYS(DaybyDay[[#This Row],[Date]],minDate)</f>
        <v>43131</v>
      </c>
      <c r="AG766" s="39" cm="1">
        <f t="array" ref="AG766">IFERROR(INDEX(DaybyDay[],DaybyDay[[#This Row],[FORM_MATCH_HELPER]],8),"")</f>
        <v>15</v>
      </c>
      <c r="AH766" s="39" cm="1">
        <f t="array" ref="AH766">IFERROR(INDEX(DaybyDay[],DaybyDay[[#This Row],[FORM_MATCH_HELPER]],10),"")</f>
        <v>3280</v>
      </c>
      <c r="AI766" s="39" cm="1">
        <f t="array" ref="AI766">IFERROR(INDEX(DaybyDay[],DaybyDay[[#This Row],[FORM_MATCH_HELPER]],12),"")</f>
        <v>2269.5</v>
      </c>
      <c r="AJ766" s="32">
        <f>IFERROR(DaybyDay[[#This Row],[Serv-LY-RU]]+DaybyDay[[#This Row],[Ret-LY-RU]],"")</f>
        <v>0</v>
      </c>
      <c r="AK7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6" s="77"/>
      <c r="AM766" s="40" t="str">
        <f>IF(DaybyDay[[#This Row],[Admin Hours]]&gt;0,DaybyDay[[#This Row],[Admin Hours]]*$AM$2+$AM$3,"")</f>
        <v/>
      </c>
      <c r="AN766" s="40">
        <f>SUMIFS(DaybyDay[Est-Admin-Payroll],DaybyDay[Date],"&gt;="&amp;$C$5,DaybyDay[RowYear],"&gt;="&amp;$C$4,DaybyDay[Date],"&lt;="&amp;DaybyDay[[#This Row],[Date]])</f>
        <v>0</v>
      </c>
      <c r="AO766" s="41" t="str">
        <f>IF(AND(DaybyDay[[#This Row],[_Space]],ISNUMBER(DaybyDay[[#This Row],[Admin Hours]])),DaybyDay[[#This Row],[Est-Admin-Payroll]]/(DaybyDay[[#This Row],[Service-Actuals]]+DaybyDay[[#This Row],[Retail-Actuals]]),"")</f>
        <v/>
      </c>
      <c r="AP766" s="41" t="e">
        <f>DaybyDay[[#This Row],[Estimated-Payroll-Rollup]]/DaybyDay[[#This Row],[Simple-Forecast]]</f>
        <v>#DIV/0!</v>
      </c>
      <c r="AQ7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6" s="77"/>
      <c r="AS766" s="40" t="str">
        <f>IF(DaybyDay[[#This Row],[Retail Hours]]&gt;0,DaybyDay[[#This Row],[Retail Hours]]*$AS$2,"")</f>
        <v/>
      </c>
      <c r="AT766" s="40">
        <f>SUMIFS(DaybyDay[Est-Retail-Payroll],DaybyDay[Date],"&gt;="&amp;$C$5,DaybyDay[RowYear],"&gt;="&amp;$C$4,DaybyDay[Date],"&lt;="&amp;DaybyDay[[#This Row],[Date]])</f>
        <v>0</v>
      </c>
      <c r="AU766" s="82" t="str">
        <f>IF(AND(DaybyDay[[#This Row],[_Space]],ISNUMBER(DaybyDay[[#This Row],[Retail Hours]])),DaybyDay[[#This Row],[Est-Retail-Payroll]]/(DaybyDay[[#This Row],[Retail-Actuals]]),"")</f>
        <v/>
      </c>
      <c r="AV766" s="82" t="e">
        <f>DaybyDay[[#This Row],[Est-Retail-PayrollRU]]/DaybyDay[[#This Row],[Simple-Forecast-Retail]]</f>
        <v>#DIV/0!</v>
      </c>
      <c r="AW766" s="8"/>
      <c r="AX766" s="49"/>
      <c r="AY766" s="48"/>
      <c r="AZ766" s="47"/>
      <c r="BA766" s="47"/>
      <c r="BB766" s="47"/>
      <c r="BC766" s="47"/>
      <c r="BD766" s="47"/>
    </row>
    <row r="767" spans="3:56" hidden="1" x14ac:dyDescent="0.25">
      <c r="C767" s="26" t="str">
        <f>Tools!$C$1</f>
        <v>Example</v>
      </c>
      <c r="D767" s="27" t="s">
        <v>68</v>
      </c>
      <c r="E767" s="28">
        <v>2019</v>
      </c>
      <c r="F767" s="28">
        <f>MATCH(DaybyDay[[#This Row],[RowMonth]],Table3[SummaryMonth],0)</f>
        <v>1</v>
      </c>
      <c r="G767" s="29">
        <f>MATCH(DaybyDay[[#This Row],[LY-Date]],DaybyDay[Date],0)</f>
        <v>397</v>
      </c>
      <c r="H767" s="30">
        <f>WEEKDAY(DaybyDay[[#This Row],[Date]])</f>
        <v>5</v>
      </c>
      <c r="I767" s="31">
        <v>43496</v>
      </c>
      <c r="J767" s="74">
        <v>22</v>
      </c>
      <c r="K767" s="32">
        <f>SUMIFS(BudgetSeasonality[365 Seasonality],BudgetSeasonality[MonthAdjustment],DaybyDay[[#This Row],[Date]])*SUMIFS(Budgets[Service-Budget],Budgets[BudgetMonth],DaybyDay[[#This Row],[RowMonth]],Budgets[BudgetYear],DaybyDay[[#This Row],[RowYear]])</f>
        <v>4728.7311752516516</v>
      </c>
      <c r="L767" s="75">
        <v>4556.42</v>
      </c>
      <c r="M767" s="32">
        <f>INDEX(BudgetSeasonality[365 Seasonality],MATCH(DaybyDay[[#This Row],[Date]],BudgetSeasonality[MonthAdjustment],0))*SUMIFS(Budgets[Retail-Budget],Budgets[BudgetMonth],DaybyDay[[#This Row],[RowMonth]],Budgets[BudgetYear],DaybyDay[[#This Row],[RowYear]])</f>
        <v>836.69686183208842</v>
      </c>
      <c r="N767" s="75">
        <v>4021.5</v>
      </c>
      <c r="O767" s="33">
        <f>SUMIFS(DaybyDay[Service-Budgets],DaybyDay[Date],"&gt;="&amp;$C$5,DaybyDay[RowYear],"&gt;="&amp;$C$4,DaybyDay[Date],"&lt;="&amp;DaybyDay[[#This Row],[Date]])</f>
        <v>0</v>
      </c>
      <c r="P767" s="33">
        <f>SUMIFS(DaybyDay[Retail-Budgets],DaybyDay[Date],"&gt;="&amp;$C$5,DaybyDay[RowYear],"&gt;="&amp;$C$4,DaybyDay[Date],"&lt;="&amp;DaybyDay[[#This Row],[Date]])</f>
        <v>0</v>
      </c>
      <c r="Q767" s="34">
        <f>SUMIFS(DaybyDay[Service-Actuals],DaybyDay[Date],"&gt;="&amp;$C$5,DaybyDay[RowYear],"&gt;="&amp;$C$4,DaybyDay[Date],"&lt;="&amp;DaybyDay[[#This Row],[Date]])</f>
        <v>0</v>
      </c>
      <c r="R767" s="34">
        <f>SUMIFS(DaybyDay[Retail-Actuals],DaybyDay[Date],"&gt;="&amp;$C$5,DaybyDay[RowYear],"&gt;="&amp;$C$4,DaybyDay[Date],"&lt;="&amp;DaybyDay[[#This Row],[Date]])</f>
        <v>0</v>
      </c>
      <c r="S767" s="35">
        <f>SUMIFS(DaybyDay[Service-LY],DaybyDay[Date],"&gt;="&amp;$C$5,DaybyDay[RowYear],"&gt;="&amp;$C$4,DaybyDay[Date],"&lt;="&amp;DaybyDay[[#This Row],[Date]])</f>
        <v>0</v>
      </c>
      <c r="T767" s="35">
        <f>SUMIFS(DaybyDay[Retail-LY],DaybyDay[Date],"&gt;="&amp;$C$5,DaybyDay[RowYear],"&gt;="&amp;$C$4,DaybyDay[Date],"&lt;="&amp;DaybyDay[[#This Row],[Date]])</f>
        <v>0</v>
      </c>
      <c r="U767" s="32">
        <f>DaybyDay[[#This Row],[Serv-Bud-RU]]+DaybyDay[[#This Row],[Ret-Bud-RU]]</f>
        <v>0</v>
      </c>
      <c r="V767" s="32">
        <f>DaybyDay[[#This Row],[Serv-Act-RU]]+DaybyDay[[#This Row],[Ret-Act-RU]]</f>
        <v>0</v>
      </c>
      <c r="W767" s="36">
        <f>IF(DaybyDay[[#This Row],[_Space]],IFERROR(
((DaybyDay[[#This Row],[Actual-Rollup]]-DaybyDay[[#This Row],[Budget-Rollup]])/DaybyDay[[#This Row],[Budget-Rollup]]),0),"")</f>
        <v>0</v>
      </c>
      <c r="X767" t="b">
        <f>NOT(AND(ISBLANK(DaybyDay[[#This Row],[Appts]]),ISBLANK(DaybyDay[[#This Row],[Service-Actuals]]),ISBLANK(DaybyDay[[#This Row],[Retail-Actuals]])))</f>
        <v>1</v>
      </c>
      <c r="Y767" s="36">
        <f>IF(DaybyDay[[#This Row],[_Space]],IFERROR(
((DaybyDay[[#This Row],[Actual-Rollup]]-DaybyDay[[#This Row],[LY-Rollup]])/DaybyDay[[#This Row],[LY-Rollup]]),0),"")</f>
        <v>0</v>
      </c>
      <c r="Z767"/>
      <c r="AA767" s="37" t="e">
        <f>IF(DaybyDay[[#This Row],[_Space]],DaybyDay[[#This Row],[Ret-Act-RU]]/DaybyDay[[#This Row],[Serv-Act-RU]],"")</f>
        <v>#DIV/0!</v>
      </c>
      <c r="AB767" s="50" t="e">
        <f>IF(DaybyDay[[#This Row],[_Space]],DaybyDay[[#This Row],[RETPEN-Act]]/DaybyDay[[#This Row],[RETPEN-Bud]],"")</f>
        <v>#DIV/0!</v>
      </c>
      <c r="AC767" s="37" t="e">
        <f>IF(DaybyDay[[#This Row],[_Space]],DaybyDay[[#This Row],[Ret-Bud-RU]]/DaybyDay[[#This Row],[Serv-Bud-RU]],"")</f>
        <v>#DIV/0!</v>
      </c>
      <c r="AD767" s="37" t="e">
        <f>IF(DaybyDay[[#This Row],[_Space]],DaybyDay[[#This Row],[Ret-LY-RU]]/DaybyDay[[#This Row],[Serv-LY-RU]],"")</f>
        <v>#DIV/0!</v>
      </c>
      <c r="AE767" s="30">
        <f>WEEKDAY(DaybyDay[[#This Row],[LY-Date]])</f>
        <v>5</v>
      </c>
      <c r="AF767" s="38">
        <f>$E$2+_xlfn.DAYS(DaybyDay[[#This Row],[Date]],minDate)</f>
        <v>43132</v>
      </c>
      <c r="AG767" s="39" cm="1">
        <f t="array" ref="AG767">IFERROR(INDEX(DaybyDay[],DaybyDay[[#This Row],[FORM_MATCH_HELPER]],8),"")</f>
        <v>19</v>
      </c>
      <c r="AH767" s="39" cm="1">
        <f t="array" ref="AH767">IFERROR(INDEX(DaybyDay[],DaybyDay[[#This Row],[FORM_MATCH_HELPER]],10),"")</f>
        <v>3452</v>
      </c>
      <c r="AI767" s="39" cm="1">
        <f t="array" ref="AI767">IFERROR(INDEX(DaybyDay[],DaybyDay[[#This Row],[FORM_MATCH_HELPER]],12),"")</f>
        <v>3610.1</v>
      </c>
      <c r="AJ767" s="32">
        <f>IFERROR(DaybyDay[[#This Row],[Serv-LY-RU]]+DaybyDay[[#This Row],[Ret-LY-RU]],"")</f>
        <v>0</v>
      </c>
      <c r="AK7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7" s="77"/>
      <c r="AM767" s="40" t="str">
        <f>IF(DaybyDay[[#This Row],[Admin Hours]]&gt;0,DaybyDay[[#This Row],[Admin Hours]]*$AM$2+$AM$3,"")</f>
        <v/>
      </c>
      <c r="AN767" s="40">
        <f>SUMIFS(DaybyDay[Est-Admin-Payroll],DaybyDay[Date],"&gt;="&amp;$C$5,DaybyDay[RowYear],"&gt;="&amp;$C$4,DaybyDay[Date],"&lt;="&amp;DaybyDay[[#This Row],[Date]])</f>
        <v>0</v>
      </c>
      <c r="AO767" s="41" t="str">
        <f>IF(AND(DaybyDay[[#This Row],[_Space]],ISNUMBER(DaybyDay[[#This Row],[Admin Hours]])),DaybyDay[[#This Row],[Est-Admin-Payroll]]/(DaybyDay[[#This Row],[Service-Actuals]]+DaybyDay[[#This Row],[Retail-Actuals]]),"")</f>
        <v/>
      </c>
      <c r="AP767" s="41" t="e">
        <f>DaybyDay[[#This Row],[Estimated-Payroll-Rollup]]/DaybyDay[[#This Row],[Simple-Forecast]]</f>
        <v>#DIV/0!</v>
      </c>
      <c r="AQ7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7" s="77"/>
      <c r="AS767" s="40" t="str">
        <f>IF(DaybyDay[[#This Row],[Retail Hours]]&gt;0,DaybyDay[[#This Row],[Retail Hours]]*$AS$2,"")</f>
        <v/>
      </c>
      <c r="AT767" s="40">
        <f>SUMIFS(DaybyDay[Est-Retail-Payroll],DaybyDay[Date],"&gt;="&amp;$C$5,DaybyDay[RowYear],"&gt;="&amp;$C$4,DaybyDay[Date],"&lt;="&amp;DaybyDay[[#This Row],[Date]])</f>
        <v>0</v>
      </c>
      <c r="AU767" s="82" t="str">
        <f>IF(AND(DaybyDay[[#This Row],[_Space]],ISNUMBER(DaybyDay[[#This Row],[Retail Hours]])),DaybyDay[[#This Row],[Est-Retail-Payroll]]/(DaybyDay[[#This Row],[Retail-Actuals]]),"")</f>
        <v/>
      </c>
      <c r="AV767" s="82" t="e">
        <f>DaybyDay[[#This Row],[Est-Retail-PayrollRU]]/DaybyDay[[#This Row],[Simple-Forecast-Retail]]</f>
        <v>#DIV/0!</v>
      </c>
      <c r="AW767" s="8"/>
      <c r="AX767" s="49"/>
      <c r="AY767" s="48"/>
      <c r="AZ767" s="47"/>
      <c r="BA767" s="47"/>
      <c r="BB767" s="47"/>
      <c r="BC767" s="47"/>
      <c r="BD767" s="47"/>
    </row>
    <row r="768" spans="3:56" hidden="1" x14ac:dyDescent="0.25">
      <c r="C768" s="26" t="str">
        <f>Tools!$C$1</f>
        <v>Example</v>
      </c>
      <c r="D768" s="27" t="s">
        <v>68</v>
      </c>
      <c r="E768" s="28">
        <v>2019</v>
      </c>
      <c r="F768" s="28">
        <f>MATCH(DaybyDay[[#This Row],[RowMonth]],Table3[SummaryMonth],0)</f>
        <v>1</v>
      </c>
      <c r="G768" s="29">
        <f>MATCH(DaybyDay[[#This Row],[LY-Date]],DaybyDay[Date],0)</f>
        <v>398</v>
      </c>
      <c r="H768" s="30">
        <f>WEEKDAY(DaybyDay[[#This Row],[Date]])</f>
        <v>6</v>
      </c>
      <c r="I768" s="31">
        <v>43497</v>
      </c>
      <c r="J768" s="74">
        <v>21</v>
      </c>
      <c r="K768" s="32">
        <f>SUMIFS(BudgetSeasonality[365 Seasonality],BudgetSeasonality[MonthAdjustment],DaybyDay[[#This Row],[Date]])*SUMIFS(Budgets[Service-Budget],Budgets[BudgetMonth],DaybyDay[[#This Row],[RowMonth]],Budgets[BudgetYear],DaybyDay[[#This Row],[RowYear]])</f>
        <v>5694.1134722005472</v>
      </c>
      <c r="L768" s="75">
        <v>4650.8</v>
      </c>
      <c r="M768" s="32">
        <f>INDEX(BudgetSeasonality[365 Seasonality],MATCH(DaybyDay[[#This Row],[Date]],BudgetSeasonality[MonthAdjustment],0))*SUMIFS(Budgets[Retail-Budget],Budgets[BudgetMonth],DaybyDay[[#This Row],[RowMonth]],Budgets[BudgetYear],DaybyDay[[#This Row],[RowYear]])</f>
        <v>1007.5106189246363</v>
      </c>
      <c r="N768" s="75">
        <v>1005.5</v>
      </c>
      <c r="O768" s="33">
        <f>SUMIFS(DaybyDay[Service-Budgets],DaybyDay[Date],"&gt;="&amp;$C$5,DaybyDay[RowYear],"&gt;="&amp;$C$4,DaybyDay[Date],"&lt;="&amp;DaybyDay[[#This Row],[Date]])</f>
        <v>0</v>
      </c>
      <c r="P768" s="33">
        <f>SUMIFS(DaybyDay[Retail-Budgets],DaybyDay[Date],"&gt;="&amp;$C$5,DaybyDay[RowYear],"&gt;="&amp;$C$4,DaybyDay[Date],"&lt;="&amp;DaybyDay[[#This Row],[Date]])</f>
        <v>0</v>
      </c>
      <c r="Q768" s="34">
        <f>SUMIFS(DaybyDay[Service-Actuals],DaybyDay[Date],"&gt;="&amp;$C$5,DaybyDay[RowYear],"&gt;="&amp;$C$4,DaybyDay[Date],"&lt;="&amp;DaybyDay[[#This Row],[Date]])</f>
        <v>0</v>
      </c>
      <c r="R768" s="34">
        <f>SUMIFS(DaybyDay[Retail-Actuals],DaybyDay[Date],"&gt;="&amp;$C$5,DaybyDay[RowYear],"&gt;="&amp;$C$4,DaybyDay[Date],"&lt;="&amp;DaybyDay[[#This Row],[Date]])</f>
        <v>0</v>
      </c>
      <c r="S768" s="35">
        <f>SUMIFS(DaybyDay[Service-LY],DaybyDay[Date],"&gt;="&amp;$C$5,DaybyDay[RowYear],"&gt;="&amp;$C$4,DaybyDay[Date],"&lt;="&amp;DaybyDay[[#This Row],[Date]])</f>
        <v>0</v>
      </c>
      <c r="T768" s="35">
        <f>SUMIFS(DaybyDay[Retail-LY],DaybyDay[Date],"&gt;="&amp;$C$5,DaybyDay[RowYear],"&gt;="&amp;$C$4,DaybyDay[Date],"&lt;="&amp;DaybyDay[[#This Row],[Date]])</f>
        <v>0</v>
      </c>
      <c r="U768" s="32">
        <f>DaybyDay[[#This Row],[Serv-Bud-RU]]+DaybyDay[[#This Row],[Ret-Bud-RU]]</f>
        <v>0</v>
      </c>
      <c r="V768" s="32">
        <f>DaybyDay[[#This Row],[Serv-Act-RU]]+DaybyDay[[#This Row],[Ret-Act-RU]]</f>
        <v>0</v>
      </c>
      <c r="W768" s="36">
        <f>IF(DaybyDay[[#This Row],[_Space]],IFERROR(
((DaybyDay[[#This Row],[Actual-Rollup]]-DaybyDay[[#This Row],[Budget-Rollup]])/DaybyDay[[#This Row],[Budget-Rollup]]),0),"")</f>
        <v>0</v>
      </c>
      <c r="X768" t="b">
        <f>NOT(AND(ISBLANK(DaybyDay[[#This Row],[Appts]]),ISBLANK(DaybyDay[[#This Row],[Service-Actuals]]),ISBLANK(DaybyDay[[#This Row],[Retail-Actuals]])))</f>
        <v>1</v>
      </c>
      <c r="Y768" s="36">
        <f>IF(DaybyDay[[#This Row],[_Space]],IFERROR(
((DaybyDay[[#This Row],[Actual-Rollup]]-DaybyDay[[#This Row],[LY-Rollup]])/DaybyDay[[#This Row],[LY-Rollup]]),0),"")</f>
        <v>0</v>
      </c>
      <c r="Z768"/>
      <c r="AA768" s="37" t="e">
        <f>IF(DaybyDay[[#This Row],[_Space]],DaybyDay[[#This Row],[Ret-Act-RU]]/DaybyDay[[#This Row],[Serv-Act-RU]],"")</f>
        <v>#DIV/0!</v>
      </c>
      <c r="AB768" s="50" t="e">
        <f>IF(DaybyDay[[#This Row],[_Space]],DaybyDay[[#This Row],[RETPEN-Act]]/DaybyDay[[#This Row],[RETPEN-Bud]],"")</f>
        <v>#DIV/0!</v>
      </c>
      <c r="AC768" s="37" t="e">
        <f>IF(DaybyDay[[#This Row],[_Space]],DaybyDay[[#This Row],[Ret-Bud-RU]]/DaybyDay[[#This Row],[Serv-Bud-RU]],"")</f>
        <v>#DIV/0!</v>
      </c>
      <c r="AD768" s="37" t="e">
        <f>IF(DaybyDay[[#This Row],[_Space]],DaybyDay[[#This Row],[Ret-LY-RU]]/DaybyDay[[#This Row],[Serv-LY-RU]],"")</f>
        <v>#DIV/0!</v>
      </c>
      <c r="AE768" s="30">
        <f>WEEKDAY(DaybyDay[[#This Row],[LY-Date]])</f>
        <v>6</v>
      </c>
      <c r="AF768" s="38">
        <f>$E$2+_xlfn.DAYS(DaybyDay[[#This Row],[Date]],minDate)</f>
        <v>43133</v>
      </c>
      <c r="AG768" s="39" cm="1">
        <f t="array" ref="AG768">IFERROR(INDEX(DaybyDay[],DaybyDay[[#This Row],[FORM_MATCH_HELPER]],8),"")</f>
        <v>18</v>
      </c>
      <c r="AH768" s="39" cm="1">
        <f t="array" ref="AH768">IFERROR(INDEX(DaybyDay[],DaybyDay[[#This Row],[FORM_MATCH_HELPER]],10),"")</f>
        <v>3732</v>
      </c>
      <c r="AI768" s="39" cm="1">
        <f t="array" ref="AI768">IFERROR(INDEX(DaybyDay[],DaybyDay[[#This Row],[FORM_MATCH_HELPER]],12),"")</f>
        <v>118</v>
      </c>
      <c r="AJ768" s="32">
        <f>IFERROR(DaybyDay[[#This Row],[Serv-LY-RU]]+DaybyDay[[#This Row],[Ret-LY-RU]],"")</f>
        <v>0</v>
      </c>
      <c r="AK7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8" s="77"/>
      <c r="AM768" s="40" t="str">
        <f>IF(DaybyDay[[#This Row],[Admin Hours]]&gt;0,DaybyDay[[#This Row],[Admin Hours]]*$AM$2+$AM$3,"")</f>
        <v/>
      </c>
      <c r="AN768" s="40">
        <f>SUMIFS(DaybyDay[Est-Admin-Payroll],DaybyDay[Date],"&gt;="&amp;$C$5,DaybyDay[RowYear],"&gt;="&amp;$C$4,DaybyDay[Date],"&lt;="&amp;DaybyDay[[#This Row],[Date]])</f>
        <v>0</v>
      </c>
      <c r="AO768" s="41" t="str">
        <f>IF(AND(DaybyDay[[#This Row],[_Space]],ISNUMBER(DaybyDay[[#This Row],[Admin Hours]])),DaybyDay[[#This Row],[Est-Admin-Payroll]]/(DaybyDay[[#This Row],[Service-Actuals]]+DaybyDay[[#This Row],[Retail-Actuals]]),"")</f>
        <v/>
      </c>
      <c r="AP768" s="41" t="e">
        <f>DaybyDay[[#This Row],[Estimated-Payroll-Rollup]]/DaybyDay[[#This Row],[Simple-Forecast]]</f>
        <v>#DIV/0!</v>
      </c>
      <c r="AQ7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8" s="77"/>
      <c r="AS768" s="40" t="str">
        <f>IF(DaybyDay[[#This Row],[Retail Hours]]&gt;0,DaybyDay[[#This Row],[Retail Hours]]*$AS$2,"")</f>
        <v/>
      </c>
      <c r="AT768" s="40">
        <f>SUMIFS(DaybyDay[Est-Retail-Payroll],DaybyDay[Date],"&gt;="&amp;$C$5,DaybyDay[RowYear],"&gt;="&amp;$C$4,DaybyDay[Date],"&lt;="&amp;DaybyDay[[#This Row],[Date]])</f>
        <v>0</v>
      </c>
      <c r="AU768" s="82" t="str">
        <f>IF(AND(DaybyDay[[#This Row],[_Space]],ISNUMBER(DaybyDay[[#This Row],[Retail Hours]])),DaybyDay[[#This Row],[Est-Retail-Payroll]]/(DaybyDay[[#This Row],[Retail-Actuals]]),"")</f>
        <v/>
      </c>
      <c r="AV768" s="82" t="e">
        <f>DaybyDay[[#This Row],[Est-Retail-PayrollRU]]/DaybyDay[[#This Row],[Simple-Forecast-Retail]]</f>
        <v>#DIV/0!</v>
      </c>
      <c r="AW768" s="8"/>
      <c r="AX768" s="49"/>
      <c r="AY768" s="48"/>
      <c r="AZ768" s="47"/>
      <c r="BA768" s="47"/>
      <c r="BB768" s="47"/>
      <c r="BC768" s="47"/>
      <c r="BD768" s="47"/>
    </row>
    <row r="769" spans="3:56" hidden="1" x14ac:dyDescent="0.25">
      <c r="C769" s="26" t="str">
        <f>Tools!$C$1</f>
        <v>Example</v>
      </c>
      <c r="D769" s="27" t="s">
        <v>68</v>
      </c>
      <c r="E769" s="28">
        <v>2019</v>
      </c>
      <c r="F769" s="28">
        <f>MATCH(DaybyDay[[#This Row],[RowMonth]],Table3[SummaryMonth],0)</f>
        <v>1</v>
      </c>
      <c r="G769" s="29">
        <f>MATCH(DaybyDay[[#This Row],[LY-Date]],DaybyDay[Date],0)</f>
        <v>399</v>
      </c>
      <c r="H769" s="30">
        <f>WEEKDAY(DaybyDay[[#This Row],[Date]])</f>
        <v>7</v>
      </c>
      <c r="I769" s="31">
        <v>43498</v>
      </c>
      <c r="J769" s="74">
        <v>47</v>
      </c>
      <c r="K769" s="32">
        <f>SUMIFS(BudgetSeasonality[365 Seasonality],BudgetSeasonality[MonthAdjustment],DaybyDay[[#This Row],[Date]])*SUMIFS(Budgets[Service-Budget],Budgets[BudgetMonth],DaybyDay[[#This Row],[RowMonth]],Budgets[BudgetYear],DaybyDay[[#This Row],[RowYear]])</f>
        <v>7703.3990567362052</v>
      </c>
      <c r="L769" s="75">
        <v>8465.98</v>
      </c>
      <c r="M769" s="32">
        <f>INDEX(BudgetSeasonality[365 Seasonality],MATCH(DaybyDay[[#This Row],[Date]],BudgetSeasonality[MonthAdjustment],0))*SUMIFS(Budgets[Retail-Budget],Budgets[BudgetMonth],DaybyDay[[#This Row],[RowMonth]],Budgets[BudgetYear],DaybyDay[[#This Row],[RowYear]])</f>
        <v>1363.0315569521551</v>
      </c>
      <c r="N769" s="75">
        <v>5035.95</v>
      </c>
      <c r="O769" s="33">
        <f>SUMIFS(DaybyDay[Service-Budgets],DaybyDay[Date],"&gt;="&amp;$C$5,DaybyDay[RowYear],"&gt;="&amp;$C$4,DaybyDay[Date],"&lt;="&amp;DaybyDay[[#This Row],[Date]])</f>
        <v>0</v>
      </c>
      <c r="P769" s="33">
        <f>SUMIFS(DaybyDay[Retail-Budgets],DaybyDay[Date],"&gt;="&amp;$C$5,DaybyDay[RowYear],"&gt;="&amp;$C$4,DaybyDay[Date],"&lt;="&amp;DaybyDay[[#This Row],[Date]])</f>
        <v>0</v>
      </c>
      <c r="Q769" s="34">
        <f>SUMIFS(DaybyDay[Service-Actuals],DaybyDay[Date],"&gt;="&amp;$C$5,DaybyDay[RowYear],"&gt;="&amp;$C$4,DaybyDay[Date],"&lt;="&amp;DaybyDay[[#This Row],[Date]])</f>
        <v>0</v>
      </c>
      <c r="R769" s="34">
        <f>SUMIFS(DaybyDay[Retail-Actuals],DaybyDay[Date],"&gt;="&amp;$C$5,DaybyDay[RowYear],"&gt;="&amp;$C$4,DaybyDay[Date],"&lt;="&amp;DaybyDay[[#This Row],[Date]])</f>
        <v>0</v>
      </c>
      <c r="S769" s="35">
        <f>SUMIFS(DaybyDay[Service-LY],DaybyDay[Date],"&gt;="&amp;$C$5,DaybyDay[RowYear],"&gt;="&amp;$C$4,DaybyDay[Date],"&lt;="&amp;DaybyDay[[#This Row],[Date]])</f>
        <v>0</v>
      </c>
      <c r="T769" s="35">
        <f>SUMIFS(DaybyDay[Retail-LY],DaybyDay[Date],"&gt;="&amp;$C$5,DaybyDay[RowYear],"&gt;="&amp;$C$4,DaybyDay[Date],"&lt;="&amp;DaybyDay[[#This Row],[Date]])</f>
        <v>0</v>
      </c>
      <c r="U769" s="32">
        <f>DaybyDay[[#This Row],[Serv-Bud-RU]]+DaybyDay[[#This Row],[Ret-Bud-RU]]</f>
        <v>0</v>
      </c>
      <c r="V769" s="32">
        <f>DaybyDay[[#This Row],[Serv-Act-RU]]+DaybyDay[[#This Row],[Ret-Act-RU]]</f>
        <v>0</v>
      </c>
      <c r="W769" s="36">
        <f>IF(DaybyDay[[#This Row],[_Space]],IFERROR(
((DaybyDay[[#This Row],[Actual-Rollup]]-DaybyDay[[#This Row],[Budget-Rollup]])/DaybyDay[[#This Row],[Budget-Rollup]]),0),"")</f>
        <v>0</v>
      </c>
      <c r="X769" t="b">
        <f>NOT(AND(ISBLANK(DaybyDay[[#This Row],[Appts]]),ISBLANK(DaybyDay[[#This Row],[Service-Actuals]]),ISBLANK(DaybyDay[[#This Row],[Retail-Actuals]])))</f>
        <v>1</v>
      </c>
      <c r="Y769" s="36">
        <f>IF(DaybyDay[[#This Row],[_Space]],IFERROR(
((DaybyDay[[#This Row],[Actual-Rollup]]-DaybyDay[[#This Row],[LY-Rollup]])/DaybyDay[[#This Row],[LY-Rollup]]),0),"")</f>
        <v>0</v>
      </c>
      <c r="Z769"/>
      <c r="AA769" s="37" t="e">
        <f>IF(DaybyDay[[#This Row],[_Space]],DaybyDay[[#This Row],[Ret-Act-RU]]/DaybyDay[[#This Row],[Serv-Act-RU]],"")</f>
        <v>#DIV/0!</v>
      </c>
      <c r="AB769" s="50" t="e">
        <f>IF(DaybyDay[[#This Row],[_Space]],DaybyDay[[#This Row],[RETPEN-Act]]/DaybyDay[[#This Row],[RETPEN-Bud]],"")</f>
        <v>#DIV/0!</v>
      </c>
      <c r="AC769" s="37" t="e">
        <f>IF(DaybyDay[[#This Row],[_Space]],DaybyDay[[#This Row],[Ret-Bud-RU]]/DaybyDay[[#This Row],[Serv-Bud-RU]],"")</f>
        <v>#DIV/0!</v>
      </c>
      <c r="AD769" s="37" t="e">
        <f>IF(DaybyDay[[#This Row],[_Space]],DaybyDay[[#This Row],[Ret-LY-RU]]/DaybyDay[[#This Row],[Serv-LY-RU]],"")</f>
        <v>#DIV/0!</v>
      </c>
      <c r="AE769" s="30">
        <f>WEEKDAY(DaybyDay[[#This Row],[LY-Date]])</f>
        <v>7</v>
      </c>
      <c r="AF769" s="38">
        <f>$E$2+_xlfn.DAYS(DaybyDay[[#This Row],[Date]],minDate)</f>
        <v>43134</v>
      </c>
      <c r="AG769" s="39" cm="1">
        <f t="array" ref="AG769">IFERROR(INDEX(DaybyDay[],DaybyDay[[#This Row],[FORM_MATCH_HELPER]],8),"")</f>
        <v>23</v>
      </c>
      <c r="AH769" s="39" cm="1">
        <f t="array" ref="AH769">IFERROR(INDEX(DaybyDay[],DaybyDay[[#This Row],[FORM_MATCH_HELPER]],10),"")</f>
        <v>6446</v>
      </c>
      <c r="AI769" s="39" cm="1">
        <f t="array" ref="AI769">IFERROR(INDEX(DaybyDay[],DaybyDay[[#This Row],[FORM_MATCH_HELPER]],12),"")</f>
        <v>663.75</v>
      </c>
      <c r="AJ769" s="32">
        <f>IFERROR(DaybyDay[[#This Row],[Serv-LY-RU]]+DaybyDay[[#This Row],[Ret-LY-RU]],"")</f>
        <v>0</v>
      </c>
      <c r="AK7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69" s="77"/>
      <c r="AM769" s="40" t="str">
        <f>IF(DaybyDay[[#This Row],[Admin Hours]]&gt;0,DaybyDay[[#This Row],[Admin Hours]]*$AM$2+$AM$3,"")</f>
        <v/>
      </c>
      <c r="AN769" s="40">
        <f>SUMIFS(DaybyDay[Est-Admin-Payroll],DaybyDay[Date],"&gt;="&amp;$C$5,DaybyDay[RowYear],"&gt;="&amp;$C$4,DaybyDay[Date],"&lt;="&amp;DaybyDay[[#This Row],[Date]])</f>
        <v>0</v>
      </c>
      <c r="AO769" s="41" t="str">
        <f>IF(AND(DaybyDay[[#This Row],[_Space]],ISNUMBER(DaybyDay[[#This Row],[Admin Hours]])),DaybyDay[[#This Row],[Est-Admin-Payroll]]/(DaybyDay[[#This Row],[Service-Actuals]]+DaybyDay[[#This Row],[Retail-Actuals]]),"")</f>
        <v/>
      </c>
      <c r="AP769" s="41" t="e">
        <f>DaybyDay[[#This Row],[Estimated-Payroll-Rollup]]/DaybyDay[[#This Row],[Simple-Forecast]]</f>
        <v>#DIV/0!</v>
      </c>
      <c r="AQ7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69" s="77"/>
      <c r="AS769" s="40" t="str">
        <f>IF(DaybyDay[[#This Row],[Retail Hours]]&gt;0,DaybyDay[[#This Row],[Retail Hours]]*$AS$2,"")</f>
        <v/>
      </c>
      <c r="AT769" s="40">
        <f>SUMIFS(DaybyDay[Est-Retail-Payroll],DaybyDay[Date],"&gt;="&amp;$C$5,DaybyDay[RowYear],"&gt;="&amp;$C$4,DaybyDay[Date],"&lt;="&amp;DaybyDay[[#This Row],[Date]])</f>
        <v>0</v>
      </c>
      <c r="AU769" s="82" t="str">
        <f>IF(AND(DaybyDay[[#This Row],[_Space]],ISNUMBER(DaybyDay[[#This Row],[Retail Hours]])),DaybyDay[[#This Row],[Est-Retail-Payroll]]/(DaybyDay[[#This Row],[Retail-Actuals]]),"")</f>
        <v/>
      </c>
      <c r="AV769" s="82" t="e">
        <f>DaybyDay[[#This Row],[Est-Retail-PayrollRU]]/DaybyDay[[#This Row],[Simple-Forecast-Retail]]</f>
        <v>#DIV/0!</v>
      </c>
      <c r="AW769" s="8"/>
      <c r="AX769" s="49"/>
      <c r="AY769" s="48"/>
      <c r="AZ769" s="47"/>
      <c r="BA769" s="47"/>
      <c r="BB769" s="47"/>
      <c r="BC769" s="47"/>
      <c r="BD769" s="47"/>
    </row>
    <row r="770" spans="3:56" hidden="1" x14ac:dyDescent="0.25">
      <c r="C770" s="26" t="str">
        <f>Tools!$C$1</f>
        <v>Example</v>
      </c>
      <c r="D770" s="27" t="s">
        <v>69</v>
      </c>
      <c r="E770" s="28">
        <v>2019</v>
      </c>
      <c r="F770" s="28">
        <f>MATCH(DaybyDay[[#This Row],[RowMonth]],Table3[SummaryMonth],0)</f>
        <v>2</v>
      </c>
      <c r="G770" s="29">
        <f>MATCH(DaybyDay[[#This Row],[LY-Date]],DaybyDay[Date],0)</f>
        <v>400</v>
      </c>
      <c r="H770" s="30">
        <f>WEEKDAY(DaybyDay[[#This Row],[Date]])</f>
        <v>1</v>
      </c>
      <c r="I770" s="31">
        <v>43499</v>
      </c>
      <c r="J770" s="74">
        <v>40</v>
      </c>
      <c r="K770" s="32">
        <f>SUMIFS(BudgetSeasonality[365 Seasonality],BudgetSeasonality[MonthAdjustment],DaybyDay[[#This Row],[Date]])*SUMIFS(Budgets[Service-Budget],Budgets[BudgetMonth],DaybyDay[[#This Row],[RowMonth]],Budgets[BudgetYear],DaybyDay[[#This Row],[RowYear]])</f>
        <v>5761.8479626908093</v>
      </c>
      <c r="L770" s="75">
        <v>8102.75</v>
      </c>
      <c r="M770" s="32">
        <f>INDEX(BudgetSeasonality[365 Seasonality],MATCH(DaybyDay[[#This Row],[Date]],BudgetSeasonality[MonthAdjustment],0))*SUMIFS(Budgets[Retail-Budget],Budgets[BudgetMonth],DaybyDay[[#This Row],[RowMonth]],Budgets[BudgetYear],DaybyDay[[#This Row],[RowYear]])</f>
        <v>1379.2809891272664</v>
      </c>
      <c r="N770" s="75">
        <v>2551</v>
      </c>
      <c r="O770" s="33">
        <f>SUMIFS(DaybyDay[Service-Budgets],DaybyDay[Date],"&gt;="&amp;$C$5,DaybyDay[RowYear],"&gt;="&amp;$C$4,DaybyDay[Date],"&lt;="&amp;DaybyDay[[#This Row],[Date]])</f>
        <v>0</v>
      </c>
      <c r="P770" s="33">
        <f>SUMIFS(DaybyDay[Retail-Budgets],DaybyDay[Date],"&gt;="&amp;$C$5,DaybyDay[RowYear],"&gt;="&amp;$C$4,DaybyDay[Date],"&lt;="&amp;DaybyDay[[#This Row],[Date]])</f>
        <v>0</v>
      </c>
      <c r="Q770" s="34">
        <f>SUMIFS(DaybyDay[Service-Actuals],DaybyDay[Date],"&gt;="&amp;$C$5,DaybyDay[RowYear],"&gt;="&amp;$C$4,DaybyDay[Date],"&lt;="&amp;DaybyDay[[#This Row],[Date]])</f>
        <v>0</v>
      </c>
      <c r="R770" s="34">
        <f>SUMIFS(DaybyDay[Retail-Actuals],DaybyDay[Date],"&gt;="&amp;$C$5,DaybyDay[RowYear],"&gt;="&amp;$C$4,DaybyDay[Date],"&lt;="&amp;DaybyDay[[#This Row],[Date]])</f>
        <v>0</v>
      </c>
      <c r="S770" s="35">
        <f>SUMIFS(DaybyDay[Service-LY],DaybyDay[Date],"&gt;="&amp;$C$5,DaybyDay[RowYear],"&gt;="&amp;$C$4,DaybyDay[Date],"&lt;="&amp;DaybyDay[[#This Row],[Date]])</f>
        <v>0</v>
      </c>
      <c r="T770" s="35">
        <f>SUMIFS(DaybyDay[Retail-LY],DaybyDay[Date],"&gt;="&amp;$C$5,DaybyDay[RowYear],"&gt;="&amp;$C$4,DaybyDay[Date],"&lt;="&amp;DaybyDay[[#This Row],[Date]])</f>
        <v>0</v>
      </c>
      <c r="U770" s="32">
        <f>DaybyDay[[#This Row],[Serv-Bud-RU]]+DaybyDay[[#This Row],[Ret-Bud-RU]]</f>
        <v>0</v>
      </c>
      <c r="V770" s="32">
        <f>DaybyDay[[#This Row],[Serv-Act-RU]]+DaybyDay[[#This Row],[Ret-Act-RU]]</f>
        <v>0</v>
      </c>
      <c r="W770" s="36">
        <f>IF(DaybyDay[[#This Row],[_Space]],IFERROR(
((DaybyDay[[#This Row],[Actual-Rollup]]-DaybyDay[[#This Row],[Budget-Rollup]])/DaybyDay[[#This Row],[Budget-Rollup]]),0),"")</f>
        <v>0</v>
      </c>
      <c r="X770" t="b">
        <f>NOT(AND(ISBLANK(DaybyDay[[#This Row],[Appts]]),ISBLANK(DaybyDay[[#This Row],[Service-Actuals]]),ISBLANK(DaybyDay[[#This Row],[Retail-Actuals]])))</f>
        <v>1</v>
      </c>
      <c r="Y770" s="36">
        <f>IF(DaybyDay[[#This Row],[_Space]],IFERROR(
((DaybyDay[[#This Row],[Actual-Rollup]]-DaybyDay[[#This Row],[LY-Rollup]])/DaybyDay[[#This Row],[LY-Rollup]]),0),"")</f>
        <v>0</v>
      </c>
      <c r="Z770"/>
      <c r="AA770" s="37" t="e">
        <f>IF(DaybyDay[[#This Row],[_Space]],DaybyDay[[#This Row],[Ret-Act-RU]]/DaybyDay[[#This Row],[Serv-Act-RU]],"")</f>
        <v>#DIV/0!</v>
      </c>
      <c r="AB770" s="50" t="e">
        <f>IF(DaybyDay[[#This Row],[_Space]],DaybyDay[[#This Row],[RETPEN-Act]]/DaybyDay[[#This Row],[RETPEN-Bud]],"")</f>
        <v>#DIV/0!</v>
      </c>
      <c r="AC770" s="37" t="e">
        <f>IF(DaybyDay[[#This Row],[_Space]],DaybyDay[[#This Row],[Ret-Bud-RU]]/DaybyDay[[#This Row],[Serv-Bud-RU]],"")</f>
        <v>#DIV/0!</v>
      </c>
      <c r="AD770" s="37" t="e">
        <f>IF(DaybyDay[[#This Row],[_Space]],DaybyDay[[#This Row],[Ret-LY-RU]]/DaybyDay[[#This Row],[Serv-LY-RU]],"")</f>
        <v>#DIV/0!</v>
      </c>
      <c r="AE770" s="30">
        <f>WEEKDAY(DaybyDay[[#This Row],[LY-Date]])</f>
        <v>1</v>
      </c>
      <c r="AF770" s="38">
        <f>$E$2+_xlfn.DAYS(DaybyDay[[#This Row],[Date]],minDate)</f>
        <v>43135</v>
      </c>
      <c r="AG770" s="39" cm="1">
        <f t="array" ref="AG770">IFERROR(INDEX(DaybyDay[],DaybyDay[[#This Row],[FORM_MATCH_HELPER]],8),"")</f>
        <v>34</v>
      </c>
      <c r="AH770" s="39" cm="1">
        <f t="array" ref="AH770">IFERROR(INDEX(DaybyDay[],DaybyDay[[#This Row],[FORM_MATCH_HELPER]],10),"")</f>
        <v>5738</v>
      </c>
      <c r="AI770" s="39" cm="1">
        <f t="array" ref="AI770">IFERROR(INDEX(DaybyDay[],DaybyDay[[#This Row],[FORM_MATCH_HELPER]],12),"")</f>
        <v>262</v>
      </c>
      <c r="AJ770" s="32">
        <f>IFERROR(DaybyDay[[#This Row],[Serv-LY-RU]]+DaybyDay[[#This Row],[Ret-LY-RU]],"")</f>
        <v>0</v>
      </c>
      <c r="AK7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0" s="77"/>
      <c r="AM770" s="40" t="str">
        <f>IF(DaybyDay[[#This Row],[Admin Hours]]&gt;0,DaybyDay[[#This Row],[Admin Hours]]*$AM$2+$AM$3,"")</f>
        <v/>
      </c>
      <c r="AN770" s="40">
        <f>SUMIFS(DaybyDay[Est-Admin-Payroll],DaybyDay[Date],"&gt;="&amp;$C$5,DaybyDay[RowYear],"&gt;="&amp;$C$4,DaybyDay[Date],"&lt;="&amp;DaybyDay[[#This Row],[Date]])</f>
        <v>0</v>
      </c>
      <c r="AO770" s="41" t="str">
        <f>IF(AND(DaybyDay[[#This Row],[_Space]],ISNUMBER(DaybyDay[[#This Row],[Admin Hours]])),DaybyDay[[#This Row],[Est-Admin-Payroll]]/(DaybyDay[[#This Row],[Service-Actuals]]+DaybyDay[[#This Row],[Retail-Actuals]]),"")</f>
        <v/>
      </c>
      <c r="AP770" s="41" t="e">
        <f>DaybyDay[[#This Row],[Estimated-Payroll-Rollup]]/DaybyDay[[#This Row],[Simple-Forecast]]</f>
        <v>#DIV/0!</v>
      </c>
      <c r="AQ7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0" s="77"/>
      <c r="AS770" s="40" t="str">
        <f>IF(DaybyDay[[#This Row],[Retail Hours]]&gt;0,DaybyDay[[#This Row],[Retail Hours]]*$AS$2,"")</f>
        <v/>
      </c>
      <c r="AT770" s="40">
        <f>SUMIFS(DaybyDay[Est-Retail-Payroll],DaybyDay[Date],"&gt;="&amp;$C$5,DaybyDay[RowYear],"&gt;="&amp;$C$4,DaybyDay[Date],"&lt;="&amp;DaybyDay[[#This Row],[Date]])</f>
        <v>0</v>
      </c>
      <c r="AU770" s="82" t="str">
        <f>IF(AND(DaybyDay[[#This Row],[_Space]],ISNUMBER(DaybyDay[[#This Row],[Retail Hours]])),DaybyDay[[#This Row],[Est-Retail-Payroll]]/(DaybyDay[[#This Row],[Retail-Actuals]]),"")</f>
        <v/>
      </c>
      <c r="AV770" s="82" t="e">
        <f>DaybyDay[[#This Row],[Est-Retail-PayrollRU]]/DaybyDay[[#This Row],[Simple-Forecast-Retail]]</f>
        <v>#DIV/0!</v>
      </c>
      <c r="AW770" s="8"/>
      <c r="AX770" s="49"/>
      <c r="AY770" s="48"/>
      <c r="AZ770" s="47"/>
      <c r="BA770" s="47"/>
      <c r="BB770" s="47"/>
      <c r="BC770" s="47"/>
      <c r="BD770" s="47"/>
    </row>
    <row r="771" spans="3:56" hidden="1" x14ac:dyDescent="0.25">
      <c r="C771" s="26" t="str">
        <f>Tools!$C$1</f>
        <v>Example</v>
      </c>
      <c r="D771" s="27" t="s">
        <v>69</v>
      </c>
      <c r="E771" s="28">
        <v>2019</v>
      </c>
      <c r="F771" s="28">
        <f>MATCH(DaybyDay[[#This Row],[RowMonth]],Table3[SummaryMonth],0)</f>
        <v>2</v>
      </c>
      <c r="G771" s="29">
        <f>MATCH(DaybyDay[[#This Row],[LY-Date]],DaybyDay[Date],0)</f>
        <v>401</v>
      </c>
      <c r="H771" s="30">
        <f>WEEKDAY(DaybyDay[[#This Row],[Date]])</f>
        <v>2</v>
      </c>
      <c r="I771" s="31">
        <v>43500</v>
      </c>
      <c r="J771" s="74">
        <v>18</v>
      </c>
      <c r="K771" s="32">
        <f>SUMIFS(BudgetSeasonality[365 Seasonality],BudgetSeasonality[MonthAdjustment],DaybyDay[[#This Row],[Date]])*SUMIFS(Budgets[Service-Budget],Budgets[BudgetMonth],DaybyDay[[#This Row],[RowMonth]],Budgets[BudgetYear],DaybyDay[[#This Row],[RowYear]])</f>
        <v>3799.7935331619819</v>
      </c>
      <c r="L771" s="75">
        <v>4457.6000000000004</v>
      </c>
      <c r="M771" s="32">
        <f>INDEX(BudgetSeasonality[365 Seasonality],MATCH(DaybyDay[[#This Row],[Date]],BudgetSeasonality[MonthAdjustment],0))*SUMIFS(Budgets[Retail-Budget],Budgets[BudgetMonth],DaybyDay[[#This Row],[RowMonth]],Budgets[BudgetYear],DaybyDay[[#This Row],[RowYear]])</f>
        <v>909.60105452895118</v>
      </c>
      <c r="N771" s="75">
        <v>793</v>
      </c>
      <c r="O771" s="33">
        <f>SUMIFS(DaybyDay[Service-Budgets],DaybyDay[Date],"&gt;="&amp;$C$5,DaybyDay[RowYear],"&gt;="&amp;$C$4,DaybyDay[Date],"&lt;="&amp;DaybyDay[[#This Row],[Date]])</f>
        <v>0</v>
      </c>
      <c r="P771" s="33">
        <f>SUMIFS(DaybyDay[Retail-Budgets],DaybyDay[Date],"&gt;="&amp;$C$5,DaybyDay[RowYear],"&gt;="&amp;$C$4,DaybyDay[Date],"&lt;="&amp;DaybyDay[[#This Row],[Date]])</f>
        <v>0</v>
      </c>
      <c r="Q771" s="34">
        <f>SUMIFS(DaybyDay[Service-Actuals],DaybyDay[Date],"&gt;="&amp;$C$5,DaybyDay[RowYear],"&gt;="&amp;$C$4,DaybyDay[Date],"&lt;="&amp;DaybyDay[[#This Row],[Date]])</f>
        <v>0</v>
      </c>
      <c r="R771" s="34">
        <f>SUMIFS(DaybyDay[Retail-Actuals],DaybyDay[Date],"&gt;="&amp;$C$5,DaybyDay[RowYear],"&gt;="&amp;$C$4,DaybyDay[Date],"&lt;="&amp;DaybyDay[[#This Row],[Date]])</f>
        <v>0</v>
      </c>
      <c r="S771" s="35">
        <f>SUMIFS(DaybyDay[Service-LY],DaybyDay[Date],"&gt;="&amp;$C$5,DaybyDay[RowYear],"&gt;="&amp;$C$4,DaybyDay[Date],"&lt;="&amp;DaybyDay[[#This Row],[Date]])</f>
        <v>0</v>
      </c>
      <c r="T771" s="35">
        <f>SUMIFS(DaybyDay[Retail-LY],DaybyDay[Date],"&gt;="&amp;$C$5,DaybyDay[RowYear],"&gt;="&amp;$C$4,DaybyDay[Date],"&lt;="&amp;DaybyDay[[#This Row],[Date]])</f>
        <v>0</v>
      </c>
      <c r="U771" s="32">
        <f>DaybyDay[[#This Row],[Serv-Bud-RU]]+DaybyDay[[#This Row],[Ret-Bud-RU]]</f>
        <v>0</v>
      </c>
      <c r="V771" s="32">
        <f>DaybyDay[[#This Row],[Serv-Act-RU]]+DaybyDay[[#This Row],[Ret-Act-RU]]</f>
        <v>0</v>
      </c>
      <c r="W771" s="36">
        <f>IF(DaybyDay[[#This Row],[_Space]],IFERROR(
((DaybyDay[[#This Row],[Actual-Rollup]]-DaybyDay[[#This Row],[Budget-Rollup]])/DaybyDay[[#This Row],[Budget-Rollup]]),0),"")</f>
        <v>0</v>
      </c>
      <c r="X771" t="b">
        <f>NOT(AND(ISBLANK(DaybyDay[[#This Row],[Appts]]),ISBLANK(DaybyDay[[#This Row],[Service-Actuals]]),ISBLANK(DaybyDay[[#This Row],[Retail-Actuals]])))</f>
        <v>1</v>
      </c>
      <c r="Y771" s="36">
        <f>IF(DaybyDay[[#This Row],[_Space]],IFERROR(
((DaybyDay[[#This Row],[Actual-Rollup]]-DaybyDay[[#This Row],[LY-Rollup]])/DaybyDay[[#This Row],[LY-Rollup]]),0),"")</f>
        <v>0</v>
      </c>
      <c r="Z771"/>
      <c r="AA771" s="37" t="e">
        <f>IF(DaybyDay[[#This Row],[_Space]],DaybyDay[[#This Row],[Ret-Act-RU]]/DaybyDay[[#This Row],[Serv-Act-RU]],"")</f>
        <v>#DIV/0!</v>
      </c>
      <c r="AB771" s="50" t="e">
        <f>IF(DaybyDay[[#This Row],[_Space]],DaybyDay[[#This Row],[RETPEN-Act]]/DaybyDay[[#This Row],[RETPEN-Bud]],"")</f>
        <v>#DIV/0!</v>
      </c>
      <c r="AC771" s="37" t="e">
        <f>IF(DaybyDay[[#This Row],[_Space]],DaybyDay[[#This Row],[Ret-Bud-RU]]/DaybyDay[[#This Row],[Serv-Bud-RU]],"")</f>
        <v>#DIV/0!</v>
      </c>
      <c r="AD771" s="37" t="e">
        <f>IF(DaybyDay[[#This Row],[_Space]],DaybyDay[[#This Row],[Ret-LY-RU]]/DaybyDay[[#This Row],[Serv-LY-RU]],"")</f>
        <v>#DIV/0!</v>
      </c>
      <c r="AE771" s="30">
        <f>WEEKDAY(DaybyDay[[#This Row],[LY-Date]])</f>
        <v>2</v>
      </c>
      <c r="AF771" s="38">
        <f>$E$2+_xlfn.DAYS(DaybyDay[[#This Row],[Date]],minDate)</f>
        <v>43136</v>
      </c>
      <c r="AG771" s="39" cm="1">
        <f t="array" ref="AG771">IFERROR(INDEX(DaybyDay[],DaybyDay[[#This Row],[FORM_MATCH_HELPER]],8),"")</f>
        <v>20</v>
      </c>
      <c r="AH771" s="39" cm="1">
        <f t="array" ref="AH771">IFERROR(INDEX(DaybyDay[],DaybyDay[[#This Row],[FORM_MATCH_HELPER]],10),"")</f>
        <v>3584</v>
      </c>
      <c r="AI771" s="39" cm="1">
        <f t="array" ref="AI771">IFERROR(INDEX(DaybyDay[],DaybyDay[[#This Row],[FORM_MATCH_HELPER]],12),"")</f>
        <v>1561.5</v>
      </c>
      <c r="AJ771" s="32">
        <f>IFERROR(DaybyDay[[#This Row],[Serv-LY-RU]]+DaybyDay[[#This Row],[Ret-LY-RU]],"")</f>
        <v>0</v>
      </c>
      <c r="AK7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1" s="77"/>
      <c r="AM771" s="40" t="str">
        <f>IF(DaybyDay[[#This Row],[Admin Hours]]&gt;0,DaybyDay[[#This Row],[Admin Hours]]*$AM$2+$AM$3,"")</f>
        <v/>
      </c>
      <c r="AN771" s="40">
        <f>SUMIFS(DaybyDay[Est-Admin-Payroll],DaybyDay[Date],"&gt;="&amp;$C$5,DaybyDay[RowYear],"&gt;="&amp;$C$4,DaybyDay[Date],"&lt;="&amp;DaybyDay[[#This Row],[Date]])</f>
        <v>0</v>
      </c>
      <c r="AO771" s="41" t="str">
        <f>IF(AND(DaybyDay[[#This Row],[_Space]],ISNUMBER(DaybyDay[[#This Row],[Admin Hours]])),DaybyDay[[#This Row],[Est-Admin-Payroll]]/(DaybyDay[[#This Row],[Service-Actuals]]+DaybyDay[[#This Row],[Retail-Actuals]]),"")</f>
        <v/>
      </c>
      <c r="AP771" s="41" t="e">
        <f>DaybyDay[[#This Row],[Estimated-Payroll-Rollup]]/DaybyDay[[#This Row],[Simple-Forecast]]</f>
        <v>#DIV/0!</v>
      </c>
      <c r="AQ7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1" s="77"/>
      <c r="AS771" s="40" t="str">
        <f>IF(DaybyDay[[#This Row],[Retail Hours]]&gt;0,DaybyDay[[#This Row],[Retail Hours]]*$AS$2,"")</f>
        <v/>
      </c>
      <c r="AT771" s="40">
        <f>SUMIFS(DaybyDay[Est-Retail-Payroll],DaybyDay[Date],"&gt;="&amp;$C$5,DaybyDay[RowYear],"&gt;="&amp;$C$4,DaybyDay[Date],"&lt;="&amp;DaybyDay[[#This Row],[Date]])</f>
        <v>0</v>
      </c>
      <c r="AU771" s="82" t="str">
        <f>IF(AND(DaybyDay[[#This Row],[_Space]],ISNUMBER(DaybyDay[[#This Row],[Retail Hours]])),DaybyDay[[#This Row],[Est-Retail-Payroll]]/(DaybyDay[[#This Row],[Retail-Actuals]]),"")</f>
        <v/>
      </c>
      <c r="AV771" s="82" t="e">
        <f>DaybyDay[[#This Row],[Est-Retail-PayrollRU]]/DaybyDay[[#This Row],[Simple-Forecast-Retail]]</f>
        <v>#DIV/0!</v>
      </c>
      <c r="AW771" s="8"/>
      <c r="AX771" s="49"/>
      <c r="AY771" s="48"/>
      <c r="AZ771" s="47"/>
      <c r="BA771" s="47"/>
      <c r="BB771" s="47"/>
      <c r="BC771" s="47"/>
      <c r="BD771" s="47"/>
    </row>
    <row r="772" spans="3:56" hidden="1" x14ac:dyDescent="0.25">
      <c r="C772" s="26" t="str">
        <f>Tools!$C$1</f>
        <v>Example</v>
      </c>
      <c r="D772" s="27" t="s">
        <v>69</v>
      </c>
      <c r="E772" s="28">
        <v>2019</v>
      </c>
      <c r="F772" s="28">
        <f>MATCH(DaybyDay[[#This Row],[RowMonth]],Table3[SummaryMonth],0)</f>
        <v>2</v>
      </c>
      <c r="G772" s="29">
        <f>MATCH(DaybyDay[[#This Row],[LY-Date]],DaybyDay[Date],0)</f>
        <v>402</v>
      </c>
      <c r="H772" s="30">
        <f>WEEKDAY(DaybyDay[[#This Row],[Date]])</f>
        <v>3</v>
      </c>
      <c r="I772" s="31">
        <v>43501</v>
      </c>
      <c r="J772" s="74">
        <v>18</v>
      </c>
      <c r="K772" s="32">
        <f>SUMIFS(BudgetSeasonality[365 Seasonality],BudgetSeasonality[MonthAdjustment],DaybyDay[[#This Row],[Date]])*SUMIFS(Budgets[Service-Budget],Budgets[BudgetMonth],DaybyDay[[#This Row],[RowMonth]],Budgets[BudgetYear],DaybyDay[[#This Row],[RowYear]])</f>
        <v>3911.4074165374691</v>
      </c>
      <c r="L772" s="75">
        <v>3401.05</v>
      </c>
      <c r="M772" s="32">
        <f>INDEX(BudgetSeasonality[365 Seasonality],MATCH(DaybyDay[[#This Row],[Date]],BudgetSeasonality[MonthAdjustment],0))*SUMIFS(Budgets[Retail-Budget],Budgets[BudgetMonth],DaybyDay[[#This Row],[RowMonth]],Budgets[BudgetYear],DaybyDay[[#This Row],[RowYear]])</f>
        <v>936.319376230481</v>
      </c>
      <c r="N772" s="75">
        <v>965.5</v>
      </c>
      <c r="O772" s="33">
        <f>SUMIFS(DaybyDay[Service-Budgets],DaybyDay[Date],"&gt;="&amp;$C$5,DaybyDay[RowYear],"&gt;="&amp;$C$4,DaybyDay[Date],"&lt;="&amp;DaybyDay[[#This Row],[Date]])</f>
        <v>0</v>
      </c>
      <c r="P772" s="33">
        <f>SUMIFS(DaybyDay[Retail-Budgets],DaybyDay[Date],"&gt;="&amp;$C$5,DaybyDay[RowYear],"&gt;="&amp;$C$4,DaybyDay[Date],"&lt;="&amp;DaybyDay[[#This Row],[Date]])</f>
        <v>0</v>
      </c>
      <c r="Q772" s="34">
        <f>SUMIFS(DaybyDay[Service-Actuals],DaybyDay[Date],"&gt;="&amp;$C$5,DaybyDay[RowYear],"&gt;="&amp;$C$4,DaybyDay[Date],"&lt;="&amp;DaybyDay[[#This Row],[Date]])</f>
        <v>0</v>
      </c>
      <c r="R772" s="34">
        <f>SUMIFS(DaybyDay[Retail-Actuals],DaybyDay[Date],"&gt;="&amp;$C$5,DaybyDay[RowYear],"&gt;="&amp;$C$4,DaybyDay[Date],"&lt;="&amp;DaybyDay[[#This Row],[Date]])</f>
        <v>0</v>
      </c>
      <c r="S772" s="35">
        <f>SUMIFS(DaybyDay[Service-LY],DaybyDay[Date],"&gt;="&amp;$C$5,DaybyDay[RowYear],"&gt;="&amp;$C$4,DaybyDay[Date],"&lt;="&amp;DaybyDay[[#This Row],[Date]])</f>
        <v>0</v>
      </c>
      <c r="T772" s="35">
        <f>SUMIFS(DaybyDay[Retail-LY],DaybyDay[Date],"&gt;="&amp;$C$5,DaybyDay[RowYear],"&gt;="&amp;$C$4,DaybyDay[Date],"&lt;="&amp;DaybyDay[[#This Row],[Date]])</f>
        <v>0</v>
      </c>
      <c r="U772" s="32">
        <f>DaybyDay[[#This Row],[Serv-Bud-RU]]+DaybyDay[[#This Row],[Ret-Bud-RU]]</f>
        <v>0</v>
      </c>
      <c r="V772" s="32">
        <f>DaybyDay[[#This Row],[Serv-Act-RU]]+DaybyDay[[#This Row],[Ret-Act-RU]]</f>
        <v>0</v>
      </c>
      <c r="W772" s="36">
        <f>IF(DaybyDay[[#This Row],[_Space]],IFERROR(
((DaybyDay[[#This Row],[Actual-Rollup]]-DaybyDay[[#This Row],[Budget-Rollup]])/DaybyDay[[#This Row],[Budget-Rollup]]),0),"")</f>
        <v>0</v>
      </c>
      <c r="X772" t="b">
        <f>NOT(AND(ISBLANK(DaybyDay[[#This Row],[Appts]]),ISBLANK(DaybyDay[[#This Row],[Service-Actuals]]),ISBLANK(DaybyDay[[#This Row],[Retail-Actuals]])))</f>
        <v>1</v>
      </c>
      <c r="Y772" s="36">
        <f>IF(DaybyDay[[#This Row],[_Space]],IFERROR(
((DaybyDay[[#This Row],[Actual-Rollup]]-DaybyDay[[#This Row],[LY-Rollup]])/DaybyDay[[#This Row],[LY-Rollup]]),0),"")</f>
        <v>0</v>
      </c>
      <c r="Z772"/>
      <c r="AA772" s="37" t="e">
        <f>IF(DaybyDay[[#This Row],[_Space]],DaybyDay[[#This Row],[Ret-Act-RU]]/DaybyDay[[#This Row],[Serv-Act-RU]],"")</f>
        <v>#DIV/0!</v>
      </c>
      <c r="AB772" s="50" t="e">
        <f>IF(DaybyDay[[#This Row],[_Space]],DaybyDay[[#This Row],[RETPEN-Act]]/DaybyDay[[#This Row],[RETPEN-Bud]],"")</f>
        <v>#DIV/0!</v>
      </c>
      <c r="AC772" s="37" t="e">
        <f>IF(DaybyDay[[#This Row],[_Space]],DaybyDay[[#This Row],[Ret-Bud-RU]]/DaybyDay[[#This Row],[Serv-Bud-RU]],"")</f>
        <v>#DIV/0!</v>
      </c>
      <c r="AD772" s="37" t="e">
        <f>IF(DaybyDay[[#This Row],[_Space]],DaybyDay[[#This Row],[Ret-LY-RU]]/DaybyDay[[#This Row],[Serv-LY-RU]],"")</f>
        <v>#DIV/0!</v>
      </c>
      <c r="AE772" s="30">
        <f>WEEKDAY(DaybyDay[[#This Row],[LY-Date]])</f>
        <v>3</v>
      </c>
      <c r="AF772" s="38">
        <f>$E$2+_xlfn.DAYS(DaybyDay[[#This Row],[Date]],minDate)</f>
        <v>43137</v>
      </c>
      <c r="AG772" s="39" cm="1">
        <f t="array" ref="AG772">IFERROR(INDEX(DaybyDay[],DaybyDay[[#This Row],[FORM_MATCH_HELPER]],8),"")</f>
        <v>13</v>
      </c>
      <c r="AH772" s="39" cm="1">
        <f t="array" ref="AH772">IFERROR(INDEX(DaybyDay[],DaybyDay[[#This Row],[FORM_MATCH_HELPER]],10),"")</f>
        <v>2437</v>
      </c>
      <c r="AI772" s="39" cm="1">
        <f t="array" ref="AI772">IFERROR(INDEX(DaybyDay[],DaybyDay[[#This Row],[FORM_MATCH_HELPER]],12),"")</f>
        <v>54</v>
      </c>
      <c r="AJ772" s="32">
        <f>IFERROR(DaybyDay[[#This Row],[Serv-LY-RU]]+DaybyDay[[#This Row],[Ret-LY-RU]],"")</f>
        <v>0</v>
      </c>
      <c r="AK7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2" s="77"/>
      <c r="AM772" s="40" t="str">
        <f>IF(DaybyDay[[#This Row],[Admin Hours]]&gt;0,DaybyDay[[#This Row],[Admin Hours]]*$AM$2+$AM$3,"")</f>
        <v/>
      </c>
      <c r="AN772" s="40">
        <f>SUMIFS(DaybyDay[Est-Admin-Payroll],DaybyDay[Date],"&gt;="&amp;$C$5,DaybyDay[RowYear],"&gt;="&amp;$C$4,DaybyDay[Date],"&lt;="&amp;DaybyDay[[#This Row],[Date]])</f>
        <v>0</v>
      </c>
      <c r="AO772" s="41" t="str">
        <f>IF(AND(DaybyDay[[#This Row],[_Space]],ISNUMBER(DaybyDay[[#This Row],[Admin Hours]])),DaybyDay[[#This Row],[Est-Admin-Payroll]]/(DaybyDay[[#This Row],[Service-Actuals]]+DaybyDay[[#This Row],[Retail-Actuals]]),"")</f>
        <v/>
      </c>
      <c r="AP772" s="41" t="e">
        <f>DaybyDay[[#This Row],[Estimated-Payroll-Rollup]]/DaybyDay[[#This Row],[Simple-Forecast]]</f>
        <v>#DIV/0!</v>
      </c>
      <c r="AQ7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2" s="77"/>
      <c r="AS772" s="40" t="str">
        <f>IF(DaybyDay[[#This Row],[Retail Hours]]&gt;0,DaybyDay[[#This Row],[Retail Hours]]*$AS$2,"")</f>
        <v/>
      </c>
      <c r="AT772" s="40">
        <f>SUMIFS(DaybyDay[Est-Retail-Payroll],DaybyDay[Date],"&gt;="&amp;$C$5,DaybyDay[RowYear],"&gt;="&amp;$C$4,DaybyDay[Date],"&lt;="&amp;DaybyDay[[#This Row],[Date]])</f>
        <v>0</v>
      </c>
      <c r="AU772" s="82" t="str">
        <f>IF(AND(DaybyDay[[#This Row],[_Space]],ISNUMBER(DaybyDay[[#This Row],[Retail Hours]])),DaybyDay[[#This Row],[Est-Retail-Payroll]]/(DaybyDay[[#This Row],[Retail-Actuals]]),"")</f>
        <v/>
      </c>
      <c r="AV772" s="82" t="e">
        <f>DaybyDay[[#This Row],[Est-Retail-PayrollRU]]/DaybyDay[[#This Row],[Simple-Forecast-Retail]]</f>
        <v>#DIV/0!</v>
      </c>
      <c r="AW772" s="8"/>
      <c r="AX772" s="49"/>
      <c r="AY772" s="48"/>
      <c r="AZ772" s="47"/>
      <c r="BA772" s="47"/>
      <c r="BB772" s="47"/>
      <c r="BC772" s="47"/>
      <c r="BD772" s="47"/>
    </row>
    <row r="773" spans="3:56" hidden="1" x14ac:dyDescent="0.25">
      <c r="C773" s="26" t="str">
        <f>Tools!$C$1</f>
        <v>Example</v>
      </c>
      <c r="D773" s="27" t="s">
        <v>69</v>
      </c>
      <c r="E773" s="28">
        <v>2019</v>
      </c>
      <c r="F773" s="28">
        <f>MATCH(DaybyDay[[#This Row],[RowMonth]],Table3[SummaryMonth],0)</f>
        <v>2</v>
      </c>
      <c r="G773" s="29">
        <f>MATCH(DaybyDay[[#This Row],[LY-Date]],DaybyDay[Date],0)</f>
        <v>403</v>
      </c>
      <c r="H773" s="30">
        <f>WEEKDAY(DaybyDay[[#This Row],[Date]])</f>
        <v>4</v>
      </c>
      <c r="I773" s="31">
        <v>43502</v>
      </c>
      <c r="J773" s="74">
        <v>16</v>
      </c>
      <c r="K773" s="32">
        <f>SUMIFS(BudgetSeasonality[365 Seasonality],BudgetSeasonality[MonthAdjustment],DaybyDay[[#This Row],[Date]])*SUMIFS(Budgets[Service-Budget],Budgets[BudgetMonth],DaybyDay[[#This Row],[RowMonth]],Budgets[BudgetYear],DaybyDay[[#This Row],[RowYear]])</f>
        <v>4381.4532856164442</v>
      </c>
      <c r="L773" s="75">
        <v>3171.3</v>
      </c>
      <c r="M773" s="32">
        <f>INDEX(BudgetSeasonality[365 Seasonality],MATCH(DaybyDay[[#This Row],[Date]],BudgetSeasonality[MonthAdjustment],0))*SUMIFS(Budgets[Retail-Budget],Budgets[BudgetMonth],DaybyDay[[#This Row],[RowMonth]],Budgets[BudgetYear],DaybyDay[[#This Row],[RowYear]])</f>
        <v>1048.8397577880089</v>
      </c>
      <c r="N773" s="75">
        <v>1979.5</v>
      </c>
      <c r="O773" s="33">
        <f>SUMIFS(DaybyDay[Service-Budgets],DaybyDay[Date],"&gt;="&amp;$C$5,DaybyDay[RowYear],"&gt;="&amp;$C$4,DaybyDay[Date],"&lt;="&amp;DaybyDay[[#This Row],[Date]])</f>
        <v>0</v>
      </c>
      <c r="P773" s="33">
        <f>SUMIFS(DaybyDay[Retail-Budgets],DaybyDay[Date],"&gt;="&amp;$C$5,DaybyDay[RowYear],"&gt;="&amp;$C$4,DaybyDay[Date],"&lt;="&amp;DaybyDay[[#This Row],[Date]])</f>
        <v>0</v>
      </c>
      <c r="Q773" s="34">
        <f>SUMIFS(DaybyDay[Service-Actuals],DaybyDay[Date],"&gt;="&amp;$C$5,DaybyDay[RowYear],"&gt;="&amp;$C$4,DaybyDay[Date],"&lt;="&amp;DaybyDay[[#This Row],[Date]])</f>
        <v>0</v>
      </c>
      <c r="R773" s="34">
        <f>SUMIFS(DaybyDay[Retail-Actuals],DaybyDay[Date],"&gt;="&amp;$C$5,DaybyDay[RowYear],"&gt;="&amp;$C$4,DaybyDay[Date],"&lt;="&amp;DaybyDay[[#This Row],[Date]])</f>
        <v>0</v>
      </c>
      <c r="S773" s="35">
        <f>SUMIFS(DaybyDay[Service-LY],DaybyDay[Date],"&gt;="&amp;$C$5,DaybyDay[RowYear],"&gt;="&amp;$C$4,DaybyDay[Date],"&lt;="&amp;DaybyDay[[#This Row],[Date]])</f>
        <v>0</v>
      </c>
      <c r="T773" s="35">
        <f>SUMIFS(DaybyDay[Retail-LY],DaybyDay[Date],"&gt;="&amp;$C$5,DaybyDay[RowYear],"&gt;="&amp;$C$4,DaybyDay[Date],"&lt;="&amp;DaybyDay[[#This Row],[Date]])</f>
        <v>0</v>
      </c>
      <c r="U773" s="32">
        <f>DaybyDay[[#This Row],[Serv-Bud-RU]]+DaybyDay[[#This Row],[Ret-Bud-RU]]</f>
        <v>0</v>
      </c>
      <c r="V773" s="32">
        <f>DaybyDay[[#This Row],[Serv-Act-RU]]+DaybyDay[[#This Row],[Ret-Act-RU]]</f>
        <v>0</v>
      </c>
      <c r="W773" s="36">
        <f>IF(DaybyDay[[#This Row],[_Space]],IFERROR(
((DaybyDay[[#This Row],[Actual-Rollup]]-DaybyDay[[#This Row],[Budget-Rollup]])/DaybyDay[[#This Row],[Budget-Rollup]]),0),"")</f>
        <v>0</v>
      </c>
      <c r="X773" t="b">
        <f>NOT(AND(ISBLANK(DaybyDay[[#This Row],[Appts]]),ISBLANK(DaybyDay[[#This Row],[Service-Actuals]]),ISBLANK(DaybyDay[[#This Row],[Retail-Actuals]])))</f>
        <v>1</v>
      </c>
      <c r="Y773" s="36">
        <f>IF(DaybyDay[[#This Row],[_Space]],IFERROR(
((DaybyDay[[#This Row],[Actual-Rollup]]-DaybyDay[[#This Row],[LY-Rollup]])/DaybyDay[[#This Row],[LY-Rollup]]),0),"")</f>
        <v>0</v>
      </c>
      <c r="Z773"/>
      <c r="AA773" s="37" t="e">
        <f>IF(DaybyDay[[#This Row],[_Space]],DaybyDay[[#This Row],[Ret-Act-RU]]/DaybyDay[[#This Row],[Serv-Act-RU]],"")</f>
        <v>#DIV/0!</v>
      </c>
      <c r="AB773" s="50" t="e">
        <f>IF(DaybyDay[[#This Row],[_Space]],DaybyDay[[#This Row],[RETPEN-Act]]/DaybyDay[[#This Row],[RETPEN-Bud]],"")</f>
        <v>#DIV/0!</v>
      </c>
      <c r="AC773" s="37" t="e">
        <f>IF(DaybyDay[[#This Row],[_Space]],DaybyDay[[#This Row],[Ret-Bud-RU]]/DaybyDay[[#This Row],[Serv-Bud-RU]],"")</f>
        <v>#DIV/0!</v>
      </c>
      <c r="AD773" s="37" t="e">
        <f>IF(DaybyDay[[#This Row],[_Space]],DaybyDay[[#This Row],[Ret-LY-RU]]/DaybyDay[[#This Row],[Serv-LY-RU]],"")</f>
        <v>#DIV/0!</v>
      </c>
      <c r="AE773" s="30">
        <f>WEEKDAY(DaybyDay[[#This Row],[LY-Date]])</f>
        <v>4</v>
      </c>
      <c r="AF773" s="38">
        <f>$E$2+_xlfn.DAYS(DaybyDay[[#This Row],[Date]],minDate)</f>
        <v>43138</v>
      </c>
      <c r="AG773" s="39" cm="1">
        <f t="array" ref="AG773">IFERROR(INDEX(DaybyDay[],DaybyDay[[#This Row],[FORM_MATCH_HELPER]],8),"")</f>
        <v>19</v>
      </c>
      <c r="AH773" s="39" cm="1">
        <f t="array" ref="AH773">IFERROR(INDEX(DaybyDay[],DaybyDay[[#This Row],[FORM_MATCH_HELPER]],10),"")</f>
        <v>3654</v>
      </c>
      <c r="AI773" s="39" cm="1">
        <f t="array" ref="AI773">IFERROR(INDEX(DaybyDay[],DaybyDay[[#This Row],[FORM_MATCH_HELPER]],12),"")</f>
        <v>1182.5</v>
      </c>
      <c r="AJ773" s="32">
        <f>IFERROR(DaybyDay[[#This Row],[Serv-LY-RU]]+DaybyDay[[#This Row],[Ret-LY-RU]],"")</f>
        <v>0</v>
      </c>
      <c r="AK7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3" s="77"/>
      <c r="AM773" s="40" t="str">
        <f>IF(DaybyDay[[#This Row],[Admin Hours]]&gt;0,DaybyDay[[#This Row],[Admin Hours]]*$AM$2+$AM$3,"")</f>
        <v/>
      </c>
      <c r="AN773" s="40">
        <f>SUMIFS(DaybyDay[Est-Admin-Payroll],DaybyDay[Date],"&gt;="&amp;$C$5,DaybyDay[RowYear],"&gt;="&amp;$C$4,DaybyDay[Date],"&lt;="&amp;DaybyDay[[#This Row],[Date]])</f>
        <v>0</v>
      </c>
      <c r="AO773" s="41" t="str">
        <f>IF(AND(DaybyDay[[#This Row],[_Space]],ISNUMBER(DaybyDay[[#This Row],[Admin Hours]])),DaybyDay[[#This Row],[Est-Admin-Payroll]]/(DaybyDay[[#This Row],[Service-Actuals]]+DaybyDay[[#This Row],[Retail-Actuals]]),"")</f>
        <v/>
      </c>
      <c r="AP773" s="41" t="e">
        <f>DaybyDay[[#This Row],[Estimated-Payroll-Rollup]]/DaybyDay[[#This Row],[Simple-Forecast]]</f>
        <v>#DIV/0!</v>
      </c>
      <c r="AQ7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3" s="77"/>
      <c r="AS773" s="40" t="str">
        <f>IF(DaybyDay[[#This Row],[Retail Hours]]&gt;0,DaybyDay[[#This Row],[Retail Hours]]*$AS$2,"")</f>
        <v/>
      </c>
      <c r="AT773" s="40">
        <f>SUMIFS(DaybyDay[Est-Retail-Payroll],DaybyDay[Date],"&gt;="&amp;$C$5,DaybyDay[RowYear],"&gt;="&amp;$C$4,DaybyDay[Date],"&lt;="&amp;DaybyDay[[#This Row],[Date]])</f>
        <v>0</v>
      </c>
      <c r="AU773" s="82" t="str">
        <f>IF(AND(DaybyDay[[#This Row],[_Space]],ISNUMBER(DaybyDay[[#This Row],[Retail Hours]])),DaybyDay[[#This Row],[Est-Retail-Payroll]]/(DaybyDay[[#This Row],[Retail-Actuals]]),"")</f>
        <v/>
      </c>
      <c r="AV773" s="82" t="e">
        <f>DaybyDay[[#This Row],[Est-Retail-PayrollRU]]/DaybyDay[[#This Row],[Simple-Forecast-Retail]]</f>
        <v>#DIV/0!</v>
      </c>
      <c r="AW773" s="8"/>
      <c r="AX773" s="49"/>
      <c r="AY773" s="48"/>
      <c r="AZ773" s="47"/>
      <c r="BA773" s="47"/>
      <c r="BB773" s="47"/>
      <c r="BC773" s="47"/>
      <c r="BD773" s="47"/>
    </row>
    <row r="774" spans="3:56" hidden="1" x14ac:dyDescent="0.25">
      <c r="C774" s="26" t="str">
        <f>Tools!$C$1</f>
        <v>Example</v>
      </c>
      <c r="D774" s="27" t="s">
        <v>69</v>
      </c>
      <c r="E774" s="28">
        <v>2019</v>
      </c>
      <c r="F774" s="28">
        <f>MATCH(DaybyDay[[#This Row],[RowMonth]],Table3[SummaryMonth],0)</f>
        <v>2</v>
      </c>
      <c r="G774" s="29">
        <f>MATCH(DaybyDay[[#This Row],[LY-Date]],DaybyDay[Date],0)</f>
        <v>404</v>
      </c>
      <c r="H774" s="30">
        <f>WEEKDAY(DaybyDay[[#This Row],[Date]])</f>
        <v>5</v>
      </c>
      <c r="I774" s="31">
        <v>43503</v>
      </c>
      <c r="J774" s="74">
        <v>18</v>
      </c>
      <c r="K774" s="32">
        <f>SUMIFS(BudgetSeasonality[365 Seasonality],BudgetSeasonality[MonthAdjustment],DaybyDay[[#This Row],[Date]])*SUMIFS(Budgets[Service-Budget],Budgets[BudgetMonth],DaybyDay[[#This Row],[RowMonth]],Budgets[BudgetYear],DaybyDay[[#This Row],[RowYear]])</f>
        <v>4474.9147134836294</v>
      </c>
      <c r="L774" s="75">
        <v>3612.7</v>
      </c>
      <c r="M774" s="32">
        <f>INDEX(BudgetSeasonality[365 Seasonality],MATCH(DaybyDay[[#This Row],[Date]],BudgetSeasonality[MonthAdjustment],0))*SUMIFS(Budgets[Retail-Budget],Budgets[BudgetMonth],DaybyDay[[#This Row],[RowMonth]],Budgets[BudgetYear],DaybyDay[[#This Row],[RowYear]])</f>
        <v>1071.212713740442</v>
      </c>
      <c r="N774" s="75">
        <v>201</v>
      </c>
      <c r="O774" s="33">
        <f>SUMIFS(DaybyDay[Service-Budgets],DaybyDay[Date],"&gt;="&amp;$C$5,DaybyDay[RowYear],"&gt;="&amp;$C$4,DaybyDay[Date],"&lt;="&amp;DaybyDay[[#This Row],[Date]])</f>
        <v>0</v>
      </c>
      <c r="P774" s="33">
        <f>SUMIFS(DaybyDay[Retail-Budgets],DaybyDay[Date],"&gt;="&amp;$C$5,DaybyDay[RowYear],"&gt;="&amp;$C$4,DaybyDay[Date],"&lt;="&amp;DaybyDay[[#This Row],[Date]])</f>
        <v>0</v>
      </c>
      <c r="Q774" s="34">
        <f>SUMIFS(DaybyDay[Service-Actuals],DaybyDay[Date],"&gt;="&amp;$C$5,DaybyDay[RowYear],"&gt;="&amp;$C$4,DaybyDay[Date],"&lt;="&amp;DaybyDay[[#This Row],[Date]])</f>
        <v>0</v>
      </c>
      <c r="R774" s="34">
        <f>SUMIFS(DaybyDay[Retail-Actuals],DaybyDay[Date],"&gt;="&amp;$C$5,DaybyDay[RowYear],"&gt;="&amp;$C$4,DaybyDay[Date],"&lt;="&amp;DaybyDay[[#This Row],[Date]])</f>
        <v>0</v>
      </c>
      <c r="S774" s="35">
        <f>SUMIFS(DaybyDay[Service-LY],DaybyDay[Date],"&gt;="&amp;$C$5,DaybyDay[RowYear],"&gt;="&amp;$C$4,DaybyDay[Date],"&lt;="&amp;DaybyDay[[#This Row],[Date]])</f>
        <v>0</v>
      </c>
      <c r="T774" s="35">
        <f>SUMIFS(DaybyDay[Retail-LY],DaybyDay[Date],"&gt;="&amp;$C$5,DaybyDay[RowYear],"&gt;="&amp;$C$4,DaybyDay[Date],"&lt;="&amp;DaybyDay[[#This Row],[Date]])</f>
        <v>0</v>
      </c>
      <c r="U774" s="32">
        <f>DaybyDay[[#This Row],[Serv-Bud-RU]]+DaybyDay[[#This Row],[Ret-Bud-RU]]</f>
        <v>0</v>
      </c>
      <c r="V774" s="32">
        <f>DaybyDay[[#This Row],[Serv-Act-RU]]+DaybyDay[[#This Row],[Ret-Act-RU]]</f>
        <v>0</v>
      </c>
      <c r="W774" s="36">
        <f>IF(DaybyDay[[#This Row],[_Space]],IFERROR(
((DaybyDay[[#This Row],[Actual-Rollup]]-DaybyDay[[#This Row],[Budget-Rollup]])/DaybyDay[[#This Row],[Budget-Rollup]]),0),"")</f>
        <v>0</v>
      </c>
      <c r="X774" t="b">
        <f>NOT(AND(ISBLANK(DaybyDay[[#This Row],[Appts]]),ISBLANK(DaybyDay[[#This Row],[Service-Actuals]]),ISBLANK(DaybyDay[[#This Row],[Retail-Actuals]])))</f>
        <v>1</v>
      </c>
      <c r="Y774" s="36">
        <f>IF(DaybyDay[[#This Row],[_Space]],IFERROR(
((DaybyDay[[#This Row],[Actual-Rollup]]-DaybyDay[[#This Row],[LY-Rollup]])/DaybyDay[[#This Row],[LY-Rollup]]),0),"")</f>
        <v>0</v>
      </c>
      <c r="Z774"/>
      <c r="AA774" s="37" t="e">
        <f>IF(DaybyDay[[#This Row],[_Space]],DaybyDay[[#This Row],[Ret-Act-RU]]/DaybyDay[[#This Row],[Serv-Act-RU]],"")</f>
        <v>#DIV/0!</v>
      </c>
      <c r="AB774" s="50" t="e">
        <f>IF(DaybyDay[[#This Row],[_Space]],DaybyDay[[#This Row],[RETPEN-Act]]/DaybyDay[[#This Row],[RETPEN-Bud]],"")</f>
        <v>#DIV/0!</v>
      </c>
      <c r="AC774" s="37" t="e">
        <f>IF(DaybyDay[[#This Row],[_Space]],DaybyDay[[#This Row],[Ret-Bud-RU]]/DaybyDay[[#This Row],[Serv-Bud-RU]],"")</f>
        <v>#DIV/0!</v>
      </c>
      <c r="AD774" s="37" t="e">
        <f>IF(DaybyDay[[#This Row],[_Space]],DaybyDay[[#This Row],[Ret-LY-RU]]/DaybyDay[[#This Row],[Serv-LY-RU]],"")</f>
        <v>#DIV/0!</v>
      </c>
      <c r="AE774" s="30">
        <f>WEEKDAY(DaybyDay[[#This Row],[LY-Date]])</f>
        <v>5</v>
      </c>
      <c r="AF774" s="38">
        <f>$E$2+_xlfn.DAYS(DaybyDay[[#This Row],[Date]],minDate)</f>
        <v>43139</v>
      </c>
      <c r="AG774" s="39" cm="1">
        <f t="array" ref="AG774">IFERROR(INDEX(DaybyDay[],DaybyDay[[#This Row],[FORM_MATCH_HELPER]],8),"")</f>
        <v>17</v>
      </c>
      <c r="AH774" s="39" cm="1">
        <f t="array" ref="AH774">IFERROR(INDEX(DaybyDay[],DaybyDay[[#This Row],[FORM_MATCH_HELPER]],10),"")</f>
        <v>2202</v>
      </c>
      <c r="AI774" s="39" cm="1">
        <f t="array" ref="AI774">IFERROR(INDEX(DaybyDay[],DaybyDay[[#This Row],[FORM_MATCH_HELPER]],12),"")</f>
        <v>1485.5</v>
      </c>
      <c r="AJ774" s="32">
        <f>IFERROR(DaybyDay[[#This Row],[Serv-LY-RU]]+DaybyDay[[#This Row],[Ret-LY-RU]],"")</f>
        <v>0</v>
      </c>
      <c r="AK7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4" s="77"/>
      <c r="AM774" s="40" t="str">
        <f>IF(DaybyDay[[#This Row],[Admin Hours]]&gt;0,DaybyDay[[#This Row],[Admin Hours]]*$AM$2+$AM$3,"")</f>
        <v/>
      </c>
      <c r="AN774" s="40">
        <f>SUMIFS(DaybyDay[Est-Admin-Payroll],DaybyDay[Date],"&gt;="&amp;$C$5,DaybyDay[RowYear],"&gt;="&amp;$C$4,DaybyDay[Date],"&lt;="&amp;DaybyDay[[#This Row],[Date]])</f>
        <v>0</v>
      </c>
      <c r="AO774" s="41" t="str">
        <f>IF(AND(DaybyDay[[#This Row],[_Space]],ISNUMBER(DaybyDay[[#This Row],[Admin Hours]])),DaybyDay[[#This Row],[Est-Admin-Payroll]]/(DaybyDay[[#This Row],[Service-Actuals]]+DaybyDay[[#This Row],[Retail-Actuals]]),"")</f>
        <v/>
      </c>
      <c r="AP774" s="41" t="e">
        <f>DaybyDay[[#This Row],[Estimated-Payroll-Rollup]]/DaybyDay[[#This Row],[Simple-Forecast]]</f>
        <v>#DIV/0!</v>
      </c>
      <c r="AQ7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4" s="77"/>
      <c r="AS774" s="40" t="str">
        <f>IF(DaybyDay[[#This Row],[Retail Hours]]&gt;0,DaybyDay[[#This Row],[Retail Hours]]*$AS$2,"")</f>
        <v/>
      </c>
      <c r="AT774" s="40">
        <f>SUMIFS(DaybyDay[Est-Retail-Payroll],DaybyDay[Date],"&gt;="&amp;$C$5,DaybyDay[RowYear],"&gt;="&amp;$C$4,DaybyDay[Date],"&lt;="&amp;DaybyDay[[#This Row],[Date]])</f>
        <v>0</v>
      </c>
      <c r="AU774" s="82" t="str">
        <f>IF(AND(DaybyDay[[#This Row],[_Space]],ISNUMBER(DaybyDay[[#This Row],[Retail Hours]])),DaybyDay[[#This Row],[Est-Retail-Payroll]]/(DaybyDay[[#This Row],[Retail-Actuals]]),"")</f>
        <v/>
      </c>
      <c r="AV774" s="82" t="e">
        <f>DaybyDay[[#This Row],[Est-Retail-PayrollRU]]/DaybyDay[[#This Row],[Simple-Forecast-Retail]]</f>
        <v>#DIV/0!</v>
      </c>
      <c r="AW774" s="8"/>
      <c r="AX774" s="49"/>
      <c r="AY774" s="48"/>
      <c r="AZ774" s="47"/>
      <c r="BA774" s="47"/>
      <c r="BB774" s="47"/>
      <c r="BC774" s="47"/>
      <c r="BD774" s="47"/>
    </row>
    <row r="775" spans="3:56" hidden="1" x14ac:dyDescent="0.25">
      <c r="C775" s="26" t="str">
        <f>Tools!$C$1</f>
        <v>Example</v>
      </c>
      <c r="D775" s="27" t="s">
        <v>69</v>
      </c>
      <c r="E775" s="28">
        <v>2019</v>
      </c>
      <c r="F775" s="28">
        <f>MATCH(DaybyDay[[#This Row],[RowMonth]],Table3[SummaryMonth],0)</f>
        <v>2</v>
      </c>
      <c r="G775" s="29">
        <f>MATCH(DaybyDay[[#This Row],[LY-Date]],DaybyDay[Date],0)</f>
        <v>405</v>
      </c>
      <c r="H775" s="30">
        <f>WEEKDAY(DaybyDay[[#This Row],[Date]])</f>
        <v>6</v>
      </c>
      <c r="I775" s="31">
        <v>43504</v>
      </c>
      <c r="J775" s="74">
        <v>33</v>
      </c>
      <c r="K775" s="32">
        <f>SUMIFS(BudgetSeasonality[365 Seasonality],BudgetSeasonality[MonthAdjustment],DaybyDay[[#This Row],[Date]])*SUMIFS(Budgets[Service-Budget],Budgets[BudgetMonth],DaybyDay[[#This Row],[RowMonth]],Budgets[BudgetYear],DaybyDay[[#This Row],[RowYear]])</f>
        <v>5329.5707756357115</v>
      </c>
      <c r="L775" s="75">
        <v>6058.15</v>
      </c>
      <c r="M775" s="32">
        <f>INDEX(BudgetSeasonality[365 Seasonality],MATCH(DaybyDay[[#This Row],[Date]],BudgetSeasonality[MonthAdjustment],0))*SUMIFS(Budgets[Retail-Budget],Budgets[BudgetMonth],DaybyDay[[#This Row],[RowMonth]],Budgets[BudgetYear],DaybyDay[[#This Row],[RowYear]])</f>
        <v>1275.801739067349</v>
      </c>
      <c r="N775" s="75">
        <v>265</v>
      </c>
      <c r="O775" s="33">
        <f>SUMIFS(DaybyDay[Service-Budgets],DaybyDay[Date],"&gt;="&amp;$C$5,DaybyDay[RowYear],"&gt;="&amp;$C$4,DaybyDay[Date],"&lt;="&amp;DaybyDay[[#This Row],[Date]])</f>
        <v>0</v>
      </c>
      <c r="P775" s="33">
        <f>SUMIFS(DaybyDay[Retail-Budgets],DaybyDay[Date],"&gt;="&amp;$C$5,DaybyDay[RowYear],"&gt;="&amp;$C$4,DaybyDay[Date],"&lt;="&amp;DaybyDay[[#This Row],[Date]])</f>
        <v>0</v>
      </c>
      <c r="Q775" s="34">
        <f>SUMIFS(DaybyDay[Service-Actuals],DaybyDay[Date],"&gt;="&amp;$C$5,DaybyDay[RowYear],"&gt;="&amp;$C$4,DaybyDay[Date],"&lt;="&amp;DaybyDay[[#This Row],[Date]])</f>
        <v>0</v>
      </c>
      <c r="R775" s="34">
        <f>SUMIFS(DaybyDay[Retail-Actuals],DaybyDay[Date],"&gt;="&amp;$C$5,DaybyDay[RowYear],"&gt;="&amp;$C$4,DaybyDay[Date],"&lt;="&amp;DaybyDay[[#This Row],[Date]])</f>
        <v>0</v>
      </c>
      <c r="S775" s="35">
        <f>SUMIFS(DaybyDay[Service-LY],DaybyDay[Date],"&gt;="&amp;$C$5,DaybyDay[RowYear],"&gt;="&amp;$C$4,DaybyDay[Date],"&lt;="&amp;DaybyDay[[#This Row],[Date]])</f>
        <v>0</v>
      </c>
      <c r="T775" s="35">
        <f>SUMIFS(DaybyDay[Retail-LY],DaybyDay[Date],"&gt;="&amp;$C$5,DaybyDay[RowYear],"&gt;="&amp;$C$4,DaybyDay[Date],"&lt;="&amp;DaybyDay[[#This Row],[Date]])</f>
        <v>0</v>
      </c>
      <c r="U775" s="32">
        <f>DaybyDay[[#This Row],[Serv-Bud-RU]]+DaybyDay[[#This Row],[Ret-Bud-RU]]</f>
        <v>0</v>
      </c>
      <c r="V775" s="32">
        <f>DaybyDay[[#This Row],[Serv-Act-RU]]+DaybyDay[[#This Row],[Ret-Act-RU]]</f>
        <v>0</v>
      </c>
      <c r="W775" s="36">
        <f>IF(DaybyDay[[#This Row],[_Space]],IFERROR(
((DaybyDay[[#This Row],[Actual-Rollup]]-DaybyDay[[#This Row],[Budget-Rollup]])/DaybyDay[[#This Row],[Budget-Rollup]]),0),"")</f>
        <v>0</v>
      </c>
      <c r="X775" t="b">
        <f>NOT(AND(ISBLANK(DaybyDay[[#This Row],[Appts]]),ISBLANK(DaybyDay[[#This Row],[Service-Actuals]]),ISBLANK(DaybyDay[[#This Row],[Retail-Actuals]])))</f>
        <v>1</v>
      </c>
      <c r="Y775" s="36">
        <f>IF(DaybyDay[[#This Row],[_Space]],IFERROR(
((DaybyDay[[#This Row],[Actual-Rollup]]-DaybyDay[[#This Row],[LY-Rollup]])/DaybyDay[[#This Row],[LY-Rollup]]),0),"")</f>
        <v>0</v>
      </c>
      <c r="Z775"/>
      <c r="AA775" s="37" t="e">
        <f>IF(DaybyDay[[#This Row],[_Space]],DaybyDay[[#This Row],[Ret-Act-RU]]/DaybyDay[[#This Row],[Serv-Act-RU]],"")</f>
        <v>#DIV/0!</v>
      </c>
      <c r="AB775" s="50" t="e">
        <f>IF(DaybyDay[[#This Row],[_Space]],DaybyDay[[#This Row],[RETPEN-Act]]/DaybyDay[[#This Row],[RETPEN-Bud]],"")</f>
        <v>#DIV/0!</v>
      </c>
      <c r="AC775" s="37" t="e">
        <f>IF(DaybyDay[[#This Row],[_Space]],DaybyDay[[#This Row],[Ret-Bud-RU]]/DaybyDay[[#This Row],[Serv-Bud-RU]],"")</f>
        <v>#DIV/0!</v>
      </c>
      <c r="AD775" s="37" t="e">
        <f>IF(DaybyDay[[#This Row],[_Space]],DaybyDay[[#This Row],[Ret-LY-RU]]/DaybyDay[[#This Row],[Serv-LY-RU]],"")</f>
        <v>#DIV/0!</v>
      </c>
      <c r="AE775" s="30">
        <f>WEEKDAY(DaybyDay[[#This Row],[LY-Date]])</f>
        <v>6</v>
      </c>
      <c r="AF775" s="38">
        <f>$E$2+_xlfn.DAYS(DaybyDay[[#This Row],[Date]],minDate)</f>
        <v>43140</v>
      </c>
      <c r="AG775" s="39" cm="1">
        <f t="array" ref="AG775">IFERROR(INDEX(DaybyDay[],DaybyDay[[#This Row],[FORM_MATCH_HELPER]],8),"")</f>
        <v>22</v>
      </c>
      <c r="AH775" s="39" cm="1">
        <f t="array" ref="AH775">IFERROR(INDEX(DaybyDay[],DaybyDay[[#This Row],[FORM_MATCH_HELPER]],10),"")</f>
        <v>5540.5</v>
      </c>
      <c r="AI775" s="39" cm="1">
        <f t="array" ref="AI775">IFERROR(INDEX(DaybyDay[],DaybyDay[[#This Row],[FORM_MATCH_HELPER]],12),"")</f>
        <v>768.5</v>
      </c>
      <c r="AJ775" s="32">
        <f>IFERROR(DaybyDay[[#This Row],[Serv-LY-RU]]+DaybyDay[[#This Row],[Ret-LY-RU]],"")</f>
        <v>0</v>
      </c>
      <c r="AK7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5" s="77"/>
      <c r="AM775" s="40" t="str">
        <f>IF(DaybyDay[[#This Row],[Admin Hours]]&gt;0,DaybyDay[[#This Row],[Admin Hours]]*$AM$2+$AM$3,"")</f>
        <v/>
      </c>
      <c r="AN775" s="40">
        <f>SUMIFS(DaybyDay[Est-Admin-Payroll],DaybyDay[Date],"&gt;="&amp;$C$5,DaybyDay[RowYear],"&gt;="&amp;$C$4,DaybyDay[Date],"&lt;="&amp;DaybyDay[[#This Row],[Date]])</f>
        <v>0</v>
      </c>
      <c r="AO775" s="41" t="str">
        <f>IF(AND(DaybyDay[[#This Row],[_Space]],ISNUMBER(DaybyDay[[#This Row],[Admin Hours]])),DaybyDay[[#This Row],[Est-Admin-Payroll]]/(DaybyDay[[#This Row],[Service-Actuals]]+DaybyDay[[#This Row],[Retail-Actuals]]),"")</f>
        <v/>
      </c>
      <c r="AP775" s="41" t="e">
        <f>DaybyDay[[#This Row],[Estimated-Payroll-Rollup]]/DaybyDay[[#This Row],[Simple-Forecast]]</f>
        <v>#DIV/0!</v>
      </c>
      <c r="AQ7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5" s="77"/>
      <c r="AS775" s="40" t="str">
        <f>IF(DaybyDay[[#This Row],[Retail Hours]]&gt;0,DaybyDay[[#This Row],[Retail Hours]]*$AS$2,"")</f>
        <v/>
      </c>
      <c r="AT775" s="40">
        <f>SUMIFS(DaybyDay[Est-Retail-Payroll],DaybyDay[Date],"&gt;="&amp;$C$5,DaybyDay[RowYear],"&gt;="&amp;$C$4,DaybyDay[Date],"&lt;="&amp;DaybyDay[[#This Row],[Date]])</f>
        <v>0</v>
      </c>
      <c r="AU775" s="82" t="str">
        <f>IF(AND(DaybyDay[[#This Row],[_Space]],ISNUMBER(DaybyDay[[#This Row],[Retail Hours]])),DaybyDay[[#This Row],[Est-Retail-Payroll]]/(DaybyDay[[#This Row],[Retail-Actuals]]),"")</f>
        <v/>
      </c>
      <c r="AV775" s="82" t="e">
        <f>DaybyDay[[#This Row],[Est-Retail-PayrollRU]]/DaybyDay[[#This Row],[Simple-Forecast-Retail]]</f>
        <v>#DIV/0!</v>
      </c>
      <c r="AW775" s="8"/>
      <c r="AX775" s="49"/>
      <c r="AY775" s="48"/>
      <c r="AZ775" s="47"/>
      <c r="BA775" s="47"/>
      <c r="BB775" s="47"/>
      <c r="BC775" s="47"/>
      <c r="BD775" s="47"/>
    </row>
    <row r="776" spans="3:56" hidden="1" x14ac:dyDescent="0.25">
      <c r="C776" s="26" t="str">
        <f>Tools!$C$1</f>
        <v>Example</v>
      </c>
      <c r="D776" s="27" t="s">
        <v>69</v>
      </c>
      <c r="E776" s="28">
        <v>2019</v>
      </c>
      <c r="F776" s="28">
        <f>MATCH(DaybyDay[[#This Row],[RowMonth]],Table3[SummaryMonth],0)</f>
        <v>2</v>
      </c>
      <c r="G776" s="29">
        <f>MATCH(DaybyDay[[#This Row],[LY-Date]],DaybyDay[Date],0)</f>
        <v>406</v>
      </c>
      <c r="H776" s="30">
        <f>WEEKDAY(DaybyDay[[#This Row],[Date]])</f>
        <v>7</v>
      </c>
      <c r="I776" s="31">
        <v>43505</v>
      </c>
      <c r="J776" s="74">
        <v>35</v>
      </c>
      <c r="K776" s="32">
        <f>SUMIFS(BudgetSeasonality[365 Seasonality],BudgetSeasonality[MonthAdjustment],DaybyDay[[#This Row],[Date]])*SUMIFS(Budgets[Service-Budget],Budgets[BudgetMonth],DaybyDay[[#This Row],[RowMonth]],Budgets[BudgetYear],DaybyDay[[#This Row],[RowYear]])</f>
        <v>7142.8285116610641</v>
      </c>
      <c r="L776" s="75">
        <v>8735.99</v>
      </c>
      <c r="M776" s="32">
        <f>INDEX(BudgetSeasonality[365 Seasonality],MATCH(DaybyDay[[#This Row],[Date]],BudgetSeasonality[MonthAdjustment],0))*SUMIFS(Budgets[Retail-Budget],Budgets[BudgetMonth],DaybyDay[[#This Row],[RowMonth]],Budgets[BudgetYear],DaybyDay[[#This Row],[RowYear]])</f>
        <v>1709.8624674798602</v>
      </c>
      <c r="N776" s="75">
        <v>1450</v>
      </c>
      <c r="O776" s="33">
        <f>SUMIFS(DaybyDay[Service-Budgets],DaybyDay[Date],"&gt;="&amp;$C$5,DaybyDay[RowYear],"&gt;="&amp;$C$4,DaybyDay[Date],"&lt;="&amp;DaybyDay[[#This Row],[Date]])</f>
        <v>0</v>
      </c>
      <c r="P776" s="33">
        <f>SUMIFS(DaybyDay[Retail-Budgets],DaybyDay[Date],"&gt;="&amp;$C$5,DaybyDay[RowYear],"&gt;="&amp;$C$4,DaybyDay[Date],"&lt;="&amp;DaybyDay[[#This Row],[Date]])</f>
        <v>0</v>
      </c>
      <c r="Q776" s="34">
        <f>SUMIFS(DaybyDay[Service-Actuals],DaybyDay[Date],"&gt;="&amp;$C$5,DaybyDay[RowYear],"&gt;="&amp;$C$4,DaybyDay[Date],"&lt;="&amp;DaybyDay[[#This Row],[Date]])</f>
        <v>0</v>
      </c>
      <c r="R776" s="34">
        <f>SUMIFS(DaybyDay[Retail-Actuals],DaybyDay[Date],"&gt;="&amp;$C$5,DaybyDay[RowYear],"&gt;="&amp;$C$4,DaybyDay[Date],"&lt;="&amp;DaybyDay[[#This Row],[Date]])</f>
        <v>0</v>
      </c>
      <c r="S776" s="35">
        <f>SUMIFS(DaybyDay[Service-LY],DaybyDay[Date],"&gt;="&amp;$C$5,DaybyDay[RowYear],"&gt;="&amp;$C$4,DaybyDay[Date],"&lt;="&amp;DaybyDay[[#This Row],[Date]])</f>
        <v>0</v>
      </c>
      <c r="T776" s="35">
        <f>SUMIFS(DaybyDay[Retail-LY],DaybyDay[Date],"&gt;="&amp;$C$5,DaybyDay[RowYear],"&gt;="&amp;$C$4,DaybyDay[Date],"&lt;="&amp;DaybyDay[[#This Row],[Date]])</f>
        <v>0</v>
      </c>
      <c r="U776" s="32">
        <f>DaybyDay[[#This Row],[Serv-Bud-RU]]+DaybyDay[[#This Row],[Ret-Bud-RU]]</f>
        <v>0</v>
      </c>
      <c r="V776" s="32">
        <f>DaybyDay[[#This Row],[Serv-Act-RU]]+DaybyDay[[#This Row],[Ret-Act-RU]]</f>
        <v>0</v>
      </c>
      <c r="W776" s="36">
        <f>IF(DaybyDay[[#This Row],[_Space]],IFERROR(
((DaybyDay[[#This Row],[Actual-Rollup]]-DaybyDay[[#This Row],[Budget-Rollup]])/DaybyDay[[#This Row],[Budget-Rollup]]),0),"")</f>
        <v>0</v>
      </c>
      <c r="X776" t="b">
        <f>NOT(AND(ISBLANK(DaybyDay[[#This Row],[Appts]]),ISBLANK(DaybyDay[[#This Row],[Service-Actuals]]),ISBLANK(DaybyDay[[#This Row],[Retail-Actuals]])))</f>
        <v>1</v>
      </c>
      <c r="Y776" s="36">
        <f>IF(DaybyDay[[#This Row],[_Space]],IFERROR(
((DaybyDay[[#This Row],[Actual-Rollup]]-DaybyDay[[#This Row],[LY-Rollup]])/DaybyDay[[#This Row],[LY-Rollup]]),0),"")</f>
        <v>0</v>
      </c>
      <c r="Z776"/>
      <c r="AA776" s="37" t="e">
        <f>IF(DaybyDay[[#This Row],[_Space]],DaybyDay[[#This Row],[Ret-Act-RU]]/DaybyDay[[#This Row],[Serv-Act-RU]],"")</f>
        <v>#DIV/0!</v>
      </c>
      <c r="AB776" s="50" t="e">
        <f>IF(DaybyDay[[#This Row],[_Space]],DaybyDay[[#This Row],[RETPEN-Act]]/DaybyDay[[#This Row],[RETPEN-Bud]],"")</f>
        <v>#DIV/0!</v>
      </c>
      <c r="AC776" s="37" t="e">
        <f>IF(DaybyDay[[#This Row],[_Space]],DaybyDay[[#This Row],[Ret-Bud-RU]]/DaybyDay[[#This Row],[Serv-Bud-RU]],"")</f>
        <v>#DIV/0!</v>
      </c>
      <c r="AD776" s="37" t="e">
        <f>IF(DaybyDay[[#This Row],[_Space]],DaybyDay[[#This Row],[Ret-LY-RU]]/DaybyDay[[#This Row],[Serv-LY-RU]],"")</f>
        <v>#DIV/0!</v>
      </c>
      <c r="AE776" s="30">
        <f>WEEKDAY(DaybyDay[[#This Row],[LY-Date]])</f>
        <v>7</v>
      </c>
      <c r="AF776" s="38">
        <f>$E$2+_xlfn.DAYS(DaybyDay[[#This Row],[Date]],minDate)</f>
        <v>43141</v>
      </c>
      <c r="AG776" s="39" cm="1">
        <f t="array" ref="AG776">IFERROR(INDEX(DaybyDay[],DaybyDay[[#This Row],[FORM_MATCH_HELPER]],8),"")</f>
        <v>29</v>
      </c>
      <c r="AH776" s="39" cm="1">
        <f t="array" ref="AH776">IFERROR(INDEX(DaybyDay[],DaybyDay[[#This Row],[FORM_MATCH_HELPER]],10),"")</f>
        <v>7054.27</v>
      </c>
      <c r="AI776" s="39" cm="1">
        <f t="array" ref="AI776">IFERROR(INDEX(DaybyDay[],DaybyDay[[#This Row],[FORM_MATCH_HELPER]],12),"")</f>
        <v>461</v>
      </c>
      <c r="AJ776" s="32">
        <f>IFERROR(DaybyDay[[#This Row],[Serv-LY-RU]]+DaybyDay[[#This Row],[Ret-LY-RU]],"")</f>
        <v>0</v>
      </c>
      <c r="AK7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6" s="77"/>
      <c r="AM776" s="40" t="str">
        <f>IF(DaybyDay[[#This Row],[Admin Hours]]&gt;0,DaybyDay[[#This Row],[Admin Hours]]*$AM$2+$AM$3,"")</f>
        <v/>
      </c>
      <c r="AN776" s="40">
        <f>SUMIFS(DaybyDay[Est-Admin-Payroll],DaybyDay[Date],"&gt;="&amp;$C$5,DaybyDay[RowYear],"&gt;="&amp;$C$4,DaybyDay[Date],"&lt;="&amp;DaybyDay[[#This Row],[Date]])</f>
        <v>0</v>
      </c>
      <c r="AO776" s="41" t="str">
        <f>IF(AND(DaybyDay[[#This Row],[_Space]],ISNUMBER(DaybyDay[[#This Row],[Admin Hours]])),DaybyDay[[#This Row],[Est-Admin-Payroll]]/(DaybyDay[[#This Row],[Service-Actuals]]+DaybyDay[[#This Row],[Retail-Actuals]]),"")</f>
        <v/>
      </c>
      <c r="AP776" s="41" t="e">
        <f>DaybyDay[[#This Row],[Estimated-Payroll-Rollup]]/DaybyDay[[#This Row],[Simple-Forecast]]</f>
        <v>#DIV/0!</v>
      </c>
      <c r="AQ7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6" s="77"/>
      <c r="AS776" s="40" t="str">
        <f>IF(DaybyDay[[#This Row],[Retail Hours]]&gt;0,DaybyDay[[#This Row],[Retail Hours]]*$AS$2,"")</f>
        <v/>
      </c>
      <c r="AT776" s="40">
        <f>SUMIFS(DaybyDay[Est-Retail-Payroll],DaybyDay[Date],"&gt;="&amp;$C$5,DaybyDay[RowYear],"&gt;="&amp;$C$4,DaybyDay[Date],"&lt;="&amp;DaybyDay[[#This Row],[Date]])</f>
        <v>0</v>
      </c>
      <c r="AU776" s="82" t="str">
        <f>IF(AND(DaybyDay[[#This Row],[_Space]],ISNUMBER(DaybyDay[[#This Row],[Retail Hours]])),DaybyDay[[#This Row],[Est-Retail-Payroll]]/(DaybyDay[[#This Row],[Retail-Actuals]]),"")</f>
        <v/>
      </c>
      <c r="AV776" s="82" t="e">
        <f>DaybyDay[[#This Row],[Est-Retail-PayrollRU]]/DaybyDay[[#This Row],[Simple-Forecast-Retail]]</f>
        <v>#DIV/0!</v>
      </c>
      <c r="AW776" s="8"/>
      <c r="AX776" s="49"/>
      <c r="AY776" s="48"/>
      <c r="AZ776" s="47"/>
      <c r="BA776" s="47"/>
      <c r="BB776" s="47"/>
      <c r="BC776" s="47"/>
      <c r="BD776" s="47"/>
    </row>
    <row r="777" spans="3:56" hidden="1" x14ac:dyDescent="0.25">
      <c r="C777" s="26" t="str">
        <f>Tools!$C$1</f>
        <v>Example</v>
      </c>
      <c r="D777" s="27" t="s">
        <v>69</v>
      </c>
      <c r="E777" s="28">
        <v>2019</v>
      </c>
      <c r="F777" s="28">
        <f>MATCH(DaybyDay[[#This Row],[RowMonth]],Table3[SummaryMonth],0)</f>
        <v>2</v>
      </c>
      <c r="G777" s="29">
        <f>MATCH(DaybyDay[[#This Row],[LY-Date]],DaybyDay[Date],0)</f>
        <v>407</v>
      </c>
      <c r="H777" s="30">
        <f>WEEKDAY(DaybyDay[[#This Row],[Date]])</f>
        <v>1</v>
      </c>
      <c r="I777" s="31">
        <v>43506</v>
      </c>
      <c r="J777" s="74">
        <v>38</v>
      </c>
      <c r="K777" s="32">
        <f>SUMIFS(BudgetSeasonality[365 Seasonality],BudgetSeasonality[MonthAdjustment],DaybyDay[[#This Row],[Date]])*SUMIFS(Budgets[Service-Budget],Budgets[BudgetMonth],DaybyDay[[#This Row],[RowMonth]],Budgets[BudgetYear],DaybyDay[[#This Row],[RowYear]])</f>
        <v>5765.4018517870918</v>
      </c>
      <c r="L777" s="75">
        <v>7402.36</v>
      </c>
      <c r="M777" s="32">
        <f>INDEX(BudgetSeasonality[365 Seasonality],MATCH(DaybyDay[[#This Row],[Date]],BudgetSeasonality[MonthAdjustment],0))*SUMIFS(Budgets[Retail-Budget],Budgets[BudgetMonth],DaybyDay[[#This Row],[RowMonth]],Budgets[BudgetYear],DaybyDay[[#This Row],[RowYear]])</f>
        <v>1380.1317251584339</v>
      </c>
      <c r="N777" s="75">
        <v>504</v>
      </c>
      <c r="O777" s="33">
        <f>SUMIFS(DaybyDay[Service-Budgets],DaybyDay[Date],"&gt;="&amp;$C$5,DaybyDay[RowYear],"&gt;="&amp;$C$4,DaybyDay[Date],"&lt;="&amp;DaybyDay[[#This Row],[Date]])</f>
        <v>0</v>
      </c>
      <c r="P777" s="33">
        <f>SUMIFS(DaybyDay[Retail-Budgets],DaybyDay[Date],"&gt;="&amp;$C$5,DaybyDay[RowYear],"&gt;="&amp;$C$4,DaybyDay[Date],"&lt;="&amp;DaybyDay[[#This Row],[Date]])</f>
        <v>0</v>
      </c>
      <c r="Q777" s="34">
        <f>SUMIFS(DaybyDay[Service-Actuals],DaybyDay[Date],"&gt;="&amp;$C$5,DaybyDay[RowYear],"&gt;="&amp;$C$4,DaybyDay[Date],"&lt;="&amp;DaybyDay[[#This Row],[Date]])</f>
        <v>0</v>
      </c>
      <c r="R777" s="34">
        <f>SUMIFS(DaybyDay[Retail-Actuals],DaybyDay[Date],"&gt;="&amp;$C$5,DaybyDay[RowYear],"&gt;="&amp;$C$4,DaybyDay[Date],"&lt;="&amp;DaybyDay[[#This Row],[Date]])</f>
        <v>0</v>
      </c>
      <c r="S777" s="35">
        <f>SUMIFS(DaybyDay[Service-LY],DaybyDay[Date],"&gt;="&amp;$C$5,DaybyDay[RowYear],"&gt;="&amp;$C$4,DaybyDay[Date],"&lt;="&amp;DaybyDay[[#This Row],[Date]])</f>
        <v>0</v>
      </c>
      <c r="T777" s="35">
        <f>SUMIFS(DaybyDay[Retail-LY],DaybyDay[Date],"&gt;="&amp;$C$5,DaybyDay[RowYear],"&gt;="&amp;$C$4,DaybyDay[Date],"&lt;="&amp;DaybyDay[[#This Row],[Date]])</f>
        <v>0</v>
      </c>
      <c r="U777" s="32">
        <f>DaybyDay[[#This Row],[Serv-Bud-RU]]+DaybyDay[[#This Row],[Ret-Bud-RU]]</f>
        <v>0</v>
      </c>
      <c r="V777" s="32">
        <f>DaybyDay[[#This Row],[Serv-Act-RU]]+DaybyDay[[#This Row],[Ret-Act-RU]]</f>
        <v>0</v>
      </c>
      <c r="W777" s="36">
        <f>IF(DaybyDay[[#This Row],[_Space]],IFERROR(
((DaybyDay[[#This Row],[Actual-Rollup]]-DaybyDay[[#This Row],[Budget-Rollup]])/DaybyDay[[#This Row],[Budget-Rollup]]),0),"")</f>
        <v>0</v>
      </c>
      <c r="X777" t="b">
        <f>NOT(AND(ISBLANK(DaybyDay[[#This Row],[Appts]]),ISBLANK(DaybyDay[[#This Row],[Service-Actuals]]),ISBLANK(DaybyDay[[#This Row],[Retail-Actuals]])))</f>
        <v>1</v>
      </c>
      <c r="Y777" s="36">
        <f>IF(DaybyDay[[#This Row],[_Space]],IFERROR(
((DaybyDay[[#This Row],[Actual-Rollup]]-DaybyDay[[#This Row],[LY-Rollup]])/DaybyDay[[#This Row],[LY-Rollup]]),0),"")</f>
        <v>0</v>
      </c>
      <c r="Z777"/>
      <c r="AA777" s="37" t="e">
        <f>IF(DaybyDay[[#This Row],[_Space]],DaybyDay[[#This Row],[Ret-Act-RU]]/DaybyDay[[#This Row],[Serv-Act-RU]],"")</f>
        <v>#DIV/0!</v>
      </c>
      <c r="AB777" s="50" t="e">
        <f>IF(DaybyDay[[#This Row],[_Space]],DaybyDay[[#This Row],[RETPEN-Act]]/DaybyDay[[#This Row],[RETPEN-Bud]],"")</f>
        <v>#DIV/0!</v>
      </c>
      <c r="AC777" s="37" t="e">
        <f>IF(DaybyDay[[#This Row],[_Space]],DaybyDay[[#This Row],[Ret-Bud-RU]]/DaybyDay[[#This Row],[Serv-Bud-RU]],"")</f>
        <v>#DIV/0!</v>
      </c>
      <c r="AD777" s="37" t="e">
        <f>IF(DaybyDay[[#This Row],[_Space]],DaybyDay[[#This Row],[Ret-LY-RU]]/DaybyDay[[#This Row],[Serv-LY-RU]],"")</f>
        <v>#DIV/0!</v>
      </c>
      <c r="AE777" s="30">
        <f>WEEKDAY(DaybyDay[[#This Row],[LY-Date]])</f>
        <v>1</v>
      </c>
      <c r="AF777" s="38">
        <f>$E$2+_xlfn.DAYS(DaybyDay[[#This Row],[Date]],minDate)</f>
        <v>43142</v>
      </c>
      <c r="AG777" s="39" cm="1">
        <f t="array" ref="AG777">IFERROR(INDEX(DaybyDay[],DaybyDay[[#This Row],[FORM_MATCH_HELPER]],8),"")</f>
        <v>30</v>
      </c>
      <c r="AH777" s="39" cm="1">
        <f t="array" ref="AH777">IFERROR(INDEX(DaybyDay[],DaybyDay[[#This Row],[FORM_MATCH_HELPER]],10),"")</f>
        <v>6090</v>
      </c>
      <c r="AI777" s="39" cm="1">
        <f t="array" ref="AI777">IFERROR(INDEX(DaybyDay[],DaybyDay[[#This Row],[FORM_MATCH_HELPER]],12),"")</f>
        <v>453</v>
      </c>
      <c r="AJ777" s="32">
        <f>IFERROR(DaybyDay[[#This Row],[Serv-LY-RU]]+DaybyDay[[#This Row],[Ret-LY-RU]],"")</f>
        <v>0</v>
      </c>
      <c r="AK7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7" s="77"/>
      <c r="AM777" s="40" t="str">
        <f>IF(DaybyDay[[#This Row],[Admin Hours]]&gt;0,DaybyDay[[#This Row],[Admin Hours]]*$AM$2+$AM$3,"")</f>
        <v/>
      </c>
      <c r="AN777" s="40">
        <f>SUMIFS(DaybyDay[Est-Admin-Payroll],DaybyDay[Date],"&gt;="&amp;$C$5,DaybyDay[RowYear],"&gt;="&amp;$C$4,DaybyDay[Date],"&lt;="&amp;DaybyDay[[#This Row],[Date]])</f>
        <v>0</v>
      </c>
      <c r="AO777" s="41" t="str">
        <f>IF(AND(DaybyDay[[#This Row],[_Space]],ISNUMBER(DaybyDay[[#This Row],[Admin Hours]])),DaybyDay[[#This Row],[Est-Admin-Payroll]]/(DaybyDay[[#This Row],[Service-Actuals]]+DaybyDay[[#This Row],[Retail-Actuals]]),"")</f>
        <v/>
      </c>
      <c r="AP777" s="41" t="e">
        <f>DaybyDay[[#This Row],[Estimated-Payroll-Rollup]]/DaybyDay[[#This Row],[Simple-Forecast]]</f>
        <v>#DIV/0!</v>
      </c>
      <c r="AQ7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7" s="77"/>
      <c r="AS777" s="40" t="str">
        <f>IF(DaybyDay[[#This Row],[Retail Hours]]&gt;0,DaybyDay[[#This Row],[Retail Hours]]*$AS$2,"")</f>
        <v/>
      </c>
      <c r="AT777" s="40">
        <f>SUMIFS(DaybyDay[Est-Retail-Payroll],DaybyDay[Date],"&gt;="&amp;$C$5,DaybyDay[RowYear],"&gt;="&amp;$C$4,DaybyDay[Date],"&lt;="&amp;DaybyDay[[#This Row],[Date]])</f>
        <v>0</v>
      </c>
      <c r="AU777" s="82" t="str">
        <f>IF(AND(DaybyDay[[#This Row],[_Space]],ISNUMBER(DaybyDay[[#This Row],[Retail Hours]])),DaybyDay[[#This Row],[Est-Retail-Payroll]]/(DaybyDay[[#This Row],[Retail-Actuals]]),"")</f>
        <v/>
      </c>
      <c r="AV777" s="82" t="e">
        <f>DaybyDay[[#This Row],[Est-Retail-PayrollRU]]/DaybyDay[[#This Row],[Simple-Forecast-Retail]]</f>
        <v>#DIV/0!</v>
      </c>
      <c r="AW777" s="8"/>
      <c r="AX777" s="49"/>
      <c r="AY777" s="48"/>
      <c r="AZ777" s="47"/>
      <c r="BA777" s="47"/>
      <c r="BB777" s="47"/>
      <c r="BC777" s="47"/>
      <c r="BD777" s="47"/>
    </row>
    <row r="778" spans="3:56" hidden="1" x14ac:dyDescent="0.25">
      <c r="C778" s="26" t="str">
        <f>Tools!$C$1</f>
        <v>Example</v>
      </c>
      <c r="D778" s="27" t="s">
        <v>69</v>
      </c>
      <c r="E778" s="28">
        <v>2019</v>
      </c>
      <c r="F778" s="28">
        <f>MATCH(DaybyDay[[#This Row],[RowMonth]],Table3[SummaryMonth],0)</f>
        <v>2</v>
      </c>
      <c r="G778" s="29">
        <f>MATCH(DaybyDay[[#This Row],[LY-Date]],DaybyDay[Date],0)</f>
        <v>408</v>
      </c>
      <c r="H778" s="30">
        <f>WEEKDAY(DaybyDay[[#This Row],[Date]])</f>
        <v>2</v>
      </c>
      <c r="I778" s="31">
        <v>43507</v>
      </c>
      <c r="J778" s="74">
        <v>23</v>
      </c>
      <c r="K778" s="32">
        <f>SUMIFS(BudgetSeasonality[365 Seasonality],BudgetSeasonality[MonthAdjustment],DaybyDay[[#This Row],[Date]])*SUMIFS(Budgets[Service-Budget],Budgets[BudgetMonth],DaybyDay[[#This Row],[RowMonth]],Budgets[BudgetYear],DaybyDay[[#This Row],[RowYear]])</f>
        <v>3760.0573772197808</v>
      </c>
      <c r="L778" s="75">
        <v>4408.6000000000004</v>
      </c>
      <c r="M778" s="32">
        <f>INDEX(BudgetSeasonality[365 Seasonality],MATCH(DaybyDay[[#This Row],[Date]],BudgetSeasonality[MonthAdjustment],0))*SUMIFS(Budgets[Retail-Budget],Budgets[BudgetMonth],DaybyDay[[#This Row],[RowMonth]],Budgets[BudgetYear],DaybyDay[[#This Row],[RowYear]])</f>
        <v>900.08894577027456</v>
      </c>
      <c r="N778" s="75">
        <v>2309.5</v>
      </c>
      <c r="O778" s="33">
        <f>SUMIFS(DaybyDay[Service-Budgets],DaybyDay[Date],"&gt;="&amp;$C$5,DaybyDay[RowYear],"&gt;="&amp;$C$4,DaybyDay[Date],"&lt;="&amp;DaybyDay[[#This Row],[Date]])</f>
        <v>0</v>
      </c>
      <c r="P778" s="33">
        <f>SUMIFS(DaybyDay[Retail-Budgets],DaybyDay[Date],"&gt;="&amp;$C$5,DaybyDay[RowYear],"&gt;="&amp;$C$4,DaybyDay[Date],"&lt;="&amp;DaybyDay[[#This Row],[Date]])</f>
        <v>0</v>
      </c>
      <c r="Q778" s="34">
        <f>SUMIFS(DaybyDay[Service-Actuals],DaybyDay[Date],"&gt;="&amp;$C$5,DaybyDay[RowYear],"&gt;="&amp;$C$4,DaybyDay[Date],"&lt;="&amp;DaybyDay[[#This Row],[Date]])</f>
        <v>0</v>
      </c>
      <c r="R778" s="34">
        <f>SUMIFS(DaybyDay[Retail-Actuals],DaybyDay[Date],"&gt;="&amp;$C$5,DaybyDay[RowYear],"&gt;="&amp;$C$4,DaybyDay[Date],"&lt;="&amp;DaybyDay[[#This Row],[Date]])</f>
        <v>0</v>
      </c>
      <c r="S778" s="35">
        <f>SUMIFS(DaybyDay[Service-LY],DaybyDay[Date],"&gt;="&amp;$C$5,DaybyDay[RowYear],"&gt;="&amp;$C$4,DaybyDay[Date],"&lt;="&amp;DaybyDay[[#This Row],[Date]])</f>
        <v>0</v>
      </c>
      <c r="T778" s="35">
        <f>SUMIFS(DaybyDay[Retail-LY],DaybyDay[Date],"&gt;="&amp;$C$5,DaybyDay[RowYear],"&gt;="&amp;$C$4,DaybyDay[Date],"&lt;="&amp;DaybyDay[[#This Row],[Date]])</f>
        <v>0</v>
      </c>
      <c r="U778" s="32">
        <f>DaybyDay[[#This Row],[Serv-Bud-RU]]+DaybyDay[[#This Row],[Ret-Bud-RU]]</f>
        <v>0</v>
      </c>
      <c r="V778" s="32">
        <f>DaybyDay[[#This Row],[Serv-Act-RU]]+DaybyDay[[#This Row],[Ret-Act-RU]]</f>
        <v>0</v>
      </c>
      <c r="W778" s="36">
        <f>IF(DaybyDay[[#This Row],[_Space]],IFERROR(
((DaybyDay[[#This Row],[Actual-Rollup]]-DaybyDay[[#This Row],[Budget-Rollup]])/DaybyDay[[#This Row],[Budget-Rollup]]),0),"")</f>
        <v>0</v>
      </c>
      <c r="X778" t="b">
        <f>NOT(AND(ISBLANK(DaybyDay[[#This Row],[Appts]]),ISBLANK(DaybyDay[[#This Row],[Service-Actuals]]),ISBLANK(DaybyDay[[#This Row],[Retail-Actuals]])))</f>
        <v>1</v>
      </c>
      <c r="Y778" s="36">
        <f>IF(DaybyDay[[#This Row],[_Space]],IFERROR(
((DaybyDay[[#This Row],[Actual-Rollup]]-DaybyDay[[#This Row],[LY-Rollup]])/DaybyDay[[#This Row],[LY-Rollup]]),0),"")</f>
        <v>0</v>
      </c>
      <c r="Z778"/>
      <c r="AA778" s="37" t="e">
        <f>IF(DaybyDay[[#This Row],[_Space]],DaybyDay[[#This Row],[Ret-Act-RU]]/DaybyDay[[#This Row],[Serv-Act-RU]],"")</f>
        <v>#DIV/0!</v>
      </c>
      <c r="AB778" s="50" t="e">
        <f>IF(DaybyDay[[#This Row],[_Space]],DaybyDay[[#This Row],[RETPEN-Act]]/DaybyDay[[#This Row],[RETPEN-Bud]],"")</f>
        <v>#DIV/0!</v>
      </c>
      <c r="AC778" s="37" t="e">
        <f>IF(DaybyDay[[#This Row],[_Space]],DaybyDay[[#This Row],[Ret-Bud-RU]]/DaybyDay[[#This Row],[Serv-Bud-RU]],"")</f>
        <v>#DIV/0!</v>
      </c>
      <c r="AD778" s="37" t="e">
        <f>IF(DaybyDay[[#This Row],[_Space]],DaybyDay[[#This Row],[Ret-LY-RU]]/DaybyDay[[#This Row],[Serv-LY-RU]],"")</f>
        <v>#DIV/0!</v>
      </c>
      <c r="AE778" s="30">
        <f>WEEKDAY(DaybyDay[[#This Row],[LY-Date]])</f>
        <v>2</v>
      </c>
      <c r="AF778" s="38">
        <f>$E$2+_xlfn.DAYS(DaybyDay[[#This Row],[Date]],minDate)</f>
        <v>43143</v>
      </c>
      <c r="AG778" s="39" cm="1">
        <f t="array" ref="AG778">IFERROR(INDEX(DaybyDay[],DaybyDay[[#This Row],[FORM_MATCH_HELPER]],8),"")</f>
        <v>11</v>
      </c>
      <c r="AH778" s="39" cm="1">
        <f t="array" ref="AH778">IFERROR(INDEX(DaybyDay[],DaybyDay[[#This Row],[FORM_MATCH_HELPER]],10),"")</f>
        <v>1735.65</v>
      </c>
      <c r="AI778" s="39" cm="1">
        <f t="array" ref="AI778">IFERROR(INDEX(DaybyDay[],DaybyDay[[#This Row],[FORM_MATCH_HELPER]],12),"")</f>
        <v>227</v>
      </c>
      <c r="AJ778" s="32">
        <f>IFERROR(DaybyDay[[#This Row],[Serv-LY-RU]]+DaybyDay[[#This Row],[Ret-LY-RU]],"")</f>
        <v>0</v>
      </c>
      <c r="AK7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8" s="77"/>
      <c r="AM778" s="40" t="str">
        <f>IF(DaybyDay[[#This Row],[Admin Hours]]&gt;0,DaybyDay[[#This Row],[Admin Hours]]*$AM$2+$AM$3,"")</f>
        <v/>
      </c>
      <c r="AN778" s="40">
        <f>SUMIFS(DaybyDay[Est-Admin-Payroll],DaybyDay[Date],"&gt;="&amp;$C$5,DaybyDay[RowYear],"&gt;="&amp;$C$4,DaybyDay[Date],"&lt;="&amp;DaybyDay[[#This Row],[Date]])</f>
        <v>0</v>
      </c>
      <c r="AO778" s="41" t="str">
        <f>IF(AND(DaybyDay[[#This Row],[_Space]],ISNUMBER(DaybyDay[[#This Row],[Admin Hours]])),DaybyDay[[#This Row],[Est-Admin-Payroll]]/(DaybyDay[[#This Row],[Service-Actuals]]+DaybyDay[[#This Row],[Retail-Actuals]]),"")</f>
        <v/>
      </c>
      <c r="AP778" s="41" t="e">
        <f>DaybyDay[[#This Row],[Estimated-Payroll-Rollup]]/DaybyDay[[#This Row],[Simple-Forecast]]</f>
        <v>#DIV/0!</v>
      </c>
      <c r="AQ7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8" s="77"/>
      <c r="AS778" s="40" t="str">
        <f>IF(DaybyDay[[#This Row],[Retail Hours]]&gt;0,DaybyDay[[#This Row],[Retail Hours]]*$AS$2,"")</f>
        <v/>
      </c>
      <c r="AT778" s="40">
        <f>SUMIFS(DaybyDay[Est-Retail-Payroll],DaybyDay[Date],"&gt;="&amp;$C$5,DaybyDay[RowYear],"&gt;="&amp;$C$4,DaybyDay[Date],"&lt;="&amp;DaybyDay[[#This Row],[Date]])</f>
        <v>0</v>
      </c>
      <c r="AU778" s="82" t="str">
        <f>IF(AND(DaybyDay[[#This Row],[_Space]],ISNUMBER(DaybyDay[[#This Row],[Retail Hours]])),DaybyDay[[#This Row],[Est-Retail-Payroll]]/(DaybyDay[[#This Row],[Retail-Actuals]]),"")</f>
        <v/>
      </c>
      <c r="AV778" s="82" t="e">
        <f>DaybyDay[[#This Row],[Est-Retail-PayrollRU]]/DaybyDay[[#This Row],[Simple-Forecast-Retail]]</f>
        <v>#DIV/0!</v>
      </c>
      <c r="AW778" s="8"/>
      <c r="AX778" s="49"/>
      <c r="AY778" s="48"/>
      <c r="AZ778" s="47"/>
      <c r="BA778" s="47"/>
      <c r="BB778" s="47"/>
      <c r="BC778" s="47"/>
      <c r="BD778" s="47"/>
    </row>
    <row r="779" spans="3:56" hidden="1" x14ac:dyDescent="0.25">
      <c r="C779" s="26" t="str">
        <f>Tools!$C$1</f>
        <v>Example</v>
      </c>
      <c r="D779" s="27" t="s">
        <v>69</v>
      </c>
      <c r="E779" s="28">
        <v>2019</v>
      </c>
      <c r="F779" s="28">
        <f>MATCH(DaybyDay[[#This Row],[RowMonth]],Table3[SummaryMonth],0)</f>
        <v>2</v>
      </c>
      <c r="G779" s="29">
        <f>MATCH(DaybyDay[[#This Row],[LY-Date]],DaybyDay[Date],0)</f>
        <v>409</v>
      </c>
      <c r="H779" s="30">
        <f>WEEKDAY(DaybyDay[[#This Row],[Date]])</f>
        <v>3</v>
      </c>
      <c r="I779" s="31">
        <v>43508</v>
      </c>
      <c r="J779" s="74">
        <v>17</v>
      </c>
      <c r="K779" s="32">
        <f>SUMIFS(BudgetSeasonality[365 Seasonality],BudgetSeasonality[MonthAdjustment],DaybyDay[[#This Row],[Date]])*SUMIFS(Budgets[Service-Budget],Budgets[BudgetMonth],DaybyDay[[#This Row],[RowMonth]],Budgets[BudgetYear],DaybyDay[[#This Row],[RowYear]])</f>
        <v>3826.6921374490207</v>
      </c>
      <c r="L779" s="75">
        <v>3708.05</v>
      </c>
      <c r="M779" s="32">
        <f>INDEX(BudgetSeasonality[365 Seasonality],MATCH(DaybyDay[[#This Row],[Date]],BudgetSeasonality[MonthAdjustment],0))*SUMIFS(Budgets[Retail-Budget],Budgets[BudgetMonth],DaybyDay[[#This Row],[RowMonth]],Budgets[BudgetYear],DaybyDay[[#This Row],[RowYear]])</f>
        <v>916.04008828468454</v>
      </c>
      <c r="N779" s="75">
        <v>962</v>
      </c>
      <c r="O779" s="33">
        <f>SUMIFS(DaybyDay[Service-Budgets],DaybyDay[Date],"&gt;="&amp;$C$5,DaybyDay[RowYear],"&gt;="&amp;$C$4,DaybyDay[Date],"&lt;="&amp;DaybyDay[[#This Row],[Date]])</f>
        <v>0</v>
      </c>
      <c r="P779" s="33">
        <f>SUMIFS(DaybyDay[Retail-Budgets],DaybyDay[Date],"&gt;="&amp;$C$5,DaybyDay[RowYear],"&gt;="&amp;$C$4,DaybyDay[Date],"&lt;="&amp;DaybyDay[[#This Row],[Date]])</f>
        <v>0</v>
      </c>
      <c r="Q779" s="34">
        <f>SUMIFS(DaybyDay[Service-Actuals],DaybyDay[Date],"&gt;="&amp;$C$5,DaybyDay[RowYear],"&gt;="&amp;$C$4,DaybyDay[Date],"&lt;="&amp;DaybyDay[[#This Row],[Date]])</f>
        <v>0</v>
      </c>
      <c r="R779" s="34">
        <f>SUMIFS(DaybyDay[Retail-Actuals],DaybyDay[Date],"&gt;="&amp;$C$5,DaybyDay[RowYear],"&gt;="&amp;$C$4,DaybyDay[Date],"&lt;="&amp;DaybyDay[[#This Row],[Date]])</f>
        <v>0</v>
      </c>
      <c r="S779" s="35">
        <f>SUMIFS(DaybyDay[Service-LY],DaybyDay[Date],"&gt;="&amp;$C$5,DaybyDay[RowYear],"&gt;="&amp;$C$4,DaybyDay[Date],"&lt;="&amp;DaybyDay[[#This Row],[Date]])</f>
        <v>0</v>
      </c>
      <c r="T779" s="35">
        <f>SUMIFS(DaybyDay[Retail-LY],DaybyDay[Date],"&gt;="&amp;$C$5,DaybyDay[RowYear],"&gt;="&amp;$C$4,DaybyDay[Date],"&lt;="&amp;DaybyDay[[#This Row],[Date]])</f>
        <v>0</v>
      </c>
      <c r="U779" s="32">
        <f>DaybyDay[[#This Row],[Serv-Bud-RU]]+DaybyDay[[#This Row],[Ret-Bud-RU]]</f>
        <v>0</v>
      </c>
      <c r="V779" s="32">
        <f>DaybyDay[[#This Row],[Serv-Act-RU]]+DaybyDay[[#This Row],[Ret-Act-RU]]</f>
        <v>0</v>
      </c>
      <c r="W779" s="36">
        <f>IF(DaybyDay[[#This Row],[_Space]],IFERROR(
((DaybyDay[[#This Row],[Actual-Rollup]]-DaybyDay[[#This Row],[Budget-Rollup]])/DaybyDay[[#This Row],[Budget-Rollup]]),0),"")</f>
        <v>0</v>
      </c>
      <c r="X779" t="b">
        <f>NOT(AND(ISBLANK(DaybyDay[[#This Row],[Appts]]),ISBLANK(DaybyDay[[#This Row],[Service-Actuals]]),ISBLANK(DaybyDay[[#This Row],[Retail-Actuals]])))</f>
        <v>1</v>
      </c>
      <c r="Y779" s="36">
        <f>IF(DaybyDay[[#This Row],[_Space]],IFERROR(
((DaybyDay[[#This Row],[Actual-Rollup]]-DaybyDay[[#This Row],[LY-Rollup]])/DaybyDay[[#This Row],[LY-Rollup]]),0),"")</f>
        <v>0</v>
      </c>
      <c r="Z779"/>
      <c r="AA779" s="37" t="e">
        <f>IF(DaybyDay[[#This Row],[_Space]],DaybyDay[[#This Row],[Ret-Act-RU]]/DaybyDay[[#This Row],[Serv-Act-RU]],"")</f>
        <v>#DIV/0!</v>
      </c>
      <c r="AB779" s="50" t="e">
        <f>IF(DaybyDay[[#This Row],[_Space]],DaybyDay[[#This Row],[RETPEN-Act]]/DaybyDay[[#This Row],[RETPEN-Bud]],"")</f>
        <v>#DIV/0!</v>
      </c>
      <c r="AC779" s="37" t="e">
        <f>IF(DaybyDay[[#This Row],[_Space]],DaybyDay[[#This Row],[Ret-Bud-RU]]/DaybyDay[[#This Row],[Serv-Bud-RU]],"")</f>
        <v>#DIV/0!</v>
      </c>
      <c r="AD779" s="37" t="e">
        <f>IF(DaybyDay[[#This Row],[_Space]],DaybyDay[[#This Row],[Ret-LY-RU]]/DaybyDay[[#This Row],[Serv-LY-RU]],"")</f>
        <v>#DIV/0!</v>
      </c>
      <c r="AE779" s="30">
        <f>WEEKDAY(DaybyDay[[#This Row],[LY-Date]])</f>
        <v>3</v>
      </c>
      <c r="AF779" s="38">
        <f>$E$2+_xlfn.DAYS(DaybyDay[[#This Row],[Date]],minDate)</f>
        <v>43144</v>
      </c>
      <c r="AG779" s="39" cm="1">
        <f t="array" ref="AG779">IFERROR(INDEX(DaybyDay[],DaybyDay[[#This Row],[FORM_MATCH_HELPER]],8),"")</f>
        <v>17</v>
      </c>
      <c r="AH779" s="39" cm="1">
        <f t="array" ref="AH779">IFERROR(INDEX(DaybyDay[],DaybyDay[[#This Row],[FORM_MATCH_HELPER]],10),"")</f>
        <v>2983</v>
      </c>
      <c r="AI779" s="39" cm="1">
        <f t="array" ref="AI779">IFERROR(INDEX(DaybyDay[],DaybyDay[[#This Row],[FORM_MATCH_HELPER]],12),"")</f>
        <v>270.5</v>
      </c>
      <c r="AJ779" s="32">
        <f>IFERROR(DaybyDay[[#This Row],[Serv-LY-RU]]+DaybyDay[[#This Row],[Ret-LY-RU]],"")</f>
        <v>0</v>
      </c>
      <c r="AK7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79" s="77"/>
      <c r="AM779" s="40" t="str">
        <f>IF(DaybyDay[[#This Row],[Admin Hours]]&gt;0,DaybyDay[[#This Row],[Admin Hours]]*$AM$2+$AM$3,"")</f>
        <v/>
      </c>
      <c r="AN779" s="40">
        <f>SUMIFS(DaybyDay[Est-Admin-Payroll],DaybyDay[Date],"&gt;="&amp;$C$5,DaybyDay[RowYear],"&gt;="&amp;$C$4,DaybyDay[Date],"&lt;="&amp;DaybyDay[[#This Row],[Date]])</f>
        <v>0</v>
      </c>
      <c r="AO779" s="41" t="str">
        <f>IF(AND(DaybyDay[[#This Row],[_Space]],ISNUMBER(DaybyDay[[#This Row],[Admin Hours]])),DaybyDay[[#This Row],[Est-Admin-Payroll]]/(DaybyDay[[#This Row],[Service-Actuals]]+DaybyDay[[#This Row],[Retail-Actuals]]),"")</f>
        <v/>
      </c>
      <c r="AP779" s="41" t="e">
        <f>DaybyDay[[#This Row],[Estimated-Payroll-Rollup]]/DaybyDay[[#This Row],[Simple-Forecast]]</f>
        <v>#DIV/0!</v>
      </c>
      <c r="AQ7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79" s="77"/>
      <c r="AS779" s="40" t="str">
        <f>IF(DaybyDay[[#This Row],[Retail Hours]]&gt;0,DaybyDay[[#This Row],[Retail Hours]]*$AS$2,"")</f>
        <v/>
      </c>
      <c r="AT779" s="40">
        <f>SUMIFS(DaybyDay[Est-Retail-Payroll],DaybyDay[Date],"&gt;="&amp;$C$5,DaybyDay[RowYear],"&gt;="&amp;$C$4,DaybyDay[Date],"&lt;="&amp;DaybyDay[[#This Row],[Date]])</f>
        <v>0</v>
      </c>
      <c r="AU779" s="82" t="str">
        <f>IF(AND(DaybyDay[[#This Row],[_Space]],ISNUMBER(DaybyDay[[#This Row],[Retail Hours]])),DaybyDay[[#This Row],[Est-Retail-Payroll]]/(DaybyDay[[#This Row],[Retail-Actuals]]),"")</f>
        <v/>
      </c>
      <c r="AV779" s="82" t="e">
        <f>DaybyDay[[#This Row],[Est-Retail-PayrollRU]]/DaybyDay[[#This Row],[Simple-Forecast-Retail]]</f>
        <v>#DIV/0!</v>
      </c>
      <c r="AW779" s="8"/>
      <c r="AX779" s="49"/>
      <c r="AY779" s="48"/>
      <c r="AZ779" s="47"/>
      <c r="BA779" s="47"/>
      <c r="BB779" s="47"/>
      <c r="BC779" s="47"/>
      <c r="BD779" s="47"/>
    </row>
    <row r="780" spans="3:56" hidden="1" x14ac:dyDescent="0.25">
      <c r="C780" s="26" t="str">
        <f>Tools!$C$1</f>
        <v>Example</v>
      </c>
      <c r="D780" s="27" t="s">
        <v>69</v>
      </c>
      <c r="E780" s="28">
        <v>2019</v>
      </c>
      <c r="F780" s="28">
        <f>MATCH(DaybyDay[[#This Row],[RowMonth]],Table3[SummaryMonth],0)</f>
        <v>2</v>
      </c>
      <c r="G780" s="29">
        <f>MATCH(DaybyDay[[#This Row],[LY-Date]],DaybyDay[Date],0)</f>
        <v>410</v>
      </c>
      <c r="H780" s="30">
        <f>WEEKDAY(DaybyDay[[#This Row],[Date]])</f>
        <v>4</v>
      </c>
      <c r="I780" s="31">
        <v>43509</v>
      </c>
      <c r="J780" s="74">
        <v>21</v>
      </c>
      <c r="K780" s="32">
        <f>SUMIFS(BudgetSeasonality[365 Seasonality],BudgetSeasonality[MonthAdjustment],DaybyDay[[#This Row],[Date]])*SUMIFS(Budgets[Service-Budget],Budgets[BudgetMonth],DaybyDay[[#This Row],[RowMonth]],Budgets[BudgetYear],DaybyDay[[#This Row],[RowYear]])</f>
        <v>4250.710402685655</v>
      </c>
      <c r="L780" s="75">
        <v>5202.6000000000004</v>
      </c>
      <c r="M780" s="32">
        <f>INDEX(BudgetSeasonality[365 Seasonality],MATCH(DaybyDay[[#This Row],[Date]],BudgetSeasonality[MonthAdjustment],0))*SUMIFS(Budgets[Retail-Budget],Budgets[BudgetMonth],DaybyDay[[#This Row],[RowMonth]],Budgets[BudgetYear],DaybyDay[[#This Row],[RowYear]])</f>
        <v>1017.5423035584263</v>
      </c>
      <c r="N780" s="75">
        <v>969</v>
      </c>
      <c r="O780" s="33">
        <f>SUMIFS(DaybyDay[Service-Budgets],DaybyDay[Date],"&gt;="&amp;$C$5,DaybyDay[RowYear],"&gt;="&amp;$C$4,DaybyDay[Date],"&lt;="&amp;DaybyDay[[#This Row],[Date]])</f>
        <v>0</v>
      </c>
      <c r="P780" s="33">
        <f>SUMIFS(DaybyDay[Retail-Budgets],DaybyDay[Date],"&gt;="&amp;$C$5,DaybyDay[RowYear],"&gt;="&amp;$C$4,DaybyDay[Date],"&lt;="&amp;DaybyDay[[#This Row],[Date]])</f>
        <v>0</v>
      </c>
      <c r="Q780" s="34">
        <f>SUMIFS(DaybyDay[Service-Actuals],DaybyDay[Date],"&gt;="&amp;$C$5,DaybyDay[RowYear],"&gt;="&amp;$C$4,DaybyDay[Date],"&lt;="&amp;DaybyDay[[#This Row],[Date]])</f>
        <v>0</v>
      </c>
      <c r="R780" s="34">
        <f>SUMIFS(DaybyDay[Retail-Actuals],DaybyDay[Date],"&gt;="&amp;$C$5,DaybyDay[RowYear],"&gt;="&amp;$C$4,DaybyDay[Date],"&lt;="&amp;DaybyDay[[#This Row],[Date]])</f>
        <v>0</v>
      </c>
      <c r="S780" s="35">
        <f>SUMIFS(DaybyDay[Service-LY],DaybyDay[Date],"&gt;="&amp;$C$5,DaybyDay[RowYear],"&gt;="&amp;$C$4,DaybyDay[Date],"&lt;="&amp;DaybyDay[[#This Row],[Date]])</f>
        <v>0</v>
      </c>
      <c r="T780" s="35">
        <f>SUMIFS(DaybyDay[Retail-LY],DaybyDay[Date],"&gt;="&amp;$C$5,DaybyDay[RowYear],"&gt;="&amp;$C$4,DaybyDay[Date],"&lt;="&amp;DaybyDay[[#This Row],[Date]])</f>
        <v>0</v>
      </c>
      <c r="U780" s="32">
        <f>DaybyDay[[#This Row],[Serv-Bud-RU]]+DaybyDay[[#This Row],[Ret-Bud-RU]]</f>
        <v>0</v>
      </c>
      <c r="V780" s="32">
        <f>DaybyDay[[#This Row],[Serv-Act-RU]]+DaybyDay[[#This Row],[Ret-Act-RU]]</f>
        <v>0</v>
      </c>
      <c r="W780" s="36">
        <f>IF(DaybyDay[[#This Row],[_Space]],IFERROR(
((DaybyDay[[#This Row],[Actual-Rollup]]-DaybyDay[[#This Row],[Budget-Rollup]])/DaybyDay[[#This Row],[Budget-Rollup]]),0),"")</f>
        <v>0</v>
      </c>
      <c r="X780" t="b">
        <f>NOT(AND(ISBLANK(DaybyDay[[#This Row],[Appts]]),ISBLANK(DaybyDay[[#This Row],[Service-Actuals]]),ISBLANK(DaybyDay[[#This Row],[Retail-Actuals]])))</f>
        <v>1</v>
      </c>
      <c r="Y780" s="36">
        <f>IF(DaybyDay[[#This Row],[_Space]],IFERROR(
((DaybyDay[[#This Row],[Actual-Rollup]]-DaybyDay[[#This Row],[LY-Rollup]])/DaybyDay[[#This Row],[LY-Rollup]]),0),"")</f>
        <v>0</v>
      </c>
      <c r="Z780"/>
      <c r="AA780" s="37" t="e">
        <f>IF(DaybyDay[[#This Row],[_Space]],DaybyDay[[#This Row],[Ret-Act-RU]]/DaybyDay[[#This Row],[Serv-Act-RU]],"")</f>
        <v>#DIV/0!</v>
      </c>
      <c r="AB780" s="50" t="e">
        <f>IF(DaybyDay[[#This Row],[_Space]],DaybyDay[[#This Row],[RETPEN-Act]]/DaybyDay[[#This Row],[RETPEN-Bud]],"")</f>
        <v>#DIV/0!</v>
      </c>
      <c r="AC780" s="37" t="e">
        <f>IF(DaybyDay[[#This Row],[_Space]],DaybyDay[[#This Row],[Ret-Bud-RU]]/DaybyDay[[#This Row],[Serv-Bud-RU]],"")</f>
        <v>#DIV/0!</v>
      </c>
      <c r="AD780" s="37" t="e">
        <f>IF(DaybyDay[[#This Row],[_Space]],DaybyDay[[#This Row],[Ret-LY-RU]]/DaybyDay[[#This Row],[Serv-LY-RU]],"")</f>
        <v>#DIV/0!</v>
      </c>
      <c r="AE780" s="30">
        <f>WEEKDAY(DaybyDay[[#This Row],[LY-Date]])</f>
        <v>4</v>
      </c>
      <c r="AF780" s="38">
        <f>$E$2+_xlfn.DAYS(DaybyDay[[#This Row],[Date]],minDate)</f>
        <v>43145</v>
      </c>
      <c r="AG780" s="39" cm="1">
        <f t="array" ref="AG780">IFERROR(INDEX(DaybyDay[],DaybyDay[[#This Row],[FORM_MATCH_HELPER]],8),"")</f>
        <v>18</v>
      </c>
      <c r="AH780" s="39" cm="1">
        <f t="array" ref="AH780">IFERROR(INDEX(DaybyDay[],DaybyDay[[#This Row],[FORM_MATCH_HELPER]],10),"")</f>
        <v>5243</v>
      </c>
      <c r="AI780" s="39" cm="1">
        <f t="array" ref="AI780">IFERROR(INDEX(DaybyDay[],DaybyDay[[#This Row],[FORM_MATCH_HELPER]],12),"")</f>
        <v>1708.5</v>
      </c>
      <c r="AJ780" s="32">
        <f>IFERROR(DaybyDay[[#This Row],[Serv-LY-RU]]+DaybyDay[[#This Row],[Ret-LY-RU]],"")</f>
        <v>0</v>
      </c>
      <c r="AK7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0" s="77"/>
      <c r="AM780" s="40" t="str">
        <f>IF(DaybyDay[[#This Row],[Admin Hours]]&gt;0,DaybyDay[[#This Row],[Admin Hours]]*$AM$2+$AM$3,"")</f>
        <v/>
      </c>
      <c r="AN780" s="40">
        <f>SUMIFS(DaybyDay[Est-Admin-Payroll],DaybyDay[Date],"&gt;="&amp;$C$5,DaybyDay[RowYear],"&gt;="&amp;$C$4,DaybyDay[Date],"&lt;="&amp;DaybyDay[[#This Row],[Date]])</f>
        <v>0</v>
      </c>
      <c r="AO780" s="41" t="str">
        <f>IF(AND(DaybyDay[[#This Row],[_Space]],ISNUMBER(DaybyDay[[#This Row],[Admin Hours]])),DaybyDay[[#This Row],[Est-Admin-Payroll]]/(DaybyDay[[#This Row],[Service-Actuals]]+DaybyDay[[#This Row],[Retail-Actuals]]),"")</f>
        <v/>
      </c>
      <c r="AP780" s="41" t="e">
        <f>DaybyDay[[#This Row],[Estimated-Payroll-Rollup]]/DaybyDay[[#This Row],[Simple-Forecast]]</f>
        <v>#DIV/0!</v>
      </c>
      <c r="AQ7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0" s="77"/>
      <c r="AS780" s="40" t="str">
        <f>IF(DaybyDay[[#This Row],[Retail Hours]]&gt;0,DaybyDay[[#This Row],[Retail Hours]]*$AS$2,"")</f>
        <v/>
      </c>
      <c r="AT780" s="40">
        <f>SUMIFS(DaybyDay[Est-Retail-Payroll],DaybyDay[Date],"&gt;="&amp;$C$5,DaybyDay[RowYear],"&gt;="&amp;$C$4,DaybyDay[Date],"&lt;="&amp;DaybyDay[[#This Row],[Date]])</f>
        <v>0</v>
      </c>
      <c r="AU780" s="82" t="str">
        <f>IF(AND(DaybyDay[[#This Row],[_Space]],ISNUMBER(DaybyDay[[#This Row],[Retail Hours]])),DaybyDay[[#This Row],[Est-Retail-Payroll]]/(DaybyDay[[#This Row],[Retail-Actuals]]),"")</f>
        <v/>
      </c>
      <c r="AV780" s="82" t="e">
        <f>DaybyDay[[#This Row],[Est-Retail-PayrollRU]]/DaybyDay[[#This Row],[Simple-Forecast-Retail]]</f>
        <v>#DIV/0!</v>
      </c>
      <c r="AW780" s="8"/>
      <c r="AX780" s="49"/>
      <c r="AY780" s="48"/>
      <c r="AZ780" s="47"/>
      <c r="BA780" s="47"/>
      <c r="BB780" s="47"/>
      <c r="BC780" s="47"/>
      <c r="BD780" s="47"/>
    </row>
    <row r="781" spans="3:56" hidden="1" x14ac:dyDescent="0.25">
      <c r="C781" s="26" t="str">
        <f>Tools!$C$1</f>
        <v>Example</v>
      </c>
      <c r="D781" s="27" t="s">
        <v>69</v>
      </c>
      <c r="E781" s="28">
        <v>2019</v>
      </c>
      <c r="F781" s="28">
        <f>MATCH(DaybyDay[[#This Row],[RowMonth]],Table3[SummaryMonth],0)</f>
        <v>2</v>
      </c>
      <c r="G781" s="29">
        <f>MATCH(DaybyDay[[#This Row],[LY-Date]],DaybyDay[Date],0)</f>
        <v>411</v>
      </c>
      <c r="H781" s="30">
        <f>WEEKDAY(DaybyDay[[#This Row],[Date]])</f>
        <v>5</v>
      </c>
      <c r="I781" s="31">
        <v>43510</v>
      </c>
      <c r="J781" s="74">
        <v>37</v>
      </c>
      <c r="K781" s="32">
        <f>SUMIFS(BudgetSeasonality[365 Seasonality],BudgetSeasonality[MonthAdjustment],DaybyDay[[#This Row],[Date]])*SUMIFS(Budgets[Service-Budget],Budgets[BudgetMonth],DaybyDay[[#This Row],[RowMonth]],Budgets[BudgetYear],DaybyDay[[#This Row],[RowYear]])</f>
        <v>6742.1635537996799</v>
      </c>
      <c r="L781" s="75">
        <v>8748</v>
      </c>
      <c r="M781" s="32">
        <f>INDEX(BudgetSeasonality[365 Seasonality],MATCH(DaybyDay[[#This Row],[Date]],BudgetSeasonality[MonthAdjustment],0))*SUMIFS(Budgets[Retail-Budget],Budgets[BudgetMonth],DaybyDay[[#This Row],[RowMonth]],Budgets[BudgetYear],DaybyDay[[#This Row],[RowYear]])</f>
        <v>1613.9506067424581</v>
      </c>
      <c r="N781" s="75">
        <v>6428.49</v>
      </c>
      <c r="O781" s="33">
        <f>SUMIFS(DaybyDay[Service-Budgets],DaybyDay[Date],"&gt;="&amp;$C$5,DaybyDay[RowYear],"&gt;="&amp;$C$4,DaybyDay[Date],"&lt;="&amp;DaybyDay[[#This Row],[Date]])</f>
        <v>0</v>
      </c>
      <c r="P781" s="33">
        <f>SUMIFS(DaybyDay[Retail-Budgets],DaybyDay[Date],"&gt;="&amp;$C$5,DaybyDay[RowYear],"&gt;="&amp;$C$4,DaybyDay[Date],"&lt;="&amp;DaybyDay[[#This Row],[Date]])</f>
        <v>0</v>
      </c>
      <c r="Q781" s="34">
        <f>SUMIFS(DaybyDay[Service-Actuals],DaybyDay[Date],"&gt;="&amp;$C$5,DaybyDay[RowYear],"&gt;="&amp;$C$4,DaybyDay[Date],"&lt;="&amp;DaybyDay[[#This Row],[Date]])</f>
        <v>0</v>
      </c>
      <c r="R781" s="34">
        <f>SUMIFS(DaybyDay[Retail-Actuals],DaybyDay[Date],"&gt;="&amp;$C$5,DaybyDay[RowYear],"&gt;="&amp;$C$4,DaybyDay[Date],"&lt;="&amp;DaybyDay[[#This Row],[Date]])</f>
        <v>0</v>
      </c>
      <c r="S781" s="35">
        <f>SUMIFS(DaybyDay[Service-LY],DaybyDay[Date],"&gt;="&amp;$C$5,DaybyDay[RowYear],"&gt;="&amp;$C$4,DaybyDay[Date],"&lt;="&amp;DaybyDay[[#This Row],[Date]])</f>
        <v>0</v>
      </c>
      <c r="T781" s="35">
        <f>SUMIFS(DaybyDay[Retail-LY],DaybyDay[Date],"&gt;="&amp;$C$5,DaybyDay[RowYear],"&gt;="&amp;$C$4,DaybyDay[Date],"&lt;="&amp;DaybyDay[[#This Row],[Date]])</f>
        <v>0</v>
      </c>
      <c r="U781" s="32">
        <f>DaybyDay[[#This Row],[Serv-Bud-RU]]+DaybyDay[[#This Row],[Ret-Bud-RU]]</f>
        <v>0</v>
      </c>
      <c r="V781" s="32">
        <f>DaybyDay[[#This Row],[Serv-Act-RU]]+DaybyDay[[#This Row],[Ret-Act-RU]]</f>
        <v>0</v>
      </c>
      <c r="W781" s="36">
        <f>IF(DaybyDay[[#This Row],[_Space]],IFERROR(
((DaybyDay[[#This Row],[Actual-Rollup]]-DaybyDay[[#This Row],[Budget-Rollup]])/DaybyDay[[#This Row],[Budget-Rollup]]),0),"")</f>
        <v>0</v>
      </c>
      <c r="X781" t="b">
        <f>NOT(AND(ISBLANK(DaybyDay[[#This Row],[Appts]]),ISBLANK(DaybyDay[[#This Row],[Service-Actuals]]),ISBLANK(DaybyDay[[#This Row],[Retail-Actuals]])))</f>
        <v>1</v>
      </c>
      <c r="Y781" s="36">
        <f>IF(DaybyDay[[#This Row],[_Space]],IFERROR(
((DaybyDay[[#This Row],[Actual-Rollup]]-DaybyDay[[#This Row],[LY-Rollup]])/DaybyDay[[#This Row],[LY-Rollup]]),0),"")</f>
        <v>0</v>
      </c>
      <c r="Z781"/>
      <c r="AA781" s="37" t="e">
        <f>IF(DaybyDay[[#This Row],[_Space]],DaybyDay[[#This Row],[Ret-Act-RU]]/DaybyDay[[#This Row],[Serv-Act-RU]],"")</f>
        <v>#DIV/0!</v>
      </c>
      <c r="AB781" s="50" t="e">
        <f>IF(DaybyDay[[#This Row],[_Space]],DaybyDay[[#This Row],[RETPEN-Act]]/DaybyDay[[#This Row],[RETPEN-Bud]],"")</f>
        <v>#DIV/0!</v>
      </c>
      <c r="AC781" s="37" t="e">
        <f>IF(DaybyDay[[#This Row],[_Space]],DaybyDay[[#This Row],[Ret-Bud-RU]]/DaybyDay[[#This Row],[Serv-Bud-RU]],"")</f>
        <v>#DIV/0!</v>
      </c>
      <c r="AD781" s="37" t="e">
        <f>IF(DaybyDay[[#This Row],[_Space]],DaybyDay[[#This Row],[Ret-LY-RU]]/DaybyDay[[#This Row],[Serv-LY-RU]],"")</f>
        <v>#DIV/0!</v>
      </c>
      <c r="AE781" s="30">
        <f>WEEKDAY(DaybyDay[[#This Row],[LY-Date]])</f>
        <v>5</v>
      </c>
      <c r="AF781" s="38">
        <f>$E$2+_xlfn.DAYS(DaybyDay[[#This Row],[Date]],minDate)</f>
        <v>43146</v>
      </c>
      <c r="AG781" s="39" cm="1">
        <f t="array" ref="AG781">IFERROR(INDEX(DaybyDay[],DaybyDay[[#This Row],[FORM_MATCH_HELPER]],8),"")</f>
        <v>20</v>
      </c>
      <c r="AH781" s="39" cm="1">
        <f t="array" ref="AH781">IFERROR(INDEX(DaybyDay[],DaybyDay[[#This Row],[FORM_MATCH_HELPER]],10),"")</f>
        <v>3959</v>
      </c>
      <c r="AI781" s="39" cm="1">
        <f t="array" ref="AI781">IFERROR(INDEX(DaybyDay[],DaybyDay[[#This Row],[FORM_MATCH_HELPER]],12),"")</f>
        <v>1000</v>
      </c>
      <c r="AJ781" s="32">
        <f>IFERROR(DaybyDay[[#This Row],[Serv-LY-RU]]+DaybyDay[[#This Row],[Ret-LY-RU]],"")</f>
        <v>0</v>
      </c>
      <c r="AK7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1" s="77"/>
      <c r="AM781" s="40" t="str">
        <f>IF(DaybyDay[[#This Row],[Admin Hours]]&gt;0,DaybyDay[[#This Row],[Admin Hours]]*$AM$2+$AM$3,"")</f>
        <v/>
      </c>
      <c r="AN781" s="40">
        <f>SUMIFS(DaybyDay[Est-Admin-Payroll],DaybyDay[Date],"&gt;="&amp;$C$5,DaybyDay[RowYear],"&gt;="&amp;$C$4,DaybyDay[Date],"&lt;="&amp;DaybyDay[[#This Row],[Date]])</f>
        <v>0</v>
      </c>
      <c r="AO781" s="41" t="str">
        <f>IF(AND(DaybyDay[[#This Row],[_Space]],ISNUMBER(DaybyDay[[#This Row],[Admin Hours]])),DaybyDay[[#This Row],[Est-Admin-Payroll]]/(DaybyDay[[#This Row],[Service-Actuals]]+DaybyDay[[#This Row],[Retail-Actuals]]),"")</f>
        <v/>
      </c>
      <c r="AP781" s="41" t="e">
        <f>DaybyDay[[#This Row],[Estimated-Payroll-Rollup]]/DaybyDay[[#This Row],[Simple-Forecast]]</f>
        <v>#DIV/0!</v>
      </c>
      <c r="AQ7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1" s="77"/>
      <c r="AS781" s="40" t="str">
        <f>IF(DaybyDay[[#This Row],[Retail Hours]]&gt;0,DaybyDay[[#This Row],[Retail Hours]]*$AS$2,"")</f>
        <v/>
      </c>
      <c r="AT781" s="40">
        <f>SUMIFS(DaybyDay[Est-Retail-Payroll],DaybyDay[Date],"&gt;="&amp;$C$5,DaybyDay[RowYear],"&gt;="&amp;$C$4,DaybyDay[Date],"&lt;="&amp;DaybyDay[[#This Row],[Date]])</f>
        <v>0</v>
      </c>
      <c r="AU781" s="82" t="str">
        <f>IF(AND(DaybyDay[[#This Row],[_Space]],ISNUMBER(DaybyDay[[#This Row],[Retail Hours]])),DaybyDay[[#This Row],[Est-Retail-Payroll]]/(DaybyDay[[#This Row],[Retail-Actuals]]),"")</f>
        <v/>
      </c>
      <c r="AV781" s="82" t="e">
        <f>DaybyDay[[#This Row],[Est-Retail-PayrollRU]]/DaybyDay[[#This Row],[Simple-Forecast-Retail]]</f>
        <v>#DIV/0!</v>
      </c>
      <c r="AW781" s="8"/>
      <c r="AX781" s="49"/>
      <c r="AY781" s="48"/>
      <c r="AZ781" s="47"/>
      <c r="BA781" s="47"/>
      <c r="BB781" s="47"/>
      <c r="BC781" s="47"/>
      <c r="BD781" s="47"/>
    </row>
    <row r="782" spans="3:56" hidden="1" x14ac:dyDescent="0.25">
      <c r="C782" s="26" t="str">
        <f>Tools!$C$1</f>
        <v>Example</v>
      </c>
      <c r="D782" s="27" t="s">
        <v>69</v>
      </c>
      <c r="E782" s="28">
        <v>2019</v>
      </c>
      <c r="F782" s="28">
        <f>MATCH(DaybyDay[[#This Row],[RowMonth]],Table3[SummaryMonth],0)</f>
        <v>2</v>
      </c>
      <c r="G782" s="29">
        <f>MATCH(DaybyDay[[#This Row],[LY-Date]],DaybyDay[Date],0)</f>
        <v>412</v>
      </c>
      <c r="H782" s="30">
        <f>WEEKDAY(DaybyDay[[#This Row],[Date]])</f>
        <v>6</v>
      </c>
      <c r="I782" s="31">
        <v>43511</v>
      </c>
      <c r="J782" s="74">
        <v>35</v>
      </c>
      <c r="K782" s="32">
        <f>SUMIFS(BudgetSeasonality[365 Seasonality],BudgetSeasonality[MonthAdjustment],DaybyDay[[#This Row],[Date]])*SUMIFS(Budgets[Service-Budget],Budgets[BudgetMonth],DaybyDay[[#This Row],[RowMonth]],Budgets[BudgetYear],DaybyDay[[#This Row],[RowYear]])</f>
        <v>5379.1112171191289</v>
      </c>
      <c r="L782" s="75">
        <v>6919.7</v>
      </c>
      <c r="M782" s="32">
        <f>INDEX(BudgetSeasonality[365 Seasonality],MATCH(DaybyDay[[#This Row],[Date]],BudgetSeasonality[MonthAdjustment],0))*SUMIFS(Budgets[Retail-Budget],Budgets[BudgetMonth],DaybyDay[[#This Row],[RowMonth]],Budgets[BudgetYear],DaybyDay[[#This Row],[RowYear]])</f>
        <v>1287.6608144149636</v>
      </c>
      <c r="N782" s="75">
        <v>2654.2</v>
      </c>
      <c r="O782" s="33">
        <f>SUMIFS(DaybyDay[Service-Budgets],DaybyDay[Date],"&gt;="&amp;$C$5,DaybyDay[RowYear],"&gt;="&amp;$C$4,DaybyDay[Date],"&lt;="&amp;DaybyDay[[#This Row],[Date]])</f>
        <v>0</v>
      </c>
      <c r="P782" s="33">
        <f>SUMIFS(DaybyDay[Retail-Budgets],DaybyDay[Date],"&gt;="&amp;$C$5,DaybyDay[RowYear],"&gt;="&amp;$C$4,DaybyDay[Date],"&lt;="&amp;DaybyDay[[#This Row],[Date]])</f>
        <v>0</v>
      </c>
      <c r="Q782" s="34">
        <f>SUMIFS(DaybyDay[Service-Actuals],DaybyDay[Date],"&gt;="&amp;$C$5,DaybyDay[RowYear],"&gt;="&amp;$C$4,DaybyDay[Date],"&lt;="&amp;DaybyDay[[#This Row],[Date]])</f>
        <v>0</v>
      </c>
      <c r="R782" s="34">
        <f>SUMIFS(DaybyDay[Retail-Actuals],DaybyDay[Date],"&gt;="&amp;$C$5,DaybyDay[RowYear],"&gt;="&amp;$C$4,DaybyDay[Date],"&lt;="&amp;DaybyDay[[#This Row],[Date]])</f>
        <v>0</v>
      </c>
      <c r="S782" s="35">
        <f>SUMIFS(DaybyDay[Service-LY],DaybyDay[Date],"&gt;="&amp;$C$5,DaybyDay[RowYear],"&gt;="&amp;$C$4,DaybyDay[Date],"&lt;="&amp;DaybyDay[[#This Row],[Date]])</f>
        <v>0</v>
      </c>
      <c r="T782" s="35">
        <f>SUMIFS(DaybyDay[Retail-LY],DaybyDay[Date],"&gt;="&amp;$C$5,DaybyDay[RowYear],"&gt;="&amp;$C$4,DaybyDay[Date],"&lt;="&amp;DaybyDay[[#This Row],[Date]])</f>
        <v>0</v>
      </c>
      <c r="U782" s="32">
        <f>DaybyDay[[#This Row],[Serv-Bud-RU]]+DaybyDay[[#This Row],[Ret-Bud-RU]]</f>
        <v>0</v>
      </c>
      <c r="V782" s="32">
        <f>DaybyDay[[#This Row],[Serv-Act-RU]]+DaybyDay[[#This Row],[Ret-Act-RU]]</f>
        <v>0</v>
      </c>
      <c r="W782" s="36">
        <f>IF(DaybyDay[[#This Row],[_Space]],IFERROR(
((DaybyDay[[#This Row],[Actual-Rollup]]-DaybyDay[[#This Row],[Budget-Rollup]])/DaybyDay[[#This Row],[Budget-Rollup]]),0),"")</f>
        <v>0</v>
      </c>
      <c r="X782" t="b">
        <f>NOT(AND(ISBLANK(DaybyDay[[#This Row],[Appts]]),ISBLANK(DaybyDay[[#This Row],[Service-Actuals]]),ISBLANK(DaybyDay[[#This Row],[Retail-Actuals]])))</f>
        <v>1</v>
      </c>
      <c r="Y782" s="36">
        <f>IF(DaybyDay[[#This Row],[_Space]],IFERROR(
((DaybyDay[[#This Row],[Actual-Rollup]]-DaybyDay[[#This Row],[LY-Rollup]])/DaybyDay[[#This Row],[LY-Rollup]]),0),"")</f>
        <v>0</v>
      </c>
      <c r="Z782"/>
      <c r="AA782" s="37" t="e">
        <f>IF(DaybyDay[[#This Row],[_Space]],DaybyDay[[#This Row],[Ret-Act-RU]]/DaybyDay[[#This Row],[Serv-Act-RU]],"")</f>
        <v>#DIV/0!</v>
      </c>
      <c r="AB782" s="50" t="e">
        <f>IF(DaybyDay[[#This Row],[_Space]],DaybyDay[[#This Row],[RETPEN-Act]]/DaybyDay[[#This Row],[RETPEN-Bud]],"")</f>
        <v>#DIV/0!</v>
      </c>
      <c r="AC782" s="37" t="e">
        <f>IF(DaybyDay[[#This Row],[_Space]],DaybyDay[[#This Row],[Ret-Bud-RU]]/DaybyDay[[#This Row],[Serv-Bud-RU]],"")</f>
        <v>#DIV/0!</v>
      </c>
      <c r="AD782" s="37" t="e">
        <f>IF(DaybyDay[[#This Row],[_Space]],DaybyDay[[#This Row],[Ret-LY-RU]]/DaybyDay[[#This Row],[Serv-LY-RU]],"")</f>
        <v>#DIV/0!</v>
      </c>
      <c r="AE782" s="30">
        <f>WEEKDAY(DaybyDay[[#This Row],[LY-Date]])</f>
        <v>6</v>
      </c>
      <c r="AF782" s="38">
        <f>$E$2+_xlfn.DAYS(DaybyDay[[#This Row],[Date]],minDate)</f>
        <v>43147</v>
      </c>
      <c r="AG782" s="39" cm="1">
        <f t="array" ref="AG782">IFERROR(INDEX(DaybyDay[],DaybyDay[[#This Row],[FORM_MATCH_HELPER]],8),"")</f>
        <v>25</v>
      </c>
      <c r="AH782" s="39" cm="1">
        <f t="array" ref="AH782">IFERROR(INDEX(DaybyDay[],DaybyDay[[#This Row],[FORM_MATCH_HELPER]],10),"")</f>
        <v>5369</v>
      </c>
      <c r="AI782" s="39" cm="1">
        <f t="array" ref="AI782">IFERROR(INDEX(DaybyDay[],DaybyDay[[#This Row],[FORM_MATCH_HELPER]],12),"")</f>
        <v>997</v>
      </c>
      <c r="AJ782" s="32">
        <f>IFERROR(DaybyDay[[#This Row],[Serv-LY-RU]]+DaybyDay[[#This Row],[Ret-LY-RU]],"")</f>
        <v>0</v>
      </c>
      <c r="AK7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2" s="77"/>
      <c r="AM782" s="40" t="str">
        <f>IF(DaybyDay[[#This Row],[Admin Hours]]&gt;0,DaybyDay[[#This Row],[Admin Hours]]*$AM$2+$AM$3,"")</f>
        <v/>
      </c>
      <c r="AN782" s="40">
        <f>SUMIFS(DaybyDay[Est-Admin-Payroll],DaybyDay[Date],"&gt;="&amp;$C$5,DaybyDay[RowYear],"&gt;="&amp;$C$4,DaybyDay[Date],"&lt;="&amp;DaybyDay[[#This Row],[Date]])</f>
        <v>0</v>
      </c>
      <c r="AO782" s="41" t="str">
        <f>IF(AND(DaybyDay[[#This Row],[_Space]],ISNUMBER(DaybyDay[[#This Row],[Admin Hours]])),DaybyDay[[#This Row],[Est-Admin-Payroll]]/(DaybyDay[[#This Row],[Service-Actuals]]+DaybyDay[[#This Row],[Retail-Actuals]]),"")</f>
        <v/>
      </c>
      <c r="AP782" s="41" t="e">
        <f>DaybyDay[[#This Row],[Estimated-Payroll-Rollup]]/DaybyDay[[#This Row],[Simple-Forecast]]</f>
        <v>#DIV/0!</v>
      </c>
      <c r="AQ7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2" s="77"/>
      <c r="AS782" s="40" t="str">
        <f>IF(DaybyDay[[#This Row],[Retail Hours]]&gt;0,DaybyDay[[#This Row],[Retail Hours]]*$AS$2,"")</f>
        <v/>
      </c>
      <c r="AT782" s="40">
        <f>SUMIFS(DaybyDay[Est-Retail-Payroll],DaybyDay[Date],"&gt;="&amp;$C$5,DaybyDay[RowYear],"&gt;="&amp;$C$4,DaybyDay[Date],"&lt;="&amp;DaybyDay[[#This Row],[Date]])</f>
        <v>0</v>
      </c>
      <c r="AU782" s="82" t="str">
        <f>IF(AND(DaybyDay[[#This Row],[_Space]],ISNUMBER(DaybyDay[[#This Row],[Retail Hours]])),DaybyDay[[#This Row],[Est-Retail-Payroll]]/(DaybyDay[[#This Row],[Retail-Actuals]]),"")</f>
        <v/>
      </c>
      <c r="AV782" s="82" t="e">
        <f>DaybyDay[[#This Row],[Est-Retail-PayrollRU]]/DaybyDay[[#This Row],[Simple-Forecast-Retail]]</f>
        <v>#DIV/0!</v>
      </c>
      <c r="AW782" s="8"/>
      <c r="AX782" s="49"/>
      <c r="AY782" s="48"/>
      <c r="AZ782" s="47"/>
      <c r="BA782" s="47"/>
      <c r="BB782" s="47"/>
      <c r="BC782" s="47"/>
      <c r="BD782" s="47"/>
    </row>
    <row r="783" spans="3:56" hidden="1" x14ac:dyDescent="0.25">
      <c r="C783" s="26" t="str">
        <f>Tools!$C$1</f>
        <v>Example</v>
      </c>
      <c r="D783" s="27" t="s">
        <v>69</v>
      </c>
      <c r="E783" s="28">
        <v>2019</v>
      </c>
      <c r="F783" s="28">
        <f>MATCH(DaybyDay[[#This Row],[RowMonth]],Table3[SummaryMonth],0)</f>
        <v>2</v>
      </c>
      <c r="G783" s="29">
        <f>MATCH(DaybyDay[[#This Row],[LY-Date]],DaybyDay[Date],0)</f>
        <v>413</v>
      </c>
      <c r="H783" s="30">
        <f>WEEKDAY(DaybyDay[[#This Row],[Date]])</f>
        <v>7</v>
      </c>
      <c r="I783" s="31">
        <v>43512</v>
      </c>
      <c r="J783" s="74">
        <v>38</v>
      </c>
      <c r="K783" s="32">
        <f>SUMIFS(BudgetSeasonality[365 Seasonality],BudgetSeasonality[MonthAdjustment],DaybyDay[[#This Row],[Date]])*SUMIFS(Budgets[Service-Budget],Budgets[BudgetMonth],DaybyDay[[#This Row],[RowMonth]],Budgets[BudgetYear],DaybyDay[[#This Row],[RowYear]])</f>
        <v>6874.7104182644898</v>
      </c>
      <c r="L783" s="75">
        <v>10224.5</v>
      </c>
      <c r="M783" s="32">
        <f>INDEX(BudgetSeasonality[365 Seasonality],MATCH(DaybyDay[[#This Row],[Date]],BudgetSeasonality[MonthAdjustment],0))*SUMIFS(Budgets[Retail-Budget],Budgets[BudgetMonth],DaybyDay[[#This Row],[RowMonth]],Budgets[BudgetYear],DaybyDay[[#This Row],[RowYear]])</f>
        <v>1645.6799011474018</v>
      </c>
      <c r="N783" s="75">
        <v>842</v>
      </c>
      <c r="O783" s="33">
        <f>SUMIFS(DaybyDay[Service-Budgets],DaybyDay[Date],"&gt;="&amp;$C$5,DaybyDay[RowYear],"&gt;="&amp;$C$4,DaybyDay[Date],"&lt;="&amp;DaybyDay[[#This Row],[Date]])</f>
        <v>0</v>
      </c>
      <c r="P783" s="33">
        <f>SUMIFS(DaybyDay[Retail-Budgets],DaybyDay[Date],"&gt;="&amp;$C$5,DaybyDay[RowYear],"&gt;="&amp;$C$4,DaybyDay[Date],"&lt;="&amp;DaybyDay[[#This Row],[Date]])</f>
        <v>0</v>
      </c>
      <c r="Q783" s="34">
        <f>SUMIFS(DaybyDay[Service-Actuals],DaybyDay[Date],"&gt;="&amp;$C$5,DaybyDay[RowYear],"&gt;="&amp;$C$4,DaybyDay[Date],"&lt;="&amp;DaybyDay[[#This Row],[Date]])</f>
        <v>0</v>
      </c>
      <c r="R783" s="34">
        <f>SUMIFS(DaybyDay[Retail-Actuals],DaybyDay[Date],"&gt;="&amp;$C$5,DaybyDay[RowYear],"&gt;="&amp;$C$4,DaybyDay[Date],"&lt;="&amp;DaybyDay[[#This Row],[Date]])</f>
        <v>0</v>
      </c>
      <c r="S783" s="35">
        <f>SUMIFS(DaybyDay[Service-LY],DaybyDay[Date],"&gt;="&amp;$C$5,DaybyDay[RowYear],"&gt;="&amp;$C$4,DaybyDay[Date],"&lt;="&amp;DaybyDay[[#This Row],[Date]])</f>
        <v>0</v>
      </c>
      <c r="T783" s="35">
        <f>SUMIFS(DaybyDay[Retail-LY],DaybyDay[Date],"&gt;="&amp;$C$5,DaybyDay[RowYear],"&gt;="&amp;$C$4,DaybyDay[Date],"&lt;="&amp;DaybyDay[[#This Row],[Date]])</f>
        <v>0</v>
      </c>
      <c r="U783" s="32">
        <f>DaybyDay[[#This Row],[Serv-Bud-RU]]+DaybyDay[[#This Row],[Ret-Bud-RU]]</f>
        <v>0</v>
      </c>
      <c r="V783" s="32">
        <f>DaybyDay[[#This Row],[Serv-Act-RU]]+DaybyDay[[#This Row],[Ret-Act-RU]]</f>
        <v>0</v>
      </c>
      <c r="W783" s="36">
        <f>IF(DaybyDay[[#This Row],[_Space]],IFERROR(
((DaybyDay[[#This Row],[Actual-Rollup]]-DaybyDay[[#This Row],[Budget-Rollup]])/DaybyDay[[#This Row],[Budget-Rollup]]),0),"")</f>
        <v>0</v>
      </c>
      <c r="X783" t="b">
        <f>NOT(AND(ISBLANK(DaybyDay[[#This Row],[Appts]]),ISBLANK(DaybyDay[[#This Row],[Service-Actuals]]),ISBLANK(DaybyDay[[#This Row],[Retail-Actuals]])))</f>
        <v>1</v>
      </c>
      <c r="Y783" s="36">
        <f>IF(DaybyDay[[#This Row],[_Space]],IFERROR(
((DaybyDay[[#This Row],[Actual-Rollup]]-DaybyDay[[#This Row],[LY-Rollup]])/DaybyDay[[#This Row],[LY-Rollup]]),0),"")</f>
        <v>0</v>
      </c>
      <c r="Z783"/>
      <c r="AA783" s="37" t="e">
        <f>IF(DaybyDay[[#This Row],[_Space]],DaybyDay[[#This Row],[Ret-Act-RU]]/DaybyDay[[#This Row],[Serv-Act-RU]],"")</f>
        <v>#DIV/0!</v>
      </c>
      <c r="AB783" s="50" t="e">
        <f>IF(DaybyDay[[#This Row],[_Space]],DaybyDay[[#This Row],[RETPEN-Act]]/DaybyDay[[#This Row],[RETPEN-Bud]],"")</f>
        <v>#DIV/0!</v>
      </c>
      <c r="AC783" s="37" t="e">
        <f>IF(DaybyDay[[#This Row],[_Space]],DaybyDay[[#This Row],[Ret-Bud-RU]]/DaybyDay[[#This Row],[Serv-Bud-RU]],"")</f>
        <v>#DIV/0!</v>
      </c>
      <c r="AD783" s="37" t="e">
        <f>IF(DaybyDay[[#This Row],[_Space]],DaybyDay[[#This Row],[Ret-LY-RU]]/DaybyDay[[#This Row],[Serv-LY-RU]],"")</f>
        <v>#DIV/0!</v>
      </c>
      <c r="AE783" s="30">
        <f>WEEKDAY(DaybyDay[[#This Row],[LY-Date]])</f>
        <v>7</v>
      </c>
      <c r="AF783" s="38">
        <f>$E$2+_xlfn.DAYS(DaybyDay[[#This Row],[Date]],minDate)</f>
        <v>43148</v>
      </c>
      <c r="AG783" s="39" cm="1">
        <f t="array" ref="AG783">IFERROR(INDEX(DaybyDay[],DaybyDay[[#This Row],[FORM_MATCH_HELPER]],8),"")</f>
        <v>43</v>
      </c>
      <c r="AH783" s="39" cm="1">
        <f t="array" ref="AH783">IFERROR(INDEX(DaybyDay[],DaybyDay[[#This Row],[FORM_MATCH_HELPER]],10),"")</f>
        <v>11128</v>
      </c>
      <c r="AI783" s="39" cm="1">
        <f t="array" ref="AI783">IFERROR(INDEX(DaybyDay[],DaybyDay[[#This Row],[FORM_MATCH_HELPER]],12),"")</f>
        <v>3412</v>
      </c>
      <c r="AJ783" s="32">
        <f>IFERROR(DaybyDay[[#This Row],[Serv-LY-RU]]+DaybyDay[[#This Row],[Ret-LY-RU]],"")</f>
        <v>0</v>
      </c>
      <c r="AK7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3" s="77"/>
      <c r="AM783" s="40" t="str">
        <f>IF(DaybyDay[[#This Row],[Admin Hours]]&gt;0,DaybyDay[[#This Row],[Admin Hours]]*$AM$2+$AM$3,"")</f>
        <v/>
      </c>
      <c r="AN783" s="40">
        <f>SUMIFS(DaybyDay[Est-Admin-Payroll],DaybyDay[Date],"&gt;="&amp;$C$5,DaybyDay[RowYear],"&gt;="&amp;$C$4,DaybyDay[Date],"&lt;="&amp;DaybyDay[[#This Row],[Date]])</f>
        <v>0</v>
      </c>
      <c r="AO783" s="41" t="str">
        <f>IF(AND(DaybyDay[[#This Row],[_Space]],ISNUMBER(DaybyDay[[#This Row],[Admin Hours]])),DaybyDay[[#This Row],[Est-Admin-Payroll]]/(DaybyDay[[#This Row],[Service-Actuals]]+DaybyDay[[#This Row],[Retail-Actuals]]),"")</f>
        <v/>
      </c>
      <c r="AP783" s="41" t="e">
        <f>DaybyDay[[#This Row],[Estimated-Payroll-Rollup]]/DaybyDay[[#This Row],[Simple-Forecast]]</f>
        <v>#DIV/0!</v>
      </c>
      <c r="AQ7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3" s="77"/>
      <c r="AS783" s="40" t="str">
        <f>IF(DaybyDay[[#This Row],[Retail Hours]]&gt;0,DaybyDay[[#This Row],[Retail Hours]]*$AS$2,"")</f>
        <v/>
      </c>
      <c r="AT783" s="40">
        <f>SUMIFS(DaybyDay[Est-Retail-Payroll],DaybyDay[Date],"&gt;="&amp;$C$5,DaybyDay[RowYear],"&gt;="&amp;$C$4,DaybyDay[Date],"&lt;="&amp;DaybyDay[[#This Row],[Date]])</f>
        <v>0</v>
      </c>
      <c r="AU783" s="82" t="str">
        <f>IF(AND(DaybyDay[[#This Row],[_Space]],ISNUMBER(DaybyDay[[#This Row],[Retail Hours]])),DaybyDay[[#This Row],[Est-Retail-Payroll]]/(DaybyDay[[#This Row],[Retail-Actuals]]),"")</f>
        <v/>
      </c>
      <c r="AV783" s="82" t="e">
        <f>DaybyDay[[#This Row],[Est-Retail-PayrollRU]]/DaybyDay[[#This Row],[Simple-Forecast-Retail]]</f>
        <v>#DIV/0!</v>
      </c>
      <c r="AW783" s="8"/>
      <c r="AX783" s="49"/>
      <c r="AY783" s="48"/>
      <c r="AZ783" s="47"/>
      <c r="BA783" s="47"/>
      <c r="BB783" s="47"/>
      <c r="BC783" s="47"/>
      <c r="BD783" s="47"/>
    </row>
    <row r="784" spans="3:56" hidden="1" x14ac:dyDescent="0.25">
      <c r="C784" s="26" t="str">
        <f>Tools!$C$1</f>
        <v>Example</v>
      </c>
      <c r="D784" s="27" t="s">
        <v>69</v>
      </c>
      <c r="E784" s="28">
        <v>2019</v>
      </c>
      <c r="F784" s="28">
        <f>MATCH(DaybyDay[[#This Row],[RowMonth]],Table3[SummaryMonth],0)</f>
        <v>2</v>
      </c>
      <c r="G784" s="29">
        <f>MATCH(DaybyDay[[#This Row],[LY-Date]],DaybyDay[Date],0)</f>
        <v>414</v>
      </c>
      <c r="H784" s="30">
        <f>WEEKDAY(DaybyDay[[#This Row],[Date]])</f>
        <v>1</v>
      </c>
      <c r="I784" s="31">
        <v>43513</v>
      </c>
      <c r="J784" s="74">
        <v>45</v>
      </c>
      <c r="K784" s="32">
        <f>SUMIFS(BudgetSeasonality[365 Seasonality],BudgetSeasonality[MonthAdjustment],DaybyDay[[#This Row],[Date]])*SUMIFS(Budgets[Service-Budget],Budgets[BudgetMonth],DaybyDay[[#This Row],[RowMonth]],Budgets[BudgetYear],DaybyDay[[#This Row],[RowYear]])</f>
        <v>5454.2016194597873</v>
      </c>
      <c r="L784" s="75">
        <v>9717.73</v>
      </c>
      <c r="M784" s="32">
        <f>INDEX(BudgetSeasonality[365 Seasonality],MATCH(DaybyDay[[#This Row],[Date]],BudgetSeasonality[MonthAdjustment],0))*SUMIFS(Budgets[Retail-Budget],Budgets[BudgetMonth],DaybyDay[[#This Row],[RowMonth]],Budgets[BudgetYear],DaybyDay[[#This Row],[RowYear]])</f>
        <v>1305.6360829546804</v>
      </c>
      <c r="N784" s="75">
        <v>434</v>
      </c>
      <c r="O784" s="33">
        <f>SUMIFS(DaybyDay[Service-Budgets],DaybyDay[Date],"&gt;="&amp;$C$5,DaybyDay[RowYear],"&gt;="&amp;$C$4,DaybyDay[Date],"&lt;="&amp;DaybyDay[[#This Row],[Date]])</f>
        <v>0</v>
      </c>
      <c r="P784" s="33">
        <f>SUMIFS(DaybyDay[Retail-Budgets],DaybyDay[Date],"&gt;="&amp;$C$5,DaybyDay[RowYear],"&gt;="&amp;$C$4,DaybyDay[Date],"&lt;="&amp;DaybyDay[[#This Row],[Date]])</f>
        <v>0</v>
      </c>
      <c r="Q784" s="34">
        <f>SUMIFS(DaybyDay[Service-Actuals],DaybyDay[Date],"&gt;="&amp;$C$5,DaybyDay[RowYear],"&gt;="&amp;$C$4,DaybyDay[Date],"&lt;="&amp;DaybyDay[[#This Row],[Date]])</f>
        <v>0</v>
      </c>
      <c r="R784" s="34">
        <f>SUMIFS(DaybyDay[Retail-Actuals],DaybyDay[Date],"&gt;="&amp;$C$5,DaybyDay[RowYear],"&gt;="&amp;$C$4,DaybyDay[Date],"&lt;="&amp;DaybyDay[[#This Row],[Date]])</f>
        <v>0</v>
      </c>
      <c r="S784" s="35">
        <f>SUMIFS(DaybyDay[Service-LY],DaybyDay[Date],"&gt;="&amp;$C$5,DaybyDay[RowYear],"&gt;="&amp;$C$4,DaybyDay[Date],"&lt;="&amp;DaybyDay[[#This Row],[Date]])</f>
        <v>0</v>
      </c>
      <c r="T784" s="35">
        <f>SUMIFS(DaybyDay[Retail-LY],DaybyDay[Date],"&gt;="&amp;$C$5,DaybyDay[RowYear],"&gt;="&amp;$C$4,DaybyDay[Date],"&lt;="&amp;DaybyDay[[#This Row],[Date]])</f>
        <v>0</v>
      </c>
      <c r="U784" s="32">
        <f>DaybyDay[[#This Row],[Serv-Bud-RU]]+DaybyDay[[#This Row],[Ret-Bud-RU]]</f>
        <v>0</v>
      </c>
      <c r="V784" s="32">
        <f>DaybyDay[[#This Row],[Serv-Act-RU]]+DaybyDay[[#This Row],[Ret-Act-RU]]</f>
        <v>0</v>
      </c>
      <c r="W784" s="36">
        <f>IF(DaybyDay[[#This Row],[_Space]],IFERROR(
((DaybyDay[[#This Row],[Actual-Rollup]]-DaybyDay[[#This Row],[Budget-Rollup]])/DaybyDay[[#This Row],[Budget-Rollup]]),0),"")</f>
        <v>0</v>
      </c>
      <c r="X784" t="b">
        <f>NOT(AND(ISBLANK(DaybyDay[[#This Row],[Appts]]),ISBLANK(DaybyDay[[#This Row],[Service-Actuals]]),ISBLANK(DaybyDay[[#This Row],[Retail-Actuals]])))</f>
        <v>1</v>
      </c>
      <c r="Y784" s="36">
        <f>IF(DaybyDay[[#This Row],[_Space]],IFERROR(
((DaybyDay[[#This Row],[Actual-Rollup]]-DaybyDay[[#This Row],[LY-Rollup]])/DaybyDay[[#This Row],[LY-Rollup]]),0),"")</f>
        <v>0</v>
      </c>
      <c r="Z784"/>
      <c r="AA784" s="37" t="e">
        <f>IF(DaybyDay[[#This Row],[_Space]],DaybyDay[[#This Row],[Ret-Act-RU]]/DaybyDay[[#This Row],[Serv-Act-RU]],"")</f>
        <v>#DIV/0!</v>
      </c>
      <c r="AB784" s="50" t="e">
        <f>IF(DaybyDay[[#This Row],[_Space]],DaybyDay[[#This Row],[RETPEN-Act]]/DaybyDay[[#This Row],[RETPEN-Bud]],"")</f>
        <v>#DIV/0!</v>
      </c>
      <c r="AC784" s="37" t="e">
        <f>IF(DaybyDay[[#This Row],[_Space]],DaybyDay[[#This Row],[Ret-Bud-RU]]/DaybyDay[[#This Row],[Serv-Bud-RU]],"")</f>
        <v>#DIV/0!</v>
      </c>
      <c r="AD784" s="37" t="e">
        <f>IF(DaybyDay[[#This Row],[_Space]],DaybyDay[[#This Row],[Ret-LY-RU]]/DaybyDay[[#This Row],[Serv-LY-RU]],"")</f>
        <v>#DIV/0!</v>
      </c>
      <c r="AE784" s="30">
        <f>WEEKDAY(DaybyDay[[#This Row],[LY-Date]])</f>
        <v>1</v>
      </c>
      <c r="AF784" s="38">
        <f>$E$2+_xlfn.DAYS(DaybyDay[[#This Row],[Date]],minDate)</f>
        <v>43149</v>
      </c>
      <c r="AG784" s="39" cm="1">
        <f t="array" ref="AG784">IFERROR(INDEX(DaybyDay[],DaybyDay[[#This Row],[FORM_MATCH_HELPER]],8),"")</f>
        <v>34</v>
      </c>
      <c r="AH784" s="39" cm="1">
        <f t="array" ref="AH784">IFERROR(INDEX(DaybyDay[],DaybyDay[[#This Row],[FORM_MATCH_HELPER]],10),"")</f>
        <v>7717</v>
      </c>
      <c r="AI784" s="39" cm="1">
        <f t="array" ref="AI784">IFERROR(INDEX(DaybyDay[],DaybyDay[[#This Row],[FORM_MATCH_HELPER]],12),"")</f>
        <v>1107</v>
      </c>
      <c r="AJ784" s="32">
        <f>IFERROR(DaybyDay[[#This Row],[Serv-LY-RU]]+DaybyDay[[#This Row],[Ret-LY-RU]],"")</f>
        <v>0</v>
      </c>
      <c r="AK7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4" s="77"/>
      <c r="AM784" s="40" t="str">
        <f>IF(DaybyDay[[#This Row],[Admin Hours]]&gt;0,DaybyDay[[#This Row],[Admin Hours]]*$AM$2+$AM$3,"")</f>
        <v/>
      </c>
      <c r="AN784" s="40">
        <f>SUMIFS(DaybyDay[Est-Admin-Payroll],DaybyDay[Date],"&gt;="&amp;$C$5,DaybyDay[RowYear],"&gt;="&amp;$C$4,DaybyDay[Date],"&lt;="&amp;DaybyDay[[#This Row],[Date]])</f>
        <v>0</v>
      </c>
      <c r="AO784" s="41" t="str">
        <f>IF(AND(DaybyDay[[#This Row],[_Space]],ISNUMBER(DaybyDay[[#This Row],[Admin Hours]])),DaybyDay[[#This Row],[Est-Admin-Payroll]]/(DaybyDay[[#This Row],[Service-Actuals]]+DaybyDay[[#This Row],[Retail-Actuals]]),"")</f>
        <v/>
      </c>
      <c r="AP784" s="41" t="e">
        <f>DaybyDay[[#This Row],[Estimated-Payroll-Rollup]]/DaybyDay[[#This Row],[Simple-Forecast]]</f>
        <v>#DIV/0!</v>
      </c>
      <c r="AQ7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4" s="77"/>
      <c r="AS784" s="40" t="str">
        <f>IF(DaybyDay[[#This Row],[Retail Hours]]&gt;0,DaybyDay[[#This Row],[Retail Hours]]*$AS$2,"")</f>
        <v/>
      </c>
      <c r="AT784" s="40">
        <f>SUMIFS(DaybyDay[Est-Retail-Payroll],DaybyDay[Date],"&gt;="&amp;$C$5,DaybyDay[RowYear],"&gt;="&amp;$C$4,DaybyDay[Date],"&lt;="&amp;DaybyDay[[#This Row],[Date]])</f>
        <v>0</v>
      </c>
      <c r="AU784" s="82" t="str">
        <f>IF(AND(DaybyDay[[#This Row],[_Space]],ISNUMBER(DaybyDay[[#This Row],[Retail Hours]])),DaybyDay[[#This Row],[Est-Retail-Payroll]]/(DaybyDay[[#This Row],[Retail-Actuals]]),"")</f>
        <v/>
      </c>
      <c r="AV784" s="82" t="e">
        <f>DaybyDay[[#This Row],[Est-Retail-PayrollRU]]/DaybyDay[[#This Row],[Simple-Forecast-Retail]]</f>
        <v>#DIV/0!</v>
      </c>
      <c r="AW784" s="8"/>
      <c r="AX784" s="49"/>
      <c r="AY784" s="48"/>
      <c r="AZ784" s="47"/>
      <c r="BA784" s="47"/>
      <c r="BB784" s="47"/>
      <c r="BC784" s="47"/>
      <c r="BD784" s="47"/>
    </row>
    <row r="785" spans="3:56" hidden="1" x14ac:dyDescent="0.25">
      <c r="C785" s="26" t="str">
        <f>Tools!$C$1</f>
        <v>Example</v>
      </c>
      <c r="D785" s="27" t="s">
        <v>69</v>
      </c>
      <c r="E785" s="28">
        <v>2019</v>
      </c>
      <c r="F785" s="28">
        <f>MATCH(DaybyDay[[#This Row],[RowMonth]],Table3[SummaryMonth],0)</f>
        <v>2</v>
      </c>
      <c r="G785" s="29">
        <f>MATCH(DaybyDay[[#This Row],[LY-Date]],DaybyDay[Date],0)</f>
        <v>415</v>
      </c>
      <c r="H785" s="30">
        <f>WEEKDAY(DaybyDay[[#This Row],[Date]])</f>
        <v>2</v>
      </c>
      <c r="I785" s="31">
        <v>43514</v>
      </c>
      <c r="J785" s="74">
        <v>29</v>
      </c>
      <c r="K785" s="32">
        <f>SUMIFS(BudgetSeasonality[365 Seasonality],BudgetSeasonality[MonthAdjustment],DaybyDay[[#This Row],[Date]])*SUMIFS(Budgets[Service-Budget],Budgets[BudgetMonth],DaybyDay[[#This Row],[RowMonth]],Budgets[BudgetYear],DaybyDay[[#This Row],[RowYear]])</f>
        <v>3408.4036088740372</v>
      </c>
      <c r="L785" s="75">
        <v>5802.8</v>
      </c>
      <c r="M785" s="32">
        <f>INDEX(BudgetSeasonality[365 Seasonality],MATCH(DaybyDay[[#This Row],[Date]],BudgetSeasonality[MonthAdjustment],0))*SUMIFS(Budgets[Retail-Budget],Budgets[BudgetMonth],DaybyDay[[#This Row],[RowMonth]],Budgets[BudgetYear],DaybyDay[[#This Row],[RowYear]])</f>
        <v>815.90946714207814</v>
      </c>
      <c r="N785" s="75">
        <v>795</v>
      </c>
      <c r="O785" s="33">
        <f>SUMIFS(DaybyDay[Service-Budgets],DaybyDay[Date],"&gt;="&amp;$C$5,DaybyDay[RowYear],"&gt;="&amp;$C$4,DaybyDay[Date],"&lt;="&amp;DaybyDay[[#This Row],[Date]])</f>
        <v>0</v>
      </c>
      <c r="P785" s="33">
        <f>SUMIFS(DaybyDay[Retail-Budgets],DaybyDay[Date],"&gt;="&amp;$C$5,DaybyDay[RowYear],"&gt;="&amp;$C$4,DaybyDay[Date],"&lt;="&amp;DaybyDay[[#This Row],[Date]])</f>
        <v>0</v>
      </c>
      <c r="Q785" s="34">
        <f>SUMIFS(DaybyDay[Service-Actuals],DaybyDay[Date],"&gt;="&amp;$C$5,DaybyDay[RowYear],"&gt;="&amp;$C$4,DaybyDay[Date],"&lt;="&amp;DaybyDay[[#This Row],[Date]])</f>
        <v>0</v>
      </c>
      <c r="R785" s="34">
        <f>SUMIFS(DaybyDay[Retail-Actuals],DaybyDay[Date],"&gt;="&amp;$C$5,DaybyDay[RowYear],"&gt;="&amp;$C$4,DaybyDay[Date],"&lt;="&amp;DaybyDay[[#This Row],[Date]])</f>
        <v>0</v>
      </c>
      <c r="S785" s="35">
        <f>SUMIFS(DaybyDay[Service-LY],DaybyDay[Date],"&gt;="&amp;$C$5,DaybyDay[RowYear],"&gt;="&amp;$C$4,DaybyDay[Date],"&lt;="&amp;DaybyDay[[#This Row],[Date]])</f>
        <v>0</v>
      </c>
      <c r="T785" s="35">
        <f>SUMIFS(DaybyDay[Retail-LY],DaybyDay[Date],"&gt;="&amp;$C$5,DaybyDay[RowYear],"&gt;="&amp;$C$4,DaybyDay[Date],"&lt;="&amp;DaybyDay[[#This Row],[Date]])</f>
        <v>0</v>
      </c>
      <c r="U785" s="32">
        <f>DaybyDay[[#This Row],[Serv-Bud-RU]]+DaybyDay[[#This Row],[Ret-Bud-RU]]</f>
        <v>0</v>
      </c>
      <c r="V785" s="32">
        <f>DaybyDay[[#This Row],[Serv-Act-RU]]+DaybyDay[[#This Row],[Ret-Act-RU]]</f>
        <v>0</v>
      </c>
      <c r="W785" s="36">
        <f>IF(DaybyDay[[#This Row],[_Space]],IFERROR(
((DaybyDay[[#This Row],[Actual-Rollup]]-DaybyDay[[#This Row],[Budget-Rollup]])/DaybyDay[[#This Row],[Budget-Rollup]]),0),"")</f>
        <v>0</v>
      </c>
      <c r="X785" t="b">
        <f>NOT(AND(ISBLANK(DaybyDay[[#This Row],[Appts]]),ISBLANK(DaybyDay[[#This Row],[Service-Actuals]]),ISBLANK(DaybyDay[[#This Row],[Retail-Actuals]])))</f>
        <v>1</v>
      </c>
      <c r="Y785" s="36">
        <f>IF(DaybyDay[[#This Row],[_Space]],IFERROR(
((DaybyDay[[#This Row],[Actual-Rollup]]-DaybyDay[[#This Row],[LY-Rollup]])/DaybyDay[[#This Row],[LY-Rollup]]),0),"")</f>
        <v>0</v>
      </c>
      <c r="Z785"/>
      <c r="AA785" s="37" t="e">
        <f>IF(DaybyDay[[#This Row],[_Space]],DaybyDay[[#This Row],[Ret-Act-RU]]/DaybyDay[[#This Row],[Serv-Act-RU]],"")</f>
        <v>#DIV/0!</v>
      </c>
      <c r="AB785" s="50" t="e">
        <f>IF(DaybyDay[[#This Row],[_Space]],DaybyDay[[#This Row],[RETPEN-Act]]/DaybyDay[[#This Row],[RETPEN-Bud]],"")</f>
        <v>#DIV/0!</v>
      </c>
      <c r="AC785" s="37" t="e">
        <f>IF(DaybyDay[[#This Row],[_Space]],DaybyDay[[#This Row],[Ret-Bud-RU]]/DaybyDay[[#This Row],[Serv-Bud-RU]],"")</f>
        <v>#DIV/0!</v>
      </c>
      <c r="AD785" s="37" t="e">
        <f>IF(DaybyDay[[#This Row],[_Space]],DaybyDay[[#This Row],[Ret-LY-RU]]/DaybyDay[[#This Row],[Serv-LY-RU]],"")</f>
        <v>#DIV/0!</v>
      </c>
      <c r="AE785" s="30">
        <f>WEEKDAY(DaybyDay[[#This Row],[LY-Date]])</f>
        <v>2</v>
      </c>
      <c r="AF785" s="38">
        <f>$E$2+_xlfn.DAYS(DaybyDay[[#This Row],[Date]],minDate)</f>
        <v>43150</v>
      </c>
      <c r="AG785" s="39" cm="1">
        <f t="array" ref="AG785">IFERROR(INDEX(DaybyDay[],DaybyDay[[#This Row],[FORM_MATCH_HELPER]],8),"")</f>
        <v>30</v>
      </c>
      <c r="AH785" s="39" cm="1">
        <f t="array" ref="AH785">IFERROR(INDEX(DaybyDay[],DaybyDay[[#This Row],[FORM_MATCH_HELPER]],10),"")</f>
        <v>6605</v>
      </c>
      <c r="AI785" s="39" cm="1">
        <f t="array" ref="AI785">IFERROR(INDEX(DaybyDay[],DaybyDay[[#This Row],[FORM_MATCH_HELPER]],12),"")</f>
        <v>1152</v>
      </c>
      <c r="AJ785" s="32">
        <f>IFERROR(DaybyDay[[#This Row],[Serv-LY-RU]]+DaybyDay[[#This Row],[Ret-LY-RU]],"")</f>
        <v>0</v>
      </c>
      <c r="AK7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5" s="77"/>
      <c r="AM785" s="40" t="str">
        <f>IF(DaybyDay[[#This Row],[Admin Hours]]&gt;0,DaybyDay[[#This Row],[Admin Hours]]*$AM$2+$AM$3,"")</f>
        <v/>
      </c>
      <c r="AN785" s="40">
        <f>SUMIFS(DaybyDay[Est-Admin-Payroll],DaybyDay[Date],"&gt;="&amp;$C$5,DaybyDay[RowYear],"&gt;="&amp;$C$4,DaybyDay[Date],"&lt;="&amp;DaybyDay[[#This Row],[Date]])</f>
        <v>0</v>
      </c>
      <c r="AO785" s="41" t="str">
        <f>IF(AND(DaybyDay[[#This Row],[_Space]],ISNUMBER(DaybyDay[[#This Row],[Admin Hours]])),DaybyDay[[#This Row],[Est-Admin-Payroll]]/(DaybyDay[[#This Row],[Service-Actuals]]+DaybyDay[[#This Row],[Retail-Actuals]]),"")</f>
        <v/>
      </c>
      <c r="AP785" s="41" t="e">
        <f>DaybyDay[[#This Row],[Estimated-Payroll-Rollup]]/DaybyDay[[#This Row],[Simple-Forecast]]</f>
        <v>#DIV/0!</v>
      </c>
      <c r="AQ7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5" s="77"/>
      <c r="AS785" s="40" t="str">
        <f>IF(DaybyDay[[#This Row],[Retail Hours]]&gt;0,DaybyDay[[#This Row],[Retail Hours]]*$AS$2,"")</f>
        <v/>
      </c>
      <c r="AT785" s="40">
        <f>SUMIFS(DaybyDay[Est-Retail-Payroll],DaybyDay[Date],"&gt;="&amp;$C$5,DaybyDay[RowYear],"&gt;="&amp;$C$4,DaybyDay[Date],"&lt;="&amp;DaybyDay[[#This Row],[Date]])</f>
        <v>0</v>
      </c>
      <c r="AU785" s="82" t="str">
        <f>IF(AND(DaybyDay[[#This Row],[_Space]],ISNUMBER(DaybyDay[[#This Row],[Retail Hours]])),DaybyDay[[#This Row],[Est-Retail-Payroll]]/(DaybyDay[[#This Row],[Retail-Actuals]]),"")</f>
        <v/>
      </c>
      <c r="AV785" s="82" t="e">
        <f>DaybyDay[[#This Row],[Est-Retail-PayrollRU]]/DaybyDay[[#This Row],[Simple-Forecast-Retail]]</f>
        <v>#DIV/0!</v>
      </c>
      <c r="AW785" s="8"/>
      <c r="AX785" s="49"/>
      <c r="AY785" s="48"/>
      <c r="AZ785" s="47"/>
      <c r="BA785" s="47"/>
      <c r="BB785" s="47"/>
      <c r="BC785" s="47"/>
      <c r="BD785" s="47"/>
    </row>
    <row r="786" spans="3:56" hidden="1" x14ac:dyDescent="0.25">
      <c r="C786" s="26" t="str">
        <f>Tools!$C$1</f>
        <v>Example</v>
      </c>
      <c r="D786" s="27" t="s">
        <v>69</v>
      </c>
      <c r="E786" s="28">
        <v>2019</v>
      </c>
      <c r="F786" s="28">
        <f>MATCH(DaybyDay[[#This Row],[RowMonth]],Table3[SummaryMonth],0)</f>
        <v>2</v>
      </c>
      <c r="G786" s="29">
        <f>MATCH(DaybyDay[[#This Row],[LY-Date]],DaybyDay[Date],0)</f>
        <v>416</v>
      </c>
      <c r="H786" s="30">
        <f>WEEKDAY(DaybyDay[[#This Row],[Date]])</f>
        <v>3</v>
      </c>
      <c r="I786" s="31">
        <v>43515</v>
      </c>
      <c r="J786" s="74">
        <v>29</v>
      </c>
      <c r="K786" s="32">
        <f>SUMIFS(BudgetSeasonality[365 Seasonality],BudgetSeasonality[MonthAdjustment],DaybyDay[[#This Row],[Date]])*SUMIFS(Budgets[Service-Budget],Budgets[BudgetMonth],DaybyDay[[#This Row],[RowMonth]],Budgets[BudgetYear],DaybyDay[[#This Row],[RowYear]])</f>
        <v>3437.9768030372588</v>
      </c>
      <c r="L786" s="75">
        <v>5281.8</v>
      </c>
      <c r="M786" s="32">
        <f>INDEX(BudgetSeasonality[365 Seasonality],MATCH(DaybyDay[[#This Row],[Date]],BudgetSeasonality[MonthAdjustment],0))*SUMIFS(Budgets[Retail-Budget],Budgets[BudgetMonth],DaybyDay[[#This Row],[RowMonth]],Budgets[BudgetYear],DaybyDay[[#This Row],[RowYear]])</f>
        <v>822.98874878248637</v>
      </c>
      <c r="N786" s="75">
        <v>591.09</v>
      </c>
      <c r="O786" s="33">
        <f>SUMIFS(DaybyDay[Service-Budgets],DaybyDay[Date],"&gt;="&amp;$C$5,DaybyDay[RowYear],"&gt;="&amp;$C$4,DaybyDay[Date],"&lt;="&amp;DaybyDay[[#This Row],[Date]])</f>
        <v>0</v>
      </c>
      <c r="P786" s="33">
        <f>SUMIFS(DaybyDay[Retail-Budgets],DaybyDay[Date],"&gt;="&amp;$C$5,DaybyDay[RowYear],"&gt;="&amp;$C$4,DaybyDay[Date],"&lt;="&amp;DaybyDay[[#This Row],[Date]])</f>
        <v>0</v>
      </c>
      <c r="Q786" s="34">
        <f>SUMIFS(DaybyDay[Service-Actuals],DaybyDay[Date],"&gt;="&amp;$C$5,DaybyDay[RowYear],"&gt;="&amp;$C$4,DaybyDay[Date],"&lt;="&amp;DaybyDay[[#This Row],[Date]])</f>
        <v>0</v>
      </c>
      <c r="R786" s="34">
        <f>SUMIFS(DaybyDay[Retail-Actuals],DaybyDay[Date],"&gt;="&amp;$C$5,DaybyDay[RowYear],"&gt;="&amp;$C$4,DaybyDay[Date],"&lt;="&amp;DaybyDay[[#This Row],[Date]])</f>
        <v>0</v>
      </c>
      <c r="S786" s="35">
        <f>SUMIFS(DaybyDay[Service-LY],DaybyDay[Date],"&gt;="&amp;$C$5,DaybyDay[RowYear],"&gt;="&amp;$C$4,DaybyDay[Date],"&lt;="&amp;DaybyDay[[#This Row],[Date]])</f>
        <v>0</v>
      </c>
      <c r="T786" s="35">
        <f>SUMIFS(DaybyDay[Retail-LY],DaybyDay[Date],"&gt;="&amp;$C$5,DaybyDay[RowYear],"&gt;="&amp;$C$4,DaybyDay[Date],"&lt;="&amp;DaybyDay[[#This Row],[Date]])</f>
        <v>0</v>
      </c>
      <c r="U786" s="32">
        <f>DaybyDay[[#This Row],[Serv-Bud-RU]]+DaybyDay[[#This Row],[Ret-Bud-RU]]</f>
        <v>0</v>
      </c>
      <c r="V786" s="32">
        <f>DaybyDay[[#This Row],[Serv-Act-RU]]+DaybyDay[[#This Row],[Ret-Act-RU]]</f>
        <v>0</v>
      </c>
      <c r="W786" s="36">
        <f>IF(DaybyDay[[#This Row],[_Space]],IFERROR(
((DaybyDay[[#This Row],[Actual-Rollup]]-DaybyDay[[#This Row],[Budget-Rollup]])/DaybyDay[[#This Row],[Budget-Rollup]]),0),"")</f>
        <v>0</v>
      </c>
      <c r="X786" t="b">
        <f>NOT(AND(ISBLANK(DaybyDay[[#This Row],[Appts]]),ISBLANK(DaybyDay[[#This Row],[Service-Actuals]]),ISBLANK(DaybyDay[[#This Row],[Retail-Actuals]])))</f>
        <v>1</v>
      </c>
      <c r="Y786" s="36">
        <f>IF(DaybyDay[[#This Row],[_Space]],IFERROR(
((DaybyDay[[#This Row],[Actual-Rollup]]-DaybyDay[[#This Row],[LY-Rollup]])/DaybyDay[[#This Row],[LY-Rollup]]),0),"")</f>
        <v>0</v>
      </c>
      <c r="Z786"/>
      <c r="AA786" s="37" t="e">
        <f>IF(DaybyDay[[#This Row],[_Space]],DaybyDay[[#This Row],[Ret-Act-RU]]/DaybyDay[[#This Row],[Serv-Act-RU]],"")</f>
        <v>#DIV/0!</v>
      </c>
      <c r="AB786" s="50" t="e">
        <f>IF(DaybyDay[[#This Row],[_Space]],DaybyDay[[#This Row],[RETPEN-Act]]/DaybyDay[[#This Row],[RETPEN-Bud]],"")</f>
        <v>#DIV/0!</v>
      </c>
      <c r="AC786" s="37" t="e">
        <f>IF(DaybyDay[[#This Row],[_Space]],DaybyDay[[#This Row],[Ret-Bud-RU]]/DaybyDay[[#This Row],[Serv-Bud-RU]],"")</f>
        <v>#DIV/0!</v>
      </c>
      <c r="AD786" s="37" t="e">
        <f>IF(DaybyDay[[#This Row],[_Space]],DaybyDay[[#This Row],[Ret-LY-RU]]/DaybyDay[[#This Row],[Serv-LY-RU]],"")</f>
        <v>#DIV/0!</v>
      </c>
      <c r="AE786" s="30">
        <f>WEEKDAY(DaybyDay[[#This Row],[LY-Date]])</f>
        <v>3</v>
      </c>
      <c r="AF786" s="38">
        <f>$E$2+_xlfn.DAYS(DaybyDay[[#This Row],[Date]],minDate)</f>
        <v>43151</v>
      </c>
      <c r="AG786" s="39" cm="1">
        <f t="array" ref="AG786">IFERROR(INDEX(DaybyDay[],DaybyDay[[#This Row],[FORM_MATCH_HELPER]],8),"")</f>
        <v>20</v>
      </c>
      <c r="AH786" s="39" cm="1">
        <f t="array" ref="AH786">IFERROR(INDEX(DaybyDay[],DaybyDay[[#This Row],[FORM_MATCH_HELPER]],10),"")</f>
        <v>3992.3</v>
      </c>
      <c r="AI786" s="39" cm="1">
        <f t="array" ref="AI786">IFERROR(INDEX(DaybyDay[],DaybyDay[[#This Row],[FORM_MATCH_HELPER]],12),"")</f>
        <v>1344.5</v>
      </c>
      <c r="AJ786" s="32">
        <f>IFERROR(DaybyDay[[#This Row],[Serv-LY-RU]]+DaybyDay[[#This Row],[Ret-LY-RU]],"")</f>
        <v>0</v>
      </c>
      <c r="AK7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6" s="77"/>
      <c r="AM786" s="40" t="str">
        <f>IF(DaybyDay[[#This Row],[Admin Hours]]&gt;0,DaybyDay[[#This Row],[Admin Hours]]*$AM$2+$AM$3,"")</f>
        <v/>
      </c>
      <c r="AN786" s="40">
        <f>SUMIFS(DaybyDay[Est-Admin-Payroll],DaybyDay[Date],"&gt;="&amp;$C$5,DaybyDay[RowYear],"&gt;="&amp;$C$4,DaybyDay[Date],"&lt;="&amp;DaybyDay[[#This Row],[Date]])</f>
        <v>0</v>
      </c>
      <c r="AO786" s="41" t="str">
        <f>IF(AND(DaybyDay[[#This Row],[_Space]],ISNUMBER(DaybyDay[[#This Row],[Admin Hours]])),DaybyDay[[#This Row],[Est-Admin-Payroll]]/(DaybyDay[[#This Row],[Service-Actuals]]+DaybyDay[[#This Row],[Retail-Actuals]]),"")</f>
        <v/>
      </c>
      <c r="AP786" s="41" t="e">
        <f>DaybyDay[[#This Row],[Estimated-Payroll-Rollup]]/DaybyDay[[#This Row],[Simple-Forecast]]</f>
        <v>#DIV/0!</v>
      </c>
      <c r="AQ7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6" s="77"/>
      <c r="AS786" s="40" t="str">
        <f>IF(DaybyDay[[#This Row],[Retail Hours]]&gt;0,DaybyDay[[#This Row],[Retail Hours]]*$AS$2,"")</f>
        <v/>
      </c>
      <c r="AT786" s="40">
        <f>SUMIFS(DaybyDay[Est-Retail-Payroll],DaybyDay[Date],"&gt;="&amp;$C$5,DaybyDay[RowYear],"&gt;="&amp;$C$4,DaybyDay[Date],"&lt;="&amp;DaybyDay[[#This Row],[Date]])</f>
        <v>0</v>
      </c>
      <c r="AU786" s="82" t="str">
        <f>IF(AND(DaybyDay[[#This Row],[_Space]],ISNUMBER(DaybyDay[[#This Row],[Retail Hours]])),DaybyDay[[#This Row],[Est-Retail-Payroll]]/(DaybyDay[[#This Row],[Retail-Actuals]]),"")</f>
        <v/>
      </c>
      <c r="AV786" s="82" t="e">
        <f>DaybyDay[[#This Row],[Est-Retail-PayrollRU]]/DaybyDay[[#This Row],[Simple-Forecast-Retail]]</f>
        <v>#DIV/0!</v>
      </c>
      <c r="AW786" s="8"/>
      <c r="AX786" s="49"/>
      <c r="AY786" s="48"/>
      <c r="AZ786" s="47"/>
      <c r="BA786" s="47"/>
      <c r="BB786" s="47"/>
      <c r="BC786" s="47"/>
      <c r="BD786" s="47"/>
    </row>
    <row r="787" spans="3:56" hidden="1" x14ac:dyDescent="0.25">
      <c r="C787" s="26" t="str">
        <f>Tools!$C$1</f>
        <v>Example</v>
      </c>
      <c r="D787" s="27" t="s">
        <v>69</v>
      </c>
      <c r="E787" s="28">
        <v>2019</v>
      </c>
      <c r="F787" s="28">
        <f>MATCH(DaybyDay[[#This Row],[RowMonth]],Table3[SummaryMonth],0)</f>
        <v>2</v>
      </c>
      <c r="G787" s="29">
        <f>MATCH(DaybyDay[[#This Row],[LY-Date]],DaybyDay[Date],0)</f>
        <v>417</v>
      </c>
      <c r="H787" s="30">
        <f>WEEKDAY(DaybyDay[[#This Row],[Date]])</f>
        <v>4</v>
      </c>
      <c r="I787" s="31">
        <v>43516</v>
      </c>
      <c r="J787" s="74">
        <v>24</v>
      </c>
      <c r="K787" s="32">
        <f>SUMIFS(BudgetSeasonality[365 Seasonality],BudgetSeasonality[MonthAdjustment],DaybyDay[[#This Row],[Date]])*SUMIFS(Budgets[Service-Budget],Budgets[BudgetMonth],DaybyDay[[#This Row],[RowMonth]],Budgets[BudgetYear],DaybyDay[[#This Row],[RowYear]])</f>
        <v>3829.0710885986946</v>
      </c>
      <c r="L787" s="75">
        <v>4213.8999999999996</v>
      </c>
      <c r="M787" s="32">
        <f>INDEX(BudgetSeasonality[365 Seasonality],MATCH(DaybyDay[[#This Row],[Date]],BudgetSeasonality[MonthAdjustment],0))*SUMIFS(Budgets[Retail-Budget],Budgets[BudgetMonth],DaybyDay[[#This Row],[RowMonth]],Budgets[BudgetYear],DaybyDay[[#This Row],[RowYear]])</f>
        <v>916.60956566695052</v>
      </c>
      <c r="N787" s="75">
        <v>816.65</v>
      </c>
      <c r="O787" s="33">
        <f>SUMIFS(DaybyDay[Service-Budgets],DaybyDay[Date],"&gt;="&amp;$C$5,DaybyDay[RowYear],"&gt;="&amp;$C$4,DaybyDay[Date],"&lt;="&amp;DaybyDay[[#This Row],[Date]])</f>
        <v>0</v>
      </c>
      <c r="P787" s="33">
        <f>SUMIFS(DaybyDay[Retail-Budgets],DaybyDay[Date],"&gt;="&amp;$C$5,DaybyDay[RowYear],"&gt;="&amp;$C$4,DaybyDay[Date],"&lt;="&amp;DaybyDay[[#This Row],[Date]])</f>
        <v>0</v>
      </c>
      <c r="Q787" s="34">
        <f>SUMIFS(DaybyDay[Service-Actuals],DaybyDay[Date],"&gt;="&amp;$C$5,DaybyDay[RowYear],"&gt;="&amp;$C$4,DaybyDay[Date],"&lt;="&amp;DaybyDay[[#This Row],[Date]])</f>
        <v>0</v>
      </c>
      <c r="R787" s="34">
        <f>SUMIFS(DaybyDay[Retail-Actuals],DaybyDay[Date],"&gt;="&amp;$C$5,DaybyDay[RowYear],"&gt;="&amp;$C$4,DaybyDay[Date],"&lt;="&amp;DaybyDay[[#This Row],[Date]])</f>
        <v>0</v>
      </c>
      <c r="S787" s="35">
        <f>SUMIFS(DaybyDay[Service-LY],DaybyDay[Date],"&gt;="&amp;$C$5,DaybyDay[RowYear],"&gt;="&amp;$C$4,DaybyDay[Date],"&lt;="&amp;DaybyDay[[#This Row],[Date]])</f>
        <v>0</v>
      </c>
      <c r="T787" s="35">
        <f>SUMIFS(DaybyDay[Retail-LY],DaybyDay[Date],"&gt;="&amp;$C$5,DaybyDay[RowYear],"&gt;="&amp;$C$4,DaybyDay[Date],"&lt;="&amp;DaybyDay[[#This Row],[Date]])</f>
        <v>0</v>
      </c>
      <c r="U787" s="32">
        <f>DaybyDay[[#This Row],[Serv-Bud-RU]]+DaybyDay[[#This Row],[Ret-Bud-RU]]</f>
        <v>0</v>
      </c>
      <c r="V787" s="32">
        <f>DaybyDay[[#This Row],[Serv-Act-RU]]+DaybyDay[[#This Row],[Ret-Act-RU]]</f>
        <v>0</v>
      </c>
      <c r="W787" s="36">
        <f>IF(DaybyDay[[#This Row],[_Space]],IFERROR(
((DaybyDay[[#This Row],[Actual-Rollup]]-DaybyDay[[#This Row],[Budget-Rollup]])/DaybyDay[[#This Row],[Budget-Rollup]]),0),"")</f>
        <v>0</v>
      </c>
      <c r="X787" t="b">
        <f>NOT(AND(ISBLANK(DaybyDay[[#This Row],[Appts]]),ISBLANK(DaybyDay[[#This Row],[Service-Actuals]]),ISBLANK(DaybyDay[[#This Row],[Retail-Actuals]])))</f>
        <v>1</v>
      </c>
      <c r="Y787" s="36">
        <f>IF(DaybyDay[[#This Row],[_Space]],IFERROR(
((DaybyDay[[#This Row],[Actual-Rollup]]-DaybyDay[[#This Row],[LY-Rollup]])/DaybyDay[[#This Row],[LY-Rollup]]),0),"")</f>
        <v>0</v>
      </c>
      <c r="Z787"/>
      <c r="AA787" s="37" t="e">
        <f>IF(DaybyDay[[#This Row],[_Space]],DaybyDay[[#This Row],[Ret-Act-RU]]/DaybyDay[[#This Row],[Serv-Act-RU]],"")</f>
        <v>#DIV/0!</v>
      </c>
      <c r="AB787" s="50" t="e">
        <f>IF(DaybyDay[[#This Row],[_Space]],DaybyDay[[#This Row],[RETPEN-Act]]/DaybyDay[[#This Row],[RETPEN-Bud]],"")</f>
        <v>#DIV/0!</v>
      </c>
      <c r="AC787" s="37" t="e">
        <f>IF(DaybyDay[[#This Row],[_Space]],DaybyDay[[#This Row],[Ret-Bud-RU]]/DaybyDay[[#This Row],[Serv-Bud-RU]],"")</f>
        <v>#DIV/0!</v>
      </c>
      <c r="AD787" s="37" t="e">
        <f>IF(DaybyDay[[#This Row],[_Space]],DaybyDay[[#This Row],[Ret-LY-RU]]/DaybyDay[[#This Row],[Serv-LY-RU]],"")</f>
        <v>#DIV/0!</v>
      </c>
      <c r="AE787" s="30">
        <f>WEEKDAY(DaybyDay[[#This Row],[LY-Date]])</f>
        <v>4</v>
      </c>
      <c r="AF787" s="38">
        <f>$E$2+_xlfn.DAYS(DaybyDay[[#This Row],[Date]],minDate)</f>
        <v>43152</v>
      </c>
      <c r="AG787" s="39" cm="1">
        <f t="array" ref="AG787">IFERROR(INDEX(DaybyDay[],DaybyDay[[#This Row],[FORM_MATCH_HELPER]],8),"")</f>
        <v>28</v>
      </c>
      <c r="AH787" s="39" cm="1">
        <f t="array" ref="AH787">IFERROR(INDEX(DaybyDay[],DaybyDay[[#This Row],[FORM_MATCH_HELPER]],10),"")</f>
        <v>4927</v>
      </c>
      <c r="AI787" s="39" cm="1">
        <f t="array" ref="AI787">IFERROR(INDEX(DaybyDay[],DaybyDay[[#This Row],[FORM_MATCH_HELPER]],12),"")</f>
        <v>1014</v>
      </c>
      <c r="AJ787" s="32">
        <f>IFERROR(DaybyDay[[#This Row],[Serv-LY-RU]]+DaybyDay[[#This Row],[Ret-LY-RU]],"")</f>
        <v>0</v>
      </c>
      <c r="AK7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7" s="77"/>
      <c r="AM787" s="40" t="str">
        <f>IF(DaybyDay[[#This Row],[Admin Hours]]&gt;0,DaybyDay[[#This Row],[Admin Hours]]*$AM$2+$AM$3,"")</f>
        <v/>
      </c>
      <c r="AN787" s="40">
        <f>SUMIFS(DaybyDay[Est-Admin-Payroll],DaybyDay[Date],"&gt;="&amp;$C$5,DaybyDay[RowYear],"&gt;="&amp;$C$4,DaybyDay[Date],"&lt;="&amp;DaybyDay[[#This Row],[Date]])</f>
        <v>0</v>
      </c>
      <c r="AO787" s="41" t="str">
        <f>IF(AND(DaybyDay[[#This Row],[_Space]],ISNUMBER(DaybyDay[[#This Row],[Admin Hours]])),DaybyDay[[#This Row],[Est-Admin-Payroll]]/(DaybyDay[[#This Row],[Service-Actuals]]+DaybyDay[[#This Row],[Retail-Actuals]]),"")</f>
        <v/>
      </c>
      <c r="AP787" s="41" t="e">
        <f>DaybyDay[[#This Row],[Estimated-Payroll-Rollup]]/DaybyDay[[#This Row],[Simple-Forecast]]</f>
        <v>#DIV/0!</v>
      </c>
      <c r="AQ7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7" s="77"/>
      <c r="AS787" s="40" t="str">
        <f>IF(DaybyDay[[#This Row],[Retail Hours]]&gt;0,DaybyDay[[#This Row],[Retail Hours]]*$AS$2,"")</f>
        <v/>
      </c>
      <c r="AT787" s="40">
        <f>SUMIFS(DaybyDay[Est-Retail-Payroll],DaybyDay[Date],"&gt;="&amp;$C$5,DaybyDay[RowYear],"&gt;="&amp;$C$4,DaybyDay[Date],"&lt;="&amp;DaybyDay[[#This Row],[Date]])</f>
        <v>0</v>
      </c>
      <c r="AU787" s="82" t="str">
        <f>IF(AND(DaybyDay[[#This Row],[_Space]],ISNUMBER(DaybyDay[[#This Row],[Retail Hours]])),DaybyDay[[#This Row],[Est-Retail-Payroll]]/(DaybyDay[[#This Row],[Retail-Actuals]]),"")</f>
        <v/>
      </c>
      <c r="AV787" s="82" t="e">
        <f>DaybyDay[[#This Row],[Est-Retail-PayrollRU]]/DaybyDay[[#This Row],[Simple-Forecast-Retail]]</f>
        <v>#DIV/0!</v>
      </c>
      <c r="AW787" s="8"/>
      <c r="AX787" s="49"/>
      <c r="AY787" s="48"/>
      <c r="AZ787" s="47"/>
      <c r="BA787" s="47"/>
      <c r="BB787" s="47"/>
      <c r="BC787" s="47"/>
      <c r="BD787" s="47"/>
    </row>
    <row r="788" spans="3:56" hidden="1" x14ac:dyDescent="0.25">
      <c r="C788" s="26" t="str">
        <f>Tools!$C$1</f>
        <v>Example</v>
      </c>
      <c r="D788" s="27" t="s">
        <v>69</v>
      </c>
      <c r="E788" s="28">
        <v>2019</v>
      </c>
      <c r="F788" s="28">
        <f>MATCH(DaybyDay[[#This Row],[RowMonth]],Table3[SummaryMonth],0)</f>
        <v>2</v>
      </c>
      <c r="G788" s="29">
        <f>MATCH(DaybyDay[[#This Row],[LY-Date]],DaybyDay[Date],0)</f>
        <v>418</v>
      </c>
      <c r="H788" s="30">
        <f>WEEKDAY(DaybyDay[[#This Row],[Date]])</f>
        <v>5</v>
      </c>
      <c r="I788" s="31">
        <v>43517</v>
      </c>
      <c r="J788" s="74">
        <v>21</v>
      </c>
      <c r="K788" s="32">
        <f>SUMIFS(BudgetSeasonality[365 Seasonality],BudgetSeasonality[MonthAdjustment],DaybyDay[[#This Row],[Date]])*SUMIFS(Budgets[Service-Budget],Budgets[BudgetMonth],DaybyDay[[#This Row],[RowMonth]],Budgets[BudgetYear],DaybyDay[[#This Row],[RowYear]])</f>
        <v>3848.0677419157423</v>
      </c>
      <c r="L788" s="75">
        <v>5217.8999999999996</v>
      </c>
      <c r="M788" s="32">
        <f>INDEX(BudgetSeasonality[365 Seasonality],MATCH(DaybyDay[[#This Row],[Date]],BudgetSeasonality[MonthAdjustment],0))*SUMIFS(Budgets[Retail-Budget],Budgets[BudgetMonth],DaybyDay[[#This Row],[RowMonth]],Budgets[BudgetYear],DaybyDay[[#This Row],[RowYear]])</f>
        <v>921.15701692684263</v>
      </c>
      <c r="N788" s="75">
        <v>43.69</v>
      </c>
      <c r="O788" s="33">
        <f>SUMIFS(DaybyDay[Service-Budgets],DaybyDay[Date],"&gt;="&amp;$C$5,DaybyDay[RowYear],"&gt;="&amp;$C$4,DaybyDay[Date],"&lt;="&amp;DaybyDay[[#This Row],[Date]])</f>
        <v>0</v>
      </c>
      <c r="P788" s="33">
        <f>SUMIFS(DaybyDay[Retail-Budgets],DaybyDay[Date],"&gt;="&amp;$C$5,DaybyDay[RowYear],"&gt;="&amp;$C$4,DaybyDay[Date],"&lt;="&amp;DaybyDay[[#This Row],[Date]])</f>
        <v>0</v>
      </c>
      <c r="Q788" s="34">
        <f>SUMIFS(DaybyDay[Service-Actuals],DaybyDay[Date],"&gt;="&amp;$C$5,DaybyDay[RowYear],"&gt;="&amp;$C$4,DaybyDay[Date],"&lt;="&amp;DaybyDay[[#This Row],[Date]])</f>
        <v>0</v>
      </c>
      <c r="R788" s="34">
        <f>SUMIFS(DaybyDay[Retail-Actuals],DaybyDay[Date],"&gt;="&amp;$C$5,DaybyDay[RowYear],"&gt;="&amp;$C$4,DaybyDay[Date],"&lt;="&amp;DaybyDay[[#This Row],[Date]])</f>
        <v>0</v>
      </c>
      <c r="S788" s="35">
        <f>SUMIFS(DaybyDay[Service-LY],DaybyDay[Date],"&gt;="&amp;$C$5,DaybyDay[RowYear],"&gt;="&amp;$C$4,DaybyDay[Date],"&lt;="&amp;DaybyDay[[#This Row],[Date]])</f>
        <v>0</v>
      </c>
      <c r="T788" s="35">
        <f>SUMIFS(DaybyDay[Retail-LY],DaybyDay[Date],"&gt;="&amp;$C$5,DaybyDay[RowYear],"&gt;="&amp;$C$4,DaybyDay[Date],"&lt;="&amp;DaybyDay[[#This Row],[Date]])</f>
        <v>0</v>
      </c>
      <c r="U788" s="32">
        <f>DaybyDay[[#This Row],[Serv-Bud-RU]]+DaybyDay[[#This Row],[Ret-Bud-RU]]</f>
        <v>0</v>
      </c>
      <c r="V788" s="32">
        <f>DaybyDay[[#This Row],[Serv-Act-RU]]+DaybyDay[[#This Row],[Ret-Act-RU]]</f>
        <v>0</v>
      </c>
      <c r="W788" s="36">
        <f>IF(DaybyDay[[#This Row],[_Space]],IFERROR(
((DaybyDay[[#This Row],[Actual-Rollup]]-DaybyDay[[#This Row],[Budget-Rollup]])/DaybyDay[[#This Row],[Budget-Rollup]]),0),"")</f>
        <v>0</v>
      </c>
      <c r="X788" t="b">
        <f>NOT(AND(ISBLANK(DaybyDay[[#This Row],[Appts]]),ISBLANK(DaybyDay[[#This Row],[Service-Actuals]]),ISBLANK(DaybyDay[[#This Row],[Retail-Actuals]])))</f>
        <v>1</v>
      </c>
      <c r="Y788" s="36">
        <f>IF(DaybyDay[[#This Row],[_Space]],IFERROR(
((DaybyDay[[#This Row],[Actual-Rollup]]-DaybyDay[[#This Row],[LY-Rollup]])/DaybyDay[[#This Row],[LY-Rollup]]),0),"")</f>
        <v>0</v>
      </c>
      <c r="Z788"/>
      <c r="AA788" s="37" t="e">
        <f>IF(DaybyDay[[#This Row],[_Space]],DaybyDay[[#This Row],[Ret-Act-RU]]/DaybyDay[[#This Row],[Serv-Act-RU]],"")</f>
        <v>#DIV/0!</v>
      </c>
      <c r="AB788" s="50" t="e">
        <f>IF(DaybyDay[[#This Row],[_Space]],DaybyDay[[#This Row],[RETPEN-Act]]/DaybyDay[[#This Row],[RETPEN-Bud]],"")</f>
        <v>#DIV/0!</v>
      </c>
      <c r="AC788" s="37" t="e">
        <f>IF(DaybyDay[[#This Row],[_Space]],DaybyDay[[#This Row],[Ret-Bud-RU]]/DaybyDay[[#This Row],[Serv-Bud-RU]],"")</f>
        <v>#DIV/0!</v>
      </c>
      <c r="AD788" s="37" t="e">
        <f>IF(DaybyDay[[#This Row],[_Space]],DaybyDay[[#This Row],[Ret-LY-RU]]/DaybyDay[[#This Row],[Serv-LY-RU]],"")</f>
        <v>#DIV/0!</v>
      </c>
      <c r="AE788" s="30">
        <f>WEEKDAY(DaybyDay[[#This Row],[LY-Date]])</f>
        <v>5</v>
      </c>
      <c r="AF788" s="38">
        <f>$E$2+_xlfn.DAYS(DaybyDay[[#This Row],[Date]],minDate)</f>
        <v>43153</v>
      </c>
      <c r="AG788" s="39" cm="1">
        <f t="array" ref="AG788">IFERROR(INDEX(DaybyDay[],DaybyDay[[#This Row],[FORM_MATCH_HELPER]],8),"")</f>
        <v>19</v>
      </c>
      <c r="AH788" s="39" cm="1">
        <f t="array" ref="AH788">IFERROR(INDEX(DaybyDay[],DaybyDay[[#This Row],[FORM_MATCH_HELPER]],10),"")</f>
        <v>3309</v>
      </c>
      <c r="AI788" s="39" cm="1">
        <f t="array" ref="AI788">IFERROR(INDEX(DaybyDay[],DaybyDay[[#This Row],[FORM_MATCH_HELPER]],12),"")</f>
        <v>405.25</v>
      </c>
      <c r="AJ788" s="32">
        <f>IFERROR(DaybyDay[[#This Row],[Serv-LY-RU]]+DaybyDay[[#This Row],[Ret-LY-RU]],"")</f>
        <v>0</v>
      </c>
      <c r="AK7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8" s="77"/>
      <c r="AM788" s="40" t="str">
        <f>IF(DaybyDay[[#This Row],[Admin Hours]]&gt;0,DaybyDay[[#This Row],[Admin Hours]]*$AM$2+$AM$3,"")</f>
        <v/>
      </c>
      <c r="AN788" s="40">
        <f>SUMIFS(DaybyDay[Est-Admin-Payroll],DaybyDay[Date],"&gt;="&amp;$C$5,DaybyDay[RowYear],"&gt;="&amp;$C$4,DaybyDay[Date],"&lt;="&amp;DaybyDay[[#This Row],[Date]])</f>
        <v>0</v>
      </c>
      <c r="AO788" s="41" t="str">
        <f>IF(AND(DaybyDay[[#This Row],[_Space]],ISNUMBER(DaybyDay[[#This Row],[Admin Hours]])),DaybyDay[[#This Row],[Est-Admin-Payroll]]/(DaybyDay[[#This Row],[Service-Actuals]]+DaybyDay[[#This Row],[Retail-Actuals]]),"")</f>
        <v/>
      </c>
      <c r="AP788" s="41" t="e">
        <f>DaybyDay[[#This Row],[Estimated-Payroll-Rollup]]/DaybyDay[[#This Row],[Simple-Forecast]]</f>
        <v>#DIV/0!</v>
      </c>
      <c r="AQ7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8" s="77"/>
      <c r="AS788" s="40" t="str">
        <f>IF(DaybyDay[[#This Row],[Retail Hours]]&gt;0,DaybyDay[[#This Row],[Retail Hours]]*$AS$2,"")</f>
        <v/>
      </c>
      <c r="AT788" s="40">
        <f>SUMIFS(DaybyDay[Est-Retail-Payroll],DaybyDay[Date],"&gt;="&amp;$C$5,DaybyDay[RowYear],"&gt;="&amp;$C$4,DaybyDay[Date],"&lt;="&amp;DaybyDay[[#This Row],[Date]])</f>
        <v>0</v>
      </c>
      <c r="AU788" s="82" t="str">
        <f>IF(AND(DaybyDay[[#This Row],[_Space]],ISNUMBER(DaybyDay[[#This Row],[Retail Hours]])),DaybyDay[[#This Row],[Est-Retail-Payroll]]/(DaybyDay[[#This Row],[Retail-Actuals]]),"")</f>
        <v/>
      </c>
      <c r="AV788" s="82" t="e">
        <f>DaybyDay[[#This Row],[Est-Retail-PayrollRU]]/DaybyDay[[#This Row],[Simple-Forecast-Retail]]</f>
        <v>#DIV/0!</v>
      </c>
      <c r="AW788" s="8"/>
      <c r="AX788" s="49"/>
      <c r="AY788" s="48"/>
      <c r="AZ788" s="47"/>
      <c r="BA788" s="47"/>
      <c r="BB788" s="47"/>
      <c r="BC788" s="47"/>
      <c r="BD788" s="47"/>
    </row>
    <row r="789" spans="3:56" hidden="1" x14ac:dyDescent="0.25">
      <c r="C789" s="26" t="str">
        <f>Tools!$C$1</f>
        <v>Example</v>
      </c>
      <c r="D789" s="27" t="s">
        <v>69</v>
      </c>
      <c r="E789" s="28">
        <v>2019</v>
      </c>
      <c r="F789" s="28">
        <f>MATCH(DaybyDay[[#This Row],[RowMonth]],Table3[SummaryMonth],0)</f>
        <v>2</v>
      </c>
      <c r="G789" s="29">
        <f>MATCH(DaybyDay[[#This Row],[LY-Date]],DaybyDay[Date],0)</f>
        <v>419</v>
      </c>
      <c r="H789" s="30">
        <f>WEEKDAY(DaybyDay[[#This Row],[Date]])</f>
        <v>6</v>
      </c>
      <c r="I789" s="31">
        <v>43518</v>
      </c>
      <c r="J789" s="74">
        <v>23</v>
      </c>
      <c r="K789" s="32">
        <f>SUMIFS(BudgetSeasonality[365 Seasonality],BudgetSeasonality[MonthAdjustment],DaybyDay[[#This Row],[Date]])*SUMIFS(Budgets[Service-Budget],Budgets[BudgetMonth],DaybyDay[[#This Row],[RowMonth]],Budgets[BudgetYear],DaybyDay[[#This Row],[RowYear]])</f>
        <v>4634.1339333653277</v>
      </c>
      <c r="L789" s="75">
        <v>4555.6899999999996</v>
      </c>
      <c r="M789" s="32">
        <f>INDEX(BudgetSeasonality[365 Seasonality],MATCH(DaybyDay[[#This Row],[Date]],BudgetSeasonality[MonthAdjustment],0))*SUMIFS(Budgets[Retail-Budget],Budgets[BudgetMonth],DaybyDay[[#This Row],[RowMonth]],Budgets[BudgetYear],DaybyDay[[#This Row],[RowYear]])</f>
        <v>1109.3268820608332</v>
      </c>
      <c r="N789" s="75">
        <v>1651.5</v>
      </c>
      <c r="O789" s="33">
        <f>SUMIFS(DaybyDay[Service-Budgets],DaybyDay[Date],"&gt;="&amp;$C$5,DaybyDay[RowYear],"&gt;="&amp;$C$4,DaybyDay[Date],"&lt;="&amp;DaybyDay[[#This Row],[Date]])</f>
        <v>0</v>
      </c>
      <c r="P789" s="33">
        <f>SUMIFS(DaybyDay[Retail-Budgets],DaybyDay[Date],"&gt;="&amp;$C$5,DaybyDay[RowYear],"&gt;="&amp;$C$4,DaybyDay[Date],"&lt;="&amp;DaybyDay[[#This Row],[Date]])</f>
        <v>0</v>
      </c>
      <c r="Q789" s="34">
        <f>SUMIFS(DaybyDay[Service-Actuals],DaybyDay[Date],"&gt;="&amp;$C$5,DaybyDay[RowYear],"&gt;="&amp;$C$4,DaybyDay[Date],"&lt;="&amp;DaybyDay[[#This Row],[Date]])</f>
        <v>0</v>
      </c>
      <c r="R789" s="34">
        <f>SUMIFS(DaybyDay[Retail-Actuals],DaybyDay[Date],"&gt;="&amp;$C$5,DaybyDay[RowYear],"&gt;="&amp;$C$4,DaybyDay[Date],"&lt;="&amp;DaybyDay[[#This Row],[Date]])</f>
        <v>0</v>
      </c>
      <c r="S789" s="35">
        <f>SUMIFS(DaybyDay[Service-LY],DaybyDay[Date],"&gt;="&amp;$C$5,DaybyDay[RowYear],"&gt;="&amp;$C$4,DaybyDay[Date],"&lt;="&amp;DaybyDay[[#This Row],[Date]])</f>
        <v>0</v>
      </c>
      <c r="T789" s="35">
        <f>SUMIFS(DaybyDay[Retail-LY],DaybyDay[Date],"&gt;="&amp;$C$5,DaybyDay[RowYear],"&gt;="&amp;$C$4,DaybyDay[Date],"&lt;="&amp;DaybyDay[[#This Row],[Date]])</f>
        <v>0</v>
      </c>
      <c r="U789" s="32">
        <f>DaybyDay[[#This Row],[Serv-Bud-RU]]+DaybyDay[[#This Row],[Ret-Bud-RU]]</f>
        <v>0</v>
      </c>
      <c r="V789" s="32">
        <f>DaybyDay[[#This Row],[Serv-Act-RU]]+DaybyDay[[#This Row],[Ret-Act-RU]]</f>
        <v>0</v>
      </c>
      <c r="W789" s="36">
        <f>IF(DaybyDay[[#This Row],[_Space]],IFERROR(
((DaybyDay[[#This Row],[Actual-Rollup]]-DaybyDay[[#This Row],[Budget-Rollup]])/DaybyDay[[#This Row],[Budget-Rollup]]),0),"")</f>
        <v>0</v>
      </c>
      <c r="X789" t="b">
        <f>NOT(AND(ISBLANK(DaybyDay[[#This Row],[Appts]]),ISBLANK(DaybyDay[[#This Row],[Service-Actuals]]),ISBLANK(DaybyDay[[#This Row],[Retail-Actuals]])))</f>
        <v>1</v>
      </c>
      <c r="Y789" s="36">
        <f>IF(DaybyDay[[#This Row],[_Space]],IFERROR(
((DaybyDay[[#This Row],[Actual-Rollup]]-DaybyDay[[#This Row],[LY-Rollup]])/DaybyDay[[#This Row],[LY-Rollup]]),0),"")</f>
        <v>0</v>
      </c>
      <c r="Z789"/>
      <c r="AA789" s="37" t="e">
        <f>IF(DaybyDay[[#This Row],[_Space]],DaybyDay[[#This Row],[Ret-Act-RU]]/DaybyDay[[#This Row],[Serv-Act-RU]],"")</f>
        <v>#DIV/0!</v>
      </c>
      <c r="AB789" s="50" t="e">
        <f>IF(DaybyDay[[#This Row],[_Space]],DaybyDay[[#This Row],[RETPEN-Act]]/DaybyDay[[#This Row],[RETPEN-Bud]],"")</f>
        <v>#DIV/0!</v>
      </c>
      <c r="AC789" s="37" t="e">
        <f>IF(DaybyDay[[#This Row],[_Space]],DaybyDay[[#This Row],[Ret-Bud-RU]]/DaybyDay[[#This Row],[Serv-Bud-RU]],"")</f>
        <v>#DIV/0!</v>
      </c>
      <c r="AD789" s="37" t="e">
        <f>IF(DaybyDay[[#This Row],[_Space]],DaybyDay[[#This Row],[Ret-LY-RU]]/DaybyDay[[#This Row],[Serv-LY-RU]],"")</f>
        <v>#DIV/0!</v>
      </c>
      <c r="AE789" s="30">
        <f>WEEKDAY(DaybyDay[[#This Row],[LY-Date]])</f>
        <v>6</v>
      </c>
      <c r="AF789" s="38">
        <f>$E$2+_xlfn.DAYS(DaybyDay[[#This Row],[Date]],minDate)</f>
        <v>43154</v>
      </c>
      <c r="AG789" s="39" cm="1">
        <f t="array" ref="AG789">IFERROR(INDEX(DaybyDay[],DaybyDay[[#This Row],[FORM_MATCH_HELPER]],8),"")</f>
        <v>27</v>
      </c>
      <c r="AH789" s="39" cm="1">
        <f t="array" ref="AH789">IFERROR(INDEX(DaybyDay[],DaybyDay[[#This Row],[FORM_MATCH_HELPER]],10),"")</f>
        <v>5350.7</v>
      </c>
      <c r="AI789" s="39" cm="1">
        <f t="array" ref="AI789">IFERROR(INDEX(DaybyDay[],DaybyDay[[#This Row],[FORM_MATCH_HELPER]],12),"")</f>
        <v>3477.4</v>
      </c>
      <c r="AJ789" s="32">
        <f>IFERROR(DaybyDay[[#This Row],[Serv-LY-RU]]+DaybyDay[[#This Row],[Ret-LY-RU]],"")</f>
        <v>0</v>
      </c>
      <c r="AK7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89" s="77"/>
      <c r="AM789" s="40" t="str">
        <f>IF(DaybyDay[[#This Row],[Admin Hours]]&gt;0,DaybyDay[[#This Row],[Admin Hours]]*$AM$2+$AM$3,"")</f>
        <v/>
      </c>
      <c r="AN789" s="40">
        <f>SUMIFS(DaybyDay[Est-Admin-Payroll],DaybyDay[Date],"&gt;="&amp;$C$5,DaybyDay[RowYear],"&gt;="&amp;$C$4,DaybyDay[Date],"&lt;="&amp;DaybyDay[[#This Row],[Date]])</f>
        <v>0</v>
      </c>
      <c r="AO789" s="41" t="str">
        <f>IF(AND(DaybyDay[[#This Row],[_Space]],ISNUMBER(DaybyDay[[#This Row],[Admin Hours]])),DaybyDay[[#This Row],[Est-Admin-Payroll]]/(DaybyDay[[#This Row],[Service-Actuals]]+DaybyDay[[#This Row],[Retail-Actuals]]),"")</f>
        <v/>
      </c>
      <c r="AP789" s="41" t="e">
        <f>DaybyDay[[#This Row],[Estimated-Payroll-Rollup]]/DaybyDay[[#This Row],[Simple-Forecast]]</f>
        <v>#DIV/0!</v>
      </c>
      <c r="AQ7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89" s="77"/>
      <c r="AS789" s="40" t="str">
        <f>IF(DaybyDay[[#This Row],[Retail Hours]]&gt;0,DaybyDay[[#This Row],[Retail Hours]]*$AS$2,"")</f>
        <v/>
      </c>
      <c r="AT789" s="40">
        <f>SUMIFS(DaybyDay[Est-Retail-Payroll],DaybyDay[Date],"&gt;="&amp;$C$5,DaybyDay[RowYear],"&gt;="&amp;$C$4,DaybyDay[Date],"&lt;="&amp;DaybyDay[[#This Row],[Date]])</f>
        <v>0</v>
      </c>
      <c r="AU789" s="82" t="str">
        <f>IF(AND(DaybyDay[[#This Row],[_Space]],ISNUMBER(DaybyDay[[#This Row],[Retail Hours]])),DaybyDay[[#This Row],[Est-Retail-Payroll]]/(DaybyDay[[#This Row],[Retail-Actuals]]),"")</f>
        <v/>
      </c>
      <c r="AV789" s="82" t="e">
        <f>DaybyDay[[#This Row],[Est-Retail-PayrollRU]]/DaybyDay[[#This Row],[Simple-Forecast-Retail]]</f>
        <v>#DIV/0!</v>
      </c>
      <c r="AW789" s="8"/>
      <c r="AX789" s="49"/>
      <c r="AY789" s="48"/>
      <c r="AZ789" s="47"/>
      <c r="BA789" s="47"/>
      <c r="BB789" s="47"/>
      <c r="BC789" s="47"/>
      <c r="BD789" s="47"/>
    </row>
    <row r="790" spans="3:56" hidden="1" x14ac:dyDescent="0.25">
      <c r="C790" s="26" t="str">
        <f>Tools!$C$1</f>
        <v>Example</v>
      </c>
      <c r="D790" s="27" t="s">
        <v>69</v>
      </c>
      <c r="E790" s="28">
        <v>2019</v>
      </c>
      <c r="F790" s="28">
        <f>MATCH(DaybyDay[[#This Row],[RowMonth]],Table3[SummaryMonth],0)</f>
        <v>2</v>
      </c>
      <c r="G790" s="29">
        <f>MATCH(DaybyDay[[#This Row],[LY-Date]],DaybyDay[Date],0)</f>
        <v>420</v>
      </c>
      <c r="H790" s="30">
        <f>WEEKDAY(DaybyDay[[#This Row],[Date]])</f>
        <v>7</v>
      </c>
      <c r="I790" s="31">
        <v>43519</v>
      </c>
      <c r="J790" s="74">
        <v>30</v>
      </c>
      <c r="K790" s="32">
        <f>SUMIFS(BudgetSeasonality[365 Seasonality],BudgetSeasonality[MonthAdjustment],DaybyDay[[#This Row],[Date]])*SUMIFS(Budgets[Service-Budget],Budgets[BudgetMonth],DaybyDay[[#This Row],[RowMonth]],Budgets[BudgetYear],DaybyDay[[#This Row],[RowYear]])</f>
        <v>6386.032674372178</v>
      </c>
      <c r="L790" s="75">
        <v>7461</v>
      </c>
      <c r="M790" s="32">
        <f>INDEX(BudgetSeasonality[365 Seasonality],MATCH(DaybyDay[[#This Row],[Date]],BudgetSeasonality[MonthAdjustment],0))*SUMIFS(Budgets[Retail-Budget],Budgets[BudgetMonth],DaybyDay[[#This Row],[RowMonth]],Budgets[BudgetYear],DaybyDay[[#This Row],[RowYear]])</f>
        <v>1528.699389630139</v>
      </c>
      <c r="N790" s="75">
        <v>1657</v>
      </c>
      <c r="O790" s="33">
        <f>SUMIFS(DaybyDay[Service-Budgets],DaybyDay[Date],"&gt;="&amp;$C$5,DaybyDay[RowYear],"&gt;="&amp;$C$4,DaybyDay[Date],"&lt;="&amp;DaybyDay[[#This Row],[Date]])</f>
        <v>0</v>
      </c>
      <c r="P790" s="33">
        <f>SUMIFS(DaybyDay[Retail-Budgets],DaybyDay[Date],"&gt;="&amp;$C$5,DaybyDay[RowYear],"&gt;="&amp;$C$4,DaybyDay[Date],"&lt;="&amp;DaybyDay[[#This Row],[Date]])</f>
        <v>0</v>
      </c>
      <c r="Q790" s="34">
        <f>SUMIFS(DaybyDay[Service-Actuals],DaybyDay[Date],"&gt;="&amp;$C$5,DaybyDay[RowYear],"&gt;="&amp;$C$4,DaybyDay[Date],"&lt;="&amp;DaybyDay[[#This Row],[Date]])</f>
        <v>0</v>
      </c>
      <c r="R790" s="34">
        <f>SUMIFS(DaybyDay[Retail-Actuals],DaybyDay[Date],"&gt;="&amp;$C$5,DaybyDay[RowYear],"&gt;="&amp;$C$4,DaybyDay[Date],"&lt;="&amp;DaybyDay[[#This Row],[Date]])</f>
        <v>0</v>
      </c>
      <c r="S790" s="35">
        <f>SUMIFS(DaybyDay[Service-LY],DaybyDay[Date],"&gt;="&amp;$C$5,DaybyDay[RowYear],"&gt;="&amp;$C$4,DaybyDay[Date],"&lt;="&amp;DaybyDay[[#This Row],[Date]])</f>
        <v>0</v>
      </c>
      <c r="T790" s="35">
        <f>SUMIFS(DaybyDay[Retail-LY],DaybyDay[Date],"&gt;="&amp;$C$5,DaybyDay[RowYear],"&gt;="&amp;$C$4,DaybyDay[Date],"&lt;="&amp;DaybyDay[[#This Row],[Date]])</f>
        <v>0</v>
      </c>
      <c r="U790" s="32">
        <f>DaybyDay[[#This Row],[Serv-Bud-RU]]+DaybyDay[[#This Row],[Ret-Bud-RU]]</f>
        <v>0</v>
      </c>
      <c r="V790" s="32">
        <f>DaybyDay[[#This Row],[Serv-Act-RU]]+DaybyDay[[#This Row],[Ret-Act-RU]]</f>
        <v>0</v>
      </c>
      <c r="W790" s="36">
        <f>IF(DaybyDay[[#This Row],[_Space]],IFERROR(
((DaybyDay[[#This Row],[Actual-Rollup]]-DaybyDay[[#This Row],[Budget-Rollup]])/DaybyDay[[#This Row],[Budget-Rollup]]),0),"")</f>
        <v>0</v>
      </c>
      <c r="X790" t="b">
        <f>NOT(AND(ISBLANK(DaybyDay[[#This Row],[Appts]]),ISBLANK(DaybyDay[[#This Row],[Service-Actuals]]),ISBLANK(DaybyDay[[#This Row],[Retail-Actuals]])))</f>
        <v>1</v>
      </c>
      <c r="Y790" s="36">
        <f>IF(DaybyDay[[#This Row],[_Space]],IFERROR(
((DaybyDay[[#This Row],[Actual-Rollup]]-DaybyDay[[#This Row],[LY-Rollup]])/DaybyDay[[#This Row],[LY-Rollup]]),0),"")</f>
        <v>0</v>
      </c>
      <c r="Z790"/>
      <c r="AA790" s="37" t="e">
        <f>IF(DaybyDay[[#This Row],[_Space]],DaybyDay[[#This Row],[Ret-Act-RU]]/DaybyDay[[#This Row],[Serv-Act-RU]],"")</f>
        <v>#DIV/0!</v>
      </c>
      <c r="AB790" s="50" t="e">
        <f>IF(DaybyDay[[#This Row],[_Space]],DaybyDay[[#This Row],[RETPEN-Act]]/DaybyDay[[#This Row],[RETPEN-Bud]],"")</f>
        <v>#DIV/0!</v>
      </c>
      <c r="AC790" s="37" t="e">
        <f>IF(DaybyDay[[#This Row],[_Space]],DaybyDay[[#This Row],[Ret-Bud-RU]]/DaybyDay[[#This Row],[Serv-Bud-RU]],"")</f>
        <v>#DIV/0!</v>
      </c>
      <c r="AD790" s="37" t="e">
        <f>IF(DaybyDay[[#This Row],[_Space]],DaybyDay[[#This Row],[Ret-LY-RU]]/DaybyDay[[#This Row],[Serv-LY-RU]],"")</f>
        <v>#DIV/0!</v>
      </c>
      <c r="AE790" s="30">
        <f>WEEKDAY(DaybyDay[[#This Row],[LY-Date]])</f>
        <v>7</v>
      </c>
      <c r="AF790" s="38">
        <f>$E$2+_xlfn.DAYS(DaybyDay[[#This Row],[Date]],minDate)</f>
        <v>43155</v>
      </c>
      <c r="AG790" s="39" cm="1">
        <f t="array" ref="AG790">IFERROR(INDEX(DaybyDay[],DaybyDay[[#This Row],[FORM_MATCH_HELPER]],8),"")</f>
        <v>35</v>
      </c>
      <c r="AH790" s="39" cm="1">
        <f t="array" ref="AH790">IFERROR(INDEX(DaybyDay[],DaybyDay[[#This Row],[FORM_MATCH_HELPER]],10),"")</f>
        <v>9215.99</v>
      </c>
      <c r="AI790" s="39" cm="1">
        <f t="array" ref="AI790">IFERROR(INDEX(DaybyDay[],DaybyDay[[#This Row],[FORM_MATCH_HELPER]],12),"")</f>
        <v>3235.5</v>
      </c>
      <c r="AJ790" s="32">
        <f>IFERROR(DaybyDay[[#This Row],[Serv-LY-RU]]+DaybyDay[[#This Row],[Ret-LY-RU]],"")</f>
        <v>0</v>
      </c>
      <c r="AK7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0" s="77"/>
      <c r="AM790" s="40" t="str">
        <f>IF(DaybyDay[[#This Row],[Admin Hours]]&gt;0,DaybyDay[[#This Row],[Admin Hours]]*$AM$2+$AM$3,"")</f>
        <v/>
      </c>
      <c r="AN790" s="40">
        <f>SUMIFS(DaybyDay[Est-Admin-Payroll],DaybyDay[Date],"&gt;="&amp;$C$5,DaybyDay[RowYear],"&gt;="&amp;$C$4,DaybyDay[Date],"&lt;="&amp;DaybyDay[[#This Row],[Date]])</f>
        <v>0</v>
      </c>
      <c r="AO790" s="41" t="str">
        <f>IF(AND(DaybyDay[[#This Row],[_Space]],ISNUMBER(DaybyDay[[#This Row],[Admin Hours]])),DaybyDay[[#This Row],[Est-Admin-Payroll]]/(DaybyDay[[#This Row],[Service-Actuals]]+DaybyDay[[#This Row],[Retail-Actuals]]),"")</f>
        <v/>
      </c>
      <c r="AP790" s="41" t="e">
        <f>DaybyDay[[#This Row],[Estimated-Payroll-Rollup]]/DaybyDay[[#This Row],[Simple-Forecast]]</f>
        <v>#DIV/0!</v>
      </c>
      <c r="AQ7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0" s="77"/>
      <c r="AS790" s="40" t="str">
        <f>IF(DaybyDay[[#This Row],[Retail Hours]]&gt;0,DaybyDay[[#This Row],[Retail Hours]]*$AS$2,"")</f>
        <v/>
      </c>
      <c r="AT790" s="40">
        <f>SUMIFS(DaybyDay[Est-Retail-Payroll],DaybyDay[Date],"&gt;="&amp;$C$5,DaybyDay[RowYear],"&gt;="&amp;$C$4,DaybyDay[Date],"&lt;="&amp;DaybyDay[[#This Row],[Date]])</f>
        <v>0</v>
      </c>
      <c r="AU790" s="82" t="str">
        <f>IF(AND(DaybyDay[[#This Row],[_Space]],ISNUMBER(DaybyDay[[#This Row],[Retail Hours]])),DaybyDay[[#This Row],[Est-Retail-Payroll]]/(DaybyDay[[#This Row],[Retail-Actuals]]),"")</f>
        <v/>
      </c>
      <c r="AV790" s="82" t="e">
        <f>DaybyDay[[#This Row],[Est-Retail-PayrollRU]]/DaybyDay[[#This Row],[Simple-Forecast-Retail]]</f>
        <v>#DIV/0!</v>
      </c>
      <c r="AW790" s="8"/>
      <c r="AX790" s="49"/>
      <c r="AY790" s="48"/>
      <c r="AZ790" s="47"/>
      <c r="BA790" s="47"/>
      <c r="BB790" s="47"/>
      <c r="BC790" s="47"/>
      <c r="BD790" s="47"/>
    </row>
    <row r="791" spans="3:56" hidden="1" x14ac:dyDescent="0.25">
      <c r="C791" s="26" t="str">
        <f>Tools!$C$1</f>
        <v>Example</v>
      </c>
      <c r="D791" s="27" t="s">
        <v>69</v>
      </c>
      <c r="E791" s="28">
        <v>2019</v>
      </c>
      <c r="F791" s="28">
        <f>MATCH(DaybyDay[[#This Row],[RowMonth]],Table3[SummaryMonth],0)</f>
        <v>2</v>
      </c>
      <c r="G791" s="29">
        <f>MATCH(DaybyDay[[#This Row],[LY-Date]],DaybyDay[Date],0)</f>
        <v>421</v>
      </c>
      <c r="H791" s="30">
        <f>WEEKDAY(DaybyDay[[#This Row],[Date]])</f>
        <v>1</v>
      </c>
      <c r="I791" s="31">
        <v>43520</v>
      </c>
      <c r="J791" s="74">
        <v>40</v>
      </c>
      <c r="K791" s="32">
        <f>SUMIFS(BudgetSeasonality[365 Seasonality],BudgetSeasonality[MonthAdjustment],DaybyDay[[#This Row],[Date]])*SUMIFS(Budgets[Service-Budget],Budgets[BudgetMonth],DaybyDay[[#This Row],[RowMonth]],Budgets[BudgetYear],DaybyDay[[#This Row],[RowYear]])</f>
        <v>4955.77812025802</v>
      </c>
      <c r="L791" s="75">
        <v>6497.99</v>
      </c>
      <c r="M791" s="32">
        <f>INDEX(BudgetSeasonality[365 Seasonality],MATCH(DaybyDay[[#This Row],[Date]],BudgetSeasonality[MonthAdjustment],0))*SUMIFS(Budgets[Retail-Budget],Budgets[BudgetMonth],DaybyDay[[#This Row],[RowMonth]],Budgets[BudgetYear],DaybyDay[[#This Row],[RowYear]])</f>
        <v>1186.3226159151513</v>
      </c>
      <c r="N791" s="75">
        <v>1201.1199999999999</v>
      </c>
      <c r="O791" s="33">
        <f>SUMIFS(DaybyDay[Service-Budgets],DaybyDay[Date],"&gt;="&amp;$C$5,DaybyDay[RowYear],"&gt;="&amp;$C$4,DaybyDay[Date],"&lt;="&amp;DaybyDay[[#This Row],[Date]])</f>
        <v>0</v>
      </c>
      <c r="P791" s="33">
        <f>SUMIFS(DaybyDay[Retail-Budgets],DaybyDay[Date],"&gt;="&amp;$C$5,DaybyDay[RowYear],"&gt;="&amp;$C$4,DaybyDay[Date],"&lt;="&amp;DaybyDay[[#This Row],[Date]])</f>
        <v>0</v>
      </c>
      <c r="Q791" s="34">
        <f>SUMIFS(DaybyDay[Service-Actuals],DaybyDay[Date],"&gt;="&amp;$C$5,DaybyDay[RowYear],"&gt;="&amp;$C$4,DaybyDay[Date],"&lt;="&amp;DaybyDay[[#This Row],[Date]])</f>
        <v>0</v>
      </c>
      <c r="R791" s="34">
        <f>SUMIFS(DaybyDay[Retail-Actuals],DaybyDay[Date],"&gt;="&amp;$C$5,DaybyDay[RowYear],"&gt;="&amp;$C$4,DaybyDay[Date],"&lt;="&amp;DaybyDay[[#This Row],[Date]])</f>
        <v>0</v>
      </c>
      <c r="S791" s="35">
        <f>SUMIFS(DaybyDay[Service-LY],DaybyDay[Date],"&gt;="&amp;$C$5,DaybyDay[RowYear],"&gt;="&amp;$C$4,DaybyDay[Date],"&lt;="&amp;DaybyDay[[#This Row],[Date]])</f>
        <v>0</v>
      </c>
      <c r="T791" s="35">
        <f>SUMIFS(DaybyDay[Retail-LY],DaybyDay[Date],"&gt;="&amp;$C$5,DaybyDay[RowYear],"&gt;="&amp;$C$4,DaybyDay[Date],"&lt;="&amp;DaybyDay[[#This Row],[Date]])</f>
        <v>0</v>
      </c>
      <c r="U791" s="32">
        <f>DaybyDay[[#This Row],[Serv-Bud-RU]]+DaybyDay[[#This Row],[Ret-Bud-RU]]</f>
        <v>0</v>
      </c>
      <c r="V791" s="32">
        <f>DaybyDay[[#This Row],[Serv-Act-RU]]+DaybyDay[[#This Row],[Ret-Act-RU]]</f>
        <v>0</v>
      </c>
      <c r="W791" s="36">
        <f>IF(DaybyDay[[#This Row],[_Space]],IFERROR(
((DaybyDay[[#This Row],[Actual-Rollup]]-DaybyDay[[#This Row],[Budget-Rollup]])/DaybyDay[[#This Row],[Budget-Rollup]]),0),"")</f>
        <v>0</v>
      </c>
      <c r="X791" t="b">
        <f>NOT(AND(ISBLANK(DaybyDay[[#This Row],[Appts]]),ISBLANK(DaybyDay[[#This Row],[Service-Actuals]]),ISBLANK(DaybyDay[[#This Row],[Retail-Actuals]])))</f>
        <v>1</v>
      </c>
      <c r="Y791" s="36">
        <f>IF(DaybyDay[[#This Row],[_Space]],IFERROR(
((DaybyDay[[#This Row],[Actual-Rollup]]-DaybyDay[[#This Row],[LY-Rollup]])/DaybyDay[[#This Row],[LY-Rollup]]),0),"")</f>
        <v>0</v>
      </c>
      <c r="Z791"/>
      <c r="AA791" s="37" t="e">
        <f>IF(DaybyDay[[#This Row],[_Space]],DaybyDay[[#This Row],[Ret-Act-RU]]/DaybyDay[[#This Row],[Serv-Act-RU]],"")</f>
        <v>#DIV/0!</v>
      </c>
      <c r="AB791" s="50" t="e">
        <f>IF(DaybyDay[[#This Row],[_Space]],DaybyDay[[#This Row],[RETPEN-Act]]/DaybyDay[[#This Row],[RETPEN-Bud]],"")</f>
        <v>#DIV/0!</v>
      </c>
      <c r="AC791" s="37" t="e">
        <f>IF(DaybyDay[[#This Row],[_Space]],DaybyDay[[#This Row],[Ret-Bud-RU]]/DaybyDay[[#This Row],[Serv-Bud-RU]],"")</f>
        <v>#DIV/0!</v>
      </c>
      <c r="AD791" s="37" t="e">
        <f>IF(DaybyDay[[#This Row],[_Space]],DaybyDay[[#This Row],[Ret-LY-RU]]/DaybyDay[[#This Row],[Serv-LY-RU]],"")</f>
        <v>#DIV/0!</v>
      </c>
      <c r="AE791" s="30">
        <f>WEEKDAY(DaybyDay[[#This Row],[LY-Date]])</f>
        <v>1</v>
      </c>
      <c r="AF791" s="38">
        <f>$E$2+_xlfn.DAYS(DaybyDay[[#This Row],[Date]],minDate)</f>
        <v>43156</v>
      </c>
      <c r="AG791" s="39" cm="1">
        <f t="array" ref="AG791">IFERROR(INDEX(DaybyDay[],DaybyDay[[#This Row],[FORM_MATCH_HELPER]],8),"")</f>
        <v>24</v>
      </c>
      <c r="AH791" s="39" cm="1">
        <f t="array" ref="AH791">IFERROR(INDEX(DaybyDay[],DaybyDay[[#This Row],[FORM_MATCH_HELPER]],10),"")</f>
        <v>6255</v>
      </c>
      <c r="AI791" s="39" cm="1">
        <f t="array" ref="AI791">IFERROR(INDEX(DaybyDay[],DaybyDay[[#This Row],[FORM_MATCH_HELPER]],12),"")</f>
        <v>199</v>
      </c>
      <c r="AJ791" s="32">
        <f>IFERROR(DaybyDay[[#This Row],[Serv-LY-RU]]+DaybyDay[[#This Row],[Ret-LY-RU]],"")</f>
        <v>0</v>
      </c>
      <c r="AK7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1" s="77"/>
      <c r="AM791" s="40" t="str">
        <f>IF(DaybyDay[[#This Row],[Admin Hours]]&gt;0,DaybyDay[[#This Row],[Admin Hours]]*$AM$2+$AM$3,"")</f>
        <v/>
      </c>
      <c r="AN791" s="40">
        <f>SUMIFS(DaybyDay[Est-Admin-Payroll],DaybyDay[Date],"&gt;="&amp;$C$5,DaybyDay[RowYear],"&gt;="&amp;$C$4,DaybyDay[Date],"&lt;="&amp;DaybyDay[[#This Row],[Date]])</f>
        <v>0</v>
      </c>
      <c r="AO791" s="41" t="str">
        <f>IF(AND(DaybyDay[[#This Row],[_Space]],ISNUMBER(DaybyDay[[#This Row],[Admin Hours]])),DaybyDay[[#This Row],[Est-Admin-Payroll]]/(DaybyDay[[#This Row],[Service-Actuals]]+DaybyDay[[#This Row],[Retail-Actuals]]),"")</f>
        <v/>
      </c>
      <c r="AP791" s="41" t="e">
        <f>DaybyDay[[#This Row],[Estimated-Payroll-Rollup]]/DaybyDay[[#This Row],[Simple-Forecast]]</f>
        <v>#DIV/0!</v>
      </c>
      <c r="AQ7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1" s="77"/>
      <c r="AS791" s="40" t="str">
        <f>IF(DaybyDay[[#This Row],[Retail Hours]]&gt;0,DaybyDay[[#This Row],[Retail Hours]]*$AS$2,"")</f>
        <v/>
      </c>
      <c r="AT791" s="40">
        <f>SUMIFS(DaybyDay[Est-Retail-Payroll],DaybyDay[Date],"&gt;="&amp;$C$5,DaybyDay[RowYear],"&gt;="&amp;$C$4,DaybyDay[Date],"&lt;="&amp;DaybyDay[[#This Row],[Date]])</f>
        <v>0</v>
      </c>
      <c r="AU791" s="82" t="str">
        <f>IF(AND(DaybyDay[[#This Row],[_Space]],ISNUMBER(DaybyDay[[#This Row],[Retail Hours]])),DaybyDay[[#This Row],[Est-Retail-Payroll]]/(DaybyDay[[#This Row],[Retail-Actuals]]),"")</f>
        <v/>
      </c>
      <c r="AV791" s="82" t="e">
        <f>DaybyDay[[#This Row],[Est-Retail-PayrollRU]]/DaybyDay[[#This Row],[Simple-Forecast-Retail]]</f>
        <v>#DIV/0!</v>
      </c>
      <c r="AW791" s="8"/>
      <c r="AX791" s="49"/>
      <c r="AY791" s="48"/>
      <c r="AZ791" s="47"/>
      <c r="BA791" s="47"/>
      <c r="BB791" s="47"/>
      <c r="BC791" s="47"/>
      <c r="BD791" s="47"/>
    </row>
    <row r="792" spans="3:56" hidden="1" x14ac:dyDescent="0.25">
      <c r="C792" s="26" t="str">
        <f>Tools!$C$1</f>
        <v>Example</v>
      </c>
      <c r="D792" s="27" t="s">
        <v>69</v>
      </c>
      <c r="E792" s="28">
        <v>2019</v>
      </c>
      <c r="F792" s="28">
        <f>MATCH(DaybyDay[[#This Row],[RowMonth]],Table3[SummaryMonth],0)</f>
        <v>2</v>
      </c>
      <c r="G792" s="29">
        <f>MATCH(DaybyDay[[#This Row],[LY-Date]],DaybyDay[Date],0)</f>
        <v>422</v>
      </c>
      <c r="H792" s="30">
        <f>WEEKDAY(DaybyDay[[#This Row],[Date]])</f>
        <v>2</v>
      </c>
      <c r="I792" s="31">
        <v>43521</v>
      </c>
      <c r="J792" s="74">
        <v>5</v>
      </c>
      <c r="K792" s="32">
        <f>SUMIFS(BudgetSeasonality[365 Seasonality],BudgetSeasonality[MonthAdjustment],DaybyDay[[#This Row],[Date]])*SUMIFS(Budgets[Service-Budget],Budgets[BudgetMonth],DaybyDay[[#This Row],[RowMonth]],Budgets[BudgetYear],DaybyDay[[#This Row],[RowYear]])</f>
        <v>2907.3569382450432</v>
      </c>
      <c r="L792" s="75">
        <v>1324</v>
      </c>
      <c r="M792" s="32">
        <f>INDEX(BudgetSeasonality[365 Seasonality],MATCH(DaybyDay[[#This Row],[Date]],BudgetSeasonality[MonthAdjustment],0))*SUMIFS(Budgets[Retail-Budget],Budgets[BudgetMonth],DaybyDay[[#This Row],[RowMonth]],Budgets[BudgetYear],DaybyDay[[#This Row],[RowYear]])</f>
        <v>695.96806085385265</v>
      </c>
      <c r="N792" s="75">
        <v>1210</v>
      </c>
      <c r="O792" s="33">
        <f>SUMIFS(DaybyDay[Service-Budgets],DaybyDay[Date],"&gt;="&amp;$C$5,DaybyDay[RowYear],"&gt;="&amp;$C$4,DaybyDay[Date],"&lt;="&amp;DaybyDay[[#This Row],[Date]])</f>
        <v>0</v>
      </c>
      <c r="P792" s="33">
        <f>SUMIFS(DaybyDay[Retail-Budgets],DaybyDay[Date],"&gt;="&amp;$C$5,DaybyDay[RowYear],"&gt;="&amp;$C$4,DaybyDay[Date],"&lt;="&amp;DaybyDay[[#This Row],[Date]])</f>
        <v>0</v>
      </c>
      <c r="Q792" s="34">
        <f>SUMIFS(DaybyDay[Service-Actuals],DaybyDay[Date],"&gt;="&amp;$C$5,DaybyDay[RowYear],"&gt;="&amp;$C$4,DaybyDay[Date],"&lt;="&amp;DaybyDay[[#This Row],[Date]])</f>
        <v>0</v>
      </c>
      <c r="R792" s="34">
        <f>SUMIFS(DaybyDay[Retail-Actuals],DaybyDay[Date],"&gt;="&amp;$C$5,DaybyDay[RowYear],"&gt;="&amp;$C$4,DaybyDay[Date],"&lt;="&amp;DaybyDay[[#This Row],[Date]])</f>
        <v>0</v>
      </c>
      <c r="S792" s="35">
        <f>SUMIFS(DaybyDay[Service-LY],DaybyDay[Date],"&gt;="&amp;$C$5,DaybyDay[RowYear],"&gt;="&amp;$C$4,DaybyDay[Date],"&lt;="&amp;DaybyDay[[#This Row],[Date]])</f>
        <v>0</v>
      </c>
      <c r="T792" s="35">
        <f>SUMIFS(DaybyDay[Retail-LY],DaybyDay[Date],"&gt;="&amp;$C$5,DaybyDay[RowYear],"&gt;="&amp;$C$4,DaybyDay[Date],"&lt;="&amp;DaybyDay[[#This Row],[Date]])</f>
        <v>0</v>
      </c>
      <c r="U792" s="32">
        <f>DaybyDay[[#This Row],[Serv-Bud-RU]]+DaybyDay[[#This Row],[Ret-Bud-RU]]</f>
        <v>0</v>
      </c>
      <c r="V792" s="32">
        <f>DaybyDay[[#This Row],[Serv-Act-RU]]+DaybyDay[[#This Row],[Ret-Act-RU]]</f>
        <v>0</v>
      </c>
      <c r="W792" s="36">
        <f>IF(DaybyDay[[#This Row],[_Space]],IFERROR(
((DaybyDay[[#This Row],[Actual-Rollup]]-DaybyDay[[#This Row],[Budget-Rollup]])/DaybyDay[[#This Row],[Budget-Rollup]]),0),"")</f>
        <v>0</v>
      </c>
      <c r="X792" t="b">
        <f>NOT(AND(ISBLANK(DaybyDay[[#This Row],[Appts]]),ISBLANK(DaybyDay[[#This Row],[Service-Actuals]]),ISBLANK(DaybyDay[[#This Row],[Retail-Actuals]])))</f>
        <v>1</v>
      </c>
      <c r="Y792" s="36">
        <f>IF(DaybyDay[[#This Row],[_Space]],IFERROR(
((DaybyDay[[#This Row],[Actual-Rollup]]-DaybyDay[[#This Row],[LY-Rollup]])/DaybyDay[[#This Row],[LY-Rollup]]),0),"")</f>
        <v>0</v>
      </c>
      <c r="Z792"/>
      <c r="AA792" s="37" t="e">
        <f>IF(DaybyDay[[#This Row],[_Space]],DaybyDay[[#This Row],[Ret-Act-RU]]/DaybyDay[[#This Row],[Serv-Act-RU]],"")</f>
        <v>#DIV/0!</v>
      </c>
      <c r="AB792" s="50" t="e">
        <f>IF(DaybyDay[[#This Row],[_Space]],DaybyDay[[#This Row],[RETPEN-Act]]/DaybyDay[[#This Row],[RETPEN-Bud]],"")</f>
        <v>#DIV/0!</v>
      </c>
      <c r="AC792" s="37" t="e">
        <f>IF(DaybyDay[[#This Row],[_Space]],DaybyDay[[#This Row],[Ret-Bud-RU]]/DaybyDay[[#This Row],[Serv-Bud-RU]],"")</f>
        <v>#DIV/0!</v>
      </c>
      <c r="AD792" s="37" t="e">
        <f>IF(DaybyDay[[#This Row],[_Space]],DaybyDay[[#This Row],[Ret-LY-RU]]/DaybyDay[[#This Row],[Serv-LY-RU]],"")</f>
        <v>#DIV/0!</v>
      </c>
      <c r="AE792" s="30">
        <f>WEEKDAY(DaybyDay[[#This Row],[LY-Date]])</f>
        <v>2</v>
      </c>
      <c r="AF792" s="38">
        <f>$E$2+_xlfn.DAYS(DaybyDay[[#This Row],[Date]],minDate)</f>
        <v>43157</v>
      </c>
      <c r="AG792" s="39" cm="1">
        <f t="array" ref="AG792">IFERROR(INDEX(DaybyDay[],DaybyDay[[#This Row],[FORM_MATCH_HELPER]],8),"")</f>
        <v>18</v>
      </c>
      <c r="AH792" s="39" cm="1">
        <f t="array" ref="AH792">IFERROR(INDEX(DaybyDay[],DaybyDay[[#This Row],[FORM_MATCH_HELPER]],10),"")</f>
        <v>3127.5</v>
      </c>
      <c r="AI792" s="39" cm="1">
        <f t="array" ref="AI792">IFERROR(INDEX(DaybyDay[],DaybyDay[[#This Row],[FORM_MATCH_HELPER]],12),"")</f>
        <v>409.5</v>
      </c>
      <c r="AJ792" s="32">
        <f>IFERROR(DaybyDay[[#This Row],[Serv-LY-RU]]+DaybyDay[[#This Row],[Ret-LY-RU]],"")</f>
        <v>0</v>
      </c>
      <c r="AK7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2" s="77"/>
      <c r="AM792" s="40" t="str">
        <f>IF(DaybyDay[[#This Row],[Admin Hours]]&gt;0,DaybyDay[[#This Row],[Admin Hours]]*$AM$2+$AM$3,"")</f>
        <v/>
      </c>
      <c r="AN792" s="40">
        <f>SUMIFS(DaybyDay[Est-Admin-Payroll],DaybyDay[Date],"&gt;="&amp;$C$5,DaybyDay[RowYear],"&gt;="&amp;$C$4,DaybyDay[Date],"&lt;="&amp;DaybyDay[[#This Row],[Date]])</f>
        <v>0</v>
      </c>
      <c r="AO792" s="41" t="str">
        <f>IF(AND(DaybyDay[[#This Row],[_Space]],ISNUMBER(DaybyDay[[#This Row],[Admin Hours]])),DaybyDay[[#This Row],[Est-Admin-Payroll]]/(DaybyDay[[#This Row],[Service-Actuals]]+DaybyDay[[#This Row],[Retail-Actuals]]),"")</f>
        <v/>
      </c>
      <c r="AP792" s="41" t="e">
        <f>DaybyDay[[#This Row],[Estimated-Payroll-Rollup]]/DaybyDay[[#This Row],[Simple-Forecast]]</f>
        <v>#DIV/0!</v>
      </c>
      <c r="AQ7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2" s="77"/>
      <c r="AS792" s="40" t="str">
        <f>IF(DaybyDay[[#This Row],[Retail Hours]]&gt;0,DaybyDay[[#This Row],[Retail Hours]]*$AS$2,"")</f>
        <v/>
      </c>
      <c r="AT792" s="40">
        <f>SUMIFS(DaybyDay[Est-Retail-Payroll],DaybyDay[Date],"&gt;="&amp;$C$5,DaybyDay[RowYear],"&gt;="&amp;$C$4,DaybyDay[Date],"&lt;="&amp;DaybyDay[[#This Row],[Date]])</f>
        <v>0</v>
      </c>
      <c r="AU792" s="82" t="str">
        <f>IF(AND(DaybyDay[[#This Row],[_Space]],ISNUMBER(DaybyDay[[#This Row],[Retail Hours]])),DaybyDay[[#This Row],[Est-Retail-Payroll]]/(DaybyDay[[#This Row],[Retail-Actuals]]),"")</f>
        <v/>
      </c>
      <c r="AV792" s="82" t="e">
        <f>DaybyDay[[#This Row],[Est-Retail-PayrollRU]]/DaybyDay[[#This Row],[Simple-Forecast-Retail]]</f>
        <v>#DIV/0!</v>
      </c>
      <c r="AW792" s="8"/>
      <c r="AX792" s="49"/>
      <c r="AY792" s="48"/>
      <c r="AZ792" s="47"/>
      <c r="BA792" s="47"/>
      <c r="BB792" s="47"/>
      <c r="BC792" s="47"/>
      <c r="BD792" s="47"/>
    </row>
    <row r="793" spans="3:56" hidden="1" x14ac:dyDescent="0.25">
      <c r="C793" s="26" t="str">
        <f>Tools!$C$1</f>
        <v>Example</v>
      </c>
      <c r="D793" s="27" t="s">
        <v>69</v>
      </c>
      <c r="E793" s="28">
        <v>2019</v>
      </c>
      <c r="F793" s="28">
        <f>MATCH(DaybyDay[[#This Row],[RowMonth]],Table3[SummaryMonth],0)</f>
        <v>2</v>
      </c>
      <c r="G793" s="29">
        <f>MATCH(DaybyDay[[#This Row],[LY-Date]],DaybyDay[Date],0)</f>
        <v>423</v>
      </c>
      <c r="H793" s="30">
        <f>WEEKDAY(DaybyDay[[#This Row],[Date]])</f>
        <v>3</v>
      </c>
      <c r="I793" s="31">
        <v>43522</v>
      </c>
      <c r="J793" s="74">
        <v>9</v>
      </c>
      <c r="K793" s="32">
        <f>SUMIFS(BudgetSeasonality[365 Seasonality],BudgetSeasonality[MonthAdjustment],DaybyDay[[#This Row],[Date]])*SUMIFS(Budgets[Service-Budget],Budgets[BudgetMonth],DaybyDay[[#This Row],[RowMonth]],Budgets[BudgetYear],DaybyDay[[#This Row],[RowYear]])</f>
        <v>2941.7813794706258</v>
      </c>
      <c r="L793" s="75">
        <v>2009.4</v>
      </c>
      <c r="M793" s="32">
        <f>INDEX(BudgetSeasonality[365 Seasonality],MATCH(DaybyDay[[#This Row],[Date]],BudgetSeasonality[MonthAdjustment],0))*SUMIFS(Budgets[Retail-Budget],Budgets[BudgetMonth],DaybyDay[[#This Row],[RowMonth]],Budgets[BudgetYear],DaybyDay[[#This Row],[RowYear]])</f>
        <v>704.20864228731364</v>
      </c>
      <c r="N793" s="75">
        <v>465.5</v>
      </c>
      <c r="O793" s="33">
        <f>SUMIFS(DaybyDay[Service-Budgets],DaybyDay[Date],"&gt;="&amp;$C$5,DaybyDay[RowYear],"&gt;="&amp;$C$4,DaybyDay[Date],"&lt;="&amp;DaybyDay[[#This Row],[Date]])</f>
        <v>0</v>
      </c>
      <c r="P793" s="33">
        <f>SUMIFS(DaybyDay[Retail-Budgets],DaybyDay[Date],"&gt;="&amp;$C$5,DaybyDay[RowYear],"&gt;="&amp;$C$4,DaybyDay[Date],"&lt;="&amp;DaybyDay[[#This Row],[Date]])</f>
        <v>0</v>
      </c>
      <c r="Q793" s="34">
        <f>SUMIFS(DaybyDay[Service-Actuals],DaybyDay[Date],"&gt;="&amp;$C$5,DaybyDay[RowYear],"&gt;="&amp;$C$4,DaybyDay[Date],"&lt;="&amp;DaybyDay[[#This Row],[Date]])</f>
        <v>0</v>
      </c>
      <c r="R793" s="34">
        <f>SUMIFS(DaybyDay[Retail-Actuals],DaybyDay[Date],"&gt;="&amp;$C$5,DaybyDay[RowYear],"&gt;="&amp;$C$4,DaybyDay[Date],"&lt;="&amp;DaybyDay[[#This Row],[Date]])</f>
        <v>0</v>
      </c>
      <c r="S793" s="35">
        <f>SUMIFS(DaybyDay[Service-LY],DaybyDay[Date],"&gt;="&amp;$C$5,DaybyDay[RowYear],"&gt;="&amp;$C$4,DaybyDay[Date],"&lt;="&amp;DaybyDay[[#This Row],[Date]])</f>
        <v>0</v>
      </c>
      <c r="T793" s="35">
        <f>SUMIFS(DaybyDay[Retail-LY],DaybyDay[Date],"&gt;="&amp;$C$5,DaybyDay[RowYear],"&gt;="&amp;$C$4,DaybyDay[Date],"&lt;="&amp;DaybyDay[[#This Row],[Date]])</f>
        <v>0</v>
      </c>
      <c r="U793" s="32">
        <f>DaybyDay[[#This Row],[Serv-Bud-RU]]+DaybyDay[[#This Row],[Ret-Bud-RU]]</f>
        <v>0</v>
      </c>
      <c r="V793" s="32">
        <f>DaybyDay[[#This Row],[Serv-Act-RU]]+DaybyDay[[#This Row],[Ret-Act-RU]]</f>
        <v>0</v>
      </c>
      <c r="W793" s="36">
        <f>IF(DaybyDay[[#This Row],[_Space]],IFERROR(
((DaybyDay[[#This Row],[Actual-Rollup]]-DaybyDay[[#This Row],[Budget-Rollup]])/DaybyDay[[#This Row],[Budget-Rollup]]),0),"")</f>
        <v>0</v>
      </c>
      <c r="X793" t="b">
        <f>NOT(AND(ISBLANK(DaybyDay[[#This Row],[Appts]]),ISBLANK(DaybyDay[[#This Row],[Service-Actuals]]),ISBLANK(DaybyDay[[#This Row],[Retail-Actuals]])))</f>
        <v>1</v>
      </c>
      <c r="Y793" s="36">
        <f>IF(DaybyDay[[#This Row],[_Space]],IFERROR(
((DaybyDay[[#This Row],[Actual-Rollup]]-DaybyDay[[#This Row],[LY-Rollup]])/DaybyDay[[#This Row],[LY-Rollup]]),0),"")</f>
        <v>0</v>
      </c>
      <c r="Z793"/>
      <c r="AA793" s="37" t="e">
        <f>IF(DaybyDay[[#This Row],[_Space]],DaybyDay[[#This Row],[Ret-Act-RU]]/DaybyDay[[#This Row],[Serv-Act-RU]],"")</f>
        <v>#DIV/0!</v>
      </c>
      <c r="AB793" s="50" t="e">
        <f>IF(DaybyDay[[#This Row],[_Space]],DaybyDay[[#This Row],[RETPEN-Act]]/DaybyDay[[#This Row],[RETPEN-Bud]],"")</f>
        <v>#DIV/0!</v>
      </c>
      <c r="AC793" s="37" t="e">
        <f>IF(DaybyDay[[#This Row],[_Space]],DaybyDay[[#This Row],[Ret-Bud-RU]]/DaybyDay[[#This Row],[Serv-Bud-RU]],"")</f>
        <v>#DIV/0!</v>
      </c>
      <c r="AD793" s="37" t="e">
        <f>IF(DaybyDay[[#This Row],[_Space]],DaybyDay[[#This Row],[Ret-LY-RU]]/DaybyDay[[#This Row],[Serv-LY-RU]],"")</f>
        <v>#DIV/0!</v>
      </c>
      <c r="AE793" s="30">
        <f>WEEKDAY(DaybyDay[[#This Row],[LY-Date]])</f>
        <v>3</v>
      </c>
      <c r="AF793" s="38">
        <f>$E$2+_xlfn.DAYS(DaybyDay[[#This Row],[Date]],minDate)</f>
        <v>43158</v>
      </c>
      <c r="AG793" s="39" cm="1">
        <f t="array" ref="AG793">IFERROR(INDEX(DaybyDay[],DaybyDay[[#This Row],[FORM_MATCH_HELPER]],8),"")</f>
        <v>11</v>
      </c>
      <c r="AH793" s="39" cm="1">
        <f t="array" ref="AH793">IFERROR(INDEX(DaybyDay[],DaybyDay[[#This Row],[FORM_MATCH_HELPER]],10),"")</f>
        <v>1879.11</v>
      </c>
      <c r="AI793" s="39" cm="1">
        <f t="array" ref="AI793">IFERROR(INDEX(DaybyDay[],DaybyDay[[#This Row],[FORM_MATCH_HELPER]],12),"")</f>
        <v>1070.4000000000001</v>
      </c>
      <c r="AJ793" s="32">
        <f>IFERROR(DaybyDay[[#This Row],[Serv-LY-RU]]+DaybyDay[[#This Row],[Ret-LY-RU]],"")</f>
        <v>0</v>
      </c>
      <c r="AK7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3" s="77"/>
      <c r="AM793" s="40" t="str">
        <f>IF(DaybyDay[[#This Row],[Admin Hours]]&gt;0,DaybyDay[[#This Row],[Admin Hours]]*$AM$2+$AM$3,"")</f>
        <v/>
      </c>
      <c r="AN793" s="40">
        <f>SUMIFS(DaybyDay[Est-Admin-Payroll],DaybyDay[Date],"&gt;="&amp;$C$5,DaybyDay[RowYear],"&gt;="&amp;$C$4,DaybyDay[Date],"&lt;="&amp;DaybyDay[[#This Row],[Date]])</f>
        <v>0</v>
      </c>
      <c r="AO793" s="41" t="str">
        <f>IF(AND(DaybyDay[[#This Row],[_Space]],ISNUMBER(DaybyDay[[#This Row],[Admin Hours]])),DaybyDay[[#This Row],[Est-Admin-Payroll]]/(DaybyDay[[#This Row],[Service-Actuals]]+DaybyDay[[#This Row],[Retail-Actuals]]),"")</f>
        <v/>
      </c>
      <c r="AP793" s="41" t="e">
        <f>DaybyDay[[#This Row],[Estimated-Payroll-Rollup]]/DaybyDay[[#This Row],[Simple-Forecast]]</f>
        <v>#DIV/0!</v>
      </c>
      <c r="AQ7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3" s="77"/>
      <c r="AS793" s="40" t="str">
        <f>IF(DaybyDay[[#This Row],[Retail Hours]]&gt;0,DaybyDay[[#This Row],[Retail Hours]]*$AS$2,"")</f>
        <v/>
      </c>
      <c r="AT793" s="40">
        <f>SUMIFS(DaybyDay[Est-Retail-Payroll],DaybyDay[Date],"&gt;="&amp;$C$5,DaybyDay[RowYear],"&gt;="&amp;$C$4,DaybyDay[Date],"&lt;="&amp;DaybyDay[[#This Row],[Date]])</f>
        <v>0</v>
      </c>
      <c r="AU793" s="82" t="str">
        <f>IF(AND(DaybyDay[[#This Row],[_Space]],ISNUMBER(DaybyDay[[#This Row],[Retail Hours]])),DaybyDay[[#This Row],[Est-Retail-Payroll]]/(DaybyDay[[#This Row],[Retail-Actuals]]),"")</f>
        <v/>
      </c>
      <c r="AV793" s="82" t="e">
        <f>DaybyDay[[#This Row],[Est-Retail-PayrollRU]]/DaybyDay[[#This Row],[Simple-Forecast-Retail]]</f>
        <v>#DIV/0!</v>
      </c>
      <c r="AW793" s="8"/>
      <c r="AX793" s="49"/>
      <c r="AY793" s="48"/>
      <c r="AZ793" s="47"/>
      <c r="BA793" s="47"/>
      <c r="BB793" s="47"/>
      <c r="BC793" s="47"/>
      <c r="BD793" s="47"/>
    </row>
    <row r="794" spans="3:56" hidden="1" x14ac:dyDescent="0.25">
      <c r="C794" s="26" t="str">
        <f>Tools!$C$1</f>
        <v>Example</v>
      </c>
      <c r="D794" s="27" t="s">
        <v>69</v>
      </c>
      <c r="E794" s="28">
        <v>2019</v>
      </c>
      <c r="F794" s="28">
        <f>MATCH(DaybyDay[[#This Row],[RowMonth]],Table3[SummaryMonth],0)</f>
        <v>2</v>
      </c>
      <c r="G794" s="29">
        <f>MATCH(DaybyDay[[#This Row],[LY-Date]],DaybyDay[Date],0)</f>
        <v>424</v>
      </c>
      <c r="H794" s="30">
        <f>WEEKDAY(DaybyDay[[#This Row],[Date]])</f>
        <v>4</v>
      </c>
      <c r="I794" s="31">
        <v>43523</v>
      </c>
      <c r="J794" s="74">
        <v>18</v>
      </c>
      <c r="K794" s="32">
        <f>SUMIFS(BudgetSeasonality[365 Seasonality],BudgetSeasonality[MonthAdjustment],DaybyDay[[#This Row],[Date]])*SUMIFS(Budgets[Service-Budget],Budgets[BudgetMonth],DaybyDay[[#This Row],[RowMonth]],Budgets[BudgetYear],DaybyDay[[#This Row],[RowYear]])</f>
        <v>3345.441399045751</v>
      </c>
      <c r="L794" s="75">
        <v>4498.2</v>
      </c>
      <c r="M794" s="32">
        <f>INDEX(BudgetSeasonality[365 Seasonality],MATCH(DaybyDay[[#This Row],[Date]],BudgetSeasonality[MonthAdjustment],0))*SUMIFS(Budgets[Retail-Budget],Budgets[BudgetMonth],DaybyDay[[#This Row],[RowMonth]],Budgets[BudgetYear],DaybyDay[[#This Row],[RowYear]])</f>
        <v>800.83746600426241</v>
      </c>
      <c r="N794" s="75">
        <v>1436</v>
      </c>
      <c r="O794" s="33">
        <f>SUMIFS(DaybyDay[Service-Budgets],DaybyDay[Date],"&gt;="&amp;$C$5,DaybyDay[RowYear],"&gt;="&amp;$C$4,DaybyDay[Date],"&lt;="&amp;DaybyDay[[#This Row],[Date]])</f>
        <v>0</v>
      </c>
      <c r="P794" s="33">
        <f>SUMIFS(DaybyDay[Retail-Budgets],DaybyDay[Date],"&gt;="&amp;$C$5,DaybyDay[RowYear],"&gt;="&amp;$C$4,DaybyDay[Date],"&lt;="&amp;DaybyDay[[#This Row],[Date]])</f>
        <v>0</v>
      </c>
      <c r="Q794" s="34">
        <f>SUMIFS(DaybyDay[Service-Actuals],DaybyDay[Date],"&gt;="&amp;$C$5,DaybyDay[RowYear],"&gt;="&amp;$C$4,DaybyDay[Date],"&lt;="&amp;DaybyDay[[#This Row],[Date]])</f>
        <v>0</v>
      </c>
      <c r="R794" s="34">
        <f>SUMIFS(DaybyDay[Retail-Actuals],DaybyDay[Date],"&gt;="&amp;$C$5,DaybyDay[RowYear],"&gt;="&amp;$C$4,DaybyDay[Date],"&lt;="&amp;DaybyDay[[#This Row],[Date]])</f>
        <v>0</v>
      </c>
      <c r="S794" s="35">
        <f>SUMIFS(DaybyDay[Service-LY],DaybyDay[Date],"&gt;="&amp;$C$5,DaybyDay[RowYear],"&gt;="&amp;$C$4,DaybyDay[Date],"&lt;="&amp;DaybyDay[[#This Row],[Date]])</f>
        <v>0</v>
      </c>
      <c r="T794" s="35">
        <f>SUMIFS(DaybyDay[Retail-LY],DaybyDay[Date],"&gt;="&amp;$C$5,DaybyDay[RowYear],"&gt;="&amp;$C$4,DaybyDay[Date],"&lt;="&amp;DaybyDay[[#This Row],[Date]])</f>
        <v>0</v>
      </c>
      <c r="U794" s="32">
        <f>DaybyDay[[#This Row],[Serv-Bud-RU]]+DaybyDay[[#This Row],[Ret-Bud-RU]]</f>
        <v>0</v>
      </c>
      <c r="V794" s="32">
        <f>DaybyDay[[#This Row],[Serv-Act-RU]]+DaybyDay[[#This Row],[Ret-Act-RU]]</f>
        <v>0</v>
      </c>
      <c r="W794" s="36">
        <f>IF(DaybyDay[[#This Row],[_Space]],IFERROR(
((DaybyDay[[#This Row],[Actual-Rollup]]-DaybyDay[[#This Row],[Budget-Rollup]])/DaybyDay[[#This Row],[Budget-Rollup]]),0),"")</f>
        <v>0</v>
      </c>
      <c r="X794" t="b">
        <f>NOT(AND(ISBLANK(DaybyDay[[#This Row],[Appts]]),ISBLANK(DaybyDay[[#This Row],[Service-Actuals]]),ISBLANK(DaybyDay[[#This Row],[Retail-Actuals]])))</f>
        <v>1</v>
      </c>
      <c r="Y794" s="36">
        <f>IF(DaybyDay[[#This Row],[_Space]],IFERROR(
((DaybyDay[[#This Row],[Actual-Rollup]]-DaybyDay[[#This Row],[LY-Rollup]])/DaybyDay[[#This Row],[LY-Rollup]]),0),"")</f>
        <v>0</v>
      </c>
      <c r="Z794"/>
      <c r="AA794" s="37" t="e">
        <f>IF(DaybyDay[[#This Row],[_Space]],DaybyDay[[#This Row],[Ret-Act-RU]]/DaybyDay[[#This Row],[Serv-Act-RU]],"")</f>
        <v>#DIV/0!</v>
      </c>
      <c r="AB794" s="50" t="e">
        <f>IF(DaybyDay[[#This Row],[_Space]],DaybyDay[[#This Row],[RETPEN-Act]]/DaybyDay[[#This Row],[RETPEN-Bud]],"")</f>
        <v>#DIV/0!</v>
      </c>
      <c r="AC794" s="37" t="e">
        <f>IF(DaybyDay[[#This Row],[_Space]],DaybyDay[[#This Row],[Ret-Bud-RU]]/DaybyDay[[#This Row],[Serv-Bud-RU]],"")</f>
        <v>#DIV/0!</v>
      </c>
      <c r="AD794" s="37" t="e">
        <f>IF(DaybyDay[[#This Row],[_Space]],DaybyDay[[#This Row],[Ret-LY-RU]]/DaybyDay[[#This Row],[Serv-LY-RU]],"")</f>
        <v>#DIV/0!</v>
      </c>
      <c r="AE794" s="30">
        <f>WEEKDAY(DaybyDay[[#This Row],[LY-Date]])</f>
        <v>4</v>
      </c>
      <c r="AF794" s="38">
        <f>$E$2+_xlfn.DAYS(DaybyDay[[#This Row],[Date]],minDate)</f>
        <v>43159</v>
      </c>
      <c r="AG794" s="39" cm="1">
        <f t="array" ref="AG794">IFERROR(INDEX(DaybyDay[],DaybyDay[[#This Row],[FORM_MATCH_HELPER]],8),"")</f>
        <v>13</v>
      </c>
      <c r="AH794" s="39" cm="1">
        <f t="array" ref="AH794">IFERROR(INDEX(DaybyDay[],DaybyDay[[#This Row],[FORM_MATCH_HELPER]],10),"")</f>
        <v>2320</v>
      </c>
      <c r="AI794" s="39" cm="1">
        <f t="array" ref="AI794">IFERROR(INDEX(DaybyDay[],DaybyDay[[#This Row],[FORM_MATCH_HELPER]],12),"")</f>
        <v>220.95</v>
      </c>
      <c r="AJ794" s="32">
        <f>IFERROR(DaybyDay[[#This Row],[Serv-LY-RU]]+DaybyDay[[#This Row],[Ret-LY-RU]],"")</f>
        <v>0</v>
      </c>
      <c r="AK7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4" s="77"/>
      <c r="AM794" s="40" t="str">
        <f>IF(DaybyDay[[#This Row],[Admin Hours]]&gt;0,DaybyDay[[#This Row],[Admin Hours]]*$AM$2+$AM$3,"")</f>
        <v/>
      </c>
      <c r="AN794" s="40">
        <f>SUMIFS(DaybyDay[Est-Admin-Payroll],DaybyDay[Date],"&gt;="&amp;$C$5,DaybyDay[RowYear],"&gt;="&amp;$C$4,DaybyDay[Date],"&lt;="&amp;DaybyDay[[#This Row],[Date]])</f>
        <v>0</v>
      </c>
      <c r="AO794" s="41" t="str">
        <f>IF(AND(DaybyDay[[#This Row],[_Space]],ISNUMBER(DaybyDay[[#This Row],[Admin Hours]])),DaybyDay[[#This Row],[Est-Admin-Payroll]]/(DaybyDay[[#This Row],[Service-Actuals]]+DaybyDay[[#This Row],[Retail-Actuals]]),"")</f>
        <v/>
      </c>
      <c r="AP794" s="41" t="e">
        <f>DaybyDay[[#This Row],[Estimated-Payroll-Rollup]]/DaybyDay[[#This Row],[Simple-Forecast]]</f>
        <v>#DIV/0!</v>
      </c>
      <c r="AQ7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4" s="77"/>
      <c r="AS794" s="40" t="str">
        <f>IF(DaybyDay[[#This Row],[Retail Hours]]&gt;0,DaybyDay[[#This Row],[Retail Hours]]*$AS$2,"")</f>
        <v/>
      </c>
      <c r="AT794" s="40">
        <f>SUMIFS(DaybyDay[Est-Retail-Payroll],DaybyDay[Date],"&gt;="&amp;$C$5,DaybyDay[RowYear],"&gt;="&amp;$C$4,DaybyDay[Date],"&lt;="&amp;DaybyDay[[#This Row],[Date]])</f>
        <v>0</v>
      </c>
      <c r="AU794" s="82" t="str">
        <f>IF(AND(DaybyDay[[#This Row],[_Space]],ISNUMBER(DaybyDay[[#This Row],[Retail Hours]])),DaybyDay[[#This Row],[Est-Retail-Payroll]]/(DaybyDay[[#This Row],[Retail-Actuals]]),"")</f>
        <v/>
      </c>
      <c r="AV794" s="82" t="e">
        <f>DaybyDay[[#This Row],[Est-Retail-PayrollRU]]/DaybyDay[[#This Row],[Simple-Forecast-Retail]]</f>
        <v>#DIV/0!</v>
      </c>
      <c r="AW794" s="8"/>
      <c r="AX794" s="49"/>
      <c r="AY794" s="48"/>
      <c r="AZ794" s="47"/>
      <c r="BA794" s="47"/>
      <c r="BB794" s="47"/>
      <c r="BC794" s="47"/>
      <c r="BD794" s="47"/>
    </row>
    <row r="795" spans="3:56" hidden="1" x14ac:dyDescent="0.25">
      <c r="C795" s="26" t="str">
        <f>Tools!$C$1</f>
        <v>Example</v>
      </c>
      <c r="D795" s="27" t="s">
        <v>69</v>
      </c>
      <c r="E795" s="28">
        <v>2019</v>
      </c>
      <c r="F795" s="28">
        <f>MATCH(DaybyDay[[#This Row],[RowMonth]],Table3[SummaryMonth],0)</f>
        <v>2</v>
      </c>
      <c r="G795" s="29">
        <f>MATCH(DaybyDay[[#This Row],[LY-Date]],DaybyDay[Date],0)</f>
        <v>425</v>
      </c>
      <c r="H795" s="30">
        <f>WEEKDAY(DaybyDay[[#This Row],[Date]])</f>
        <v>5</v>
      </c>
      <c r="I795" s="31">
        <v>43524</v>
      </c>
      <c r="J795" s="74">
        <v>20</v>
      </c>
      <c r="K795" s="32">
        <f>SUMIFS(BudgetSeasonality[365 Seasonality],BudgetSeasonality[MonthAdjustment],DaybyDay[[#This Row],[Date]])*SUMIFS(Budgets[Service-Budget],Budgets[BudgetMonth],DaybyDay[[#This Row],[RowMonth]],Budgets[BudgetYear],DaybyDay[[#This Row],[RowYear]])</f>
        <v>3384.835833113264</v>
      </c>
      <c r="L795" s="75">
        <v>4728</v>
      </c>
      <c r="M795" s="32">
        <f>INDEX(BudgetSeasonality[365 Seasonality],MATCH(DaybyDay[[#This Row],[Date]],BudgetSeasonality[MonthAdjustment],0))*SUMIFS(Budgets[Retail-Budget],Budgets[BudgetMonth],DaybyDay[[#This Row],[RowMonth]],Budgets[BudgetYear],DaybyDay[[#This Row],[RowYear]])</f>
        <v>810.26777279794828</v>
      </c>
      <c r="N795" s="75">
        <v>539.5</v>
      </c>
      <c r="O795" s="33">
        <f>SUMIFS(DaybyDay[Service-Budgets],DaybyDay[Date],"&gt;="&amp;$C$5,DaybyDay[RowYear],"&gt;="&amp;$C$4,DaybyDay[Date],"&lt;="&amp;DaybyDay[[#This Row],[Date]])</f>
        <v>0</v>
      </c>
      <c r="P795" s="33">
        <f>SUMIFS(DaybyDay[Retail-Budgets],DaybyDay[Date],"&gt;="&amp;$C$5,DaybyDay[RowYear],"&gt;="&amp;$C$4,DaybyDay[Date],"&lt;="&amp;DaybyDay[[#This Row],[Date]])</f>
        <v>0</v>
      </c>
      <c r="Q795" s="34">
        <f>SUMIFS(DaybyDay[Service-Actuals],DaybyDay[Date],"&gt;="&amp;$C$5,DaybyDay[RowYear],"&gt;="&amp;$C$4,DaybyDay[Date],"&lt;="&amp;DaybyDay[[#This Row],[Date]])</f>
        <v>0</v>
      </c>
      <c r="R795" s="34">
        <f>SUMIFS(DaybyDay[Retail-Actuals],DaybyDay[Date],"&gt;="&amp;$C$5,DaybyDay[RowYear],"&gt;="&amp;$C$4,DaybyDay[Date],"&lt;="&amp;DaybyDay[[#This Row],[Date]])</f>
        <v>0</v>
      </c>
      <c r="S795" s="35">
        <f>SUMIFS(DaybyDay[Service-LY],DaybyDay[Date],"&gt;="&amp;$C$5,DaybyDay[RowYear],"&gt;="&amp;$C$4,DaybyDay[Date],"&lt;="&amp;DaybyDay[[#This Row],[Date]])</f>
        <v>0</v>
      </c>
      <c r="T795" s="35">
        <f>SUMIFS(DaybyDay[Retail-LY],DaybyDay[Date],"&gt;="&amp;$C$5,DaybyDay[RowYear],"&gt;="&amp;$C$4,DaybyDay[Date],"&lt;="&amp;DaybyDay[[#This Row],[Date]])</f>
        <v>0</v>
      </c>
      <c r="U795" s="32">
        <f>DaybyDay[[#This Row],[Serv-Bud-RU]]+DaybyDay[[#This Row],[Ret-Bud-RU]]</f>
        <v>0</v>
      </c>
      <c r="V795" s="32">
        <f>DaybyDay[[#This Row],[Serv-Act-RU]]+DaybyDay[[#This Row],[Ret-Act-RU]]</f>
        <v>0</v>
      </c>
      <c r="W795" s="36">
        <f>IF(DaybyDay[[#This Row],[_Space]],IFERROR(
((DaybyDay[[#This Row],[Actual-Rollup]]-DaybyDay[[#This Row],[Budget-Rollup]])/DaybyDay[[#This Row],[Budget-Rollup]]),0),"")</f>
        <v>0</v>
      </c>
      <c r="X795" t="b">
        <f>NOT(AND(ISBLANK(DaybyDay[[#This Row],[Appts]]),ISBLANK(DaybyDay[[#This Row],[Service-Actuals]]),ISBLANK(DaybyDay[[#This Row],[Retail-Actuals]])))</f>
        <v>1</v>
      </c>
      <c r="Y795" s="36">
        <f>IF(DaybyDay[[#This Row],[_Space]],IFERROR(
((DaybyDay[[#This Row],[Actual-Rollup]]-DaybyDay[[#This Row],[LY-Rollup]])/DaybyDay[[#This Row],[LY-Rollup]]),0),"")</f>
        <v>0</v>
      </c>
      <c r="Z795"/>
      <c r="AA795" s="37" t="e">
        <f>IF(DaybyDay[[#This Row],[_Space]],DaybyDay[[#This Row],[Ret-Act-RU]]/DaybyDay[[#This Row],[Serv-Act-RU]],"")</f>
        <v>#DIV/0!</v>
      </c>
      <c r="AB795" s="50" t="e">
        <f>IF(DaybyDay[[#This Row],[_Space]],DaybyDay[[#This Row],[RETPEN-Act]]/DaybyDay[[#This Row],[RETPEN-Bud]],"")</f>
        <v>#DIV/0!</v>
      </c>
      <c r="AC795" s="37" t="e">
        <f>IF(DaybyDay[[#This Row],[_Space]],DaybyDay[[#This Row],[Ret-Bud-RU]]/DaybyDay[[#This Row],[Serv-Bud-RU]],"")</f>
        <v>#DIV/0!</v>
      </c>
      <c r="AD795" s="37" t="e">
        <f>IF(DaybyDay[[#This Row],[_Space]],DaybyDay[[#This Row],[Ret-LY-RU]]/DaybyDay[[#This Row],[Serv-LY-RU]],"")</f>
        <v>#DIV/0!</v>
      </c>
      <c r="AE795" s="30">
        <f>WEEKDAY(DaybyDay[[#This Row],[LY-Date]])</f>
        <v>5</v>
      </c>
      <c r="AF795" s="38">
        <f>$E$2+_xlfn.DAYS(DaybyDay[[#This Row],[Date]],minDate)</f>
        <v>43160</v>
      </c>
      <c r="AG795" s="39" cm="1">
        <f t="array" ref="AG795">IFERROR(INDEX(DaybyDay[],DaybyDay[[#This Row],[FORM_MATCH_HELPER]],8),"")</f>
        <v>18</v>
      </c>
      <c r="AH795" s="39" cm="1">
        <f t="array" ref="AH795">IFERROR(INDEX(DaybyDay[],DaybyDay[[#This Row],[FORM_MATCH_HELPER]],10),"")</f>
        <v>3958</v>
      </c>
      <c r="AI795" s="39" cm="1">
        <f t="array" ref="AI795">IFERROR(INDEX(DaybyDay[],DaybyDay[[#This Row],[FORM_MATCH_HELPER]],12),"")</f>
        <v>1347.74</v>
      </c>
      <c r="AJ795" s="32">
        <f>IFERROR(DaybyDay[[#This Row],[Serv-LY-RU]]+DaybyDay[[#This Row],[Ret-LY-RU]],"")</f>
        <v>0</v>
      </c>
      <c r="AK7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5" s="77"/>
      <c r="AM795" s="40" t="str">
        <f>IF(DaybyDay[[#This Row],[Admin Hours]]&gt;0,DaybyDay[[#This Row],[Admin Hours]]*$AM$2+$AM$3,"")</f>
        <v/>
      </c>
      <c r="AN795" s="40">
        <f>SUMIFS(DaybyDay[Est-Admin-Payroll],DaybyDay[Date],"&gt;="&amp;$C$5,DaybyDay[RowYear],"&gt;="&amp;$C$4,DaybyDay[Date],"&lt;="&amp;DaybyDay[[#This Row],[Date]])</f>
        <v>0</v>
      </c>
      <c r="AO795" s="41" t="str">
        <f>IF(AND(DaybyDay[[#This Row],[_Space]],ISNUMBER(DaybyDay[[#This Row],[Admin Hours]])),DaybyDay[[#This Row],[Est-Admin-Payroll]]/(DaybyDay[[#This Row],[Service-Actuals]]+DaybyDay[[#This Row],[Retail-Actuals]]),"")</f>
        <v/>
      </c>
      <c r="AP795" s="41" t="e">
        <f>DaybyDay[[#This Row],[Estimated-Payroll-Rollup]]/DaybyDay[[#This Row],[Simple-Forecast]]</f>
        <v>#DIV/0!</v>
      </c>
      <c r="AQ7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5" s="77"/>
      <c r="AS795" s="40" t="str">
        <f>IF(DaybyDay[[#This Row],[Retail Hours]]&gt;0,DaybyDay[[#This Row],[Retail Hours]]*$AS$2,"")</f>
        <v/>
      </c>
      <c r="AT795" s="40">
        <f>SUMIFS(DaybyDay[Est-Retail-Payroll],DaybyDay[Date],"&gt;="&amp;$C$5,DaybyDay[RowYear],"&gt;="&amp;$C$4,DaybyDay[Date],"&lt;="&amp;DaybyDay[[#This Row],[Date]])</f>
        <v>0</v>
      </c>
      <c r="AU795" s="82" t="str">
        <f>IF(AND(DaybyDay[[#This Row],[_Space]],ISNUMBER(DaybyDay[[#This Row],[Retail Hours]])),DaybyDay[[#This Row],[Est-Retail-Payroll]]/(DaybyDay[[#This Row],[Retail-Actuals]]),"")</f>
        <v/>
      </c>
      <c r="AV795" s="82" t="e">
        <f>DaybyDay[[#This Row],[Est-Retail-PayrollRU]]/DaybyDay[[#This Row],[Simple-Forecast-Retail]]</f>
        <v>#DIV/0!</v>
      </c>
      <c r="AW795" s="8"/>
      <c r="AX795" s="49"/>
      <c r="AY795" s="48"/>
      <c r="AZ795" s="47"/>
      <c r="BA795" s="47"/>
      <c r="BB795" s="47"/>
      <c r="BC795" s="47"/>
      <c r="BD795" s="47"/>
    </row>
    <row r="796" spans="3:56" hidden="1" x14ac:dyDescent="0.25">
      <c r="C796" s="26" t="str">
        <f>Tools!$C$1</f>
        <v>Example</v>
      </c>
      <c r="D796" s="27" t="s">
        <v>69</v>
      </c>
      <c r="E796" s="28">
        <v>2019</v>
      </c>
      <c r="F796" s="28">
        <f>MATCH(DaybyDay[[#This Row],[RowMonth]],Table3[SummaryMonth],0)</f>
        <v>2</v>
      </c>
      <c r="G796" s="29">
        <f>MATCH(DaybyDay[[#This Row],[LY-Date]],DaybyDay[Date],0)</f>
        <v>426</v>
      </c>
      <c r="H796" s="30">
        <f>WEEKDAY(DaybyDay[[#This Row],[Date]])</f>
        <v>6</v>
      </c>
      <c r="I796" s="31">
        <v>43525</v>
      </c>
      <c r="J796" s="74">
        <v>21</v>
      </c>
      <c r="K796" s="32">
        <f>SUMIFS(BudgetSeasonality[365 Seasonality],BudgetSeasonality[MonthAdjustment],DaybyDay[[#This Row],[Date]])*SUMIFS(Budgets[Service-Budget],Budgets[BudgetMonth],DaybyDay[[#This Row],[RowMonth]],Budgets[BudgetYear],DaybyDay[[#This Row],[RowYear]])</f>
        <v>4199.1178459446155</v>
      </c>
      <c r="L796" s="75">
        <v>5465.5</v>
      </c>
      <c r="M796" s="32">
        <f>INDEX(BudgetSeasonality[365 Seasonality],MATCH(DaybyDay[[#This Row],[Date]],BudgetSeasonality[MonthAdjustment],0))*SUMIFS(Budgets[Retail-Budget],Budgets[BudgetMonth],DaybyDay[[#This Row],[RowMonth]],Budgets[BudgetYear],DaybyDay[[#This Row],[RowYear]])</f>
        <v>1005.191989361633</v>
      </c>
      <c r="N796" s="75">
        <v>135</v>
      </c>
      <c r="O796" s="33">
        <f>SUMIFS(DaybyDay[Service-Budgets],DaybyDay[Date],"&gt;="&amp;$C$5,DaybyDay[RowYear],"&gt;="&amp;$C$4,DaybyDay[Date],"&lt;="&amp;DaybyDay[[#This Row],[Date]])</f>
        <v>0</v>
      </c>
      <c r="P796" s="33">
        <f>SUMIFS(DaybyDay[Retail-Budgets],DaybyDay[Date],"&gt;="&amp;$C$5,DaybyDay[RowYear],"&gt;="&amp;$C$4,DaybyDay[Date],"&lt;="&amp;DaybyDay[[#This Row],[Date]])</f>
        <v>0</v>
      </c>
      <c r="Q796" s="34">
        <f>SUMIFS(DaybyDay[Service-Actuals],DaybyDay[Date],"&gt;="&amp;$C$5,DaybyDay[RowYear],"&gt;="&amp;$C$4,DaybyDay[Date],"&lt;="&amp;DaybyDay[[#This Row],[Date]])</f>
        <v>0</v>
      </c>
      <c r="R796" s="34">
        <f>SUMIFS(DaybyDay[Retail-Actuals],DaybyDay[Date],"&gt;="&amp;$C$5,DaybyDay[RowYear],"&gt;="&amp;$C$4,DaybyDay[Date],"&lt;="&amp;DaybyDay[[#This Row],[Date]])</f>
        <v>0</v>
      </c>
      <c r="S796" s="35">
        <f>SUMIFS(DaybyDay[Service-LY],DaybyDay[Date],"&gt;="&amp;$C$5,DaybyDay[RowYear],"&gt;="&amp;$C$4,DaybyDay[Date],"&lt;="&amp;DaybyDay[[#This Row],[Date]])</f>
        <v>0</v>
      </c>
      <c r="T796" s="35">
        <f>SUMIFS(DaybyDay[Retail-LY],DaybyDay[Date],"&gt;="&amp;$C$5,DaybyDay[RowYear],"&gt;="&amp;$C$4,DaybyDay[Date],"&lt;="&amp;DaybyDay[[#This Row],[Date]])</f>
        <v>0</v>
      </c>
      <c r="U796" s="32">
        <f>DaybyDay[[#This Row],[Serv-Bud-RU]]+DaybyDay[[#This Row],[Ret-Bud-RU]]</f>
        <v>0</v>
      </c>
      <c r="V796" s="32">
        <f>DaybyDay[[#This Row],[Serv-Act-RU]]+DaybyDay[[#This Row],[Ret-Act-RU]]</f>
        <v>0</v>
      </c>
      <c r="W796" s="36">
        <f>IF(DaybyDay[[#This Row],[_Space]],IFERROR(
((DaybyDay[[#This Row],[Actual-Rollup]]-DaybyDay[[#This Row],[Budget-Rollup]])/DaybyDay[[#This Row],[Budget-Rollup]]),0),"")</f>
        <v>0</v>
      </c>
      <c r="X796" t="b">
        <f>NOT(AND(ISBLANK(DaybyDay[[#This Row],[Appts]]),ISBLANK(DaybyDay[[#This Row],[Service-Actuals]]),ISBLANK(DaybyDay[[#This Row],[Retail-Actuals]])))</f>
        <v>1</v>
      </c>
      <c r="Y796" s="36">
        <f>IF(DaybyDay[[#This Row],[_Space]],IFERROR(
((DaybyDay[[#This Row],[Actual-Rollup]]-DaybyDay[[#This Row],[LY-Rollup]])/DaybyDay[[#This Row],[LY-Rollup]]),0),"")</f>
        <v>0</v>
      </c>
      <c r="Z796"/>
      <c r="AA796" s="37" t="e">
        <f>IF(DaybyDay[[#This Row],[_Space]],DaybyDay[[#This Row],[Ret-Act-RU]]/DaybyDay[[#This Row],[Serv-Act-RU]],"")</f>
        <v>#DIV/0!</v>
      </c>
      <c r="AB796" s="50" t="e">
        <f>IF(DaybyDay[[#This Row],[_Space]],DaybyDay[[#This Row],[RETPEN-Act]]/DaybyDay[[#This Row],[RETPEN-Bud]],"")</f>
        <v>#DIV/0!</v>
      </c>
      <c r="AC796" s="37" t="e">
        <f>IF(DaybyDay[[#This Row],[_Space]],DaybyDay[[#This Row],[Ret-Bud-RU]]/DaybyDay[[#This Row],[Serv-Bud-RU]],"")</f>
        <v>#DIV/0!</v>
      </c>
      <c r="AD796" s="37" t="e">
        <f>IF(DaybyDay[[#This Row],[_Space]],DaybyDay[[#This Row],[Ret-LY-RU]]/DaybyDay[[#This Row],[Serv-LY-RU]],"")</f>
        <v>#DIV/0!</v>
      </c>
      <c r="AE796" s="30">
        <f>WEEKDAY(DaybyDay[[#This Row],[LY-Date]])</f>
        <v>6</v>
      </c>
      <c r="AF796" s="38">
        <f>$E$2+_xlfn.DAYS(DaybyDay[[#This Row],[Date]],minDate)</f>
        <v>43161</v>
      </c>
      <c r="AG796" s="39" cm="1">
        <f t="array" ref="AG796">IFERROR(INDEX(DaybyDay[],DaybyDay[[#This Row],[FORM_MATCH_HELPER]],8),"")</f>
        <v>20</v>
      </c>
      <c r="AH796" s="39" cm="1">
        <f t="array" ref="AH796">IFERROR(INDEX(DaybyDay[],DaybyDay[[#This Row],[FORM_MATCH_HELPER]],10),"")</f>
        <v>5344</v>
      </c>
      <c r="AI796" s="39" cm="1">
        <f t="array" ref="AI796">IFERROR(INDEX(DaybyDay[],DaybyDay[[#This Row],[FORM_MATCH_HELPER]],12),"")</f>
        <v>251.3</v>
      </c>
      <c r="AJ796" s="32">
        <f>IFERROR(DaybyDay[[#This Row],[Serv-LY-RU]]+DaybyDay[[#This Row],[Ret-LY-RU]],"")</f>
        <v>0</v>
      </c>
      <c r="AK7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6" s="77"/>
      <c r="AM796" s="40" t="str">
        <f>IF(DaybyDay[[#This Row],[Admin Hours]]&gt;0,DaybyDay[[#This Row],[Admin Hours]]*$AM$2+$AM$3,"")</f>
        <v/>
      </c>
      <c r="AN796" s="40">
        <f>SUMIFS(DaybyDay[Est-Admin-Payroll],DaybyDay[Date],"&gt;="&amp;$C$5,DaybyDay[RowYear],"&gt;="&amp;$C$4,DaybyDay[Date],"&lt;="&amp;DaybyDay[[#This Row],[Date]])</f>
        <v>0</v>
      </c>
      <c r="AO796" s="41" t="str">
        <f>IF(AND(DaybyDay[[#This Row],[_Space]],ISNUMBER(DaybyDay[[#This Row],[Admin Hours]])),DaybyDay[[#This Row],[Est-Admin-Payroll]]/(DaybyDay[[#This Row],[Service-Actuals]]+DaybyDay[[#This Row],[Retail-Actuals]]),"")</f>
        <v/>
      </c>
      <c r="AP796" s="41" t="e">
        <f>DaybyDay[[#This Row],[Estimated-Payroll-Rollup]]/DaybyDay[[#This Row],[Simple-Forecast]]</f>
        <v>#DIV/0!</v>
      </c>
      <c r="AQ7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6" s="77"/>
      <c r="AS796" s="40" t="str">
        <f>IF(DaybyDay[[#This Row],[Retail Hours]]&gt;0,DaybyDay[[#This Row],[Retail Hours]]*$AS$2,"")</f>
        <v/>
      </c>
      <c r="AT796" s="40">
        <f>SUMIFS(DaybyDay[Est-Retail-Payroll],DaybyDay[Date],"&gt;="&amp;$C$5,DaybyDay[RowYear],"&gt;="&amp;$C$4,DaybyDay[Date],"&lt;="&amp;DaybyDay[[#This Row],[Date]])</f>
        <v>0</v>
      </c>
      <c r="AU796" s="82" t="str">
        <f>IF(AND(DaybyDay[[#This Row],[_Space]],ISNUMBER(DaybyDay[[#This Row],[Retail Hours]])),DaybyDay[[#This Row],[Est-Retail-Payroll]]/(DaybyDay[[#This Row],[Retail-Actuals]]),"")</f>
        <v/>
      </c>
      <c r="AV796" s="82" t="e">
        <f>DaybyDay[[#This Row],[Est-Retail-PayrollRU]]/DaybyDay[[#This Row],[Simple-Forecast-Retail]]</f>
        <v>#DIV/0!</v>
      </c>
      <c r="AW796" s="8"/>
      <c r="AX796" s="49"/>
      <c r="AY796" s="48"/>
      <c r="AZ796" s="47"/>
      <c r="BA796" s="47"/>
      <c r="BB796" s="47"/>
      <c r="BC796" s="47"/>
      <c r="BD796" s="47"/>
    </row>
    <row r="797" spans="3:56" hidden="1" x14ac:dyDescent="0.25">
      <c r="C797" s="26" t="str">
        <f>Tools!$C$1</f>
        <v>Example</v>
      </c>
      <c r="D797" s="27" t="s">
        <v>69</v>
      </c>
      <c r="E797" s="28">
        <v>2019</v>
      </c>
      <c r="F797" s="28">
        <f>MATCH(DaybyDay[[#This Row],[RowMonth]],Table3[SummaryMonth],0)</f>
        <v>2</v>
      </c>
      <c r="G797" s="29">
        <f>MATCH(DaybyDay[[#This Row],[LY-Date]],DaybyDay[Date],0)</f>
        <v>427</v>
      </c>
      <c r="H797" s="30">
        <f>WEEKDAY(DaybyDay[[#This Row],[Date]])</f>
        <v>7</v>
      </c>
      <c r="I797" s="31">
        <v>43526</v>
      </c>
      <c r="J797" s="74">
        <v>28</v>
      </c>
      <c r="K797" s="32">
        <f>SUMIFS(BudgetSeasonality[365 Seasonality],BudgetSeasonality[MonthAdjustment],DaybyDay[[#This Row],[Date]])*SUMIFS(Budgets[Service-Budget],Budgets[BudgetMonth],DaybyDay[[#This Row],[RowMonth]],Budgets[BudgetYear],DaybyDay[[#This Row],[RowYear]])</f>
        <v>5986.8978571876996</v>
      </c>
      <c r="L797" s="75">
        <v>6773.22</v>
      </c>
      <c r="M797" s="32">
        <f>INDEX(BudgetSeasonality[365 Seasonality],MATCH(DaybyDay[[#This Row],[Date]],BudgetSeasonality[MonthAdjustment],0))*SUMIFS(Budgets[Retail-Budget],Budgets[BudgetMonth],DaybyDay[[#This Row],[RowMonth]],Budgets[BudgetYear],DaybyDay[[#This Row],[RowYear]])</f>
        <v>1433.1538165768295</v>
      </c>
      <c r="N797" s="75">
        <v>735.45</v>
      </c>
      <c r="O797" s="33">
        <f>SUMIFS(DaybyDay[Service-Budgets],DaybyDay[Date],"&gt;="&amp;$C$5,DaybyDay[RowYear],"&gt;="&amp;$C$4,DaybyDay[Date],"&lt;="&amp;DaybyDay[[#This Row],[Date]])</f>
        <v>0</v>
      </c>
      <c r="P797" s="33">
        <f>SUMIFS(DaybyDay[Retail-Budgets],DaybyDay[Date],"&gt;="&amp;$C$5,DaybyDay[RowYear],"&gt;="&amp;$C$4,DaybyDay[Date],"&lt;="&amp;DaybyDay[[#This Row],[Date]])</f>
        <v>0</v>
      </c>
      <c r="Q797" s="34">
        <f>SUMIFS(DaybyDay[Service-Actuals],DaybyDay[Date],"&gt;="&amp;$C$5,DaybyDay[RowYear],"&gt;="&amp;$C$4,DaybyDay[Date],"&lt;="&amp;DaybyDay[[#This Row],[Date]])</f>
        <v>0</v>
      </c>
      <c r="R797" s="34">
        <f>SUMIFS(DaybyDay[Retail-Actuals],DaybyDay[Date],"&gt;="&amp;$C$5,DaybyDay[RowYear],"&gt;="&amp;$C$4,DaybyDay[Date],"&lt;="&amp;DaybyDay[[#This Row],[Date]])</f>
        <v>0</v>
      </c>
      <c r="S797" s="35">
        <f>SUMIFS(DaybyDay[Service-LY],DaybyDay[Date],"&gt;="&amp;$C$5,DaybyDay[RowYear],"&gt;="&amp;$C$4,DaybyDay[Date],"&lt;="&amp;DaybyDay[[#This Row],[Date]])</f>
        <v>0</v>
      </c>
      <c r="T797" s="35">
        <f>SUMIFS(DaybyDay[Retail-LY],DaybyDay[Date],"&gt;="&amp;$C$5,DaybyDay[RowYear],"&gt;="&amp;$C$4,DaybyDay[Date],"&lt;="&amp;DaybyDay[[#This Row],[Date]])</f>
        <v>0</v>
      </c>
      <c r="U797" s="32">
        <f>DaybyDay[[#This Row],[Serv-Bud-RU]]+DaybyDay[[#This Row],[Ret-Bud-RU]]</f>
        <v>0</v>
      </c>
      <c r="V797" s="32">
        <f>DaybyDay[[#This Row],[Serv-Act-RU]]+DaybyDay[[#This Row],[Ret-Act-RU]]</f>
        <v>0</v>
      </c>
      <c r="W797" s="36">
        <f>IF(DaybyDay[[#This Row],[_Space]],IFERROR(
((DaybyDay[[#This Row],[Actual-Rollup]]-DaybyDay[[#This Row],[Budget-Rollup]])/DaybyDay[[#This Row],[Budget-Rollup]]),0),"")</f>
        <v>0</v>
      </c>
      <c r="X797" t="b">
        <f>NOT(AND(ISBLANK(DaybyDay[[#This Row],[Appts]]),ISBLANK(DaybyDay[[#This Row],[Service-Actuals]]),ISBLANK(DaybyDay[[#This Row],[Retail-Actuals]])))</f>
        <v>1</v>
      </c>
      <c r="Y797" s="36">
        <f>IF(DaybyDay[[#This Row],[_Space]],IFERROR(
((DaybyDay[[#This Row],[Actual-Rollup]]-DaybyDay[[#This Row],[LY-Rollup]])/DaybyDay[[#This Row],[LY-Rollup]]),0),"")</f>
        <v>0</v>
      </c>
      <c r="Z797"/>
      <c r="AA797" s="37" t="e">
        <f>IF(DaybyDay[[#This Row],[_Space]],DaybyDay[[#This Row],[Ret-Act-RU]]/DaybyDay[[#This Row],[Serv-Act-RU]],"")</f>
        <v>#DIV/0!</v>
      </c>
      <c r="AB797" s="50" t="e">
        <f>IF(DaybyDay[[#This Row],[_Space]],DaybyDay[[#This Row],[RETPEN-Act]]/DaybyDay[[#This Row],[RETPEN-Bud]],"")</f>
        <v>#DIV/0!</v>
      </c>
      <c r="AC797" s="37" t="e">
        <f>IF(DaybyDay[[#This Row],[_Space]],DaybyDay[[#This Row],[Ret-Bud-RU]]/DaybyDay[[#This Row],[Serv-Bud-RU]],"")</f>
        <v>#DIV/0!</v>
      </c>
      <c r="AD797" s="37" t="e">
        <f>IF(DaybyDay[[#This Row],[_Space]],DaybyDay[[#This Row],[Ret-LY-RU]]/DaybyDay[[#This Row],[Serv-LY-RU]],"")</f>
        <v>#DIV/0!</v>
      </c>
      <c r="AE797" s="30">
        <f>WEEKDAY(DaybyDay[[#This Row],[LY-Date]])</f>
        <v>7</v>
      </c>
      <c r="AF797" s="38">
        <f>$E$2+_xlfn.DAYS(DaybyDay[[#This Row],[Date]],minDate)</f>
        <v>43162</v>
      </c>
      <c r="AG797" s="39" cm="1">
        <f t="array" ref="AG797">IFERROR(INDEX(DaybyDay[],DaybyDay[[#This Row],[FORM_MATCH_HELPER]],8),"")</f>
        <v>28</v>
      </c>
      <c r="AH797" s="39" cm="1">
        <f t="array" ref="AH797">IFERROR(INDEX(DaybyDay[],DaybyDay[[#This Row],[FORM_MATCH_HELPER]],10),"")</f>
        <v>5535</v>
      </c>
      <c r="AI797" s="39" cm="1">
        <f t="array" ref="AI797">IFERROR(INDEX(DaybyDay[],DaybyDay[[#This Row],[FORM_MATCH_HELPER]],12),"")</f>
        <v>928.25</v>
      </c>
      <c r="AJ797" s="32">
        <f>IFERROR(DaybyDay[[#This Row],[Serv-LY-RU]]+DaybyDay[[#This Row],[Ret-LY-RU]],"")</f>
        <v>0</v>
      </c>
      <c r="AK7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7" s="77"/>
      <c r="AM797" s="40" t="str">
        <f>IF(DaybyDay[[#This Row],[Admin Hours]]&gt;0,DaybyDay[[#This Row],[Admin Hours]]*$AM$2+$AM$3,"")</f>
        <v/>
      </c>
      <c r="AN797" s="40">
        <f>SUMIFS(DaybyDay[Est-Admin-Payroll],DaybyDay[Date],"&gt;="&amp;$C$5,DaybyDay[RowYear],"&gt;="&amp;$C$4,DaybyDay[Date],"&lt;="&amp;DaybyDay[[#This Row],[Date]])</f>
        <v>0</v>
      </c>
      <c r="AO797" s="41" t="str">
        <f>IF(AND(DaybyDay[[#This Row],[_Space]],ISNUMBER(DaybyDay[[#This Row],[Admin Hours]])),DaybyDay[[#This Row],[Est-Admin-Payroll]]/(DaybyDay[[#This Row],[Service-Actuals]]+DaybyDay[[#This Row],[Retail-Actuals]]),"")</f>
        <v/>
      </c>
      <c r="AP797" s="41" t="e">
        <f>DaybyDay[[#This Row],[Estimated-Payroll-Rollup]]/DaybyDay[[#This Row],[Simple-Forecast]]</f>
        <v>#DIV/0!</v>
      </c>
      <c r="AQ7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7" s="77"/>
      <c r="AS797" s="40" t="str">
        <f>IF(DaybyDay[[#This Row],[Retail Hours]]&gt;0,DaybyDay[[#This Row],[Retail Hours]]*$AS$2,"")</f>
        <v/>
      </c>
      <c r="AT797" s="40">
        <f>SUMIFS(DaybyDay[Est-Retail-Payroll],DaybyDay[Date],"&gt;="&amp;$C$5,DaybyDay[RowYear],"&gt;="&amp;$C$4,DaybyDay[Date],"&lt;="&amp;DaybyDay[[#This Row],[Date]])</f>
        <v>0</v>
      </c>
      <c r="AU797" s="82" t="str">
        <f>IF(AND(DaybyDay[[#This Row],[_Space]],ISNUMBER(DaybyDay[[#This Row],[Retail Hours]])),DaybyDay[[#This Row],[Est-Retail-Payroll]]/(DaybyDay[[#This Row],[Retail-Actuals]]),"")</f>
        <v/>
      </c>
      <c r="AV797" s="82" t="e">
        <f>DaybyDay[[#This Row],[Est-Retail-PayrollRU]]/DaybyDay[[#This Row],[Simple-Forecast-Retail]]</f>
        <v>#DIV/0!</v>
      </c>
      <c r="AW797" s="8"/>
      <c r="AX797" s="49"/>
      <c r="AY797" s="48"/>
      <c r="AZ797" s="47"/>
      <c r="BA797" s="47"/>
      <c r="BB797" s="47"/>
      <c r="BC797" s="47"/>
      <c r="BD797" s="47"/>
    </row>
    <row r="798" spans="3:56" hidden="1" x14ac:dyDescent="0.25">
      <c r="C798" s="26" t="str">
        <f>Tools!$C$1</f>
        <v>Example</v>
      </c>
      <c r="D798" s="27" t="s">
        <v>70</v>
      </c>
      <c r="E798" s="28">
        <v>2019</v>
      </c>
      <c r="F798" s="28">
        <f>MATCH(DaybyDay[[#This Row],[RowMonth]],Table3[SummaryMonth],0)</f>
        <v>3</v>
      </c>
      <c r="G798" s="29">
        <f>MATCH(DaybyDay[[#This Row],[LY-Date]],DaybyDay[Date],0)</f>
        <v>428</v>
      </c>
      <c r="H798" s="30">
        <f>WEEKDAY(DaybyDay[[#This Row],[Date]])</f>
        <v>1</v>
      </c>
      <c r="I798" s="31">
        <v>43527</v>
      </c>
      <c r="J798" s="74">
        <v>36</v>
      </c>
      <c r="K798" s="32">
        <f>SUMIFS(BudgetSeasonality[365 Seasonality],BudgetSeasonality[MonthAdjustment],DaybyDay[[#This Row],[Date]])*SUMIFS(Budgets[Service-Budget],Budgets[BudgetMonth],DaybyDay[[#This Row],[RowMonth]],Budgets[BudgetYear],DaybyDay[[#This Row],[RowYear]])</f>
        <v>4149.5119928014874</v>
      </c>
      <c r="L798" s="75">
        <v>5807.8000000000011</v>
      </c>
      <c r="M798" s="32">
        <f>INDEX(BudgetSeasonality[365 Seasonality],MATCH(DaybyDay[[#This Row],[Date]],BudgetSeasonality[MonthAdjustment],0))*SUMIFS(Budgets[Retail-Budget],Budgets[BudgetMonth],DaybyDay[[#This Row],[RowMonth]],Budgets[BudgetYear],DaybyDay[[#This Row],[RowYear]])</f>
        <v>959.03889838738075</v>
      </c>
      <c r="N798" s="75">
        <v>5842.9</v>
      </c>
      <c r="O798" s="33">
        <f>SUMIFS(DaybyDay[Service-Budgets],DaybyDay[Date],"&gt;="&amp;$C$5,DaybyDay[RowYear],"&gt;="&amp;$C$4,DaybyDay[Date],"&lt;="&amp;DaybyDay[[#This Row],[Date]])</f>
        <v>0</v>
      </c>
      <c r="P798" s="33">
        <f>SUMIFS(DaybyDay[Retail-Budgets],DaybyDay[Date],"&gt;="&amp;$C$5,DaybyDay[RowYear],"&gt;="&amp;$C$4,DaybyDay[Date],"&lt;="&amp;DaybyDay[[#This Row],[Date]])</f>
        <v>0</v>
      </c>
      <c r="Q798" s="34">
        <f>SUMIFS(DaybyDay[Service-Actuals],DaybyDay[Date],"&gt;="&amp;$C$5,DaybyDay[RowYear],"&gt;="&amp;$C$4,DaybyDay[Date],"&lt;="&amp;DaybyDay[[#This Row],[Date]])</f>
        <v>0</v>
      </c>
      <c r="R798" s="34">
        <f>SUMIFS(DaybyDay[Retail-Actuals],DaybyDay[Date],"&gt;="&amp;$C$5,DaybyDay[RowYear],"&gt;="&amp;$C$4,DaybyDay[Date],"&lt;="&amp;DaybyDay[[#This Row],[Date]])</f>
        <v>0</v>
      </c>
      <c r="S798" s="35">
        <f>SUMIFS(DaybyDay[Service-LY],DaybyDay[Date],"&gt;="&amp;$C$5,DaybyDay[RowYear],"&gt;="&amp;$C$4,DaybyDay[Date],"&lt;="&amp;DaybyDay[[#This Row],[Date]])</f>
        <v>0</v>
      </c>
      <c r="T798" s="35">
        <f>SUMIFS(DaybyDay[Retail-LY],DaybyDay[Date],"&gt;="&amp;$C$5,DaybyDay[RowYear],"&gt;="&amp;$C$4,DaybyDay[Date],"&lt;="&amp;DaybyDay[[#This Row],[Date]])</f>
        <v>0</v>
      </c>
      <c r="U798" s="32">
        <f>DaybyDay[[#This Row],[Serv-Bud-RU]]+DaybyDay[[#This Row],[Ret-Bud-RU]]</f>
        <v>0</v>
      </c>
      <c r="V798" s="32">
        <f>DaybyDay[[#This Row],[Serv-Act-RU]]+DaybyDay[[#This Row],[Ret-Act-RU]]</f>
        <v>0</v>
      </c>
      <c r="W798" s="36">
        <f>IF(DaybyDay[[#This Row],[_Space]],IFERROR(
((DaybyDay[[#This Row],[Actual-Rollup]]-DaybyDay[[#This Row],[Budget-Rollup]])/DaybyDay[[#This Row],[Budget-Rollup]]),0),"")</f>
        <v>0</v>
      </c>
      <c r="X798" t="b">
        <f>NOT(AND(ISBLANK(DaybyDay[[#This Row],[Appts]]),ISBLANK(DaybyDay[[#This Row],[Service-Actuals]]),ISBLANK(DaybyDay[[#This Row],[Retail-Actuals]])))</f>
        <v>1</v>
      </c>
      <c r="Y798" s="36">
        <f>IF(DaybyDay[[#This Row],[_Space]],IFERROR(
((DaybyDay[[#This Row],[Actual-Rollup]]-DaybyDay[[#This Row],[LY-Rollup]])/DaybyDay[[#This Row],[LY-Rollup]]),0),"")</f>
        <v>0</v>
      </c>
      <c r="Z798"/>
      <c r="AA798" s="37" t="e">
        <f>IF(DaybyDay[[#This Row],[_Space]],DaybyDay[[#This Row],[Ret-Act-RU]]/DaybyDay[[#This Row],[Serv-Act-RU]],"")</f>
        <v>#DIV/0!</v>
      </c>
      <c r="AB798" s="50" t="e">
        <f>IF(DaybyDay[[#This Row],[_Space]],DaybyDay[[#This Row],[RETPEN-Act]]/DaybyDay[[#This Row],[RETPEN-Bud]],"")</f>
        <v>#DIV/0!</v>
      </c>
      <c r="AC798" s="37" t="e">
        <f>IF(DaybyDay[[#This Row],[_Space]],DaybyDay[[#This Row],[Ret-Bud-RU]]/DaybyDay[[#This Row],[Serv-Bud-RU]],"")</f>
        <v>#DIV/0!</v>
      </c>
      <c r="AD798" s="37" t="e">
        <f>IF(DaybyDay[[#This Row],[_Space]],DaybyDay[[#This Row],[Ret-LY-RU]]/DaybyDay[[#This Row],[Serv-LY-RU]],"")</f>
        <v>#DIV/0!</v>
      </c>
      <c r="AE798" s="30">
        <f>WEEKDAY(DaybyDay[[#This Row],[LY-Date]])</f>
        <v>1</v>
      </c>
      <c r="AF798" s="38">
        <f>$E$2+_xlfn.DAYS(DaybyDay[[#This Row],[Date]],minDate)</f>
        <v>43163</v>
      </c>
      <c r="AG798" s="39" cm="1">
        <f t="array" ref="AG798">IFERROR(INDEX(DaybyDay[],DaybyDay[[#This Row],[FORM_MATCH_HELPER]],8),"")</f>
        <v>23</v>
      </c>
      <c r="AH798" s="39" cm="1">
        <f t="array" ref="AH798">IFERROR(INDEX(DaybyDay[],DaybyDay[[#This Row],[FORM_MATCH_HELPER]],10),"")</f>
        <v>4374</v>
      </c>
      <c r="AI798" s="39" cm="1">
        <f t="array" ref="AI798">IFERROR(INDEX(DaybyDay[],DaybyDay[[#This Row],[FORM_MATCH_HELPER]],12),"")</f>
        <v>331</v>
      </c>
      <c r="AJ798" s="32">
        <f>IFERROR(DaybyDay[[#This Row],[Serv-LY-RU]]+DaybyDay[[#This Row],[Ret-LY-RU]],"")</f>
        <v>0</v>
      </c>
      <c r="AK7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8" s="77"/>
      <c r="AM798" s="40" t="str">
        <f>IF(DaybyDay[[#This Row],[Admin Hours]]&gt;0,DaybyDay[[#This Row],[Admin Hours]]*$AM$2+$AM$3,"")</f>
        <v/>
      </c>
      <c r="AN798" s="40">
        <f>SUMIFS(DaybyDay[Est-Admin-Payroll],DaybyDay[Date],"&gt;="&amp;$C$5,DaybyDay[RowYear],"&gt;="&amp;$C$4,DaybyDay[Date],"&lt;="&amp;DaybyDay[[#This Row],[Date]])</f>
        <v>0</v>
      </c>
      <c r="AO798" s="41" t="str">
        <f>IF(AND(DaybyDay[[#This Row],[_Space]],ISNUMBER(DaybyDay[[#This Row],[Admin Hours]])),DaybyDay[[#This Row],[Est-Admin-Payroll]]/(DaybyDay[[#This Row],[Service-Actuals]]+DaybyDay[[#This Row],[Retail-Actuals]]),"")</f>
        <v/>
      </c>
      <c r="AP798" s="41" t="e">
        <f>DaybyDay[[#This Row],[Estimated-Payroll-Rollup]]/DaybyDay[[#This Row],[Simple-Forecast]]</f>
        <v>#DIV/0!</v>
      </c>
      <c r="AQ7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8" s="77"/>
      <c r="AS798" s="40" t="str">
        <f>IF(DaybyDay[[#This Row],[Retail Hours]]&gt;0,DaybyDay[[#This Row],[Retail Hours]]*$AS$2,"")</f>
        <v/>
      </c>
      <c r="AT798" s="40">
        <f>SUMIFS(DaybyDay[Est-Retail-Payroll],DaybyDay[Date],"&gt;="&amp;$C$5,DaybyDay[RowYear],"&gt;="&amp;$C$4,DaybyDay[Date],"&lt;="&amp;DaybyDay[[#This Row],[Date]])</f>
        <v>0</v>
      </c>
      <c r="AU798" s="82" t="str">
        <f>IF(AND(DaybyDay[[#This Row],[_Space]],ISNUMBER(DaybyDay[[#This Row],[Retail Hours]])),DaybyDay[[#This Row],[Est-Retail-Payroll]]/(DaybyDay[[#This Row],[Retail-Actuals]]),"")</f>
        <v/>
      </c>
      <c r="AV798" s="82" t="e">
        <f>DaybyDay[[#This Row],[Est-Retail-PayrollRU]]/DaybyDay[[#This Row],[Simple-Forecast-Retail]]</f>
        <v>#DIV/0!</v>
      </c>
      <c r="AW798" s="8"/>
      <c r="AX798" s="49"/>
      <c r="AY798" s="48"/>
      <c r="AZ798" s="47"/>
      <c r="BA798" s="47"/>
      <c r="BB798" s="47"/>
      <c r="BC798" s="47"/>
      <c r="BD798" s="47"/>
    </row>
    <row r="799" spans="3:56" hidden="1" x14ac:dyDescent="0.25">
      <c r="C799" s="26" t="str">
        <f>Tools!$C$1</f>
        <v>Example</v>
      </c>
      <c r="D799" s="27" t="s">
        <v>70</v>
      </c>
      <c r="E799" s="28">
        <v>2019</v>
      </c>
      <c r="F799" s="28">
        <f>MATCH(DaybyDay[[#This Row],[RowMonth]],Table3[SummaryMonth],0)</f>
        <v>3</v>
      </c>
      <c r="G799" s="29">
        <f>MATCH(DaybyDay[[#This Row],[LY-Date]],DaybyDay[Date],0)</f>
        <v>429</v>
      </c>
      <c r="H799" s="30">
        <f>WEEKDAY(DaybyDay[[#This Row],[Date]])</f>
        <v>2</v>
      </c>
      <c r="I799" s="31">
        <v>43528</v>
      </c>
      <c r="J799" s="74">
        <v>21</v>
      </c>
      <c r="K799" s="32">
        <f>SUMIFS(BudgetSeasonality[365 Seasonality],BudgetSeasonality[MonthAdjustment],DaybyDay[[#This Row],[Date]])*SUMIFS(Budgets[Service-Budget],Budgets[BudgetMonth],DaybyDay[[#This Row],[RowMonth]],Budgets[BudgetYear],DaybyDay[[#This Row],[RowYear]])</f>
        <v>2346.9207347666975</v>
      </c>
      <c r="L799" s="75">
        <v>4145.0200000000004</v>
      </c>
      <c r="M799" s="32">
        <f>INDEX(BudgetSeasonality[365 Seasonality],MATCH(DaybyDay[[#This Row],[Date]],BudgetSeasonality[MonthAdjustment],0))*SUMIFS(Budgets[Retail-Budget],Budgets[BudgetMonth],DaybyDay[[#This Row],[RowMonth]],Budgets[BudgetYear],DaybyDay[[#This Row],[RowYear]])</f>
        <v>542.4224053280941</v>
      </c>
      <c r="N799" s="75">
        <v>894</v>
      </c>
      <c r="O799" s="33">
        <f>SUMIFS(DaybyDay[Service-Budgets],DaybyDay[Date],"&gt;="&amp;$C$5,DaybyDay[RowYear],"&gt;="&amp;$C$4,DaybyDay[Date],"&lt;="&amp;DaybyDay[[#This Row],[Date]])</f>
        <v>0</v>
      </c>
      <c r="P799" s="33">
        <f>SUMIFS(DaybyDay[Retail-Budgets],DaybyDay[Date],"&gt;="&amp;$C$5,DaybyDay[RowYear],"&gt;="&amp;$C$4,DaybyDay[Date],"&lt;="&amp;DaybyDay[[#This Row],[Date]])</f>
        <v>0</v>
      </c>
      <c r="Q799" s="34">
        <f>SUMIFS(DaybyDay[Service-Actuals],DaybyDay[Date],"&gt;="&amp;$C$5,DaybyDay[RowYear],"&gt;="&amp;$C$4,DaybyDay[Date],"&lt;="&amp;DaybyDay[[#This Row],[Date]])</f>
        <v>0</v>
      </c>
      <c r="R799" s="34">
        <f>SUMIFS(DaybyDay[Retail-Actuals],DaybyDay[Date],"&gt;="&amp;$C$5,DaybyDay[RowYear],"&gt;="&amp;$C$4,DaybyDay[Date],"&lt;="&amp;DaybyDay[[#This Row],[Date]])</f>
        <v>0</v>
      </c>
      <c r="S799" s="35">
        <f>SUMIFS(DaybyDay[Service-LY],DaybyDay[Date],"&gt;="&amp;$C$5,DaybyDay[RowYear],"&gt;="&amp;$C$4,DaybyDay[Date],"&lt;="&amp;DaybyDay[[#This Row],[Date]])</f>
        <v>0</v>
      </c>
      <c r="T799" s="35">
        <f>SUMIFS(DaybyDay[Retail-LY],DaybyDay[Date],"&gt;="&amp;$C$5,DaybyDay[RowYear],"&gt;="&amp;$C$4,DaybyDay[Date],"&lt;="&amp;DaybyDay[[#This Row],[Date]])</f>
        <v>0</v>
      </c>
      <c r="U799" s="32">
        <f>DaybyDay[[#This Row],[Serv-Bud-RU]]+DaybyDay[[#This Row],[Ret-Bud-RU]]</f>
        <v>0</v>
      </c>
      <c r="V799" s="32">
        <f>DaybyDay[[#This Row],[Serv-Act-RU]]+DaybyDay[[#This Row],[Ret-Act-RU]]</f>
        <v>0</v>
      </c>
      <c r="W799" s="36">
        <f>IF(DaybyDay[[#This Row],[_Space]],IFERROR(
((DaybyDay[[#This Row],[Actual-Rollup]]-DaybyDay[[#This Row],[Budget-Rollup]])/DaybyDay[[#This Row],[Budget-Rollup]]),0),"")</f>
        <v>0</v>
      </c>
      <c r="X799" t="b">
        <f>NOT(AND(ISBLANK(DaybyDay[[#This Row],[Appts]]),ISBLANK(DaybyDay[[#This Row],[Service-Actuals]]),ISBLANK(DaybyDay[[#This Row],[Retail-Actuals]])))</f>
        <v>1</v>
      </c>
      <c r="Y799" s="36">
        <f>IF(DaybyDay[[#This Row],[_Space]],IFERROR(
((DaybyDay[[#This Row],[Actual-Rollup]]-DaybyDay[[#This Row],[LY-Rollup]])/DaybyDay[[#This Row],[LY-Rollup]]),0),"")</f>
        <v>0</v>
      </c>
      <c r="Z799"/>
      <c r="AA799" s="37" t="e">
        <f>IF(DaybyDay[[#This Row],[_Space]],DaybyDay[[#This Row],[Ret-Act-RU]]/DaybyDay[[#This Row],[Serv-Act-RU]],"")</f>
        <v>#DIV/0!</v>
      </c>
      <c r="AB799" s="50" t="e">
        <f>IF(DaybyDay[[#This Row],[_Space]],DaybyDay[[#This Row],[RETPEN-Act]]/DaybyDay[[#This Row],[RETPEN-Bud]],"")</f>
        <v>#DIV/0!</v>
      </c>
      <c r="AC799" s="37" t="e">
        <f>IF(DaybyDay[[#This Row],[_Space]],DaybyDay[[#This Row],[Ret-Bud-RU]]/DaybyDay[[#This Row],[Serv-Bud-RU]],"")</f>
        <v>#DIV/0!</v>
      </c>
      <c r="AD799" s="37" t="e">
        <f>IF(DaybyDay[[#This Row],[_Space]],DaybyDay[[#This Row],[Ret-LY-RU]]/DaybyDay[[#This Row],[Serv-LY-RU]],"")</f>
        <v>#DIV/0!</v>
      </c>
      <c r="AE799" s="30">
        <f>WEEKDAY(DaybyDay[[#This Row],[LY-Date]])</f>
        <v>2</v>
      </c>
      <c r="AF799" s="38">
        <f>$E$2+_xlfn.DAYS(DaybyDay[[#This Row],[Date]],minDate)</f>
        <v>43164</v>
      </c>
      <c r="AG799" s="39" cm="1">
        <f t="array" ref="AG799">IFERROR(INDEX(DaybyDay[],DaybyDay[[#This Row],[FORM_MATCH_HELPER]],8),"")</f>
        <v>19</v>
      </c>
      <c r="AH799" s="39" cm="1">
        <f t="array" ref="AH799">IFERROR(INDEX(DaybyDay[],DaybyDay[[#This Row],[FORM_MATCH_HELPER]],10),"")</f>
        <v>3836</v>
      </c>
      <c r="AI799" s="39" cm="1">
        <f t="array" ref="AI799">IFERROR(INDEX(DaybyDay[],DaybyDay[[#This Row],[FORM_MATCH_HELPER]],12),"")</f>
        <v>1287</v>
      </c>
      <c r="AJ799" s="32">
        <f>IFERROR(DaybyDay[[#This Row],[Serv-LY-RU]]+DaybyDay[[#This Row],[Ret-LY-RU]],"")</f>
        <v>0</v>
      </c>
      <c r="AK7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799" s="77"/>
      <c r="AM799" s="40" t="str">
        <f>IF(DaybyDay[[#This Row],[Admin Hours]]&gt;0,DaybyDay[[#This Row],[Admin Hours]]*$AM$2+$AM$3,"")</f>
        <v/>
      </c>
      <c r="AN799" s="40">
        <f>SUMIFS(DaybyDay[Est-Admin-Payroll],DaybyDay[Date],"&gt;="&amp;$C$5,DaybyDay[RowYear],"&gt;="&amp;$C$4,DaybyDay[Date],"&lt;="&amp;DaybyDay[[#This Row],[Date]])</f>
        <v>0</v>
      </c>
      <c r="AO799" s="41" t="str">
        <f>IF(AND(DaybyDay[[#This Row],[_Space]],ISNUMBER(DaybyDay[[#This Row],[Admin Hours]])),DaybyDay[[#This Row],[Est-Admin-Payroll]]/(DaybyDay[[#This Row],[Service-Actuals]]+DaybyDay[[#This Row],[Retail-Actuals]]),"")</f>
        <v/>
      </c>
      <c r="AP799" s="41" t="e">
        <f>DaybyDay[[#This Row],[Estimated-Payroll-Rollup]]/DaybyDay[[#This Row],[Simple-Forecast]]</f>
        <v>#DIV/0!</v>
      </c>
      <c r="AQ7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799" s="77"/>
      <c r="AS799" s="40" t="str">
        <f>IF(DaybyDay[[#This Row],[Retail Hours]]&gt;0,DaybyDay[[#This Row],[Retail Hours]]*$AS$2,"")</f>
        <v/>
      </c>
      <c r="AT799" s="40">
        <f>SUMIFS(DaybyDay[Est-Retail-Payroll],DaybyDay[Date],"&gt;="&amp;$C$5,DaybyDay[RowYear],"&gt;="&amp;$C$4,DaybyDay[Date],"&lt;="&amp;DaybyDay[[#This Row],[Date]])</f>
        <v>0</v>
      </c>
      <c r="AU799" s="82" t="str">
        <f>IF(AND(DaybyDay[[#This Row],[_Space]],ISNUMBER(DaybyDay[[#This Row],[Retail Hours]])),DaybyDay[[#This Row],[Est-Retail-Payroll]]/(DaybyDay[[#This Row],[Retail-Actuals]]),"")</f>
        <v/>
      </c>
      <c r="AV799" s="82" t="e">
        <f>DaybyDay[[#This Row],[Est-Retail-PayrollRU]]/DaybyDay[[#This Row],[Simple-Forecast-Retail]]</f>
        <v>#DIV/0!</v>
      </c>
      <c r="AW799" s="8"/>
      <c r="AX799" s="49"/>
      <c r="AY799" s="48"/>
      <c r="AZ799" s="47"/>
      <c r="BA799" s="47"/>
      <c r="BB799" s="47"/>
      <c r="BC799" s="47"/>
      <c r="BD799" s="47"/>
    </row>
    <row r="800" spans="3:56" hidden="1" x14ac:dyDescent="0.25">
      <c r="C800" s="26" t="str">
        <f>Tools!$C$1</f>
        <v>Example</v>
      </c>
      <c r="D800" s="27" t="s">
        <v>70</v>
      </c>
      <c r="E800" s="28">
        <v>2019</v>
      </c>
      <c r="F800" s="28">
        <f>MATCH(DaybyDay[[#This Row],[RowMonth]],Table3[SummaryMonth],0)</f>
        <v>3</v>
      </c>
      <c r="G800" s="29">
        <f>MATCH(DaybyDay[[#This Row],[LY-Date]],DaybyDay[Date],0)</f>
        <v>430</v>
      </c>
      <c r="H800" s="30">
        <f>WEEKDAY(DaybyDay[[#This Row],[Date]])</f>
        <v>3</v>
      </c>
      <c r="I800" s="31">
        <v>43529</v>
      </c>
      <c r="J800" s="74">
        <v>11</v>
      </c>
      <c r="K800" s="32">
        <f>SUMIFS(BudgetSeasonality[365 Seasonality],BudgetSeasonality[MonthAdjustment],DaybyDay[[#This Row],[Date]])*SUMIFS(Budgets[Service-Budget],Budgets[BudgetMonth],DaybyDay[[#This Row],[RowMonth]],Budgets[BudgetYear],DaybyDay[[#This Row],[RowYear]])</f>
        <v>2428.962303583784</v>
      </c>
      <c r="L800" s="75">
        <v>1813.5</v>
      </c>
      <c r="M800" s="32">
        <f>INDEX(BudgetSeasonality[365 Seasonality],MATCH(DaybyDay[[#This Row],[Date]],BudgetSeasonality[MonthAdjustment],0))*SUMIFS(Budgets[Retail-Budget],Budgets[BudgetMonth],DaybyDay[[#This Row],[RowMonth]],Budgets[BudgetYear],DaybyDay[[#This Row],[RowYear]])</f>
        <v>561.38392560247962</v>
      </c>
      <c r="N800" s="75">
        <v>29.5</v>
      </c>
      <c r="O800" s="33">
        <f>SUMIFS(DaybyDay[Service-Budgets],DaybyDay[Date],"&gt;="&amp;$C$5,DaybyDay[RowYear],"&gt;="&amp;$C$4,DaybyDay[Date],"&lt;="&amp;DaybyDay[[#This Row],[Date]])</f>
        <v>0</v>
      </c>
      <c r="P800" s="33">
        <f>SUMIFS(DaybyDay[Retail-Budgets],DaybyDay[Date],"&gt;="&amp;$C$5,DaybyDay[RowYear],"&gt;="&amp;$C$4,DaybyDay[Date],"&lt;="&amp;DaybyDay[[#This Row],[Date]])</f>
        <v>0</v>
      </c>
      <c r="Q800" s="34">
        <f>SUMIFS(DaybyDay[Service-Actuals],DaybyDay[Date],"&gt;="&amp;$C$5,DaybyDay[RowYear],"&gt;="&amp;$C$4,DaybyDay[Date],"&lt;="&amp;DaybyDay[[#This Row],[Date]])</f>
        <v>0</v>
      </c>
      <c r="R800" s="34">
        <f>SUMIFS(DaybyDay[Retail-Actuals],DaybyDay[Date],"&gt;="&amp;$C$5,DaybyDay[RowYear],"&gt;="&amp;$C$4,DaybyDay[Date],"&lt;="&amp;DaybyDay[[#This Row],[Date]])</f>
        <v>0</v>
      </c>
      <c r="S800" s="35">
        <f>SUMIFS(DaybyDay[Service-LY],DaybyDay[Date],"&gt;="&amp;$C$5,DaybyDay[RowYear],"&gt;="&amp;$C$4,DaybyDay[Date],"&lt;="&amp;DaybyDay[[#This Row],[Date]])</f>
        <v>0</v>
      </c>
      <c r="T800" s="35">
        <f>SUMIFS(DaybyDay[Retail-LY],DaybyDay[Date],"&gt;="&amp;$C$5,DaybyDay[RowYear],"&gt;="&amp;$C$4,DaybyDay[Date],"&lt;="&amp;DaybyDay[[#This Row],[Date]])</f>
        <v>0</v>
      </c>
      <c r="U800" s="32">
        <f>DaybyDay[[#This Row],[Serv-Bud-RU]]+DaybyDay[[#This Row],[Ret-Bud-RU]]</f>
        <v>0</v>
      </c>
      <c r="V800" s="32">
        <f>DaybyDay[[#This Row],[Serv-Act-RU]]+DaybyDay[[#This Row],[Ret-Act-RU]]</f>
        <v>0</v>
      </c>
      <c r="W800" s="36">
        <f>IF(DaybyDay[[#This Row],[_Space]],IFERROR(
((DaybyDay[[#This Row],[Actual-Rollup]]-DaybyDay[[#This Row],[Budget-Rollup]])/DaybyDay[[#This Row],[Budget-Rollup]]),0),"")</f>
        <v>0</v>
      </c>
      <c r="X800" t="b">
        <f>NOT(AND(ISBLANK(DaybyDay[[#This Row],[Appts]]),ISBLANK(DaybyDay[[#This Row],[Service-Actuals]]),ISBLANK(DaybyDay[[#This Row],[Retail-Actuals]])))</f>
        <v>1</v>
      </c>
      <c r="Y800" s="36">
        <f>IF(DaybyDay[[#This Row],[_Space]],IFERROR(
((DaybyDay[[#This Row],[Actual-Rollup]]-DaybyDay[[#This Row],[LY-Rollup]])/DaybyDay[[#This Row],[LY-Rollup]]),0),"")</f>
        <v>0</v>
      </c>
      <c r="Z800"/>
      <c r="AA800" s="37" t="e">
        <f>IF(DaybyDay[[#This Row],[_Space]],DaybyDay[[#This Row],[Ret-Act-RU]]/DaybyDay[[#This Row],[Serv-Act-RU]],"")</f>
        <v>#DIV/0!</v>
      </c>
      <c r="AB800" s="50" t="e">
        <f>IF(DaybyDay[[#This Row],[_Space]],DaybyDay[[#This Row],[RETPEN-Act]]/DaybyDay[[#This Row],[RETPEN-Bud]],"")</f>
        <v>#DIV/0!</v>
      </c>
      <c r="AC800" s="37" t="e">
        <f>IF(DaybyDay[[#This Row],[_Space]],DaybyDay[[#This Row],[Ret-Bud-RU]]/DaybyDay[[#This Row],[Serv-Bud-RU]],"")</f>
        <v>#DIV/0!</v>
      </c>
      <c r="AD800" s="37" t="e">
        <f>IF(DaybyDay[[#This Row],[_Space]],DaybyDay[[#This Row],[Ret-LY-RU]]/DaybyDay[[#This Row],[Serv-LY-RU]],"")</f>
        <v>#DIV/0!</v>
      </c>
      <c r="AE800" s="30">
        <f>WEEKDAY(DaybyDay[[#This Row],[LY-Date]])</f>
        <v>3</v>
      </c>
      <c r="AF800" s="38">
        <f>$E$2+_xlfn.DAYS(DaybyDay[[#This Row],[Date]],minDate)</f>
        <v>43165</v>
      </c>
      <c r="AG800" s="39" cm="1">
        <f t="array" ref="AG800">IFERROR(INDEX(DaybyDay[],DaybyDay[[#This Row],[FORM_MATCH_HELPER]],8),"")</f>
        <v>11</v>
      </c>
      <c r="AH800" s="39" cm="1">
        <f t="array" ref="AH800">IFERROR(INDEX(DaybyDay[],DaybyDay[[#This Row],[FORM_MATCH_HELPER]],10),"")</f>
        <v>2423</v>
      </c>
      <c r="AI800" s="39" cm="1">
        <f t="array" ref="AI800">IFERROR(INDEX(DaybyDay[],DaybyDay[[#This Row],[FORM_MATCH_HELPER]],12),"")</f>
        <v>353.5</v>
      </c>
      <c r="AJ800" s="32">
        <f>IFERROR(DaybyDay[[#This Row],[Serv-LY-RU]]+DaybyDay[[#This Row],[Ret-LY-RU]],"")</f>
        <v>0</v>
      </c>
      <c r="AK8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0" s="77"/>
      <c r="AM800" s="40" t="str">
        <f>IF(DaybyDay[[#This Row],[Admin Hours]]&gt;0,DaybyDay[[#This Row],[Admin Hours]]*$AM$2+$AM$3,"")</f>
        <v/>
      </c>
      <c r="AN800" s="40">
        <f>SUMIFS(DaybyDay[Est-Admin-Payroll],DaybyDay[Date],"&gt;="&amp;$C$5,DaybyDay[RowYear],"&gt;="&amp;$C$4,DaybyDay[Date],"&lt;="&amp;DaybyDay[[#This Row],[Date]])</f>
        <v>0</v>
      </c>
      <c r="AO800" s="41" t="str">
        <f>IF(AND(DaybyDay[[#This Row],[_Space]],ISNUMBER(DaybyDay[[#This Row],[Admin Hours]])),DaybyDay[[#This Row],[Est-Admin-Payroll]]/(DaybyDay[[#This Row],[Service-Actuals]]+DaybyDay[[#This Row],[Retail-Actuals]]),"")</f>
        <v/>
      </c>
      <c r="AP800" s="41" t="e">
        <f>DaybyDay[[#This Row],[Estimated-Payroll-Rollup]]/DaybyDay[[#This Row],[Simple-Forecast]]</f>
        <v>#DIV/0!</v>
      </c>
      <c r="AQ8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0" s="77"/>
      <c r="AS800" s="40" t="str">
        <f>IF(DaybyDay[[#This Row],[Retail Hours]]&gt;0,DaybyDay[[#This Row],[Retail Hours]]*$AS$2,"")</f>
        <v/>
      </c>
      <c r="AT800" s="40">
        <f>SUMIFS(DaybyDay[Est-Retail-Payroll],DaybyDay[Date],"&gt;="&amp;$C$5,DaybyDay[RowYear],"&gt;="&amp;$C$4,DaybyDay[Date],"&lt;="&amp;DaybyDay[[#This Row],[Date]])</f>
        <v>0</v>
      </c>
      <c r="AU800" s="82" t="str">
        <f>IF(AND(DaybyDay[[#This Row],[_Space]],ISNUMBER(DaybyDay[[#This Row],[Retail Hours]])),DaybyDay[[#This Row],[Est-Retail-Payroll]]/(DaybyDay[[#This Row],[Retail-Actuals]]),"")</f>
        <v/>
      </c>
      <c r="AV800" s="82" t="e">
        <f>DaybyDay[[#This Row],[Est-Retail-PayrollRU]]/DaybyDay[[#This Row],[Simple-Forecast-Retail]]</f>
        <v>#DIV/0!</v>
      </c>
      <c r="AW800" s="8"/>
      <c r="AX800" s="49"/>
      <c r="AY800" s="48"/>
      <c r="AZ800" s="47"/>
      <c r="BA800" s="47"/>
      <c r="BB800" s="47"/>
      <c r="BC800" s="47"/>
      <c r="BD800" s="47"/>
    </row>
    <row r="801" spans="3:56" hidden="1" x14ac:dyDescent="0.25">
      <c r="C801" s="26" t="str">
        <f>Tools!$C$1</f>
        <v>Example</v>
      </c>
      <c r="D801" s="27" t="s">
        <v>70</v>
      </c>
      <c r="E801" s="28">
        <v>2019</v>
      </c>
      <c r="F801" s="28">
        <f>MATCH(DaybyDay[[#This Row],[RowMonth]],Table3[SummaryMonth],0)</f>
        <v>3</v>
      </c>
      <c r="G801" s="29">
        <f>MATCH(DaybyDay[[#This Row],[LY-Date]],DaybyDay[Date],0)</f>
        <v>431</v>
      </c>
      <c r="H801" s="30">
        <f>WEEKDAY(DaybyDay[[#This Row],[Date]])</f>
        <v>4</v>
      </c>
      <c r="I801" s="31">
        <v>43530</v>
      </c>
      <c r="J801" s="74">
        <v>21</v>
      </c>
      <c r="K801" s="32">
        <f>SUMIFS(BudgetSeasonality[365 Seasonality],BudgetSeasonality[MonthAdjustment],DaybyDay[[#This Row],[Date]])*SUMIFS(Budgets[Service-Budget],Budgets[BudgetMonth],DaybyDay[[#This Row],[RowMonth]],Budgets[BudgetYear],DaybyDay[[#This Row],[RowYear]])</f>
        <v>2849.1532168353779</v>
      </c>
      <c r="L801" s="75">
        <v>4159.25</v>
      </c>
      <c r="M801" s="32">
        <f>INDEX(BudgetSeasonality[365 Seasonality],MATCH(DaybyDay[[#This Row],[Date]],BudgetSeasonality[MonthAdjustment],0))*SUMIFS(Budgets[Retail-Budget],Budgets[BudgetMonth],DaybyDay[[#This Row],[RowMonth]],Budgets[BudgetYear],DaybyDay[[#This Row],[RowYear]])</f>
        <v>658.49882278949315</v>
      </c>
      <c r="N801" s="75">
        <v>1235.5</v>
      </c>
      <c r="O801" s="33">
        <f>SUMIFS(DaybyDay[Service-Budgets],DaybyDay[Date],"&gt;="&amp;$C$5,DaybyDay[RowYear],"&gt;="&amp;$C$4,DaybyDay[Date],"&lt;="&amp;DaybyDay[[#This Row],[Date]])</f>
        <v>0</v>
      </c>
      <c r="P801" s="33">
        <f>SUMIFS(DaybyDay[Retail-Budgets],DaybyDay[Date],"&gt;="&amp;$C$5,DaybyDay[RowYear],"&gt;="&amp;$C$4,DaybyDay[Date],"&lt;="&amp;DaybyDay[[#This Row],[Date]])</f>
        <v>0</v>
      </c>
      <c r="Q801" s="34">
        <f>SUMIFS(DaybyDay[Service-Actuals],DaybyDay[Date],"&gt;="&amp;$C$5,DaybyDay[RowYear],"&gt;="&amp;$C$4,DaybyDay[Date],"&lt;="&amp;DaybyDay[[#This Row],[Date]])</f>
        <v>0</v>
      </c>
      <c r="R801" s="34">
        <f>SUMIFS(DaybyDay[Retail-Actuals],DaybyDay[Date],"&gt;="&amp;$C$5,DaybyDay[RowYear],"&gt;="&amp;$C$4,DaybyDay[Date],"&lt;="&amp;DaybyDay[[#This Row],[Date]])</f>
        <v>0</v>
      </c>
      <c r="S801" s="35">
        <f>SUMIFS(DaybyDay[Service-LY],DaybyDay[Date],"&gt;="&amp;$C$5,DaybyDay[RowYear],"&gt;="&amp;$C$4,DaybyDay[Date],"&lt;="&amp;DaybyDay[[#This Row],[Date]])</f>
        <v>0</v>
      </c>
      <c r="T801" s="35">
        <f>SUMIFS(DaybyDay[Retail-LY],DaybyDay[Date],"&gt;="&amp;$C$5,DaybyDay[RowYear],"&gt;="&amp;$C$4,DaybyDay[Date],"&lt;="&amp;DaybyDay[[#This Row],[Date]])</f>
        <v>0</v>
      </c>
      <c r="U801" s="32">
        <f>DaybyDay[[#This Row],[Serv-Bud-RU]]+DaybyDay[[#This Row],[Ret-Bud-RU]]</f>
        <v>0</v>
      </c>
      <c r="V801" s="32">
        <f>DaybyDay[[#This Row],[Serv-Act-RU]]+DaybyDay[[#This Row],[Ret-Act-RU]]</f>
        <v>0</v>
      </c>
      <c r="W801" s="36">
        <f>IF(DaybyDay[[#This Row],[_Space]],IFERROR(
((DaybyDay[[#This Row],[Actual-Rollup]]-DaybyDay[[#This Row],[Budget-Rollup]])/DaybyDay[[#This Row],[Budget-Rollup]]),0),"")</f>
        <v>0</v>
      </c>
      <c r="X801" t="b">
        <f>NOT(AND(ISBLANK(DaybyDay[[#This Row],[Appts]]),ISBLANK(DaybyDay[[#This Row],[Service-Actuals]]),ISBLANK(DaybyDay[[#This Row],[Retail-Actuals]])))</f>
        <v>1</v>
      </c>
      <c r="Y801" s="36">
        <f>IF(DaybyDay[[#This Row],[_Space]],IFERROR(
((DaybyDay[[#This Row],[Actual-Rollup]]-DaybyDay[[#This Row],[LY-Rollup]])/DaybyDay[[#This Row],[LY-Rollup]]),0),"")</f>
        <v>0</v>
      </c>
      <c r="Z801"/>
      <c r="AA801" s="37" t="e">
        <f>IF(DaybyDay[[#This Row],[_Space]],DaybyDay[[#This Row],[Ret-Act-RU]]/DaybyDay[[#This Row],[Serv-Act-RU]],"")</f>
        <v>#DIV/0!</v>
      </c>
      <c r="AB801" s="50" t="e">
        <f>IF(DaybyDay[[#This Row],[_Space]],DaybyDay[[#This Row],[RETPEN-Act]]/DaybyDay[[#This Row],[RETPEN-Bud]],"")</f>
        <v>#DIV/0!</v>
      </c>
      <c r="AC801" s="37" t="e">
        <f>IF(DaybyDay[[#This Row],[_Space]],DaybyDay[[#This Row],[Ret-Bud-RU]]/DaybyDay[[#This Row],[Serv-Bud-RU]],"")</f>
        <v>#DIV/0!</v>
      </c>
      <c r="AD801" s="37" t="e">
        <f>IF(DaybyDay[[#This Row],[_Space]],DaybyDay[[#This Row],[Ret-LY-RU]]/DaybyDay[[#This Row],[Serv-LY-RU]],"")</f>
        <v>#DIV/0!</v>
      </c>
      <c r="AE801" s="30">
        <f>WEEKDAY(DaybyDay[[#This Row],[LY-Date]])</f>
        <v>4</v>
      </c>
      <c r="AF801" s="38">
        <f>$E$2+_xlfn.DAYS(DaybyDay[[#This Row],[Date]],minDate)</f>
        <v>43166</v>
      </c>
      <c r="AG801" s="39" cm="1">
        <f t="array" ref="AG801">IFERROR(INDEX(DaybyDay[],DaybyDay[[#This Row],[FORM_MATCH_HELPER]],8),"")</f>
        <v>19</v>
      </c>
      <c r="AH801" s="39" cm="1">
        <f t="array" ref="AH801">IFERROR(INDEX(DaybyDay[],DaybyDay[[#This Row],[FORM_MATCH_HELPER]],10),"")</f>
        <v>4433</v>
      </c>
      <c r="AI801" s="39" cm="1">
        <f t="array" ref="AI801">IFERROR(INDEX(DaybyDay[],DaybyDay[[#This Row],[FORM_MATCH_HELPER]],12),"")</f>
        <v>2245.25</v>
      </c>
      <c r="AJ801" s="32">
        <f>IFERROR(DaybyDay[[#This Row],[Serv-LY-RU]]+DaybyDay[[#This Row],[Ret-LY-RU]],"")</f>
        <v>0</v>
      </c>
      <c r="AK8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1" s="77"/>
      <c r="AM801" s="40" t="str">
        <f>IF(DaybyDay[[#This Row],[Admin Hours]]&gt;0,DaybyDay[[#This Row],[Admin Hours]]*$AM$2+$AM$3,"")</f>
        <v/>
      </c>
      <c r="AN801" s="40">
        <f>SUMIFS(DaybyDay[Est-Admin-Payroll],DaybyDay[Date],"&gt;="&amp;$C$5,DaybyDay[RowYear],"&gt;="&amp;$C$4,DaybyDay[Date],"&lt;="&amp;DaybyDay[[#This Row],[Date]])</f>
        <v>0</v>
      </c>
      <c r="AO801" s="41" t="str">
        <f>IF(AND(DaybyDay[[#This Row],[_Space]],ISNUMBER(DaybyDay[[#This Row],[Admin Hours]])),DaybyDay[[#This Row],[Est-Admin-Payroll]]/(DaybyDay[[#This Row],[Service-Actuals]]+DaybyDay[[#This Row],[Retail-Actuals]]),"")</f>
        <v/>
      </c>
      <c r="AP801" s="41" t="e">
        <f>DaybyDay[[#This Row],[Estimated-Payroll-Rollup]]/DaybyDay[[#This Row],[Simple-Forecast]]</f>
        <v>#DIV/0!</v>
      </c>
      <c r="AQ8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1" s="77"/>
      <c r="AS801" s="40" t="str">
        <f>IF(DaybyDay[[#This Row],[Retail Hours]]&gt;0,DaybyDay[[#This Row],[Retail Hours]]*$AS$2,"")</f>
        <v/>
      </c>
      <c r="AT801" s="40">
        <f>SUMIFS(DaybyDay[Est-Retail-Payroll],DaybyDay[Date],"&gt;="&amp;$C$5,DaybyDay[RowYear],"&gt;="&amp;$C$4,DaybyDay[Date],"&lt;="&amp;DaybyDay[[#This Row],[Date]])</f>
        <v>0</v>
      </c>
      <c r="AU801" s="82" t="str">
        <f>IF(AND(DaybyDay[[#This Row],[_Space]],ISNUMBER(DaybyDay[[#This Row],[Retail Hours]])),DaybyDay[[#This Row],[Est-Retail-Payroll]]/(DaybyDay[[#This Row],[Retail-Actuals]]),"")</f>
        <v/>
      </c>
      <c r="AV801" s="82" t="e">
        <f>DaybyDay[[#This Row],[Est-Retail-PayrollRU]]/DaybyDay[[#This Row],[Simple-Forecast-Retail]]</f>
        <v>#DIV/0!</v>
      </c>
      <c r="AW801" s="8"/>
      <c r="AX801" s="49"/>
      <c r="AY801" s="48"/>
      <c r="AZ801" s="47"/>
      <c r="BA801" s="47"/>
      <c r="BB801" s="47"/>
      <c r="BC801" s="47"/>
      <c r="BD801" s="47"/>
    </row>
    <row r="802" spans="3:56" hidden="1" x14ac:dyDescent="0.25">
      <c r="C802" s="26" t="str">
        <f>Tools!$C$1</f>
        <v>Example</v>
      </c>
      <c r="D802" s="27" t="s">
        <v>70</v>
      </c>
      <c r="E802" s="28">
        <v>2019</v>
      </c>
      <c r="F802" s="28">
        <f>MATCH(DaybyDay[[#This Row],[RowMonth]],Table3[SummaryMonth],0)</f>
        <v>3</v>
      </c>
      <c r="G802" s="29">
        <f>MATCH(DaybyDay[[#This Row],[LY-Date]],DaybyDay[Date],0)</f>
        <v>432</v>
      </c>
      <c r="H802" s="30">
        <f>WEEKDAY(DaybyDay[[#This Row],[Date]])</f>
        <v>5</v>
      </c>
      <c r="I802" s="31">
        <v>43531</v>
      </c>
      <c r="J802" s="74">
        <v>15</v>
      </c>
      <c r="K802" s="32">
        <f>SUMIFS(BudgetSeasonality[365 Seasonality],BudgetSeasonality[MonthAdjustment],DaybyDay[[#This Row],[Date]])*SUMIFS(Budgets[Service-Budget],Budgets[BudgetMonth],DaybyDay[[#This Row],[RowMonth]],Budgets[BudgetYear],DaybyDay[[#This Row],[RowYear]])</f>
        <v>2945.03427320029</v>
      </c>
      <c r="L802" s="75">
        <v>2959.8999999999996</v>
      </c>
      <c r="M802" s="32">
        <f>INDEX(BudgetSeasonality[365 Seasonality],MATCH(DaybyDay[[#This Row],[Date]],BudgetSeasonality[MonthAdjustment],0))*SUMIFS(Budgets[Retail-Budget],Budgets[BudgetMonth],DaybyDay[[#This Row],[RowMonth]],Budgets[BudgetYear],DaybyDay[[#This Row],[RowYear]])</f>
        <v>680.65893772154868</v>
      </c>
      <c r="N802" s="75">
        <v>5097.0200000000004</v>
      </c>
      <c r="O802" s="33">
        <f>SUMIFS(DaybyDay[Service-Budgets],DaybyDay[Date],"&gt;="&amp;$C$5,DaybyDay[RowYear],"&gt;="&amp;$C$4,DaybyDay[Date],"&lt;="&amp;DaybyDay[[#This Row],[Date]])</f>
        <v>0</v>
      </c>
      <c r="P802" s="33">
        <f>SUMIFS(DaybyDay[Retail-Budgets],DaybyDay[Date],"&gt;="&amp;$C$5,DaybyDay[RowYear],"&gt;="&amp;$C$4,DaybyDay[Date],"&lt;="&amp;DaybyDay[[#This Row],[Date]])</f>
        <v>0</v>
      </c>
      <c r="Q802" s="34">
        <f>SUMIFS(DaybyDay[Service-Actuals],DaybyDay[Date],"&gt;="&amp;$C$5,DaybyDay[RowYear],"&gt;="&amp;$C$4,DaybyDay[Date],"&lt;="&amp;DaybyDay[[#This Row],[Date]])</f>
        <v>0</v>
      </c>
      <c r="R802" s="34">
        <f>SUMIFS(DaybyDay[Retail-Actuals],DaybyDay[Date],"&gt;="&amp;$C$5,DaybyDay[RowYear],"&gt;="&amp;$C$4,DaybyDay[Date],"&lt;="&amp;DaybyDay[[#This Row],[Date]])</f>
        <v>0</v>
      </c>
      <c r="S802" s="35">
        <f>SUMIFS(DaybyDay[Service-LY],DaybyDay[Date],"&gt;="&amp;$C$5,DaybyDay[RowYear],"&gt;="&amp;$C$4,DaybyDay[Date],"&lt;="&amp;DaybyDay[[#This Row],[Date]])</f>
        <v>0</v>
      </c>
      <c r="T802" s="35">
        <f>SUMIFS(DaybyDay[Retail-LY],DaybyDay[Date],"&gt;="&amp;$C$5,DaybyDay[RowYear],"&gt;="&amp;$C$4,DaybyDay[Date],"&lt;="&amp;DaybyDay[[#This Row],[Date]])</f>
        <v>0</v>
      </c>
      <c r="U802" s="32">
        <f>DaybyDay[[#This Row],[Serv-Bud-RU]]+DaybyDay[[#This Row],[Ret-Bud-RU]]</f>
        <v>0</v>
      </c>
      <c r="V802" s="32">
        <f>DaybyDay[[#This Row],[Serv-Act-RU]]+DaybyDay[[#This Row],[Ret-Act-RU]]</f>
        <v>0</v>
      </c>
      <c r="W802" s="36">
        <f>IF(DaybyDay[[#This Row],[_Space]],IFERROR(
((DaybyDay[[#This Row],[Actual-Rollup]]-DaybyDay[[#This Row],[Budget-Rollup]])/DaybyDay[[#This Row],[Budget-Rollup]]),0),"")</f>
        <v>0</v>
      </c>
      <c r="X802" t="b">
        <f>NOT(AND(ISBLANK(DaybyDay[[#This Row],[Appts]]),ISBLANK(DaybyDay[[#This Row],[Service-Actuals]]),ISBLANK(DaybyDay[[#This Row],[Retail-Actuals]])))</f>
        <v>1</v>
      </c>
      <c r="Y802" s="36">
        <f>IF(DaybyDay[[#This Row],[_Space]],IFERROR(
((DaybyDay[[#This Row],[Actual-Rollup]]-DaybyDay[[#This Row],[LY-Rollup]])/DaybyDay[[#This Row],[LY-Rollup]]),0),"")</f>
        <v>0</v>
      </c>
      <c r="Z802"/>
      <c r="AA802" s="37" t="e">
        <f>IF(DaybyDay[[#This Row],[_Space]],DaybyDay[[#This Row],[Ret-Act-RU]]/DaybyDay[[#This Row],[Serv-Act-RU]],"")</f>
        <v>#DIV/0!</v>
      </c>
      <c r="AB802" s="50" t="e">
        <f>IF(DaybyDay[[#This Row],[_Space]],DaybyDay[[#This Row],[RETPEN-Act]]/DaybyDay[[#This Row],[RETPEN-Bud]],"")</f>
        <v>#DIV/0!</v>
      </c>
      <c r="AC802" s="37" t="e">
        <f>IF(DaybyDay[[#This Row],[_Space]],DaybyDay[[#This Row],[Ret-Bud-RU]]/DaybyDay[[#This Row],[Serv-Bud-RU]],"")</f>
        <v>#DIV/0!</v>
      </c>
      <c r="AD802" s="37" t="e">
        <f>IF(DaybyDay[[#This Row],[_Space]],DaybyDay[[#This Row],[Ret-LY-RU]]/DaybyDay[[#This Row],[Serv-LY-RU]],"")</f>
        <v>#DIV/0!</v>
      </c>
      <c r="AE802" s="30">
        <f>WEEKDAY(DaybyDay[[#This Row],[LY-Date]])</f>
        <v>5</v>
      </c>
      <c r="AF802" s="38">
        <f>$E$2+_xlfn.DAYS(DaybyDay[[#This Row],[Date]],minDate)</f>
        <v>43167</v>
      </c>
      <c r="AG802" s="39" cm="1">
        <f t="array" ref="AG802">IFERROR(INDEX(DaybyDay[],DaybyDay[[#This Row],[FORM_MATCH_HELPER]],8),"")</f>
        <v>30</v>
      </c>
      <c r="AH802" s="39" cm="1">
        <f t="array" ref="AH802">IFERROR(INDEX(DaybyDay[],DaybyDay[[#This Row],[FORM_MATCH_HELPER]],10),"")</f>
        <v>7504.11</v>
      </c>
      <c r="AI802" s="39" cm="1">
        <f t="array" ref="AI802">IFERROR(INDEX(DaybyDay[],DaybyDay[[#This Row],[FORM_MATCH_HELPER]],12),"")</f>
        <v>1059.3</v>
      </c>
      <c r="AJ802" s="32">
        <f>IFERROR(DaybyDay[[#This Row],[Serv-LY-RU]]+DaybyDay[[#This Row],[Ret-LY-RU]],"")</f>
        <v>0</v>
      </c>
      <c r="AK8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2" s="77"/>
      <c r="AM802" s="40" t="str">
        <f>IF(DaybyDay[[#This Row],[Admin Hours]]&gt;0,DaybyDay[[#This Row],[Admin Hours]]*$AM$2+$AM$3,"")</f>
        <v/>
      </c>
      <c r="AN802" s="40">
        <f>SUMIFS(DaybyDay[Est-Admin-Payroll],DaybyDay[Date],"&gt;="&amp;$C$5,DaybyDay[RowYear],"&gt;="&amp;$C$4,DaybyDay[Date],"&lt;="&amp;DaybyDay[[#This Row],[Date]])</f>
        <v>0</v>
      </c>
      <c r="AO802" s="41" t="str">
        <f>IF(AND(DaybyDay[[#This Row],[_Space]],ISNUMBER(DaybyDay[[#This Row],[Admin Hours]])),DaybyDay[[#This Row],[Est-Admin-Payroll]]/(DaybyDay[[#This Row],[Service-Actuals]]+DaybyDay[[#This Row],[Retail-Actuals]]),"")</f>
        <v/>
      </c>
      <c r="AP802" s="41" t="e">
        <f>DaybyDay[[#This Row],[Estimated-Payroll-Rollup]]/DaybyDay[[#This Row],[Simple-Forecast]]</f>
        <v>#DIV/0!</v>
      </c>
      <c r="AQ8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2" s="77"/>
      <c r="AS802" s="40" t="str">
        <f>IF(DaybyDay[[#This Row],[Retail Hours]]&gt;0,DaybyDay[[#This Row],[Retail Hours]]*$AS$2,"")</f>
        <v/>
      </c>
      <c r="AT802" s="40">
        <f>SUMIFS(DaybyDay[Est-Retail-Payroll],DaybyDay[Date],"&gt;="&amp;$C$5,DaybyDay[RowYear],"&gt;="&amp;$C$4,DaybyDay[Date],"&lt;="&amp;DaybyDay[[#This Row],[Date]])</f>
        <v>0</v>
      </c>
      <c r="AU802" s="82" t="str">
        <f>IF(AND(DaybyDay[[#This Row],[_Space]],ISNUMBER(DaybyDay[[#This Row],[Retail Hours]])),DaybyDay[[#This Row],[Est-Retail-Payroll]]/(DaybyDay[[#This Row],[Retail-Actuals]]),"")</f>
        <v/>
      </c>
      <c r="AV802" s="82" t="e">
        <f>DaybyDay[[#This Row],[Est-Retail-PayrollRU]]/DaybyDay[[#This Row],[Simple-Forecast-Retail]]</f>
        <v>#DIV/0!</v>
      </c>
      <c r="AW802" s="8"/>
      <c r="AX802" s="49"/>
      <c r="AY802" s="48"/>
      <c r="AZ802" s="47"/>
      <c r="BA802" s="47"/>
      <c r="BB802" s="47"/>
      <c r="BC802" s="47"/>
      <c r="BD802" s="47"/>
    </row>
    <row r="803" spans="3:56" hidden="1" x14ac:dyDescent="0.25">
      <c r="C803" s="26" t="str">
        <f>Tools!$C$1</f>
        <v>Example</v>
      </c>
      <c r="D803" s="27" t="s">
        <v>70</v>
      </c>
      <c r="E803" s="28">
        <v>2019</v>
      </c>
      <c r="F803" s="28">
        <f>MATCH(DaybyDay[[#This Row],[RowMonth]],Table3[SummaryMonth],0)</f>
        <v>3</v>
      </c>
      <c r="G803" s="29">
        <f>MATCH(DaybyDay[[#This Row],[LY-Date]],DaybyDay[Date],0)</f>
        <v>433</v>
      </c>
      <c r="H803" s="30">
        <f>WEEKDAY(DaybyDay[[#This Row],[Date]])</f>
        <v>6</v>
      </c>
      <c r="I803" s="31">
        <v>43532</v>
      </c>
      <c r="J803" s="74">
        <v>22</v>
      </c>
      <c r="K803" s="32">
        <f>SUMIFS(BudgetSeasonality[365 Seasonality],BudgetSeasonality[MonthAdjustment],DaybyDay[[#This Row],[Date]])*SUMIFS(Budgets[Service-Budget],Budgets[BudgetMonth],DaybyDay[[#This Row],[RowMonth]],Budgets[BudgetYear],DaybyDay[[#This Row],[RowYear]])</f>
        <v>3743.3347087199154</v>
      </c>
      <c r="L803" s="75">
        <v>4677.1499999999996</v>
      </c>
      <c r="M803" s="32">
        <f>INDEX(BudgetSeasonality[365 Seasonality],MATCH(DaybyDay[[#This Row],[Date]],BudgetSeasonality[MonthAdjustment],0))*SUMIFS(Budgets[Retail-Budget],Budgets[BudgetMonth],DaybyDay[[#This Row],[RowMonth]],Budgets[BudgetYear],DaybyDay[[#This Row],[RowYear]])</f>
        <v>865.16284362447448</v>
      </c>
      <c r="N803" s="75">
        <v>1038.5</v>
      </c>
      <c r="O803" s="33">
        <f>SUMIFS(DaybyDay[Service-Budgets],DaybyDay[Date],"&gt;="&amp;$C$5,DaybyDay[RowYear],"&gt;="&amp;$C$4,DaybyDay[Date],"&lt;="&amp;DaybyDay[[#This Row],[Date]])</f>
        <v>0</v>
      </c>
      <c r="P803" s="33">
        <f>SUMIFS(DaybyDay[Retail-Budgets],DaybyDay[Date],"&gt;="&amp;$C$5,DaybyDay[RowYear],"&gt;="&amp;$C$4,DaybyDay[Date],"&lt;="&amp;DaybyDay[[#This Row],[Date]])</f>
        <v>0</v>
      </c>
      <c r="Q803" s="34">
        <f>SUMIFS(DaybyDay[Service-Actuals],DaybyDay[Date],"&gt;="&amp;$C$5,DaybyDay[RowYear],"&gt;="&amp;$C$4,DaybyDay[Date],"&lt;="&amp;DaybyDay[[#This Row],[Date]])</f>
        <v>0</v>
      </c>
      <c r="R803" s="34">
        <f>SUMIFS(DaybyDay[Retail-Actuals],DaybyDay[Date],"&gt;="&amp;$C$5,DaybyDay[RowYear],"&gt;="&amp;$C$4,DaybyDay[Date],"&lt;="&amp;DaybyDay[[#This Row],[Date]])</f>
        <v>0</v>
      </c>
      <c r="S803" s="35">
        <f>SUMIFS(DaybyDay[Service-LY],DaybyDay[Date],"&gt;="&amp;$C$5,DaybyDay[RowYear],"&gt;="&amp;$C$4,DaybyDay[Date],"&lt;="&amp;DaybyDay[[#This Row],[Date]])</f>
        <v>0</v>
      </c>
      <c r="T803" s="35">
        <f>SUMIFS(DaybyDay[Retail-LY],DaybyDay[Date],"&gt;="&amp;$C$5,DaybyDay[RowYear],"&gt;="&amp;$C$4,DaybyDay[Date],"&lt;="&amp;DaybyDay[[#This Row],[Date]])</f>
        <v>0</v>
      </c>
      <c r="U803" s="32">
        <f>DaybyDay[[#This Row],[Serv-Bud-RU]]+DaybyDay[[#This Row],[Ret-Bud-RU]]</f>
        <v>0</v>
      </c>
      <c r="V803" s="32">
        <f>DaybyDay[[#This Row],[Serv-Act-RU]]+DaybyDay[[#This Row],[Ret-Act-RU]]</f>
        <v>0</v>
      </c>
      <c r="W803" s="36">
        <f>IF(DaybyDay[[#This Row],[_Space]],IFERROR(
((DaybyDay[[#This Row],[Actual-Rollup]]-DaybyDay[[#This Row],[Budget-Rollup]])/DaybyDay[[#This Row],[Budget-Rollup]]),0),"")</f>
        <v>0</v>
      </c>
      <c r="X803" t="b">
        <f>NOT(AND(ISBLANK(DaybyDay[[#This Row],[Appts]]),ISBLANK(DaybyDay[[#This Row],[Service-Actuals]]),ISBLANK(DaybyDay[[#This Row],[Retail-Actuals]])))</f>
        <v>1</v>
      </c>
      <c r="Y803" s="36">
        <f>IF(DaybyDay[[#This Row],[_Space]],IFERROR(
((DaybyDay[[#This Row],[Actual-Rollup]]-DaybyDay[[#This Row],[LY-Rollup]])/DaybyDay[[#This Row],[LY-Rollup]]),0),"")</f>
        <v>0</v>
      </c>
      <c r="Z803"/>
      <c r="AA803" s="37" t="e">
        <f>IF(DaybyDay[[#This Row],[_Space]],DaybyDay[[#This Row],[Ret-Act-RU]]/DaybyDay[[#This Row],[Serv-Act-RU]],"")</f>
        <v>#DIV/0!</v>
      </c>
      <c r="AB803" s="50" t="e">
        <f>IF(DaybyDay[[#This Row],[_Space]],DaybyDay[[#This Row],[RETPEN-Act]]/DaybyDay[[#This Row],[RETPEN-Bud]],"")</f>
        <v>#DIV/0!</v>
      </c>
      <c r="AC803" s="37" t="e">
        <f>IF(DaybyDay[[#This Row],[_Space]],DaybyDay[[#This Row],[Ret-Bud-RU]]/DaybyDay[[#This Row],[Serv-Bud-RU]],"")</f>
        <v>#DIV/0!</v>
      </c>
      <c r="AD803" s="37" t="e">
        <f>IF(DaybyDay[[#This Row],[_Space]],DaybyDay[[#This Row],[Ret-LY-RU]]/DaybyDay[[#This Row],[Serv-LY-RU]],"")</f>
        <v>#DIV/0!</v>
      </c>
      <c r="AE803" s="30">
        <f>WEEKDAY(DaybyDay[[#This Row],[LY-Date]])</f>
        <v>6</v>
      </c>
      <c r="AF803" s="38">
        <f>$E$2+_xlfn.DAYS(DaybyDay[[#This Row],[Date]],minDate)</f>
        <v>43168</v>
      </c>
      <c r="AG803" s="39" cm="1">
        <f t="array" ref="AG803">IFERROR(INDEX(DaybyDay[],DaybyDay[[#This Row],[FORM_MATCH_HELPER]],8),"")</f>
        <v>32</v>
      </c>
      <c r="AH803" s="39" cm="1">
        <f t="array" ref="AH803">IFERROR(INDEX(DaybyDay[],DaybyDay[[#This Row],[FORM_MATCH_HELPER]],10),"")</f>
        <v>4593</v>
      </c>
      <c r="AI803" s="39" cm="1">
        <f t="array" ref="AI803">IFERROR(INDEX(DaybyDay[],DaybyDay[[#This Row],[FORM_MATCH_HELPER]],12),"")</f>
        <v>2218.9</v>
      </c>
      <c r="AJ803" s="32">
        <f>IFERROR(DaybyDay[[#This Row],[Serv-LY-RU]]+DaybyDay[[#This Row],[Ret-LY-RU]],"")</f>
        <v>0</v>
      </c>
      <c r="AK8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3" s="77"/>
      <c r="AM803" s="40" t="str">
        <f>IF(DaybyDay[[#This Row],[Admin Hours]]&gt;0,DaybyDay[[#This Row],[Admin Hours]]*$AM$2+$AM$3,"")</f>
        <v/>
      </c>
      <c r="AN803" s="40">
        <f>SUMIFS(DaybyDay[Est-Admin-Payroll],DaybyDay[Date],"&gt;="&amp;$C$5,DaybyDay[RowYear],"&gt;="&amp;$C$4,DaybyDay[Date],"&lt;="&amp;DaybyDay[[#This Row],[Date]])</f>
        <v>0</v>
      </c>
      <c r="AO803" s="41" t="str">
        <f>IF(AND(DaybyDay[[#This Row],[_Space]],ISNUMBER(DaybyDay[[#This Row],[Admin Hours]])),DaybyDay[[#This Row],[Est-Admin-Payroll]]/(DaybyDay[[#This Row],[Service-Actuals]]+DaybyDay[[#This Row],[Retail-Actuals]]),"")</f>
        <v/>
      </c>
      <c r="AP803" s="41" t="e">
        <f>DaybyDay[[#This Row],[Estimated-Payroll-Rollup]]/DaybyDay[[#This Row],[Simple-Forecast]]</f>
        <v>#DIV/0!</v>
      </c>
      <c r="AQ8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3" s="77"/>
      <c r="AS803" s="40" t="str">
        <f>IF(DaybyDay[[#This Row],[Retail Hours]]&gt;0,DaybyDay[[#This Row],[Retail Hours]]*$AS$2,"")</f>
        <v/>
      </c>
      <c r="AT803" s="40">
        <f>SUMIFS(DaybyDay[Est-Retail-Payroll],DaybyDay[Date],"&gt;="&amp;$C$5,DaybyDay[RowYear],"&gt;="&amp;$C$4,DaybyDay[Date],"&lt;="&amp;DaybyDay[[#This Row],[Date]])</f>
        <v>0</v>
      </c>
      <c r="AU803" s="82" t="str">
        <f>IF(AND(DaybyDay[[#This Row],[_Space]],ISNUMBER(DaybyDay[[#This Row],[Retail Hours]])),DaybyDay[[#This Row],[Est-Retail-Payroll]]/(DaybyDay[[#This Row],[Retail-Actuals]]),"")</f>
        <v/>
      </c>
      <c r="AV803" s="82" t="e">
        <f>DaybyDay[[#This Row],[Est-Retail-PayrollRU]]/DaybyDay[[#This Row],[Simple-Forecast-Retail]]</f>
        <v>#DIV/0!</v>
      </c>
      <c r="AW803" s="8"/>
      <c r="AX803" s="49"/>
      <c r="AY803" s="48"/>
      <c r="AZ803" s="47"/>
      <c r="BA803" s="47"/>
      <c r="BB803" s="47"/>
      <c r="BC803" s="47"/>
      <c r="BD803" s="47"/>
    </row>
    <row r="804" spans="3:56" hidden="1" x14ac:dyDescent="0.25">
      <c r="C804" s="26" t="str">
        <f>Tools!$C$1</f>
        <v>Example</v>
      </c>
      <c r="D804" s="27" t="s">
        <v>70</v>
      </c>
      <c r="E804" s="28">
        <v>2019</v>
      </c>
      <c r="F804" s="28">
        <f>MATCH(DaybyDay[[#This Row],[RowMonth]],Table3[SummaryMonth],0)</f>
        <v>3</v>
      </c>
      <c r="G804" s="29">
        <f>MATCH(DaybyDay[[#This Row],[LY-Date]],DaybyDay[Date],0)</f>
        <v>434</v>
      </c>
      <c r="H804" s="30">
        <f>WEEKDAY(DaybyDay[[#This Row],[Date]])</f>
        <v>7</v>
      </c>
      <c r="I804" s="31">
        <v>43533</v>
      </c>
      <c r="J804" s="74">
        <v>41</v>
      </c>
      <c r="K804" s="32">
        <f>SUMIFS(BudgetSeasonality[365 Seasonality],BudgetSeasonality[MonthAdjustment],DaybyDay[[#This Row],[Date]])*SUMIFS(Budgets[Service-Budget],Budgets[BudgetMonth],DaybyDay[[#This Row],[RowMonth]],Budgets[BudgetYear],DaybyDay[[#This Row],[RowYear]])</f>
        <v>5422.2311676687068</v>
      </c>
      <c r="L804" s="75">
        <v>9716.23</v>
      </c>
      <c r="M804" s="32">
        <f>INDEX(BudgetSeasonality[365 Seasonality],MATCH(DaybyDay[[#This Row],[Date]],BudgetSeasonality[MonthAdjustment],0))*SUMIFS(Budgets[Retail-Budget],Budgets[BudgetMonth],DaybyDay[[#This Row],[RowMonth]],Budgets[BudgetYear],DaybyDay[[#This Row],[RowYear]])</f>
        <v>1253.1908848230416</v>
      </c>
      <c r="N804" s="75">
        <v>3558.27</v>
      </c>
      <c r="O804" s="33">
        <f>SUMIFS(DaybyDay[Service-Budgets],DaybyDay[Date],"&gt;="&amp;$C$5,DaybyDay[RowYear],"&gt;="&amp;$C$4,DaybyDay[Date],"&lt;="&amp;DaybyDay[[#This Row],[Date]])</f>
        <v>0</v>
      </c>
      <c r="P804" s="33">
        <f>SUMIFS(DaybyDay[Retail-Budgets],DaybyDay[Date],"&gt;="&amp;$C$5,DaybyDay[RowYear],"&gt;="&amp;$C$4,DaybyDay[Date],"&lt;="&amp;DaybyDay[[#This Row],[Date]])</f>
        <v>0</v>
      </c>
      <c r="Q804" s="34">
        <f>SUMIFS(DaybyDay[Service-Actuals],DaybyDay[Date],"&gt;="&amp;$C$5,DaybyDay[RowYear],"&gt;="&amp;$C$4,DaybyDay[Date],"&lt;="&amp;DaybyDay[[#This Row],[Date]])</f>
        <v>0</v>
      </c>
      <c r="R804" s="34">
        <f>SUMIFS(DaybyDay[Retail-Actuals],DaybyDay[Date],"&gt;="&amp;$C$5,DaybyDay[RowYear],"&gt;="&amp;$C$4,DaybyDay[Date],"&lt;="&amp;DaybyDay[[#This Row],[Date]])</f>
        <v>0</v>
      </c>
      <c r="S804" s="35">
        <f>SUMIFS(DaybyDay[Service-LY],DaybyDay[Date],"&gt;="&amp;$C$5,DaybyDay[RowYear],"&gt;="&amp;$C$4,DaybyDay[Date],"&lt;="&amp;DaybyDay[[#This Row],[Date]])</f>
        <v>0</v>
      </c>
      <c r="T804" s="35">
        <f>SUMIFS(DaybyDay[Retail-LY],DaybyDay[Date],"&gt;="&amp;$C$5,DaybyDay[RowYear],"&gt;="&amp;$C$4,DaybyDay[Date],"&lt;="&amp;DaybyDay[[#This Row],[Date]])</f>
        <v>0</v>
      </c>
      <c r="U804" s="32">
        <f>DaybyDay[[#This Row],[Serv-Bud-RU]]+DaybyDay[[#This Row],[Ret-Bud-RU]]</f>
        <v>0</v>
      </c>
      <c r="V804" s="32">
        <f>DaybyDay[[#This Row],[Serv-Act-RU]]+DaybyDay[[#This Row],[Ret-Act-RU]]</f>
        <v>0</v>
      </c>
      <c r="W804" s="36">
        <f>IF(DaybyDay[[#This Row],[_Space]],IFERROR(
((DaybyDay[[#This Row],[Actual-Rollup]]-DaybyDay[[#This Row],[Budget-Rollup]])/DaybyDay[[#This Row],[Budget-Rollup]]),0),"")</f>
        <v>0</v>
      </c>
      <c r="X804" t="b">
        <f>NOT(AND(ISBLANK(DaybyDay[[#This Row],[Appts]]),ISBLANK(DaybyDay[[#This Row],[Service-Actuals]]),ISBLANK(DaybyDay[[#This Row],[Retail-Actuals]])))</f>
        <v>1</v>
      </c>
      <c r="Y804" s="36">
        <f>IF(DaybyDay[[#This Row],[_Space]],IFERROR(
((DaybyDay[[#This Row],[Actual-Rollup]]-DaybyDay[[#This Row],[LY-Rollup]])/DaybyDay[[#This Row],[LY-Rollup]]),0),"")</f>
        <v>0</v>
      </c>
      <c r="Z804"/>
      <c r="AA804" s="37" t="e">
        <f>IF(DaybyDay[[#This Row],[_Space]],DaybyDay[[#This Row],[Ret-Act-RU]]/DaybyDay[[#This Row],[Serv-Act-RU]],"")</f>
        <v>#DIV/0!</v>
      </c>
      <c r="AB804" s="50" t="e">
        <f>IF(DaybyDay[[#This Row],[_Space]],DaybyDay[[#This Row],[RETPEN-Act]]/DaybyDay[[#This Row],[RETPEN-Bud]],"")</f>
        <v>#DIV/0!</v>
      </c>
      <c r="AC804" s="37" t="e">
        <f>IF(DaybyDay[[#This Row],[_Space]],DaybyDay[[#This Row],[Ret-Bud-RU]]/DaybyDay[[#This Row],[Serv-Bud-RU]],"")</f>
        <v>#DIV/0!</v>
      </c>
      <c r="AD804" s="37" t="e">
        <f>IF(DaybyDay[[#This Row],[_Space]],DaybyDay[[#This Row],[Ret-LY-RU]]/DaybyDay[[#This Row],[Serv-LY-RU]],"")</f>
        <v>#DIV/0!</v>
      </c>
      <c r="AE804" s="30">
        <f>WEEKDAY(DaybyDay[[#This Row],[LY-Date]])</f>
        <v>7</v>
      </c>
      <c r="AF804" s="38">
        <f>$E$2+_xlfn.DAYS(DaybyDay[[#This Row],[Date]],minDate)</f>
        <v>43169</v>
      </c>
      <c r="AG804" s="39" cm="1">
        <f t="array" ref="AG804">IFERROR(INDEX(DaybyDay[],DaybyDay[[#This Row],[FORM_MATCH_HELPER]],8),"")</f>
        <v>35</v>
      </c>
      <c r="AH804" s="39" cm="1">
        <f t="array" ref="AH804">IFERROR(INDEX(DaybyDay[],DaybyDay[[#This Row],[FORM_MATCH_HELPER]],10),"")</f>
        <v>6489</v>
      </c>
      <c r="AI804" s="39" cm="1">
        <f t="array" ref="AI804">IFERROR(INDEX(DaybyDay[],DaybyDay[[#This Row],[FORM_MATCH_HELPER]],12),"")</f>
        <v>3338</v>
      </c>
      <c r="AJ804" s="32">
        <f>IFERROR(DaybyDay[[#This Row],[Serv-LY-RU]]+DaybyDay[[#This Row],[Ret-LY-RU]],"")</f>
        <v>0</v>
      </c>
      <c r="AK8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4" s="77"/>
      <c r="AM804" s="40" t="str">
        <f>IF(DaybyDay[[#This Row],[Admin Hours]]&gt;0,DaybyDay[[#This Row],[Admin Hours]]*$AM$2+$AM$3,"")</f>
        <v/>
      </c>
      <c r="AN804" s="40">
        <f>SUMIFS(DaybyDay[Est-Admin-Payroll],DaybyDay[Date],"&gt;="&amp;$C$5,DaybyDay[RowYear],"&gt;="&amp;$C$4,DaybyDay[Date],"&lt;="&amp;DaybyDay[[#This Row],[Date]])</f>
        <v>0</v>
      </c>
      <c r="AO804" s="41" t="str">
        <f>IF(AND(DaybyDay[[#This Row],[_Space]],ISNUMBER(DaybyDay[[#This Row],[Admin Hours]])),DaybyDay[[#This Row],[Est-Admin-Payroll]]/(DaybyDay[[#This Row],[Service-Actuals]]+DaybyDay[[#This Row],[Retail-Actuals]]),"")</f>
        <v/>
      </c>
      <c r="AP804" s="41" t="e">
        <f>DaybyDay[[#This Row],[Estimated-Payroll-Rollup]]/DaybyDay[[#This Row],[Simple-Forecast]]</f>
        <v>#DIV/0!</v>
      </c>
      <c r="AQ8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4" s="77"/>
      <c r="AS804" s="40" t="str">
        <f>IF(DaybyDay[[#This Row],[Retail Hours]]&gt;0,DaybyDay[[#This Row],[Retail Hours]]*$AS$2,"")</f>
        <v/>
      </c>
      <c r="AT804" s="40">
        <f>SUMIFS(DaybyDay[Est-Retail-Payroll],DaybyDay[Date],"&gt;="&amp;$C$5,DaybyDay[RowYear],"&gt;="&amp;$C$4,DaybyDay[Date],"&lt;="&amp;DaybyDay[[#This Row],[Date]])</f>
        <v>0</v>
      </c>
      <c r="AU804" s="82" t="str">
        <f>IF(AND(DaybyDay[[#This Row],[_Space]],ISNUMBER(DaybyDay[[#This Row],[Retail Hours]])),DaybyDay[[#This Row],[Est-Retail-Payroll]]/(DaybyDay[[#This Row],[Retail-Actuals]]),"")</f>
        <v/>
      </c>
      <c r="AV804" s="82" t="e">
        <f>DaybyDay[[#This Row],[Est-Retail-PayrollRU]]/DaybyDay[[#This Row],[Simple-Forecast-Retail]]</f>
        <v>#DIV/0!</v>
      </c>
      <c r="AW804" s="8"/>
      <c r="AX804" s="49"/>
      <c r="AY804" s="48"/>
      <c r="AZ804" s="47"/>
      <c r="BA804" s="47"/>
      <c r="BB804" s="47"/>
      <c r="BC804" s="47"/>
      <c r="BD804" s="47"/>
    </row>
    <row r="805" spans="3:56" hidden="1" x14ac:dyDescent="0.25">
      <c r="C805" s="26" t="str">
        <f>Tools!$C$1</f>
        <v>Example</v>
      </c>
      <c r="D805" s="27" t="s">
        <v>70</v>
      </c>
      <c r="E805" s="28">
        <v>2019</v>
      </c>
      <c r="F805" s="28">
        <f>MATCH(DaybyDay[[#This Row],[RowMonth]],Table3[SummaryMonth],0)</f>
        <v>3</v>
      </c>
      <c r="G805" s="29">
        <f>MATCH(DaybyDay[[#This Row],[LY-Date]],DaybyDay[Date],0)</f>
        <v>435</v>
      </c>
      <c r="H805" s="30">
        <f>WEEKDAY(DaybyDay[[#This Row],[Date]])</f>
        <v>1</v>
      </c>
      <c r="I805" s="31">
        <v>43534</v>
      </c>
      <c r="J805" s="74">
        <v>38</v>
      </c>
      <c r="K805" s="32">
        <f>SUMIFS(BudgetSeasonality[365 Seasonality],BudgetSeasonality[MonthAdjustment],DaybyDay[[#This Row],[Date]])*SUMIFS(Budgets[Service-Budget],Budgets[BudgetMonth],DaybyDay[[#This Row],[RowMonth]],Budgets[BudgetYear],DaybyDay[[#This Row],[RowYear]])</f>
        <v>4238.5334622894052</v>
      </c>
      <c r="L805" s="75">
        <v>7447</v>
      </c>
      <c r="M805" s="32">
        <f>INDEX(BudgetSeasonality[365 Seasonality],MATCH(DaybyDay[[#This Row],[Date]],BudgetSeasonality[MonthAdjustment],0))*SUMIFS(Budgets[Retail-Budget],Budgets[BudgetMonth],DaybyDay[[#This Row],[RowMonth]],Budgets[BudgetYear],DaybyDay[[#This Row],[RowYear]])</f>
        <v>979.61361950606329</v>
      </c>
      <c r="N805" s="75">
        <v>1448</v>
      </c>
      <c r="O805" s="33">
        <f>SUMIFS(DaybyDay[Service-Budgets],DaybyDay[Date],"&gt;="&amp;$C$5,DaybyDay[RowYear],"&gt;="&amp;$C$4,DaybyDay[Date],"&lt;="&amp;DaybyDay[[#This Row],[Date]])</f>
        <v>0</v>
      </c>
      <c r="P805" s="33">
        <f>SUMIFS(DaybyDay[Retail-Budgets],DaybyDay[Date],"&gt;="&amp;$C$5,DaybyDay[RowYear],"&gt;="&amp;$C$4,DaybyDay[Date],"&lt;="&amp;DaybyDay[[#This Row],[Date]])</f>
        <v>0</v>
      </c>
      <c r="Q805" s="34">
        <f>SUMIFS(DaybyDay[Service-Actuals],DaybyDay[Date],"&gt;="&amp;$C$5,DaybyDay[RowYear],"&gt;="&amp;$C$4,DaybyDay[Date],"&lt;="&amp;DaybyDay[[#This Row],[Date]])</f>
        <v>0</v>
      </c>
      <c r="R805" s="34">
        <f>SUMIFS(DaybyDay[Retail-Actuals],DaybyDay[Date],"&gt;="&amp;$C$5,DaybyDay[RowYear],"&gt;="&amp;$C$4,DaybyDay[Date],"&lt;="&amp;DaybyDay[[#This Row],[Date]])</f>
        <v>0</v>
      </c>
      <c r="S805" s="35">
        <f>SUMIFS(DaybyDay[Service-LY],DaybyDay[Date],"&gt;="&amp;$C$5,DaybyDay[RowYear],"&gt;="&amp;$C$4,DaybyDay[Date],"&lt;="&amp;DaybyDay[[#This Row],[Date]])</f>
        <v>0</v>
      </c>
      <c r="T805" s="35">
        <f>SUMIFS(DaybyDay[Retail-LY],DaybyDay[Date],"&gt;="&amp;$C$5,DaybyDay[RowYear],"&gt;="&amp;$C$4,DaybyDay[Date],"&lt;="&amp;DaybyDay[[#This Row],[Date]])</f>
        <v>0</v>
      </c>
      <c r="U805" s="32">
        <f>DaybyDay[[#This Row],[Serv-Bud-RU]]+DaybyDay[[#This Row],[Ret-Bud-RU]]</f>
        <v>0</v>
      </c>
      <c r="V805" s="32">
        <f>DaybyDay[[#This Row],[Serv-Act-RU]]+DaybyDay[[#This Row],[Ret-Act-RU]]</f>
        <v>0</v>
      </c>
      <c r="W805" s="36">
        <f>IF(DaybyDay[[#This Row],[_Space]],IFERROR(
((DaybyDay[[#This Row],[Actual-Rollup]]-DaybyDay[[#This Row],[Budget-Rollup]])/DaybyDay[[#This Row],[Budget-Rollup]]),0),"")</f>
        <v>0</v>
      </c>
      <c r="X805" t="b">
        <f>NOT(AND(ISBLANK(DaybyDay[[#This Row],[Appts]]),ISBLANK(DaybyDay[[#This Row],[Service-Actuals]]),ISBLANK(DaybyDay[[#This Row],[Retail-Actuals]])))</f>
        <v>1</v>
      </c>
      <c r="Y805" s="36">
        <f>IF(DaybyDay[[#This Row],[_Space]],IFERROR(
((DaybyDay[[#This Row],[Actual-Rollup]]-DaybyDay[[#This Row],[LY-Rollup]])/DaybyDay[[#This Row],[LY-Rollup]]),0),"")</f>
        <v>0</v>
      </c>
      <c r="Z805"/>
      <c r="AA805" s="37" t="e">
        <f>IF(DaybyDay[[#This Row],[_Space]],DaybyDay[[#This Row],[Ret-Act-RU]]/DaybyDay[[#This Row],[Serv-Act-RU]],"")</f>
        <v>#DIV/0!</v>
      </c>
      <c r="AB805" s="50" t="e">
        <f>IF(DaybyDay[[#This Row],[_Space]],DaybyDay[[#This Row],[RETPEN-Act]]/DaybyDay[[#This Row],[RETPEN-Bud]],"")</f>
        <v>#DIV/0!</v>
      </c>
      <c r="AC805" s="37" t="e">
        <f>IF(DaybyDay[[#This Row],[_Space]],DaybyDay[[#This Row],[Ret-Bud-RU]]/DaybyDay[[#This Row],[Serv-Bud-RU]],"")</f>
        <v>#DIV/0!</v>
      </c>
      <c r="AD805" s="37" t="e">
        <f>IF(DaybyDay[[#This Row],[_Space]],DaybyDay[[#This Row],[Ret-LY-RU]]/DaybyDay[[#This Row],[Serv-LY-RU]],"")</f>
        <v>#DIV/0!</v>
      </c>
      <c r="AE805" s="30">
        <f>WEEKDAY(DaybyDay[[#This Row],[LY-Date]])</f>
        <v>1</v>
      </c>
      <c r="AF805" s="38">
        <f>$E$2+_xlfn.DAYS(DaybyDay[[#This Row],[Date]],minDate)</f>
        <v>43170</v>
      </c>
      <c r="AG805" s="39" cm="1">
        <f t="array" ref="AG805">IFERROR(INDEX(DaybyDay[],DaybyDay[[#This Row],[FORM_MATCH_HELPER]],8),"")</f>
        <v>28</v>
      </c>
      <c r="AH805" s="39" cm="1">
        <f t="array" ref="AH805">IFERROR(INDEX(DaybyDay[],DaybyDay[[#This Row],[FORM_MATCH_HELPER]],10),"")</f>
        <v>5623</v>
      </c>
      <c r="AI805" s="39" cm="1">
        <f t="array" ref="AI805">IFERROR(INDEX(DaybyDay[],DaybyDay[[#This Row],[FORM_MATCH_HELPER]],12),"")</f>
        <v>1235</v>
      </c>
      <c r="AJ805" s="32">
        <f>IFERROR(DaybyDay[[#This Row],[Serv-LY-RU]]+DaybyDay[[#This Row],[Ret-LY-RU]],"")</f>
        <v>0</v>
      </c>
      <c r="AK8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5" s="77"/>
      <c r="AM805" s="40" t="str">
        <f>IF(DaybyDay[[#This Row],[Admin Hours]]&gt;0,DaybyDay[[#This Row],[Admin Hours]]*$AM$2+$AM$3,"")</f>
        <v/>
      </c>
      <c r="AN805" s="40">
        <f>SUMIFS(DaybyDay[Est-Admin-Payroll],DaybyDay[Date],"&gt;="&amp;$C$5,DaybyDay[RowYear],"&gt;="&amp;$C$4,DaybyDay[Date],"&lt;="&amp;DaybyDay[[#This Row],[Date]])</f>
        <v>0</v>
      </c>
      <c r="AO805" s="41" t="str">
        <f>IF(AND(DaybyDay[[#This Row],[_Space]],ISNUMBER(DaybyDay[[#This Row],[Admin Hours]])),DaybyDay[[#This Row],[Est-Admin-Payroll]]/(DaybyDay[[#This Row],[Service-Actuals]]+DaybyDay[[#This Row],[Retail-Actuals]]),"")</f>
        <v/>
      </c>
      <c r="AP805" s="41" t="e">
        <f>DaybyDay[[#This Row],[Estimated-Payroll-Rollup]]/DaybyDay[[#This Row],[Simple-Forecast]]</f>
        <v>#DIV/0!</v>
      </c>
      <c r="AQ8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5" s="77"/>
      <c r="AS805" s="40" t="str">
        <f>IF(DaybyDay[[#This Row],[Retail Hours]]&gt;0,DaybyDay[[#This Row],[Retail Hours]]*$AS$2,"")</f>
        <v/>
      </c>
      <c r="AT805" s="40">
        <f>SUMIFS(DaybyDay[Est-Retail-Payroll],DaybyDay[Date],"&gt;="&amp;$C$5,DaybyDay[RowYear],"&gt;="&amp;$C$4,DaybyDay[Date],"&lt;="&amp;DaybyDay[[#This Row],[Date]])</f>
        <v>0</v>
      </c>
      <c r="AU805" s="82" t="str">
        <f>IF(AND(DaybyDay[[#This Row],[_Space]],ISNUMBER(DaybyDay[[#This Row],[Retail Hours]])),DaybyDay[[#This Row],[Est-Retail-Payroll]]/(DaybyDay[[#This Row],[Retail-Actuals]]),"")</f>
        <v/>
      </c>
      <c r="AV805" s="82" t="e">
        <f>DaybyDay[[#This Row],[Est-Retail-PayrollRU]]/DaybyDay[[#This Row],[Simple-Forecast-Retail]]</f>
        <v>#DIV/0!</v>
      </c>
      <c r="AW805" s="8"/>
      <c r="AX805" s="49"/>
      <c r="AY805" s="48"/>
      <c r="AZ805" s="47"/>
      <c r="BA805" s="47"/>
      <c r="BB805" s="47"/>
      <c r="BC805" s="47"/>
      <c r="BD805" s="47"/>
    </row>
    <row r="806" spans="3:56" hidden="1" x14ac:dyDescent="0.25">
      <c r="C806" s="26" t="str">
        <f>Tools!$C$1</f>
        <v>Example</v>
      </c>
      <c r="D806" s="27" t="s">
        <v>70</v>
      </c>
      <c r="E806" s="28">
        <v>2019</v>
      </c>
      <c r="F806" s="28">
        <f>MATCH(DaybyDay[[#This Row],[RowMonth]],Table3[SummaryMonth],0)</f>
        <v>3</v>
      </c>
      <c r="G806" s="29">
        <f>MATCH(DaybyDay[[#This Row],[LY-Date]],DaybyDay[Date],0)</f>
        <v>436</v>
      </c>
      <c r="H806" s="30">
        <f>WEEKDAY(DaybyDay[[#This Row],[Date]])</f>
        <v>2</v>
      </c>
      <c r="I806" s="31">
        <v>43535</v>
      </c>
      <c r="J806" s="74">
        <v>18</v>
      </c>
      <c r="K806" s="32">
        <f>SUMIFS(BudgetSeasonality[365 Seasonality],BudgetSeasonality[MonthAdjustment],DaybyDay[[#This Row],[Date]])*SUMIFS(Budgets[Service-Budget],Budgets[BudgetMonth],DaybyDay[[#This Row],[RowMonth]],Budgets[BudgetYear],DaybyDay[[#This Row],[RowYear]])</f>
        <v>2503.6461681737419</v>
      </c>
      <c r="L806" s="75">
        <v>4386</v>
      </c>
      <c r="M806" s="32">
        <f>INDEX(BudgetSeasonality[365 Seasonality],MATCH(DaybyDay[[#This Row],[Date]],BudgetSeasonality[MonthAdjustment],0))*SUMIFS(Budgets[Retail-Budget],Budgets[BudgetMonth],DaybyDay[[#This Row],[RowMonth]],Budgets[BudgetYear],DaybyDay[[#This Row],[RowYear]])</f>
        <v>578.64492673897928</v>
      </c>
      <c r="N806" s="75">
        <v>1096</v>
      </c>
      <c r="O806" s="33">
        <f>SUMIFS(DaybyDay[Service-Budgets],DaybyDay[Date],"&gt;="&amp;$C$5,DaybyDay[RowYear],"&gt;="&amp;$C$4,DaybyDay[Date],"&lt;="&amp;DaybyDay[[#This Row],[Date]])</f>
        <v>0</v>
      </c>
      <c r="P806" s="33">
        <f>SUMIFS(DaybyDay[Retail-Budgets],DaybyDay[Date],"&gt;="&amp;$C$5,DaybyDay[RowYear],"&gt;="&amp;$C$4,DaybyDay[Date],"&lt;="&amp;DaybyDay[[#This Row],[Date]])</f>
        <v>0</v>
      </c>
      <c r="Q806" s="34">
        <f>SUMIFS(DaybyDay[Service-Actuals],DaybyDay[Date],"&gt;="&amp;$C$5,DaybyDay[RowYear],"&gt;="&amp;$C$4,DaybyDay[Date],"&lt;="&amp;DaybyDay[[#This Row],[Date]])</f>
        <v>0</v>
      </c>
      <c r="R806" s="34">
        <f>SUMIFS(DaybyDay[Retail-Actuals],DaybyDay[Date],"&gt;="&amp;$C$5,DaybyDay[RowYear],"&gt;="&amp;$C$4,DaybyDay[Date],"&lt;="&amp;DaybyDay[[#This Row],[Date]])</f>
        <v>0</v>
      </c>
      <c r="S806" s="35">
        <f>SUMIFS(DaybyDay[Service-LY],DaybyDay[Date],"&gt;="&amp;$C$5,DaybyDay[RowYear],"&gt;="&amp;$C$4,DaybyDay[Date],"&lt;="&amp;DaybyDay[[#This Row],[Date]])</f>
        <v>0</v>
      </c>
      <c r="T806" s="35">
        <f>SUMIFS(DaybyDay[Retail-LY],DaybyDay[Date],"&gt;="&amp;$C$5,DaybyDay[RowYear],"&gt;="&amp;$C$4,DaybyDay[Date],"&lt;="&amp;DaybyDay[[#This Row],[Date]])</f>
        <v>0</v>
      </c>
      <c r="U806" s="32">
        <f>DaybyDay[[#This Row],[Serv-Bud-RU]]+DaybyDay[[#This Row],[Ret-Bud-RU]]</f>
        <v>0</v>
      </c>
      <c r="V806" s="32">
        <f>DaybyDay[[#This Row],[Serv-Act-RU]]+DaybyDay[[#This Row],[Ret-Act-RU]]</f>
        <v>0</v>
      </c>
      <c r="W806" s="36">
        <f>IF(DaybyDay[[#This Row],[_Space]],IFERROR(
((DaybyDay[[#This Row],[Actual-Rollup]]-DaybyDay[[#This Row],[Budget-Rollup]])/DaybyDay[[#This Row],[Budget-Rollup]]),0),"")</f>
        <v>0</v>
      </c>
      <c r="X806" t="b">
        <f>NOT(AND(ISBLANK(DaybyDay[[#This Row],[Appts]]),ISBLANK(DaybyDay[[#This Row],[Service-Actuals]]),ISBLANK(DaybyDay[[#This Row],[Retail-Actuals]])))</f>
        <v>1</v>
      </c>
      <c r="Y806" s="36">
        <f>IF(DaybyDay[[#This Row],[_Space]],IFERROR(
((DaybyDay[[#This Row],[Actual-Rollup]]-DaybyDay[[#This Row],[LY-Rollup]])/DaybyDay[[#This Row],[LY-Rollup]]),0),"")</f>
        <v>0</v>
      </c>
      <c r="Z806"/>
      <c r="AA806" s="37" t="e">
        <f>IF(DaybyDay[[#This Row],[_Space]],DaybyDay[[#This Row],[Ret-Act-RU]]/DaybyDay[[#This Row],[Serv-Act-RU]],"")</f>
        <v>#DIV/0!</v>
      </c>
      <c r="AB806" s="50" t="e">
        <f>IF(DaybyDay[[#This Row],[_Space]],DaybyDay[[#This Row],[RETPEN-Act]]/DaybyDay[[#This Row],[RETPEN-Bud]],"")</f>
        <v>#DIV/0!</v>
      </c>
      <c r="AC806" s="37" t="e">
        <f>IF(DaybyDay[[#This Row],[_Space]],DaybyDay[[#This Row],[Ret-Bud-RU]]/DaybyDay[[#This Row],[Serv-Bud-RU]],"")</f>
        <v>#DIV/0!</v>
      </c>
      <c r="AD806" s="37" t="e">
        <f>IF(DaybyDay[[#This Row],[_Space]],DaybyDay[[#This Row],[Ret-LY-RU]]/DaybyDay[[#This Row],[Serv-LY-RU]],"")</f>
        <v>#DIV/0!</v>
      </c>
      <c r="AE806" s="30">
        <f>WEEKDAY(DaybyDay[[#This Row],[LY-Date]])</f>
        <v>2</v>
      </c>
      <c r="AF806" s="38">
        <f>$E$2+_xlfn.DAYS(DaybyDay[[#This Row],[Date]],minDate)</f>
        <v>43171</v>
      </c>
      <c r="AG806" s="39" cm="1">
        <f t="array" ref="AG806">IFERROR(INDEX(DaybyDay[],DaybyDay[[#This Row],[FORM_MATCH_HELPER]],8),"")</f>
        <v>12</v>
      </c>
      <c r="AH806" s="39" cm="1">
        <f t="array" ref="AH806">IFERROR(INDEX(DaybyDay[],DaybyDay[[#This Row],[FORM_MATCH_HELPER]],10),"")</f>
        <v>2120.4899999999998</v>
      </c>
      <c r="AI806" s="39" cm="1">
        <f t="array" ref="AI806">IFERROR(INDEX(DaybyDay[],DaybyDay[[#This Row],[FORM_MATCH_HELPER]],12),"")</f>
        <v>1017</v>
      </c>
      <c r="AJ806" s="32">
        <f>IFERROR(DaybyDay[[#This Row],[Serv-LY-RU]]+DaybyDay[[#This Row],[Ret-LY-RU]],"")</f>
        <v>0</v>
      </c>
      <c r="AK8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6" s="77"/>
      <c r="AM806" s="40" t="str">
        <f>IF(DaybyDay[[#This Row],[Admin Hours]]&gt;0,DaybyDay[[#This Row],[Admin Hours]]*$AM$2+$AM$3,"")</f>
        <v/>
      </c>
      <c r="AN806" s="40">
        <f>SUMIFS(DaybyDay[Est-Admin-Payroll],DaybyDay[Date],"&gt;="&amp;$C$5,DaybyDay[RowYear],"&gt;="&amp;$C$4,DaybyDay[Date],"&lt;="&amp;DaybyDay[[#This Row],[Date]])</f>
        <v>0</v>
      </c>
      <c r="AO806" s="41" t="str">
        <f>IF(AND(DaybyDay[[#This Row],[_Space]],ISNUMBER(DaybyDay[[#This Row],[Admin Hours]])),DaybyDay[[#This Row],[Est-Admin-Payroll]]/(DaybyDay[[#This Row],[Service-Actuals]]+DaybyDay[[#This Row],[Retail-Actuals]]),"")</f>
        <v/>
      </c>
      <c r="AP806" s="41" t="e">
        <f>DaybyDay[[#This Row],[Estimated-Payroll-Rollup]]/DaybyDay[[#This Row],[Simple-Forecast]]</f>
        <v>#DIV/0!</v>
      </c>
      <c r="AQ8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6" s="77"/>
      <c r="AS806" s="40" t="str">
        <f>IF(DaybyDay[[#This Row],[Retail Hours]]&gt;0,DaybyDay[[#This Row],[Retail Hours]]*$AS$2,"")</f>
        <v/>
      </c>
      <c r="AT806" s="40">
        <f>SUMIFS(DaybyDay[Est-Retail-Payroll],DaybyDay[Date],"&gt;="&amp;$C$5,DaybyDay[RowYear],"&gt;="&amp;$C$4,DaybyDay[Date],"&lt;="&amp;DaybyDay[[#This Row],[Date]])</f>
        <v>0</v>
      </c>
      <c r="AU806" s="82" t="str">
        <f>IF(AND(DaybyDay[[#This Row],[_Space]],ISNUMBER(DaybyDay[[#This Row],[Retail Hours]])),DaybyDay[[#This Row],[Est-Retail-Payroll]]/(DaybyDay[[#This Row],[Retail-Actuals]]),"")</f>
        <v/>
      </c>
      <c r="AV806" s="82" t="e">
        <f>DaybyDay[[#This Row],[Est-Retail-PayrollRU]]/DaybyDay[[#This Row],[Simple-Forecast-Retail]]</f>
        <v>#DIV/0!</v>
      </c>
      <c r="AW806" s="8"/>
      <c r="AX806" s="49"/>
      <c r="AY806" s="48"/>
      <c r="AZ806" s="47"/>
      <c r="BA806" s="47"/>
      <c r="BB806" s="47"/>
      <c r="BC806" s="47"/>
      <c r="BD806" s="47"/>
    </row>
    <row r="807" spans="3:56" hidden="1" x14ac:dyDescent="0.25">
      <c r="C807" s="26" t="str">
        <f>Tools!$C$1</f>
        <v>Example</v>
      </c>
      <c r="D807" s="27" t="s">
        <v>70</v>
      </c>
      <c r="E807" s="28">
        <v>2019</v>
      </c>
      <c r="F807" s="28">
        <f>MATCH(DaybyDay[[#This Row],[RowMonth]],Table3[SummaryMonth],0)</f>
        <v>3</v>
      </c>
      <c r="G807" s="29">
        <f>MATCH(DaybyDay[[#This Row],[LY-Date]],DaybyDay[Date],0)</f>
        <v>437</v>
      </c>
      <c r="H807" s="30">
        <f>WEEKDAY(DaybyDay[[#This Row],[Date]])</f>
        <v>3</v>
      </c>
      <c r="I807" s="31">
        <v>43536</v>
      </c>
      <c r="J807" s="74">
        <v>16</v>
      </c>
      <c r="K807" s="32">
        <f>SUMIFS(BudgetSeasonality[365 Seasonality],BudgetSeasonality[MonthAdjustment],DaybyDay[[#This Row],[Date]])*SUMIFS(Budgets[Service-Budget],Budgets[BudgetMonth],DaybyDay[[#This Row],[RowMonth]],Budgets[BudgetYear],DaybyDay[[#This Row],[RowYear]])</f>
        <v>2652.404239459871</v>
      </c>
      <c r="L807" s="75">
        <v>3332.45</v>
      </c>
      <c r="M807" s="32">
        <f>INDEX(BudgetSeasonality[365 Seasonality],MATCH(DaybyDay[[#This Row],[Date]],BudgetSeasonality[MonthAdjustment],0))*SUMIFS(Budgets[Retail-Budget],Budgets[BudgetMonth],DaybyDay[[#This Row],[RowMonth]],Budgets[BudgetYear],DaybyDay[[#This Row],[RowYear]])</f>
        <v>613.02602433791947</v>
      </c>
      <c r="N807" s="75">
        <v>853</v>
      </c>
      <c r="O807" s="33">
        <f>SUMIFS(DaybyDay[Service-Budgets],DaybyDay[Date],"&gt;="&amp;$C$5,DaybyDay[RowYear],"&gt;="&amp;$C$4,DaybyDay[Date],"&lt;="&amp;DaybyDay[[#This Row],[Date]])</f>
        <v>0</v>
      </c>
      <c r="P807" s="33">
        <f>SUMIFS(DaybyDay[Retail-Budgets],DaybyDay[Date],"&gt;="&amp;$C$5,DaybyDay[RowYear],"&gt;="&amp;$C$4,DaybyDay[Date],"&lt;="&amp;DaybyDay[[#This Row],[Date]])</f>
        <v>0</v>
      </c>
      <c r="Q807" s="34">
        <f>SUMIFS(DaybyDay[Service-Actuals],DaybyDay[Date],"&gt;="&amp;$C$5,DaybyDay[RowYear],"&gt;="&amp;$C$4,DaybyDay[Date],"&lt;="&amp;DaybyDay[[#This Row],[Date]])</f>
        <v>0</v>
      </c>
      <c r="R807" s="34">
        <f>SUMIFS(DaybyDay[Retail-Actuals],DaybyDay[Date],"&gt;="&amp;$C$5,DaybyDay[RowYear],"&gt;="&amp;$C$4,DaybyDay[Date],"&lt;="&amp;DaybyDay[[#This Row],[Date]])</f>
        <v>0</v>
      </c>
      <c r="S807" s="35">
        <f>SUMIFS(DaybyDay[Service-LY],DaybyDay[Date],"&gt;="&amp;$C$5,DaybyDay[RowYear],"&gt;="&amp;$C$4,DaybyDay[Date],"&lt;="&amp;DaybyDay[[#This Row],[Date]])</f>
        <v>0</v>
      </c>
      <c r="T807" s="35">
        <f>SUMIFS(DaybyDay[Retail-LY],DaybyDay[Date],"&gt;="&amp;$C$5,DaybyDay[RowYear],"&gt;="&amp;$C$4,DaybyDay[Date],"&lt;="&amp;DaybyDay[[#This Row],[Date]])</f>
        <v>0</v>
      </c>
      <c r="U807" s="32">
        <f>DaybyDay[[#This Row],[Serv-Bud-RU]]+DaybyDay[[#This Row],[Ret-Bud-RU]]</f>
        <v>0</v>
      </c>
      <c r="V807" s="32">
        <f>DaybyDay[[#This Row],[Serv-Act-RU]]+DaybyDay[[#This Row],[Ret-Act-RU]]</f>
        <v>0</v>
      </c>
      <c r="W807" s="36">
        <f>IF(DaybyDay[[#This Row],[_Space]],IFERROR(
((DaybyDay[[#This Row],[Actual-Rollup]]-DaybyDay[[#This Row],[Budget-Rollup]])/DaybyDay[[#This Row],[Budget-Rollup]]),0),"")</f>
        <v>0</v>
      </c>
      <c r="X807" t="b">
        <f>NOT(AND(ISBLANK(DaybyDay[[#This Row],[Appts]]),ISBLANK(DaybyDay[[#This Row],[Service-Actuals]]),ISBLANK(DaybyDay[[#This Row],[Retail-Actuals]])))</f>
        <v>1</v>
      </c>
      <c r="Y807" s="36">
        <f>IF(DaybyDay[[#This Row],[_Space]],IFERROR(
((DaybyDay[[#This Row],[Actual-Rollup]]-DaybyDay[[#This Row],[LY-Rollup]])/DaybyDay[[#This Row],[LY-Rollup]]),0),"")</f>
        <v>0</v>
      </c>
      <c r="Z807"/>
      <c r="AA807" s="37" t="e">
        <f>IF(DaybyDay[[#This Row],[_Space]],DaybyDay[[#This Row],[Ret-Act-RU]]/DaybyDay[[#This Row],[Serv-Act-RU]],"")</f>
        <v>#DIV/0!</v>
      </c>
      <c r="AB807" s="50" t="e">
        <f>IF(DaybyDay[[#This Row],[_Space]],DaybyDay[[#This Row],[RETPEN-Act]]/DaybyDay[[#This Row],[RETPEN-Bud]],"")</f>
        <v>#DIV/0!</v>
      </c>
      <c r="AC807" s="37" t="e">
        <f>IF(DaybyDay[[#This Row],[_Space]],DaybyDay[[#This Row],[Ret-Bud-RU]]/DaybyDay[[#This Row],[Serv-Bud-RU]],"")</f>
        <v>#DIV/0!</v>
      </c>
      <c r="AD807" s="37" t="e">
        <f>IF(DaybyDay[[#This Row],[_Space]],DaybyDay[[#This Row],[Ret-LY-RU]]/DaybyDay[[#This Row],[Serv-LY-RU]],"")</f>
        <v>#DIV/0!</v>
      </c>
      <c r="AE807" s="30">
        <f>WEEKDAY(DaybyDay[[#This Row],[LY-Date]])</f>
        <v>3</v>
      </c>
      <c r="AF807" s="38">
        <f>$E$2+_xlfn.DAYS(DaybyDay[[#This Row],[Date]],minDate)</f>
        <v>43172</v>
      </c>
      <c r="AG807" s="39" cm="1">
        <f t="array" ref="AG807">IFERROR(INDEX(DaybyDay[],DaybyDay[[#This Row],[FORM_MATCH_HELPER]],8),"")</f>
        <v>19</v>
      </c>
      <c r="AH807" s="39" cm="1">
        <f t="array" ref="AH807">IFERROR(INDEX(DaybyDay[],DaybyDay[[#This Row],[FORM_MATCH_HELPER]],10),"")</f>
        <v>4720</v>
      </c>
      <c r="AI807" s="39" cm="1">
        <f t="array" ref="AI807">IFERROR(INDEX(DaybyDay[],DaybyDay[[#This Row],[FORM_MATCH_HELPER]],12),"")</f>
        <v>406</v>
      </c>
      <c r="AJ807" s="32">
        <f>IFERROR(DaybyDay[[#This Row],[Serv-LY-RU]]+DaybyDay[[#This Row],[Ret-LY-RU]],"")</f>
        <v>0</v>
      </c>
      <c r="AK8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7" s="77"/>
      <c r="AM807" s="40" t="str">
        <f>IF(DaybyDay[[#This Row],[Admin Hours]]&gt;0,DaybyDay[[#This Row],[Admin Hours]]*$AM$2+$AM$3,"")</f>
        <v/>
      </c>
      <c r="AN807" s="40">
        <f>SUMIFS(DaybyDay[Est-Admin-Payroll],DaybyDay[Date],"&gt;="&amp;$C$5,DaybyDay[RowYear],"&gt;="&amp;$C$4,DaybyDay[Date],"&lt;="&amp;DaybyDay[[#This Row],[Date]])</f>
        <v>0</v>
      </c>
      <c r="AO807" s="41" t="str">
        <f>IF(AND(DaybyDay[[#This Row],[_Space]],ISNUMBER(DaybyDay[[#This Row],[Admin Hours]])),DaybyDay[[#This Row],[Est-Admin-Payroll]]/(DaybyDay[[#This Row],[Service-Actuals]]+DaybyDay[[#This Row],[Retail-Actuals]]),"")</f>
        <v/>
      </c>
      <c r="AP807" s="41" t="e">
        <f>DaybyDay[[#This Row],[Estimated-Payroll-Rollup]]/DaybyDay[[#This Row],[Simple-Forecast]]</f>
        <v>#DIV/0!</v>
      </c>
      <c r="AQ8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7" s="77"/>
      <c r="AS807" s="40" t="str">
        <f>IF(DaybyDay[[#This Row],[Retail Hours]]&gt;0,DaybyDay[[#This Row],[Retail Hours]]*$AS$2,"")</f>
        <v/>
      </c>
      <c r="AT807" s="40">
        <f>SUMIFS(DaybyDay[Est-Retail-Payroll],DaybyDay[Date],"&gt;="&amp;$C$5,DaybyDay[RowYear],"&gt;="&amp;$C$4,DaybyDay[Date],"&lt;="&amp;DaybyDay[[#This Row],[Date]])</f>
        <v>0</v>
      </c>
      <c r="AU807" s="82" t="str">
        <f>IF(AND(DaybyDay[[#This Row],[_Space]],ISNUMBER(DaybyDay[[#This Row],[Retail Hours]])),DaybyDay[[#This Row],[Est-Retail-Payroll]]/(DaybyDay[[#This Row],[Retail-Actuals]]),"")</f>
        <v/>
      </c>
      <c r="AV807" s="82" t="e">
        <f>DaybyDay[[#This Row],[Est-Retail-PayrollRU]]/DaybyDay[[#This Row],[Simple-Forecast-Retail]]</f>
        <v>#DIV/0!</v>
      </c>
      <c r="AW807" s="8"/>
      <c r="AX807" s="49"/>
      <c r="AY807" s="48"/>
      <c r="AZ807" s="47"/>
      <c r="BA807" s="47"/>
      <c r="BB807" s="47"/>
      <c r="BC807" s="47"/>
      <c r="BD807" s="47"/>
    </row>
    <row r="808" spans="3:56" hidden="1" x14ac:dyDescent="0.25">
      <c r="C808" s="26" t="str">
        <f>Tools!$C$1</f>
        <v>Example</v>
      </c>
      <c r="D808" s="27" t="s">
        <v>70</v>
      </c>
      <c r="E808" s="28">
        <v>2019</v>
      </c>
      <c r="F808" s="28">
        <f>MATCH(DaybyDay[[#This Row],[RowMonth]],Table3[SummaryMonth],0)</f>
        <v>3</v>
      </c>
      <c r="G808" s="29">
        <f>MATCH(DaybyDay[[#This Row],[LY-Date]],DaybyDay[Date],0)</f>
        <v>438</v>
      </c>
      <c r="H808" s="30">
        <f>WEEKDAY(DaybyDay[[#This Row],[Date]])</f>
        <v>4</v>
      </c>
      <c r="I808" s="31">
        <v>43537</v>
      </c>
      <c r="J808" s="74">
        <v>19</v>
      </c>
      <c r="K808" s="32">
        <f>SUMIFS(BudgetSeasonality[365 Seasonality],BudgetSeasonality[MonthAdjustment],DaybyDay[[#This Row],[Date]])*SUMIFS(Budgets[Service-Budget],Budgets[BudgetMonth],DaybyDay[[#This Row],[RowMonth]],Budgets[BudgetYear],DaybyDay[[#This Row],[RowYear]])</f>
        <v>3137.1082874988897</v>
      </c>
      <c r="L808" s="75">
        <v>3362.4</v>
      </c>
      <c r="M808" s="32">
        <f>INDEX(BudgetSeasonality[365 Seasonality],MATCH(DaybyDay[[#This Row],[Date]],BudgetSeasonality[MonthAdjustment],0))*SUMIFS(Budgets[Retail-Budget],Budgets[BudgetMonth],DaybyDay[[#This Row],[RowMonth]],Budgets[BudgetYear],DaybyDay[[#This Row],[RowYear]])</f>
        <v>725.05125455334235</v>
      </c>
      <c r="N808" s="75">
        <v>538</v>
      </c>
      <c r="O808" s="33">
        <f>SUMIFS(DaybyDay[Service-Budgets],DaybyDay[Date],"&gt;="&amp;$C$5,DaybyDay[RowYear],"&gt;="&amp;$C$4,DaybyDay[Date],"&lt;="&amp;DaybyDay[[#This Row],[Date]])</f>
        <v>0</v>
      </c>
      <c r="P808" s="33">
        <f>SUMIFS(DaybyDay[Retail-Budgets],DaybyDay[Date],"&gt;="&amp;$C$5,DaybyDay[RowYear],"&gt;="&amp;$C$4,DaybyDay[Date],"&lt;="&amp;DaybyDay[[#This Row],[Date]])</f>
        <v>0</v>
      </c>
      <c r="Q808" s="34">
        <f>SUMIFS(DaybyDay[Service-Actuals],DaybyDay[Date],"&gt;="&amp;$C$5,DaybyDay[RowYear],"&gt;="&amp;$C$4,DaybyDay[Date],"&lt;="&amp;DaybyDay[[#This Row],[Date]])</f>
        <v>0</v>
      </c>
      <c r="R808" s="34">
        <f>SUMIFS(DaybyDay[Retail-Actuals],DaybyDay[Date],"&gt;="&amp;$C$5,DaybyDay[RowYear],"&gt;="&amp;$C$4,DaybyDay[Date],"&lt;="&amp;DaybyDay[[#This Row],[Date]])</f>
        <v>0</v>
      </c>
      <c r="S808" s="35">
        <f>SUMIFS(DaybyDay[Service-LY],DaybyDay[Date],"&gt;="&amp;$C$5,DaybyDay[RowYear],"&gt;="&amp;$C$4,DaybyDay[Date],"&lt;="&amp;DaybyDay[[#This Row],[Date]])</f>
        <v>0</v>
      </c>
      <c r="T808" s="35">
        <f>SUMIFS(DaybyDay[Retail-LY],DaybyDay[Date],"&gt;="&amp;$C$5,DaybyDay[RowYear],"&gt;="&amp;$C$4,DaybyDay[Date],"&lt;="&amp;DaybyDay[[#This Row],[Date]])</f>
        <v>0</v>
      </c>
      <c r="U808" s="32">
        <f>DaybyDay[[#This Row],[Serv-Bud-RU]]+DaybyDay[[#This Row],[Ret-Bud-RU]]</f>
        <v>0</v>
      </c>
      <c r="V808" s="32">
        <f>DaybyDay[[#This Row],[Serv-Act-RU]]+DaybyDay[[#This Row],[Ret-Act-RU]]</f>
        <v>0</v>
      </c>
      <c r="W808" s="36">
        <f>IF(DaybyDay[[#This Row],[_Space]],IFERROR(
((DaybyDay[[#This Row],[Actual-Rollup]]-DaybyDay[[#This Row],[Budget-Rollup]])/DaybyDay[[#This Row],[Budget-Rollup]]),0),"")</f>
        <v>0</v>
      </c>
      <c r="X808" t="b">
        <f>NOT(AND(ISBLANK(DaybyDay[[#This Row],[Appts]]),ISBLANK(DaybyDay[[#This Row],[Service-Actuals]]),ISBLANK(DaybyDay[[#This Row],[Retail-Actuals]])))</f>
        <v>1</v>
      </c>
      <c r="Y808" s="36">
        <f>IF(DaybyDay[[#This Row],[_Space]],IFERROR(
((DaybyDay[[#This Row],[Actual-Rollup]]-DaybyDay[[#This Row],[LY-Rollup]])/DaybyDay[[#This Row],[LY-Rollup]]),0),"")</f>
        <v>0</v>
      </c>
      <c r="Z808"/>
      <c r="AA808" s="37" t="e">
        <f>IF(DaybyDay[[#This Row],[_Space]],DaybyDay[[#This Row],[Ret-Act-RU]]/DaybyDay[[#This Row],[Serv-Act-RU]],"")</f>
        <v>#DIV/0!</v>
      </c>
      <c r="AB808" s="50" t="e">
        <f>IF(DaybyDay[[#This Row],[_Space]],DaybyDay[[#This Row],[RETPEN-Act]]/DaybyDay[[#This Row],[RETPEN-Bud]],"")</f>
        <v>#DIV/0!</v>
      </c>
      <c r="AC808" s="37" t="e">
        <f>IF(DaybyDay[[#This Row],[_Space]],DaybyDay[[#This Row],[Ret-Bud-RU]]/DaybyDay[[#This Row],[Serv-Bud-RU]],"")</f>
        <v>#DIV/0!</v>
      </c>
      <c r="AD808" s="37" t="e">
        <f>IF(DaybyDay[[#This Row],[_Space]],DaybyDay[[#This Row],[Ret-LY-RU]]/DaybyDay[[#This Row],[Serv-LY-RU]],"")</f>
        <v>#DIV/0!</v>
      </c>
      <c r="AE808" s="30">
        <f>WEEKDAY(DaybyDay[[#This Row],[LY-Date]])</f>
        <v>4</v>
      </c>
      <c r="AF808" s="38">
        <f>$E$2+_xlfn.DAYS(DaybyDay[[#This Row],[Date]],minDate)</f>
        <v>43173</v>
      </c>
      <c r="AG808" s="39" cm="1">
        <f t="array" ref="AG808">IFERROR(INDEX(DaybyDay[],DaybyDay[[#This Row],[FORM_MATCH_HELPER]],8),"")</f>
        <v>29</v>
      </c>
      <c r="AH808" s="39" cm="1">
        <f t="array" ref="AH808">IFERROR(INDEX(DaybyDay[],DaybyDay[[#This Row],[FORM_MATCH_HELPER]],10),"")</f>
        <v>6076</v>
      </c>
      <c r="AI808" s="39" cm="1">
        <f t="array" ref="AI808">IFERROR(INDEX(DaybyDay[],DaybyDay[[#This Row],[FORM_MATCH_HELPER]],12),"")</f>
        <v>1420.17</v>
      </c>
      <c r="AJ808" s="32">
        <f>IFERROR(DaybyDay[[#This Row],[Serv-LY-RU]]+DaybyDay[[#This Row],[Ret-LY-RU]],"")</f>
        <v>0</v>
      </c>
      <c r="AK8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8" s="77"/>
      <c r="AM808" s="40" t="str">
        <f>IF(DaybyDay[[#This Row],[Admin Hours]]&gt;0,DaybyDay[[#This Row],[Admin Hours]]*$AM$2+$AM$3,"")</f>
        <v/>
      </c>
      <c r="AN808" s="40">
        <f>SUMIFS(DaybyDay[Est-Admin-Payroll],DaybyDay[Date],"&gt;="&amp;$C$5,DaybyDay[RowYear],"&gt;="&amp;$C$4,DaybyDay[Date],"&lt;="&amp;DaybyDay[[#This Row],[Date]])</f>
        <v>0</v>
      </c>
      <c r="AO808" s="41" t="str">
        <f>IF(AND(DaybyDay[[#This Row],[_Space]],ISNUMBER(DaybyDay[[#This Row],[Admin Hours]])),DaybyDay[[#This Row],[Est-Admin-Payroll]]/(DaybyDay[[#This Row],[Service-Actuals]]+DaybyDay[[#This Row],[Retail-Actuals]]),"")</f>
        <v/>
      </c>
      <c r="AP808" s="41" t="e">
        <f>DaybyDay[[#This Row],[Estimated-Payroll-Rollup]]/DaybyDay[[#This Row],[Simple-Forecast]]</f>
        <v>#DIV/0!</v>
      </c>
      <c r="AQ8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8" s="77"/>
      <c r="AS808" s="40" t="str">
        <f>IF(DaybyDay[[#This Row],[Retail Hours]]&gt;0,DaybyDay[[#This Row],[Retail Hours]]*$AS$2,"")</f>
        <v/>
      </c>
      <c r="AT808" s="40">
        <f>SUMIFS(DaybyDay[Est-Retail-Payroll],DaybyDay[Date],"&gt;="&amp;$C$5,DaybyDay[RowYear],"&gt;="&amp;$C$4,DaybyDay[Date],"&lt;="&amp;DaybyDay[[#This Row],[Date]])</f>
        <v>0</v>
      </c>
      <c r="AU808" s="82" t="str">
        <f>IF(AND(DaybyDay[[#This Row],[_Space]],ISNUMBER(DaybyDay[[#This Row],[Retail Hours]])),DaybyDay[[#This Row],[Est-Retail-Payroll]]/(DaybyDay[[#This Row],[Retail-Actuals]]),"")</f>
        <v/>
      </c>
      <c r="AV808" s="82" t="e">
        <f>DaybyDay[[#This Row],[Est-Retail-PayrollRU]]/DaybyDay[[#This Row],[Simple-Forecast-Retail]]</f>
        <v>#DIV/0!</v>
      </c>
      <c r="AW808" s="8"/>
      <c r="AX808" s="49"/>
      <c r="AY808" s="48"/>
      <c r="AZ808" s="47"/>
      <c r="BA808" s="47"/>
      <c r="BB808" s="47"/>
      <c r="BC808" s="47"/>
      <c r="BD808" s="47"/>
    </row>
    <row r="809" spans="3:56" hidden="1" x14ac:dyDescent="0.25">
      <c r="C809" s="26" t="str">
        <f>Tools!$C$1</f>
        <v>Example</v>
      </c>
      <c r="D809" s="27" t="s">
        <v>70</v>
      </c>
      <c r="E809" s="28">
        <v>2019</v>
      </c>
      <c r="F809" s="28">
        <f>MATCH(DaybyDay[[#This Row],[RowMonth]],Table3[SummaryMonth],0)</f>
        <v>3</v>
      </c>
      <c r="G809" s="29">
        <f>MATCH(DaybyDay[[#This Row],[LY-Date]],DaybyDay[Date],0)</f>
        <v>439</v>
      </c>
      <c r="H809" s="30">
        <f>WEEKDAY(DaybyDay[[#This Row],[Date]])</f>
        <v>5</v>
      </c>
      <c r="I809" s="31">
        <v>43538</v>
      </c>
      <c r="J809" s="74">
        <v>21</v>
      </c>
      <c r="K809" s="32">
        <f>SUMIFS(BudgetSeasonality[365 Seasonality],BudgetSeasonality[MonthAdjustment],DaybyDay[[#This Row],[Date]])*SUMIFS(Budgets[Service-Budget],Budgets[BudgetMonth],DaybyDay[[#This Row],[RowMonth]],Budgets[BudgetYear],DaybyDay[[#This Row],[RowYear]])</f>
        <v>3294.0792247849704</v>
      </c>
      <c r="L809" s="75">
        <v>4551.25</v>
      </c>
      <c r="M809" s="32">
        <f>INDEX(BudgetSeasonality[365 Seasonality],MATCH(DaybyDay[[#This Row],[Date]],BudgetSeasonality[MonthAdjustment],0))*SUMIFS(Budgets[Retail-Budget],Budgets[BudgetMonth],DaybyDay[[#This Row],[RowMonth]],Budgets[BudgetYear],DaybyDay[[#This Row],[RowYear]])</f>
        <v>761.3305170388669</v>
      </c>
      <c r="N809" s="75">
        <v>967.8</v>
      </c>
      <c r="O809" s="33">
        <f>SUMIFS(DaybyDay[Service-Budgets],DaybyDay[Date],"&gt;="&amp;$C$5,DaybyDay[RowYear],"&gt;="&amp;$C$4,DaybyDay[Date],"&lt;="&amp;DaybyDay[[#This Row],[Date]])</f>
        <v>0</v>
      </c>
      <c r="P809" s="33">
        <f>SUMIFS(DaybyDay[Retail-Budgets],DaybyDay[Date],"&gt;="&amp;$C$5,DaybyDay[RowYear],"&gt;="&amp;$C$4,DaybyDay[Date],"&lt;="&amp;DaybyDay[[#This Row],[Date]])</f>
        <v>0</v>
      </c>
      <c r="Q809" s="34">
        <f>SUMIFS(DaybyDay[Service-Actuals],DaybyDay[Date],"&gt;="&amp;$C$5,DaybyDay[RowYear],"&gt;="&amp;$C$4,DaybyDay[Date],"&lt;="&amp;DaybyDay[[#This Row],[Date]])</f>
        <v>0</v>
      </c>
      <c r="R809" s="34">
        <f>SUMIFS(DaybyDay[Retail-Actuals],DaybyDay[Date],"&gt;="&amp;$C$5,DaybyDay[RowYear],"&gt;="&amp;$C$4,DaybyDay[Date],"&lt;="&amp;DaybyDay[[#This Row],[Date]])</f>
        <v>0</v>
      </c>
      <c r="S809" s="35">
        <f>SUMIFS(DaybyDay[Service-LY],DaybyDay[Date],"&gt;="&amp;$C$5,DaybyDay[RowYear],"&gt;="&amp;$C$4,DaybyDay[Date],"&lt;="&amp;DaybyDay[[#This Row],[Date]])</f>
        <v>0</v>
      </c>
      <c r="T809" s="35">
        <f>SUMIFS(DaybyDay[Retail-LY],DaybyDay[Date],"&gt;="&amp;$C$5,DaybyDay[RowYear],"&gt;="&amp;$C$4,DaybyDay[Date],"&lt;="&amp;DaybyDay[[#This Row],[Date]])</f>
        <v>0</v>
      </c>
      <c r="U809" s="32">
        <f>DaybyDay[[#This Row],[Serv-Bud-RU]]+DaybyDay[[#This Row],[Ret-Bud-RU]]</f>
        <v>0</v>
      </c>
      <c r="V809" s="32">
        <f>DaybyDay[[#This Row],[Serv-Act-RU]]+DaybyDay[[#This Row],[Ret-Act-RU]]</f>
        <v>0</v>
      </c>
      <c r="W809" s="36">
        <f>IF(DaybyDay[[#This Row],[_Space]],IFERROR(
((DaybyDay[[#This Row],[Actual-Rollup]]-DaybyDay[[#This Row],[Budget-Rollup]])/DaybyDay[[#This Row],[Budget-Rollup]]),0),"")</f>
        <v>0</v>
      </c>
      <c r="X809" t="b">
        <f>NOT(AND(ISBLANK(DaybyDay[[#This Row],[Appts]]),ISBLANK(DaybyDay[[#This Row],[Service-Actuals]]),ISBLANK(DaybyDay[[#This Row],[Retail-Actuals]])))</f>
        <v>1</v>
      </c>
      <c r="Y809" s="36">
        <f>IF(DaybyDay[[#This Row],[_Space]],IFERROR(
((DaybyDay[[#This Row],[Actual-Rollup]]-DaybyDay[[#This Row],[LY-Rollup]])/DaybyDay[[#This Row],[LY-Rollup]]),0),"")</f>
        <v>0</v>
      </c>
      <c r="Z809"/>
      <c r="AA809" s="37" t="e">
        <f>IF(DaybyDay[[#This Row],[_Space]],DaybyDay[[#This Row],[Ret-Act-RU]]/DaybyDay[[#This Row],[Serv-Act-RU]],"")</f>
        <v>#DIV/0!</v>
      </c>
      <c r="AB809" s="50" t="e">
        <f>IF(DaybyDay[[#This Row],[_Space]],DaybyDay[[#This Row],[RETPEN-Act]]/DaybyDay[[#This Row],[RETPEN-Bud]],"")</f>
        <v>#DIV/0!</v>
      </c>
      <c r="AC809" s="37" t="e">
        <f>IF(DaybyDay[[#This Row],[_Space]],DaybyDay[[#This Row],[Ret-Bud-RU]]/DaybyDay[[#This Row],[Serv-Bud-RU]],"")</f>
        <v>#DIV/0!</v>
      </c>
      <c r="AD809" s="37" t="e">
        <f>IF(DaybyDay[[#This Row],[_Space]],DaybyDay[[#This Row],[Ret-LY-RU]]/DaybyDay[[#This Row],[Serv-LY-RU]],"")</f>
        <v>#DIV/0!</v>
      </c>
      <c r="AE809" s="30">
        <f>WEEKDAY(DaybyDay[[#This Row],[LY-Date]])</f>
        <v>5</v>
      </c>
      <c r="AF809" s="38">
        <f>$E$2+_xlfn.DAYS(DaybyDay[[#This Row],[Date]],minDate)</f>
        <v>43174</v>
      </c>
      <c r="AG809" s="39" cm="1">
        <f t="array" ref="AG809">IFERROR(INDEX(DaybyDay[],DaybyDay[[#This Row],[FORM_MATCH_HELPER]],8),"")</f>
        <v>23</v>
      </c>
      <c r="AH809" s="39" cm="1">
        <f t="array" ref="AH809">IFERROR(INDEX(DaybyDay[],DaybyDay[[#This Row],[FORM_MATCH_HELPER]],10),"")</f>
        <v>3973</v>
      </c>
      <c r="AI809" s="39" cm="1">
        <f t="array" ref="AI809">IFERROR(INDEX(DaybyDay[],DaybyDay[[#This Row],[FORM_MATCH_HELPER]],12),"")</f>
        <v>2489.5</v>
      </c>
      <c r="AJ809" s="32">
        <f>IFERROR(DaybyDay[[#This Row],[Serv-LY-RU]]+DaybyDay[[#This Row],[Ret-LY-RU]],"")</f>
        <v>0</v>
      </c>
      <c r="AK8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09" s="77"/>
      <c r="AM809" s="40" t="str">
        <f>IF(DaybyDay[[#This Row],[Admin Hours]]&gt;0,DaybyDay[[#This Row],[Admin Hours]]*$AM$2+$AM$3,"")</f>
        <v/>
      </c>
      <c r="AN809" s="40">
        <f>SUMIFS(DaybyDay[Est-Admin-Payroll],DaybyDay[Date],"&gt;="&amp;$C$5,DaybyDay[RowYear],"&gt;="&amp;$C$4,DaybyDay[Date],"&lt;="&amp;DaybyDay[[#This Row],[Date]])</f>
        <v>0</v>
      </c>
      <c r="AO809" s="41" t="str">
        <f>IF(AND(DaybyDay[[#This Row],[_Space]],ISNUMBER(DaybyDay[[#This Row],[Admin Hours]])),DaybyDay[[#This Row],[Est-Admin-Payroll]]/(DaybyDay[[#This Row],[Service-Actuals]]+DaybyDay[[#This Row],[Retail-Actuals]]),"")</f>
        <v/>
      </c>
      <c r="AP809" s="41" t="e">
        <f>DaybyDay[[#This Row],[Estimated-Payroll-Rollup]]/DaybyDay[[#This Row],[Simple-Forecast]]</f>
        <v>#DIV/0!</v>
      </c>
      <c r="AQ8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09" s="77"/>
      <c r="AS809" s="40" t="str">
        <f>IF(DaybyDay[[#This Row],[Retail Hours]]&gt;0,DaybyDay[[#This Row],[Retail Hours]]*$AS$2,"")</f>
        <v/>
      </c>
      <c r="AT809" s="40">
        <f>SUMIFS(DaybyDay[Est-Retail-Payroll],DaybyDay[Date],"&gt;="&amp;$C$5,DaybyDay[RowYear],"&gt;="&amp;$C$4,DaybyDay[Date],"&lt;="&amp;DaybyDay[[#This Row],[Date]])</f>
        <v>0</v>
      </c>
      <c r="AU809" s="82" t="str">
        <f>IF(AND(DaybyDay[[#This Row],[_Space]],ISNUMBER(DaybyDay[[#This Row],[Retail Hours]])),DaybyDay[[#This Row],[Est-Retail-Payroll]]/(DaybyDay[[#This Row],[Retail-Actuals]]),"")</f>
        <v/>
      </c>
      <c r="AV809" s="82" t="e">
        <f>DaybyDay[[#This Row],[Est-Retail-PayrollRU]]/DaybyDay[[#This Row],[Simple-Forecast-Retail]]</f>
        <v>#DIV/0!</v>
      </c>
      <c r="AW809" s="8"/>
      <c r="AX809" s="49"/>
      <c r="AY809" s="48"/>
      <c r="AZ809" s="47"/>
      <c r="BA809" s="47"/>
      <c r="BB809" s="47"/>
      <c r="BC809" s="47"/>
      <c r="BD809" s="47"/>
    </row>
    <row r="810" spans="3:56" hidden="1" x14ac:dyDescent="0.25">
      <c r="C810" s="26" t="str">
        <f>Tools!$C$1</f>
        <v>Example</v>
      </c>
      <c r="D810" s="27" t="s">
        <v>70</v>
      </c>
      <c r="E810" s="28">
        <v>2019</v>
      </c>
      <c r="F810" s="28">
        <f>MATCH(DaybyDay[[#This Row],[RowMonth]],Table3[SummaryMonth],0)</f>
        <v>3</v>
      </c>
      <c r="G810" s="29">
        <f>MATCH(DaybyDay[[#This Row],[LY-Date]],DaybyDay[Date],0)</f>
        <v>440</v>
      </c>
      <c r="H810" s="30">
        <f>WEEKDAY(DaybyDay[[#This Row],[Date]])</f>
        <v>6</v>
      </c>
      <c r="I810" s="31">
        <v>43539</v>
      </c>
      <c r="J810" s="74">
        <v>32</v>
      </c>
      <c r="K810" s="32">
        <f>SUMIFS(BudgetSeasonality[365 Seasonality],BudgetSeasonality[MonthAdjustment],DaybyDay[[#This Row],[Date]])*SUMIFS(Budgets[Service-Budget],Budgets[BudgetMonth],DaybyDay[[#This Row],[RowMonth]],Budgets[BudgetYear],DaybyDay[[#This Row],[RowYear]])</f>
        <v>4148.8465552047091</v>
      </c>
      <c r="L810" s="75">
        <v>5512.8</v>
      </c>
      <c r="M810" s="32">
        <f>INDEX(BudgetSeasonality[365 Seasonality],MATCH(DaybyDay[[#This Row],[Date]],BudgetSeasonality[MonthAdjustment],0))*SUMIFS(Budgets[Retail-Budget],Budgets[BudgetMonth],DaybyDay[[#This Row],[RowMonth]],Budgets[BudgetYear],DaybyDay[[#This Row],[RowYear]])</f>
        <v>958.88510185880909</v>
      </c>
      <c r="N810" s="75">
        <v>206.5</v>
      </c>
      <c r="O810" s="33">
        <f>SUMIFS(DaybyDay[Service-Budgets],DaybyDay[Date],"&gt;="&amp;$C$5,DaybyDay[RowYear],"&gt;="&amp;$C$4,DaybyDay[Date],"&lt;="&amp;DaybyDay[[#This Row],[Date]])</f>
        <v>0</v>
      </c>
      <c r="P810" s="33">
        <f>SUMIFS(DaybyDay[Retail-Budgets],DaybyDay[Date],"&gt;="&amp;$C$5,DaybyDay[RowYear],"&gt;="&amp;$C$4,DaybyDay[Date],"&lt;="&amp;DaybyDay[[#This Row],[Date]])</f>
        <v>0</v>
      </c>
      <c r="Q810" s="34">
        <f>SUMIFS(DaybyDay[Service-Actuals],DaybyDay[Date],"&gt;="&amp;$C$5,DaybyDay[RowYear],"&gt;="&amp;$C$4,DaybyDay[Date],"&lt;="&amp;DaybyDay[[#This Row],[Date]])</f>
        <v>0</v>
      </c>
      <c r="R810" s="34">
        <f>SUMIFS(DaybyDay[Retail-Actuals],DaybyDay[Date],"&gt;="&amp;$C$5,DaybyDay[RowYear],"&gt;="&amp;$C$4,DaybyDay[Date],"&lt;="&amp;DaybyDay[[#This Row],[Date]])</f>
        <v>0</v>
      </c>
      <c r="S810" s="35">
        <f>SUMIFS(DaybyDay[Service-LY],DaybyDay[Date],"&gt;="&amp;$C$5,DaybyDay[RowYear],"&gt;="&amp;$C$4,DaybyDay[Date],"&lt;="&amp;DaybyDay[[#This Row],[Date]])</f>
        <v>0</v>
      </c>
      <c r="T810" s="35">
        <f>SUMIFS(DaybyDay[Retail-LY],DaybyDay[Date],"&gt;="&amp;$C$5,DaybyDay[RowYear],"&gt;="&amp;$C$4,DaybyDay[Date],"&lt;="&amp;DaybyDay[[#This Row],[Date]])</f>
        <v>0</v>
      </c>
      <c r="U810" s="32">
        <f>DaybyDay[[#This Row],[Serv-Bud-RU]]+DaybyDay[[#This Row],[Ret-Bud-RU]]</f>
        <v>0</v>
      </c>
      <c r="V810" s="32">
        <f>DaybyDay[[#This Row],[Serv-Act-RU]]+DaybyDay[[#This Row],[Ret-Act-RU]]</f>
        <v>0</v>
      </c>
      <c r="W810" s="36">
        <f>IF(DaybyDay[[#This Row],[_Space]],IFERROR(
((DaybyDay[[#This Row],[Actual-Rollup]]-DaybyDay[[#This Row],[Budget-Rollup]])/DaybyDay[[#This Row],[Budget-Rollup]]),0),"")</f>
        <v>0</v>
      </c>
      <c r="X810" t="b">
        <f>NOT(AND(ISBLANK(DaybyDay[[#This Row],[Appts]]),ISBLANK(DaybyDay[[#This Row],[Service-Actuals]]),ISBLANK(DaybyDay[[#This Row],[Retail-Actuals]])))</f>
        <v>1</v>
      </c>
      <c r="Y810" s="36">
        <f>IF(DaybyDay[[#This Row],[_Space]],IFERROR(
((DaybyDay[[#This Row],[Actual-Rollup]]-DaybyDay[[#This Row],[LY-Rollup]])/DaybyDay[[#This Row],[LY-Rollup]]),0),"")</f>
        <v>0</v>
      </c>
      <c r="Z810"/>
      <c r="AA810" s="37" t="e">
        <f>IF(DaybyDay[[#This Row],[_Space]],DaybyDay[[#This Row],[Ret-Act-RU]]/DaybyDay[[#This Row],[Serv-Act-RU]],"")</f>
        <v>#DIV/0!</v>
      </c>
      <c r="AB810" s="50" t="e">
        <f>IF(DaybyDay[[#This Row],[_Space]],DaybyDay[[#This Row],[RETPEN-Act]]/DaybyDay[[#This Row],[RETPEN-Bud]],"")</f>
        <v>#DIV/0!</v>
      </c>
      <c r="AC810" s="37" t="e">
        <f>IF(DaybyDay[[#This Row],[_Space]],DaybyDay[[#This Row],[Ret-Bud-RU]]/DaybyDay[[#This Row],[Serv-Bud-RU]],"")</f>
        <v>#DIV/0!</v>
      </c>
      <c r="AD810" s="37" t="e">
        <f>IF(DaybyDay[[#This Row],[_Space]],DaybyDay[[#This Row],[Ret-LY-RU]]/DaybyDay[[#This Row],[Serv-LY-RU]],"")</f>
        <v>#DIV/0!</v>
      </c>
      <c r="AE810" s="30">
        <f>WEEKDAY(DaybyDay[[#This Row],[LY-Date]])</f>
        <v>6</v>
      </c>
      <c r="AF810" s="38">
        <f>$E$2+_xlfn.DAYS(DaybyDay[[#This Row],[Date]],minDate)</f>
        <v>43175</v>
      </c>
      <c r="AG810" s="39" cm="1">
        <f t="array" ref="AG810">IFERROR(INDEX(DaybyDay[],DaybyDay[[#This Row],[FORM_MATCH_HELPER]],8),"")</f>
        <v>31</v>
      </c>
      <c r="AH810" s="39" cm="1">
        <f t="array" ref="AH810">IFERROR(INDEX(DaybyDay[],DaybyDay[[#This Row],[FORM_MATCH_HELPER]],10),"")</f>
        <v>5900.5</v>
      </c>
      <c r="AI810" s="39" cm="1">
        <f t="array" ref="AI810">IFERROR(INDEX(DaybyDay[],DaybyDay[[#This Row],[FORM_MATCH_HELPER]],12),"")</f>
        <v>704.2</v>
      </c>
      <c r="AJ810" s="32">
        <f>IFERROR(DaybyDay[[#This Row],[Serv-LY-RU]]+DaybyDay[[#This Row],[Ret-LY-RU]],"")</f>
        <v>0</v>
      </c>
      <c r="AK8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0" s="77"/>
      <c r="AM810" s="40" t="str">
        <f>IF(DaybyDay[[#This Row],[Admin Hours]]&gt;0,DaybyDay[[#This Row],[Admin Hours]]*$AM$2+$AM$3,"")</f>
        <v/>
      </c>
      <c r="AN810" s="40">
        <f>SUMIFS(DaybyDay[Est-Admin-Payroll],DaybyDay[Date],"&gt;="&amp;$C$5,DaybyDay[RowYear],"&gt;="&amp;$C$4,DaybyDay[Date],"&lt;="&amp;DaybyDay[[#This Row],[Date]])</f>
        <v>0</v>
      </c>
      <c r="AO810" s="41" t="str">
        <f>IF(AND(DaybyDay[[#This Row],[_Space]],ISNUMBER(DaybyDay[[#This Row],[Admin Hours]])),DaybyDay[[#This Row],[Est-Admin-Payroll]]/(DaybyDay[[#This Row],[Service-Actuals]]+DaybyDay[[#This Row],[Retail-Actuals]]),"")</f>
        <v/>
      </c>
      <c r="AP810" s="41" t="e">
        <f>DaybyDay[[#This Row],[Estimated-Payroll-Rollup]]/DaybyDay[[#This Row],[Simple-Forecast]]</f>
        <v>#DIV/0!</v>
      </c>
      <c r="AQ8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0" s="77"/>
      <c r="AS810" s="40" t="str">
        <f>IF(DaybyDay[[#This Row],[Retail Hours]]&gt;0,DaybyDay[[#This Row],[Retail Hours]]*$AS$2,"")</f>
        <v/>
      </c>
      <c r="AT810" s="40">
        <f>SUMIFS(DaybyDay[Est-Retail-Payroll],DaybyDay[Date],"&gt;="&amp;$C$5,DaybyDay[RowYear],"&gt;="&amp;$C$4,DaybyDay[Date],"&lt;="&amp;DaybyDay[[#This Row],[Date]])</f>
        <v>0</v>
      </c>
      <c r="AU810" s="82" t="str">
        <f>IF(AND(DaybyDay[[#This Row],[_Space]],ISNUMBER(DaybyDay[[#This Row],[Retail Hours]])),DaybyDay[[#This Row],[Est-Retail-Payroll]]/(DaybyDay[[#This Row],[Retail-Actuals]]),"")</f>
        <v/>
      </c>
      <c r="AV810" s="82" t="e">
        <f>DaybyDay[[#This Row],[Est-Retail-PayrollRU]]/DaybyDay[[#This Row],[Simple-Forecast-Retail]]</f>
        <v>#DIV/0!</v>
      </c>
      <c r="AW810" s="8"/>
      <c r="AX810" s="49"/>
      <c r="AY810" s="48"/>
      <c r="AZ810" s="47"/>
      <c r="BA810" s="47"/>
      <c r="BB810" s="47"/>
      <c r="BC810" s="47"/>
      <c r="BD810" s="47"/>
    </row>
    <row r="811" spans="3:56" hidden="1" x14ac:dyDescent="0.25">
      <c r="C811" s="26" t="str">
        <f>Tools!$C$1</f>
        <v>Example</v>
      </c>
      <c r="D811" s="27" t="s">
        <v>70</v>
      </c>
      <c r="E811" s="28">
        <v>2019</v>
      </c>
      <c r="F811" s="28">
        <f>MATCH(DaybyDay[[#This Row],[RowMonth]],Table3[SummaryMonth],0)</f>
        <v>3</v>
      </c>
      <c r="G811" s="29">
        <f>MATCH(DaybyDay[[#This Row],[LY-Date]],DaybyDay[Date],0)</f>
        <v>441</v>
      </c>
      <c r="H811" s="30">
        <f>WEEKDAY(DaybyDay[[#This Row],[Date]])</f>
        <v>7</v>
      </c>
      <c r="I811" s="31">
        <v>43540</v>
      </c>
      <c r="J811" s="74">
        <v>50</v>
      </c>
      <c r="K811" s="32">
        <f>SUMIFS(BudgetSeasonality[365 Seasonality],BudgetSeasonality[MonthAdjustment],DaybyDay[[#This Row],[Date]])*SUMIFS(Budgets[Service-Budget],Budgets[BudgetMonth],DaybyDay[[#This Row],[RowMonth]],Budgets[BudgetYear],DaybyDay[[#This Row],[RowYear]])</f>
        <v>5878.4320975752144</v>
      </c>
      <c r="L811" s="75">
        <v>10540.25</v>
      </c>
      <c r="M811" s="32">
        <f>INDEX(BudgetSeasonality[365 Seasonality],MATCH(DaybyDay[[#This Row],[Date]],BudgetSeasonality[MonthAdjustment],0))*SUMIFS(Budgets[Retail-Budget],Budgets[BudgetMonth],DaybyDay[[#This Row],[RowMonth]],Budgets[BudgetYear],DaybyDay[[#This Row],[RowYear]])</f>
        <v>1358.6284490522398</v>
      </c>
      <c r="N811" s="75">
        <v>741</v>
      </c>
      <c r="O811" s="33">
        <f>SUMIFS(DaybyDay[Service-Budgets],DaybyDay[Date],"&gt;="&amp;$C$5,DaybyDay[RowYear],"&gt;="&amp;$C$4,DaybyDay[Date],"&lt;="&amp;DaybyDay[[#This Row],[Date]])</f>
        <v>0</v>
      </c>
      <c r="P811" s="33">
        <f>SUMIFS(DaybyDay[Retail-Budgets],DaybyDay[Date],"&gt;="&amp;$C$5,DaybyDay[RowYear],"&gt;="&amp;$C$4,DaybyDay[Date],"&lt;="&amp;DaybyDay[[#This Row],[Date]])</f>
        <v>0</v>
      </c>
      <c r="Q811" s="34">
        <f>SUMIFS(DaybyDay[Service-Actuals],DaybyDay[Date],"&gt;="&amp;$C$5,DaybyDay[RowYear],"&gt;="&amp;$C$4,DaybyDay[Date],"&lt;="&amp;DaybyDay[[#This Row],[Date]])</f>
        <v>0</v>
      </c>
      <c r="R811" s="34">
        <f>SUMIFS(DaybyDay[Retail-Actuals],DaybyDay[Date],"&gt;="&amp;$C$5,DaybyDay[RowYear],"&gt;="&amp;$C$4,DaybyDay[Date],"&lt;="&amp;DaybyDay[[#This Row],[Date]])</f>
        <v>0</v>
      </c>
      <c r="S811" s="35">
        <f>SUMIFS(DaybyDay[Service-LY],DaybyDay[Date],"&gt;="&amp;$C$5,DaybyDay[RowYear],"&gt;="&amp;$C$4,DaybyDay[Date],"&lt;="&amp;DaybyDay[[#This Row],[Date]])</f>
        <v>0</v>
      </c>
      <c r="T811" s="35">
        <f>SUMIFS(DaybyDay[Retail-LY],DaybyDay[Date],"&gt;="&amp;$C$5,DaybyDay[RowYear],"&gt;="&amp;$C$4,DaybyDay[Date],"&lt;="&amp;DaybyDay[[#This Row],[Date]])</f>
        <v>0</v>
      </c>
      <c r="U811" s="32">
        <f>DaybyDay[[#This Row],[Serv-Bud-RU]]+DaybyDay[[#This Row],[Ret-Bud-RU]]</f>
        <v>0</v>
      </c>
      <c r="V811" s="32">
        <f>DaybyDay[[#This Row],[Serv-Act-RU]]+DaybyDay[[#This Row],[Ret-Act-RU]]</f>
        <v>0</v>
      </c>
      <c r="W811" s="36">
        <f>IF(DaybyDay[[#This Row],[_Space]],IFERROR(
((DaybyDay[[#This Row],[Actual-Rollup]]-DaybyDay[[#This Row],[Budget-Rollup]])/DaybyDay[[#This Row],[Budget-Rollup]]),0),"")</f>
        <v>0</v>
      </c>
      <c r="X811" t="b">
        <f>NOT(AND(ISBLANK(DaybyDay[[#This Row],[Appts]]),ISBLANK(DaybyDay[[#This Row],[Service-Actuals]]),ISBLANK(DaybyDay[[#This Row],[Retail-Actuals]])))</f>
        <v>1</v>
      </c>
      <c r="Y811" s="36">
        <f>IF(DaybyDay[[#This Row],[_Space]],IFERROR(
((DaybyDay[[#This Row],[Actual-Rollup]]-DaybyDay[[#This Row],[LY-Rollup]])/DaybyDay[[#This Row],[LY-Rollup]]),0),"")</f>
        <v>0</v>
      </c>
      <c r="Z811"/>
      <c r="AA811" s="37" t="e">
        <f>IF(DaybyDay[[#This Row],[_Space]],DaybyDay[[#This Row],[Ret-Act-RU]]/DaybyDay[[#This Row],[Serv-Act-RU]],"")</f>
        <v>#DIV/0!</v>
      </c>
      <c r="AB811" s="50" t="e">
        <f>IF(DaybyDay[[#This Row],[_Space]],DaybyDay[[#This Row],[RETPEN-Act]]/DaybyDay[[#This Row],[RETPEN-Bud]],"")</f>
        <v>#DIV/0!</v>
      </c>
      <c r="AC811" s="37" t="e">
        <f>IF(DaybyDay[[#This Row],[_Space]],DaybyDay[[#This Row],[Ret-Bud-RU]]/DaybyDay[[#This Row],[Serv-Bud-RU]],"")</f>
        <v>#DIV/0!</v>
      </c>
      <c r="AD811" s="37" t="e">
        <f>IF(DaybyDay[[#This Row],[_Space]],DaybyDay[[#This Row],[Ret-LY-RU]]/DaybyDay[[#This Row],[Serv-LY-RU]],"")</f>
        <v>#DIV/0!</v>
      </c>
      <c r="AE811" s="30">
        <f>WEEKDAY(DaybyDay[[#This Row],[LY-Date]])</f>
        <v>7</v>
      </c>
      <c r="AF811" s="38">
        <f>$E$2+_xlfn.DAYS(DaybyDay[[#This Row],[Date]],minDate)</f>
        <v>43176</v>
      </c>
      <c r="AG811" s="39" cm="1">
        <f t="array" ref="AG811">IFERROR(INDEX(DaybyDay[],DaybyDay[[#This Row],[FORM_MATCH_HELPER]],8),"")</f>
        <v>47</v>
      </c>
      <c r="AH811" s="39" cm="1">
        <f t="array" ref="AH811">IFERROR(INDEX(DaybyDay[],DaybyDay[[#This Row],[FORM_MATCH_HELPER]],10),"")</f>
        <v>8106</v>
      </c>
      <c r="AI811" s="39" cm="1">
        <f t="array" ref="AI811">IFERROR(INDEX(DaybyDay[],DaybyDay[[#This Row],[FORM_MATCH_HELPER]],12),"")</f>
        <v>113</v>
      </c>
      <c r="AJ811" s="32">
        <f>IFERROR(DaybyDay[[#This Row],[Serv-LY-RU]]+DaybyDay[[#This Row],[Ret-LY-RU]],"")</f>
        <v>0</v>
      </c>
      <c r="AK8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1" s="77"/>
      <c r="AM811" s="40" t="str">
        <f>IF(DaybyDay[[#This Row],[Admin Hours]]&gt;0,DaybyDay[[#This Row],[Admin Hours]]*$AM$2+$AM$3,"")</f>
        <v/>
      </c>
      <c r="AN811" s="40">
        <f>SUMIFS(DaybyDay[Est-Admin-Payroll],DaybyDay[Date],"&gt;="&amp;$C$5,DaybyDay[RowYear],"&gt;="&amp;$C$4,DaybyDay[Date],"&lt;="&amp;DaybyDay[[#This Row],[Date]])</f>
        <v>0</v>
      </c>
      <c r="AO811" s="41" t="str">
        <f>IF(AND(DaybyDay[[#This Row],[_Space]],ISNUMBER(DaybyDay[[#This Row],[Admin Hours]])),DaybyDay[[#This Row],[Est-Admin-Payroll]]/(DaybyDay[[#This Row],[Service-Actuals]]+DaybyDay[[#This Row],[Retail-Actuals]]),"")</f>
        <v/>
      </c>
      <c r="AP811" s="41" t="e">
        <f>DaybyDay[[#This Row],[Estimated-Payroll-Rollup]]/DaybyDay[[#This Row],[Simple-Forecast]]</f>
        <v>#DIV/0!</v>
      </c>
      <c r="AQ8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1" s="77"/>
      <c r="AS811" s="40" t="str">
        <f>IF(DaybyDay[[#This Row],[Retail Hours]]&gt;0,DaybyDay[[#This Row],[Retail Hours]]*$AS$2,"")</f>
        <v/>
      </c>
      <c r="AT811" s="40">
        <f>SUMIFS(DaybyDay[Est-Retail-Payroll],DaybyDay[Date],"&gt;="&amp;$C$5,DaybyDay[RowYear],"&gt;="&amp;$C$4,DaybyDay[Date],"&lt;="&amp;DaybyDay[[#This Row],[Date]])</f>
        <v>0</v>
      </c>
      <c r="AU811" s="82" t="str">
        <f>IF(AND(DaybyDay[[#This Row],[_Space]],ISNUMBER(DaybyDay[[#This Row],[Retail Hours]])),DaybyDay[[#This Row],[Est-Retail-Payroll]]/(DaybyDay[[#This Row],[Retail-Actuals]]),"")</f>
        <v/>
      </c>
      <c r="AV811" s="82" t="e">
        <f>DaybyDay[[#This Row],[Est-Retail-PayrollRU]]/DaybyDay[[#This Row],[Simple-Forecast-Retail]]</f>
        <v>#DIV/0!</v>
      </c>
      <c r="AW811" s="8"/>
      <c r="AX811" s="49"/>
      <c r="AY811" s="48"/>
      <c r="AZ811" s="47"/>
      <c r="BA811" s="47"/>
      <c r="BB811" s="47"/>
      <c r="BC811" s="47"/>
      <c r="BD811" s="47"/>
    </row>
    <row r="812" spans="3:56" hidden="1" x14ac:dyDescent="0.25">
      <c r="C812" s="26" t="str">
        <f>Tools!$C$1</f>
        <v>Example</v>
      </c>
      <c r="D812" s="27" t="s">
        <v>70</v>
      </c>
      <c r="E812" s="28">
        <v>2019</v>
      </c>
      <c r="F812" s="28">
        <f>MATCH(DaybyDay[[#This Row],[RowMonth]],Table3[SummaryMonth],0)</f>
        <v>3</v>
      </c>
      <c r="G812" s="29">
        <f>MATCH(DaybyDay[[#This Row],[LY-Date]],DaybyDay[Date],0)</f>
        <v>442</v>
      </c>
      <c r="H812" s="30">
        <f>WEEKDAY(DaybyDay[[#This Row],[Date]])</f>
        <v>1</v>
      </c>
      <c r="I812" s="31">
        <v>43541</v>
      </c>
      <c r="J812" s="74">
        <v>35</v>
      </c>
      <c r="K812" s="32">
        <f>SUMIFS(BudgetSeasonality[365 Seasonality],BudgetSeasonality[MonthAdjustment],DaybyDay[[#This Row],[Date]])*SUMIFS(Budgets[Service-Budget],Budgets[BudgetMonth],DaybyDay[[#This Row],[RowMonth]],Budgets[BudgetYear],DaybyDay[[#This Row],[RowYear]])</f>
        <v>4738.5605938676035</v>
      </c>
      <c r="L812" s="75">
        <v>7538</v>
      </c>
      <c r="M812" s="32">
        <f>INDEX(BudgetSeasonality[365 Seasonality],MATCH(DaybyDay[[#This Row],[Date]],BudgetSeasonality[MonthAdjustment],0))*SUMIFS(Budgets[Retail-Budget],Budgets[BudgetMonth],DaybyDay[[#This Row],[RowMonth]],Budgets[BudgetYear],DaybyDay[[#This Row],[RowYear]])</f>
        <v>1095.1803344027705</v>
      </c>
      <c r="N812" s="75">
        <v>1094</v>
      </c>
      <c r="O812" s="33">
        <f>SUMIFS(DaybyDay[Service-Budgets],DaybyDay[Date],"&gt;="&amp;$C$5,DaybyDay[RowYear],"&gt;="&amp;$C$4,DaybyDay[Date],"&lt;="&amp;DaybyDay[[#This Row],[Date]])</f>
        <v>0</v>
      </c>
      <c r="P812" s="33">
        <f>SUMIFS(DaybyDay[Retail-Budgets],DaybyDay[Date],"&gt;="&amp;$C$5,DaybyDay[RowYear],"&gt;="&amp;$C$4,DaybyDay[Date],"&lt;="&amp;DaybyDay[[#This Row],[Date]])</f>
        <v>0</v>
      </c>
      <c r="Q812" s="34">
        <f>SUMIFS(DaybyDay[Service-Actuals],DaybyDay[Date],"&gt;="&amp;$C$5,DaybyDay[RowYear],"&gt;="&amp;$C$4,DaybyDay[Date],"&lt;="&amp;DaybyDay[[#This Row],[Date]])</f>
        <v>0</v>
      </c>
      <c r="R812" s="34">
        <f>SUMIFS(DaybyDay[Retail-Actuals],DaybyDay[Date],"&gt;="&amp;$C$5,DaybyDay[RowYear],"&gt;="&amp;$C$4,DaybyDay[Date],"&lt;="&amp;DaybyDay[[#This Row],[Date]])</f>
        <v>0</v>
      </c>
      <c r="S812" s="35">
        <f>SUMIFS(DaybyDay[Service-LY],DaybyDay[Date],"&gt;="&amp;$C$5,DaybyDay[RowYear],"&gt;="&amp;$C$4,DaybyDay[Date],"&lt;="&amp;DaybyDay[[#This Row],[Date]])</f>
        <v>0</v>
      </c>
      <c r="T812" s="35">
        <f>SUMIFS(DaybyDay[Retail-LY],DaybyDay[Date],"&gt;="&amp;$C$5,DaybyDay[RowYear],"&gt;="&amp;$C$4,DaybyDay[Date],"&lt;="&amp;DaybyDay[[#This Row],[Date]])</f>
        <v>0</v>
      </c>
      <c r="U812" s="32">
        <f>DaybyDay[[#This Row],[Serv-Bud-RU]]+DaybyDay[[#This Row],[Ret-Bud-RU]]</f>
        <v>0</v>
      </c>
      <c r="V812" s="32">
        <f>DaybyDay[[#This Row],[Serv-Act-RU]]+DaybyDay[[#This Row],[Ret-Act-RU]]</f>
        <v>0</v>
      </c>
      <c r="W812" s="36">
        <f>IF(DaybyDay[[#This Row],[_Space]],IFERROR(
((DaybyDay[[#This Row],[Actual-Rollup]]-DaybyDay[[#This Row],[Budget-Rollup]])/DaybyDay[[#This Row],[Budget-Rollup]]),0),"")</f>
        <v>0</v>
      </c>
      <c r="X812" t="b">
        <f>NOT(AND(ISBLANK(DaybyDay[[#This Row],[Appts]]),ISBLANK(DaybyDay[[#This Row],[Service-Actuals]]),ISBLANK(DaybyDay[[#This Row],[Retail-Actuals]])))</f>
        <v>1</v>
      </c>
      <c r="Y812" s="36">
        <f>IF(DaybyDay[[#This Row],[_Space]],IFERROR(
((DaybyDay[[#This Row],[Actual-Rollup]]-DaybyDay[[#This Row],[LY-Rollup]])/DaybyDay[[#This Row],[LY-Rollup]]),0),"")</f>
        <v>0</v>
      </c>
      <c r="Z812"/>
      <c r="AA812" s="37" t="e">
        <f>IF(DaybyDay[[#This Row],[_Space]],DaybyDay[[#This Row],[Ret-Act-RU]]/DaybyDay[[#This Row],[Serv-Act-RU]],"")</f>
        <v>#DIV/0!</v>
      </c>
      <c r="AB812" s="50" t="e">
        <f>IF(DaybyDay[[#This Row],[_Space]],DaybyDay[[#This Row],[RETPEN-Act]]/DaybyDay[[#This Row],[RETPEN-Bud]],"")</f>
        <v>#DIV/0!</v>
      </c>
      <c r="AC812" s="37" t="e">
        <f>IF(DaybyDay[[#This Row],[_Space]],DaybyDay[[#This Row],[Ret-Bud-RU]]/DaybyDay[[#This Row],[Serv-Bud-RU]],"")</f>
        <v>#DIV/0!</v>
      </c>
      <c r="AD812" s="37" t="e">
        <f>IF(DaybyDay[[#This Row],[_Space]],DaybyDay[[#This Row],[Ret-LY-RU]]/DaybyDay[[#This Row],[Serv-LY-RU]],"")</f>
        <v>#DIV/0!</v>
      </c>
      <c r="AE812" s="30">
        <f>WEEKDAY(DaybyDay[[#This Row],[LY-Date]])</f>
        <v>1</v>
      </c>
      <c r="AF812" s="38">
        <f>$E$2+_xlfn.DAYS(DaybyDay[[#This Row],[Date]],minDate)</f>
        <v>43177</v>
      </c>
      <c r="AG812" s="39" cm="1">
        <f t="array" ref="AG812">IFERROR(INDEX(DaybyDay[],DaybyDay[[#This Row],[FORM_MATCH_HELPER]],8),"")</f>
        <v>32</v>
      </c>
      <c r="AH812" s="39" cm="1">
        <f t="array" ref="AH812">IFERROR(INDEX(DaybyDay[],DaybyDay[[#This Row],[FORM_MATCH_HELPER]],10),"")</f>
        <v>6948.9</v>
      </c>
      <c r="AI812" s="39" cm="1">
        <f t="array" ref="AI812">IFERROR(INDEX(DaybyDay[],DaybyDay[[#This Row],[FORM_MATCH_HELPER]],12),"")</f>
        <v>2029</v>
      </c>
      <c r="AJ812" s="32">
        <f>IFERROR(DaybyDay[[#This Row],[Serv-LY-RU]]+DaybyDay[[#This Row],[Ret-LY-RU]],"")</f>
        <v>0</v>
      </c>
      <c r="AK8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2" s="77"/>
      <c r="AM812" s="40" t="str">
        <f>IF(DaybyDay[[#This Row],[Admin Hours]]&gt;0,DaybyDay[[#This Row],[Admin Hours]]*$AM$2+$AM$3,"")</f>
        <v/>
      </c>
      <c r="AN812" s="40">
        <f>SUMIFS(DaybyDay[Est-Admin-Payroll],DaybyDay[Date],"&gt;="&amp;$C$5,DaybyDay[RowYear],"&gt;="&amp;$C$4,DaybyDay[Date],"&lt;="&amp;DaybyDay[[#This Row],[Date]])</f>
        <v>0</v>
      </c>
      <c r="AO812" s="41" t="str">
        <f>IF(AND(DaybyDay[[#This Row],[_Space]],ISNUMBER(DaybyDay[[#This Row],[Admin Hours]])),DaybyDay[[#This Row],[Est-Admin-Payroll]]/(DaybyDay[[#This Row],[Service-Actuals]]+DaybyDay[[#This Row],[Retail-Actuals]]),"")</f>
        <v/>
      </c>
      <c r="AP812" s="41" t="e">
        <f>DaybyDay[[#This Row],[Estimated-Payroll-Rollup]]/DaybyDay[[#This Row],[Simple-Forecast]]</f>
        <v>#DIV/0!</v>
      </c>
      <c r="AQ8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2" s="77"/>
      <c r="AS812" s="40" t="str">
        <f>IF(DaybyDay[[#This Row],[Retail Hours]]&gt;0,DaybyDay[[#This Row],[Retail Hours]]*$AS$2,"")</f>
        <v/>
      </c>
      <c r="AT812" s="40">
        <f>SUMIFS(DaybyDay[Est-Retail-Payroll],DaybyDay[Date],"&gt;="&amp;$C$5,DaybyDay[RowYear],"&gt;="&amp;$C$4,DaybyDay[Date],"&lt;="&amp;DaybyDay[[#This Row],[Date]])</f>
        <v>0</v>
      </c>
      <c r="AU812" s="82" t="str">
        <f>IF(AND(DaybyDay[[#This Row],[_Space]],ISNUMBER(DaybyDay[[#This Row],[Retail Hours]])),DaybyDay[[#This Row],[Est-Retail-Payroll]]/(DaybyDay[[#This Row],[Retail-Actuals]]),"")</f>
        <v/>
      </c>
      <c r="AV812" s="82" t="e">
        <f>DaybyDay[[#This Row],[Est-Retail-PayrollRU]]/DaybyDay[[#This Row],[Simple-Forecast-Retail]]</f>
        <v>#DIV/0!</v>
      </c>
      <c r="AW812" s="8"/>
      <c r="AX812" s="49"/>
      <c r="AY812" s="48"/>
      <c r="AZ812" s="47"/>
      <c r="BA812" s="47"/>
      <c r="BB812" s="47"/>
      <c r="BC812" s="47"/>
      <c r="BD812" s="47"/>
    </row>
    <row r="813" spans="3:56" hidden="1" x14ac:dyDescent="0.25">
      <c r="C813" s="26" t="str">
        <f>Tools!$C$1</f>
        <v>Example</v>
      </c>
      <c r="D813" s="27" t="s">
        <v>70</v>
      </c>
      <c r="E813" s="28">
        <v>2019</v>
      </c>
      <c r="F813" s="28">
        <f>MATCH(DaybyDay[[#This Row],[RowMonth]],Table3[SummaryMonth],0)</f>
        <v>3</v>
      </c>
      <c r="G813" s="29">
        <f>MATCH(DaybyDay[[#This Row],[LY-Date]],DaybyDay[Date],0)</f>
        <v>443</v>
      </c>
      <c r="H813" s="30">
        <f>WEEKDAY(DaybyDay[[#This Row],[Date]])</f>
        <v>2</v>
      </c>
      <c r="I813" s="31">
        <v>43542</v>
      </c>
      <c r="J813" s="74">
        <v>18</v>
      </c>
      <c r="K813" s="32">
        <f>SUMIFS(BudgetSeasonality[365 Seasonality],BudgetSeasonality[MonthAdjustment],DaybyDay[[#This Row],[Date]])*SUMIFS(Budgets[Service-Budget],Budgets[BudgetMonth],DaybyDay[[#This Row],[RowMonth]],Budgets[BudgetYear],DaybyDay[[#This Row],[RowYear]])</f>
        <v>3039.6456671821911</v>
      </c>
      <c r="L813" s="75">
        <v>2974</v>
      </c>
      <c r="M813" s="32">
        <f>INDEX(BudgetSeasonality[365 Seasonality],MATCH(DaybyDay[[#This Row],[Date]],BudgetSeasonality[MonthAdjustment],0))*SUMIFS(Budgets[Retail-Budget],Budgets[BudgetMonth],DaybyDay[[#This Row],[RowMonth]],Budgets[BudgetYear],DaybyDay[[#This Row],[RowYear]])</f>
        <v>702.5256071556181</v>
      </c>
      <c r="N813" s="75">
        <v>905</v>
      </c>
      <c r="O813" s="33">
        <f>SUMIFS(DaybyDay[Service-Budgets],DaybyDay[Date],"&gt;="&amp;$C$5,DaybyDay[RowYear],"&gt;="&amp;$C$4,DaybyDay[Date],"&lt;="&amp;DaybyDay[[#This Row],[Date]])</f>
        <v>0</v>
      </c>
      <c r="P813" s="33">
        <f>SUMIFS(DaybyDay[Retail-Budgets],DaybyDay[Date],"&gt;="&amp;$C$5,DaybyDay[RowYear],"&gt;="&amp;$C$4,DaybyDay[Date],"&lt;="&amp;DaybyDay[[#This Row],[Date]])</f>
        <v>0</v>
      </c>
      <c r="Q813" s="34">
        <f>SUMIFS(DaybyDay[Service-Actuals],DaybyDay[Date],"&gt;="&amp;$C$5,DaybyDay[RowYear],"&gt;="&amp;$C$4,DaybyDay[Date],"&lt;="&amp;DaybyDay[[#This Row],[Date]])</f>
        <v>0</v>
      </c>
      <c r="R813" s="34">
        <f>SUMIFS(DaybyDay[Retail-Actuals],DaybyDay[Date],"&gt;="&amp;$C$5,DaybyDay[RowYear],"&gt;="&amp;$C$4,DaybyDay[Date],"&lt;="&amp;DaybyDay[[#This Row],[Date]])</f>
        <v>0</v>
      </c>
      <c r="S813" s="35">
        <f>SUMIFS(DaybyDay[Service-LY],DaybyDay[Date],"&gt;="&amp;$C$5,DaybyDay[RowYear],"&gt;="&amp;$C$4,DaybyDay[Date],"&lt;="&amp;DaybyDay[[#This Row],[Date]])</f>
        <v>0</v>
      </c>
      <c r="T813" s="35">
        <f>SUMIFS(DaybyDay[Retail-LY],DaybyDay[Date],"&gt;="&amp;$C$5,DaybyDay[RowYear],"&gt;="&amp;$C$4,DaybyDay[Date],"&lt;="&amp;DaybyDay[[#This Row],[Date]])</f>
        <v>0</v>
      </c>
      <c r="U813" s="32">
        <f>DaybyDay[[#This Row],[Serv-Bud-RU]]+DaybyDay[[#This Row],[Ret-Bud-RU]]</f>
        <v>0</v>
      </c>
      <c r="V813" s="32">
        <f>DaybyDay[[#This Row],[Serv-Act-RU]]+DaybyDay[[#This Row],[Ret-Act-RU]]</f>
        <v>0</v>
      </c>
      <c r="W813" s="36">
        <f>IF(DaybyDay[[#This Row],[_Space]],IFERROR(
((DaybyDay[[#This Row],[Actual-Rollup]]-DaybyDay[[#This Row],[Budget-Rollup]])/DaybyDay[[#This Row],[Budget-Rollup]]),0),"")</f>
        <v>0</v>
      </c>
      <c r="X813" t="b">
        <f>NOT(AND(ISBLANK(DaybyDay[[#This Row],[Appts]]),ISBLANK(DaybyDay[[#This Row],[Service-Actuals]]),ISBLANK(DaybyDay[[#This Row],[Retail-Actuals]])))</f>
        <v>1</v>
      </c>
      <c r="Y813" s="36">
        <f>IF(DaybyDay[[#This Row],[_Space]],IFERROR(
((DaybyDay[[#This Row],[Actual-Rollup]]-DaybyDay[[#This Row],[LY-Rollup]])/DaybyDay[[#This Row],[LY-Rollup]]),0),"")</f>
        <v>0</v>
      </c>
      <c r="Z813"/>
      <c r="AA813" s="37" t="e">
        <f>IF(DaybyDay[[#This Row],[_Space]],DaybyDay[[#This Row],[Ret-Act-RU]]/DaybyDay[[#This Row],[Serv-Act-RU]],"")</f>
        <v>#DIV/0!</v>
      </c>
      <c r="AB813" s="50" t="e">
        <f>IF(DaybyDay[[#This Row],[_Space]],DaybyDay[[#This Row],[RETPEN-Act]]/DaybyDay[[#This Row],[RETPEN-Bud]],"")</f>
        <v>#DIV/0!</v>
      </c>
      <c r="AC813" s="37" t="e">
        <f>IF(DaybyDay[[#This Row],[_Space]],DaybyDay[[#This Row],[Ret-Bud-RU]]/DaybyDay[[#This Row],[Serv-Bud-RU]],"")</f>
        <v>#DIV/0!</v>
      </c>
      <c r="AD813" s="37" t="e">
        <f>IF(DaybyDay[[#This Row],[_Space]],DaybyDay[[#This Row],[Ret-LY-RU]]/DaybyDay[[#This Row],[Serv-LY-RU]],"")</f>
        <v>#DIV/0!</v>
      </c>
      <c r="AE813" s="30">
        <f>WEEKDAY(DaybyDay[[#This Row],[LY-Date]])</f>
        <v>2</v>
      </c>
      <c r="AF813" s="38">
        <f>$E$2+_xlfn.DAYS(DaybyDay[[#This Row],[Date]],minDate)</f>
        <v>43178</v>
      </c>
      <c r="AG813" s="39" cm="1">
        <f t="array" ref="AG813">IFERROR(INDEX(DaybyDay[],DaybyDay[[#This Row],[FORM_MATCH_HELPER]],8),"")</f>
        <v>15</v>
      </c>
      <c r="AH813" s="39" cm="1">
        <f t="array" ref="AH813">IFERROR(INDEX(DaybyDay[],DaybyDay[[#This Row],[FORM_MATCH_HELPER]],10),"")</f>
        <v>2802</v>
      </c>
      <c r="AI813" s="39" cm="1">
        <f t="array" ref="AI813">IFERROR(INDEX(DaybyDay[],DaybyDay[[#This Row],[FORM_MATCH_HELPER]],12),"")</f>
        <v>314</v>
      </c>
      <c r="AJ813" s="32">
        <f>IFERROR(DaybyDay[[#This Row],[Serv-LY-RU]]+DaybyDay[[#This Row],[Ret-LY-RU]],"")</f>
        <v>0</v>
      </c>
      <c r="AK8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3" s="77"/>
      <c r="AM813" s="40" t="str">
        <f>IF(DaybyDay[[#This Row],[Admin Hours]]&gt;0,DaybyDay[[#This Row],[Admin Hours]]*$AM$2+$AM$3,"")</f>
        <v/>
      </c>
      <c r="AN813" s="40">
        <f>SUMIFS(DaybyDay[Est-Admin-Payroll],DaybyDay[Date],"&gt;="&amp;$C$5,DaybyDay[RowYear],"&gt;="&amp;$C$4,DaybyDay[Date],"&lt;="&amp;DaybyDay[[#This Row],[Date]])</f>
        <v>0</v>
      </c>
      <c r="AO813" s="41" t="str">
        <f>IF(AND(DaybyDay[[#This Row],[_Space]],ISNUMBER(DaybyDay[[#This Row],[Admin Hours]])),DaybyDay[[#This Row],[Est-Admin-Payroll]]/(DaybyDay[[#This Row],[Service-Actuals]]+DaybyDay[[#This Row],[Retail-Actuals]]),"")</f>
        <v/>
      </c>
      <c r="AP813" s="41" t="e">
        <f>DaybyDay[[#This Row],[Estimated-Payroll-Rollup]]/DaybyDay[[#This Row],[Simple-Forecast]]</f>
        <v>#DIV/0!</v>
      </c>
      <c r="AQ8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3" s="77"/>
      <c r="AS813" s="40" t="str">
        <f>IF(DaybyDay[[#This Row],[Retail Hours]]&gt;0,DaybyDay[[#This Row],[Retail Hours]]*$AS$2,"")</f>
        <v/>
      </c>
      <c r="AT813" s="40">
        <f>SUMIFS(DaybyDay[Est-Retail-Payroll],DaybyDay[Date],"&gt;="&amp;$C$5,DaybyDay[RowYear],"&gt;="&amp;$C$4,DaybyDay[Date],"&lt;="&amp;DaybyDay[[#This Row],[Date]])</f>
        <v>0</v>
      </c>
      <c r="AU813" s="82" t="str">
        <f>IF(AND(DaybyDay[[#This Row],[_Space]],ISNUMBER(DaybyDay[[#This Row],[Retail Hours]])),DaybyDay[[#This Row],[Est-Retail-Payroll]]/(DaybyDay[[#This Row],[Retail-Actuals]]),"")</f>
        <v/>
      </c>
      <c r="AV813" s="82" t="e">
        <f>DaybyDay[[#This Row],[Est-Retail-PayrollRU]]/DaybyDay[[#This Row],[Simple-Forecast-Retail]]</f>
        <v>#DIV/0!</v>
      </c>
      <c r="AW813" s="8"/>
      <c r="AX813" s="49"/>
      <c r="AY813" s="48"/>
      <c r="AZ813" s="47"/>
      <c r="BA813" s="47"/>
      <c r="BB813" s="47"/>
      <c r="BC813" s="47"/>
      <c r="BD813" s="47"/>
    </row>
    <row r="814" spans="3:56" hidden="1" x14ac:dyDescent="0.25">
      <c r="C814" s="26" t="str">
        <f>Tools!$C$1</f>
        <v>Example</v>
      </c>
      <c r="D814" s="27" t="s">
        <v>70</v>
      </c>
      <c r="E814" s="28">
        <v>2019</v>
      </c>
      <c r="F814" s="28">
        <f>MATCH(DaybyDay[[#This Row],[RowMonth]],Table3[SummaryMonth],0)</f>
        <v>3</v>
      </c>
      <c r="G814" s="29">
        <f>MATCH(DaybyDay[[#This Row],[LY-Date]],DaybyDay[Date],0)</f>
        <v>444</v>
      </c>
      <c r="H814" s="30">
        <f>WEEKDAY(DaybyDay[[#This Row],[Date]])</f>
        <v>3</v>
      </c>
      <c r="I814" s="31">
        <v>43543</v>
      </c>
      <c r="J814" s="74">
        <v>24</v>
      </c>
      <c r="K814" s="32">
        <f>SUMIFS(BudgetSeasonality[365 Seasonality],BudgetSeasonality[MonthAdjustment],DaybyDay[[#This Row],[Date]])*SUMIFS(Budgets[Service-Budget],Budgets[BudgetMonth],DaybyDay[[#This Row],[RowMonth]],Budgets[BudgetYear],DaybyDay[[#This Row],[RowYear]])</f>
        <v>3215.648759093885</v>
      </c>
      <c r="L814" s="75">
        <v>4216</v>
      </c>
      <c r="M814" s="32">
        <f>INDEX(BudgetSeasonality[365 Seasonality],MATCH(DaybyDay[[#This Row],[Date]],BudgetSeasonality[MonthAdjustment],0))*SUMIFS(Budgets[Retail-Budget],Budgets[BudgetMonth],DaybyDay[[#This Row],[RowMonth]],Budgets[BudgetYear],DaybyDay[[#This Row],[RowYear]])</f>
        <v>743.20359812722745</v>
      </c>
      <c r="N814" s="75">
        <v>640</v>
      </c>
      <c r="O814" s="33">
        <f>SUMIFS(DaybyDay[Service-Budgets],DaybyDay[Date],"&gt;="&amp;$C$5,DaybyDay[RowYear],"&gt;="&amp;$C$4,DaybyDay[Date],"&lt;="&amp;DaybyDay[[#This Row],[Date]])</f>
        <v>0</v>
      </c>
      <c r="P814" s="33">
        <f>SUMIFS(DaybyDay[Retail-Budgets],DaybyDay[Date],"&gt;="&amp;$C$5,DaybyDay[RowYear],"&gt;="&amp;$C$4,DaybyDay[Date],"&lt;="&amp;DaybyDay[[#This Row],[Date]])</f>
        <v>0</v>
      </c>
      <c r="Q814" s="34">
        <f>SUMIFS(DaybyDay[Service-Actuals],DaybyDay[Date],"&gt;="&amp;$C$5,DaybyDay[RowYear],"&gt;="&amp;$C$4,DaybyDay[Date],"&lt;="&amp;DaybyDay[[#This Row],[Date]])</f>
        <v>0</v>
      </c>
      <c r="R814" s="34">
        <f>SUMIFS(DaybyDay[Retail-Actuals],DaybyDay[Date],"&gt;="&amp;$C$5,DaybyDay[RowYear],"&gt;="&amp;$C$4,DaybyDay[Date],"&lt;="&amp;DaybyDay[[#This Row],[Date]])</f>
        <v>0</v>
      </c>
      <c r="S814" s="35">
        <f>SUMIFS(DaybyDay[Service-LY],DaybyDay[Date],"&gt;="&amp;$C$5,DaybyDay[RowYear],"&gt;="&amp;$C$4,DaybyDay[Date],"&lt;="&amp;DaybyDay[[#This Row],[Date]])</f>
        <v>0</v>
      </c>
      <c r="T814" s="35">
        <f>SUMIFS(DaybyDay[Retail-LY],DaybyDay[Date],"&gt;="&amp;$C$5,DaybyDay[RowYear],"&gt;="&amp;$C$4,DaybyDay[Date],"&lt;="&amp;DaybyDay[[#This Row],[Date]])</f>
        <v>0</v>
      </c>
      <c r="U814" s="32">
        <f>DaybyDay[[#This Row],[Serv-Bud-RU]]+DaybyDay[[#This Row],[Ret-Bud-RU]]</f>
        <v>0</v>
      </c>
      <c r="V814" s="32">
        <f>DaybyDay[[#This Row],[Serv-Act-RU]]+DaybyDay[[#This Row],[Ret-Act-RU]]</f>
        <v>0</v>
      </c>
      <c r="W814" s="36">
        <f>IF(DaybyDay[[#This Row],[_Space]],IFERROR(
((DaybyDay[[#This Row],[Actual-Rollup]]-DaybyDay[[#This Row],[Budget-Rollup]])/DaybyDay[[#This Row],[Budget-Rollup]]),0),"")</f>
        <v>0</v>
      </c>
      <c r="X814" t="b">
        <f>NOT(AND(ISBLANK(DaybyDay[[#This Row],[Appts]]),ISBLANK(DaybyDay[[#This Row],[Service-Actuals]]),ISBLANK(DaybyDay[[#This Row],[Retail-Actuals]])))</f>
        <v>1</v>
      </c>
      <c r="Y814" s="36">
        <f>IF(DaybyDay[[#This Row],[_Space]],IFERROR(
((DaybyDay[[#This Row],[Actual-Rollup]]-DaybyDay[[#This Row],[LY-Rollup]])/DaybyDay[[#This Row],[LY-Rollup]]),0),"")</f>
        <v>0</v>
      </c>
      <c r="Z814"/>
      <c r="AA814" s="37" t="e">
        <f>IF(DaybyDay[[#This Row],[_Space]],DaybyDay[[#This Row],[Ret-Act-RU]]/DaybyDay[[#This Row],[Serv-Act-RU]],"")</f>
        <v>#DIV/0!</v>
      </c>
      <c r="AB814" s="50" t="e">
        <f>IF(DaybyDay[[#This Row],[_Space]],DaybyDay[[#This Row],[RETPEN-Act]]/DaybyDay[[#This Row],[RETPEN-Bud]],"")</f>
        <v>#DIV/0!</v>
      </c>
      <c r="AC814" s="37" t="e">
        <f>IF(DaybyDay[[#This Row],[_Space]],DaybyDay[[#This Row],[Ret-Bud-RU]]/DaybyDay[[#This Row],[Serv-Bud-RU]],"")</f>
        <v>#DIV/0!</v>
      </c>
      <c r="AD814" s="37" t="e">
        <f>IF(DaybyDay[[#This Row],[_Space]],DaybyDay[[#This Row],[Ret-LY-RU]]/DaybyDay[[#This Row],[Serv-LY-RU]],"")</f>
        <v>#DIV/0!</v>
      </c>
      <c r="AE814" s="30">
        <f>WEEKDAY(DaybyDay[[#This Row],[LY-Date]])</f>
        <v>3</v>
      </c>
      <c r="AF814" s="38">
        <f>$E$2+_xlfn.DAYS(DaybyDay[[#This Row],[Date]],minDate)</f>
        <v>43179</v>
      </c>
      <c r="AG814" s="39" cm="1">
        <f t="array" ref="AG814">IFERROR(INDEX(DaybyDay[],DaybyDay[[#This Row],[FORM_MATCH_HELPER]],8),"")</f>
        <v>18</v>
      </c>
      <c r="AH814" s="39" cm="1">
        <f t="array" ref="AH814">IFERROR(INDEX(DaybyDay[],DaybyDay[[#This Row],[FORM_MATCH_HELPER]],10),"")</f>
        <v>4059</v>
      </c>
      <c r="AI814" s="39" cm="1">
        <f t="array" ref="AI814">IFERROR(INDEX(DaybyDay[],DaybyDay[[#This Row],[FORM_MATCH_HELPER]],12),"")</f>
        <v>214</v>
      </c>
      <c r="AJ814" s="32">
        <f>IFERROR(DaybyDay[[#This Row],[Serv-LY-RU]]+DaybyDay[[#This Row],[Ret-LY-RU]],"")</f>
        <v>0</v>
      </c>
      <c r="AK8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4" s="77"/>
      <c r="AM814" s="40" t="str">
        <f>IF(DaybyDay[[#This Row],[Admin Hours]]&gt;0,DaybyDay[[#This Row],[Admin Hours]]*$AM$2+$AM$3,"")</f>
        <v/>
      </c>
      <c r="AN814" s="40">
        <f>SUMIFS(DaybyDay[Est-Admin-Payroll],DaybyDay[Date],"&gt;="&amp;$C$5,DaybyDay[RowYear],"&gt;="&amp;$C$4,DaybyDay[Date],"&lt;="&amp;DaybyDay[[#This Row],[Date]])</f>
        <v>0</v>
      </c>
      <c r="AO814" s="41" t="str">
        <f>IF(AND(DaybyDay[[#This Row],[_Space]],ISNUMBER(DaybyDay[[#This Row],[Admin Hours]])),DaybyDay[[#This Row],[Est-Admin-Payroll]]/(DaybyDay[[#This Row],[Service-Actuals]]+DaybyDay[[#This Row],[Retail-Actuals]]),"")</f>
        <v/>
      </c>
      <c r="AP814" s="41" t="e">
        <f>DaybyDay[[#This Row],[Estimated-Payroll-Rollup]]/DaybyDay[[#This Row],[Simple-Forecast]]</f>
        <v>#DIV/0!</v>
      </c>
      <c r="AQ8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4" s="77"/>
      <c r="AS814" s="40" t="str">
        <f>IF(DaybyDay[[#This Row],[Retail Hours]]&gt;0,DaybyDay[[#This Row],[Retail Hours]]*$AS$2,"")</f>
        <v/>
      </c>
      <c r="AT814" s="40">
        <f>SUMIFS(DaybyDay[Est-Retail-Payroll],DaybyDay[Date],"&gt;="&amp;$C$5,DaybyDay[RowYear],"&gt;="&amp;$C$4,DaybyDay[Date],"&lt;="&amp;DaybyDay[[#This Row],[Date]])</f>
        <v>0</v>
      </c>
      <c r="AU814" s="82" t="str">
        <f>IF(AND(DaybyDay[[#This Row],[_Space]],ISNUMBER(DaybyDay[[#This Row],[Retail Hours]])),DaybyDay[[#This Row],[Est-Retail-Payroll]]/(DaybyDay[[#This Row],[Retail-Actuals]]),"")</f>
        <v/>
      </c>
      <c r="AV814" s="82" t="e">
        <f>DaybyDay[[#This Row],[Est-Retail-PayrollRU]]/DaybyDay[[#This Row],[Simple-Forecast-Retail]]</f>
        <v>#DIV/0!</v>
      </c>
      <c r="AW814" s="8"/>
      <c r="AX814" s="49"/>
      <c r="AY814" s="48"/>
      <c r="AZ814" s="47"/>
      <c r="BA814" s="47"/>
      <c r="BB814" s="47"/>
      <c r="BC814" s="47"/>
      <c r="BD814" s="47"/>
    </row>
    <row r="815" spans="3:56" hidden="1" x14ac:dyDescent="0.25">
      <c r="C815" s="26" t="str">
        <f>Tools!$C$1</f>
        <v>Example</v>
      </c>
      <c r="D815" s="27" t="s">
        <v>70</v>
      </c>
      <c r="E815" s="28">
        <v>2019</v>
      </c>
      <c r="F815" s="28">
        <f>MATCH(DaybyDay[[#This Row],[RowMonth]],Table3[SummaryMonth],0)</f>
        <v>3</v>
      </c>
      <c r="G815" s="29">
        <f>MATCH(DaybyDay[[#This Row],[LY-Date]],DaybyDay[Date],0)</f>
        <v>445</v>
      </c>
      <c r="H815" s="30">
        <f>WEEKDAY(DaybyDay[[#This Row],[Date]])</f>
        <v>4</v>
      </c>
      <c r="I815" s="31">
        <v>43544</v>
      </c>
      <c r="J815" s="74">
        <v>38</v>
      </c>
      <c r="K815" s="32">
        <f>SUMIFS(BudgetSeasonality[365 Seasonality],BudgetSeasonality[MonthAdjustment],DaybyDay[[#This Row],[Date]])*SUMIFS(Budgets[Service-Budget],Budgets[BudgetMonth],DaybyDay[[#This Row],[RowMonth]],Budgets[BudgetYear],DaybyDay[[#This Row],[RowYear]])</f>
        <v>3718.1360864253802</v>
      </c>
      <c r="L815" s="75">
        <v>10963.04</v>
      </c>
      <c r="M815" s="32">
        <f>INDEX(BudgetSeasonality[365 Seasonality],MATCH(DaybyDay[[#This Row],[Date]],BudgetSeasonality[MonthAdjustment],0))*SUMIFS(Budgets[Retail-Budget],Budgets[BudgetMonth],DaybyDay[[#This Row],[RowMonth]],Budgets[BudgetYear],DaybyDay[[#This Row],[RowYear]])</f>
        <v>859.33891565218414</v>
      </c>
      <c r="N815" s="75">
        <v>24.95</v>
      </c>
      <c r="O815" s="33">
        <f>SUMIFS(DaybyDay[Service-Budgets],DaybyDay[Date],"&gt;="&amp;$C$5,DaybyDay[RowYear],"&gt;="&amp;$C$4,DaybyDay[Date],"&lt;="&amp;DaybyDay[[#This Row],[Date]])</f>
        <v>0</v>
      </c>
      <c r="P815" s="33">
        <f>SUMIFS(DaybyDay[Retail-Budgets],DaybyDay[Date],"&gt;="&amp;$C$5,DaybyDay[RowYear],"&gt;="&amp;$C$4,DaybyDay[Date],"&lt;="&amp;DaybyDay[[#This Row],[Date]])</f>
        <v>0</v>
      </c>
      <c r="Q815" s="34">
        <f>SUMIFS(DaybyDay[Service-Actuals],DaybyDay[Date],"&gt;="&amp;$C$5,DaybyDay[RowYear],"&gt;="&amp;$C$4,DaybyDay[Date],"&lt;="&amp;DaybyDay[[#This Row],[Date]])</f>
        <v>0</v>
      </c>
      <c r="R815" s="34">
        <f>SUMIFS(DaybyDay[Retail-Actuals],DaybyDay[Date],"&gt;="&amp;$C$5,DaybyDay[RowYear],"&gt;="&amp;$C$4,DaybyDay[Date],"&lt;="&amp;DaybyDay[[#This Row],[Date]])</f>
        <v>0</v>
      </c>
      <c r="S815" s="35">
        <f>SUMIFS(DaybyDay[Service-LY],DaybyDay[Date],"&gt;="&amp;$C$5,DaybyDay[RowYear],"&gt;="&amp;$C$4,DaybyDay[Date],"&lt;="&amp;DaybyDay[[#This Row],[Date]])</f>
        <v>0</v>
      </c>
      <c r="T815" s="35">
        <f>SUMIFS(DaybyDay[Retail-LY],DaybyDay[Date],"&gt;="&amp;$C$5,DaybyDay[RowYear],"&gt;="&amp;$C$4,DaybyDay[Date],"&lt;="&amp;DaybyDay[[#This Row],[Date]])</f>
        <v>0</v>
      </c>
      <c r="U815" s="32">
        <f>DaybyDay[[#This Row],[Serv-Bud-RU]]+DaybyDay[[#This Row],[Ret-Bud-RU]]</f>
        <v>0</v>
      </c>
      <c r="V815" s="32">
        <f>DaybyDay[[#This Row],[Serv-Act-RU]]+DaybyDay[[#This Row],[Ret-Act-RU]]</f>
        <v>0</v>
      </c>
      <c r="W815" s="36">
        <f>IF(DaybyDay[[#This Row],[_Space]],IFERROR(
((DaybyDay[[#This Row],[Actual-Rollup]]-DaybyDay[[#This Row],[Budget-Rollup]])/DaybyDay[[#This Row],[Budget-Rollup]]),0),"")</f>
        <v>0</v>
      </c>
      <c r="X815" t="b">
        <f>NOT(AND(ISBLANK(DaybyDay[[#This Row],[Appts]]),ISBLANK(DaybyDay[[#This Row],[Service-Actuals]]),ISBLANK(DaybyDay[[#This Row],[Retail-Actuals]])))</f>
        <v>1</v>
      </c>
      <c r="Y815" s="36">
        <f>IF(DaybyDay[[#This Row],[_Space]],IFERROR(
((DaybyDay[[#This Row],[Actual-Rollup]]-DaybyDay[[#This Row],[LY-Rollup]])/DaybyDay[[#This Row],[LY-Rollup]]),0),"")</f>
        <v>0</v>
      </c>
      <c r="Z815"/>
      <c r="AA815" s="37" t="e">
        <f>IF(DaybyDay[[#This Row],[_Space]],DaybyDay[[#This Row],[Ret-Act-RU]]/DaybyDay[[#This Row],[Serv-Act-RU]],"")</f>
        <v>#DIV/0!</v>
      </c>
      <c r="AB815" s="50" t="e">
        <f>IF(DaybyDay[[#This Row],[_Space]],DaybyDay[[#This Row],[RETPEN-Act]]/DaybyDay[[#This Row],[RETPEN-Bud]],"")</f>
        <v>#DIV/0!</v>
      </c>
      <c r="AC815" s="37" t="e">
        <f>IF(DaybyDay[[#This Row],[_Space]],DaybyDay[[#This Row],[Ret-Bud-RU]]/DaybyDay[[#This Row],[Serv-Bud-RU]],"")</f>
        <v>#DIV/0!</v>
      </c>
      <c r="AD815" s="37" t="e">
        <f>IF(DaybyDay[[#This Row],[_Space]],DaybyDay[[#This Row],[Ret-LY-RU]]/DaybyDay[[#This Row],[Serv-LY-RU]],"")</f>
        <v>#DIV/0!</v>
      </c>
      <c r="AE815" s="30">
        <f>WEEKDAY(DaybyDay[[#This Row],[LY-Date]])</f>
        <v>4</v>
      </c>
      <c r="AF815" s="38">
        <f>$E$2+_xlfn.DAYS(DaybyDay[[#This Row],[Date]],minDate)</f>
        <v>43180</v>
      </c>
      <c r="AG815" s="39" cm="1">
        <f t="array" ref="AG815">IFERROR(INDEX(DaybyDay[],DaybyDay[[#This Row],[FORM_MATCH_HELPER]],8),"")</f>
        <v>0</v>
      </c>
      <c r="AH815" s="39" cm="1">
        <f t="array" ref="AH815">IFERROR(INDEX(DaybyDay[],DaybyDay[[#This Row],[FORM_MATCH_HELPER]],10),"")</f>
        <v>10500</v>
      </c>
      <c r="AI815" s="39" cm="1">
        <f t="array" ref="AI815">IFERROR(INDEX(DaybyDay[],DaybyDay[[#This Row],[FORM_MATCH_HELPER]],12),"")</f>
        <v>0</v>
      </c>
      <c r="AJ815" s="32">
        <f>IFERROR(DaybyDay[[#This Row],[Serv-LY-RU]]+DaybyDay[[#This Row],[Ret-LY-RU]],"")</f>
        <v>0</v>
      </c>
      <c r="AK8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5" s="77"/>
      <c r="AM815" s="40" t="str">
        <f>IF(DaybyDay[[#This Row],[Admin Hours]]&gt;0,DaybyDay[[#This Row],[Admin Hours]]*$AM$2+$AM$3,"")</f>
        <v/>
      </c>
      <c r="AN815" s="40">
        <f>SUMIFS(DaybyDay[Est-Admin-Payroll],DaybyDay[Date],"&gt;="&amp;$C$5,DaybyDay[RowYear],"&gt;="&amp;$C$4,DaybyDay[Date],"&lt;="&amp;DaybyDay[[#This Row],[Date]])</f>
        <v>0</v>
      </c>
      <c r="AO815" s="41" t="str">
        <f>IF(AND(DaybyDay[[#This Row],[_Space]],ISNUMBER(DaybyDay[[#This Row],[Admin Hours]])),DaybyDay[[#This Row],[Est-Admin-Payroll]]/(DaybyDay[[#This Row],[Service-Actuals]]+DaybyDay[[#This Row],[Retail-Actuals]]),"")</f>
        <v/>
      </c>
      <c r="AP815" s="41" t="e">
        <f>DaybyDay[[#This Row],[Estimated-Payroll-Rollup]]/DaybyDay[[#This Row],[Simple-Forecast]]</f>
        <v>#DIV/0!</v>
      </c>
      <c r="AQ8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5" s="77"/>
      <c r="AS815" s="40" t="str">
        <f>IF(DaybyDay[[#This Row],[Retail Hours]]&gt;0,DaybyDay[[#This Row],[Retail Hours]]*$AS$2,"")</f>
        <v/>
      </c>
      <c r="AT815" s="40">
        <f>SUMIFS(DaybyDay[Est-Retail-Payroll],DaybyDay[Date],"&gt;="&amp;$C$5,DaybyDay[RowYear],"&gt;="&amp;$C$4,DaybyDay[Date],"&lt;="&amp;DaybyDay[[#This Row],[Date]])</f>
        <v>0</v>
      </c>
      <c r="AU815" s="82" t="str">
        <f>IF(AND(DaybyDay[[#This Row],[_Space]],ISNUMBER(DaybyDay[[#This Row],[Retail Hours]])),DaybyDay[[#This Row],[Est-Retail-Payroll]]/(DaybyDay[[#This Row],[Retail-Actuals]]),"")</f>
        <v/>
      </c>
      <c r="AV815" s="82" t="e">
        <f>DaybyDay[[#This Row],[Est-Retail-PayrollRU]]/DaybyDay[[#This Row],[Simple-Forecast-Retail]]</f>
        <v>#DIV/0!</v>
      </c>
      <c r="AW815" s="8"/>
      <c r="AX815" s="49"/>
      <c r="AY815" s="48"/>
      <c r="AZ815" s="47"/>
      <c r="BA815" s="47"/>
      <c r="BB815" s="47"/>
      <c r="BC815" s="47"/>
      <c r="BD815" s="47"/>
    </row>
    <row r="816" spans="3:56" hidden="1" x14ac:dyDescent="0.25">
      <c r="C816" s="26" t="str">
        <f>Tools!$C$1</f>
        <v>Example</v>
      </c>
      <c r="D816" s="27" t="s">
        <v>70</v>
      </c>
      <c r="E816" s="28">
        <v>2019</v>
      </c>
      <c r="F816" s="28">
        <f>MATCH(DaybyDay[[#This Row],[RowMonth]],Table3[SummaryMonth],0)</f>
        <v>3</v>
      </c>
      <c r="G816" s="29">
        <f>MATCH(DaybyDay[[#This Row],[LY-Date]],DaybyDay[Date],0)</f>
        <v>446</v>
      </c>
      <c r="H816" s="30">
        <f>WEEKDAY(DaybyDay[[#This Row],[Date]])</f>
        <v>5</v>
      </c>
      <c r="I816" s="31">
        <v>43545</v>
      </c>
      <c r="J816" s="74">
        <v>34</v>
      </c>
      <c r="K816" s="32">
        <f>SUMIFS(BudgetSeasonality[365 Seasonality],BudgetSeasonality[MonthAdjustment],DaybyDay[[#This Row],[Date]])*SUMIFS(Budgets[Service-Budget],Budgets[BudgetMonth],DaybyDay[[#This Row],[RowMonth]],Budgets[BudgetYear],DaybyDay[[#This Row],[RowYear]])</f>
        <v>3882.852779779832</v>
      </c>
      <c r="L816" s="75">
        <v>5254.05</v>
      </c>
      <c r="M816" s="32">
        <f>INDEX(BudgetSeasonality[365 Seasonality],MATCH(DaybyDay[[#This Row],[Date]],BudgetSeasonality[MonthAdjustment],0))*SUMIFS(Budgets[Retail-Budget],Budgets[BudgetMonth],DaybyDay[[#This Row],[RowMonth]],Budgets[BudgetYear],DaybyDay[[#This Row],[RowYear]])</f>
        <v>897.40838416190513</v>
      </c>
      <c r="N816" s="75">
        <v>765</v>
      </c>
      <c r="O816" s="33">
        <f>SUMIFS(DaybyDay[Service-Budgets],DaybyDay[Date],"&gt;="&amp;$C$5,DaybyDay[RowYear],"&gt;="&amp;$C$4,DaybyDay[Date],"&lt;="&amp;DaybyDay[[#This Row],[Date]])</f>
        <v>0</v>
      </c>
      <c r="P816" s="33">
        <f>SUMIFS(DaybyDay[Retail-Budgets],DaybyDay[Date],"&gt;="&amp;$C$5,DaybyDay[RowYear],"&gt;="&amp;$C$4,DaybyDay[Date],"&lt;="&amp;DaybyDay[[#This Row],[Date]])</f>
        <v>0</v>
      </c>
      <c r="Q816" s="34">
        <f>SUMIFS(DaybyDay[Service-Actuals],DaybyDay[Date],"&gt;="&amp;$C$5,DaybyDay[RowYear],"&gt;="&amp;$C$4,DaybyDay[Date],"&lt;="&amp;DaybyDay[[#This Row],[Date]])</f>
        <v>0</v>
      </c>
      <c r="R816" s="34">
        <f>SUMIFS(DaybyDay[Retail-Actuals],DaybyDay[Date],"&gt;="&amp;$C$5,DaybyDay[RowYear],"&gt;="&amp;$C$4,DaybyDay[Date],"&lt;="&amp;DaybyDay[[#This Row],[Date]])</f>
        <v>0</v>
      </c>
      <c r="S816" s="35">
        <f>SUMIFS(DaybyDay[Service-LY],DaybyDay[Date],"&gt;="&amp;$C$5,DaybyDay[RowYear],"&gt;="&amp;$C$4,DaybyDay[Date],"&lt;="&amp;DaybyDay[[#This Row],[Date]])</f>
        <v>0</v>
      </c>
      <c r="T816" s="35">
        <f>SUMIFS(DaybyDay[Retail-LY],DaybyDay[Date],"&gt;="&amp;$C$5,DaybyDay[RowYear],"&gt;="&amp;$C$4,DaybyDay[Date],"&lt;="&amp;DaybyDay[[#This Row],[Date]])</f>
        <v>0</v>
      </c>
      <c r="U816" s="32">
        <f>DaybyDay[[#This Row],[Serv-Bud-RU]]+DaybyDay[[#This Row],[Ret-Bud-RU]]</f>
        <v>0</v>
      </c>
      <c r="V816" s="32">
        <f>DaybyDay[[#This Row],[Serv-Act-RU]]+DaybyDay[[#This Row],[Ret-Act-RU]]</f>
        <v>0</v>
      </c>
      <c r="W816" s="36">
        <f>IF(DaybyDay[[#This Row],[_Space]],IFERROR(
((DaybyDay[[#This Row],[Actual-Rollup]]-DaybyDay[[#This Row],[Budget-Rollup]])/DaybyDay[[#This Row],[Budget-Rollup]]),0),"")</f>
        <v>0</v>
      </c>
      <c r="X816" t="b">
        <f>NOT(AND(ISBLANK(DaybyDay[[#This Row],[Appts]]),ISBLANK(DaybyDay[[#This Row],[Service-Actuals]]),ISBLANK(DaybyDay[[#This Row],[Retail-Actuals]])))</f>
        <v>1</v>
      </c>
      <c r="Y816" s="36">
        <f>IF(DaybyDay[[#This Row],[_Space]],IFERROR(
((DaybyDay[[#This Row],[Actual-Rollup]]-DaybyDay[[#This Row],[LY-Rollup]])/DaybyDay[[#This Row],[LY-Rollup]]),0),"")</f>
        <v>0</v>
      </c>
      <c r="Z816"/>
      <c r="AA816" s="37" t="e">
        <f>IF(DaybyDay[[#This Row],[_Space]],DaybyDay[[#This Row],[Ret-Act-RU]]/DaybyDay[[#This Row],[Serv-Act-RU]],"")</f>
        <v>#DIV/0!</v>
      </c>
      <c r="AB816" s="50" t="e">
        <f>IF(DaybyDay[[#This Row],[_Space]],DaybyDay[[#This Row],[RETPEN-Act]]/DaybyDay[[#This Row],[RETPEN-Bud]],"")</f>
        <v>#DIV/0!</v>
      </c>
      <c r="AC816" s="37" t="e">
        <f>IF(DaybyDay[[#This Row],[_Space]],DaybyDay[[#This Row],[Ret-Bud-RU]]/DaybyDay[[#This Row],[Serv-Bud-RU]],"")</f>
        <v>#DIV/0!</v>
      </c>
      <c r="AD816" s="37" t="e">
        <f>IF(DaybyDay[[#This Row],[_Space]],DaybyDay[[#This Row],[Ret-LY-RU]]/DaybyDay[[#This Row],[Serv-LY-RU]],"")</f>
        <v>#DIV/0!</v>
      </c>
      <c r="AE816" s="30">
        <f>WEEKDAY(DaybyDay[[#This Row],[LY-Date]])</f>
        <v>5</v>
      </c>
      <c r="AF816" s="38">
        <f>$E$2+_xlfn.DAYS(DaybyDay[[#This Row],[Date]],minDate)</f>
        <v>43181</v>
      </c>
      <c r="AG816" s="39" cm="1">
        <f t="array" ref="AG816">IFERROR(INDEX(DaybyDay[],DaybyDay[[#This Row],[FORM_MATCH_HELPER]],8),"")</f>
        <v>0</v>
      </c>
      <c r="AH816" s="39" cm="1">
        <f t="array" ref="AH816">IFERROR(INDEX(DaybyDay[],DaybyDay[[#This Row],[FORM_MATCH_HELPER]],10),"")</f>
        <v>10500</v>
      </c>
      <c r="AI816" s="39" cm="1">
        <f t="array" ref="AI816">IFERROR(INDEX(DaybyDay[],DaybyDay[[#This Row],[FORM_MATCH_HELPER]],12),"")</f>
        <v>0</v>
      </c>
      <c r="AJ816" s="32">
        <f>IFERROR(DaybyDay[[#This Row],[Serv-LY-RU]]+DaybyDay[[#This Row],[Ret-LY-RU]],"")</f>
        <v>0</v>
      </c>
      <c r="AK8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6" s="77"/>
      <c r="AM816" s="40" t="str">
        <f>IF(DaybyDay[[#This Row],[Admin Hours]]&gt;0,DaybyDay[[#This Row],[Admin Hours]]*$AM$2+$AM$3,"")</f>
        <v/>
      </c>
      <c r="AN816" s="40">
        <f>SUMIFS(DaybyDay[Est-Admin-Payroll],DaybyDay[Date],"&gt;="&amp;$C$5,DaybyDay[RowYear],"&gt;="&amp;$C$4,DaybyDay[Date],"&lt;="&amp;DaybyDay[[#This Row],[Date]])</f>
        <v>0</v>
      </c>
      <c r="AO816" s="41" t="str">
        <f>IF(AND(DaybyDay[[#This Row],[_Space]],ISNUMBER(DaybyDay[[#This Row],[Admin Hours]])),DaybyDay[[#This Row],[Est-Admin-Payroll]]/(DaybyDay[[#This Row],[Service-Actuals]]+DaybyDay[[#This Row],[Retail-Actuals]]),"")</f>
        <v/>
      </c>
      <c r="AP816" s="41" t="e">
        <f>DaybyDay[[#This Row],[Estimated-Payroll-Rollup]]/DaybyDay[[#This Row],[Simple-Forecast]]</f>
        <v>#DIV/0!</v>
      </c>
      <c r="AQ8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6" s="77"/>
      <c r="AS816" s="40" t="str">
        <f>IF(DaybyDay[[#This Row],[Retail Hours]]&gt;0,DaybyDay[[#This Row],[Retail Hours]]*$AS$2,"")</f>
        <v/>
      </c>
      <c r="AT816" s="40">
        <f>SUMIFS(DaybyDay[Est-Retail-Payroll],DaybyDay[Date],"&gt;="&amp;$C$5,DaybyDay[RowYear],"&gt;="&amp;$C$4,DaybyDay[Date],"&lt;="&amp;DaybyDay[[#This Row],[Date]])</f>
        <v>0</v>
      </c>
      <c r="AU816" s="82" t="str">
        <f>IF(AND(DaybyDay[[#This Row],[_Space]],ISNUMBER(DaybyDay[[#This Row],[Retail Hours]])),DaybyDay[[#This Row],[Est-Retail-Payroll]]/(DaybyDay[[#This Row],[Retail-Actuals]]),"")</f>
        <v/>
      </c>
      <c r="AV816" s="82" t="e">
        <f>DaybyDay[[#This Row],[Est-Retail-PayrollRU]]/DaybyDay[[#This Row],[Simple-Forecast-Retail]]</f>
        <v>#DIV/0!</v>
      </c>
      <c r="AW816" s="8"/>
      <c r="AX816" s="49"/>
      <c r="AY816" s="48"/>
      <c r="AZ816" s="47"/>
      <c r="BA816" s="47"/>
      <c r="BB816" s="47"/>
      <c r="BC816" s="47"/>
      <c r="BD816" s="47"/>
    </row>
    <row r="817" spans="3:56" hidden="1" x14ac:dyDescent="0.25">
      <c r="C817" s="26" t="str">
        <f>Tools!$C$1</f>
        <v>Example</v>
      </c>
      <c r="D817" s="27" t="s">
        <v>70</v>
      </c>
      <c r="E817" s="28">
        <v>2019</v>
      </c>
      <c r="F817" s="28">
        <f>MATCH(DaybyDay[[#This Row],[RowMonth]],Table3[SummaryMonth],0)</f>
        <v>3</v>
      </c>
      <c r="G817" s="29">
        <f>MATCH(DaybyDay[[#This Row],[LY-Date]],DaybyDay[Date],0)</f>
        <v>447</v>
      </c>
      <c r="H817" s="30">
        <f>WEEKDAY(DaybyDay[[#This Row],[Date]])</f>
        <v>6</v>
      </c>
      <c r="I817" s="31">
        <v>43546</v>
      </c>
      <c r="J817" s="74">
        <v>31</v>
      </c>
      <c r="K817" s="32">
        <f>SUMIFS(BudgetSeasonality[365 Seasonality],BudgetSeasonality[MonthAdjustment],DaybyDay[[#This Row],[Date]])*SUMIFS(Budgets[Service-Budget],Budgets[BudgetMonth],DaybyDay[[#This Row],[RowMonth]],Budgets[BudgetYear],DaybyDay[[#This Row],[RowYear]])</f>
        <v>4734.9279356173656</v>
      </c>
      <c r="L817" s="75">
        <v>5713.4</v>
      </c>
      <c r="M817" s="32">
        <f>INDEX(BudgetSeasonality[365 Seasonality],MATCH(DaybyDay[[#This Row],[Date]],BudgetSeasonality[MonthAdjustment],0))*SUMIFS(Budgets[Retail-Budget],Budgets[BudgetMonth],DaybyDay[[#This Row],[RowMonth]],Budgets[BudgetYear],DaybyDay[[#This Row],[RowYear]])</f>
        <v>1094.3407512005604</v>
      </c>
      <c r="N817" s="75">
        <v>440</v>
      </c>
      <c r="O817" s="33">
        <f>SUMIFS(DaybyDay[Service-Budgets],DaybyDay[Date],"&gt;="&amp;$C$5,DaybyDay[RowYear],"&gt;="&amp;$C$4,DaybyDay[Date],"&lt;="&amp;DaybyDay[[#This Row],[Date]])</f>
        <v>0</v>
      </c>
      <c r="P817" s="33">
        <f>SUMIFS(DaybyDay[Retail-Budgets],DaybyDay[Date],"&gt;="&amp;$C$5,DaybyDay[RowYear],"&gt;="&amp;$C$4,DaybyDay[Date],"&lt;="&amp;DaybyDay[[#This Row],[Date]])</f>
        <v>0</v>
      </c>
      <c r="Q817" s="34">
        <f>SUMIFS(DaybyDay[Service-Actuals],DaybyDay[Date],"&gt;="&amp;$C$5,DaybyDay[RowYear],"&gt;="&amp;$C$4,DaybyDay[Date],"&lt;="&amp;DaybyDay[[#This Row],[Date]])</f>
        <v>0</v>
      </c>
      <c r="R817" s="34">
        <f>SUMIFS(DaybyDay[Retail-Actuals],DaybyDay[Date],"&gt;="&amp;$C$5,DaybyDay[RowYear],"&gt;="&amp;$C$4,DaybyDay[Date],"&lt;="&amp;DaybyDay[[#This Row],[Date]])</f>
        <v>0</v>
      </c>
      <c r="S817" s="35">
        <f>SUMIFS(DaybyDay[Service-LY],DaybyDay[Date],"&gt;="&amp;$C$5,DaybyDay[RowYear],"&gt;="&amp;$C$4,DaybyDay[Date],"&lt;="&amp;DaybyDay[[#This Row],[Date]])</f>
        <v>0</v>
      </c>
      <c r="T817" s="35">
        <f>SUMIFS(DaybyDay[Retail-LY],DaybyDay[Date],"&gt;="&amp;$C$5,DaybyDay[RowYear],"&gt;="&amp;$C$4,DaybyDay[Date],"&lt;="&amp;DaybyDay[[#This Row],[Date]])</f>
        <v>0</v>
      </c>
      <c r="U817" s="32">
        <f>DaybyDay[[#This Row],[Serv-Bud-RU]]+DaybyDay[[#This Row],[Ret-Bud-RU]]</f>
        <v>0</v>
      </c>
      <c r="V817" s="32">
        <f>DaybyDay[[#This Row],[Serv-Act-RU]]+DaybyDay[[#This Row],[Ret-Act-RU]]</f>
        <v>0</v>
      </c>
      <c r="W817" s="36">
        <f>IF(DaybyDay[[#This Row],[_Space]],IFERROR(
((DaybyDay[[#This Row],[Actual-Rollup]]-DaybyDay[[#This Row],[Budget-Rollup]])/DaybyDay[[#This Row],[Budget-Rollup]]),0),"")</f>
        <v>0</v>
      </c>
      <c r="X817" t="b">
        <f>NOT(AND(ISBLANK(DaybyDay[[#This Row],[Appts]]),ISBLANK(DaybyDay[[#This Row],[Service-Actuals]]),ISBLANK(DaybyDay[[#This Row],[Retail-Actuals]])))</f>
        <v>1</v>
      </c>
      <c r="Y817" s="36">
        <f>IF(DaybyDay[[#This Row],[_Space]],IFERROR(
((DaybyDay[[#This Row],[Actual-Rollup]]-DaybyDay[[#This Row],[LY-Rollup]])/DaybyDay[[#This Row],[LY-Rollup]]),0),"")</f>
        <v>0</v>
      </c>
      <c r="Z817"/>
      <c r="AA817" s="37" t="e">
        <f>IF(DaybyDay[[#This Row],[_Space]],DaybyDay[[#This Row],[Ret-Act-RU]]/DaybyDay[[#This Row],[Serv-Act-RU]],"")</f>
        <v>#DIV/0!</v>
      </c>
      <c r="AB817" s="50" t="e">
        <f>IF(DaybyDay[[#This Row],[_Space]],DaybyDay[[#This Row],[RETPEN-Act]]/DaybyDay[[#This Row],[RETPEN-Bud]],"")</f>
        <v>#DIV/0!</v>
      </c>
      <c r="AC817" s="37" t="e">
        <f>IF(DaybyDay[[#This Row],[_Space]],DaybyDay[[#This Row],[Ret-Bud-RU]]/DaybyDay[[#This Row],[Serv-Bud-RU]],"")</f>
        <v>#DIV/0!</v>
      </c>
      <c r="AD817" s="37" t="e">
        <f>IF(DaybyDay[[#This Row],[_Space]],DaybyDay[[#This Row],[Ret-LY-RU]]/DaybyDay[[#This Row],[Serv-LY-RU]],"")</f>
        <v>#DIV/0!</v>
      </c>
      <c r="AE817" s="30">
        <f>WEEKDAY(DaybyDay[[#This Row],[LY-Date]])</f>
        <v>6</v>
      </c>
      <c r="AF817" s="38">
        <f>$E$2+_xlfn.DAYS(DaybyDay[[#This Row],[Date]],minDate)</f>
        <v>43182</v>
      </c>
      <c r="AG817" s="39" cm="1">
        <f t="array" ref="AG817">IFERROR(INDEX(DaybyDay[],DaybyDay[[#This Row],[FORM_MATCH_HELPER]],8),"")</f>
        <v>0</v>
      </c>
      <c r="AH817" s="39" cm="1">
        <f t="array" ref="AH817">IFERROR(INDEX(DaybyDay[],DaybyDay[[#This Row],[FORM_MATCH_HELPER]],10),"")</f>
        <v>10500</v>
      </c>
      <c r="AI817" s="39" cm="1">
        <f t="array" ref="AI817">IFERROR(INDEX(DaybyDay[],DaybyDay[[#This Row],[FORM_MATCH_HELPER]],12),"")</f>
        <v>0</v>
      </c>
      <c r="AJ817" s="32">
        <f>IFERROR(DaybyDay[[#This Row],[Serv-LY-RU]]+DaybyDay[[#This Row],[Ret-LY-RU]],"")</f>
        <v>0</v>
      </c>
      <c r="AK8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7" s="77"/>
      <c r="AM817" s="40" t="str">
        <f>IF(DaybyDay[[#This Row],[Admin Hours]]&gt;0,DaybyDay[[#This Row],[Admin Hours]]*$AM$2+$AM$3,"")</f>
        <v/>
      </c>
      <c r="AN817" s="40">
        <f>SUMIFS(DaybyDay[Est-Admin-Payroll],DaybyDay[Date],"&gt;="&amp;$C$5,DaybyDay[RowYear],"&gt;="&amp;$C$4,DaybyDay[Date],"&lt;="&amp;DaybyDay[[#This Row],[Date]])</f>
        <v>0</v>
      </c>
      <c r="AO817" s="41" t="str">
        <f>IF(AND(DaybyDay[[#This Row],[_Space]],ISNUMBER(DaybyDay[[#This Row],[Admin Hours]])),DaybyDay[[#This Row],[Est-Admin-Payroll]]/(DaybyDay[[#This Row],[Service-Actuals]]+DaybyDay[[#This Row],[Retail-Actuals]]),"")</f>
        <v/>
      </c>
      <c r="AP817" s="41" t="e">
        <f>DaybyDay[[#This Row],[Estimated-Payroll-Rollup]]/DaybyDay[[#This Row],[Simple-Forecast]]</f>
        <v>#DIV/0!</v>
      </c>
      <c r="AQ8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7" s="77"/>
      <c r="AS817" s="40" t="str">
        <f>IF(DaybyDay[[#This Row],[Retail Hours]]&gt;0,DaybyDay[[#This Row],[Retail Hours]]*$AS$2,"")</f>
        <v/>
      </c>
      <c r="AT817" s="40">
        <f>SUMIFS(DaybyDay[Est-Retail-Payroll],DaybyDay[Date],"&gt;="&amp;$C$5,DaybyDay[RowYear],"&gt;="&amp;$C$4,DaybyDay[Date],"&lt;="&amp;DaybyDay[[#This Row],[Date]])</f>
        <v>0</v>
      </c>
      <c r="AU817" s="82" t="str">
        <f>IF(AND(DaybyDay[[#This Row],[_Space]],ISNUMBER(DaybyDay[[#This Row],[Retail Hours]])),DaybyDay[[#This Row],[Est-Retail-Payroll]]/(DaybyDay[[#This Row],[Retail-Actuals]]),"")</f>
        <v/>
      </c>
      <c r="AV817" s="82" t="e">
        <f>DaybyDay[[#This Row],[Est-Retail-PayrollRU]]/DaybyDay[[#This Row],[Simple-Forecast-Retail]]</f>
        <v>#DIV/0!</v>
      </c>
      <c r="AW817" s="8"/>
      <c r="AX817" s="49"/>
      <c r="AY817" s="48"/>
      <c r="AZ817" s="47"/>
      <c r="BA817" s="47"/>
      <c r="BB817" s="47"/>
      <c r="BC817" s="47"/>
      <c r="BD817" s="47"/>
    </row>
    <row r="818" spans="3:56" hidden="1" x14ac:dyDescent="0.25">
      <c r="C818" s="26" t="str">
        <f>Tools!$C$1</f>
        <v>Example</v>
      </c>
      <c r="D818" s="27" t="s">
        <v>70</v>
      </c>
      <c r="E818" s="28">
        <v>2019</v>
      </c>
      <c r="F818" s="28">
        <f>MATCH(DaybyDay[[#This Row],[RowMonth]],Table3[SummaryMonth],0)</f>
        <v>3</v>
      </c>
      <c r="G818" s="29">
        <f>MATCH(DaybyDay[[#This Row],[LY-Date]],DaybyDay[Date],0)</f>
        <v>448</v>
      </c>
      <c r="H818" s="30">
        <f>WEEKDAY(DaybyDay[[#This Row],[Date]])</f>
        <v>7</v>
      </c>
      <c r="I818" s="31">
        <v>43547</v>
      </c>
      <c r="J818" s="74">
        <v>39</v>
      </c>
      <c r="K818" s="32">
        <f>SUMIFS(BudgetSeasonality[365 Seasonality],BudgetSeasonality[MonthAdjustment],DaybyDay[[#This Row],[Date]])*SUMIFS(Budgets[Service-Budget],Budgets[BudgetMonth],DaybyDay[[#This Row],[RowMonth]],Budgets[BudgetYear],DaybyDay[[#This Row],[RowYear]])</f>
        <v>6451.1719063404207</v>
      </c>
      <c r="L818" s="75">
        <v>7472</v>
      </c>
      <c r="M818" s="32">
        <f>INDEX(BudgetSeasonality[365 Seasonality],MATCH(DaybyDay[[#This Row],[Date]],BudgetSeasonality[MonthAdjustment],0))*SUMIFS(Budgets[Retail-Budget],Budgets[BudgetMonth],DaybyDay[[#This Row],[RowMonth]],Budgets[BudgetYear],DaybyDay[[#This Row],[RowYear]])</f>
        <v>1491.0005825015865</v>
      </c>
      <c r="N818" s="75">
        <v>2434.09</v>
      </c>
      <c r="O818" s="33">
        <f>SUMIFS(DaybyDay[Service-Budgets],DaybyDay[Date],"&gt;="&amp;$C$5,DaybyDay[RowYear],"&gt;="&amp;$C$4,DaybyDay[Date],"&lt;="&amp;DaybyDay[[#This Row],[Date]])</f>
        <v>0</v>
      </c>
      <c r="P818" s="33">
        <f>SUMIFS(DaybyDay[Retail-Budgets],DaybyDay[Date],"&gt;="&amp;$C$5,DaybyDay[RowYear],"&gt;="&amp;$C$4,DaybyDay[Date],"&lt;="&amp;DaybyDay[[#This Row],[Date]])</f>
        <v>0</v>
      </c>
      <c r="Q818" s="34">
        <f>SUMIFS(DaybyDay[Service-Actuals],DaybyDay[Date],"&gt;="&amp;$C$5,DaybyDay[RowYear],"&gt;="&amp;$C$4,DaybyDay[Date],"&lt;="&amp;DaybyDay[[#This Row],[Date]])</f>
        <v>0</v>
      </c>
      <c r="R818" s="34">
        <f>SUMIFS(DaybyDay[Retail-Actuals],DaybyDay[Date],"&gt;="&amp;$C$5,DaybyDay[RowYear],"&gt;="&amp;$C$4,DaybyDay[Date],"&lt;="&amp;DaybyDay[[#This Row],[Date]])</f>
        <v>0</v>
      </c>
      <c r="S818" s="35">
        <f>SUMIFS(DaybyDay[Service-LY],DaybyDay[Date],"&gt;="&amp;$C$5,DaybyDay[RowYear],"&gt;="&amp;$C$4,DaybyDay[Date],"&lt;="&amp;DaybyDay[[#This Row],[Date]])</f>
        <v>0</v>
      </c>
      <c r="T818" s="35">
        <f>SUMIFS(DaybyDay[Retail-LY],DaybyDay[Date],"&gt;="&amp;$C$5,DaybyDay[RowYear],"&gt;="&amp;$C$4,DaybyDay[Date],"&lt;="&amp;DaybyDay[[#This Row],[Date]])</f>
        <v>0</v>
      </c>
      <c r="U818" s="32">
        <f>DaybyDay[[#This Row],[Serv-Bud-RU]]+DaybyDay[[#This Row],[Ret-Bud-RU]]</f>
        <v>0</v>
      </c>
      <c r="V818" s="32">
        <f>DaybyDay[[#This Row],[Serv-Act-RU]]+DaybyDay[[#This Row],[Ret-Act-RU]]</f>
        <v>0</v>
      </c>
      <c r="W818" s="36">
        <f>IF(DaybyDay[[#This Row],[_Space]],IFERROR(
((DaybyDay[[#This Row],[Actual-Rollup]]-DaybyDay[[#This Row],[Budget-Rollup]])/DaybyDay[[#This Row],[Budget-Rollup]]),0),"")</f>
        <v>0</v>
      </c>
      <c r="X818" t="b">
        <f>NOT(AND(ISBLANK(DaybyDay[[#This Row],[Appts]]),ISBLANK(DaybyDay[[#This Row],[Service-Actuals]]),ISBLANK(DaybyDay[[#This Row],[Retail-Actuals]])))</f>
        <v>1</v>
      </c>
      <c r="Y818" s="36">
        <f>IF(DaybyDay[[#This Row],[_Space]],IFERROR(
((DaybyDay[[#This Row],[Actual-Rollup]]-DaybyDay[[#This Row],[LY-Rollup]])/DaybyDay[[#This Row],[LY-Rollup]]),0),"")</f>
        <v>0</v>
      </c>
      <c r="Z818"/>
      <c r="AA818" s="37" t="e">
        <f>IF(DaybyDay[[#This Row],[_Space]],DaybyDay[[#This Row],[Ret-Act-RU]]/DaybyDay[[#This Row],[Serv-Act-RU]],"")</f>
        <v>#DIV/0!</v>
      </c>
      <c r="AB818" s="50" t="e">
        <f>IF(DaybyDay[[#This Row],[_Space]],DaybyDay[[#This Row],[RETPEN-Act]]/DaybyDay[[#This Row],[RETPEN-Bud]],"")</f>
        <v>#DIV/0!</v>
      </c>
      <c r="AC818" s="37" t="e">
        <f>IF(DaybyDay[[#This Row],[_Space]],DaybyDay[[#This Row],[Ret-Bud-RU]]/DaybyDay[[#This Row],[Serv-Bud-RU]],"")</f>
        <v>#DIV/0!</v>
      </c>
      <c r="AD818" s="37" t="e">
        <f>IF(DaybyDay[[#This Row],[_Space]],DaybyDay[[#This Row],[Ret-LY-RU]]/DaybyDay[[#This Row],[Serv-LY-RU]],"")</f>
        <v>#DIV/0!</v>
      </c>
      <c r="AE818" s="30">
        <f>WEEKDAY(DaybyDay[[#This Row],[LY-Date]])</f>
        <v>7</v>
      </c>
      <c r="AF818" s="38">
        <f>$E$2+_xlfn.DAYS(DaybyDay[[#This Row],[Date]],minDate)</f>
        <v>43183</v>
      </c>
      <c r="AG818" s="39" cm="1">
        <f t="array" ref="AG818">IFERROR(INDEX(DaybyDay[],DaybyDay[[#This Row],[FORM_MATCH_HELPER]],8),"")</f>
        <v>0</v>
      </c>
      <c r="AH818" s="39" cm="1">
        <f t="array" ref="AH818">IFERROR(INDEX(DaybyDay[],DaybyDay[[#This Row],[FORM_MATCH_HELPER]],10),"")</f>
        <v>10500</v>
      </c>
      <c r="AI818" s="39" cm="1">
        <f t="array" ref="AI818">IFERROR(INDEX(DaybyDay[],DaybyDay[[#This Row],[FORM_MATCH_HELPER]],12),"")</f>
        <v>0</v>
      </c>
      <c r="AJ818" s="32">
        <f>IFERROR(DaybyDay[[#This Row],[Serv-LY-RU]]+DaybyDay[[#This Row],[Ret-LY-RU]],"")</f>
        <v>0</v>
      </c>
      <c r="AK8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8" s="77"/>
      <c r="AM818" s="40" t="str">
        <f>IF(DaybyDay[[#This Row],[Admin Hours]]&gt;0,DaybyDay[[#This Row],[Admin Hours]]*$AM$2+$AM$3,"")</f>
        <v/>
      </c>
      <c r="AN818" s="40">
        <f>SUMIFS(DaybyDay[Est-Admin-Payroll],DaybyDay[Date],"&gt;="&amp;$C$5,DaybyDay[RowYear],"&gt;="&amp;$C$4,DaybyDay[Date],"&lt;="&amp;DaybyDay[[#This Row],[Date]])</f>
        <v>0</v>
      </c>
      <c r="AO818" s="41" t="str">
        <f>IF(AND(DaybyDay[[#This Row],[_Space]],ISNUMBER(DaybyDay[[#This Row],[Admin Hours]])),DaybyDay[[#This Row],[Est-Admin-Payroll]]/(DaybyDay[[#This Row],[Service-Actuals]]+DaybyDay[[#This Row],[Retail-Actuals]]),"")</f>
        <v/>
      </c>
      <c r="AP818" s="41" t="e">
        <f>DaybyDay[[#This Row],[Estimated-Payroll-Rollup]]/DaybyDay[[#This Row],[Simple-Forecast]]</f>
        <v>#DIV/0!</v>
      </c>
      <c r="AQ8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8" s="77"/>
      <c r="AS818" s="40" t="str">
        <f>IF(DaybyDay[[#This Row],[Retail Hours]]&gt;0,DaybyDay[[#This Row],[Retail Hours]]*$AS$2,"")</f>
        <v/>
      </c>
      <c r="AT818" s="40">
        <f>SUMIFS(DaybyDay[Est-Retail-Payroll],DaybyDay[Date],"&gt;="&amp;$C$5,DaybyDay[RowYear],"&gt;="&amp;$C$4,DaybyDay[Date],"&lt;="&amp;DaybyDay[[#This Row],[Date]])</f>
        <v>0</v>
      </c>
      <c r="AU818" s="82" t="str">
        <f>IF(AND(DaybyDay[[#This Row],[_Space]],ISNUMBER(DaybyDay[[#This Row],[Retail Hours]])),DaybyDay[[#This Row],[Est-Retail-Payroll]]/(DaybyDay[[#This Row],[Retail-Actuals]]),"")</f>
        <v/>
      </c>
      <c r="AV818" s="82" t="e">
        <f>DaybyDay[[#This Row],[Est-Retail-PayrollRU]]/DaybyDay[[#This Row],[Simple-Forecast-Retail]]</f>
        <v>#DIV/0!</v>
      </c>
      <c r="AW818" s="8"/>
      <c r="AX818" s="49"/>
      <c r="AY818" s="48"/>
      <c r="AZ818" s="47"/>
      <c r="BA818" s="47"/>
      <c r="BB818" s="47"/>
      <c r="BC818" s="47"/>
      <c r="BD818" s="47"/>
    </row>
    <row r="819" spans="3:56" hidden="1" x14ac:dyDescent="0.25">
      <c r="C819" s="26" t="str">
        <f>Tools!$C$1</f>
        <v>Example</v>
      </c>
      <c r="D819" s="27" t="s">
        <v>70</v>
      </c>
      <c r="E819" s="28">
        <v>2019</v>
      </c>
      <c r="F819" s="28">
        <f>MATCH(DaybyDay[[#This Row],[RowMonth]],Table3[SummaryMonth],0)</f>
        <v>3</v>
      </c>
      <c r="G819" s="29">
        <f>MATCH(DaybyDay[[#This Row],[LY-Date]],DaybyDay[Date],0)</f>
        <v>449</v>
      </c>
      <c r="H819" s="30">
        <f>WEEKDAY(DaybyDay[[#This Row],[Date]])</f>
        <v>1</v>
      </c>
      <c r="I819" s="31">
        <v>43548</v>
      </c>
      <c r="J819" s="74">
        <v>40</v>
      </c>
      <c r="K819" s="32">
        <f>SUMIFS(BudgetSeasonality[365 Seasonality],BudgetSeasonality[MonthAdjustment],DaybyDay[[#This Row],[Date]])*SUMIFS(Budgets[Service-Budget],Budgets[BudgetMonth],DaybyDay[[#This Row],[RowMonth]],Budgets[BudgetYear],DaybyDay[[#This Row],[RowYear]])</f>
        <v>5287.2968263340672</v>
      </c>
      <c r="L819" s="75">
        <v>7177.4500000000007</v>
      </c>
      <c r="M819" s="32">
        <f>INDEX(BudgetSeasonality[365 Seasonality],MATCH(DaybyDay[[#This Row],[Date]],BudgetSeasonality[MonthAdjustment],0))*SUMIFS(Budgets[Retail-Budget],Budgets[BudgetMonth],DaybyDay[[#This Row],[RowMonth]],Budgets[BudgetYear],DaybyDay[[#This Row],[RowYear]])</f>
        <v>1222.0047399721063</v>
      </c>
      <c r="N819" s="75">
        <v>604.9</v>
      </c>
      <c r="O819" s="33">
        <f>SUMIFS(DaybyDay[Service-Budgets],DaybyDay[Date],"&gt;="&amp;$C$5,DaybyDay[RowYear],"&gt;="&amp;$C$4,DaybyDay[Date],"&lt;="&amp;DaybyDay[[#This Row],[Date]])</f>
        <v>0</v>
      </c>
      <c r="P819" s="33">
        <f>SUMIFS(DaybyDay[Retail-Budgets],DaybyDay[Date],"&gt;="&amp;$C$5,DaybyDay[RowYear],"&gt;="&amp;$C$4,DaybyDay[Date],"&lt;="&amp;DaybyDay[[#This Row],[Date]])</f>
        <v>0</v>
      </c>
      <c r="Q819" s="34">
        <f>SUMIFS(DaybyDay[Service-Actuals],DaybyDay[Date],"&gt;="&amp;$C$5,DaybyDay[RowYear],"&gt;="&amp;$C$4,DaybyDay[Date],"&lt;="&amp;DaybyDay[[#This Row],[Date]])</f>
        <v>0</v>
      </c>
      <c r="R819" s="34">
        <f>SUMIFS(DaybyDay[Retail-Actuals],DaybyDay[Date],"&gt;="&amp;$C$5,DaybyDay[RowYear],"&gt;="&amp;$C$4,DaybyDay[Date],"&lt;="&amp;DaybyDay[[#This Row],[Date]])</f>
        <v>0</v>
      </c>
      <c r="S819" s="35">
        <f>SUMIFS(DaybyDay[Service-LY],DaybyDay[Date],"&gt;="&amp;$C$5,DaybyDay[RowYear],"&gt;="&amp;$C$4,DaybyDay[Date],"&lt;="&amp;DaybyDay[[#This Row],[Date]])</f>
        <v>0</v>
      </c>
      <c r="T819" s="35">
        <f>SUMIFS(DaybyDay[Retail-LY],DaybyDay[Date],"&gt;="&amp;$C$5,DaybyDay[RowYear],"&gt;="&amp;$C$4,DaybyDay[Date],"&lt;="&amp;DaybyDay[[#This Row],[Date]])</f>
        <v>0</v>
      </c>
      <c r="U819" s="32">
        <f>DaybyDay[[#This Row],[Serv-Bud-RU]]+DaybyDay[[#This Row],[Ret-Bud-RU]]</f>
        <v>0</v>
      </c>
      <c r="V819" s="32">
        <f>DaybyDay[[#This Row],[Serv-Act-RU]]+DaybyDay[[#This Row],[Ret-Act-RU]]</f>
        <v>0</v>
      </c>
      <c r="W819" s="36">
        <f>IF(DaybyDay[[#This Row],[_Space]],IFERROR(
((DaybyDay[[#This Row],[Actual-Rollup]]-DaybyDay[[#This Row],[Budget-Rollup]])/DaybyDay[[#This Row],[Budget-Rollup]]),0),"")</f>
        <v>0</v>
      </c>
      <c r="X819" t="b">
        <f>NOT(AND(ISBLANK(DaybyDay[[#This Row],[Appts]]),ISBLANK(DaybyDay[[#This Row],[Service-Actuals]]),ISBLANK(DaybyDay[[#This Row],[Retail-Actuals]])))</f>
        <v>1</v>
      </c>
      <c r="Y819" s="36">
        <f>IF(DaybyDay[[#This Row],[_Space]],IFERROR(
((DaybyDay[[#This Row],[Actual-Rollup]]-DaybyDay[[#This Row],[LY-Rollup]])/DaybyDay[[#This Row],[LY-Rollup]]),0),"")</f>
        <v>0</v>
      </c>
      <c r="Z819"/>
      <c r="AA819" s="37" t="e">
        <f>IF(DaybyDay[[#This Row],[_Space]],DaybyDay[[#This Row],[Ret-Act-RU]]/DaybyDay[[#This Row],[Serv-Act-RU]],"")</f>
        <v>#DIV/0!</v>
      </c>
      <c r="AB819" s="50" t="e">
        <f>IF(DaybyDay[[#This Row],[_Space]],DaybyDay[[#This Row],[RETPEN-Act]]/DaybyDay[[#This Row],[RETPEN-Bud]],"")</f>
        <v>#DIV/0!</v>
      </c>
      <c r="AC819" s="37" t="e">
        <f>IF(DaybyDay[[#This Row],[_Space]],DaybyDay[[#This Row],[Ret-Bud-RU]]/DaybyDay[[#This Row],[Serv-Bud-RU]],"")</f>
        <v>#DIV/0!</v>
      </c>
      <c r="AD819" s="37" t="e">
        <f>IF(DaybyDay[[#This Row],[_Space]],DaybyDay[[#This Row],[Ret-LY-RU]]/DaybyDay[[#This Row],[Serv-LY-RU]],"")</f>
        <v>#DIV/0!</v>
      </c>
      <c r="AE819" s="30">
        <f>WEEKDAY(DaybyDay[[#This Row],[LY-Date]])</f>
        <v>1</v>
      </c>
      <c r="AF819" s="38">
        <f>$E$2+_xlfn.DAYS(DaybyDay[[#This Row],[Date]],minDate)</f>
        <v>43184</v>
      </c>
      <c r="AG819" s="39" cm="1">
        <f t="array" ref="AG819">IFERROR(INDEX(DaybyDay[],DaybyDay[[#This Row],[FORM_MATCH_HELPER]],8),"")</f>
        <v>0</v>
      </c>
      <c r="AH819" s="39" cm="1">
        <f t="array" ref="AH819">IFERROR(INDEX(DaybyDay[],DaybyDay[[#This Row],[FORM_MATCH_HELPER]],10),"")</f>
        <v>10500</v>
      </c>
      <c r="AI819" s="39" cm="1">
        <f t="array" ref="AI819">IFERROR(INDEX(DaybyDay[],DaybyDay[[#This Row],[FORM_MATCH_HELPER]],12),"")</f>
        <v>0</v>
      </c>
      <c r="AJ819" s="32">
        <f>IFERROR(DaybyDay[[#This Row],[Serv-LY-RU]]+DaybyDay[[#This Row],[Ret-LY-RU]],"")</f>
        <v>0</v>
      </c>
      <c r="AK8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19" s="77"/>
      <c r="AM819" s="40" t="str">
        <f>IF(DaybyDay[[#This Row],[Admin Hours]]&gt;0,DaybyDay[[#This Row],[Admin Hours]]*$AM$2+$AM$3,"")</f>
        <v/>
      </c>
      <c r="AN819" s="40">
        <f>SUMIFS(DaybyDay[Est-Admin-Payroll],DaybyDay[Date],"&gt;="&amp;$C$5,DaybyDay[RowYear],"&gt;="&amp;$C$4,DaybyDay[Date],"&lt;="&amp;DaybyDay[[#This Row],[Date]])</f>
        <v>0</v>
      </c>
      <c r="AO819" s="41" t="str">
        <f>IF(AND(DaybyDay[[#This Row],[_Space]],ISNUMBER(DaybyDay[[#This Row],[Admin Hours]])),DaybyDay[[#This Row],[Est-Admin-Payroll]]/(DaybyDay[[#This Row],[Service-Actuals]]+DaybyDay[[#This Row],[Retail-Actuals]]),"")</f>
        <v/>
      </c>
      <c r="AP819" s="41" t="e">
        <f>DaybyDay[[#This Row],[Estimated-Payroll-Rollup]]/DaybyDay[[#This Row],[Simple-Forecast]]</f>
        <v>#DIV/0!</v>
      </c>
      <c r="AQ8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19" s="77"/>
      <c r="AS819" s="40" t="str">
        <f>IF(DaybyDay[[#This Row],[Retail Hours]]&gt;0,DaybyDay[[#This Row],[Retail Hours]]*$AS$2,"")</f>
        <v/>
      </c>
      <c r="AT819" s="40">
        <f>SUMIFS(DaybyDay[Est-Retail-Payroll],DaybyDay[Date],"&gt;="&amp;$C$5,DaybyDay[RowYear],"&gt;="&amp;$C$4,DaybyDay[Date],"&lt;="&amp;DaybyDay[[#This Row],[Date]])</f>
        <v>0</v>
      </c>
      <c r="AU819" s="82" t="str">
        <f>IF(AND(DaybyDay[[#This Row],[_Space]],ISNUMBER(DaybyDay[[#This Row],[Retail Hours]])),DaybyDay[[#This Row],[Est-Retail-Payroll]]/(DaybyDay[[#This Row],[Retail-Actuals]]),"")</f>
        <v/>
      </c>
      <c r="AV819" s="82" t="e">
        <f>DaybyDay[[#This Row],[Est-Retail-PayrollRU]]/DaybyDay[[#This Row],[Simple-Forecast-Retail]]</f>
        <v>#DIV/0!</v>
      </c>
      <c r="AW819" s="8"/>
      <c r="AX819" s="49"/>
      <c r="AY819" s="48"/>
      <c r="AZ819" s="47"/>
      <c r="BA819" s="47"/>
      <c r="BB819" s="47"/>
      <c r="BC819" s="47"/>
      <c r="BD819" s="47"/>
    </row>
    <row r="820" spans="3:56" hidden="1" x14ac:dyDescent="0.25">
      <c r="C820" s="26" t="str">
        <f>Tools!$C$1</f>
        <v>Example</v>
      </c>
      <c r="D820" s="27" t="s">
        <v>70</v>
      </c>
      <c r="E820" s="28">
        <v>2019</v>
      </c>
      <c r="F820" s="28">
        <f>MATCH(DaybyDay[[#This Row],[RowMonth]],Table3[SummaryMonth],0)</f>
        <v>3</v>
      </c>
      <c r="G820" s="29">
        <f>MATCH(DaybyDay[[#This Row],[LY-Date]],DaybyDay[Date],0)</f>
        <v>450</v>
      </c>
      <c r="H820" s="30">
        <f>WEEKDAY(DaybyDay[[#This Row],[Date]])</f>
        <v>2</v>
      </c>
      <c r="I820" s="31">
        <v>43549</v>
      </c>
      <c r="J820" s="74">
        <v>16</v>
      </c>
      <c r="K820" s="32">
        <f>SUMIFS(BudgetSeasonality[365 Seasonality],BudgetSeasonality[MonthAdjustment],DaybyDay[[#This Row],[Date]])*SUMIFS(Budgets[Service-Budget],Budgets[BudgetMonth],DaybyDay[[#This Row],[RowMonth]],Budgets[BudgetYear],DaybyDay[[#This Row],[RowYear]])</f>
        <v>3553.9085093138456</v>
      </c>
      <c r="L820" s="75">
        <v>3621</v>
      </c>
      <c r="M820" s="32">
        <f>INDEX(BudgetSeasonality[365 Seasonality],MATCH(DaybyDay[[#This Row],[Date]],BudgetSeasonality[MonthAdjustment],0))*SUMIFS(Budgets[Retail-Budget],Budgets[BudgetMonth],DaybyDay[[#This Row],[RowMonth]],Budgets[BudgetYear],DaybyDay[[#This Row],[RowYear]])</f>
        <v>821.38249212307892</v>
      </c>
      <c r="N820" s="75">
        <v>1141.4000000000001</v>
      </c>
      <c r="O820" s="33">
        <f>SUMIFS(DaybyDay[Service-Budgets],DaybyDay[Date],"&gt;="&amp;$C$5,DaybyDay[RowYear],"&gt;="&amp;$C$4,DaybyDay[Date],"&lt;="&amp;DaybyDay[[#This Row],[Date]])</f>
        <v>0</v>
      </c>
      <c r="P820" s="33">
        <f>SUMIFS(DaybyDay[Retail-Budgets],DaybyDay[Date],"&gt;="&amp;$C$5,DaybyDay[RowYear],"&gt;="&amp;$C$4,DaybyDay[Date],"&lt;="&amp;DaybyDay[[#This Row],[Date]])</f>
        <v>0</v>
      </c>
      <c r="Q820" s="34">
        <f>SUMIFS(DaybyDay[Service-Actuals],DaybyDay[Date],"&gt;="&amp;$C$5,DaybyDay[RowYear],"&gt;="&amp;$C$4,DaybyDay[Date],"&lt;="&amp;DaybyDay[[#This Row],[Date]])</f>
        <v>0</v>
      </c>
      <c r="R820" s="34">
        <f>SUMIFS(DaybyDay[Retail-Actuals],DaybyDay[Date],"&gt;="&amp;$C$5,DaybyDay[RowYear],"&gt;="&amp;$C$4,DaybyDay[Date],"&lt;="&amp;DaybyDay[[#This Row],[Date]])</f>
        <v>0</v>
      </c>
      <c r="S820" s="35">
        <f>SUMIFS(DaybyDay[Service-LY],DaybyDay[Date],"&gt;="&amp;$C$5,DaybyDay[RowYear],"&gt;="&amp;$C$4,DaybyDay[Date],"&lt;="&amp;DaybyDay[[#This Row],[Date]])</f>
        <v>0</v>
      </c>
      <c r="T820" s="35">
        <f>SUMIFS(DaybyDay[Retail-LY],DaybyDay[Date],"&gt;="&amp;$C$5,DaybyDay[RowYear],"&gt;="&amp;$C$4,DaybyDay[Date],"&lt;="&amp;DaybyDay[[#This Row],[Date]])</f>
        <v>0</v>
      </c>
      <c r="U820" s="32">
        <f>DaybyDay[[#This Row],[Serv-Bud-RU]]+DaybyDay[[#This Row],[Ret-Bud-RU]]</f>
        <v>0</v>
      </c>
      <c r="V820" s="32">
        <f>DaybyDay[[#This Row],[Serv-Act-RU]]+DaybyDay[[#This Row],[Ret-Act-RU]]</f>
        <v>0</v>
      </c>
      <c r="W820" s="36">
        <f>IF(DaybyDay[[#This Row],[_Space]],IFERROR(
((DaybyDay[[#This Row],[Actual-Rollup]]-DaybyDay[[#This Row],[Budget-Rollup]])/DaybyDay[[#This Row],[Budget-Rollup]]),0),"")</f>
        <v>0</v>
      </c>
      <c r="X820" t="b">
        <f>NOT(AND(ISBLANK(DaybyDay[[#This Row],[Appts]]),ISBLANK(DaybyDay[[#This Row],[Service-Actuals]]),ISBLANK(DaybyDay[[#This Row],[Retail-Actuals]])))</f>
        <v>1</v>
      </c>
      <c r="Y820" s="36">
        <f>IF(DaybyDay[[#This Row],[_Space]],IFERROR(
((DaybyDay[[#This Row],[Actual-Rollup]]-DaybyDay[[#This Row],[LY-Rollup]])/DaybyDay[[#This Row],[LY-Rollup]]),0),"")</f>
        <v>0</v>
      </c>
      <c r="Z820"/>
      <c r="AA820" s="37" t="e">
        <f>IF(DaybyDay[[#This Row],[_Space]],DaybyDay[[#This Row],[Ret-Act-RU]]/DaybyDay[[#This Row],[Serv-Act-RU]],"")</f>
        <v>#DIV/0!</v>
      </c>
      <c r="AB820" s="50" t="e">
        <f>IF(DaybyDay[[#This Row],[_Space]],DaybyDay[[#This Row],[RETPEN-Act]]/DaybyDay[[#This Row],[RETPEN-Bud]],"")</f>
        <v>#DIV/0!</v>
      </c>
      <c r="AC820" s="37" t="e">
        <f>IF(DaybyDay[[#This Row],[_Space]],DaybyDay[[#This Row],[Ret-Bud-RU]]/DaybyDay[[#This Row],[Serv-Bud-RU]],"")</f>
        <v>#DIV/0!</v>
      </c>
      <c r="AD820" s="37" t="e">
        <f>IF(DaybyDay[[#This Row],[_Space]],DaybyDay[[#This Row],[Ret-LY-RU]]/DaybyDay[[#This Row],[Serv-LY-RU]],"")</f>
        <v>#DIV/0!</v>
      </c>
      <c r="AE820" s="30">
        <f>WEEKDAY(DaybyDay[[#This Row],[LY-Date]])</f>
        <v>2</v>
      </c>
      <c r="AF820" s="38">
        <f>$E$2+_xlfn.DAYS(DaybyDay[[#This Row],[Date]],minDate)</f>
        <v>43185</v>
      </c>
      <c r="AG820" s="39" cm="1">
        <f t="array" ref="AG820">IFERROR(INDEX(DaybyDay[],DaybyDay[[#This Row],[FORM_MATCH_HELPER]],8),"")</f>
        <v>0</v>
      </c>
      <c r="AH820" s="39" cm="1">
        <f t="array" ref="AH820">IFERROR(INDEX(DaybyDay[],DaybyDay[[#This Row],[FORM_MATCH_HELPER]],10),"")</f>
        <v>10280</v>
      </c>
      <c r="AI820" s="39" cm="1">
        <f t="array" ref="AI820">IFERROR(INDEX(DaybyDay[],DaybyDay[[#This Row],[FORM_MATCH_HELPER]],12),"")</f>
        <v>0</v>
      </c>
      <c r="AJ820" s="32">
        <f>IFERROR(DaybyDay[[#This Row],[Serv-LY-RU]]+DaybyDay[[#This Row],[Ret-LY-RU]],"")</f>
        <v>0</v>
      </c>
      <c r="AK8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0" s="77"/>
      <c r="AM820" s="40" t="str">
        <f>IF(DaybyDay[[#This Row],[Admin Hours]]&gt;0,DaybyDay[[#This Row],[Admin Hours]]*$AM$2+$AM$3,"")</f>
        <v/>
      </c>
      <c r="AN820" s="40">
        <f>SUMIFS(DaybyDay[Est-Admin-Payroll],DaybyDay[Date],"&gt;="&amp;$C$5,DaybyDay[RowYear],"&gt;="&amp;$C$4,DaybyDay[Date],"&lt;="&amp;DaybyDay[[#This Row],[Date]])</f>
        <v>0</v>
      </c>
      <c r="AO820" s="41" t="str">
        <f>IF(AND(DaybyDay[[#This Row],[_Space]],ISNUMBER(DaybyDay[[#This Row],[Admin Hours]])),DaybyDay[[#This Row],[Est-Admin-Payroll]]/(DaybyDay[[#This Row],[Service-Actuals]]+DaybyDay[[#This Row],[Retail-Actuals]]),"")</f>
        <v/>
      </c>
      <c r="AP820" s="41" t="e">
        <f>DaybyDay[[#This Row],[Estimated-Payroll-Rollup]]/DaybyDay[[#This Row],[Simple-Forecast]]</f>
        <v>#DIV/0!</v>
      </c>
      <c r="AQ8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0" s="77"/>
      <c r="AS820" s="40" t="str">
        <f>IF(DaybyDay[[#This Row],[Retail Hours]]&gt;0,DaybyDay[[#This Row],[Retail Hours]]*$AS$2,"")</f>
        <v/>
      </c>
      <c r="AT820" s="40">
        <f>SUMIFS(DaybyDay[Est-Retail-Payroll],DaybyDay[Date],"&gt;="&amp;$C$5,DaybyDay[RowYear],"&gt;="&amp;$C$4,DaybyDay[Date],"&lt;="&amp;DaybyDay[[#This Row],[Date]])</f>
        <v>0</v>
      </c>
      <c r="AU820" s="82" t="str">
        <f>IF(AND(DaybyDay[[#This Row],[_Space]],ISNUMBER(DaybyDay[[#This Row],[Retail Hours]])),DaybyDay[[#This Row],[Est-Retail-Payroll]]/(DaybyDay[[#This Row],[Retail-Actuals]]),"")</f>
        <v/>
      </c>
      <c r="AV820" s="82" t="e">
        <f>DaybyDay[[#This Row],[Est-Retail-PayrollRU]]/DaybyDay[[#This Row],[Simple-Forecast-Retail]]</f>
        <v>#DIV/0!</v>
      </c>
      <c r="AW820" s="8"/>
      <c r="AX820" s="49"/>
      <c r="AY820" s="48"/>
      <c r="AZ820" s="47"/>
      <c r="BA820" s="47"/>
      <c r="BB820" s="47"/>
      <c r="BC820" s="47"/>
      <c r="BD820" s="47"/>
    </row>
    <row r="821" spans="3:56" hidden="1" x14ac:dyDescent="0.25">
      <c r="C821" s="26" t="str">
        <f>Tools!$C$1</f>
        <v>Example</v>
      </c>
      <c r="D821" s="27" t="s">
        <v>70</v>
      </c>
      <c r="E821" s="28">
        <v>2019</v>
      </c>
      <c r="F821" s="28">
        <f>MATCH(DaybyDay[[#This Row],[RowMonth]],Table3[SummaryMonth],0)</f>
        <v>3</v>
      </c>
      <c r="G821" s="29">
        <f>MATCH(DaybyDay[[#This Row],[LY-Date]],DaybyDay[Date],0)</f>
        <v>451</v>
      </c>
      <c r="H821" s="30">
        <f>WEEKDAY(DaybyDay[[#This Row],[Date]])</f>
        <v>3</v>
      </c>
      <c r="I821" s="31">
        <v>43550</v>
      </c>
      <c r="J821" s="74">
        <v>15</v>
      </c>
      <c r="K821" s="32">
        <f>SUMIFS(BudgetSeasonality[365 Seasonality],BudgetSeasonality[MonthAdjustment],DaybyDay[[#This Row],[Date]])*SUMIFS(Budgets[Service-Budget],Budgets[BudgetMonth],DaybyDay[[#This Row],[RowMonth]],Budgets[BudgetYear],DaybyDay[[#This Row],[RowYear]])</f>
        <v>3685.3670629101866</v>
      </c>
      <c r="L821" s="75">
        <v>3292</v>
      </c>
      <c r="M821" s="32">
        <f>INDEX(BudgetSeasonality[365 Seasonality],MATCH(DaybyDay[[#This Row],[Date]],BudgetSeasonality[MonthAdjustment],0))*SUMIFS(Budgets[Retail-Budget],Budgets[BudgetMonth],DaybyDay[[#This Row],[RowMonth]],Budgets[BudgetYear],DaybyDay[[#This Row],[RowYear]])</f>
        <v>851.76530982389397</v>
      </c>
      <c r="N821" s="75">
        <v>1088.5</v>
      </c>
      <c r="O821" s="33">
        <f>SUMIFS(DaybyDay[Service-Budgets],DaybyDay[Date],"&gt;="&amp;$C$5,DaybyDay[RowYear],"&gt;="&amp;$C$4,DaybyDay[Date],"&lt;="&amp;DaybyDay[[#This Row],[Date]])</f>
        <v>0</v>
      </c>
      <c r="P821" s="33">
        <f>SUMIFS(DaybyDay[Retail-Budgets],DaybyDay[Date],"&gt;="&amp;$C$5,DaybyDay[RowYear],"&gt;="&amp;$C$4,DaybyDay[Date],"&lt;="&amp;DaybyDay[[#This Row],[Date]])</f>
        <v>0</v>
      </c>
      <c r="Q821" s="34">
        <f>SUMIFS(DaybyDay[Service-Actuals],DaybyDay[Date],"&gt;="&amp;$C$5,DaybyDay[RowYear],"&gt;="&amp;$C$4,DaybyDay[Date],"&lt;="&amp;DaybyDay[[#This Row],[Date]])</f>
        <v>0</v>
      </c>
      <c r="R821" s="34">
        <f>SUMIFS(DaybyDay[Retail-Actuals],DaybyDay[Date],"&gt;="&amp;$C$5,DaybyDay[RowYear],"&gt;="&amp;$C$4,DaybyDay[Date],"&lt;="&amp;DaybyDay[[#This Row],[Date]])</f>
        <v>0</v>
      </c>
      <c r="S821" s="35">
        <f>SUMIFS(DaybyDay[Service-LY],DaybyDay[Date],"&gt;="&amp;$C$5,DaybyDay[RowYear],"&gt;="&amp;$C$4,DaybyDay[Date],"&lt;="&amp;DaybyDay[[#This Row],[Date]])</f>
        <v>0</v>
      </c>
      <c r="T821" s="35">
        <f>SUMIFS(DaybyDay[Retail-LY],DaybyDay[Date],"&gt;="&amp;$C$5,DaybyDay[RowYear],"&gt;="&amp;$C$4,DaybyDay[Date],"&lt;="&amp;DaybyDay[[#This Row],[Date]])</f>
        <v>0</v>
      </c>
      <c r="U821" s="32">
        <f>DaybyDay[[#This Row],[Serv-Bud-RU]]+DaybyDay[[#This Row],[Ret-Bud-RU]]</f>
        <v>0</v>
      </c>
      <c r="V821" s="32">
        <f>DaybyDay[[#This Row],[Serv-Act-RU]]+DaybyDay[[#This Row],[Ret-Act-RU]]</f>
        <v>0</v>
      </c>
      <c r="W821" s="36">
        <f>IF(DaybyDay[[#This Row],[_Space]],IFERROR(
((DaybyDay[[#This Row],[Actual-Rollup]]-DaybyDay[[#This Row],[Budget-Rollup]])/DaybyDay[[#This Row],[Budget-Rollup]]),0),"")</f>
        <v>0</v>
      </c>
      <c r="X821" t="b">
        <f>NOT(AND(ISBLANK(DaybyDay[[#This Row],[Appts]]),ISBLANK(DaybyDay[[#This Row],[Service-Actuals]]),ISBLANK(DaybyDay[[#This Row],[Retail-Actuals]])))</f>
        <v>1</v>
      </c>
      <c r="Y821" s="36">
        <f>IF(DaybyDay[[#This Row],[_Space]],IFERROR(
((DaybyDay[[#This Row],[Actual-Rollup]]-DaybyDay[[#This Row],[LY-Rollup]])/DaybyDay[[#This Row],[LY-Rollup]]),0),"")</f>
        <v>0</v>
      </c>
      <c r="Z821"/>
      <c r="AA821" s="37" t="e">
        <f>IF(DaybyDay[[#This Row],[_Space]],DaybyDay[[#This Row],[Ret-Act-RU]]/DaybyDay[[#This Row],[Serv-Act-RU]],"")</f>
        <v>#DIV/0!</v>
      </c>
      <c r="AB821" s="50" t="e">
        <f>IF(DaybyDay[[#This Row],[_Space]],DaybyDay[[#This Row],[RETPEN-Act]]/DaybyDay[[#This Row],[RETPEN-Bud]],"")</f>
        <v>#DIV/0!</v>
      </c>
      <c r="AC821" s="37" t="e">
        <f>IF(DaybyDay[[#This Row],[_Space]],DaybyDay[[#This Row],[Ret-Bud-RU]]/DaybyDay[[#This Row],[Serv-Bud-RU]],"")</f>
        <v>#DIV/0!</v>
      </c>
      <c r="AD821" s="37" t="e">
        <f>IF(DaybyDay[[#This Row],[_Space]],DaybyDay[[#This Row],[Ret-LY-RU]]/DaybyDay[[#This Row],[Serv-LY-RU]],"")</f>
        <v>#DIV/0!</v>
      </c>
      <c r="AE821" s="30">
        <f>WEEKDAY(DaybyDay[[#This Row],[LY-Date]])</f>
        <v>3</v>
      </c>
      <c r="AF821" s="38">
        <f>$E$2+_xlfn.DAYS(DaybyDay[[#This Row],[Date]],minDate)</f>
        <v>43186</v>
      </c>
      <c r="AG821" s="39" cm="1">
        <f t="array" ref="AG821">IFERROR(INDEX(DaybyDay[],DaybyDay[[#This Row],[FORM_MATCH_HELPER]],8),"")</f>
        <v>0</v>
      </c>
      <c r="AH821" s="39" cm="1">
        <f t="array" ref="AH821">IFERROR(INDEX(DaybyDay[],DaybyDay[[#This Row],[FORM_MATCH_HELPER]],10),"")</f>
        <v>10500</v>
      </c>
      <c r="AI821" s="39" cm="1">
        <f t="array" ref="AI821">IFERROR(INDEX(DaybyDay[],DaybyDay[[#This Row],[FORM_MATCH_HELPER]],12),"")</f>
        <v>0</v>
      </c>
      <c r="AJ821" s="32">
        <f>IFERROR(DaybyDay[[#This Row],[Serv-LY-RU]]+DaybyDay[[#This Row],[Ret-LY-RU]],"")</f>
        <v>0</v>
      </c>
      <c r="AK8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1" s="77"/>
      <c r="AM821" s="40" t="str">
        <f>IF(DaybyDay[[#This Row],[Admin Hours]]&gt;0,DaybyDay[[#This Row],[Admin Hours]]*$AM$2+$AM$3,"")</f>
        <v/>
      </c>
      <c r="AN821" s="40">
        <f>SUMIFS(DaybyDay[Est-Admin-Payroll],DaybyDay[Date],"&gt;="&amp;$C$5,DaybyDay[RowYear],"&gt;="&amp;$C$4,DaybyDay[Date],"&lt;="&amp;DaybyDay[[#This Row],[Date]])</f>
        <v>0</v>
      </c>
      <c r="AO821" s="41" t="str">
        <f>IF(AND(DaybyDay[[#This Row],[_Space]],ISNUMBER(DaybyDay[[#This Row],[Admin Hours]])),DaybyDay[[#This Row],[Est-Admin-Payroll]]/(DaybyDay[[#This Row],[Service-Actuals]]+DaybyDay[[#This Row],[Retail-Actuals]]),"")</f>
        <v/>
      </c>
      <c r="AP821" s="41" t="e">
        <f>DaybyDay[[#This Row],[Estimated-Payroll-Rollup]]/DaybyDay[[#This Row],[Simple-Forecast]]</f>
        <v>#DIV/0!</v>
      </c>
      <c r="AQ8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1" s="77"/>
      <c r="AS821" s="40" t="str">
        <f>IF(DaybyDay[[#This Row],[Retail Hours]]&gt;0,DaybyDay[[#This Row],[Retail Hours]]*$AS$2,"")</f>
        <v/>
      </c>
      <c r="AT821" s="40">
        <f>SUMIFS(DaybyDay[Est-Retail-Payroll],DaybyDay[Date],"&gt;="&amp;$C$5,DaybyDay[RowYear],"&gt;="&amp;$C$4,DaybyDay[Date],"&lt;="&amp;DaybyDay[[#This Row],[Date]])</f>
        <v>0</v>
      </c>
      <c r="AU821" s="82" t="str">
        <f>IF(AND(DaybyDay[[#This Row],[_Space]],ISNUMBER(DaybyDay[[#This Row],[Retail Hours]])),DaybyDay[[#This Row],[Est-Retail-Payroll]]/(DaybyDay[[#This Row],[Retail-Actuals]]),"")</f>
        <v/>
      </c>
      <c r="AV821" s="82" t="e">
        <f>DaybyDay[[#This Row],[Est-Retail-PayrollRU]]/DaybyDay[[#This Row],[Simple-Forecast-Retail]]</f>
        <v>#DIV/0!</v>
      </c>
      <c r="AW821" s="8"/>
      <c r="AX821" s="49"/>
      <c r="AY821" s="48"/>
      <c r="AZ821" s="47"/>
      <c r="BA821" s="47"/>
      <c r="BB821" s="47"/>
      <c r="BC821" s="47"/>
      <c r="BD821" s="47"/>
    </row>
    <row r="822" spans="3:56" hidden="1" x14ac:dyDescent="0.25">
      <c r="C822" s="26" t="str">
        <f>Tools!$C$1</f>
        <v>Example</v>
      </c>
      <c r="D822" s="27" t="s">
        <v>70</v>
      </c>
      <c r="E822" s="28">
        <v>2019</v>
      </c>
      <c r="F822" s="28">
        <f>MATCH(DaybyDay[[#This Row],[RowMonth]],Table3[SummaryMonth],0)</f>
        <v>3</v>
      </c>
      <c r="G822" s="29">
        <f>MATCH(DaybyDay[[#This Row],[LY-Date]],DaybyDay[Date],0)</f>
        <v>452</v>
      </c>
      <c r="H822" s="30">
        <f>WEEKDAY(DaybyDay[[#This Row],[Date]])</f>
        <v>4</v>
      </c>
      <c r="I822" s="31">
        <v>43551</v>
      </c>
      <c r="J822" s="74">
        <v>25</v>
      </c>
      <c r="K822" s="32">
        <f>SUMIFS(BudgetSeasonality[365 Seasonality],BudgetSeasonality[MonthAdjustment],DaybyDay[[#This Row],[Date]])*SUMIFS(Budgets[Service-Budget],Budgets[BudgetMonth],DaybyDay[[#This Row],[RowMonth]],Budgets[BudgetYear],DaybyDay[[#This Row],[RowYear]])</f>
        <v>4133.8410998398213</v>
      </c>
      <c r="L822" s="75">
        <v>4201.8</v>
      </c>
      <c r="M822" s="32">
        <f>INDEX(BudgetSeasonality[365 Seasonality],MATCH(DaybyDay[[#This Row],[Date]],BudgetSeasonality[MonthAdjustment],0))*SUMIFS(Budgets[Retail-Budget],Budgets[BudgetMonth],DaybyDay[[#This Row],[RowMonth]],Budgets[BudgetYear],DaybyDay[[#This Row],[RowYear]])</f>
        <v>955.41702768336199</v>
      </c>
      <c r="N822" s="75">
        <v>2404.6999999999998</v>
      </c>
      <c r="O822" s="33">
        <f>SUMIFS(DaybyDay[Service-Budgets],DaybyDay[Date],"&gt;="&amp;$C$5,DaybyDay[RowYear],"&gt;="&amp;$C$4,DaybyDay[Date],"&lt;="&amp;DaybyDay[[#This Row],[Date]])</f>
        <v>0</v>
      </c>
      <c r="P822" s="33">
        <f>SUMIFS(DaybyDay[Retail-Budgets],DaybyDay[Date],"&gt;="&amp;$C$5,DaybyDay[RowYear],"&gt;="&amp;$C$4,DaybyDay[Date],"&lt;="&amp;DaybyDay[[#This Row],[Date]])</f>
        <v>0</v>
      </c>
      <c r="Q822" s="34">
        <f>SUMIFS(DaybyDay[Service-Actuals],DaybyDay[Date],"&gt;="&amp;$C$5,DaybyDay[RowYear],"&gt;="&amp;$C$4,DaybyDay[Date],"&lt;="&amp;DaybyDay[[#This Row],[Date]])</f>
        <v>0</v>
      </c>
      <c r="R822" s="34">
        <f>SUMIFS(DaybyDay[Retail-Actuals],DaybyDay[Date],"&gt;="&amp;$C$5,DaybyDay[RowYear],"&gt;="&amp;$C$4,DaybyDay[Date],"&lt;="&amp;DaybyDay[[#This Row],[Date]])</f>
        <v>0</v>
      </c>
      <c r="S822" s="35">
        <f>SUMIFS(DaybyDay[Service-LY],DaybyDay[Date],"&gt;="&amp;$C$5,DaybyDay[RowYear],"&gt;="&amp;$C$4,DaybyDay[Date],"&lt;="&amp;DaybyDay[[#This Row],[Date]])</f>
        <v>0</v>
      </c>
      <c r="T822" s="35">
        <f>SUMIFS(DaybyDay[Retail-LY],DaybyDay[Date],"&gt;="&amp;$C$5,DaybyDay[RowYear],"&gt;="&amp;$C$4,DaybyDay[Date],"&lt;="&amp;DaybyDay[[#This Row],[Date]])</f>
        <v>0</v>
      </c>
      <c r="U822" s="32">
        <f>DaybyDay[[#This Row],[Serv-Bud-RU]]+DaybyDay[[#This Row],[Ret-Bud-RU]]</f>
        <v>0</v>
      </c>
      <c r="V822" s="32">
        <f>DaybyDay[[#This Row],[Serv-Act-RU]]+DaybyDay[[#This Row],[Ret-Act-RU]]</f>
        <v>0</v>
      </c>
      <c r="W822" s="36">
        <f>IF(DaybyDay[[#This Row],[_Space]],IFERROR(
((DaybyDay[[#This Row],[Actual-Rollup]]-DaybyDay[[#This Row],[Budget-Rollup]])/DaybyDay[[#This Row],[Budget-Rollup]]),0),"")</f>
        <v>0</v>
      </c>
      <c r="X822" t="b">
        <f>NOT(AND(ISBLANK(DaybyDay[[#This Row],[Appts]]),ISBLANK(DaybyDay[[#This Row],[Service-Actuals]]),ISBLANK(DaybyDay[[#This Row],[Retail-Actuals]])))</f>
        <v>1</v>
      </c>
      <c r="Y822" s="36">
        <f>IF(DaybyDay[[#This Row],[_Space]],IFERROR(
((DaybyDay[[#This Row],[Actual-Rollup]]-DaybyDay[[#This Row],[LY-Rollup]])/DaybyDay[[#This Row],[LY-Rollup]]),0),"")</f>
        <v>0</v>
      </c>
      <c r="Z822"/>
      <c r="AA822" s="37" t="e">
        <f>IF(DaybyDay[[#This Row],[_Space]],DaybyDay[[#This Row],[Ret-Act-RU]]/DaybyDay[[#This Row],[Serv-Act-RU]],"")</f>
        <v>#DIV/0!</v>
      </c>
      <c r="AB822" s="50" t="e">
        <f>IF(DaybyDay[[#This Row],[_Space]],DaybyDay[[#This Row],[RETPEN-Act]]/DaybyDay[[#This Row],[RETPEN-Bud]],"")</f>
        <v>#DIV/0!</v>
      </c>
      <c r="AC822" s="37" t="e">
        <f>IF(DaybyDay[[#This Row],[_Space]],DaybyDay[[#This Row],[Ret-Bud-RU]]/DaybyDay[[#This Row],[Serv-Bud-RU]],"")</f>
        <v>#DIV/0!</v>
      </c>
      <c r="AD822" s="37" t="e">
        <f>IF(DaybyDay[[#This Row],[_Space]],DaybyDay[[#This Row],[Ret-LY-RU]]/DaybyDay[[#This Row],[Serv-LY-RU]],"")</f>
        <v>#DIV/0!</v>
      </c>
      <c r="AE822" s="30">
        <f>WEEKDAY(DaybyDay[[#This Row],[LY-Date]])</f>
        <v>4</v>
      </c>
      <c r="AF822" s="38">
        <f>$E$2+_xlfn.DAYS(DaybyDay[[#This Row],[Date]],minDate)</f>
        <v>43187</v>
      </c>
      <c r="AG822" s="39" cm="1">
        <f t="array" ref="AG822">IFERROR(INDEX(DaybyDay[],DaybyDay[[#This Row],[FORM_MATCH_HELPER]],8),"")</f>
        <v>0</v>
      </c>
      <c r="AH822" s="39" cm="1">
        <f t="array" ref="AH822">IFERROR(INDEX(DaybyDay[],DaybyDay[[#This Row],[FORM_MATCH_HELPER]],10),"")</f>
        <v>10500</v>
      </c>
      <c r="AI822" s="39" cm="1">
        <f t="array" ref="AI822">IFERROR(INDEX(DaybyDay[],DaybyDay[[#This Row],[FORM_MATCH_HELPER]],12),"")</f>
        <v>0</v>
      </c>
      <c r="AJ822" s="32">
        <f>IFERROR(DaybyDay[[#This Row],[Serv-LY-RU]]+DaybyDay[[#This Row],[Ret-LY-RU]],"")</f>
        <v>0</v>
      </c>
      <c r="AK8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2" s="77"/>
      <c r="AM822" s="40" t="str">
        <f>IF(DaybyDay[[#This Row],[Admin Hours]]&gt;0,DaybyDay[[#This Row],[Admin Hours]]*$AM$2+$AM$3,"")</f>
        <v/>
      </c>
      <c r="AN822" s="40">
        <f>SUMIFS(DaybyDay[Est-Admin-Payroll],DaybyDay[Date],"&gt;="&amp;$C$5,DaybyDay[RowYear],"&gt;="&amp;$C$4,DaybyDay[Date],"&lt;="&amp;DaybyDay[[#This Row],[Date]])</f>
        <v>0</v>
      </c>
      <c r="AO822" s="41" t="str">
        <f>IF(AND(DaybyDay[[#This Row],[_Space]],ISNUMBER(DaybyDay[[#This Row],[Admin Hours]])),DaybyDay[[#This Row],[Est-Admin-Payroll]]/(DaybyDay[[#This Row],[Service-Actuals]]+DaybyDay[[#This Row],[Retail-Actuals]]),"")</f>
        <v/>
      </c>
      <c r="AP822" s="41" t="e">
        <f>DaybyDay[[#This Row],[Estimated-Payroll-Rollup]]/DaybyDay[[#This Row],[Simple-Forecast]]</f>
        <v>#DIV/0!</v>
      </c>
      <c r="AQ8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2" s="77"/>
      <c r="AS822" s="40" t="str">
        <f>IF(DaybyDay[[#This Row],[Retail Hours]]&gt;0,DaybyDay[[#This Row],[Retail Hours]]*$AS$2,"")</f>
        <v/>
      </c>
      <c r="AT822" s="40">
        <f>SUMIFS(DaybyDay[Est-Retail-Payroll],DaybyDay[Date],"&gt;="&amp;$C$5,DaybyDay[RowYear],"&gt;="&amp;$C$4,DaybyDay[Date],"&lt;="&amp;DaybyDay[[#This Row],[Date]])</f>
        <v>0</v>
      </c>
      <c r="AU822" s="82" t="str">
        <f>IF(AND(DaybyDay[[#This Row],[_Space]],ISNUMBER(DaybyDay[[#This Row],[Retail Hours]])),DaybyDay[[#This Row],[Est-Retail-Payroll]]/(DaybyDay[[#This Row],[Retail-Actuals]]),"")</f>
        <v/>
      </c>
      <c r="AV822" s="82" t="e">
        <f>DaybyDay[[#This Row],[Est-Retail-PayrollRU]]/DaybyDay[[#This Row],[Simple-Forecast-Retail]]</f>
        <v>#DIV/0!</v>
      </c>
      <c r="AW822" s="8"/>
      <c r="AX822" s="49"/>
      <c r="AY822" s="48"/>
      <c r="AZ822" s="47"/>
      <c r="BA822" s="47"/>
      <c r="BB822" s="47"/>
      <c r="BC822" s="47"/>
      <c r="BD822" s="47"/>
    </row>
    <row r="823" spans="3:56" hidden="1" x14ac:dyDescent="0.25">
      <c r="C823" s="26" t="str">
        <f>Tools!$C$1</f>
        <v>Example</v>
      </c>
      <c r="D823" s="27" t="s">
        <v>70</v>
      </c>
      <c r="E823" s="28">
        <v>2019</v>
      </c>
      <c r="F823" s="28">
        <f>MATCH(DaybyDay[[#This Row],[RowMonth]],Table3[SummaryMonth],0)</f>
        <v>3</v>
      </c>
      <c r="G823" s="29">
        <f>MATCH(DaybyDay[[#This Row],[LY-Date]],DaybyDay[Date],0)</f>
        <v>453</v>
      </c>
      <c r="H823" s="30">
        <f>WEEKDAY(DaybyDay[[#This Row],[Date]])</f>
        <v>5</v>
      </c>
      <c r="I823" s="31">
        <v>43552</v>
      </c>
      <c r="J823" s="74">
        <v>21</v>
      </c>
      <c r="K823" s="32">
        <f>SUMIFS(BudgetSeasonality[365 Seasonality],BudgetSeasonality[MonthAdjustment],DaybyDay[[#This Row],[Date]])*SUMIFS(Budgets[Service-Budget],Budgets[BudgetMonth],DaybyDay[[#This Row],[RowMonth]],Budgets[BudgetYear],DaybyDay[[#This Row],[RowYear]])</f>
        <v>4235.8746167021936</v>
      </c>
      <c r="L823" s="75">
        <v>3911.17</v>
      </c>
      <c r="M823" s="32">
        <f>INDEX(BudgetSeasonality[365 Seasonality],MATCH(DaybyDay[[#This Row],[Date]],BudgetSeasonality[MonthAdjustment],0))*SUMIFS(Budgets[Retail-Budget],Budgets[BudgetMonth],DaybyDay[[#This Row],[RowMonth]],Budgets[BudgetYear],DaybyDay[[#This Row],[RowYear]])</f>
        <v>978.99910475171021</v>
      </c>
      <c r="N823" s="75">
        <v>1753.25</v>
      </c>
      <c r="O823" s="33">
        <f>SUMIFS(DaybyDay[Service-Budgets],DaybyDay[Date],"&gt;="&amp;$C$5,DaybyDay[RowYear],"&gt;="&amp;$C$4,DaybyDay[Date],"&lt;="&amp;DaybyDay[[#This Row],[Date]])</f>
        <v>0</v>
      </c>
      <c r="P823" s="33">
        <f>SUMIFS(DaybyDay[Retail-Budgets],DaybyDay[Date],"&gt;="&amp;$C$5,DaybyDay[RowYear],"&gt;="&amp;$C$4,DaybyDay[Date],"&lt;="&amp;DaybyDay[[#This Row],[Date]])</f>
        <v>0</v>
      </c>
      <c r="Q823" s="34">
        <f>SUMIFS(DaybyDay[Service-Actuals],DaybyDay[Date],"&gt;="&amp;$C$5,DaybyDay[RowYear],"&gt;="&amp;$C$4,DaybyDay[Date],"&lt;="&amp;DaybyDay[[#This Row],[Date]])</f>
        <v>0</v>
      </c>
      <c r="R823" s="34">
        <f>SUMIFS(DaybyDay[Retail-Actuals],DaybyDay[Date],"&gt;="&amp;$C$5,DaybyDay[RowYear],"&gt;="&amp;$C$4,DaybyDay[Date],"&lt;="&amp;DaybyDay[[#This Row],[Date]])</f>
        <v>0</v>
      </c>
      <c r="S823" s="35">
        <f>SUMIFS(DaybyDay[Service-LY],DaybyDay[Date],"&gt;="&amp;$C$5,DaybyDay[RowYear],"&gt;="&amp;$C$4,DaybyDay[Date],"&lt;="&amp;DaybyDay[[#This Row],[Date]])</f>
        <v>0</v>
      </c>
      <c r="T823" s="35">
        <f>SUMIFS(DaybyDay[Retail-LY],DaybyDay[Date],"&gt;="&amp;$C$5,DaybyDay[RowYear],"&gt;="&amp;$C$4,DaybyDay[Date],"&lt;="&amp;DaybyDay[[#This Row],[Date]])</f>
        <v>0</v>
      </c>
      <c r="U823" s="32">
        <f>DaybyDay[[#This Row],[Serv-Bud-RU]]+DaybyDay[[#This Row],[Ret-Bud-RU]]</f>
        <v>0</v>
      </c>
      <c r="V823" s="32">
        <f>DaybyDay[[#This Row],[Serv-Act-RU]]+DaybyDay[[#This Row],[Ret-Act-RU]]</f>
        <v>0</v>
      </c>
      <c r="W823" s="36">
        <f>IF(DaybyDay[[#This Row],[_Space]],IFERROR(
((DaybyDay[[#This Row],[Actual-Rollup]]-DaybyDay[[#This Row],[Budget-Rollup]])/DaybyDay[[#This Row],[Budget-Rollup]]),0),"")</f>
        <v>0</v>
      </c>
      <c r="X823" t="b">
        <f>NOT(AND(ISBLANK(DaybyDay[[#This Row],[Appts]]),ISBLANK(DaybyDay[[#This Row],[Service-Actuals]]),ISBLANK(DaybyDay[[#This Row],[Retail-Actuals]])))</f>
        <v>1</v>
      </c>
      <c r="Y823" s="36">
        <f>IF(DaybyDay[[#This Row],[_Space]],IFERROR(
((DaybyDay[[#This Row],[Actual-Rollup]]-DaybyDay[[#This Row],[LY-Rollup]])/DaybyDay[[#This Row],[LY-Rollup]]),0),"")</f>
        <v>0</v>
      </c>
      <c r="Z823"/>
      <c r="AA823" s="37" t="e">
        <f>IF(DaybyDay[[#This Row],[_Space]],DaybyDay[[#This Row],[Ret-Act-RU]]/DaybyDay[[#This Row],[Serv-Act-RU]],"")</f>
        <v>#DIV/0!</v>
      </c>
      <c r="AB823" s="50" t="e">
        <f>IF(DaybyDay[[#This Row],[_Space]],DaybyDay[[#This Row],[RETPEN-Act]]/DaybyDay[[#This Row],[RETPEN-Bud]],"")</f>
        <v>#DIV/0!</v>
      </c>
      <c r="AC823" s="37" t="e">
        <f>IF(DaybyDay[[#This Row],[_Space]],DaybyDay[[#This Row],[Ret-Bud-RU]]/DaybyDay[[#This Row],[Serv-Bud-RU]],"")</f>
        <v>#DIV/0!</v>
      </c>
      <c r="AD823" s="37" t="e">
        <f>IF(DaybyDay[[#This Row],[_Space]],DaybyDay[[#This Row],[Ret-LY-RU]]/DaybyDay[[#This Row],[Serv-LY-RU]],"")</f>
        <v>#DIV/0!</v>
      </c>
      <c r="AE823" s="30">
        <f>WEEKDAY(DaybyDay[[#This Row],[LY-Date]])</f>
        <v>5</v>
      </c>
      <c r="AF823" s="38">
        <f>$E$2+_xlfn.DAYS(DaybyDay[[#This Row],[Date]],minDate)</f>
        <v>43188</v>
      </c>
      <c r="AG823" s="39" cm="1">
        <f t="array" ref="AG823">IFERROR(INDEX(DaybyDay[],DaybyDay[[#This Row],[FORM_MATCH_HELPER]],8),"")</f>
        <v>0</v>
      </c>
      <c r="AH823" s="39" cm="1">
        <f t="array" ref="AH823">IFERROR(INDEX(DaybyDay[],DaybyDay[[#This Row],[FORM_MATCH_HELPER]],10),"")</f>
        <v>10500</v>
      </c>
      <c r="AI823" s="39" cm="1">
        <f t="array" ref="AI823">IFERROR(INDEX(DaybyDay[],DaybyDay[[#This Row],[FORM_MATCH_HELPER]],12),"")</f>
        <v>0</v>
      </c>
      <c r="AJ823" s="32">
        <f>IFERROR(DaybyDay[[#This Row],[Serv-LY-RU]]+DaybyDay[[#This Row],[Ret-LY-RU]],"")</f>
        <v>0</v>
      </c>
      <c r="AK8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3" s="77"/>
      <c r="AM823" s="40" t="str">
        <f>IF(DaybyDay[[#This Row],[Admin Hours]]&gt;0,DaybyDay[[#This Row],[Admin Hours]]*$AM$2+$AM$3,"")</f>
        <v/>
      </c>
      <c r="AN823" s="40">
        <f>SUMIFS(DaybyDay[Est-Admin-Payroll],DaybyDay[Date],"&gt;="&amp;$C$5,DaybyDay[RowYear],"&gt;="&amp;$C$4,DaybyDay[Date],"&lt;="&amp;DaybyDay[[#This Row],[Date]])</f>
        <v>0</v>
      </c>
      <c r="AO823" s="41" t="str">
        <f>IF(AND(DaybyDay[[#This Row],[_Space]],ISNUMBER(DaybyDay[[#This Row],[Admin Hours]])),DaybyDay[[#This Row],[Est-Admin-Payroll]]/(DaybyDay[[#This Row],[Service-Actuals]]+DaybyDay[[#This Row],[Retail-Actuals]]),"")</f>
        <v/>
      </c>
      <c r="AP823" s="41" t="e">
        <f>DaybyDay[[#This Row],[Estimated-Payroll-Rollup]]/DaybyDay[[#This Row],[Simple-Forecast]]</f>
        <v>#DIV/0!</v>
      </c>
      <c r="AQ8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3" s="77"/>
      <c r="AS823" s="40" t="str">
        <f>IF(DaybyDay[[#This Row],[Retail Hours]]&gt;0,DaybyDay[[#This Row],[Retail Hours]]*$AS$2,"")</f>
        <v/>
      </c>
      <c r="AT823" s="40">
        <f>SUMIFS(DaybyDay[Est-Retail-Payroll],DaybyDay[Date],"&gt;="&amp;$C$5,DaybyDay[RowYear],"&gt;="&amp;$C$4,DaybyDay[Date],"&lt;="&amp;DaybyDay[[#This Row],[Date]])</f>
        <v>0</v>
      </c>
      <c r="AU823" s="82" t="str">
        <f>IF(AND(DaybyDay[[#This Row],[_Space]],ISNUMBER(DaybyDay[[#This Row],[Retail Hours]])),DaybyDay[[#This Row],[Est-Retail-Payroll]]/(DaybyDay[[#This Row],[Retail-Actuals]]),"")</f>
        <v/>
      </c>
      <c r="AV823" s="82" t="e">
        <f>DaybyDay[[#This Row],[Est-Retail-PayrollRU]]/DaybyDay[[#This Row],[Simple-Forecast-Retail]]</f>
        <v>#DIV/0!</v>
      </c>
      <c r="AW823" s="8"/>
      <c r="AX823" s="49"/>
      <c r="AY823" s="48"/>
      <c r="AZ823" s="47"/>
      <c r="BA823" s="47"/>
      <c r="BB823" s="47"/>
      <c r="BC823" s="47"/>
      <c r="BD823" s="47"/>
    </row>
    <row r="824" spans="3:56" hidden="1" x14ac:dyDescent="0.25">
      <c r="C824" s="26" t="str">
        <f>Tools!$C$1</f>
        <v>Example</v>
      </c>
      <c r="D824" s="27" t="s">
        <v>70</v>
      </c>
      <c r="E824" s="28">
        <v>2019</v>
      </c>
      <c r="F824" s="28">
        <f>MATCH(DaybyDay[[#This Row],[RowMonth]],Table3[SummaryMonth],0)</f>
        <v>3</v>
      </c>
      <c r="G824" s="29">
        <f>MATCH(DaybyDay[[#This Row],[LY-Date]],DaybyDay[Date],0)</f>
        <v>454</v>
      </c>
      <c r="H824" s="30">
        <f>WEEKDAY(DaybyDay[[#This Row],[Date]])</f>
        <v>6</v>
      </c>
      <c r="I824" s="31">
        <v>43553</v>
      </c>
      <c r="J824" s="74">
        <v>39</v>
      </c>
      <c r="K824" s="32">
        <f>SUMIFS(BudgetSeasonality[365 Seasonality],BudgetSeasonality[MonthAdjustment],DaybyDay[[#This Row],[Date]])*SUMIFS(Budgets[Service-Budget],Budgets[BudgetMonth],DaybyDay[[#This Row],[RowMonth]],Budgets[BudgetYear],DaybyDay[[#This Row],[RowYear]])</f>
        <v>5017.5803295267115</v>
      </c>
      <c r="L824" s="75">
        <v>7025.4000000000005</v>
      </c>
      <c r="M824" s="32">
        <f>INDEX(BudgetSeasonality[365 Seasonality],MATCH(DaybyDay[[#This Row],[Date]],BudgetSeasonality[MonthAdjustment],0))*SUMIFS(Budgets[Retail-Budget],Budgets[BudgetMonth],DaybyDay[[#This Row],[RowMonth]],Budgets[BudgetYear],DaybyDay[[#This Row],[RowYear]])</f>
        <v>1159.6676236018525</v>
      </c>
      <c r="N824" s="75">
        <v>922.7</v>
      </c>
      <c r="O824" s="33">
        <f>SUMIFS(DaybyDay[Service-Budgets],DaybyDay[Date],"&gt;="&amp;$C$5,DaybyDay[RowYear],"&gt;="&amp;$C$4,DaybyDay[Date],"&lt;="&amp;DaybyDay[[#This Row],[Date]])</f>
        <v>0</v>
      </c>
      <c r="P824" s="33">
        <f>SUMIFS(DaybyDay[Retail-Budgets],DaybyDay[Date],"&gt;="&amp;$C$5,DaybyDay[RowYear],"&gt;="&amp;$C$4,DaybyDay[Date],"&lt;="&amp;DaybyDay[[#This Row],[Date]])</f>
        <v>0</v>
      </c>
      <c r="Q824" s="34">
        <f>SUMIFS(DaybyDay[Service-Actuals],DaybyDay[Date],"&gt;="&amp;$C$5,DaybyDay[RowYear],"&gt;="&amp;$C$4,DaybyDay[Date],"&lt;="&amp;DaybyDay[[#This Row],[Date]])</f>
        <v>0</v>
      </c>
      <c r="R824" s="34">
        <f>SUMIFS(DaybyDay[Retail-Actuals],DaybyDay[Date],"&gt;="&amp;$C$5,DaybyDay[RowYear],"&gt;="&amp;$C$4,DaybyDay[Date],"&lt;="&amp;DaybyDay[[#This Row],[Date]])</f>
        <v>0</v>
      </c>
      <c r="S824" s="35">
        <f>SUMIFS(DaybyDay[Service-LY],DaybyDay[Date],"&gt;="&amp;$C$5,DaybyDay[RowYear],"&gt;="&amp;$C$4,DaybyDay[Date],"&lt;="&amp;DaybyDay[[#This Row],[Date]])</f>
        <v>0</v>
      </c>
      <c r="T824" s="35">
        <f>SUMIFS(DaybyDay[Retail-LY],DaybyDay[Date],"&gt;="&amp;$C$5,DaybyDay[RowYear],"&gt;="&amp;$C$4,DaybyDay[Date],"&lt;="&amp;DaybyDay[[#This Row],[Date]])</f>
        <v>0</v>
      </c>
      <c r="U824" s="32">
        <f>DaybyDay[[#This Row],[Serv-Bud-RU]]+DaybyDay[[#This Row],[Ret-Bud-RU]]</f>
        <v>0</v>
      </c>
      <c r="V824" s="32">
        <f>DaybyDay[[#This Row],[Serv-Act-RU]]+DaybyDay[[#This Row],[Ret-Act-RU]]</f>
        <v>0</v>
      </c>
      <c r="W824" s="36">
        <f>IF(DaybyDay[[#This Row],[_Space]],IFERROR(
((DaybyDay[[#This Row],[Actual-Rollup]]-DaybyDay[[#This Row],[Budget-Rollup]])/DaybyDay[[#This Row],[Budget-Rollup]]),0),"")</f>
        <v>0</v>
      </c>
      <c r="X824" t="b">
        <f>NOT(AND(ISBLANK(DaybyDay[[#This Row],[Appts]]),ISBLANK(DaybyDay[[#This Row],[Service-Actuals]]),ISBLANK(DaybyDay[[#This Row],[Retail-Actuals]])))</f>
        <v>1</v>
      </c>
      <c r="Y824" s="36">
        <f>IF(DaybyDay[[#This Row],[_Space]],IFERROR(
((DaybyDay[[#This Row],[Actual-Rollup]]-DaybyDay[[#This Row],[LY-Rollup]])/DaybyDay[[#This Row],[LY-Rollup]]),0),"")</f>
        <v>0</v>
      </c>
      <c r="Z824"/>
      <c r="AA824" s="37" t="e">
        <f>IF(DaybyDay[[#This Row],[_Space]],DaybyDay[[#This Row],[Ret-Act-RU]]/DaybyDay[[#This Row],[Serv-Act-RU]],"")</f>
        <v>#DIV/0!</v>
      </c>
      <c r="AB824" s="50" t="e">
        <f>IF(DaybyDay[[#This Row],[_Space]],DaybyDay[[#This Row],[RETPEN-Act]]/DaybyDay[[#This Row],[RETPEN-Bud]],"")</f>
        <v>#DIV/0!</v>
      </c>
      <c r="AC824" s="37" t="e">
        <f>IF(DaybyDay[[#This Row],[_Space]],DaybyDay[[#This Row],[Ret-Bud-RU]]/DaybyDay[[#This Row],[Serv-Bud-RU]],"")</f>
        <v>#DIV/0!</v>
      </c>
      <c r="AD824" s="37" t="e">
        <f>IF(DaybyDay[[#This Row],[_Space]],DaybyDay[[#This Row],[Ret-LY-RU]]/DaybyDay[[#This Row],[Serv-LY-RU]],"")</f>
        <v>#DIV/0!</v>
      </c>
      <c r="AE824" s="30">
        <f>WEEKDAY(DaybyDay[[#This Row],[LY-Date]])</f>
        <v>6</v>
      </c>
      <c r="AF824" s="38">
        <f>$E$2+_xlfn.DAYS(DaybyDay[[#This Row],[Date]],minDate)</f>
        <v>43189</v>
      </c>
      <c r="AG824" s="39" cm="1">
        <f t="array" ref="AG824">IFERROR(INDEX(DaybyDay[],DaybyDay[[#This Row],[FORM_MATCH_HELPER]],8),"")</f>
        <v>0</v>
      </c>
      <c r="AH824" s="39" cm="1">
        <f t="array" ref="AH824">IFERROR(INDEX(DaybyDay[],DaybyDay[[#This Row],[FORM_MATCH_HELPER]],10),"")</f>
        <v>10500</v>
      </c>
      <c r="AI824" s="39" cm="1">
        <f t="array" ref="AI824">IFERROR(INDEX(DaybyDay[],DaybyDay[[#This Row],[FORM_MATCH_HELPER]],12),"")</f>
        <v>0</v>
      </c>
      <c r="AJ824" s="32">
        <f>IFERROR(DaybyDay[[#This Row],[Serv-LY-RU]]+DaybyDay[[#This Row],[Ret-LY-RU]],"")</f>
        <v>0</v>
      </c>
      <c r="AK8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4" s="77"/>
      <c r="AM824" s="40" t="str">
        <f>IF(DaybyDay[[#This Row],[Admin Hours]]&gt;0,DaybyDay[[#This Row],[Admin Hours]]*$AM$2+$AM$3,"")</f>
        <v/>
      </c>
      <c r="AN824" s="40">
        <f>SUMIFS(DaybyDay[Est-Admin-Payroll],DaybyDay[Date],"&gt;="&amp;$C$5,DaybyDay[RowYear],"&gt;="&amp;$C$4,DaybyDay[Date],"&lt;="&amp;DaybyDay[[#This Row],[Date]])</f>
        <v>0</v>
      </c>
      <c r="AO824" s="41" t="str">
        <f>IF(AND(DaybyDay[[#This Row],[_Space]],ISNUMBER(DaybyDay[[#This Row],[Admin Hours]])),DaybyDay[[#This Row],[Est-Admin-Payroll]]/(DaybyDay[[#This Row],[Service-Actuals]]+DaybyDay[[#This Row],[Retail-Actuals]]),"")</f>
        <v/>
      </c>
      <c r="AP824" s="41" t="e">
        <f>DaybyDay[[#This Row],[Estimated-Payroll-Rollup]]/DaybyDay[[#This Row],[Simple-Forecast]]</f>
        <v>#DIV/0!</v>
      </c>
      <c r="AQ8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4" s="77"/>
      <c r="AS824" s="40" t="str">
        <f>IF(DaybyDay[[#This Row],[Retail Hours]]&gt;0,DaybyDay[[#This Row],[Retail Hours]]*$AS$2,"")</f>
        <v/>
      </c>
      <c r="AT824" s="40">
        <f>SUMIFS(DaybyDay[Est-Retail-Payroll],DaybyDay[Date],"&gt;="&amp;$C$5,DaybyDay[RowYear],"&gt;="&amp;$C$4,DaybyDay[Date],"&lt;="&amp;DaybyDay[[#This Row],[Date]])</f>
        <v>0</v>
      </c>
      <c r="AU824" s="82" t="str">
        <f>IF(AND(DaybyDay[[#This Row],[_Space]],ISNUMBER(DaybyDay[[#This Row],[Retail Hours]])),DaybyDay[[#This Row],[Est-Retail-Payroll]]/(DaybyDay[[#This Row],[Retail-Actuals]]),"")</f>
        <v/>
      </c>
      <c r="AV824" s="82" t="e">
        <f>DaybyDay[[#This Row],[Est-Retail-PayrollRU]]/DaybyDay[[#This Row],[Simple-Forecast-Retail]]</f>
        <v>#DIV/0!</v>
      </c>
      <c r="AW824" s="8"/>
      <c r="AX824" s="49"/>
      <c r="AY824" s="48"/>
      <c r="AZ824" s="47"/>
      <c r="BA824" s="47"/>
      <c r="BB824" s="47"/>
      <c r="BC824" s="47"/>
      <c r="BD824" s="47"/>
    </row>
    <row r="825" spans="3:56" hidden="1" x14ac:dyDescent="0.25">
      <c r="C825" s="26" t="str">
        <f>Tools!$C$1</f>
        <v>Example</v>
      </c>
      <c r="D825" s="27" t="s">
        <v>70</v>
      </c>
      <c r="E825" s="28">
        <v>2019</v>
      </c>
      <c r="F825" s="28">
        <f>MATCH(DaybyDay[[#This Row],[RowMonth]],Table3[SummaryMonth],0)</f>
        <v>3</v>
      </c>
      <c r="G825" s="29">
        <f>MATCH(DaybyDay[[#This Row],[LY-Date]],DaybyDay[Date],0)</f>
        <v>455</v>
      </c>
      <c r="H825" s="30">
        <f>WEEKDAY(DaybyDay[[#This Row],[Date]])</f>
        <v>7</v>
      </c>
      <c r="I825" s="31">
        <v>43554</v>
      </c>
      <c r="J825" s="74">
        <v>40</v>
      </c>
      <c r="K825" s="32">
        <f>SUMIFS(BudgetSeasonality[365 Seasonality],BudgetSeasonality[MonthAdjustment],DaybyDay[[#This Row],[Date]])*SUMIFS(Budgets[Service-Budget],Budgets[BudgetMonth],DaybyDay[[#This Row],[RowMonth]],Budgets[BudgetYear],DaybyDay[[#This Row],[RowYear]])</f>
        <v>6656.9209029553795</v>
      </c>
      <c r="L825" s="75">
        <v>9588.6</v>
      </c>
      <c r="M825" s="32">
        <f>INDEX(BudgetSeasonality[365 Seasonality],MATCH(DaybyDay[[#This Row],[Date]],BudgetSeasonality[MonthAdjustment],0))*SUMIFS(Budgets[Retail-Budget],Budgets[BudgetMonth],DaybyDay[[#This Row],[RowMonth]],Budgets[BudgetYear],DaybyDay[[#This Row],[RowYear]])</f>
        <v>1538.5534733958</v>
      </c>
      <c r="N825" s="75">
        <v>859.5</v>
      </c>
      <c r="O825" s="33">
        <f>SUMIFS(DaybyDay[Service-Budgets],DaybyDay[Date],"&gt;="&amp;$C$5,DaybyDay[RowYear],"&gt;="&amp;$C$4,DaybyDay[Date],"&lt;="&amp;DaybyDay[[#This Row],[Date]])</f>
        <v>0</v>
      </c>
      <c r="P825" s="33">
        <f>SUMIFS(DaybyDay[Retail-Budgets],DaybyDay[Date],"&gt;="&amp;$C$5,DaybyDay[RowYear],"&gt;="&amp;$C$4,DaybyDay[Date],"&lt;="&amp;DaybyDay[[#This Row],[Date]])</f>
        <v>0</v>
      </c>
      <c r="Q825" s="34">
        <f>SUMIFS(DaybyDay[Service-Actuals],DaybyDay[Date],"&gt;="&amp;$C$5,DaybyDay[RowYear],"&gt;="&amp;$C$4,DaybyDay[Date],"&lt;="&amp;DaybyDay[[#This Row],[Date]])</f>
        <v>0</v>
      </c>
      <c r="R825" s="34">
        <f>SUMIFS(DaybyDay[Retail-Actuals],DaybyDay[Date],"&gt;="&amp;$C$5,DaybyDay[RowYear],"&gt;="&amp;$C$4,DaybyDay[Date],"&lt;="&amp;DaybyDay[[#This Row],[Date]])</f>
        <v>0</v>
      </c>
      <c r="S825" s="35">
        <f>SUMIFS(DaybyDay[Service-LY],DaybyDay[Date],"&gt;="&amp;$C$5,DaybyDay[RowYear],"&gt;="&amp;$C$4,DaybyDay[Date],"&lt;="&amp;DaybyDay[[#This Row],[Date]])</f>
        <v>0</v>
      </c>
      <c r="T825" s="35">
        <f>SUMIFS(DaybyDay[Retail-LY],DaybyDay[Date],"&gt;="&amp;$C$5,DaybyDay[RowYear],"&gt;="&amp;$C$4,DaybyDay[Date],"&lt;="&amp;DaybyDay[[#This Row],[Date]])</f>
        <v>0</v>
      </c>
      <c r="U825" s="32">
        <f>DaybyDay[[#This Row],[Serv-Bud-RU]]+DaybyDay[[#This Row],[Ret-Bud-RU]]</f>
        <v>0</v>
      </c>
      <c r="V825" s="32">
        <f>DaybyDay[[#This Row],[Serv-Act-RU]]+DaybyDay[[#This Row],[Ret-Act-RU]]</f>
        <v>0</v>
      </c>
      <c r="W825" s="36">
        <f>IF(DaybyDay[[#This Row],[_Space]],IFERROR(
((DaybyDay[[#This Row],[Actual-Rollup]]-DaybyDay[[#This Row],[Budget-Rollup]])/DaybyDay[[#This Row],[Budget-Rollup]]),0),"")</f>
        <v>0</v>
      </c>
      <c r="X825" t="b">
        <f>NOT(AND(ISBLANK(DaybyDay[[#This Row],[Appts]]),ISBLANK(DaybyDay[[#This Row],[Service-Actuals]]),ISBLANK(DaybyDay[[#This Row],[Retail-Actuals]])))</f>
        <v>1</v>
      </c>
      <c r="Y825" s="36">
        <f>IF(DaybyDay[[#This Row],[_Space]],IFERROR(
((DaybyDay[[#This Row],[Actual-Rollup]]-DaybyDay[[#This Row],[LY-Rollup]])/DaybyDay[[#This Row],[LY-Rollup]]),0),"")</f>
        <v>0</v>
      </c>
      <c r="Z825"/>
      <c r="AA825" s="37" t="e">
        <f>IF(DaybyDay[[#This Row],[_Space]],DaybyDay[[#This Row],[Ret-Act-RU]]/DaybyDay[[#This Row],[Serv-Act-RU]],"")</f>
        <v>#DIV/0!</v>
      </c>
      <c r="AB825" s="50" t="e">
        <f>IF(DaybyDay[[#This Row],[_Space]],DaybyDay[[#This Row],[RETPEN-Act]]/DaybyDay[[#This Row],[RETPEN-Bud]],"")</f>
        <v>#DIV/0!</v>
      </c>
      <c r="AC825" s="37" t="e">
        <f>IF(DaybyDay[[#This Row],[_Space]],DaybyDay[[#This Row],[Ret-Bud-RU]]/DaybyDay[[#This Row],[Serv-Bud-RU]],"")</f>
        <v>#DIV/0!</v>
      </c>
      <c r="AD825" s="37" t="e">
        <f>IF(DaybyDay[[#This Row],[_Space]],DaybyDay[[#This Row],[Ret-LY-RU]]/DaybyDay[[#This Row],[Serv-LY-RU]],"")</f>
        <v>#DIV/0!</v>
      </c>
      <c r="AE825" s="30">
        <f>WEEKDAY(DaybyDay[[#This Row],[LY-Date]])</f>
        <v>7</v>
      </c>
      <c r="AF825" s="38">
        <f>$E$2+_xlfn.DAYS(DaybyDay[[#This Row],[Date]],minDate)</f>
        <v>43190</v>
      </c>
      <c r="AG825" s="39" cm="1">
        <f t="array" ref="AG825">IFERROR(INDEX(DaybyDay[],DaybyDay[[#This Row],[FORM_MATCH_HELPER]],8),"")</f>
        <v>31</v>
      </c>
      <c r="AH825" s="39" cm="1">
        <f t="array" ref="AH825">IFERROR(INDEX(DaybyDay[],DaybyDay[[#This Row],[FORM_MATCH_HELPER]],10),"")</f>
        <v>5480</v>
      </c>
      <c r="AI825" s="39" cm="1">
        <f t="array" ref="AI825">IFERROR(INDEX(DaybyDay[],DaybyDay[[#This Row],[FORM_MATCH_HELPER]],12),"")</f>
        <v>389</v>
      </c>
      <c r="AJ825" s="32">
        <f>IFERROR(DaybyDay[[#This Row],[Serv-LY-RU]]+DaybyDay[[#This Row],[Ret-LY-RU]],"")</f>
        <v>0</v>
      </c>
      <c r="AK8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5" s="77"/>
      <c r="AM825" s="40" t="str">
        <f>IF(DaybyDay[[#This Row],[Admin Hours]]&gt;0,DaybyDay[[#This Row],[Admin Hours]]*$AM$2+$AM$3,"")</f>
        <v/>
      </c>
      <c r="AN825" s="40">
        <f>SUMIFS(DaybyDay[Est-Admin-Payroll],DaybyDay[Date],"&gt;="&amp;$C$5,DaybyDay[RowYear],"&gt;="&amp;$C$4,DaybyDay[Date],"&lt;="&amp;DaybyDay[[#This Row],[Date]])</f>
        <v>0</v>
      </c>
      <c r="AO825" s="41" t="str">
        <f>IF(AND(DaybyDay[[#This Row],[_Space]],ISNUMBER(DaybyDay[[#This Row],[Admin Hours]])),DaybyDay[[#This Row],[Est-Admin-Payroll]]/(DaybyDay[[#This Row],[Service-Actuals]]+DaybyDay[[#This Row],[Retail-Actuals]]),"")</f>
        <v/>
      </c>
      <c r="AP825" s="41" t="e">
        <f>DaybyDay[[#This Row],[Estimated-Payroll-Rollup]]/DaybyDay[[#This Row],[Simple-Forecast]]</f>
        <v>#DIV/0!</v>
      </c>
      <c r="AQ8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5" s="77"/>
      <c r="AS825" s="40" t="str">
        <f>IF(DaybyDay[[#This Row],[Retail Hours]]&gt;0,DaybyDay[[#This Row],[Retail Hours]]*$AS$2,"")</f>
        <v/>
      </c>
      <c r="AT825" s="40">
        <f>SUMIFS(DaybyDay[Est-Retail-Payroll],DaybyDay[Date],"&gt;="&amp;$C$5,DaybyDay[RowYear],"&gt;="&amp;$C$4,DaybyDay[Date],"&lt;="&amp;DaybyDay[[#This Row],[Date]])</f>
        <v>0</v>
      </c>
      <c r="AU825" s="82" t="str">
        <f>IF(AND(DaybyDay[[#This Row],[_Space]],ISNUMBER(DaybyDay[[#This Row],[Retail Hours]])),DaybyDay[[#This Row],[Est-Retail-Payroll]]/(DaybyDay[[#This Row],[Retail-Actuals]]),"")</f>
        <v/>
      </c>
      <c r="AV825" s="82" t="e">
        <f>DaybyDay[[#This Row],[Est-Retail-PayrollRU]]/DaybyDay[[#This Row],[Simple-Forecast-Retail]]</f>
        <v>#DIV/0!</v>
      </c>
      <c r="AW825" s="8"/>
      <c r="AX825" s="49"/>
      <c r="AY825" s="48"/>
      <c r="AZ825" s="47"/>
      <c r="BA825" s="47"/>
      <c r="BB825" s="47"/>
      <c r="BC825" s="47"/>
      <c r="BD825" s="47"/>
    </row>
    <row r="826" spans="3:56" hidden="1" x14ac:dyDescent="0.25">
      <c r="C826" s="26" t="str">
        <f>Tools!$C$1</f>
        <v>Example</v>
      </c>
      <c r="D826" s="27" t="s">
        <v>70</v>
      </c>
      <c r="E826" s="28">
        <v>2019</v>
      </c>
      <c r="F826" s="28">
        <f>MATCH(DaybyDay[[#This Row],[RowMonth]],Table3[SummaryMonth],0)</f>
        <v>3</v>
      </c>
      <c r="G826" s="29">
        <f>MATCH(DaybyDay[[#This Row],[LY-Date]],DaybyDay[Date],0)</f>
        <v>456</v>
      </c>
      <c r="H826" s="30">
        <f>WEEKDAY(DaybyDay[[#This Row],[Date]])</f>
        <v>1</v>
      </c>
      <c r="I826" s="31">
        <v>43555</v>
      </c>
      <c r="J826" s="74">
        <v>42</v>
      </c>
      <c r="K826" s="32">
        <f>SUMIFS(BudgetSeasonality[365 Seasonality],BudgetSeasonality[MonthAdjustment],DaybyDay[[#This Row],[Date]])*SUMIFS(Budgets[Service-Budget],Budgets[BudgetMonth],DaybyDay[[#This Row],[RowMonth]],Budgets[BudgetYear],DaybyDay[[#This Row],[RowYear]])</f>
        <v>5410.9093524330092</v>
      </c>
      <c r="L826" s="75">
        <v>7777.72</v>
      </c>
      <c r="M826" s="32">
        <f>INDEX(BudgetSeasonality[365 Seasonality],MATCH(DaybyDay[[#This Row],[Date]],BudgetSeasonality[MonthAdjustment],0))*SUMIFS(Budgets[Retail-Budget],Budgets[BudgetMonth],DaybyDay[[#This Row],[RowMonth]],Budgets[BudgetYear],DaybyDay[[#This Row],[RowYear]])</f>
        <v>1250.5741768269627</v>
      </c>
      <c r="N826" s="75">
        <v>357</v>
      </c>
      <c r="O826" s="33">
        <f>SUMIFS(DaybyDay[Service-Budgets],DaybyDay[Date],"&gt;="&amp;$C$5,DaybyDay[RowYear],"&gt;="&amp;$C$4,DaybyDay[Date],"&lt;="&amp;DaybyDay[[#This Row],[Date]])</f>
        <v>0</v>
      </c>
      <c r="P826" s="33">
        <f>SUMIFS(DaybyDay[Retail-Budgets],DaybyDay[Date],"&gt;="&amp;$C$5,DaybyDay[RowYear],"&gt;="&amp;$C$4,DaybyDay[Date],"&lt;="&amp;DaybyDay[[#This Row],[Date]])</f>
        <v>0</v>
      </c>
      <c r="Q826" s="34">
        <f>SUMIFS(DaybyDay[Service-Actuals],DaybyDay[Date],"&gt;="&amp;$C$5,DaybyDay[RowYear],"&gt;="&amp;$C$4,DaybyDay[Date],"&lt;="&amp;DaybyDay[[#This Row],[Date]])</f>
        <v>0</v>
      </c>
      <c r="R826" s="34">
        <f>SUMIFS(DaybyDay[Retail-Actuals],DaybyDay[Date],"&gt;="&amp;$C$5,DaybyDay[RowYear],"&gt;="&amp;$C$4,DaybyDay[Date],"&lt;="&amp;DaybyDay[[#This Row],[Date]])</f>
        <v>0</v>
      </c>
      <c r="S826" s="35">
        <f>SUMIFS(DaybyDay[Service-LY],DaybyDay[Date],"&gt;="&amp;$C$5,DaybyDay[RowYear],"&gt;="&amp;$C$4,DaybyDay[Date],"&lt;="&amp;DaybyDay[[#This Row],[Date]])</f>
        <v>0</v>
      </c>
      <c r="T826" s="35">
        <f>SUMIFS(DaybyDay[Retail-LY],DaybyDay[Date],"&gt;="&amp;$C$5,DaybyDay[RowYear],"&gt;="&amp;$C$4,DaybyDay[Date],"&lt;="&amp;DaybyDay[[#This Row],[Date]])</f>
        <v>0</v>
      </c>
      <c r="U826" s="32">
        <f>DaybyDay[[#This Row],[Serv-Bud-RU]]+DaybyDay[[#This Row],[Ret-Bud-RU]]</f>
        <v>0</v>
      </c>
      <c r="V826" s="32">
        <f>DaybyDay[[#This Row],[Serv-Act-RU]]+DaybyDay[[#This Row],[Ret-Act-RU]]</f>
        <v>0</v>
      </c>
      <c r="W826" s="36">
        <f>IF(DaybyDay[[#This Row],[_Space]],IFERROR(
((DaybyDay[[#This Row],[Actual-Rollup]]-DaybyDay[[#This Row],[Budget-Rollup]])/DaybyDay[[#This Row],[Budget-Rollup]]),0),"")</f>
        <v>0</v>
      </c>
      <c r="X826" t="b">
        <f>NOT(AND(ISBLANK(DaybyDay[[#This Row],[Appts]]),ISBLANK(DaybyDay[[#This Row],[Service-Actuals]]),ISBLANK(DaybyDay[[#This Row],[Retail-Actuals]])))</f>
        <v>1</v>
      </c>
      <c r="Y826" s="36">
        <f>IF(DaybyDay[[#This Row],[_Space]],IFERROR(
((DaybyDay[[#This Row],[Actual-Rollup]]-DaybyDay[[#This Row],[LY-Rollup]])/DaybyDay[[#This Row],[LY-Rollup]]),0),"")</f>
        <v>0</v>
      </c>
      <c r="Z826"/>
      <c r="AA826" s="37" t="e">
        <f>IF(DaybyDay[[#This Row],[_Space]],DaybyDay[[#This Row],[Ret-Act-RU]]/DaybyDay[[#This Row],[Serv-Act-RU]],"")</f>
        <v>#DIV/0!</v>
      </c>
      <c r="AB826" s="50" t="e">
        <f>IF(DaybyDay[[#This Row],[_Space]],DaybyDay[[#This Row],[RETPEN-Act]]/DaybyDay[[#This Row],[RETPEN-Bud]],"")</f>
        <v>#DIV/0!</v>
      </c>
      <c r="AC826" s="37" t="e">
        <f>IF(DaybyDay[[#This Row],[_Space]],DaybyDay[[#This Row],[Ret-Bud-RU]]/DaybyDay[[#This Row],[Serv-Bud-RU]],"")</f>
        <v>#DIV/0!</v>
      </c>
      <c r="AD826" s="37" t="e">
        <f>IF(DaybyDay[[#This Row],[_Space]],DaybyDay[[#This Row],[Ret-LY-RU]]/DaybyDay[[#This Row],[Serv-LY-RU]],"")</f>
        <v>#DIV/0!</v>
      </c>
      <c r="AE826" s="30">
        <f>WEEKDAY(DaybyDay[[#This Row],[LY-Date]])</f>
        <v>1</v>
      </c>
      <c r="AF826" s="38">
        <f>$E$2+_xlfn.DAYS(DaybyDay[[#This Row],[Date]],minDate)</f>
        <v>43191</v>
      </c>
      <c r="AG826" s="39" cm="1">
        <f t="array" ref="AG826">IFERROR(INDEX(DaybyDay[],DaybyDay[[#This Row],[FORM_MATCH_HELPER]],8),"")</f>
        <v>11</v>
      </c>
      <c r="AH826" s="39" cm="1">
        <f t="array" ref="AH826">IFERROR(INDEX(DaybyDay[],DaybyDay[[#This Row],[FORM_MATCH_HELPER]],10),"")</f>
        <v>2027</v>
      </c>
      <c r="AI826" s="39" cm="1">
        <f t="array" ref="AI826">IFERROR(INDEX(DaybyDay[],DaybyDay[[#This Row],[FORM_MATCH_HELPER]],12),"")</f>
        <v>461.8</v>
      </c>
      <c r="AJ826" s="32">
        <f>IFERROR(DaybyDay[[#This Row],[Serv-LY-RU]]+DaybyDay[[#This Row],[Ret-LY-RU]],"")</f>
        <v>0</v>
      </c>
      <c r="AK8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6" s="77"/>
      <c r="AM826" s="40" t="str">
        <f>IF(DaybyDay[[#This Row],[Admin Hours]]&gt;0,DaybyDay[[#This Row],[Admin Hours]]*$AM$2+$AM$3,"")</f>
        <v/>
      </c>
      <c r="AN826" s="40">
        <f>SUMIFS(DaybyDay[Est-Admin-Payroll],DaybyDay[Date],"&gt;="&amp;$C$5,DaybyDay[RowYear],"&gt;="&amp;$C$4,DaybyDay[Date],"&lt;="&amp;DaybyDay[[#This Row],[Date]])</f>
        <v>0</v>
      </c>
      <c r="AO826" s="41" t="str">
        <f>IF(AND(DaybyDay[[#This Row],[_Space]],ISNUMBER(DaybyDay[[#This Row],[Admin Hours]])),DaybyDay[[#This Row],[Est-Admin-Payroll]]/(DaybyDay[[#This Row],[Service-Actuals]]+DaybyDay[[#This Row],[Retail-Actuals]]),"")</f>
        <v/>
      </c>
      <c r="AP826" s="41" t="e">
        <f>DaybyDay[[#This Row],[Estimated-Payroll-Rollup]]/DaybyDay[[#This Row],[Simple-Forecast]]</f>
        <v>#DIV/0!</v>
      </c>
      <c r="AQ8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6" s="77"/>
      <c r="AS826" s="40" t="str">
        <f>IF(DaybyDay[[#This Row],[Retail Hours]]&gt;0,DaybyDay[[#This Row],[Retail Hours]]*$AS$2,"")</f>
        <v/>
      </c>
      <c r="AT826" s="40">
        <f>SUMIFS(DaybyDay[Est-Retail-Payroll],DaybyDay[Date],"&gt;="&amp;$C$5,DaybyDay[RowYear],"&gt;="&amp;$C$4,DaybyDay[Date],"&lt;="&amp;DaybyDay[[#This Row],[Date]])</f>
        <v>0</v>
      </c>
      <c r="AU826" s="82" t="str">
        <f>IF(AND(DaybyDay[[#This Row],[_Space]],ISNUMBER(DaybyDay[[#This Row],[Retail Hours]])),DaybyDay[[#This Row],[Est-Retail-Payroll]]/(DaybyDay[[#This Row],[Retail-Actuals]]),"")</f>
        <v/>
      </c>
      <c r="AV826" s="82" t="e">
        <f>DaybyDay[[#This Row],[Est-Retail-PayrollRU]]/DaybyDay[[#This Row],[Simple-Forecast-Retail]]</f>
        <v>#DIV/0!</v>
      </c>
      <c r="AW826" s="8"/>
      <c r="AX826" s="49"/>
      <c r="AY826" s="48"/>
      <c r="AZ826" s="47"/>
      <c r="BA826" s="47"/>
      <c r="BB826" s="47"/>
      <c r="BC826" s="47"/>
      <c r="BD826" s="47"/>
    </row>
    <row r="827" spans="3:56" hidden="1" x14ac:dyDescent="0.25">
      <c r="C827" s="26" t="str">
        <f>Tools!$C$1</f>
        <v>Example</v>
      </c>
      <c r="D827" s="27" t="s">
        <v>70</v>
      </c>
      <c r="E827" s="28">
        <v>2019</v>
      </c>
      <c r="F827" s="28">
        <f>MATCH(DaybyDay[[#This Row],[RowMonth]],Table3[SummaryMonth],0)</f>
        <v>3</v>
      </c>
      <c r="G827" s="29">
        <f>MATCH(DaybyDay[[#This Row],[LY-Date]],DaybyDay[Date],0)</f>
        <v>457</v>
      </c>
      <c r="H827" s="30">
        <f>WEEKDAY(DaybyDay[[#This Row],[Date]])</f>
        <v>2</v>
      </c>
      <c r="I827" s="31">
        <v>43556</v>
      </c>
      <c r="J827" s="74">
        <v>12</v>
      </c>
      <c r="K827" s="32">
        <f>SUMIFS(BudgetSeasonality[365 Seasonality],BudgetSeasonality[MonthAdjustment],DaybyDay[[#This Row],[Date]])*SUMIFS(Budgets[Service-Budget],Budgets[BudgetMonth],DaybyDay[[#This Row],[RowMonth]],Budgets[BudgetYear],DaybyDay[[#This Row],[RowYear]])</f>
        <v>3591.5770935251389</v>
      </c>
      <c r="L827" s="75">
        <v>3257.6</v>
      </c>
      <c r="M827" s="32">
        <f>INDEX(BudgetSeasonality[365 Seasonality],MATCH(DaybyDay[[#This Row],[Date]],BudgetSeasonality[MonthAdjustment],0))*SUMIFS(Budgets[Retail-Budget],Budgets[BudgetMonth],DaybyDay[[#This Row],[RowMonth]],Budgets[BudgetYear],DaybyDay[[#This Row],[RowYear]])</f>
        <v>830.0884887724394</v>
      </c>
      <c r="N827" s="75">
        <v>74</v>
      </c>
      <c r="O827" s="33">
        <f>SUMIFS(DaybyDay[Service-Budgets],DaybyDay[Date],"&gt;="&amp;$C$5,DaybyDay[RowYear],"&gt;="&amp;$C$4,DaybyDay[Date],"&lt;="&amp;DaybyDay[[#This Row],[Date]])</f>
        <v>0</v>
      </c>
      <c r="P827" s="33">
        <f>SUMIFS(DaybyDay[Retail-Budgets],DaybyDay[Date],"&gt;="&amp;$C$5,DaybyDay[RowYear],"&gt;="&amp;$C$4,DaybyDay[Date],"&lt;="&amp;DaybyDay[[#This Row],[Date]])</f>
        <v>0</v>
      </c>
      <c r="Q827" s="34">
        <f>SUMIFS(DaybyDay[Service-Actuals],DaybyDay[Date],"&gt;="&amp;$C$5,DaybyDay[RowYear],"&gt;="&amp;$C$4,DaybyDay[Date],"&lt;="&amp;DaybyDay[[#This Row],[Date]])</f>
        <v>0</v>
      </c>
      <c r="R827" s="34">
        <f>SUMIFS(DaybyDay[Retail-Actuals],DaybyDay[Date],"&gt;="&amp;$C$5,DaybyDay[RowYear],"&gt;="&amp;$C$4,DaybyDay[Date],"&lt;="&amp;DaybyDay[[#This Row],[Date]])</f>
        <v>0</v>
      </c>
      <c r="S827" s="35">
        <f>SUMIFS(DaybyDay[Service-LY],DaybyDay[Date],"&gt;="&amp;$C$5,DaybyDay[RowYear],"&gt;="&amp;$C$4,DaybyDay[Date],"&lt;="&amp;DaybyDay[[#This Row],[Date]])</f>
        <v>0</v>
      </c>
      <c r="T827" s="35">
        <f>SUMIFS(DaybyDay[Retail-LY],DaybyDay[Date],"&gt;="&amp;$C$5,DaybyDay[RowYear],"&gt;="&amp;$C$4,DaybyDay[Date],"&lt;="&amp;DaybyDay[[#This Row],[Date]])</f>
        <v>0</v>
      </c>
      <c r="U827" s="32">
        <f>DaybyDay[[#This Row],[Serv-Bud-RU]]+DaybyDay[[#This Row],[Ret-Bud-RU]]</f>
        <v>0</v>
      </c>
      <c r="V827" s="32">
        <f>DaybyDay[[#This Row],[Serv-Act-RU]]+DaybyDay[[#This Row],[Ret-Act-RU]]</f>
        <v>0</v>
      </c>
      <c r="W827" s="36">
        <f>IF(DaybyDay[[#This Row],[_Space]],IFERROR(
((DaybyDay[[#This Row],[Actual-Rollup]]-DaybyDay[[#This Row],[Budget-Rollup]])/DaybyDay[[#This Row],[Budget-Rollup]]),0),"")</f>
        <v>0</v>
      </c>
      <c r="X827" t="b">
        <f>NOT(AND(ISBLANK(DaybyDay[[#This Row],[Appts]]),ISBLANK(DaybyDay[[#This Row],[Service-Actuals]]),ISBLANK(DaybyDay[[#This Row],[Retail-Actuals]])))</f>
        <v>1</v>
      </c>
      <c r="Y827" s="36">
        <f>IF(DaybyDay[[#This Row],[_Space]],IFERROR(
((DaybyDay[[#This Row],[Actual-Rollup]]-DaybyDay[[#This Row],[LY-Rollup]])/DaybyDay[[#This Row],[LY-Rollup]]),0),"")</f>
        <v>0</v>
      </c>
      <c r="Z827"/>
      <c r="AA827" s="37" t="e">
        <f>IF(DaybyDay[[#This Row],[_Space]],DaybyDay[[#This Row],[Ret-Act-RU]]/DaybyDay[[#This Row],[Serv-Act-RU]],"")</f>
        <v>#DIV/0!</v>
      </c>
      <c r="AB827" s="50" t="e">
        <f>IF(DaybyDay[[#This Row],[_Space]],DaybyDay[[#This Row],[RETPEN-Act]]/DaybyDay[[#This Row],[RETPEN-Bud]],"")</f>
        <v>#DIV/0!</v>
      </c>
      <c r="AC827" s="37" t="e">
        <f>IF(DaybyDay[[#This Row],[_Space]],DaybyDay[[#This Row],[Ret-Bud-RU]]/DaybyDay[[#This Row],[Serv-Bud-RU]],"")</f>
        <v>#DIV/0!</v>
      </c>
      <c r="AD827" s="37" t="e">
        <f>IF(DaybyDay[[#This Row],[_Space]],DaybyDay[[#This Row],[Ret-LY-RU]]/DaybyDay[[#This Row],[Serv-LY-RU]],"")</f>
        <v>#DIV/0!</v>
      </c>
      <c r="AE827" s="30">
        <f>WEEKDAY(DaybyDay[[#This Row],[LY-Date]])</f>
        <v>2</v>
      </c>
      <c r="AF827" s="38">
        <f>$E$2+_xlfn.DAYS(DaybyDay[[#This Row],[Date]],minDate)</f>
        <v>43192</v>
      </c>
      <c r="AG827" s="39" cm="1">
        <f t="array" ref="AG827">IFERROR(INDEX(DaybyDay[],DaybyDay[[#This Row],[FORM_MATCH_HELPER]],8),"")</f>
        <v>20</v>
      </c>
      <c r="AH827" s="39" cm="1">
        <f t="array" ref="AH827">IFERROR(INDEX(DaybyDay[],DaybyDay[[#This Row],[FORM_MATCH_HELPER]],10),"")</f>
        <v>3904.99</v>
      </c>
      <c r="AI827" s="39" cm="1">
        <f t="array" ref="AI827">IFERROR(INDEX(DaybyDay[],DaybyDay[[#This Row],[FORM_MATCH_HELPER]],12),"")</f>
        <v>2519.1</v>
      </c>
      <c r="AJ827" s="32">
        <f>IFERROR(DaybyDay[[#This Row],[Serv-LY-RU]]+DaybyDay[[#This Row],[Ret-LY-RU]],"")</f>
        <v>0</v>
      </c>
      <c r="AK8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7" s="77"/>
      <c r="AM827" s="40" t="str">
        <f>IF(DaybyDay[[#This Row],[Admin Hours]]&gt;0,DaybyDay[[#This Row],[Admin Hours]]*$AM$2+$AM$3,"")</f>
        <v/>
      </c>
      <c r="AN827" s="40">
        <f>SUMIFS(DaybyDay[Est-Admin-Payroll],DaybyDay[Date],"&gt;="&amp;$C$5,DaybyDay[RowYear],"&gt;="&amp;$C$4,DaybyDay[Date],"&lt;="&amp;DaybyDay[[#This Row],[Date]])</f>
        <v>0</v>
      </c>
      <c r="AO827" s="41" t="str">
        <f>IF(AND(DaybyDay[[#This Row],[_Space]],ISNUMBER(DaybyDay[[#This Row],[Admin Hours]])),DaybyDay[[#This Row],[Est-Admin-Payroll]]/(DaybyDay[[#This Row],[Service-Actuals]]+DaybyDay[[#This Row],[Retail-Actuals]]),"")</f>
        <v/>
      </c>
      <c r="AP827" s="41" t="e">
        <f>DaybyDay[[#This Row],[Estimated-Payroll-Rollup]]/DaybyDay[[#This Row],[Simple-Forecast]]</f>
        <v>#DIV/0!</v>
      </c>
      <c r="AQ8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7" s="77"/>
      <c r="AS827" s="40" t="str">
        <f>IF(DaybyDay[[#This Row],[Retail Hours]]&gt;0,DaybyDay[[#This Row],[Retail Hours]]*$AS$2,"")</f>
        <v/>
      </c>
      <c r="AT827" s="40">
        <f>SUMIFS(DaybyDay[Est-Retail-Payroll],DaybyDay[Date],"&gt;="&amp;$C$5,DaybyDay[RowYear],"&gt;="&amp;$C$4,DaybyDay[Date],"&lt;="&amp;DaybyDay[[#This Row],[Date]])</f>
        <v>0</v>
      </c>
      <c r="AU827" s="82" t="str">
        <f>IF(AND(DaybyDay[[#This Row],[_Space]],ISNUMBER(DaybyDay[[#This Row],[Retail Hours]])),DaybyDay[[#This Row],[Est-Retail-Payroll]]/(DaybyDay[[#This Row],[Retail-Actuals]]),"")</f>
        <v/>
      </c>
      <c r="AV827" s="82" t="e">
        <f>DaybyDay[[#This Row],[Est-Retail-PayrollRU]]/DaybyDay[[#This Row],[Simple-Forecast-Retail]]</f>
        <v>#DIV/0!</v>
      </c>
      <c r="AW827" s="8"/>
      <c r="AX827" s="49"/>
      <c r="AY827" s="48"/>
      <c r="AZ827" s="47"/>
      <c r="BA827" s="47"/>
      <c r="BB827" s="47"/>
      <c r="BC827" s="47"/>
      <c r="BD827" s="47"/>
    </row>
    <row r="828" spans="3:56" hidden="1" x14ac:dyDescent="0.25">
      <c r="C828" s="26" t="str">
        <f>Tools!$C$1</f>
        <v>Example</v>
      </c>
      <c r="D828" s="27" t="s">
        <v>70</v>
      </c>
      <c r="E828" s="28">
        <v>2019</v>
      </c>
      <c r="F828" s="28">
        <f>MATCH(DaybyDay[[#This Row],[RowMonth]],Table3[SummaryMonth],0)</f>
        <v>3</v>
      </c>
      <c r="G828" s="29">
        <f>MATCH(DaybyDay[[#This Row],[LY-Date]],DaybyDay[Date],0)</f>
        <v>458</v>
      </c>
      <c r="H828" s="30">
        <f>WEEKDAY(DaybyDay[[#This Row],[Date]])</f>
        <v>3</v>
      </c>
      <c r="I828" s="31">
        <v>43557</v>
      </c>
      <c r="J828" s="74">
        <v>14</v>
      </c>
      <c r="K828" s="32">
        <f>SUMIFS(BudgetSeasonality[365 Seasonality],BudgetSeasonality[MonthAdjustment],DaybyDay[[#This Row],[Date]])*SUMIFS(Budgets[Service-Budget],Budgets[BudgetMonth],DaybyDay[[#This Row],[RowMonth]],Budgets[BudgetYear],DaybyDay[[#This Row],[RowYear]])</f>
        <v>3634.807441515758</v>
      </c>
      <c r="L828" s="75">
        <v>2043.39</v>
      </c>
      <c r="M828" s="32">
        <f>INDEX(BudgetSeasonality[365 Seasonality],MATCH(DaybyDay[[#This Row],[Date]],BudgetSeasonality[MonthAdjustment],0))*SUMIFS(Budgets[Retail-Budget],Budgets[BudgetMonth],DaybyDay[[#This Row],[RowMonth]],Budgets[BudgetYear],DaybyDay[[#This Row],[RowYear]])</f>
        <v>840.07992520779612</v>
      </c>
      <c r="N828" s="75">
        <v>0</v>
      </c>
      <c r="O828" s="33">
        <f>SUMIFS(DaybyDay[Service-Budgets],DaybyDay[Date],"&gt;="&amp;$C$5,DaybyDay[RowYear],"&gt;="&amp;$C$4,DaybyDay[Date],"&lt;="&amp;DaybyDay[[#This Row],[Date]])</f>
        <v>0</v>
      </c>
      <c r="P828" s="33">
        <f>SUMIFS(DaybyDay[Retail-Budgets],DaybyDay[Date],"&gt;="&amp;$C$5,DaybyDay[RowYear],"&gt;="&amp;$C$4,DaybyDay[Date],"&lt;="&amp;DaybyDay[[#This Row],[Date]])</f>
        <v>0</v>
      </c>
      <c r="Q828" s="34">
        <f>SUMIFS(DaybyDay[Service-Actuals],DaybyDay[Date],"&gt;="&amp;$C$5,DaybyDay[RowYear],"&gt;="&amp;$C$4,DaybyDay[Date],"&lt;="&amp;DaybyDay[[#This Row],[Date]])</f>
        <v>0</v>
      </c>
      <c r="R828" s="34">
        <f>SUMIFS(DaybyDay[Retail-Actuals],DaybyDay[Date],"&gt;="&amp;$C$5,DaybyDay[RowYear],"&gt;="&amp;$C$4,DaybyDay[Date],"&lt;="&amp;DaybyDay[[#This Row],[Date]])</f>
        <v>0</v>
      </c>
      <c r="S828" s="35">
        <f>SUMIFS(DaybyDay[Service-LY],DaybyDay[Date],"&gt;="&amp;$C$5,DaybyDay[RowYear],"&gt;="&amp;$C$4,DaybyDay[Date],"&lt;="&amp;DaybyDay[[#This Row],[Date]])</f>
        <v>0</v>
      </c>
      <c r="T828" s="35">
        <f>SUMIFS(DaybyDay[Retail-LY],DaybyDay[Date],"&gt;="&amp;$C$5,DaybyDay[RowYear],"&gt;="&amp;$C$4,DaybyDay[Date],"&lt;="&amp;DaybyDay[[#This Row],[Date]])</f>
        <v>0</v>
      </c>
      <c r="U828" s="32">
        <f>DaybyDay[[#This Row],[Serv-Bud-RU]]+DaybyDay[[#This Row],[Ret-Bud-RU]]</f>
        <v>0</v>
      </c>
      <c r="V828" s="32">
        <f>DaybyDay[[#This Row],[Serv-Act-RU]]+DaybyDay[[#This Row],[Ret-Act-RU]]</f>
        <v>0</v>
      </c>
      <c r="W828" s="36">
        <f>IF(DaybyDay[[#This Row],[_Space]],IFERROR(
((DaybyDay[[#This Row],[Actual-Rollup]]-DaybyDay[[#This Row],[Budget-Rollup]])/DaybyDay[[#This Row],[Budget-Rollup]]),0),"")</f>
        <v>0</v>
      </c>
      <c r="X828" t="b">
        <f>NOT(AND(ISBLANK(DaybyDay[[#This Row],[Appts]]),ISBLANK(DaybyDay[[#This Row],[Service-Actuals]]),ISBLANK(DaybyDay[[#This Row],[Retail-Actuals]])))</f>
        <v>1</v>
      </c>
      <c r="Y828" s="36">
        <f>IF(DaybyDay[[#This Row],[_Space]],IFERROR(
((DaybyDay[[#This Row],[Actual-Rollup]]-DaybyDay[[#This Row],[LY-Rollup]])/DaybyDay[[#This Row],[LY-Rollup]]),0),"")</f>
        <v>0</v>
      </c>
      <c r="Z828"/>
      <c r="AA828" s="37" t="e">
        <f>IF(DaybyDay[[#This Row],[_Space]],DaybyDay[[#This Row],[Ret-Act-RU]]/DaybyDay[[#This Row],[Serv-Act-RU]],"")</f>
        <v>#DIV/0!</v>
      </c>
      <c r="AB828" s="50" t="e">
        <f>IF(DaybyDay[[#This Row],[_Space]],DaybyDay[[#This Row],[RETPEN-Act]]/DaybyDay[[#This Row],[RETPEN-Bud]],"")</f>
        <v>#DIV/0!</v>
      </c>
      <c r="AC828" s="37" t="e">
        <f>IF(DaybyDay[[#This Row],[_Space]],DaybyDay[[#This Row],[Ret-Bud-RU]]/DaybyDay[[#This Row],[Serv-Bud-RU]],"")</f>
        <v>#DIV/0!</v>
      </c>
      <c r="AD828" s="37" t="e">
        <f>IF(DaybyDay[[#This Row],[_Space]],DaybyDay[[#This Row],[Ret-LY-RU]]/DaybyDay[[#This Row],[Serv-LY-RU]],"")</f>
        <v>#DIV/0!</v>
      </c>
      <c r="AE828" s="30">
        <f>WEEKDAY(DaybyDay[[#This Row],[LY-Date]])</f>
        <v>3</v>
      </c>
      <c r="AF828" s="38">
        <f>$E$2+_xlfn.DAYS(DaybyDay[[#This Row],[Date]],minDate)</f>
        <v>43193</v>
      </c>
      <c r="AG828" s="39" cm="1">
        <f t="array" ref="AG828">IFERROR(INDEX(DaybyDay[],DaybyDay[[#This Row],[FORM_MATCH_HELPER]],8),"")</f>
        <v>27</v>
      </c>
      <c r="AH828" s="39" cm="1">
        <f t="array" ref="AH828">IFERROR(INDEX(DaybyDay[],DaybyDay[[#This Row],[FORM_MATCH_HELPER]],10),"")</f>
        <v>5715</v>
      </c>
      <c r="AI828" s="39" cm="1">
        <f t="array" ref="AI828">IFERROR(INDEX(DaybyDay[],DaybyDay[[#This Row],[FORM_MATCH_HELPER]],12),"")</f>
        <v>842</v>
      </c>
      <c r="AJ828" s="32">
        <f>IFERROR(DaybyDay[[#This Row],[Serv-LY-RU]]+DaybyDay[[#This Row],[Ret-LY-RU]],"")</f>
        <v>0</v>
      </c>
      <c r="AK8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8" s="77"/>
      <c r="AM828" s="40" t="str">
        <f>IF(DaybyDay[[#This Row],[Admin Hours]]&gt;0,DaybyDay[[#This Row],[Admin Hours]]*$AM$2+$AM$3,"")</f>
        <v/>
      </c>
      <c r="AN828" s="40">
        <f>SUMIFS(DaybyDay[Est-Admin-Payroll],DaybyDay[Date],"&gt;="&amp;$C$5,DaybyDay[RowYear],"&gt;="&amp;$C$4,DaybyDay[Date],"&lt;="&amp;DaybyDay[[#This Row],[Date]])</f>
        <v>0</v>
      </c>
      <c r="AO828" s="41" t="str">
        <f>IF(AND(DaybyDay[[#This Row],[_Space]],ISNUMBER(DaybyDay[[#This Row],[Admin Hours]])),DaybyDay[[#This Row],[Est-Admin-Payroll]]/(DaybyDay[[#This Row],[Service-Actuals]]+DaybyDay[[#This Row],[Retail-Actuals]]),"")</f>
        <v/>
      </c>
      <c r="AP828" s="41" t="e">
        <f>DaybyDay[[#This Row],[Estimated-Payroll-Rollup]]/DaybyDay[[#This Row],[Simple-Forecast]]</f>
        <v>#DIV/0!</v>
      </c>
      <c r="AQ8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8" s="77"/>
      <c r="AS828" s="40" t="str">
        <f>IF(DaybyDay[[#This Row],[Retail Hours]]&gt;0,DaybyDay[[#This Row],[Retail Hours]]*$AS$2,"")</f>
        <v/>
      </c>
      <c r="AT828" s="40">
        <f>SUMIFS(DaybyDay[Est-Retail-Payroll],DaybyDay[Date],"&gt;="&amp;$C$5,DaybyDay[RowYear],"&gt;="&amp;$C$4,DaybyDay[Date],"&lt;="&amp;DaybyDay[[#This Row],[Date]])</f>
        <v>0</v>
      </c>
      <c r="AU828" s="82" t="str">
        <f>IF(AND(DaybyDay[[#This Row],[_Space]],ISNUMBER(DaybyDay[[#This Row],[Retail Hours]])),DaybyDay[[#This Row],[Est-Retail-Payroll]]/(DaybyDay[[#This Row],[Retail-Actuals]]),"")</f>
        <v/>
      </c>
      <c r="AV828" s="82" t="e">
        <f>DaybyDay[[#This Row],[Est-Retail-PayrollRU]]/DaybyDay[[#This Row],[Simple-Forecast-Retail]]</f>
        <v>#DIV/0!</v>
      </c>
      <c r="AW828" s="8"/>
      <c r="AX828" s="49"/>
      <c r="AY828" s="48"/>
      <c r="AZ828" s="47"/>
      <c r="BA828" s="47"/>
      <c r="BB828" s="47"/>
      <c r="BC828" s="47"/>
      <c r="BD828" s="47"/>
    </row>
    <row r="829" spans="3:56" hidden="1" x14ac:dyDescent="0.25">
      <c r="C829" s="26" t="str">
        <f>Tools!$C$1</f>
        <v>Example</v>
      </c>
      <c r="D829" s="27" t="s">
        <v>70</v>
      </c>
      <c r="E829" s="28">
        <v>2019</v>
      </c>
      <c r="F829" s="28">
        <f>MATCH(DaybyDay[[#This Row],[RowMonth]],Table3[SummaryMonth],0)</f>
        <v>3</v>
      </c>
      <c r="G829" s="29">
        <f>MATCH(DaybyDay[[#This Row],[LY-Date]],DaybyDay[Date],0)</f>
        <v>459</v>
      </c>
      <c r="H829" s="30">
        <f>WEEKDAY(DaybyDay[[#This Row],[Date]])</f>
        <v>4</v>
      </c>
      <c r="I829" s="31">
        <v>43558</v>
      </c>
      <c r="J829" s="74">
        <v>24</v>
      </c>
      <c r="K829" s="32">
        <f>SUMIFS(BudgetSeasonality[365 Seasonality],BudgetSeasonality[MonthAdjustment],DaybyDay[[#This Row],[Date]])*SUMIFS(Budgets[Service-Budget],Budgets[BudgetMonth],DaybyDay[[#This Row],[RowMonth]],Budgets[BudgetYear],DaybyDay[[#This Row],[RowYear]])</f>
        <v>3994.3599929244874</v>
      </c>
      <c r="L829" s="75">
        <v>4335.6000000000004</v>
      </c>
      <c r="M829" s="32">
        <f>INDEX(BudgetSeasonality[365 Seasonality],MATCH(DaybyDay[[#This Row],[Date]],BudgetSeasonality[MonthAdjustment],0))*SUMIFS(Budgets[Retail-Budget],Budgets[BudgetMonth],DaybyDay[[#This Row],[RowMonth]],Budgets[BudgetYear],DaybyDay[[#This Row],[RowYear]])</f>
        <v>923.1800303318679</v>
      </c>
      <c r="N829" s="75">
        <v>486.5</v>
      </c>
      <c r="O829" s="33">
        <f>SUMIFS(DaybyDay[Service-Budgets],DaybyDay[Date],"&gt;="&amp;$C$5,DaybyDay[RowYear],"&gt;="&amp;$C$4,DaybyDay[Date],"&lt;="&amp;DaybyDay[[#This Row],[Date]])</f>
        <v>0</v>
      </c>
      <c r="P829" s="33">
        <f>SUMIFS(DaybyDay[Retail-Budgets],DaybyDay[Date],"&gt;="&amp;$C$5,DaybyDay[RowYear],"&gt;="&amp;$C$4,DaybyDay[Date],"&lt;="&amp;DaybyDay[[#This Row],[Date]])</f>
        <v>0</v>
      </c>
      <c r="Q829" s="34">
        <f>SUMIFS(DaybyDay[Service-Actuals],DaybyDay[Date],"&gt;="&amp;$C$5,DaybyDay[RowYear],"&gt;="&amp;$C$4,DaybyDay[Date],"&lt;="&amp;DaybyDay[[#This Row],[Date]])</f>
        <v>0</v>
      </c>
      <c r="R829" s="34">
        <f>SUMIFS(DaybyDay[Retail-Actuals],DaybyDay[Date],"&gt;="&amp;$C$5,DaybyDay[RowYear],"&gt;="&amp;$C$4,DaybyDay[Date],"&lt;="&amp;DaybyDay[[#This Row],[Date]])</f>
        <v>0</v>
      </c>
      <c r="S829" s="35">
        <f>SUMIFS(DaybyDay[Service-LY],DaybyDay[Date],"&gt;="&amp;$C$5,DaybyDay[RowYear],"&gt;="&amp;$C$4,DaybyDay[Date],"&lt;="&amp;DaybyDay[[#This Row],[Date]])</f>
        <v>0</v>
      </c>
      <c r="T829" s="35">
        <f>SUMIFS(DaybyDay[Retail-LY],DaybyDay[Date],"&gt;="&amp;$C$5,DaybyDay[RowYear],"&gt;="&amp;$C$4,DaybyDay[Date],"&lt;="&amp;DaybyDay[[#This Row],[Date]])</f>
        <v>0</v>
      </c>
      <c r="U829" s="32">
        <f>DaybyDay[[#This Row],[Serv-Bud-RU]]+DaybyDay[[#This Row],[Ret-Bud-RU]]</f>
        <v>0</v>
      </c>
      <c r="V829" s="32">
        <f>DaybyDay[[#This Row],[Serv-Act-RU]]+DaybyDay[[#This Row],[Ret-Act-RU]]</f>
        <v>0</v>
      </c>
      <c r="W829" s="36">
        <f>IF(DaybyDay[[#This Row],[_Space]],IFERROR(
((DaybyDay[[#This Row],[Actual-Rollup]]-DaybyDay[[#This Row],[Budget-Rollup]])/DaybyDay[[#This Row],[Budget-Rollup]]),0),"")</f>
        <v>0</v>
      </c>
      <c r="X829" t="b">
        <f>NOT(AND(ISBLANK(DaybyDay[[#This Row],[Appts]]),ISBLANK(DaybyDay[[#This Row],[Service-Actuals]]),ISBLANK(DaybyDay[[#This Row],[Retail-Actuals]])))</f>
        <v>1</v>
      </c>
      <c r="Y829" s="36">
        <f>IF(DaybyDay[[#This Row],[_Space]],IFERROR(
((DaybyDay[[#This Row],[Actual-Rollup]]-DaybyDay[[#This Row],[LY-Rollup]])/DaybyDay[[#This Row],[LY-Rollup]]),0),"")</f>
        <v>0</v>
      </c>
      <c r="Z829"/>
      <c r="AA829" s="37" t="e">
        <f>IF(DaybyDay[[#This Row],[_Space]],DaybyDay[[#This Row],[Ret-Act-RU]]/DaybyDay[[#This Row],[Serv-Act-RU]],"")</f>
        <v>#DIV/0!</v>
      </c>
      <c r="AB829" s="50" t="e">
        <f>IF(DaybyDay[[#This Row],[_Space]],DaybyDay[[#This Row],[RETPEN-Act]]/DaybyDay[[#This Row],[RETPEN-Bud]],"")</f>
        <v>#DIV/0!</v>
      </c>
      <c r="AC829" s="37" t="e">
        <f>IF(DaybyDay[[#This Row],[_Space]],DaybyDay[[#This Row],[Ret-Bud-RU]]/DaybyDay[[#This Row],[Serv-Bud-RU]],"")</f>
        <v>#DIV/0!</v>
      </c>
      <c r="AD829" s="37" t="e">
        <f>IF(DaybyDay[[#This Row],[_Space]],DaybyDay[[#This Row],[Ret-LY-RU]]/DaybyDay[[#This Row],[Serv-LY-RU]],"")</f>
        <v>#DIV/0!</v>
      </c>
      <c r="AE829" s="30">
        <f>WEEKDAY(DaybyDay[[#This Row],[LY-Date]])</f>
        <v>4</v>
      </c>
      <c r="AF829" s="38">
        <f>$E$2+_xlfn.DAYS(DaybyDay[[#This Row],[Date]],minDate)</f>
        <v>43194</v>
      </c>
      <c r="AG829" s="39" cm="1">
        <f t="array" ref="AG829">IFERROR(INDEX(DaybyDay[],DaybyDay[[#This Row],[FORM_MATCH_HELPER]],8),"")</f>
        <v>16</v>
      </c>
      <c r="AH829" s="39" cm="1">
        <f t="array" ref="AH829">IFERROR(INDEX(DaybyDay[],DaybyDay[[#This Row],[FORM_MATCH_HELPER]],10),"")</f>
        <v>3515</v>
      </c>
      <c r="AI829" s="39" cm="1">
        <f t="array" ref="AI829">IFERROR(INDEX(DaybyDay[],DaybyDay[[#This Row],[FORM_MATCH_HELPER]],12),"")</f>
        <v>916</v>
      </c>
      <c r="AJ829" s="32">
        <f>IFERROR(DaybyDay[[#This Row],[Serv-LY-RU]]+DaybyDay[[#This Row],[Ret-LY-RU]],"")</f>
        <v>0</v>
      </c>
      <c r="AK8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29" s="77"/>
      <c r="AM829" s="40" t="str">
        <f>IF(DaybyDay[[#This Row],[Admin Hours]]&gt;0,DaybyDay[[#This Row],[Admin Hours]]*$AM$2+$AM$3,"")</f>
        <v/>
      </c>
      <c r="AN829" s="40">
        <f>SUMIFS(DaybyDay[Est-Admin-Payroll],DaybyDay[Date],"&gt;="&amp;$C$5,DaybyDay[RowYear],"&gt;="&amp;$C$4,DaybyDay[Date],"&lt;="&amp;DaybyDay[[#This Row],[Date]])</f>
        <v>0</v>
      </c>
      <c r="AO829" s="41" t="str">
        <f>IF(AND(DaybyDay[[#This Row],[_Space]],ISNUMBER(DaybyDay[[#This Row],[Admin Hours]])),DaybyDay[[#This Row],[Est-Admin-Payroll]]/(DaybyDay[[#This Row],[Service-Actuals]]+DaybyDay[[#This Row],[Retail-Actuals]]),"")</f>
        <v/>
      </c>
      <c r="AP829" s="41" t="e">
        <f>DaybyDay[[#This Row],[Estimated-Payroll-Rollup]]/DaybyDay[[#This Row],[Simple-Forecast]]</f>
        <v>#DIV/0!</v>
      </c>
      <c r="AQ8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29" s="77"/>
      <c r="AS829" s="40" t="str">
        <f>IF(DaybyDay[[#This Row],[Retail Hours]]&gt;0,DaybyDay[[#This Row],[Retail Hours]]*$AS$2,"")</f>
        <v/>
      </c>
      <c r="AT829" s="40">
        <f>SUMIFS(DaybyDay[Est-Retail-Payroll],DaybyDay[Date],"&gt;="&amp;$C$5,DaybyDay[RowYear],"&gt;="&amp;$C$4,DaybyDay[Date],"&lt;="&amp;DaybyDay[[#This Row],[Date]])</f>
        <v>0</v>
      </c>
      <c r="AU829" s="82" t="str">
        <f>IF(AND(DaybyDay[[#This Row],[_Space]],ISNUMBER(DaybyDay[[#This Row],[Retail Hours]])),DaybyDay[[#This Row],[Est-Retail-Payroll]]/(DaybyDay[[#This Row],[Retail-Actuals]]),"")</f>
        <v/>
      </c>
      <c r="AV829" s="82" t="e">
        <f>DaybyDay[[#This Row],[Est-Retail-PayrollRU]]/DaybyDay[[#This Row],[Simple-Forecast-Retail]]</f>
        <v>#DIV/0!</v>
      </c>
      <c r="AW829" s="8"/>
      <c r="AX829" s="49"/>
      <c r="AY829" s="48"/>
      <c r="AZ829" s="47"/>
      <c r="BA829" s="47"/>
      <c r="BB829" s="47"/>
      <c r="BC829" s="47"/>
      <c r="BD829" s="47"/>
    </row>
    <row r="830" spans="3:56" hidden="1" x14ac:dyDescent="0.25">
      <c r="C830" s="26" t="str">
        <f>Tools!$C$1</f>
        <v>Example</v>
      </c>
      <c r="D830" s="27" t="s">
        <v>70</v>
      </c>
      <c r="E830" s="28">
        <v>2019</v>
      </c>
      <c r="F830" s="28">
        <f>MATCH(DaybyDay[[#This Row],[RowMonth]],Table3[SummaryMonth],0)</f>
        <v>3</v>
      </c>
      <c r="G830" s="29">
        <f>MATCH(DaybyDay[[#This Row],[LY-Date]],DaybyDay[Date],0)</f>
        <v>460</v>
      </c>
      <c r="H830" s="30">
        <f>WEEKDAY(DaybyDay[[#This Row],[Date]])</f>
        <v>5</v>
      </c>
      <c r="I830" s="31">
        <v>43559</v>
      </c>
      <c r="J830" s="74">
        <v>28</v>
      </c>
      <c r="K830" s="32">
        <f>SUMIFS(BudgetSeasonality[365 Seasonality],BudgetSeasonality[MonthAdjustment],DaybyDay[[#This Row],[Date]])*SUMIFS(Budgets[Service-Budget],Budgets[BudgetMonth],DaybyDay[[#This Row],[RowMonth]],Budgets[BudgetYear],DaybyDay[[#This Row],[RowYear]])</f>
        <v>4008.4055839473176</v>
      </c>
      <c r="L830" s="75">
        <v>5857.5</v>
      </c>
      <c r="M830" s="32">
        <f>INDEX(BudgetSeasonality[365 Seasonality],MATCH(DaybyDay[[#This Row],[Date]],BudgetSeasonality[MonthAdjustment],0))*SUMIFS(Budgets[Retail-Budget],Budgets[BudgetMonth],DaybyDay[[#This Row],[RowMonth]],Budgets[BudgetYear],DaybyDay[[#This Row],[RowYear]])</f>
        <v>926.42625980779246</v>
      </c>
      <c r="N830" s="75">
        <v>1187</v>
      </c>
      <c r="O830" s="33">
        <f>SUMIFS(DaybyDay[Service-Budgets],DaybyDay[Date],"&gt;="&amp;$C$5,DaybyDay[RowYear],"&gt;="&amp;$C$4,DaybyDay[Date],"&lt;="&amp;DaybyDay[[#This Row],[Date]])</f>
        <v>0</v>
      </c>
      <c r="P830" s="33">
        <f>SUMIFS(DaybyDay[Retail-Budgets],DaybyDay[Date],"&gt;="&amp;$C$5,DaybyDay[RowYear],"&gt;="&amp;$C$4,DaybyDay[Date],"&lt;="&amp;DaybyDay[[#This Row],[Date]])</f>
        <v>0</v>
      </c>
      <c r="Q830" s="34">
        <f>SUMIFS(DaybyDay[Service-Actuals],DaybyDay[Date],"&gt;="&amp;$C$5,DaybyDay[RowYear],"&gt;="&amp;$C$4,DaybyDay[Date],"&lt;="&amp;DaybyDay[[#This Row],[Date]])</f>
        <v>0</v>
      </c>
      <c r="R830" s="34">
        <f>SUMIFS(DaybyDay[Retail-Actuals],DaybyDay[Date],"&gt;="&amp;$C$5,DaybyDay[RowYear],"&gt;="&amp;$C$4,DaybyDay[Date],"&lt;="&amp;DaybyDay[[#This Row],[Date]])</f>
        <v>0</v>
      </c>
      <c r="S830" s="35">
        <f>SUMIFS(DaybyDay[Service-LY],DaybyDay[Date],"&gt;="&amp;$C$5,DaybyDay[RowYear],"&gt;="&amp;$C$4,DaybyDay[Date],"&lt;="&amp;DaybyDay[[#This Row],[Date]])</f>
        <v>0</v>
      </c>
      <c r="T830" s="35">
        <f>SUMIFS(DaybyDay[Retail-LY],DaybyDay[Date],"&gt;="&amp;$C$5,DaybyDay[RowYear],"&gt;="&amp;$C$4,DaybyDay[Date],"&lt;="&amp;DaybyDay[[#This Row],[Date]])</f>
        <v>0</v>
      </c>
      <c r="U830" s="32">
        <f>DaybyDay[[#This Row],[Serv-Bud-RU]]+DaybyDay[[#This Row],[Ret-Bud-RU]]</f>
        <v>0</v>
      </c>
      <c r="V830" s="32">
        <f>DaybyDay[[#This Row],[Serv-Act-RU]]+DaybyDay[[#This Row],[Ret-Act-RU]]</f>
        <v>0</v>
      </c>
      <c r="W830" s="36">
        <f>IF(DaybyDay[[#This Row],[_Space]],IFERROR(
((DaybyDay[[#This Row],[Actual-Rollup]]-DaybyDay[[#This Row],[Budget-Rollup]])/DaybyDay[[#This Row],[Budget-Rollup]]),0),"")</f>
        <v>0</v>
      </c>
      <c r="X830" t="b">
        <f>NOT(AND(ISBLANK(DaybyDay[[#This Row],[Appts]]),ISBLANK(DaybyDay[[#This Row],[Service-Actuals]]),ISBLANK(DaybyDay[[#This Row],[Retail-Actuals]])))</f>
        <v>1</v>
      </c>
      <c r="Y830" s="36">
        <f>IF(DaybyDay[[#This Row],[_Space]],IFERROR(
((DaybyDay[[#This Row],[Actual-Rollup]]-DaybyDay[[#This Row],[LY-Rollup]])/DaybyDay[[#This Row],[LY-Rollup]]),0),"")</f>
        <v>0</v>
      </c>
      <c r="Z830"/>
      <c r="AA830" s="37" t="e">
        <f>IF(DaybyDay[[#This Row],[_Space]],DaybyDay[[#This Row],[Ret-Act-RU]]/DaybyDay[[#This Row],[Serv-Act-RU]],"")</f>
        <v>#DIV/0!</v>
      </c>
      <c r="AB830" s="50" t="e">
        <f>IF(DaybyDay[[#This Row],[_Space]],DaybyDay[[#This Row],[RETPEN-Act]]/DaybyDay[[#This Row],[RETPEN-Bud]],"")</f>
        <v>#DIV/0!</v>
      </c>
      <c r="AC830" s="37" t="e">
        <f>IF(DaybyDay[[#This Row],[_Space]],DaybyDay[[#This Row],[Ret-Bud-RU]]/DaybyDay[[#This Row],[Serv-Bud-RU]],"")</f>
        <v>#DIV/0!</v>
      </c>
      <c r="AD830" s="37" t="e">
        <f>IF(DaybyDay[[#This Row],[_Space]],DaybyDay[[#This Row],[Ret-LY-RU]]/DaybyDay[[#This Row],[Serv-LY-RU]],"")</f>
        <v>#DIV/0!</v>
      </c>
      <c r="AE830" s="30">
        <f>WEEKDAY(DaybyDay[[#This Row],[LY-Date]])</f>
        <v>5</v>
      </c>
      <c r="AF830" s="38">
        <f>$E$2+_xlfn.DAYS(DaybyDay[[#This Row],[Date]],minDate)</f>
        <v>43195</v>
      </c>
      <c r="AG830" s="39" cm="1">
        <f t="array" ref="AG830">IFERROR(INDEX(DaybyDay[],DaybyDay[[#This Row],[FORM_MATCH_HELPER]],8),"")</f>
        <v>16</v>
      </c>
      <c r="AH830" s="39" cm="1">
        <f t="array" ref="AH830">IFERROR(INDEX(DaybyDay[],DaybyDay[[#This Row],[FORM_MATCH_HELPER]],10),"")</f>
        <v>3276</v>
      </c>
      <c r="AI830" s="39" cm="1">
        <f t="array" ref="AI830">IFERROR(INDEX(DaybyDay[],DaybyDay[[#This Row],[FORM_MATCH_HELPER]],12),"")</f>
        <v>0</v>
      </c>
      <c r="AJ830" s="32">
        <f>IFERROR(DaybyDay[[#This Row],[Serv-LY-RU]]+DaybyDay[[#This Row],[Ret-LY-RU]],"")</f>
        <v>0</v>
      </c>
      <c r="AK8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0" s="77"/>
      <c r="AM830" s="40" t="str">
        <f>IF(DaybyDay[[#This Row],[Admin Hours]]&gt;0,DaybyDay[[#This Row],[Admin Hours]]*$AM$2+$AM$3,"")</f>
        <v/>
      </c>
      <c r="AN830" s="40">
        <f>SUMIFS(DaybyDay[Est-Admin-Payroll],DaybyDay[Date],"&gt;="&amp;$C$5,DaybyDay[RowYear],"&gt;="&amp;$C$4,DaybyDay[Date],"&lt;="&amp;DaybyDay[[#This Row],[Date]])</f>
        <v>0</v>
      </c>
      <c r="AO830" s="41" t="str">
        <f>IF(AND(DaybyDay[[#This Row],[_Space]],ISNUMBER(DaybyDay[[#This Row],[Admin Hours]])),DaybyDay[[#This Row],[Est-Admin-Payroll]]/(DaybyDay[[#This Row],[Service-Actuals]]+DaybyDay[[#This Row],[Retail-Actuals]]),"")</f>
        <v/>
      </c>
      <c r="AP830" s="41" t="e">
        <f>DaybyDay[[#This Row],[Estimated-Payroll-Rollup]]/DaybyDay[[#This Row],[Simple-Forecast]]</f>
        <v>#DIV/0!</v>
      </c>
      <c r="AQ8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0" s="77"/>
      <c r="AS830" s="40" t="str">
        <f>IF(DaybyDay[[#This Row],[Retail Hours]]&gt;0,DaybyDay[[#This Row],[Retail Hours]]*$AS$2,"")</f>
        <v/>
      </c>
      <c r="AT830" s="40">
        <f>SUMIFS(DaybyDay[Est-Retail-Payroll],DaybyDay[Date],"&gt;="&amp;$C$5,DaybyDay[RowYear],"&gt;="&amp;$C$4,DaybyDay[Date],"&lt;="&amp;DaybyDay[[#This Row],[Date]])</f>
        <v>0</v>
      </c>
      <c r="AU830" s="82" t="str">
        <f>IF(AND(DaybyDay[[#This Row],[_Space]],ISNUMBER(DaybyDay[[#This Row],[Retail Hours]])),DaybyDay[[#This Row],[Est-Retail-Payroll]]/(DaybyDay[[#This Row],[Retail-Actuals]]),"")</f>
        <v/>
      </c>
      <c r="AV830" s="82" t="e">
        <f>DaybyDay[[#This Row],[Est-Retail-PayrollRU]]/DaybyDay[[#This Row],[Simple-Forecast-Retail]]</f>
        <v>#DIV/0!</v>
      </c>
      <c r="AW830" s="8"/>
      <c r="AX830" s="49"/>
      <c r="AY830" s="48"/>
      <c r="AZ830" s="47"/>
      <c r="BA830" s="47"/>
      <c r="BB830" s="47"/>
      <c r="BC830" s="47"/>
      <c r="BD830" s="47"/>
    </row>
    <row r="831" spans="3:56" hidden="1" x14ac:dyDescent="0.25">
      <c r="C831" s="26" t="str">
        <f>Tools!$C$1</f>
        <v>Example</v>
      </c>
      <c r="D831" s="27" t="s">
        <v>70</v>
      </c>
      <c r="E831" s="28">
        <v>2019</v>
      </c>
      <c r="F831" s="28">
        <f>MATCH(DaybyDay[[#This Row],[RowMonth]],Table3[SummaryMonth],0)</f>
        <v>3</v>
      </c>
      <c r="G831" s="29">
        <f>MATCH(DaybyDay[[#This Row],[LY-Date]],DaybyDay[Date],0)</f>
        <v>461</v>
      </c>
      <c r="H831" s="30">
        <f>WEEKDAY(DaybyDay[[#This Row],[Date]])</f>
        <v>6</v>
      </c>
      <c r="I831" s="31">
        <v>43560</v>
      </c>
      <c r="J831" s="74">
        <v>40</v>
      </c>
      <c r="K831" s="32">
        <f>SUMIFS(BudgetSeasonality[365 Seasonality],BudgetSeasonality[MonthAdjustment],DaybyDay[[#This Row],[Date]])*SUMIFS(Budgets[Service-Budget],Budgets[BudgetMonth],DaybyDay[[#This Row],[RowMonth]],Budgets[BudgetYear],DaybyDay[[#This Row],[RowYear]])</f>
        <v>4704.686300026844</v>
      </c>
      <c r="L831" s="75">
        <v>7050.1</v>
      </c>
      <c r="M831" s="32">
        <f>INDEX(BudgetSeasonality[365 Seasonality],MATCH(DaybyDay[[#This Row],[Date]],BudgetSeasonality[MonthAdjustment],0))*SUMIFS(Budgets[Retail-Budget],Budgets[BudgetMonth],DaybyDay[[#This Row],[RowMonth]],Budgets[BudgetYear],DaybyDay[[#This Row],[RowYear]])</f>
        <v>1087.351277514864</v>
      </c>
      <c r="N831" s="75">
        <v>443</v>
      </c>
      <c r="O831" s="33">
        <f>SUMIFS(DaybyDay[Service-Budgets],DaybyDay[Date],"&gt;="&amp;$C$5,DaybyDay[RowYear],"&gt;="&amp;$C$4,DaybyDay[Date],"&lt;="&amp;DaybyDay[[#This Row],[Date]])</f>
        <v>0</v>
      </c>
      <c r="P831" s="33">
        <f>SUMIFS(DaybyDay[Retail-Budgets],DaybyDay[Date],"&gt;="&amp;$C$5,DaybyDay[RowYear],"&gt;="&amp;$C$4,DaybyDay[Date],"&lt;="&amp;DaybyDay[[#This Row],[Date]])</f>
        <v>0</v>
      </c>
      <c r="Q831" s="34">
        <f>SUMIFS(DaybyDay[Service-Actuals],DaybyDay[Date],"&gt;="&amp;$C$5,DaybyDay[RowYear],"&gt;="&amp;$C$4,DaybyDay[Date],"&lt;="&amp;DaybyDay[[#This Row],[Date]])</f>
        <v>0</v>
      </c>
      <c r="R831" s="34">
        <f>SUMIFS(DaybyDay[Retail-Actuals],DaybyDay[Date],"&gt;="&amp;$C$5,DaybyDay[RowYear],"&gt;="&amp;$C$4,DaybyDay[Date],"&lt;="&amp;DaybyDay[[#This Row],[Date]])</f>
        <v>0</v>
      </c>
      <c r="S831" s="35">
        <f>SUMIFS(DaybyDay[Service-LY],DaybyDay[Date],"&gt;="&amp;$C$5,DaybyDay[RowYear],"&gt;="&amp;$C$4,DaybyDay[Date],"&lt;="&amp;DaybyDay[[#This Row],[Date]])</f>
        <v>0</v>
      </c>
      <c r="T831" s="35">
        <f>SUMIFS(DaybyDay[Retail-LY],DaybyDay[Date],"&gt;="&amp;$C$5,DaybyDay[RowYear],"&gt;="&amp;$C$4,DaybyDay[Date],"&lt;="&amp;DaybyDay[[#This Row],[Date]])</f>
        <v>0</v>
      </c>
      <c r="U831" s="32">
        <f>DaybyDay[[#This Row],[Serv-Bud-RU]]+DaybyDay[[#This Row],[Ret-Bud-RU]]</f>
        <v>0</v>
      </c>
      <c r="V831" s="32">
        <f>DaybyDay[[#This Row],[Serv-Act-RU]]+DaybyDay[[#This Row],[Ret-Act-RU]]</f>
        <v>0</v>
      </c>
      <c r="W831" s="36">
        <f>IF(DaybyDay[[#This Row],[_Space]],IFERROR(
((DaybyDay[[#This Row],[Actual-Rollup]]-DaybyDay[[#This Row],[Budget-Rollup]])/DaybyDay[[#This Row],[Budget-Rollup]]),0),"")</f>
        <v>0</v>
      </c>
      <c r="X831" t="b">
        <f>NOT(AND(ISBLANK(DaybyDay[[#This Row],[Appts]]),ISBLANK(DaybyDay[[#This Row],[Service-Actuals]]),ISBLANK(DaybyDay[[#This Row],[Retail-Actuals]])))</f>
        <v>1</v>
      </c>
      <c r="Y831" s="36">
        <f>IF(DaybyDay[[#This Row],[_Space]],IFERROR(
((DaybyDay[[#This Row],[Actual-Rollup]]-DaybyDay[[#This Row],[LY-Rollup]])/DaybyDay[[#This Row],[LY-Rollup]]),0),"")</f>
        <v>0</v>
      </c>
      <c r="Z831"/>
      <c r="AA831" s="37" t="e">
        <f>IF(DaybyDay[[#This Row],[_Space]],DaybyDay[[#This Row],[Ret-Act-RU]]/DaybyDay[[#This Row],[Serv-Act-RU]],"")</f>
        <v>#DIV/0!</v>
      </c>
      <c r="AB831" s="50" t="e">
        <f>IF(DaybyDay[[#This Row],[_Space]],DaybyDay[[#This Row],[RETPEN-Act]]/DaybyDay[[#This Row],[RETPEN-Bud]],"")</f>
        <v>#DIV/0!</v>
      </c>
      <c r="AC831" s="37" t="e">
        <f>IF(DaybyDay[[#This Row],[_Space]],DaybyDay[[#This Row],[Ret-Bud-RU]]/DaybyDay[[#This Row],[Serv-Bud-RU]],"")</f>
        <v>#DIV/0!</v>
      </c>
      <c r="AD831" s="37" t="e">
        <f>IF(DaybyDay[[#This Row],[_Space]],DaybyDay[[#This Row],[Ret-LY-RU]]/DaybyDay[[#This Row],[Serv-LY-RU]],"")</f>
        <v>#DIV/0!</v>
      </c>
      <c r="AE831" s="30">
        <f>WEEKDAY(DaybyDay[[#This Row],[LY-Date]])</f>
        <v>6</v>
      </c>
      <c r="AF831" s="38">
        <f>$E$2+_xlfn.DAYS(DaybyDay[[#This Row],[Date]],minDate)</f>
        <v>43196</v>
      </c>
      <c r="AG831" s="39" cm="1">
        <f t="array" ref="AG831">IFERROR(INDEX(DaybyDay[],DaybyDay[[#This Row],[FORM_MATCH_HELPER]],8),"")</f>
        <v>19</v>
      </c>
      <c r="AH831" s="39" cm="1">
        <f t="array" ref="AH831">IFERROR(INDEX(DaybyDay[],DaybyDay[[#This Row],[FORM_MATCH_HELPER]],10),"")</f>
        <v>4448</v>
      </c>
      <c r="AI831" s="39" cm="1">
        <f t="array" ref="AI831">IFERROR(INDEX(DaybyDay[],DaybyDay[[#This Row],[FORM_MATCH_HELPER]],12),"")</f>
        <v>106</v>
      </c>
      <c r="AJ831" s="32">
        <f>IFERROR(DaybyDay[[#This Row],[Serv-LY-RU]]+DaybyDay[[#This Row],[Ret-LY-RU]],"")</f>
        <v>0</v>
      </c>
      <c r="AK8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1" s="77"/>
      <c r="AM831" s="40" t="str">
        <f>IF(DaybyDay[[#This Row],[Admin Hours]]&gt;0,DaybyDay[[#This Row],[Admin Hours]]*$AM$2+$AM$3,"")</f>
        <v/>
      </c>
      <c r="AN831" s="40">
        <f>SUMIFS(DaybyDay[Est-Admin-Payroll],DaybyDay[Date],"&gt;="&amp;$C$5,DaybyDay[RowYear],"&gt;="&amp;$C$4,DaybyDay[Date],"&lt;="&amp;DaybyDay[[#This Row],[Date]])</f>
        <v>0</v>
      </c>
      <c r="AO831" s="41" t="str">
        <f>IF(AND(DaybyDay[[#This Row],[_Space]],ISNUMBER(DaybyDay[[#This Row],[Admin Hours]])),DaybyDay[[#This Row],[Est-Admin-Payroll]]/(DaybyDay[[#This Row],[Service-Actuals]]+DaybyDay[[#This Row],[Retail-Actuals]]),"")</f>
        <v/>
      </c>
      <c r="AP831" s="41" t="e">
        <f>DaybyDay[[#This Row],[Estimated-Payroll-Rollup]]/DaybyDay[[#This Row],[Simple-Forecast]]</f>
        <v>#DIV/0!</v>
      </c>
      <c r="AQ8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1" s="77"/>
      <c r="AS831" s="40" t="str">
        <f>IF(DaybyDay[[#This Row],[Retail Hours]]&gt;0,DaybyDay[[#This Row],[Retail Hours]]*$AS$2,"")</f>
        <v/>
      </c>
      <c r="AT831" s="40">
        <f>SUMIFS(DaybyDay[Est-Retail-Payroll],DaybyDay[Date],"&gt;="&amp;$C$5,DaybyDay[RowYear],"&gt;="&amp;$C$4,DaybyDay[Date],"&lt;="&amp;DaybyDay[[#This Row],[Date]])</f>
        <v>0</v>
      </c>
      <c r="AU831" s="82" t="str">
        <f>IF(AND(DaybyDay[[#This Row],[_Space]],ISNUMBER(DaybyDay[[#This Row],[Retail Hours]])),DaybyDay[[#This Row],[Est-Retail-Payroll]]/(DaybyDay[[#This Row],[Retail-Actuals]]),"")</f>
        <v/>
      </c>
      <c r="AV831" s="82" t="e">
        <f>DaybyDay[[#This Row],[Est-Retail-PayrollRU]]/DaybyDay[[#This Row],[Simple-Forecast-Retail]]</f>
        <v>#DIV/0!</v>
      </c>
      <c r="AW831" s="8"/>
      <c r="AX831" s="49"/>
      <c r="AY831" s="48"/>
      <c r="AZ831" s="47"/>
      <c r="BA831" s="47"/>
      <c r="BB831" s="47"/>
      <c r="BC831" s="47"/>
      <c r="BD831" s="47"/>
    </row>
    <row r="832" spans="3:56" hidden="1" x14ac:dyDescent="0.25">
      <c r="C832" s="26" t="str">
        <f>Tools!$C$1</f>
        <v>Example</v>
      </c>
      <c r="D832" s="27" t="s">
        <v>70</v>
      </c>
      <c r="E832" s="28">
        <v>2019</v>
      </c>
      <c r="F832" s="28">
        <f>MATCH(DaybyDay[[#This Row],[RowMonth]],Table3[SummaryMonth],0)</f>
        <v>3</v>
      </c>
      <c r="G832" s="29">
        <f>MATCH(DaybyDay[[#This Row],[LY-Date]],DaybyDay[Date],0)</f>
        <v>462</v>
      </c>
      <c r="H832" s="30">
        <f>WEEKDAY(DaybyDay[[#This Row],[Date]])</f>
        <v>7</v>
      </c>
      <c r="I832" s="31">
        <v>43561</v>
      </c>
      <c r="J832" s="74">
        <v>38</v>
      </c>
      <c r="K832" s="32">
        <f>SUMIFS(BudgetSeasonality[365 Seasonality],BudgetSeasonality[MonthAdjustment],DaybyDay[[#This Row],[Date]])*SUMIFS(Budgets[Service-Budget],Budgets[BudgetMonth],DaybyDay[[#This Row],[RowMonth]],Budgets[BudgetYear],DaybyDay[[#This Row],[RowYear]])</f>
        <v>6262.7627271755109</v>
      </c>
      <c r="L832" s="75">
        <v>8872.39</v>
      </c>
      <c r="M832" s="32">
        <f>INDEX(BudgetSeasonality[365 Seasonality],MATCH(DaybyDay[[#This Row],[Date]],BudgetSeasonality[MonthAdjustment],0))*SUMIFS(Budgets[Retail-Budget],Budgets[BudgetMonth],DaybyDay[[#This Row],[RowMonth]],Budgets[BudgetYear],DaybyDay[[#This Row],[RowYear]])</f>
        <v>1447.4552856218941</v>
      </c>
      <c r="N832" s="75">
        <v>2577.5</v>
      </c>
      <c r="O832" s="33">
        <f>SUMIFS(DaybyDay[Service-Budgets],DaybyDay[Date],"&gt;="&amp;$C$5,DaybyDay[RowYear],"&gt;="&amp;$C$4,DaybyDay[Date],"&lt;="&amp;DaybyDay[[#This Row],[Date]])</f>
        <v>0</v>
      </c>
      <c r="P832" s="33">
        <f>SUMIFS(DaybyDay[Retail-Budgets],DaybyDay[Date],"&gt;="&amp;$C$5,DaybyDay[RowYear],"&gt;="&amp;$C$4,DaybyDay[Date],"&lt;="&amp;DaybyDay[[#This Row],[Date]])</f>
        <v>0</v>
      </c>
      <c r="Q832" s="34">
        <f>SUMIFS(DaybyDay[Service-Actuals],DaybyDay[Date],"&gt;="&amp;$C$5,DaybyDay[RowYear],"&gt;="&amp;$C$4,DaybyDay[Date],"&lt;="&amp;DaybyDay[[#This Row],[Date]])</f>
        <v>0</v>
      </c>
      <c r="R832" s="34">
        <f>SUMIFS(DaybyDay[Retail-Actuals],DaybyDay[Date],"&gt;="&amp;$C$5,DaybyDay[RowYear],"&gt;="&amp;$C$4,DaybyDay[Date],"&lt;="&amp;DaybyDay[[#This Row],[Date]])</f>
        <v>0</v>
      </c>
      <c r="S832" s="35">
        <f>SUMIFS(DaybyDay[Service-LY],DaybyDay[Date],"&gt;="&amp;$C$5,DaybyDay[RowYear],"&gt;="&amp;$C$4,DaybyDay[Date],"&lt;="&amp;DaybyDay[[#This Row],[Date]])</f>
        <v>0</v>
      </c>
      <c r="T832" s="35">
        <f>SUMIFS(DaybyDay[Retail-LY],DaybyDay[Date],"&gt;="&amp;$C$5,DaybyDay[RowYear],"&gt;="&amp;$C$4,DaybyDay[Date],"&lt;="&amp;DaybyDay[[#This Row],[Date]])</f>
        <v>0</v>
      </c>
      <c r="U832" s="32">
        <f>DaybyDay[[#This Row],[Serv-Bud-RU]]+DaybyDay[[#This Row],[Ret-Bud-RU]]</f>
        <v>0</v>
      </c>
      <c r="V832" s="32">
        <f>DaybyDay[[#This Row],[Serv-Act-RU]]+DaybyDay[[#This Row],[Ret-Act-RU]]</f>
        <v>0</v>
      </c>
      <c r="W832" s="36">
        <f>IF(DaybyDay[[#This Row],[_Space]],IFERROR(
((DaybyDay[[#This Row],[Actual-Rollup]]-DaybyDay[[#This Row],[Budget-Rollup]])/DaybyDay[[#This Row],[Budget-Rollup]]),0),"")</f>
        <v>0</v>
      </c>
      <c r="X832" t="b">
        <f>NOT(AND(ISBLANK(DaybyDay[[#This Row],[Appts]]),ISBLANK(DaybyDay[[#This Row],[Service-Actuals]]),ISBLANK(DaybyDay[[#This Row],[Retail-Actuals]])))</f>
        <v>1</v>
      </c>
      <c r="Y832" s="36">
        <f>IF(DaybyDay[[#This Row],[_Space]],IFERROR(
((DaybyDay[[#This Row],[Actual-Rollup]]-DaybyDay[[#This Row],[LY-Rollup]])/DaybyDay[[#This Row],[LY-Rollup]]),0),"")</f>
        <v>0</v>
      </c>
      <c r="Z832"/>
      <c r="AA832" s="37" t="e">
        <f>IF(DaybyDay[[#This Row],[_Space]],DaybyDay[[#This Row],[Ret-Act-RU]]/DaybyDay[[#This Row],[Serv-Act-RU]],"")</f>
        <v>#DIV/0!</v>
      </c>
      <c r="AB832" s="50" t="e">
        <f>IF(DaybyDay[[#This Row],[_Space]],DaybyDay[[#This Row],[RETPEN-Act]]/DaybyDay[[#This Row],[RETPEN-Bud]],"")</f>
        <v>#DIV/0!</v>
      </c>
      <c r="AC832" s="37" t="e">
        <f>IF(DaybyDay[[#This Row],[_Space]],DaybyDay[[#This Row],[Ret-Bud-RU]]/DaybyDay[[#This Row],[Serv-Bud-RU]],"")</f>
        <v>#DIV/0!</v>
      </c>
      <c r="AD832" s="37" t="e">
        <f>IF(DaybyDay[[#This Row],[_Space]],DaybyDay[[#This Row],[Ret-LY-RU]]/DaybyDay[[#This Row],[Serv-LY-RU]],"")</f>
        <v>#DIV/0!</v>
      </c>
      <c r="AE832" s="30">
        <f>WEEKDAY(DaybyDay[[#This Row],[LY-Date]])</f>
        <v>7</v>
      </c>
      <c r="AF832" s="38">
        <f>$E$2+_xlfn.DAYS(DaybyDay[[#This Row],[Date]],minDate)</f>
        <v>43197</v>
      </c>
      <c r="AG832" s="39" cm="1">
        <f t="array" ref="AG832">IFERROR(INDEX(DaybyDay[],DaybyDay[[#This Row],[FORM_MATCH_HELPER]],8),"")</f>
        <v>31</v>
      </c>
      <c r="AH832" s="39" cm="1">
        <f t="array" ref="AH832">IFERROR(INDEX(DaybyDay[],DaybyDay[[#This Row],[FORM_MATCH_HELPER]],10),"")</f>
        <v>7063.56</v>
      </c>
      <c r="AI832" s="39" cm="1">
        <f t="array" ref="AI832">IFERROR(INDEX(DaybyDay[],DaybyDay[[#This Row],[FORM_MATCH_HELPER]],12),"")</f>
        <v>1203</v>
      </c>
      <c r="AJ832" s="32">
        <f>IFERROR(DaybyDay[[#This Row],[Serv-LY-RU]]+DaybyDay[[#This Row],[Ret-LY-RU]],"")</f>
        <v>0</v>
      </c>
      <c r="AK8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2" s="77"/>
      <c r="AM832" s="40" t="str">
        <f>IF(DaybyDay[[#This Row],[Admin Hours]]&gt;0,DaybyDay[[#This Row],[Admin Hours]]*$AM$2+$AM$3,"")</f>
        <v/>
      </c>
      <c r="AN832" s="40">
        <f>SUMIFS(DaybyDay[Est-Admin-Payroll],DaybyDay[Date],"&gt;="&amp;$C$5,DaybyDay[RowYear],"&gt;="&amp;$C$4,DaybyDay[Date],"&lt;="&amp;DaybyDay[[#This Row],[Date]])</f>
        <v>0</v>
      </c>
      <c r="AO832" s="41" t="str">
        <f>IF(AND(DaybyDay[[#This Row],[_Space]],ISNUMBER(DaybyDay[[#This Row],[Admin Hours]])),DaybyDay[[#This Row],[Est-Admin-Payroll]]/(DaybyDay[[#This Row],[Service-Actuals]]+DaybyDay[[#This Row],[Retail-Actuals]]),"")</f>
        <v/>
      </c>
      <c r="AP832" s="41" t="e">
        <f>DaybyDay[[#This Row],[Estimated-Payroll-Rollup]]/DaybyDay[[#This Row],[Simple-Forecast]]</f>
        <v>#DIV/0!</v>
      </c>
      <c r="AQ8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2" s="77"/>
      <c r="AS832" s="40" t="str">
        <f>IF(DaybyDay[[#This Row],[Retail Hours]]&gt;0,DaybyDay[[#This Row],[Retail Hours]]*$AS$2,"")</f>
        <v/>
      </c>
      <c r="AT832" s="40">
        <f>SUMIFS(DaybyDay[Est-Retail-Payroll],DaybyDay[Date],"&gt;="&amp;$C$5,DaybyDay[RowYear],"&gt;="&amp;$C$4,DaybyDay[Date],"&lt;="&amp;DaybyDay[[#This Row],[Date]])</f>
        <v>0</v>
      </c>
      <c r="AU832" s="82" t="str">
        <f>IF(AND(DaybyDay[[#This Row],[_Space]],ISNUMBER(DaybyDay[[#This Row],[Retail Hours]])),DaybyDay[[#This Row],[Est-Retail-Payroll]]/(DaybyDay[[#This Row],[Retail-Actuals]]),"")</f>
        <v/>
      </c>
      <c r="AV832" s="82" t="e">
        <f>DaybyDay[[#This Row],[Est-Retail-PayrollRU]]/DaybyDay[[#This Row],[Simple-Forecast-Retail]]</f>
        <v>#DIV/0!</v>
      </c>
      <c r="AW832" s="8"/>
      <c r="AX832" s="49"/>
      <c r="AY832" s="48"/>
      <c r="AZ832" s="47"/>
      <c r="BA832" s="47"/>
      <c r="BB832" s="47"/>
      <c r="BC832" s="47"/>
      <c r="BD832" s="47"/>
    </row>
    <row r="833" spans="3:56" hidden="1" x14ac:dyDescent="0.25">
      <c r="C833" s="26" t="str">
        <f>Tools!$C$1</f>
        <v>Example</v>
      </c>
      <c r="D833" s="27" t="s">
        <v>71</v>
      </c>
      <c r="E833" s="28">
        <v>2019</v>
      </c>
      <c r="F833" s="28">
        <f>MATCH(DaybyDay[[#This Row],[RowMonth]],Table3[SummaryMonth],0)</f>
        <v>4</v>
      </c>
      <c r="G833" s="29">
        <f>MATCH(DaybyDay[[#This Row],[LY-Date]],DaybyDay[Date],0)</f>
        <v>463</v>
      </c>
      <c r="H833" s="30">
        <f>WEEKDAY(DaybyDay[[#This Row],[Date]])</f>
        <v>1</v>
      </c>
      <c r="I833" s="31">
        <v>43562</v>
      </c>
      <c r="J833" s="74">
        <v>40</v>
      </c>
      <c r="K833" s="32">
        <f>SUMIFS(BudgetSeasonality[365 Seasonality],BudgetSeasonality[MonthAdjustment],DaybyDay[[#This Row],[Date]])*SUMIFS(Budgets[Service-Budget],Budgets[BudgetMonth],DaybyDay[[#This Row],[RowMonth]],Budgets[BudgetYear],DaybyDay[[#This Row],[RowYear]])</f>
        <v>5752.3910650946982</v>
      </c>
      <c r="L833" s="75">
        <v>7722.2</v>
      </c>
      <c r="M833" s="32">
        <f>INDEX(BudgetSeasonality[365 Seasonality],MATCH(DaybyDay[[#This Row],[Date]],BudgetSeasonality[MonthAdjustment],0))*SUMIFS(Budgets[Retail-Budget],Budgets[BudgetMonth],DaybyDay[[#This Row],[RowMonth]],Budgets[BudgetYear],DaybyDay[[#This Row],[RowYear]])</f>
        <v>1597.0310412956055</v>
      </c>
      <c r="N833" s="75">
        <v>399.5</v>
      </c>
      <c r="O833" s="33">
        <f>SUMIFS(DaybyDay[Service-Budgets],DaybyDay[Date],"&gt;="&amp;$C$5,DaybyDay[RowYear],"&gt;="&amp;$C$4,DaybyDay[Date],"&lt;="&amp;DaybyDay[[#This Row],[Date]])</f>
        <v>0</v>
      </c>
      <c r="P833" s="33">
        <f>SUMIFS(DaybyDay[Retail-Budgets],DaybyDay[Date],"&gt;="&amp;$C$5,DaybyDay[RowYear],"&gt;="&amp;$C$4,DaybyDay[Date],"&lt;="&amp;DaybyDay[[#This Row],[Date]])</f>
        <v>0</v>
      </c>
      <c r="Q833" s="34">
        <f>SUMIFS(DaybyDay[Service-Actuals],DaybyDay[Date],"&gt;="&amp;$C$5,DaybyDay[RowYear],"&gt;="&amp;$C$4,DaybyDay[Date],"&lt;="&amp;DaybyDay[[#This Row],[Date]])</f>
        <v>0</v>
      </c>
      <c r="R833" s="34">
        <f>SUMIFS(DaybyDay[Retail-Actuals],DaybyDay[Date],"&gt;="&amp;$C$5,DaybyDay[RowYear],"&gt;="&amp;$C$4,DaybyDay[Date],"&lt;="&amp;DaybyDay[[#This Row],[Date]])</f>
        <v>0</v>
      </c>
      <c r="S833" s="35">
        <f>SUMIFS(DaybyDay[Service-LY],DaybyDay[Date],"&gt;="&amp;$C$5,DaybyDay[RowYear],"&gt;="&amp;$C$4,DaybyDay[Date],"&lt;="&amp;DaybyDay[[#This Row],[Date]])</f>
        <v>0</v>
      </c>
      <c r="T833" s="35">
        <f>SUMIFS(DaybyDay[Retail-LY],DaybyDay[Date],"&gt;="&amp;$C$5,DaybyDay[RowYear],"&gt;="&amp;$C$4,DaybyDay[Date],"&lt;="&amp;DaybyDay[[#This Row],[Date]])</f>
        <v>0</v>
      </c>
      <c r="U833" s="32">
        <f>DaybyDay[[#This Row],[Serv-Bud-RU]]+DaybyDay[[#This Row],[Ret-Bud-RU]]</f>
        <v>0</v>
      </c>
      <c r="V833" s="32">
        <f>DaybyDay[[#This Row],[Serv-Act-RU]]+DaybyDay[[#This Row],[Ret-Act-RU]]</f>
        <v>0</v>
      </c>
      <c r="W833" s="36">
        <f>IF(DaybyDay[[#This Row],[_Space]],IFERROR(
((DaybyDay[[#This Row],[Actual-Rollup]]-DaybyDay[[#This Row],[Budget-Rollup]])/DaybyDay[[#This Row],[Budget-Rollup]]),0),"")</f>
        <v>0</v>
      </c>
      <c r="X833" t="b">
        <f>NOT(AND(ISBLANK(DaybyDay[[#This Row],[Appts]]),ISBLANK(DaybyDay[[#This Row],[Service-Actuals]]),ISBLANK(DaybyDay[[#This Row],[Retail-Actuals]])))</f>
        <v>1</v>
      </c>
      <c r="Y833" s="36">
        <f>IF(DaybyDay[[#This Row],[_Space]],IFERROR(
((DaybyDay[[#This Row],[Actual-Rollup]]-DaybyDay[[#This Row],[LY-Rollup]])/DaybyDay[[#This Row],[LY-Rollup]]),0),"")</f>
        <v>0</v>
      </c>
      <c r="Z833"/>
      <c r="AA833" s="37" t="e">
        <f>IF(DaybyDay[[#This Row],[_Space]],DaybyDay[[#This Row],[Ret-Act-RU]]/DaybyDay[[#This Row],[Serv-Act-RU]],"")</f>
        <v>#DIV/0!</v>
      </c>
      <c r="AB833" s="50" t="e">
        <f>IF(DaybyDay[[#This Row],[_Space]],DaybyDay[[#This Row],[RETPEN-Act]]/DaybyDay[[#This Row],[RETPEN-Bud]],"")</f>
        <v>#DIV/0!</v>
      </c>
      <c r="AC833" s="37" t="e">
        <f>IF(DaybyDay[[#This Row],[_Space]],DaybyDay[[#This Row],[Ret-Bud-RU]]/DaybyDay[[#This Row],[Serv-Bud-RU]],"")</f>
        <v>#DIV/0!</v>
      </c>
      <c r="AD833" s="37" t="e">
        <f>IF(DaybyDay[[#This Row],[_Space]],DaybyDay[[#This Row],[Ret-LY-RU]]/DaybyDay[[#This Row],[Serv-LY-RU]],"")</f>
        <v>#DIV/0!</v>
      </c>
      <c r="AE833" s="30">
        <f>WEEKDAY(DaybyDay[[#This Row],[LY-Date]])</f>
        <v>1</v>
      </c>
      <c r="AF833" s="38">
        <f>$E$2+_xlfn.DAYS(DaybyDay[[#This Row],[Date]],minDate)</f>
        <v>43198</v>
      </c>
      <c r="AG833" s="39" cm="1">
        <f t="array" ref="AG833">IFERROR(INDEX(DaybyDay[],DaybyDay[[#This Row],[FORM_MATCH_HELPER]],8),"")</f>
        <v>18</v>
      </c>
      <c r="AH833" s="39" cm="1">
        <f t="array" ref="AH833">IFERROR(INDEX(DaybyDay[],DaybyDay[[#This Row],[FORM_MATCH_HELPER]],10),"")</f>
        <v>3944</v>
      </c>
      <c r="AI833" s="39" cm="1">
        <f t="array" ref="AI833">IFERROR(INDEX(DaybyDay[],DaybyDay[[#This Row],[FORM_MATCH_HELPER]],12),"")</f>
        <v>1079</v>
      </c>
      <c r="AJ833" s="32">
        <f>IFERROR(DaybyDay[[#This Row],[Serv-LY-RU]]+DaybyDay[[#This Row],[Ret-LY-RU]],"")</f>
        <v>0</v>
      </c>
      <c r="AK8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3" s="77"/>
      <c r="AM833" s="40" t="str">
        <f>IF(DaybyDay[[#This Row],[Admin Hours]]&gt;0,DaybyDay[[#This Row],[Admin Hours]]*$AM$2+$AM$3,"")</f>
        <v/>
      </c>
      <c r="AN833" s="40">
        <f>SUMIFS(DaybyDay[Est-Admin-Payroll],DaybyDay[Date],"&gt;="&amp;$C$5,DaybyDay[RowYear],"&gt;="&amp;$C$4,DaybyDay[Date],"&lt;="&amp;DaybyDay[[#This Row],[Date]])</f>
        <v>0</v>
      </c>
      <c r="AO833" s="41" t="str">
        <f>IF(AND(DaybyDay[[#This Row],[_Space]],ISNUMBER(DaybyDay[[#This Row],[Admin Hours]])),DaybyDay[[#This Row],[Est-Admin-Payroll]]/(DaybyDay[[#This Row],[Service-Actuals]]+DaybyDay[[#This Row],[Retail-Actuals]]),"")</f>
        <v/>
      </c>
      <c r="AP833" s="41" t="e">
        <f>DaybyDay[[#This Row],[Estimated-Payroll-Rollup]]/DaybyDay[[#This Row],[Simple-Forecast]]</f>
        <v>#DIV/0!</v>
      </c>
      <c r="AQ8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3" s="77"/>
      <c r="AS833" s="40" t="str">
        <f>IF(DaybyDay[[#This Row],[Retail Hours]]&gt;0,DaybyDay[[#This Row],[Retail Hours]]*$AS$2,"")</f>
        <v/>
      </c>
      <c r="AT833" s="40">
        <f>SUMIFS(DaybyDay[Est-Retail-Payroll],DaybyDay[Date],"&gt;="&amp;$C$5,DaybyDay[RowYear],"&gt;="&amp;$C$4,DaybyDay[Date],"&lt;="&amp;DaybyDay[[#This Row],[Date]])</f>
        <v>0</v>
      </c>
      <c r="AU833" s="82" t="str">
        <f>IF(AND(DaybyDay[[#This Row],[_Space]],ISNUMBER(DaybyDay[[#This Row],[Retail Hours]])),DaybyDay[[#This Row],[Est-Retail-Payroll]]/(DaybyDay[[#This Row],[Retail-Actuals]]),"")</f>
        <v/>
      </c>
      <c r="AV833" s="82" t="e">
        <f>DaybyDay[[#This Row],[Est-Retail-PayrollRU]]/DaybyDay[[#This Row],[Simple-Forecast-Retail]]</f>
        <v>#DIV/0!</v>
      </c>
      <c r="AW833" s="8"/>
      <c r="AX833" s="49"/>
      <c r="AY833" s="48"/>
      <c r="AZ833" s="47"/>
      <c r="BA833" s="47"/>
      <c r="BB833" s="47"/>
      <c r="BC833" s="47"/>
      <c r="BD833" s="47"/>
    </row>
    <row r="834" spans="3:56" hidden="1" x14ac:dyDescent="0.25">
      <c r="C834" s="26" t="str">
        <f>Tools!$C$1</f>
        <v>Example</v>
      </c>
      <c r="D834" s="27" t="s">
        <v>71</v>
      </c>
      <c r="E834" s="28">
        <v>2019</v>
      </c>
      <c r="F834" s="28">
        <f>MATCH(DaybyDay[[#This Row],[RowMonth]],Table3[SummaryMonth],0)</f>
        <v>4</v>
      </c>
      <c r="G834" s="29">
        <f>MATCH(DaybyDay[[#This Row],[LY-Date]],DaybyDay[Date],0)</f>
        <v>464</v>
      </c>
      <c r="H834" s="30">
        <f>WEEKDAY(DaybyDay[[#This Row],[Date]])</f>
        <v>2</v>
      </c>
      <c r="I834" s="31">
        <v>43563</v>
      </c>
      <c r="J834" s="74">
        <v>22</v>
      </c>
      <c r="K834" s="32">
        <f>SUMIFS(BudgetSeasonality[365 Seasonality],BudgetSeasonality[MonthAdjustment],DaybyDay[[#This Row],[Date]])*SUMIFS(Budgets[Service-Budget],Budgets[BudgetMonth],DaybyDay[[#This Row],[RowMonth]],Budgets[BudgetYear],DaybyDay[[#This Row],[RowYear]])</f>
        <v>3554.6933166325871</v>
      </c>
      <c r="L834" s="75">
        <v>4482.6000000000004</v>
      </c>
      <c r="M834" s="32">
        <f>INDEX(BudgetSeasonality[365 Seasonality],MATCH(DaybyDay[[#This Row],[Date]],BudgetSeasonality[MonthAdjustment],0))*SUMIFS(Budgets[Retail-Budget],Budgets[BudgetMonth],DaybyDay[[#This Row],[RowMonth]],Budgets[BudgetYear],DaybyDay[[#This Row],[RowYear]])</f>
        <v>986.88623647231373</v>
      </c>
      <c r="N834" s="75">
        <v>248</v>
      </c>
      <c r="O834" s="33">
        <f>SUMIFS(DaybyDay[Service-Budgets],DaybyDay[Date],"&gt;="&amp;$C$5,DaybyDay[RowYear],"&gt;="&amp;$C$4,DaybyDay[Date],"&lt;="&amp;DaybyDay[[#This Row],[Date]])</f>
        <v>0</v>
      </c>
      <c r="P834" s="33">
        <f>SUMIFS(DaybyDay[Retail-Budgets],DaybyDay[Date],"&gt;="&amp;$C$5,DaybyDay[RowYear],"&gt;="&amp;$C$4,DaybyDay[Date],"&lt;="&amp;DaybyDay[[#This Row],[Date]])</f>
        <v>0</v>
      </c>
      <c r="Q834" s="34">
        <f>SUMIFS(DaybyDay[Service-Actuals],DaybyDay[Date],"&gt;="&amp;$C$5,DaybyDay[RowYear],"&gt;="&amp;$C$4,DaybyDay[Date],"&lt;="&amp;DaybyDay[[#This Row],[Date]])</f>
        <v>0</v>
      </c>
      <c r="R834" s="34">
        <f>SUMIFS(DaybyDay[Retail-Actuals],DaybyDay[Date],"&gt;="&amp;$C$5,DaybyDay[RowYear],"&gt;="&amp;$C$4,DaybyDay[Date],"&lt;="&amp;DaybyDay[[#This Row],[Date]])</f>
        <v>0</v>
      </c>
      <c r="S834" s="35">
        <f>SUMIFS(DaybyDay[Service-LY],DaybyDay[Date],"&gt;="&amp;$C$5,DaybyDay[RowYear],"&gt;="&amp;$C$4,DaybyDay[Date],"&lt;="&amp;DaybyDay[[#This Row],[Date]])</f>
        <v>0</v>
      </c>
      <c r="T834" s="35">
        <f>SUMIFS(DaybyDay[Retail-LY],DaybyDay[Date],"&gt;="&amp;$C$5,DaybyDay[RowYear],"&gt;="&amp;$C$4,DaybyDay[Date],"&lt;="&amp;DaybyDay[[#This Row],[Date]])</f>
        <v>0</v>
      </c>
      <c r="U834" s="32">
        <f>DaybyDay[[#This Row],[Serv-Bud-RU]]+DaybyDay[[#This Row],[Ret-Bud-RU]]</f>
        <v>0</v>
      </c>
      <c r="V834" s="32">
        <f>DaybyDay[[#This Row],[Serv-Act-RU]]+DaybyDay[[#This Row],[Ret-Act-RU]]</f>
        <v>0</v>
      </c>
      <c r="W834" s="36">
        <f>IF(DaybyDay[[#This Row],[_Space]],IFERROR(
((DaybyDay[[#This Row],[Actual-Rollup]]-DaybyDay[[#This Row],[Budget-Rollup]])/DaybyDay[[#This Row],[Budget-Rollup]]),0),"")</f>
        <v>0</v>
      </c>
      <c r="X834" t="b">
        <f>NOT(AND(ISBLANK(DaybyDay[[#This Row],[Appts]]),ISBLANK(DaybyDay[[#This Row],[Service-Actuals]]),ISBLANK(DaybyDay[[#This Row],[Retail-Actuals]])))</f>
        <v>1</v>
      </c>
      <c r="Y834" s="36">
        <f>IF(DaybyDay[[#This Row],[_Space]],IFERROR(
((DaybyDay[[#This Row],[Actual-Rollup]]-DaybyDay[[#This Row],[LY-Rollup]])/DaybyDay[[#This Row],[LY-Rollup]]),0),"")</f>
        <v>0</v>
      </c>
      <c r="Z834"/>
      <c r="AA834" s="37" t="e">
        <f>IF(DaybyDay[[#This Row],[_Space]],DaybyDay[[#This Row],[Ret-Act-RU]]/DaybyDay[[#This Row],[Serv-Act-RU]],"")</f>
        <v>#DIV/0!</v>
      </c>
      <c r="AB834" s="50" t="e">
        <f>IF(DaybyDay[[#This Row],[_Space]],DaybyDay[[#This Row],[RETPEN-Act]]/DaybyDay[[#This Row],[RETPEN-Bud]],"")</f>
        <v>#DIV/0!</v>
      </c>
      <c r="AC834" s="37" t="e">
        <f>IF(DaybyDay[[#This Row],[_Space]],DaybyDay[[#This Row],[Ret-Bud-RU]]/DaybyDay[[#This Row],[Serv-Bud-RU]],"")</f>
        <v>#DIV/0!</v>
      </c>
      <c r="AD834" s="37" t="e">
        <f>IF(DaybyDay[[#This Row],[_Space]],DaybyDay[[#This Row],[Ret-LY-RU]]/DaybyDay[[#This Row],[Serv-LY-RU]],"")</f>
        <v>#DIV/0!</v>
      </c>
      <c r="AE834" s="30">
        <f>WEEKDAY(DaybyDay[[#This Row],[LY-Date]])</f>
        <v>2</v>
      </c>
      <c r="AF834" s="38">
        <f>$E$2+_xlfn.DAYS(DaybyDay[[#This Row],[Date]],minDate)</f>
        <v>43199</v>
      </c>
      <c r="AG834" s="39" cm="1">
        <f t="array" ref="AG834">IFERROR(INDEX(DaybyDay[],DaybyDay[[#This Row],[FORM_MATCH_HELPER]],8),"")</f>
        <v>10</v>
      </c>
      <c r="AH834" s="39" cm="1">
        <f t="array" ref="AH834">IFERROR(INDEX(DaybyDay[],DaybyDay[[#This Row],[FORM_MATCH_HELPER]],10),"")</f>
        <v>2267</v>
      </c>
      <c r="AI834" s="39" cm="1">
        <f t="array" ref="AI834">IFERROR(INDEX(DaybyDay[],DaybyDay[[#This Row],[FORM_MATCH_HELPER]],12),"")</f>
        <v>883</v>
      </c>
      <c r="AJ834" s="32">
        <f>IFERROR(DaybyDay[[#This Row],[Serv-LY-RU]]+DaybyDay[[#This Row],[Ret-LY-RU]],"")</f>
        <v>0</v>
      </c>
      <c r="AK8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4" s="77"/>
      <c r="AM834" s="40" t="str">
        <f>IF(DaybyDay[[#This Row],[Admin Hours]]&gt;0,DaybyDay[[#This Row],[Admin Hours]]*$AM$2+$AM$3,"")</f>
        <v/>
      </c>
      <c r="AN834" s="40">
        <f>SUMIFS(DaybyDay[Est-Admin-Payroll],DaybyDay[Date],"&gt;="&amp;$C$5,DaybyDay[RowYear],"&gt;="&amp;$C$4,DaybyDay[Date],"&lt;="&amp;DaybyDay[[#This Row],[Date]])</f>
        <v>0</v>
      </c>
      <c r="AO834" s="41" t="str">
        <f>IF(AND(DaybyDay[[#This Row],[_Space]],ISNUMBER(DaybyDay[[#This Row],[Admin Hours]])),DaybyDay[[#This Row],[Est-Admin-Payroll]]/(DaybyDay[[#This Row],[Service-Actuals]]+DaybyDay[[#This Row],[Retail-Actuals]]),"")</f>
        <v/>
      </c>
      <c r="AP834" s="41" t="e">
        <f>DaybyDay[[#This Row],[Estimated-Payroll-Rollup]]/DaybyDay[[#This Row],[Simple-Forecast]]</f>
        <v>#DIV/0!</v>
      </c>
      <c r="AQ8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4" s="77"/>
      <c r="AS834" s="40" t="str">
        <f>IF(DaybyDay[[#This Row],[Retail Hours]]&gt;0,DaybyDay[[#This Row],[Retail Hours]]*$AS$2,"")</f>
        <v/>
      </c>
      <c r="AT834" s="40">
        <f>SUMIFS(DaybyDay[Est-Retail-Payroll],DaybyDay[Date],"&gt;="&amp;$C$5,DaybyDay[RowYear],"&gt;="&amp;$C$4,DaybyDay[Date],"&lt;="&amp;DaybyDay[[#This Row],[Date]])</f>
        <v>0</v>
      </c>
      <c r="AU834" s="82" t="str">
        <f>IF(AND(DaybyDay[[#This Row],[_Space]],ISNUMBER(DaybyDay[[#This Row],[Retail Hours]])),DaybyDay[[#This Row],[Est-Retail-Payroll]]/(DaybyDay[[#This Row],[Retail-Actuals]]),"")</f>
        <v/>
      </c>
      <c r="AV834" s="82" t="e">
        <f>DaybyDay[[#This Row],[Est-Retail-PayrollRU]]/DaybyDay[[#This Row],[Simple-Forecast-Retail]]</f>
        <v>#DIV/0!</v>
      </c>
      <c r="AW834" s="8"/>
      <c r="AX834" s="49"/>
      <c r="AY834" s="48"/>
      <c r="AZ834" s="47"/>
      <c r="BA834" s="47"/>
      <c r="BB834" s="47"/>
      <c r="BC834" s="47"/>
      <c r="BD834" s="47"/>
    </row>
    <row r="835" spans="3:56" hidden="1" x14ac:dyDescent="0.25">
      <c r="C835" s="26" t="str">
        <f>Tools!$C$1</f>
        <v>Example</v>
      </c>
      <c r="D835" s="27" t="s">
        <v>71</v>
      </c>
      <c r="E835" s="28">
        <v>2019</v>
      </c>
      <c r="F835" s="28">
        <f>MATCH(DaybyDay[[#This Row],[RowMonth]],Table3[SummaryMonth],0)</f>
        <v>4</v>
      </c>
      <c r="G835" s="29">
        <f>MATCH(DaybyDay[[#This Row],[LY-Date]],DaybyDay[Date],0)</f>
        <v>465</v>
      </c>
      <c r="H835" s="30">
        <f>WEEKDAY(DaybyDay[[#This Row],[Date]])</f>
        <v>3</v>
      </c>
      <c r="I835" s="31">
        <v>43564</v>
      </c>
      <c r="J835" s="74">
        <v>11</v>
      </c>
      <c r="K835" s="32">
        <f>SUMIFS(BudgetSeasonality[365 Seasonality],BudgetSeasonality[MonthAdjustment],DaybyDay[[#This Row],[Date]])*SUMIFS(Budgets[Service-Budget],Budgets[BudgetMonth],DaybyDay[[#This Row],[RowMonth]],Budgets[BudgetYear],DaybyDay[[#This Row],[RowYear]])</f>
        <v>3535.15834242356</v>
      </c>
      <c r="L835" s="75">
        <v>1810.52</v>
      </c>
      <c r="M835" s="32">
        <f>INDEX(BudgetSeasonality[365 Seasonality],MATCH(DaybyDay[[#This Row],[Date]],BudgetSeasonality[MonthAdjustment],0))*SUMIFS(Budgets[Retail-Budget],Budgets[BudgetMonth],DaybyDay[[#This Row],[RowMonth]],Budgets[BudgetYear],DaybyDay[[#This Row],[RowYear]])</f>
        <v>981.46275954772943</v>
      </c>
      <c r="N835" s="75">
        <v>158</v>
      </c>
      <c r="O835" s="33">
        <f>SUMIFS(DaybyDay[Service-Budgets],DaybyDay[Date],"&gt;="&amp;$C$5,DaybyDay[RowYear],"&gt;="&amp;$C$4,DaybyDay[Date],"&lt;="&amp;DaybyDay[[#This Row],[Date]])</f>
        <v>0</v>
      </c>
      <c r="P835" s="33">
        <f>SUMIFS(DaybyDay[Retail-Budgets],DaybyDay[Date],"&gt;="&amp;$C$5,DaybyDay[RowYear],"&gt;="&amp;$C$4,DaybyDay[Date],"&lt;="&amp;DaybyDay[[#This Row],[Date]])</f>
        <v>0</v>
      </c>
      <c r="Q835" s="34">
        <f>SUMIFS(DaybyDay[Service-Actuals],DaybyDay[Date],"&gt;="&amp;$C$5,DaybyDay[RowYear],"&gt;="&amp;$C$4,DaybyDay[Date],"&lt;="&amp;DaybyDay[[#This Row],[Date]])</f>
        <v>0</v>
      </c>
      <c r="R835" s="34">
        <f>SUMIFS(DaybyDay[Retail-Actuals],DaybyDay[Date],"&gt;="&amp;$C$5,DaybyDay[RowYear],"&gt;="&amp;$C$4,DaybyDay[Date],"&lt;="&amp;DaybyDay[[#This Row],[Date]])</f>
        <v>0</v>
      </c>
      <c r="S835" s="35">
        <f>SUMIFS(DaybyDay[Service-LY],DaybyDay[Date],"&gt;="&amp;$C$5,DaybyDay[RowYear],"&gt;="&amp;$C$4,DaybyDay[Date],"&lt;="&amp;DaybyDay[[#This Row],[Date]])</f>
        <v>0</v>
      </c>
      <c r="T835" s="35">
        <f>SUMIFS(DaybyDay[Retail-LY],DaybyDay[Date],"&gt;="&amp;$C$5,DaybyDay[RowYear],"&gt;="&amp;$C$4,DaybyDay[Date],"&lt;="&amp;DaybyDay[[#This Row],[Date]])</f>
        <v>0</v>
      </c>
      <c r="U835" s="32">
        <f>DaybyDay[[#This Row],[Serv-Bud-RU]]+DaybyDay[[#This Row],[Ret-Bud-RU]]</f>
        <v>0</v>
      </c>
      <c r="V835" s="32">
        <f>DaybyDay[[#This Row],[Serv-Act-RU]]+DaybyDay[[#This Row],[Ret-Act-RU]]</f>
        <v>0</v>
      </c>
      <c r="W835" s="36">
        <f>IF(DaybyDay[[#This Row],[_Space]],IFERROR(
((DaybyDay[[#This Row],[Actual-Rollup]]-DaybyDay[[#This Row],[Budget-Rollup]])/DaybyDay[[#This Row],[Budget-Rollup]]),0),"")</f>
        <v>0</v>
      </c>
      <c r="X835" t="b">
        <f>NOT(AND(ISBLANK(DaybyDay[[#This Row],[Appts]]),ISBLANK(DaybyDay[[#This Row],[Service-Actuals]]),ISBLANK(DaybyDay[[#This Row],[Retail-Actuals]])))</f>
        <v>1</v>
      </c>
      <c r="Y835" s="36">
        <f>IF(DaybyDay[[#This Row],[_Space]],IFERROR(
((DaybyDay[[#This Row],[Actual-Rollup]]-DaybyDay[[#This Row],[LY-Rollup]])/DaybyDay[[#This Row],[LY-Rollup]]),0),"")</f>
        <v>0</v>
      </c>
      <c r="Z835"/>
      <c r="AA835" s="37" t="e">
        <f>IF(DaybyDay[[#This Row],[_Space]],DaybyDay[[#This Row],[Ret-Act-RU]]/DaybyDay[[#This Row],[Serv-Act-RU]],"")</f>
        <v>#DIV/0!</v>
      </c>
      <c r="AB835" s="50" t="e">
        <f>IF(DaybyDay[[#This Row],[_Space]],DaybyDay[[#This Row],[RETPEN-Act]]/DaybyDay[[#This Row],[RETPEN-Bud]],"")</f>
        <v>#DIV/0!</v>
      </c>
      <c r="AC835" s="37" t="e">
        <f>IF(DaybyDay[[#This Row],[_Space]],DaybyDay[[#This Row],[Ret-Bud-RU]]/DaybyDay[[#This Row],[Serv-Bud-RU]],"")</f>
        <v>#DIV/0!</v>
      </c>
      <c r="AD835" s="37" t="e">
        <f>IF(DaybyDay[[#This Row],[_Space]],DaybyDay[[#This Row],[Ret-LY-RU]]/DaybyDay[[#This Row],[Serv-LY-RU]],"")</f>
        <v>#DIV/0!</v>
      </c>
      <c r="AE835" s="30">
        <f>WEEKDAY(DaybyDay[[#This Row],[LY-Date]])</f>
        <v>3</v>
      </c>
      <c r="AF835" s="38">
        <f>$E$2+_xlfn.DAYS(DaybyDay[[#This Row],[Date]],minDate)</f>
        <v>43200</v>
      </c>
      <c r="AG835" s="39" cm="1">
        <f t="array" ref="AG835">IFERROR(INDEX(DaybyDay[],DaybyDay[[#This Row],[FORM_MATCH_HELPER]],8),"")</f>
        <v>13</v>
      </c>
      <c r="AH835" s="39" cm="1">
        <f t="array" ref="AH835">IFERROR(INDEX(DaybyDay[],DaybyDay[[#This Row],[FORM_MATCH_HELPER]],10),"")</f>
        <v>3316</v>
      </c>
      <c r="AI835" s="39" cm="1">
        <f t="array" ref="AI835">IFERROR(INDEX(DaybyDay[],DaybyDay[[#This Row],[FORM_MATCH_HELPER]],12),"")</f>
        <v>714</v>
      </c>
      <c r="AJ835" s="32">
        <f>IFERROR(DaybyDay[[#This Row],[Serv-LY-RU]]+DaybyDay[[#This Row],[Ret-LY-RU]],"")</f>
        <v>0</v>
      </c>
      <c r="AK8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5" s="77"/>
      <c r="AM835" s="40" t="str">
        <f>IF(DaybyDay[[#This Row],[Admin Hours]]&gt;0,DaybyDay[[#This Row],[Admin Hours]]*$AM$2+$AM$3,"")</f>
        <v/>
      </c>
      <c r="AN835" s="40">
        <f>SUMIFS(DaybyDay[Est-Admin-Payroll],DaybyDay[Date],"&gt;="&amp;$C$5,DaybyDay[RowYear],"&gt;="&amp;$C$4,DaybyDay[Date],"&lt;="&amp;DaybyDay[[#This Row],[Date]])</f>
        <v>0</v>
      </c>
      <c r="AO835" s="41" t="str">
        <f>IF(AND(DaybyDay[[#This Row],[_Space]],ISNUMBER(DaybyDay[[#This Row],[Admin Hours]])),DaybyDay[[#This Row],[Est-Admin-Payroll]]/(DaybyDay[[#This Row],[Service-Actuals]]+DaybyDay[[#This Row],[Retail-Actuals]]),"")</f>
        <v/>
      </c>
      <c r="AP835" s="41" t="e">
        <f>DaybyDay[[#This Row],[Estimated-Payroll-Rollup]]/DaybyDay[[#This Row],[Simple-Forecast]]</f>
        <v>#DIV/0!</v>
      </c>
      <c r="AQ8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5" s="77"/>
      <c r="AS835" s="40" t="str">
        <f>IF(DaybyDay[[#This Row],[Retail Hours]]&gt;0,DaybyDay[[#This Row],[Retail Hours]]*$AS$2,"")</f>
        <v/>
      </c>
      <c r="AT835" s="40">
        <f>SUMIFS(DaybyDay[Est-Retail-Payroll],DaybyDay[Date],"&gt;="&amp;$C$5,DaybyDay[RowYear],"&gt;="&amp;$C$4,DaybyDay[Date],"&lt;="&amp;DaybyDay[[#This Row],[Date]])</f>
        <v>0</v>
      </c>
      <c r="AU835" s="82" t="str">
        <f>IF(AND(DaybyDay[[#This Row],[_Space]],ISNUMBER(DaybyDay[[#This Row],[Retail Hours]])),DaybyDay[[#This Row],[Est-Retail-Payroll]]/(DaybyDay[[#This Row],[Retail-Actuals]]),"")</f>
        <v/>
      </c>
      <c r="AV835" s="82" t="e">
        <f>DaybyDay[[#This Row],[Est-Retail-PayrollRU]]/DaybyDay[[#This Row],[Simple-Forecast-Retail]]</f>
        <v>#DIV/0!</v>
      </c>
      <c r="AW835" s="8"/>
      <c r="AX835" s="49"/>
      <c r="AY835" s="48"/>
      <c r="AZ835" s="47"/>
      <c r="BA835" s="47"/>
      <c r="BB835" s="47"/>
      <c r="BC835" s="47"/>
      <c r="BD835" s="47"/>
    </row>
    <row r="836" spans="3:56" hidden="1" x14ac:dyDescent="0.25">
      <c r="C836" s="26" t="str">
        <f>Tools!$C$1</f>
        <v>Example</v>
      </c>
      <c r="D836" s="27" t="s">
        <v>71</v>
      </c>
      <c r="E836" s="28">
        <v>2019</v>
      </c>
      <c r="F836" s="28">
        <f>MATCH(DaybyDay[[#This Row],[RowMonth]],Table3[SummaryMonth],0)</f>
        <v>4</v>
      </c>
      <c r="G836" s="29">
        <f>MATCH(DaybyDay[[#This Row],[LY-Date]],DaybyDay[Date],0)</f>
        <v>466</v>
      </c>
      <c r="H836" s="30">
        <f>WEEKDAY(DaybyDay[[#This Row],[Date]])</f>
        <v>4</v>
      </c>
      <c r="I836" s="31">
        <v>43565</v>
      </c>
      <c r="J836" s="74">
        <v>19</v>
      </c>
      <c r="K836" s="32">
        <f>SUMIFS(BudgetSeasonality[365 Seasonality],BudgetSeasonality[MonthAdjustment],DaybyDay[[#This Row],[Date]])*SUMIFS(Budgets[Service-Budget],Budgets[BudgetMonth],DaybyDay[[#This Row],[RowMonth]],Budgets[BudgetYear],DaybyDay[[#This Row],[RowYear]])</f>
        <v>3895.0285942196419</v>
      </c>
      <c r="L836" s="75">
        <v>3687.3999999999996</v>
      </c>
      <c r="M836" s="32">
        <f>INDEX(BudgetSeasonality[365 Seasonality],MATCH(DaybyDay[[#This Row],[Date]],BudgetSeasonality[MonthAdjustment],0))*SUMIFS(Budgets[Retail-Budget],Budgets[BudgetMonth],DaybyDay[[#This Row],[RowMonth]],Budgets[BudgetYear],DaybyDay[[#This Row],[RowYear]])</f>
        <v>1081.3732066041914</v>
      </c>
      <c r="N836" s="75">
        <v>1295</v>
      </c>
      <c r="O836" s="33">
        <f>SUMIFS(DaybyDay[Service-Budgets],DaybyDay[Date],"&gt;="&amp;$C$5,DaybyDay[RowYear],"&gt;="&amp;$C$4,DaybyDay[Date],"&lt;="&amp;DaybyDay[[#This Row],[Date]])</f>
        <v>0</v>
      </c>
      <c r="P836" s="33">
        <f>SUMIFS(DaybyDay[Retail-Budgets],DaybyDay[Date],"&gt;="&amp;$C$5,DaybyDay[RowYear],"&gt;="&amp;$C$4,DaybyDay[Date],"&lt;="&amp;DaybyDay[[#This Row],[Date]])</f>
        <v>0</v>
      </c>
      <c r="Q836" s="34">
        <f>SUMIFS(DaybyDay[Service-Actuals],DaybyDay[Date],"&gt;="&amp;$C$5,DaybyDay[RowYear],"&gt;="&amp;$C$4,DaybyDay[Date],"&lt;="&amp;DaybyDay[[#This Row],[Date]])</f>
        <v>0</v>
      </c>
      <c r="R836" s="34">
        <f>SUMIFS(DaybyDay[Retail-Actuals],DaybyDay[Date],"&gt;="&amp;$C$5,DaybyDay[RowYear],"&gt;="&amp;$C$4,DaybyDay[Date],"&lt;="&amp;DaybyDay[[#This Row],[Date]])</f>
        <v>0</v>
      </c>
      <c r="S836" s="35">
        <f>SUMIFS(DaybyDay[Service-LY],DaybyDay[Date],"&gt;="&amp;$C$5,DaybyDay[RowYear],"&gt;="&amp;$C$4,DaybyDay[Date],"&lt;="&amp;DaybyDay[[#This Row],[Date]])</f>
        <v>0</v>
      </c>
      <c r="T836" s="35">
        <f>SUMIFS(DaybyDay[Retail-LY],DaybyDay[Date],"&gt;="&amp;$C$5,DaybyDay[RowYear],"&gt;="&amp;$C$4,DaybyDay[Date],"&lt;="&amp;DaybyDay[[#This Row],[Date]])</f>
        <v>0</v>
      </c>
      <c r="U836" s="32">
        <f>DaybyDay[[#This Row],[Serv-Bud-RU]]+DaybyDay[[#This Row],[Ret-Bud-RU]]</f>
        <v>0</v>
      </c>
      <c r="V836" s="32">
        <f>DaybyDay[[#This Row],[Serv-Act-RU]]+DaybyDay[[#This Row],[Ret-Act-RU]]</f>
        <v>0</v>
      </c>
      <c r="W836" s="36">
        <f>IF(DaybyDay[[#This Row],[_Space]],IFERROR(
((DaybyDay[[#This Row],[Actual-Rollup]]-DaybyDay[[#This Row],[Budget-Rollup]])/DaybyDay[[#This Row],[Budget-Rollup]]),0),"")</f>
        <v>0</v>
      </c>
      <c r="X836" t="b">
        <f>NOT(AND(ISBLANK(DaybyDay[[#This Row],[Appts]]),ISBLANK(DaybyDay[[#This Row],[Service-Actuals]]),ISBLANK(DaybyDay[[#This Row],[Retail-Actuals]])))</f>
        <v>1</v>
      </c>
      <c r="Y836" s="36">
        <f>IF(DaybyDay[[#This Row],[_Space]],IFERROR(
((DaybyDay[[#This Row],[Actual-Rollup]]-DaybyDay[[#This Row],[LY-Rollup]])/DaybyDay[[#This Row],[LY-Rollup]]),0),"")</f>
        <v>0</v>
      </c>
      <c r="Z836"/>
      <c r="AA836" s="37" t="e">
        <f>IF(DaybyDay[[#This Row],[_Space]],DaybyDay[[#This Row],[Ret-Act-RU]]/DaybyDay[[#This Row],[Serv-Act-RU]],"")</f>
        <v>#DIV/0!</v>
      </c>
      <c r="AB836" s="50" t="e">
        <f>IF(DaybyDay[[#This Row],[_Space]],DaybyDay[[#This Row],[RETPEN-Act]]/DaybyDay[[#This Row],[RETPEN-Bud]],"")</f>
        <v>#DIV/0!</v>
      </c>
      <c r="AC836" s="37" t="e">
        <f>IF(DaybyDay[[#This Row],[_Space]],DaybyDay[[#This Row],[Ret-Bud-RU]]/DaybyDay[[#This Row],[Serv-Bud-RU]],"")</f>
        <v>#DIV/0!</v>
      </c>
      <c r="AD836" s="37" t="e">
        <f>IF(DaybyDay[[#This Row],[_Space]],DaybyDay[[#This Row],[Ret-LY-RU]]/DaybyDay[[#This Row],[Serv-LY-RU]],"")</f>
        <v>#DIV/0!</v>
      </c>
      <c r="AE836" s="30">
        <f>WEEKDAY(DaybyDay[[#This Row],[LY-Date]])</f>
        <v>4</v>
      </c>
      <c r="AF836" s="38">
        <f>$E$2+_xlfn.DAYS(DaybyDay[[#This Row],[Date]],minDate)</f>
        <v>43201</v>
      </c>
      <c r="AG836" s="39" cm="1">
        <f t="array" ref="AG836">IFERROR(INDEX(DaybyDay[],DaybyDay[[#This Row],[FORM_MATCH_HELPER]],8),"")</f>
        <v>22</v>
      </c>
      <c r="AH836" s="39" cm="1">
        <f t="array" ref="AH836">IFERROR(INDEX(DaybyDay[],DaybyDay[[#This Row],[FORM_MATCH_HELPER]],10),"")</f>
        <v>4446</v>
      </c>
      <c r="AI836" s="39" cm="1">
        <f t="array" ref="AI836">IFERROR(INDEX(DaybyDay[],DaybyDay[[#This Row],[FORM_MATCH_HELPER]],12),"")</f>
        <v>3046</v>
      </c>
      <c r="AJ836" s="32">
        <f>IFERROR(DaybyDay[[#This Row],[Serv-LY-RU]]+DaybyDay[[#This Row],[Ret-LY-RU]],"")</f>
        <v>0</v>
      </c>
      <c r="AK8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6" s="77"/>
      <c r="AM836" s="40" t="str">
        <f>IF(DaybyDay[[#This Row],[Admin Hours]]&gt;0,DaybyDay[[#This Row],[Admin Hours]]*$AM$2+$AM$3,"")</f>
        <v/>
      </c>
      <c r="AN836" s="40">
        <f>SUMIFS(DaybyDay[Est-Admin-Payroll],DaybyDay[Date],"&gt;="&amp;$C$5,DaybyDay[RowYear],"&gt;="&amp;$C$4,DaybyDay[Date],"&lt;="&amp;DaybyDay[[#This Row],[Date]])</f>
        <v>0</v>
      </c>
      <c r="AO836" s="41" t="str">
        <f>IF(AND(DaybyDay[[#This Row],[_Space]],ISNUMBER(DaybyDay[[#This Row],[Admin Hours]])),DaybyDay[[#This Row],[Est-Admin-Payroll]]/(DaybyDay[[#This Row],[Service-Actuals]]+DaybyDay[[#This Row],[Retail-Actuals]]),"")</f>
        <v/>
      </c>
      <c r="AP836" s="41" t="e">
        <f>DaybyDay[[#This Row],[Estimated-Payroll-Rollup]]/DaybyDay[[#This Row],[Simple-Forecast]]</f>
        <v>#DIV/0!</v>
      </c>
      <c r="AQ8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6" s="77"/>
      <c r="AS836" s="40" t="str">
        <f>IF(DaybyDay[[#This Row],[Retail Hours]]&gt;0,DaybyDay[[#This Row],[Retail Hours]]*$AS$2,"")</f>
        <v/>
      </c>
      <c r="AT836" s="40">
        <f>SUMIFS(DaybyDay[Est-Retail-Payroll],DaybyDay[Date],"&gt;="&amp;$C$5,DaybyDay[RowYear],"&gt;="&amp;$C$4,DaybyDay[Date],"&lt;="&amp;DaybyDay[[#This Row],[Date]])</f>
        <v>0</v>
      </c>
      <c r="AU836" s="82" t="str">
        <f>IF(AND(DaybyDay[[#This Row],[_Space]],ISNUMBER(DaybyDay[[#This Row],[Retail Hours]])),DaybyDay[[#This Row],[Est-Retail-Payroll]]/(DaybyDay[[#This Row],[Retail-Actuals]]),"")</f>
        <v/>
      </c>
      <c r="AV836" s="82" t="e">
        <f>DaybyDay[[#This Row],[Est-Retail-PayrollRU]]/DaybyDay[[#This Row],[Simple-Forecast-Retail]]</f>
        <v>#DIV/0!</v>
      </c>
      <c r="AW836" s="8"/>
      <c r="AX836" s="49"/>
      <c r="AY836" s="48"/>
      <c r="AZ836" s="47"/>
      <c r="BA836" s="47"/>
      <c r="BB836" s="47"/>
      <c r="BC836" s="47"/>
      <c r="BD836" s="47"/>
    </row>
    <row r="837" spans="3:56" hidden="1" x14ac:dyDescent="0.25">
      <c r="C837" s="26" t="str">
        <f>Tools!$C$1</f>
        <v>Example</v>
      </c>
      <c r="D837" s="27" t="s">
        <v>71</v>
      </c>
      <c r="E837" s="28">
        <v>2019</v>
      </c>
      <c r="F837" s="28">
        <f>MATCH(DaybyDay[[#This Row],[RowMonth]],Table3[SummaryMonth],0)</f>
        <v>4</v>
      </c>
      <c r="G837" s="29">
        <f>MATCH(DaybyDay[[#This Row],[LY-Date]],DaybyDay[Date],0)</f>
        <v>467</v>
      </c>
      <c r="H837" s="30">
        <f>WEEKDAY(DaybyDay[[#This Row],[Date]])</f>
        <v>5</v>
      </c>
      <c r="I837" s="31">
        <v>43566</v>
      </c>
      <c r="J837" s="74">
        <v>20</v>
      </c>
      <c r="K837" s="32">
        <f>SUMIFS(BudgetSeasonality[365 Seasonality],BudgetSeasonality[MonthAdjustment],DaybyDay[[#This Row],[Date]])*SUMIFS(Budgets[Service-Budget],Budgets[BudgetMonth],DaybyDay[[#This Row],[RowMonth]],Budgets[BudgetYear],DaybyDay[[#This Row],[RowYear]])</f>
        <v>3864.9401980801485</v>
      </c>
      <c r="L837" s="75">
        <v>3755.2000000000003</v>
      </c>
      <c r="M837" s="32">
        <f>INDEX(BudgetSeasonality[365 Seasonality],MATCH(DaybyDay[[#This Row],[Date]],BudgetSeasonality[MonthAdjustment],0))*SUMIFS(Budgets[Retail-Budget],Budgets[BudgetMonth],DaybyDay[[#This Row],[RowMonth]],Budgets[BudgetYear],DaybyDay[[#This Row],[RowYear]])</f>
        <v>1073.01979285436</v>
      </c>
      <c r="N837" s="75">
        <v>86.1</v>
      </c>
      <c r="O837" s="33">
        <f>SUMIFS(DaybyDay[Service-Budgets],DaybyDay[Date],"&gt;="&amp;$C$5,DaybyDay[RowYear],"&gt;="&amp;$C$4,DaybyDay[Date],"&lt;="&amp;DaybyDay[[#This Row],[Date]])</f>
        <v>0</v>
      </c>
      <c r="P837" s="33">
        <f>SUMIFS(DaybyDay[Retail-Budgets],DaybyDay[Date],"&gt;="&amp;$C$5,DaybyDay[RowYear],"&gt;="&amp;$C$4,DaybyDay[Date],"&lt;="&amp;DaybyDay[[#This Row],[Date]])</f>
        <v>0</v>
      </c>
      <c r="Q837" s="34">
        <f>SUMIFS(DaybyDay[Service-Actuals],DaybyDay[Date],"&gt;="&amp;$C$5,DaybyDay[RowYear],"&gt;="&amp;$C$4,DaybyDay[Date],"&lt;="&amp;DaybyDay[[#This Row],[Date]])</f>
        <v>0</v>
      </c>
      <c r="R837" s="34">
        <f>SUMIFS(DaybyDay[Retail-Actuals],DaybyDay[Date],"&gt;="&amp;$C$5,DaybyDay[RowYear],"&gt;="&amp;$C$4,DaybyDay[Date],"&lt;="&amp;DaybyDay[[#This Row],[Date]])</f>
        <v>0</v>
      </c>
      <c r="S837" s="35">
        <f>SUMIFS(DaybyDay[Service-LY],DaybyDay[Date],"&gt;="&amp;$C$5,DaybyDay[RowYear],"&gt;="&amp;$C$4,DaybyDay[Date],"&lt;="&amp;DaybyDay[[#This Row],[Date]])</f>
        <v>0</v>
      </c>
      <c r="T837" s="35">
        <f>SUMIFS(DaybyDay[Retail-LY],DaybyDay[Date],"&gt;="&amp;$C$5,DaybyDay[RowYear],"&gt;="&amp;$C$4,DaybyDay[Date],"&lt;="&amp;DaybyDay[[#This Row],[Date]])</f>
        <v>0</v>
      </c>
      <c r="U837" s="32">
        <f>DaybyDay[[#This Row],[Serv-Bud-RU]]+DaybyDay[[#This Row],[Ret-Bud-RU]]</f>
        <v>0</v>
      </c>
      <c r="V837" s="32">
        <f>DaybyDay[[#This Row],[Serv-Act-RU]]+DaybyDay[[#This Row],[Ret-Act-RU]]</f>
        <v>0</v>
      </c>
      <c r="W837" s="36">
        <f>IF(DaybyDay[[#This Row],[_Space]],IFERROR(
((DaybyDay[[#This Row],[Actual-Rollup]]-DaybyDay[[#This Row],[Budget-Rollup]])/DaybyDay[[#This Row],[Budget-Rollup]]),0),"")</f>
        <v>0</v>
      </c>
      <c r="X837" t="b">
        <f>NOT(AND(ISBLANK(DaybyDay[[#This Row],[Appts]]),ISBLANK(DaybyDay[[#This Row],[Service-Actuals]]),ISBLANK(DaybyDay[[#This Row],[Retail-Actuals]])))</f>
        <v>1</v>
      </c>
      <c r="Y837" s="36">
        <f>IF(DaybyDay[[#This Row],[_Space]],IFERROR(
((DaybyDay[[#This Row],[Actual-Rollup]]-DaybyDay[[#This Row],[LY-Rollup]])/DaybyDay[[#This Row],[LY-Rollup]]),0),"")</f>
        <v>0</v>
      </c>
      <c r="Z837"/>
      <c r="AA837" s="37" t="e">
        <f>IF(DaybyDay[[#This Row],[_Space]],DaybyDay[[#This Row],[Ret-Act-RU]]/DaybyDay[[#This Row],[Serv-Act-RU]],"")</f>
        <v>#DIV/0!</v>
      </c>
      <c r="AB837" s="50" t="e">
        <f>IF(DaybyDay[[#This Row],[_Space]],DaybyDay[[#This Row],[RETPEN-Act]]/DaybyDay[[#This Row],[RETPEN-Bud]],"")</f>
        <v>#DIV/0!</v>
      </c>
      <c r="AC837" s="37" t="e">
        <f>IF(DaybyDay[[#This Row],[_Space]],DaybyDay[[#This Row],[Ret-Bud-RU]]/DaybyDay[[#This Row],[Serv-Bud-RU]],"")</f>
        <v>#DIV/0!</v>
      </c>
      <c r="AD837" s="37" t="e">
        <f>IF(DaybyDay[[#This Row],[_Space]],DaybyDay[[#This Row],[Ret-LY-RU]]/DaybyDay[[#This Row],[Serv-LY-RU]],"")</f>
        <v>#DIV/0!</v>
      </c>
      <c r="AE837" s="30">
        <f>WEEKDAY(DaybyDay[[#This Row],[LY-Date]])</f>
        <v>5</v>
      </c>
      <c r="AF837" s="38">
        <f>$E$2+_xlfn.DAYS(DaybyDay[[#This Row],[Date]],minDate)</f>
        <v>43202</v>
      </c>
      <c r="AG837" s="39" cm="1">
        <f t="array" ref="AG837">IFERROR(INDEX(DaybyDay[],DaybyDay[[#This Row],[FORM_MATCH_HELPER]],8),"")</f>
        <v>18</v>
      </c>
      <c r="AH837" s="39" cm="1">
        <f t="array" ref="AH837">IFERROR(INDEX(DaybyDay[],DaybyDay[[#This Row],[FORM_MATCH_HELPER]],10),"")</f>
        <v>3566</v>
      </c>
      <c r="AI837" s="39" cm="1">
        <f t="array" ref="AI837">IFERROR(INDEX(DaybyDay[],DaybyDay[[#This Row],[FORM_MATCH_HELPER]],12),"")</f>
        <v>31</v>
      </c>
      <c r="AJ837" s="32">
        <f>IFERROR(DaybyDay[[#This Row],[Serv-LY-RU]]+DaybyDay[[#This Row],[Ret-LY-RU]],"")</f>
        <v>0</v>
      </c>
      <c r="AK8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7" s="77"/>
      <c r="AM837" s="40" t="str">
        <f>IF(DaybyDay[[#This Row],[Admin Hours]]&gt;0,DaybyDay[[#This Row],[Admin Hours]]*$AM$2+$AM$3,"")</f>
        <v/>
      </c>
      <c r="AN837" s="40">
        <f>SUMIFS(DaybyDay[Est-Admin-Payroll],DaybyDay[Date],"&gt;="&amp;$C$5,DaybyDay[RowYear],"&gt;="&amp;$C$4,DaybyDay[Date],"&lt;="&amp;DaybyDay[[#This Row],[Date]])</f>
        <v>0</v>
      </c>
      <c r="AO837" s="41" t="str">
        <f>IF(AND(DaybyDay[[#This Row],[_Space]],ISNUMBER(DaybyDay[[#This Row],[Admin Hours]])),DaybyDay[[#This Row],[Est-Admin-Payroll]]/(DaybyDay[[#This Row],[Service-Actuals]]+DaybyDay[[#This Row],[Retail-Actuals]]),"")</f>
        <v/>
      </c>
      <c r="AP837" s="41" t="e">
        <f>DaybyDay[[#This Row],[Estimated-Payroll-Rollup]]/DaybyDay[[#This Row],[Simple-Forecast]]</f>
        <v>#DIV/0!</v>
      </c>
      <c r="AQ8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7" s="77"/>
      <c r="AS837" s="40" t="str">
        <f>IF(DaybyDay[[#This Row],[Retail Hours]]&gt;0,DaybyDay[[#This Row],[Retail Hours]]*$AS$2,"")</f>
        <v/>
      </c>
      <c r="AT837" s="40">
        <f>SUMIFS(DaybyDay[Est-Retail-Payroll],DaybyDay[Date],"&gt;="&amp;$C$5,DaybyDay[RowYear],"&gt;="&amp;$C$4,DaybyDay[Date],"&lt;="&amp;DaybyDay[[#This Row],[Date]])</f>
        <v>0</v>
      </c>
      <c r="AU837" s="82" t="str">
        <f>IF(AND(DaybyDay[[#This Row],[_Space]],ISNUMBER(DaybyDay[[#This Row],[Retail Hours]])),DaybyDay[[#This Row],[Est-Retail-Payroll]]/(DaybyDay[[#This Row],[Retail-Actuals]]),"")</f>
        <v/>
      </c>
      <c r="AV837" s="82" t="e">
        <f>DaybyDay[[#This Row],[Est-Retail-PayrollRU]]/DaybyDay[[#This Row],[Simple-Forecast-Retail]]</f>
        <v>#DIV/0!</v>
      </c>
      <c r="AW837" s="8"/>
      <c r="AX837" s="49"/>
      <c r="AY837" s="48"/>
      <c r="AZ837" s="47"/>
      <c r="BA837" s="47"/>
      <c r="BB837" s="47"/>
      <c r="BC837" s="47"/>
      <c r="BD837" s="47"/>
    </row>
    <row r="838" spans="3:56" hidden="1" x14ac:dyDescent="0.25">
      <c r="C838" s="26" t="str">
        <f>Tools!$C$1</f>
        <v>Example</v>
      </c>
      <c r="D838" s="27" t="s">
        <v>71</v>
      </c>
      <c r="E838" s="28">
        <v>2019</v>
      </c>
      <c r="F838" s="28">
        <f>MATCH(DaybyDay[[#This Row],[RowMonth]],Table3[SummaryMonth],0)</f>
        <v>4</v>
      </c>
      <c r="G838" s="29">
        <f>MATCH(DaybyDay[[#This Row],[LY-Date]],DaybyDay[Date],0)</f>
        <v>468</v>
      </c>
      <c r="H838" s="30">
        <f>WEEKDAY(DaybyDay[[#This Row],[Date]])</f>
        <v>6</v>
      </c>
      <c r="I838" s="31">
        <v>43567</v>
      </c>
      <c r="J838" s="74">
        <v>18</v>
      </c>
      <c r="K838" s="32">
        <f>SUMIFS(BudgetSeasonality[365 Seasonality],BudgetSeasonality[MonthAdjustment],DaybyDay[[#This Row],[Date]])*SUMIFS(Budgets[Service-Budget],Budgets[BudgetMonth],DaybyDay[[#This Row],[RowMonth]],Budgets[BudgetYear],DaybyDay[[#This Row],[RowYear]])</f>
        <v>4642.2433186564631</v>
      </c>
      <c r="L838" s="75">
        <v>3090.2</v>
      </c>
      <c r="M838" s="32">
        <f>INDEX(BudgetSeasonality[365 Seasonality],MATCH(DaybyDay[[#This Row],[Date]],BudgetSeasonality[MonthAdjustment],0))*SUMIFS(Budgets[Retail-Budget],Budgets[BudgetMonth],DaybyDay[[#This Row],[RowMonth]],Budgets[BudgetYear],DaybyDay[[#This Row],[RowYear]])</f>
        <v>1288.8217433839316</v>
      </c>
      <c r="N838" s="75">
        <v>105</v>
      </c>
      <c r="O838" s="33">
        <f>SUMIFS(DaybyDay[Service-Budgets],DaybyDay[Date],"&gt;="&amp;$C$5,DaybyDay[RowYear],"&gt;="&amp;$C$4,DaybyDay[Date],"&lt;="&amp;DaybyDay[[#This Row],[Date]])</f>
        <v>0</v>
      </c>
      <c r="P838" s="33">
        <f>SUMIFS(DaybyDay[Retail-Budgets],DaybyDay[Date],"&gt;="&amp;$C$5,DaybyDay[RowYear],"&gt;="&amp;$C$4,DaybyDay[Date],"&lt;="&amp;DaybyDay[[#This Row],[Date]])</f>
        <v>0</v>
      </c>
      <c r="Q838" s="34">
        <f>SUMIFS(DaybyDay[Service-Actuals],DaybyDay[Date],"&gt;="&amp;$C$5,DaybyDay[RowYear],"&gt;="&amp;$C$4,DaybyDay[Date],"&lt;="&amp;DaybyDay[[#This Row],[Date]])</f>
        <v>0</v>
      </c>
      <c r="R838" s="34">
        <f>SUMIFS(DaybyDay[Retail-Actuals],DaybyDay[Date],"&gt;="&amp;$C$5,DaybyDay[RowYear],"&gt;="&amp;$C$4,DaybyDay[Date],"&lt;="&amp;DaybyDay[[#This Row],[Date]])</f>
        <v>0</v>
      </c>
      <c r="S838" s="35">
        <f>SUMIFS(DaybyDay[Service-LY],DaybyDay[Date],"&gt;="&amp;$C$5,DaybyDay[RowYear],"&gt;="&amp;$C$4,DaybyDay[Date],"&lt;="&amp;DaybyDay[[#This Row],[Date]])</f>
        <v>0</v>
      </c>
      <c r="T838" s="35">
        <f>SUMIFS(DaybyDay[Retail-LY],DaybyDay[Date],"&gt;="&amp;$C$5,DaybyDay[RowYear],"&gt;="&amp;$C$4,DaybyDay[Date],"&lt;="&amp;DaybyDay[[#This Row],[Date]])</f>
        <v>0</v>
      </c>
      <c r="U838" s="32">
        <f>DaybyDay[[#This Row],[Serv-Bud-RU]]+DaybyDay[[#This Row],[Ret-Bud-RU]]</f>
        <v>0</v>
      </c>
      <c r="V838" s="32">
        <f>DaybyDay[[#This Row],[Serv-Act-RU]]+DaybyDay[[#This Row],[Ret-Act-RU]]</f>
        <v>0</v>
      </c>
      <c r="W838" s="36">
        <f>IF(DaybyDay[[#This Row],[_Space]],IFERROR(
((DaybyDay[[#This Row],[Actual-Rollup]]-DaybyDay[[#This Row],[Budget-Rollup]])/DaybyDay[[#This Row],[Budget-Rollup]]),0),"")</f>
        <v>0</v>
      </c>
      <c r="X838" t="b">
        <f>NOT(AND(ISBLANK(DaybyDay[[#This Row],[Appts]]),ISBLANK(DaybyDay[[#This Row],[Service-Actuals]]),ISBLANK(DaybyDay[[#This Row],[Retail-Actuals]])))</f>
        <v>1</v>
      </c>
      <c r="Y838" s="36">
        <f>IF(DaybyDay[[#This Row],[_Space]],IFERROR(
((DaybyDay[[#This Row],[Actual-Rollup]]-DaybyDay[[#This Row],[LY-Rollup]])/DaybyDay[[#This Row],[LY-Rollup]]),0),"")</f>
        <v>0</v>
      </c>
      <c r="Z838"/>
      <c r="AA838" s="37" t="e">
        <f>IF(DaybyDay[[#This Row],[_Space]],DaybyDay[[#This Row],[Ret-Act-RU]]/DaybyDay[[#This Row],[Serv-Act-RU]],"")</f>
        <v>#DIV/0!</v>
      </c>
      <c r="AB838" s="50" t="e">
        <f>IF(DaybyDay[[#This Row],[_Space]],DaybyDay[[#This Row],[RETPEN-Act]]/DaybyDay[[#This Row],[RETPEN-Bud]],"")</f>
        <v>#DIV/0!</v>
      </c>
      <c r="AC838" s="37" t="e">
        <f>IF(DaybyDay[[#This Row],[_Space]],DaybyDay[[#This Row],[Ret-Bud-RU]]/DaybyDay[[#This Row],[Serv-Bud-RU]],"")</f>
        <v>#DIV/0!</v>
      </c>
      <c r="AD838" s="37" t="e">
        <f>IF(DaybyDay[[#This Row],[_Space]],DaybyDay[[#This Row],[Ret-LY-RU]]/DaybyDay[[#This Row],[Serv-LY-RU]],"")</f>
        <v>#DIV/0!</v>
      </c>
      <c r="AE838" s="30">
        <f>WEEKDAY(DaybyDay[[#This Row],[LY-Date]])</f>
        <v>6</v>
      </c>
      <c r="AF838" s="38">
        <f>$E$2+_xlfn.DAYS(DaybyDay[[#This Row],[Date]],minDate)</f>
        <v>43203</v>
      </c>
      <c r="AG838" s="39" cm="1">
        <f t="array" ref="AG838">IFERROR(INDEX(DaybyDay[],DaybyDay[[#This Row],[FORM_MATCH_HELPER]],8),"")</f>
        <v>9</v>
      </c>
      <c r="AH838" s="39" cm="1">
        <f t="array" ref="AH838">IFERROR(INDEX(DaybyDay[],DaybyDay[[#This Row],[FORM_MATCH_HELPER]],10),"")</f>
        <v>1745</v>
      </c>
      <c r="AI838" s="39" cm="1">
        <f t="array" ref="AI838">IFERROR(INDEX(DaybyDay[],DaybyDay[[#This Row],[FORM_MATCH_HELPER]],12),"")</f>
        <v>1546.5</v>
      </c>
      <c r="AJ838" s="32">
        <f>IFERROR(DaybyDay[[#This Row],[Serv-LY-RU]]+DaybyDay[[#This Row],[Ret-LY-RU]],"")</f>
        <v>0</v>
      </c>
      <c r="AK8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8" s="77"/>
      <c r="AM838" s="40" t="str">
        <f>IF(DaybyDay[[#This Row],[Admin Hours]]&gt;0,DaybyDay[[#This Row],[Admin Hours]]*$AM$2+$AM$3,"")</f>
        <v/>
      </c>
      <c r="AN838" s="40">
        <f>SUMIFS(DaybyDay[Est-Admin-Payroll],DaybyDay[Date],"&gt;="&amp;$C$5,DaybyDay[RowYear],"&gt;="&amp;$C$4,DaybyDay[Date],"&lt;="&amp;DaybyDay[[#This Row],[Date]])</f>
        <v>0</v>
      </c>
      <c r="AO838" s="41" t="str">
        <f>IF(AND(DaybyDay[[#This Row],[_Space]],ISNUMBER(DaybyDay[[#This Row],[Admin Hours]])),DaybyDay[[#This Row],[Est-Admin-Payroll]]/(DaybyDay[[#This Row],[Service-Actuals]]+DaybyDay[[#This Row],[Retail-Actuals]]),"")</f>
        <v/>
      </c>
      <c r="AP838" s="41" t="e">
        <f>DaybyDay[[#This Row],[Estimated-Payroll-Rollup]]/DaybyDay[[#This Row],[Simple-Forecast]]</f>
        <v>#DIV/0!</v>
      </c>
      <c r="AQ8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8" s="77"/>
      <c r="AS838" s="40" t="str">
        <f>IF(DaybyDay[[#This Row],[Retail Hours]]&gt;0,DaybyDay[[#This Row],[Retail Hours]]*$AS$2,"")</f>
        <v/>
      </c>
      <c r="AT838" s="40">
        <f>SUMIFS(DaybyDay[Est-Retail-Payroll],DaybyDay[Date],"&gt;="&amp;$C$5,DaybyDay[RowYear],"&gt;="&amp;$C$4,DaybyDay[Date],"&lt;="&amp;DaybyDay[[#This Row],[Date]])</f>
        <v>0</v>
      </c>
      <c r="AU838" s="82" t="str">
        <f>IF(AND(DaybyDay[[#This Row],[_Space]],ISNUMBER(DaybyDay[[#This Row],[Retail Hours]])),DaybyDay[[#This Row],[Est-Retail-Payroll]]/(DaybyDay[[#This Row],[Retail-Actuals]]),"")</f>
        <v/>
      </c>
      <c r="AV838" s="82" t="e">
        <f>DaybyDay[[#This Row],[Est-Retail-PayrollRU]]/DaybyDay[[#This Row],[Simple-Forecast-Retail]]</f>
        <v>#DIV/0!</v>
      </c>
      <c r="AW838" s="8"/>
      <c r="AX838" s="49"/>
      <c r="AY838" s="48"/>
      <c r="AZ838" s="47"/>
      <c r="BA838" s="47"/>
      <c r="BB838" s="47"/>
      <c r="BC838" s="47"/>
      <c r="BD838" s="47"/>
    </row>
    <row r="839" spans="3:56" hidden="1" x14ac:dyDescent="0.25">
      <c r="C839" s="26" t="str">
        <f>Tools!$C$1</f>
        <v>Example</v>
      </c>
      <c r="D839" s="27" t="s">
        <v>71</v>
      </c>
      <c r="E839" s="28">
        <v>2019</v>
      </c>
      <c r="F839" s="28">
        <f>MATCH(DaybyDay[[#This Row],[RowMonth]],Table3[SummaryMonth],0)</f>
        <v>4</v>
      </c>
      <c r="G839" s="29">
        <f>MATCH(DaybyDay[[#This Row],[LY-Date]],DaybyDay[Date],0)</f>
        <v>469</v>
      </c>
      <c r="H839" s="30">
        <f>WEEKDAY(DaybyDay[[#This Row],[Date]])</f>
        <v>7</v>
      </c>
      <c r="I839" s="31">
        <v>43568</v>
      </c>
      <c r="J839" s="74">
        <v>33</v>
      </c>
      <c r="K839" s="32">
        <f>SUMIFS(BudgetSeasonality[365 Seasonality],BudgetSeasonality[MonthAdjustment],DaybyDay[[#This Row],[Date]])*SUMIFS(Budgets[Service-Budget],Budgets[BudgetMonth],DaybyDay[[#This Row],[RowMonth]],Budgets[BudgetYear],DaybyDay[[#This Row],[RowYear]])</f>
        <v>6436.5973520045891</v>
      </c>
      <c r="L839" s="75">
        <v>8878.1999999999989</v>
      </c>
      <c r="M839" s="32">
        <f>INDEX(BudgetSeasonality[365 Seasonality],MATCH(DaybyDay[[#This Row],[Date]],BudgetSeasonality[MonthAdjustment],0))*SUMIFS(Budgets[Retail-Budget],Budgets[BudgetMonth],DaybyDay[[#This Row],[RowMonth]],Budgets[BudgetYear],DaybyDay[[#This Row],[RowYear]])</f>
        <v>1786.9866035095795</v>
      </c>
      <c r="N839" s="75">
        <v>311.02999999999997</v>
      </c>
      <c r="O839" s="33">
        <f>SUMIFS(DaybyDay[Service-Budgets],DaybyDay[Date],"&gt;="&amp;$C$5,DaybyDay[RowYear],"&gt;="&amp;$C$4,DaybyDay[Date],"&lt;="&amp;DaybyDay[[#This Row],[Date]])</f>
        <v>0</v>
      </c>
      <c r="P839" s="33">
        <f>SUMIFS(DaybyDay[Retail-Budgets],DaybyDay[Date],"&gt;="&amp;$C$5,DaybyDay[RowYear],"&gt;="&amp;$C$4,DaybyDay[Date],"&lt;="&amp;DaybyDay[[#This Row],[Date]])</f>
        <v>0</v>
      </c>
      <c r="Q839" s="34">
        <f>SUMIFS(DaybyDay[Service-Actuals],DaybyDay[Date],"&gt;="&amp;$C$5,DaybyDay[RowYear],"&gt;="&amp;$C$4,DaybyDay[Date],"&lt;="&amp;DaybyDay[[#This Row],[Date]])</f>
        <v>0</v>
      </c>
      <c r="R839" s="34">
        <f>SUMIFS(DaybyDay[Retail-Actuals],DaybyDay[Date],"&gt;="&amp;$C$5,DaybyDay[RowYear],"&gt;="&amp;$C$4,DaybyDay[Date],"&lt;="&amp;DaybyDay[[#This Row],[Date]])</f>
        <v>0</v>
      </c>
      <c r="S839" s="35">
        <f>SUMIFS(DaybyDay[Service-LY],DaybyDay[Date],"&gt;="&amp;$C$5,DaybyDay[RowYear],"&gt;="&amp;$C$4,DaybyDay[Date],"&lt;="&amp;DaybyDay[[#This Row],[Date]])</f>
        <v>0</v>
      </c>
      <c r="T839" s="35">
        <f>SUMIFS(DaybyDay[Retail-LY],DaybyDay[Date],"&gt;="&amp;$C$5,DaybyDay[RowYear],"&gt;="&amp;$C$4,DaybyDay[Date],"&lt;="&amp;DaybyDay[[#This Row],[Date]])</f>
        <v>0</v>
      </c>
      <c r="U839" s="32">
        <f>DaybyDay[[#This Row],[Serv-Bud-RU]]+DaybyDay[[#This Row],[Ret-Bud-RU]]</f>
        <v>0</v>
      </c>
      <c r="V839" s="32">
        <f>DaybyDay[[#This Row],[Serv-Act-RU]]+DaybyDay[[#This Row],[Ret-Act-RU]]</f>
        <v>0</v>
      </c>
      <c r="W839" s="36">
        <f>IF(DaybyDay[[#This Row],[_Space]],IFERROR(
((DaybyDay[[#This Row],[Actual-Rollup]]-DaybyDay[[#This Row],[Budget-Rollup]])/DaybyDay[[#This Row],[Budget-Rollup]]),0),"")</f>
        <v>0</v>
      </c>
      <c r="X839" t="b">
        <f>NOT(AND(ISBLANK(DaybyDay[[#This Row],[Appts]]),ISBLANK(DaybyDay[[#This Row],[Service-Actuals]]),ISBLANK(DaybyDay[[#This Row],[Retail-Actuals]])))</f>
        <v>1</v>
      </c>
      <c r="Y839" s="36">
        <f>IF(DaybyDay[[#This Row],[_Space]],IFERROR(
((DaybyDay[[#This Row],[Actual-Rollup]]-DaybyDay[[#This Row],[LY-Rollup]])/DaybyDay[[#This Row],[LY-Rollup]]),0),"")</f>
        <v>0</v>
      </c>
      <c r="Z839"/>
      <c r="AA839" s="37" t="e">
        <f>IF(DaybyDay[[#This Row],[_Space]],DaybyDay[[#This Row],[Ret-Act-RU]]/DaybyDay[[#This Row],[Serv-Act-RU]],"")</f>
        <v>#DIV/0!</v>
      </c>
      <c r="AB839" s="50" t="e">
        <f>IF(DaybyDay[[#This Row],[_Space]],DaybyDay[[#This Row],[RETPEN-Act]]/DaybyDay[[#This Row],[RETPEN-Bud]],"")</f>
        <v>#DIV/0!</v>
      </c>
      <c r="AC839" s="37" t="e">
        <f>IF(DaybyDay[[#This Row],[_Space]],DaybyDay[[#This Row],[Ret-Bud-RU]]/DaybyDay[[#This Row],[Serv-Bud-RU]],"")</f>
        <v>#DIV/0!</v>
      </c>
      <c r="AD839" s="37" t="e">
        <f>IF(DaybyDay[[#This Row],[_Space]],DaybyDay[[#This Row],[Ret-LY-RU]]/DaybyDay[[#This Row],[Serv-LY-RU]],"")</f>
        <v>#DIV/0!</v>
      </c>
      <c r="AE839" s="30">
        <f>WEEKDAY(DaybyDay[[#This Row],[LY-Date]])</f>
        <v>7</v>
      </c>
      <c r="AF839" s="38">
        <f>$E$2+_xlfn.DAYS(DaybyDay[[#This Row],[Date]],minDate)</f>
        <v>43204</v>
      </c>
      <c r="AG839" s="39" cm="1">
        <f t="array" ref="AG839">IFERROR(INDEX(DaybyDay[],DaybyDay[[#This Row],[FORM_MATCH_HELPER]],8),"")</f>
        <v>28</v>
      </c>
      <c r="AH839" s="39" cm="1">
        <f t="array" ref="AH839">IFERROR(INDEX(DaybyDay[],DaybyDay[[#This Row],[FORM_MATCH_HELPER]],10),"")</f>
        <v>6729.5</v>
      </c>
      <c r="AI839" s="39" cm="1">
        <f t="array" ref="AI839">IFERROR(INDEX(DaybyDay[],DaybyDay[[#This Row],[FORM_MATCH_HELPER]],12),"")</f>
        <v>2618.8000000000002</v>
      </c>
      <c r="AJ839" s="32">
        <f>IFERROR(DaybyDay[[#This Row],[Serv-LY-RU]]+DaybyDay[[#This Row],[Ret-LY-RU]],"")</f>
        <v>0</v>
      </c>
      <c r="AK8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39" s="77"/>
      <c r="AM839" s="40" t="str">
        <f>IF(DaybyDay[[#This Row],[Admin Hours]]&gt;0,DaybyDay[[#This Row],[Admin Hours]]*$AM$2+$AM$3,"")</f>
        <v/>
      </c>
      <c r="AN839" s="40">
        <f>SUMIFS(DaybyDay[Est-Admin-Payroll],DaybyDay[Date],"&gt;="&amp;$C$5,DaybyDay[RowYear],"&gt;="&amp;$C$4,DaybyDay[Date],"&lt;="&amp;DaybyDay[[#This Row],[Date]])</f>
        <v>0</v>
      </c>
      <c r="AO839" s="41" t="str">
        <f>IF(AND(DaybyDay[[#This Row],[_Space]],ISNUMBER(DaybyDay[[#This Row],[Admin Hours]])),DaybyDay[[#This Row],[Est-Admin-Payroll]]/(DaybyDay[[#This Row],[Service-Actuals]]+DaybyDay[[#This Row],[Retail-Actuals]]),"")</f>
        <v/>
      </c>
      <c r="AP839" s="41" t="e">
        <f>DaybyDay[[#This Row],[Estimated-Payroll-Rollup]]/DaybyDay[[#This Row],[Simple-Forecast]]</f>
        <v>#DIV/0!</v>
      </c>
      <c r="AQ8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39" s="77"/>
      <c r="AS839" s="40" t="str">
        <f>IF(DaybyDay[[#This Row],[Retail Hours]]&gt;0,DaybyDay[[#This Row],[Retail Hours]]*$AS$2,"")</f>
        <v/>
      </c>
      <c r="AT839" s="40">
        <f>SUMIFS(DaybyDay[Est-Retail-Payroll],DaybyDay[Date],"&gt;="&amp;$C$5,DaybyDay[RowYear],"&gt;="&amp;$C$4,DaybyDay[Date],"&lt;="&amp;DaybyDay[[#This Row],[Date]])</f>
        <v>0</v>
      </c>
      <c r="AU839" s="82" t="str">
        <f>IF(AND(DaybyDay[[#This Row],[_Space]],ISNUMBER(DaybyDay[[#This Row],[Retail Hours]])),DaybyDay[[#This Row],[Est-Retail-Payroll]]/(DaybyDay[[#This Row],[Retail-Actuals]]),"")</f>
        <v/>
      </c>
      <c r="AV839" s="82" t="e">
        <f>DaybyDay[[#This Row],[Est-Retail-PayrollRU]]/DaybyDay[[#This Row],[Simple-Forecast-Retail]]</f>
        <v>#DIV/0!</v>
      </c>
      <c r="AW839" s="8"/>
      <c r="AX839" s="49"/>
      <c r="AY839" s="48"/>
      <c r="AZ839" s="47"/>
      <c r="BA839" s="47"/>
      <c r="BB839" s="47"/>
      <c r="BC839" s="47"/>
      <c r="BD839" s="47"/>
    </row>
    <row r="840" spans="3:56" hidden="1" x14ac:dyDescent="0.25">
      <c r="C840" s="26" t="str">
        <f>Tools!$C$1</f>
        <v>Example</v>
      </c>
      <c r="D840" s="27" t="s">
        <v>71</v>
      </c>
      <c r="E840" s="28">
        <v>2019</v>
      </c>
      <c r="F840" s="28">
        <f>MATCH(DaybyDay[[#This Row],[RowMonth]],Table3[SummaryMonth],0)</f>
        <v>4</v>
      </c>
      <c r="G840" s="29">
        <f>MATCH(DaybyDay[[#This Row],[LY-Date]],DaybyDay[Date],0)</f>
        <v>470</v>
      </c>
      <c r="H840" s="30">
        <f>WEEKDAY(DaybyDay[[#This Row],[Date]])</f>
        <v>1</v>
      </c>
      <c r="I840" s="31">
        <v>43569</v>
      </c>
      <c r="J840" s="74">
        <v>30</v>
      </c>
      <c r="K840" s="32">
        <f>SUMIFS(BudgetSeasonality[365 Seasonality],BudgetSeasonality[MonthAdjustment],DaybyDay[[#This Row],[Date]])*SUMIFS(Budgets[Service-Budget],Budgets[BudgetMonth],DaybyDay[[#This Row],[RowMonth]],Budgets[BudgetYear],DaybyDay[[#This Row],[RowYear]])</f>
        <v>4892.6449672449871</v>
      </c>
      <c r="L840" s="75">
        <v>5977.72</v>
      </c>
      <c r="M840" s="32">
        <f>INDEX(BudgetSeasonality[365 Seasonality],MATCH(DaybyDay[[#This Row],[Date]],BudgetSeasonality[MonthAdjustment],0))*SUMIFS(Budgets[Retail-Budget],Budgets[BudgetMonth],DaybyDay[[#This Row],[RowMonth]],Budgets[BudgetYear],DaybyDay[[#This Row],[RowYear]])</f>
        <v>1358.3405228031613</v>
      </c>
      <c r="N840" s="75">
        <v>164</v>
      </c>
      <c r="O840" s="33">
        <f>SUMIFS(DaybyDay[Service-Budgets],DaybyDay[Date],"&gt;="&amp;$C$5,DaybyDay[RowYear],"&gt;="&amp;$C$4,DaybyDay[Date],"&lt;="&amp;DaybyDay[[#This Row],[Date]])</f>
        <v>0</v>
      </c>
      <c r="P840" s="33">
        <f>SUMIFS(DaybyDay[Retail-Budgets],DaybyDay[Date],"&gt;="&amp;$C$5,DaybyDay[RowYear],"&gt;="&amp;$C$4,DaybyDay[Date],"&lt;="&amp;DaybyDay[[#This Row],[Date]])</f>
        <v>0</v>
      </c>
      <c r="Q840" s="34">
        <f>SUMIFS(DaybyDay[Service-Actuals],DaybyDay[Date],"&gt;="&amp;$C$5,DaybyDay[RowYear],"&gt;="&amp;$C$4,DaybyDay[Date],"&lt;="&amp;DaybyDay[[#This Row],[Date]])</f>
        <v>0</v>
      </c>
      <c r="R840" s="34">
        <f>SUMIFS(DaybyDay[Retail-Actuals],DaybyDay[Date],"&gt;="&amp;$C$5,DaybyDay[RowYear],"&gt;="&amp;$C$4,DaybyDay[Date],"&lt;="&amp;DaybyDay[[#This Row],[Date]])</f>
        <v>0</v>
      </c>
      <c r="S840" s="35">
        <f>SUMIFS(DaybyDay[Service-LY],DaybyDay[Date],"&gt;="&amp;$C$5,DaybyDay[RowYear],"&gt;="&amp;$C$4,DaybyDay[Date],"&lt;="&amp;DaybyDay[[#This Row],[Date]])</f>
        <v>0</v>
      </c>
      <c r="T840" s="35">
        <f>SUMIFS(DaybyDay[Retail-LY],DaybyDay[Date],"&gt;="&amp;$C$5,DaybyDay[RowYear],"&gt;="&amp;$C$4,DaybyDay[Date],"&lt;="&amp;DaybyDay[[#This Row],[Date]])</f>
        <v>0</v>
      </c>
      <c r="U840" s="32">
        <f>DaybyDay[[#This Row],[Serv-Bud-RU]]+DaybyDay[[#This Row],[Ret-Bud-RU]]</f>
        <v>0</v>
      </c>
      <c r="V840" s="32">
        <f>DaybyDay[[#This Row],[Serv-Act-RU]]+DaybyDay[[#This Row],[Ret-Act-RU]]</f>
        <v>0</v>
      </c>
      <c r="W840" s="36">
        <f>IF(DaybyDay[[#This Row],[_Space]],IFERROR(
((DaybyDay[[#This Row],[Actual-Rollup]]-DaybyDay[[#This Row],[Budget-Rollup]])/DaybyDay[[#This Row],[Budget-Rollup]]),0),"")</f>
        <v>0</v>
      </c>
      <c r="X840" t="b">
        <f>NOT(AND(ISBLANK(DaybyDay[[#This Row],[Appts]]),ISBLANK(DaybyDay[[#This Row],[Service-Actuals]]),ISBLANK(DaybyDay[[#This Row],[Retail-Actuals]])))</f>
        <v>1</v>
      </c>
      <c r="Y840" s="36">
        <f>IF(DaybyDay[[#This Row],[_Space]],IFERROR(
((DaybyDay[[#This Row],[Actual-Rollup]]-DaybyDay[[#This Row],[LY-Rollup]])/DaybyDay[[#This Row],[LY-Rollup]]),0),"")</f>
        <v>0</v>
      </c>
      <c r="Z840"/>
      <c r="AA840" s="37" t="e">
        <f>IF(DaybyDay[[#This Row],[_Space]],DaybyDay[[#This Row],[Ret-Act-RU]]/DaybyDay[[#This Row],[Serv-Act-RU]],"")</f>
        <v>#DIV/0!</v>
      </c>
      <c r="AB840" s="50" t="e">
        <f>IF(DaybyDay[[#This Row],[_Space]],DaybyDay[[#This Row],[RETPEN-Act]]/DaybyDay[[#This Row],[RETPEN-Bud]],"")</f>
        <v>#DIV/0!</v>
      </c>
      <c r="AC840" s="37" t="e">
        <f>IF(DaybyDay[[#This Row],[_Space]],DaybyDay[[#This Row],[Ret-Bud-RU]]/DaybyDay[[#This Row],[Serv-Bud-RU]],"")</f>
        <v>#DIV/0!</v>
      </c>
      <c r="AD840" s="37" t="e">
        <f>IF(DaybyDay[[#This Row],[_Space]],DaybyDay[[#This Row],[Ret-LY-RU]]/DaybyDay[[#This Row],[Serv-LY-RU]],"")</f>
        <v>#DIV/0!</v>
      </c>
      <c r="AE840" s="30">
        <f>WEEKDAY(DaybyDay[[#This Row],[LY-Date]])</f>
        <v>1</v>
      </c>
      <c r="AF840" s="38">
        <f>$E$2+_xlfn.DAYS(DaybyDay[[#This Row],[Date]],minDate)</f>
        <v>43205</v>
      </c>
      <c r="AG840" s="39" cm="1">
        <f t="array" ref="AG840">IFERROR(INDEX(DaybyDay[],DaybyDay[[#This Row],[FORM_MATCH_HELPER]],8),"")</f>
        <v>26</v>
      </c>
      <c r="AH840" s="39" cm="1">
        <f t="array" ref="AH840">IFERROR(INDEX(DaybyDay[],DaybyDay[[#This Row],[FORM_MATCH_HELPER]],10),"")</f>
        <v>5842</v>
      </c>
      <c r="AI840" s="39" cm="1">
        <f t="array" ref="AI840">IFERROR(INDEX(DaybyDay[],DaybyDay[[#This Row],[FORM_MATCH_HELPER]],12),"")</f>
        <v>446</v>
      </c>
      <c r="AJ840" s="32">
        <f>IFERROR(DaybyDay[[#This Row],[Serv-LY-RU]]+DaybyDay[[#This Row],[Ret-LY-RU]],"")</f>
        <v>0</v>
      </c>
      <c r="AK8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0" s="77"/>
      <c r="AM840" s="40" t="str">
        <f>IF(DaybyDay[[#This Row],[Admin Hours]]&gt;0,DaybyDay[[#This Row],[Admin Hours]]*$AM$2+$AM$3,"")</f>
        <v/>
      </c>
      <c r="AN840" s="40">
        <f>SUMIFS(DaybyDay[Est-Admin-Payroll],DaybyDay[Date],"&gt;="&amp;$C$5,DaybyDay[RowYear],"&gt;="&amp;$C$4,DaybyDay[Date],"&lt;="&amp;DaybyDay[[#This Row],[Date]])</f>
        <v>0</v>
      </c>
      <c r="AO840" s="41" t="str">
        <f>IF(AND(DaybyDay[[#This Row],[_Space]],ISNUMBER(DaybyDay[[#This Row],[Admin Hours]])),DaybyDay[[#This Row],[Est-Admin-Payroll]]/(DaybyDay[[#This Row],[Service-Actuals]]+DaybyDay[[#This Row],[Retail-Actuals]]),"")</f>
        <v/>
      </c>
      <c r="AP840" s="41" t="e">
        <f>DaybyDay[[#This Row],[Estimated-Payroll-Rollup]]/DaybyDay[[#This Row],[Simple-Forecast]]</f>
        <v>#DIV/0!</v>
      </c>
      <c r="AQ8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0" s="77"/>
      <c r="AS840" s="40" t="str">
        <f>IF(DaybyDay[[#This Row],[Retail Hours]]&gt;0,DaybyDay[[#This Row],[Retail Hours]]*$AS$2,"")</f>
        <v/>
      </c>
      <c r="AT840" s="40">
        <f>SUMIFS(DaybyDay[Est-Retail-Payroll],DaybyDay[Date],"&gt;="&amp;$C$5,DaybyDay[RowYear],"&gt;="&amp;$C$4,DaybyDay[Date],"&lt;="&amp;DaybyDay[[#This Row],[Date]])</f>
        <v>0</v>
      </c>
      <c r="AU840" s="82" t="str">
        <f>IF(AND(DaybyDay[[#This Row],[_Space]],ISNUMBER(DaybyDay[[#This Row],[Retail Hours]])),DaybyDay[[#This Row],[Est-Retail-Payroll]]/(DaybyDay[[#This Row],[Retail-Actuals]]),"")</f>
        <v/>
      </c>
      <c r="AV840" s="82" t="e">
        <f>DaybyDay[[#This Row],[Est-Retail-PayrollRU]]/DaybyDay[[#This Row],[Simple-Forecast-Retail]]</f>
        <v>#DIV/0!</v>
      </c>
      <c r="AW840" s="8"/>
      <c r="AX840" s="49"/>
      <c r="AY840" s="48"/>
      <c r="AZ840" s="47"/>
      <c r="BA840" s="47"/>
      <c r="BB840" s="47"/>
      <c r="BC840" s="47"/>
      <c r="BD840" s="47"/>
    </row>
    <row r="841" spans="3:56" hidden="1" x14ac:dyDescent="0.25">
      <c r="C841" s="26" t="str">
        <f>Tools!$C$1</f>
        <v>Example</v>
      </c>
      <c r="D841" s="27" t="s">
        <v>71</v>
      </c>
      <c r="E841" s="28">
        <v>2019</v>
      </c>
      <c r="F841" s="28">
        <f>MATCH(DaybyDay[[#This Row],[RowMonth]],Table3[SummaryMonth],0)</f>
        <v>4</v>
      </c>
      <c r="G841" s="29">
        <f>MATCH(DaybyDay[[#This Row],[LY-Date]],DaybyDay[Date],0)</f>
        <v>471</v>
      </c>
      <c r="H841" s="30">
        <f>WEEKDAY(DaybyDay[[#This Row],[Date]])</f>
        <v>2</v>
      </c>
      <c r="I841" s="31">
        <v>43570</v>
      </c>
      <c r="J841" s="74">
        <v>7</v>
      </c>
      <c r="K841" s="32">
        <f>SUMIFS(BudgetSeasonality[365 Seasonality],BudgetSeasonality[MonthAdjustment],DaybyDay[[#This Row],[Date]])*SUMIFS(Budgets[Service-Budget],Budgets[BudgetMonth],DaybyDay[[#This Row],[RowMonth]],Budgets[BudgetYear],DaybyDay[[#This Row],[RowYear]])</f>
        <v>2703.7219125908218</v>
      </c>
      <c r="L841" s="75">
        <v>1936.2</v>
      </c>
      <c r="M841" s="32">
        <f>INDEX(BudgetSeasonality[365 Seasonality],MATCH(DaybyDay[[#This Row],[Date]],BudgetSeasonality[MonthAdjustment],0))*SUMIFS(Budgets[Retail-Budget],Budgets[BudgetMonth],DaybyDay[[#This Row],[RowMonth]],Budgets[BudgetYear],DaybyDay[[#This Row],[RowYear]])</f>
        <v>750.63182815224388</v>
      </c>
      <c r="N841" s="75">
        <v>0</v>
      </c>
      <c r="O841" s="33">
        <f>SUMIFS(DaybyDay[Service-Budgets],DaybyDay[Date],"&gt;="&amp;$C$5,DaybyDay[RowYear],"&gt;="&amp;$C$4,DaybyDay[Date],"&lt;="&amp;DaybyDay[[#This Row],[Date]])</f>
        <v>0</v>
      </c>
      <c r="P841" s="33">
        <f>SUMIFS(DaybyDay[Retail-Budgets],DaybyDay[Date],"&gt;="&amp;$C$5,DaybyDay[RowYear],"&gt;="&amp;$C$4,DaybyDay[Date],"&lt;="&amp;DaybyDay[[#This Row],[Date]])</f>
        <v>0</v>
      </c>
      <c r="Q841" s="34">
        <f>SUMIFS(DaybyDay[Service-Actuals],DaybyDay[Date],"&gt;="&amp;$C$5,DaybyDay[RowYear],"&gt;="&amp;$C$4,DaybyDay[Date],"&lt;="&amp;DaybyDay[[#This Row],[Date]])</f>
        <v>0</v>
      </c>
      <c r="R841" s="34">
        <f>SUMIFS(DaybyDay[Retail-Actuals],DaybyDay[Date],"&gt;="&amp;$C$5,DaybyDay[RowYear],"&gt;="&amp;$C$4,DaybyDay[Date],"&lt;="&amp;DaybyDay[[#This Row],[Date]])</f>
        <v>0</v>
      </c>
      <c r="S841" s="35">
        <f>SUMIFS(DaybyDay[Service-LY],DaybyDay[Date],"&gt;="&amp;$C$5,DaybyDay[RowYear],"&gt;="&amp;$C$4,DaybyDay[Date],"&lt;="&amp;DaybyDay[[#This Row],[Date]])</f>
        <v>0</v>
      </c>
      <c r="T841" s="35">
        <f>SUMIFS(DaybyDay[Retail-LY],DaybyDay[Date],"&gt;="&amp;$C$5,DaybyDay[RowYear],"&gt;="&amp;$C$4,DaybyDay[Date],"&lt;="&amp;DaybyDay[[#This Row],[Date]])</f>
        <v>0</v>
      </c>
      <c r="U841" s="32">
        <f>DaybyDay[[#This Row],[Serv-Bud-RU]]+DaybyDay[[#This Row],[Ret-Bud-RU]]</f>
        <v>0</v>
      </c>
      <c r="V841" s="32">
        <f>DaybyDay[[#This Row],[Serv-Act-RU]]+DaybyDay[[#This Row],[Ret-Act-RU]]</f>
        <v>0</v>
      </c>
      <c r="W841" s="36">
        <f>IF(DaybyDay[[#This Row],[_Space]],IFERROR(
((DaybyDay[[#This Row],[Actual-Rollup]]-DaybyDay[[#This Row],[Budget-Rollup]])/DaybyDay[[#This Row],[Budget-Rollup]]),0),"")</f>
        <v>0</v>
      </c>
      <c r="X841" t="b">
        <f>NOT(AND(ISBLANK(DaybyDay[[#This Row],[Appts]]),ISBLANK(DaybyDay[[#This Row],[Service-Actuals]]),ISBLANK(DaybyDay[[#This Row],[Retail-Actuals]])))</f>
        <v>1</v>
      </c>
      <c r="Y841" s="36">
        <f>IF(DaybyDay[[#This Row],[_Space]],IFERROR(
((DaybyDay[[#This Row],[Actual-Rollup]]-DaybyDay[[#This Row],[LY-Rollup]])/DaybyDay[[#This Row],[LY-Rollup]]),0),"")</f>
        <v>0</v>
      </c>
      <c r="Z841"/>
      <c r="AA841" s="37" t="e">
        <f>IF(DaybyDay[[#This Row],[_Space]],DaybyDay[[#This Row],[Ret-Act-RU]]/DaybyDay[[#This Row],[Serv-Act-RU]],"")</f>
        <v>#DIV/0!</v>
      </c>
      <c r="AB841" s="50" t="e">
        <f>IF(DaybyDay[[#This Row],[_Space]],DaybyDay[[#This Row],[RETPEN-Act]]/DaybyDay[[#This Row],[RETPEN-Bud]],"")</f>
        <v>#DIV/0!</v>
      </c>
      <c r="AC841" s="37" t="e">
        <f>IF(DaybyDay[[#This Row],[_Space]],DaybyDay[[#This Row],[Ret-Bud-RU]]/DaybyDay[[#This Row],[Serv-Bud-RU]],"")</f>
        <v>#DIV/0!</v>
      </c>
      <c r="AD841" s="37" t="e">
        <f>IF(DaybyDay[[#This Row],[_Space]],DaybyDay[[#This Row],[Ret-LY-RU]]/DaybyDay[[#This Row],[Serv-LY-RU]],"")</f>
        <v>#DIV/0!</v>
      </c>
      <c r="AE841" s="30">
        <f>WEEKDAY(DaybyDay[[#This Row],[LY-Date]])</f>
        <v>2</v>
      </c>
      <c r="AF841" s="38">
        <f>$E$2+_xlfn.DAYS(DaybyDay[[#This Row],[Date]],minDate)</f>
        <v>43206</v>
      </c>
      <c r="AG841" s="39" cm="1">
        <f t="array" ref="AG841">IFERROR(INDEX(DaybyDay[],DaybyDay[[#This Row],[FORM_MATCH_HELPER]],8),"")</f>
        <v>19</v>
      </c>
      <c r="AH841" s="39" cm="1">
        <f t="array" ref="AH841">IFERROR(INDEX(DaybyDay[],DaybyDay[[#This Row],[FORM_MATCH_HELPER]],10),"")</f>
        <v>4794.5</v>
      </c>
      <c r="AI841" s="39" cm="1">
        <f t="array" ref="AI841">IFERROR(INDEX(DaybyDay[],DaybyDay[[#This Row],[FORM_MATCH_HELPER]],12),"")</f>
        <v>463</v>
      </c>
      <c r="AJ841" s="32">
        <f>IFERROR(DaybyDay[[#This Row],[Serv-LY-RU]]+DaybyDay[[#This Row],[Ret-LY-RU]],"")</f>
        <v>0</v>
      </c>
      <c r="AK8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1" s="77"/>
      <c r="AM841" s="40" t="str">
        <f>IF(DaybyDay[[#This Row],[Admin Hours]]&gt;0,DaybyDay[[#This Row],[Admin Hours]]*$AM$2+$AM$3,"")</f>
        <v/>
      </c>
      <c r="AN841" s="40">
        <f>SUMIFS(DaybyDay[Est-Admin-Payroll],DaybyDay[Date],"&gt;="&amp;$C$5,DaybyDay[RowYear],"&gt;="&amp;$C$4,DaybyDay[Date],"&lt;="&amp;DaybyDay[[#This Row],[Date]])</f>
        <v>0</v>
      </c>
      <c r="AO841" s="41" t="str">
        <f>IF(AND(DaybyDay[[#This Row],[_Space]],ISNUMBER(DaybyDay[[#This Row],[Admin Hours]])),DaybyDay[[#This Row],[Est-Admin-Payroll]]/(DaybyDay[[#This Row],[Service-Actuals]]+DaybyDay[[#This Row],[Retail-Actuals]]),"")</f>
        <v/>
      </c>
      <c r="AP841" s="41" t="e">
        <f>DaybyDay[[#This Row],[Estimated-Payroll-Rollup]]/DaybyDay[[#This Row],[Simple-Forecast]]</f>
        <v>#DIV/0!</v>
      </c>
      <c r="AQ8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1" s="77"/>
      <c r="AS841" s="40" t="str">
        <f>IF(DaybyDay[[#This Row],[Retail Hours]]&gt;0,DaybyDay[[#This Row],[Retail Hours]]*$AS$2,"")</f>
        <v/>
      </c>
      <c r="AT841" s="40">
        <f>SUMIFS(DaybyDay[Est-Retail-Payroll],DaybyDay[Date],"&gt;="&amp;$C$5,DaybyDay[RowYear],"&gt;="&amp;$C$4,DaybyDay[Date],"&lt;="&amp;DaybyDay[[#This Row],[Date]])</f>
        <v>0</v>
      </c>
      <c r="AU841" s="82" t="str">
        <f>IF(AND(DaybyDay[[#This Row],[_Space]],ISNUMBER(DaybyDay[[#This Row],[Retail Hours]])),DaybyDay[[#This Row],[Est-Retail-Payroll]]/(DaybyDay[[#This Row],[Retail-Actuals]]),"")</f>
        <v/>
      </c>
      <c r="AV841" s="82" t="e">
        <f>DaybyDay[[#This Row],[Est-Retail-PayrollRU]]/DaybyDay[[#This Row],[Simple-Forecast-Retail]]</f>
        <v>#DIV/0!</v>
      </c>
      <c r="AW841" s="8"/>
      <c r="AX841" s="49"/>
      <c r="AY841" s="48"/>
      <c r="AZ841" s="47"/>
      <c r="BA841" s="47"/>
      <c r="BB841" s="47"/>
      <c r="BC841" s="47"/>
      <c r="BD841" s="47"/>
    </row>
    <row r="842" spans="3:56" hidden="1" x14ac:dyDescent="0.25">
      <c r="C842" s="26" t="str">
        <f>Tools!$C$1</f>
        <v>Example</v>
      </c>
      <c r="D842" s="27" t="s">
        <v>71</v>
      </c>
      <c r="E842" s="28">
        <v>2019</v>
      </c>
      <c r="F842" s="28">
        <f>MATCH(DaybyDay[[#This Row],[RowMonth]],Table3[SummaryMonth],0)</f>
        <v>4</v>
      </c>
      <c r="G842" s="29">
        <f>MATCH(DaybyDay[[#This Row],[LY-Date]],DaybyDay[Date],0)</f>
        <v>472</v>
      </c>
      <c r="H842" s="30">
        <f>WEEKDAY(DaybyDay[[#This Row],[Date]])</f>
        <v>3</v>
      </c>
      <c r="I842" s="31">
        <v>43571</v>
      </c>
      <c r="J842" s="74">
        <v>8</v>
      </c>
      <c r="K842" s="32">
        <f>SUMIFS(BudgetSeasonality[365 Seasonality],BudgetSeasonality[MonthAdjustment],DaybyDay[[#This Row],[Date]])*SUMIFS(Budgets[Service-Budget],Budgets[BudgetMonth],DaybyDay[[#This Row],[RowMonth]],Budgets[BudgetYear],DaybyDay[[#This Row],[RowYear]])</f>
        <v>2706.9115770135759</v>
      </c>
      <c r="L842" s="75">
        <v>1433.6</v>
      </c>
      <c r="M842" s="32">
        <f>INDEX(BudgetSeasonality[365 Seasonality],MATCH(DaybyDay[[#This Row],[Date]],BudgetSeasonality[MonthAdjustment],0))*SUMIFS(Budgets[Retail-Budget],Budgets[BudgetMonth],DaybyDay[[#This Row],[RowMonth]],Budgets[BudgetYear],DaybyDay[[#This Row],[RowYear]])</f>
        <v>751.51737175260246</v>
      </c>
      <c r="N842" s="75">
        <v>0</v>
      </c>
      <c r="O842" s="33">
        <f>SUMIFS(DaybyDay[Service-Budgets],DaybyDay[Date],"&gt;="&amp;$C$5,DaybyDay[RowYear],"&gt;="&amp;$C$4,DaybyDay[Date],"&lt;="&amp;DaybyDay[[#This Row],[Date]])</f>
        <v>0</v>
      </c>
      <c r="P842" s="33">
        <f>SUMIFS(DaybyDay[Retail-Budgets],DaybyDay[Date],"&gt;="&amp;$C$5,DaybyDay[RowYear],"&gt;="&amp;$C$4,DaybyDay[Date],"&lt;="&amp;DaybyDay[[#This Row],[Date]])</f>
        <v>0</v>
      </c>
      <c r="Q842" s="34">
        <f>SUMIFS(DaybyDay[Service-Actuals],DaybyDay[Date],"&gt;="&amp;$C$5,DaybyDay[RowYear],"&gt;="&amp;$C$4,DaybyDay[Date],"&lt;="&amp;DaybyDay[[#This Row],[Date]])</f>
        <v>0</v>
      </c>
      <c r="R842" s="34">
        <f>SUMIFS(DaybyDay[Retail-Actuals],DaybyDay[Date],"&gt;="&amp;$C$5,DaybyDay[RowYear],"&gt;="&amp;$C$4,DaybyDay[Date],"&lt;="&amp;DaybyDay[[#This Row],[Date]])</f>
        <v>0</v>
      </c>
      <c r="S842" s="35">
        <f>SUMIFS(DaybyDay[Service-LY],DaybyDay[Date],"&gt;="&amp;$C$5,DaybyDay[RowYear],"&gt;="&amp;$C$4,DaybyDay[Date],"&lt;="&amp;DaybyDay[[#This Row],[Date]])</f>
        <v>0</v>
      </c>
      <c r="T842" s="35">
        <f>SUMIFS(DaybyDay[Retail-LY],DaybyDay[Date],"&gt;="&amp;$C$5,DaybyDay[RowYear],"&gt;="&amp;$C$4,DaybyDay[Date],"&lt;="&amp;DaybyDay[[#This Row],[Date]])</f>
        <v>0</v>
      </c>
      <c r="U842" s="32">
        <f>DaybyDay[[#This Row],[Serv-Bud-RU]]+DaybyDay[[#This Row],[Ret-Bud-RU]]</f>
        <v>0</v>
      </c>
      <c r="V842" s="32">
        <f>DaybyDay[[#This Row],[Serv-Act-RU]]+DaybyDay[[#This Row],[Ret-Act-RU]]</f>
        <v>0</v>
      </c>
      <c r="W842" s="36">
        <f>IF(DaybyDay[[#This Row],[_Space]],IFERROR(
((DaybyDay[[#This Row],[Actual-Rollup]]-DaybyDay[[#This Row],[Budget-Rollup]])/DaybyDay[[#This Row],[Budget-Rollup]]),0),"")</f>
        <v>0</v>
      </c>
      <c r="X842" t="b">
        <f>NOT(AND(ISBLANK(DaybyDay[[#This Row],[Appts]]),ISBLANK(DaybyDay[[#This Row],[Service-Actuals]]),ISBLANK(DaybyDay[[#This Row],[Retail-Actuals]])))</f>
        <v>1</v>
      </c>
      <c r="Y842" s="36">
        <f>IF(DaybyDay[[#This Row],[_Space]],IFERROR(
((DaybyDay[[#This Row],[Actual-Rollup]]-DaybyDay[[#This Row],[LY-Rollup]])/DaybyDay[[#This Row],[LY-Rollup]]),0),"")</f>
        <v>0</v>
      </c>
      <c r="Z842"/>
      <c r="AA842" s="37" t="e">
        <f>IF(DaybyDay[[#This Row],[_Space]],DaybyDay[[#This Row],[Ret-Act-RU]]/DaybyDay[[#This Row],[Serv-Act-RU]],"")</f>
        <v>#DIV/0!</v>
      </c>
      <c r="AB842" s="50" t="e">
        <f>IF(DaybyDay[[#This Row],[_Space]],DaybyDay[[#This Row],[RETPEN-Act]]/DaybyDay[[#This Row],[RETPEN-Bud]],"")</f>
        <v>#DIV/0!</v>
      </c>
      <c r="AC842" s="37" t="e">
        <f>IF(DaybyDay[[#This Row],[_Space]],DaybyDay[[#This Row],[Ret-Bud-RU]]/DaybyDay[[#This Row],[Serv-Bud-RU]],"")</f>
        <v>#DIV/0!</v>
      </c>
      <c r="AD842" s="37" t="e">
        <f>IF(DaybyDay[[#This Row],[_Space]],DaybyDay[[#This Row],[Ret-LY-RU]]/DaybyDay[[#This Row],[Serv-LY-RU]],"")</f>
        <v>#DIV/0!</v>
      </c>
      <c r="AE842" s="30">
        <f>WEEKDAY(DaybyDay[[#This Row],[LY-Date]])</f>
        <v>3</v>
      </c>
      <c r="AF842" s="38">
        <f>$E$2+_xlfn.DAYS(DaybyDay[[#This Row],[Date]],minDate)</f>
        <v>43207</v>
      </c>
      <c r="AG842" s="39" cm="1">
        <f t="array" ref="AG842">IFERROR(INDEX(DaybyDay[],DaybyDay[[#This Row],[FORM_MATCH_HELPER]],8),"")</f>
        <v>20</v>
      </c>
      <c r="AH842" s="39" cm="1">
        <f t="array" ref="AH842">IFERROR(INDEX(DaybyDay[],DaybyDay[[#This Row],[FORM_MATCH_HELPER]],10),"")</f>
        <v>4122</v>
      </c>
      <c r="AI842" s="39" cm="1">
        <f t="array" ref="AI842">IFERROR(INDEX(DaybyDay[],DaybyDay[[#This Row],[FORM_MATCH_HELPER]],12),"")</f>
        <v>436.97</v>
      </c>
      <c r="AJ842" s="32">
        <f>IFERROR(DaybyDay[[#This Row],[Serv-LY-RU]]+DaybyDay[[#This Row],[Ret-LY-RU]],"")</f>
        <v>0</v>
      </c>
      <c r="AK8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2" s="77"/>
      <c r="AM842" s="40" t="str">
        <f>IF(DaybyDay[[#This Row],[Admin Hours]]&gt;0,DaybyDay[[#This Row],[Admin Hours]]*$AM$2+$AM$3,"")</f>
        <v/>
      </c>
      <c r="AN842" s="40">
        <f>SUMIFS(DaybyDay[Est-Admin-Payroll],DaybyDay[Date],"&gt;="&amp;$C$5,DaybyDay[RowYear],"&gt;="&amp;$C$4,DaybyDay[Date],"&lt;="&amp;DaybyDay[[#This Row],[Date]])</f>
        <v>0</v>
      </c>
      <c r="AO842" s="41" t="str">
        <f>IF(AND(DaybyDay[[#This Row],[_Space]],ISNUMBER(DaybyDay[[#This Row],[Admin Hours]])),DaybyDay[[#This Row],[Est-Admin-Payroll]]/(DaybyDay[[#This Row],[Service-Actuals]]+DaybyDay[[#This Row],[Retail-Actuals]]),"")</f>
        <v/>
      </c>
      <c r="AP842" s="41" t="e">
        <f>DaybyDay[[#This Row],[Estimated-Payroll-Rollup]]/DaybyDay[[#This Row],[Simple-Forecast]]</f>
        <v>#DIV/0!</v>
      </c>
      <c r="AQ8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2" s="77"/>
      <c r="AS842" s="40" t="str">
        <f>IF(DaybyDay[[#This Row],[Retail Hours]]&gt;0,DaybyDay[[#This Row],[Retail Hours]]*$AS$2,"")</f>
        <v/>
      </c>
      <c r="AT842" s="40">
        <f>SUMIFS(DaybyDay[Est-Retail-Payroll],DaybyDay[Date],"&gt;="&amp;$C$5,DaybyDay[RowYear],"&gt;="&amp;$C$4,DaybyDay[Date],"&lt;="&amp;DaybyDay[[#This Row],[Date]])</f>
        <v>0</v>
      </c>
      <c r="AU842" s="82" t="str">
        <f>IF(AND(DaybyDay[[#This Row],[_Space]],ISNUMBER(DaybyDay[[#This Row],[Retail Hours]])),DaybyDay[[#This Row],[Est-Retail-Payroll]]/(DaybyDay[[#This Row],[Retail-Actuals]]),"")</f>
        <v/>
      </c>
      <c r="AV842" s="82" t="e">
        <f>DaybyDay[[#This Row],[Est-Retail-PayrollRU]]/DaybyDay[[#This Row],[Simple-Forecast-Retail]]</f>
        <v>#DIV/0!</v>
      </c>
      <c r="AW842" s="8"/>
      <c r="AX842" s="49"/>
      <c r="AY842" s="48"/>
      <c r="AZ842" s="47"/>
      <c r="BA842" s="47"/>
      <c r="BB842" s="47"/>
      <c r="BC842" s="47"/>
      <c r="BD842" s="47"/>
    </row>
    <row r="843" spans="3:56" hidden="1" x14ac:dyDescent="0.25">
      <c r="C843" s="26" t="str">
        <f>Tools!$C$1</f>
        <v>Example</v>
      </c>
      <c r="D843" s="27" t="s">
        <v>71</v>
      </c>
      <c r="E843" s="28">
        <v>2019</v>
      </c>
      <c r="F843" s="28">
        <f>MATCH(DaybyDay[[#This Row],[RowMonth]],Table3[SummaryMonth],0)</f>
        <v>4</v>
      </c>
      <c r="G843" s="29">
        <f>MATCH(DaybyDay[[#This Row],[LY-Date]],DaybyDay[Date],0)</f>
        <v>473</v>
      </c>
      <c r="H843" s="30">
        <f>WEEKDAY(DaybyDay[[#This Row],[Date]])</f>
        <v>4</v>
      </c>
      <c r="I843" s="31">
        <v>43572</v>
      </c>
      <c r="J843" s="74">
        <v>17</v>
      </c>
      <c r="K843" s="32">
        <f>SUMIFS(BudgetSeasonality[365 Seasonality],BudgetSeasonality[MonthAdjustment],DaybyDay[[#This Row],[Date]])*SUMIFS(Budgets[Service-Budget],Budgets[BudgetMonth],DaybyDay[[#This Row],[RowMonth]],Budgets[BudgetYear],DaybyDay[[#This Row],[RowYear]])</f>
        <v>3102.9475398127092</v>
      </c>
      <c r="L843" s="75">
        <v>3529.4</v>
      </c>
      <c r="M843" s="32">
        <f>INDEX(BudgetSeasonality[365 Seasonality],MATCH(DaybyDay[[#This Row],[Date]],BudgetSeasonality[MonthAdjustment],0))*SUMIFS(Budgets[Retail-Budget],Budgets[BudgetMonth],DaybyDay[[#This Row],[RowMonth]],Budgets[BudgetYear],DaybyDay[[#This Row],[RowYear]])</f>
        <v>861.46847189554717</v>
      </c>
      <c r="N843" s="75">
        <v>288</v>
      </c>
      <c r="O843" s="33">
        <f>SUMIFS(DaybyDay[Service-Budgets],DaybyDay[Date],"&gt;="&amp;$C$5,DaybyDay[RowYear],"&gt;="&amp;$C$4,DaybyDay[Date],"&lt;="&amp;DaybyDay[[#This Row],[Date]])</f>
        <v>0</v>
      </c>
      <c r="P843" s="33">
        <f>SUMIFS(DaybyDay[Retail-Budgets],DaybyDay[Date],"&gt;="&amp;$C$5,DaybyDay[RowYear],"&gt;="&amp;$C$4,DaybyDay[Date],"&lt;="&amp;DaybyDay[[#This Row],[Date]])</f>
        <v>0</v>
      </c>
      <c r="Q843" s="34">
        <f>SUMIFS(DaybyDay[Service-Actuals],DaybyDay[Date],"&gt;="&amp;$C$5,DaybyDay[RowYear],"&gt;="&amp;$C$4,DaybyDay[Date],"&lt;="&amp;DaybyDay[[#This Row],[Date]])</f>
        <v>0</v>
      </c>
      <c r="R843" s="34">
        <f>SUMIFS(DaybyDay[Retail-Actuals],DaybyDay[Date],"&gt;="&amp;$C$5,DaybyDay[RowYear],"&gt;="&amp;$C$4,DaybyDay[Date],"&lt;="&amp;DaybyDay[[#This Row],[Date]])</f>
        <v>0</v>
      </c>
      <c r="S843" s="35">
        <f>SUMIFS(DaybyDay[Service-LY],DaybyDay[Date],"&gt;="&amp;$C$5,DaybyDay[RowYear],"&gt;="&amp;$C$4,DaybyDay[Date],"&lt;="&amp;DaybyDay[[#This Row],[Date]])</f>
        <v>0</v>
      </c>
      <c r="T843" s="35">
        <f>SUMIFS(DaybyDay[Retail-LY],DaybyDay[Date],"&gt;="&amp;$C$5,DaybyDay[RowYear],"&gt;="&amp;$C$4,DaybyDay[Date],"&lt;="&amp;DaybyDay[[#This Row],[Date]])</f>
        <v>0</v>
      </c>
      <c r="U843" s="32">
        <f>DaybyDay[[#This Row],[Serv-Bud-RU]]+DaybyDay[[#This Row],[Ret-Bud-RU]]</f>
        <v>0</v>
      </c>
      <c r="V843" s="32">
        <f>DaybyDay[[#This Row],[Serv-Act-RU]]+DaybyDay[[#This Row],[Ret-Act-RU]]</f>
        <v>0</v>
      </c>
      <c r="W843" s="36">
        <f>IF(DaybyDay[[#This Row],[_Space]],IFERROR(
((DaybyDay[[#This Row],[Actual-Rollup]]-DaybyDay[[#This Row],[Budget-Rollup]])/DaybyDay[[#This Row],[Budget-Rollup]]),0),"")</f>
        <v>0</v>
      </c>
      <c r="X843" t="b">
        <f>NOT(AND(ISBLANK(DaybyDay[[#This Row],[Appts]]),ISBLANK(DaybyDay[[#This Row],[Service-Actuals]]),ISBLANK(DaybyDay[[#This Row],[Retail-Actuals]])))</f>
        <v>1</v>
      </c>
      <c r="Y843" s="36">
        <f>IF(DaybyDay[[#This Row],[_Space]],IFERROR(
((DaybyDay[[#This Row],[Actual-Rollup]]-DaybyDay[[#This Row],[LY-Rollup]])/DaybyDay[[#This Row],[LY-Rollup]]),0),"")</f>
        <v>0</v>
      </c>
      <c r="Z843"/>
      <c r="AA843" s="37" t="e">
        <f>IF(DaybyDay[[#This Row],[_Space]],DaybyDay[[#This Row],[Ret-Act-RU]]/DaybyDay[[#This Row],[Serv-Act-RU]],"")</f>
        <v>#DIV/0!</v>
      </c>
      <c r="AB843" s="50" t="e">
        <f>IF(DaybyDay[[#This Row],[_Space]],DaybyDay[[#This Row],[RETPEN-Act]]/DaybyDay[[#This Row],[RETPEN-Bud]],"")</f>
        <v>#DIV/0!</v>
      </c>
      <c r="AC843" s="37" t="e">
        <f>IF(DaybyDay[[#This Row],[_Space]],DaybyDay[[#This Row],[Ret-Bud-RU]]/DaybyDay[[#This Row],[Serv-Bud-RU]],"")</f>
        <v>#DIV/0!</v>
      </c>
      <c r="AD843" s="37" t="e">
        <f>IF(DaybyDay[[#This Row],[_Space]],DaybyDay[[#This Row],[Ret-LY-RU]]/DaybyDay[[#This Row],[Serv-LY-RU]],"")</f>
        <v>#DIV/0!</v>
      </c>
      <c r="AE843" s="30">
        <f>WEEKDAY(DaybyDay[[#This Row],[LY-Date]])</f>
        <v>4</v>
      </c>
      <c r="AF843" s="38">
        <f>$E$2+_xlfn.DAYS(DaybyDay[[#This Row],[Date]],minDate)</f>
        <v>43208</v>
      </c>
      <c r="AG843" s="39" cm="1">
        <f t="array" ref="AG843">IFERROR(INDEX(DaybyDay[],DaybyDay[[#This Row],[FORM_MATCH_HELPER]],8),"")</f>
        <v>13</v>
      </c>
      <c r="AH843" s="39" cm="1">
        <f t="array" ref="AH843">IFERROR(INDEX(DaybyDay[],DaybyDay[[#This Row],[FORM_MATCH_HELPER]],10),"")</f>
        <v>2707</v>
      </c>
      <c r="AI843" s="39" cm="1">
        <f t="array" ref="AI843">IFERROR(INDEX(DaybyDay[],DaybyDay[[#This Row],[FORM_MATCH_HELPER]],12),"")</f>
        <v>1787</v>
      </c>
      <c r="AJ843" s="32">
        <f>IFERROR(DaybyDay[[#This Row],[Serv-LY-RU]]+DaybyDay[[#This Row],[Ret-LY-RU]],"")</f>
        <v>0</v>
      </c>
      <c r="AK8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3" s="77"/>
      <c r="AM843" s="40" t="str">
        <f>IF(DaybyDay[[#This Row],[Admin Hours]]&gt;0,DaybyDay[[#This Row],[Admin Hours]]*$AM$2+$AM$3,"")</f>
        <v/>
      </c>
      <c r="AN843" s="40">
        <f>SUMIFS(DaybyDay[Est-Admin-Payroll],DaybyDay[Date],"&gt;="&amp;$C$5,DaybyDay[RowYear],"&gt;="&amp;$C$4,DaybyDay[Date],"&lt;="&amp;DaybyDay[[#This Row],[Date]])</f>
        <v>0</v>
      </c>
      <c r="AO843" s="41" t="str">
        <f>IF(AND(DaybyDay[[#This Row],[_Space]],ISNUMBER(DaybyDay[[#This Row],[Admin Hours]])),DaybyDay[[#This Row],[Est-Admin-Payroll]]/(DaybyDay[[#This Row],[Service-Actuals]]+DaybyDay[[#This Row],[Retail-Actuals]]),"")</f>
        <v/>
      </c>
      <c r="AP843" s="41" t="e">
        <f>DaybyDay[[#This Row],[Estimated-Payroll-Rollup]]/DaybyDay[[#This Row],[Simple-Forecast]]</f>
        <v>#DIV/0!</v>
      </c>
      <c r="AQ8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3" s="77"/>
      <c r="AS843" s="40" t="str">
        <f>IF(DaybyDay[[#This Row],[Retail Hours]]&gt;0,DaybyDay[[#This Row],[Retail Hours]]*$AS$2,"")</f>
        <v/>
      </c>
      <c r="AT843" s="40">
        <f>SUMIFS(DaybyDay[Est-Retail-Payroll],DaybyDay[Date],"&gt;="&amp;$C$5,DaybyDay[RowYear],"&gt;="&amp;$C$4,DaybyDay[Date],"&lt;="&amp;DaybyDay[[#This Row],[Date]])</f>
        <v>0</v>
      </c>
      <c r="AU843" s="82" t="str">
        <f>IF(AND(DaybyDay[[#This Row],[_Space]],ISNUMBER(DaybyDay[[#This Row],[Retail Hours]])),DaybyDay[[#This Row],[Est-Retail-Payroll]]/(DaybyDay[[#This Row],[Retail-Actuals]]),"")</f>
        <v/>
      </c>
      <c r="AV843" s="82" t="e">
        <f>DaybyDay[[#This Row],[Est-Retail-PayrollRU]]/DaybyDay[[#This Row],[Simple-Forecast-Retail]]</f>
        <v>#DIV/0!</v>
      </c>
      <c r="AW843" s="8"/>
      <c r="AX843" s="49"/>
      <c r="AY843" s="48"/>
      <c r="AZ843" s="47"/>
      <c r="BA843" s="47"/>
      <c r="BB843" s="47"/>
      <c r="BC843" s="47"/>
      <c r="BD843" s="47"/>
    </row>
    <row r="844" spans="3:56" hidden="1" x14ac:dyDescent="0.25">
      <c r="C844" s="26" t="str">
        <f>Tools!$C$1</f>
        <v>Example</v>
      </c>
      <c r="D844" s="27" t="s">
        <v>71</v>
      </c>
      <c r="E844" s="28">
        <v>2019</v>
      </c>
      <c r="F844" s="28">
        <f>MATCH(DaybyDay[[#This Row],[RowMonth]],Table3[SummaryMonth],0)</f>
        <v>4</v>
      </c>
      <c r="G844" s="29">
        <f>MATCH(DaybyDay[[#This Row],[LY-Date]],DaybyDay[Date],0)</f>
        <v>474</v>
      </c>
      <c r="H844" s="30">
        <f>WEEKDAY(DaybyDay[[#This Row],[Date]])</f>
        <v>5</v>
      </c>
      <c r="I844" s="31">
        <v>43573</v>
      </c>
      <c r="J844" s="74">
        <v>16</v>
      </c>
      <c r="K844" s="32">
        <f>SUMIFS(BudgetSeasonality[365 Seasonality],BudgetSeasonality[MonthAdjustment],DaybyDay[[#This Row],[Date]])*SUMIFS(Budgets[Service-Budget],Budgets[BudgetMonth],DaybyDay[[#This Row],[RowMonth]],Budgets[BudgetYear],DaybyDay[[#This Row],[RowYear]])</f>
        <v>3121.684679157313</v>
      </c>
      <c r="L844" s="75">
        <v>3086.9700000000003</v>
      </c>
      <c r="M844" s="32">
        <f>INDEX(BudgetSeasonality[365 Seasonality],MATCH(DaybyDay[[#This Row],[Date]],BudgetSeasonality[MonthAdjustment],0))*SUMIFS(Budgets[Retail-Budget],Budgets[BudgetMonth],DaybyDay[[#This Row],[RowMonth]],Budgets[BudgetYear],DaybyDay[[#This Row],[RowYear]])</f>
        <v>866.67044666043932</v>
      </c>
      <c r="N844" s="75">
        <v>780.1</v>
      </c>
      <c r="O844" s="33">
        <f>SUMIFS(DaybyDay[Service-Budgets],DaybyDay[Date],"&gt;="&amp;$C$5,DaybyDay[RowYear],"&gt;="&amp;$C$4,DaybyDay[Date],"&lt;="&amp;DaybyDay[[#This Row],[Date]])</f>
        <v>0</v>
      </c>
      <c r="P844" s="33">
        <f>SUMIFS(DaybyDay[Retail-Budgets],DaybyDay[Date],"&gt;="&amp;$C$5,DaybyDay[RowYear],"&gt;="&amp;$C$4,DaybyDay[Date],"&lt;="&amp;DaybyDay[[#This Row],[Date]])</f>
        <v>0</v>
      </c>
      <c r="Q844" s="34">
        <f>SUMIFS(DaybyDay[Service-Actuals],DaybyDay[Date],"&gt;="&amp;$C$5,DaybyDay[RowYear],"&gt;="&amp;$C$4,DaybyDay[Date],"&lt;="&amp;DaybyDay[[#This Row],[Date]])</f>
        <v>0</v>
      </c>
      <c r="R844" s="34">
        <f>SUMIFS(DaybyDay[Retail-Actuals],DaybyDay[Date],"&gt;="&amp;$C$5,DaybyDay[RowYear],"&gt;="&amp;$C$4,DaybyDay[Date],"&lt;="&amp;DaybyDay[[#This Row],[Date]])</f>
        <v>0</v>
      </c>
      <c r="S844" s="35">
        <f>SUMIFS(DaybyDay[Service-LY],DaybyDay[Date],"&gt;="&amp;$C$5,DaybyDay[RowYear],"&gt;="&amp;$C$4,DaybyDay[Date],"&lt;="&amp;DaybyDay[[#This Row],[Date]])</f>
        <v>0</v>
      </c>
      <c r="T844" s="35">
        <f>SUMIFS(DaybyDay[Retail-LY],DaybyDay[Date],"&gt;="&amp;$C$5,DaybyDay[RowYear],"&gt;="&amp;$C$4,DaybyDay[Date],"&lt;="&amp;DaybyDay[[#This Row],[Date]])</f>
        <v>0</v>
      </c>
      <c r="U844" s="32">
        <f>DaybyDay[[#This Row],[Serv-Bud-RU]]+DaybyDay[[#This Row],[Ret-Bud-RU]]</f>
        <v>0</v>
      </c>
      <c r="V844" s="32">
        <f>DaybyDay[[#This Row],[Serv-Act-RU]]+DaybyDay[[#This Row],[Ret-Act-RU]]</f>
        <v>0</v>
      </c>
      <c r="W844" s="36">
        <f>IF(DaybyDay[[#This Row],[_Space]],IFERROR(
((DaybyDay[[#This Row],[Actual-Rollup]]-DaybyDay[[#This Row],[Budget-Rollup]])/DaybyDay[[#This Row],[Budget-Rollup]]),0),"")</f>
        <v>0</v>
      </c>
      <c r="X844" t="b">
        <f>NOT(AND(ISBLANK(DaybyDay[[#This Row],[Appts]]),ISBLANK(DaybyDay[[#This Row],[Service-Actuals]]),ISBLANK(DaybyDay[[#This Row],[Retail-Actuals]])))</f>
        <v>1</v>
      </c>
      <c r="Y844" s="36">
        <f>IF(DaybyDay[[#This Row],[_Space]],IFERROR(
((DaybyDay[[#This Row],[Actual-Rollup]]-DaybyDay[[#This Row],[LY-Rollup]])/DaybyDay[[#This Row],[LY-Rollup]]),0),"")</f>
        <v>0</v>
      </c>
      <c r="Z844"/>
      <c r="AA844" s="37" t="e">
        <f>IF(DaybyDay[[#This Row],[_Space]],DaybyDay[[#This Row],[Ret-Act-RU]]/DaybyDay[[#This Row],[Serv-Act-RU]],"")</f>
        <v>#DIV/0!</v>
      </c>
      <c r="AB844" s="50" t="e">
        <f>IF(DaybyDay[[#This Row],[_Space]],DaybyDay[[#This Row],[RETPEN-Act]]/DaybyDay[[#This Row],[RETPEN-Bud]],"")</f>
        <v>#DIV/0!</v>
      </c>
      <c r="AC844" s="37" t="e">
        <f>IF(DaybyDay[[#This Row],[_Space]],DaybyDay[[#This Row],[Ret-Bud-RU]]/DaybyDay[[#This Row],[Serv-Bud-RU]],"")</f>
        <v>#DIV/0!</v>
      </c>
      <c r="AD844" s="37" t="e">
        <f>IF(DaybyDay[[#This Row],[_Space]],DaybyDay[[#This Row],[Ret-LY-RU]]/DaybyDay[[#This Row],[Serv-LY-RU]],"")</f>
        <v>#DIV/0!</v>
      </c>
      <c r="AE844" s="30">
        <f>WEEKDAY(DaybyDay[[#This Row],[LY-Date]])</f>
        <v>5</v>
      </c>
      <c r="AF844" s="38">
        <f>$E$2+_xlfn.DAYS(DaybyDay[[#This Row],[Date]],minDate)</f>
        <v>43209</v>
      </c>
      <c r="AG844" s="39" cm="1">
        <f t="array" ref="AG844">IFERROR(INDEX(DaybyDay[],DaybyDay[[#This Row],[FORM_MATCH_HELPER]],8),"")</f>
        <v>21</v>
      </c>
      <c r="AH844" s="39" cm="1">
        <f t="array" ref="AH844">IFERROR(INDEX(DaybyDay[],DaybyDay[[#This Row],[FORM_MATCH_HELPER]],10),"")</f>
        <v>3830.92</v>
      </c>
      <c r="AI844" s="39" cm="1">
        <f t="array" ref="AI844">IFERROR(INDEX(DaybyDay[],DaybyDay[[#This Row],[FORM_MATCH_HELPER]],12),"")</f>
        <v>1004.1</v>
      </c>
      <c r="AJ844" s="32">
        <f>IFERROR(DaybyDay[[#This Row],[Serv-LY-RU]]+DaybyDay[[#This Row],[Ret-LY-RU]],"")</f>
        <v>0</v>
      </c>
      <c r="AK8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4" s="77"/>
      <c r="AM844" s="40" t="str">
        <f>IF(DaybyDay[[#This Row],[Admin Hours]]&gt;0,DaybyDay[[#This Row],[Admin Hours]]*$AM$2+$AM$3,"")</f>
        <v/>
      </c>
      <c r="AN844" s="40">
        <f>SUMIFS(DaybyDay[Est-Admin-Payroll],DaybyDay[Date],"&gt;="&amp;$C$5,DaybyDay[RowYear],"&gt;="&amp;$C$4,DaybyDay[Date],"&lt;="&amp;DaybyDay[[#This Row],[Date]])</f>
        <v>0</v>
      </c>
      <c r="AO844" s="41" t="str">
        <f>IF(AND(DaybyDay[[#This Row],[_Space]],ISNUMBER(DaybyDay[[#This Row],[Admin Hours]])),DaybyDay[[#This Row],[Est-Admin-Payroll]]/(DaybyDay[[#This Row],[Service-Actuals]]+DaybyDay[[#This Row],[Retail-Actuals]]),"")</f>
        <v/>
      </c>
      <c r="AP844" s="41" t="e">
        <f>DaybyDay[[#This Row],[Estimated-Payroll-Rollup]]/DaybyDay[[#This Row],[Simple-Forecast]]</f>
        <v>#DIV/0!</v>
      </c>
      <c r="AQ8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4" s="77"/>
      <c r="AS844" s="40" t="str">
        <f>IF(DaybyDay[[#This Row],[Retail Hours]]&gt;0,DaybyDay[[#This Row],[Retail Hours]]*$AS$2,"")</f>
        <v/>
      </c>
      <c r="AT844" s="40">
        <f>SUMIFS(DaybyDay[Est-Retail-Payroll],DaybyDay[Date],"&gt;="&amp;$C$5,DaybyDay[RowYear],"&gt;="&amp;$C$4,DaybyDay[Date],"&lt;="&amp;DaybyDay[[#This Row],[Date]])</f>
        <v>0</v>
      </c>
      <c r="AU844" s="82" t="str">
        <f>IF(AND(DaybyDay[[#This Row],[_Space]],ISNUMBER(DaybyDay[[#This Row],[Retail Hours]])),DaybyDay[[#This Row],[Est-Retail-Payroll]]/(DaybyDay[[#This Row],[Retail-Actuals]]),"")</f>
        <v/>
      </c>
      <c r="AV844" s="82" t="e">
        <f>DaybyDay[[#This Row],[Est-Retail-PayrollRU]]/DaybyDay[[#This Row],[Simple-Forecast-Retail]]</f>
        <v>#DIV/0!</v>
      </c>
      <c r="AW844" s="8"/>
      <c r="AX844" s="49"/>
      <c r="AY844" s="48"/>
      <c r="AZ844" s="47"/>
      <c r="BA844" s="47"/>
      <c r="BB844" s="47"/>
      <c r="BC844" s="47"/>
      <c r="BD844" s="47"/>
    </row>
    <row r="845" spans="3:56" hidden="1" x14ac:dyDescent="0.25">
      <c r="C845" s="26" t="str">
        <f>Tools!$C$1</f>
        <v>Example</v>
      </c>
      <c r="D845" s="27" t="s">
        <v>71</v>
      </c>
      <c r="E845" s="28">
        <v>2019</v>
      </c>
      <c r="F845" s="28">
        <f>MATCH(DaybyDay[[#This Row],[RowMonth]],Table3[SummaryMonth],0)</f>
        <v>4</v>
      </c>
      <c r="G845" s="29">
        <f>MATCH(DaybyDay[[#This Row],[LY-Date]],DaybyDay[Date],0)</f>
        <v>475</v>
      </c>
      <c r="H845" s="30">
        <f>WEEKDAY(DaybyDay[[#This Row],[Date]])</f>
        <v>6</v>
      </c>
      <c r="I845" s="31">
        <v>43574</v>
      </c>
      <c r="J845" s="74">
        <v>22</v>
      </c>
      <c r="K845" s="32">
        <f>SUMIFS(BudgetSeasonality[365 Seasonality],BudgetSeasonality[MonthAdjustment],DaybyDay[[#This Row],[Date]])*SUMIFS(Budgets[Service-Budget],Budgets[BudgetMonth],DaybyDay[[#This Row],[RowMonth]],Budgets[BudgetYear],DaybyDay[[#This Row],[RowYear]])</f>
        <v>3959.4360662516115</v>
      </c>
      <c r="L845" s="75">
        <v>5276.9</v>
      </c>
      <c r="M845" s="32">
        <f>INDEX(BudgetSeasonality[365 Seasonality],MATCH(DaybyDay[[#This Row],[Date]],BudgetSeasonality[MonthAdjustment],0))*SUMIFS(Budgets[Retail-Budget],Budgets[BudgetMonth],DaybyDay[[#This Row],[RowMonth]],Budgets[BudgetYear],DaybyDay[[#This Row],[RowYear]])</f>
        <v>1099.254593832989</v>
      </c>
      <c r="N845" s="75">
        <v>3008.5</v>
      </c>
      <c r="O845" s="33">
        <f>SUMIFS(DaybyDay[Service-Budgets],DaybyDay[Date],"&gt;="&amp;$C$5,DaybyDay[RowYear],"&gt;="&amp;$C$4,DaybyDay[Date],"&lt;="&amp;DaybyDay[[#This Row],[Date]])</f>
        <v>0</v>
      </c>
      <c r="P845" s="33">
        <f>SUMIFS(DaybyDay[Retail-Budgets],DaybyDay[Date],"&gt;="&amp;$C$5,DaybyDay[RowYear],"&gt;="&amp;$C$4,DaybyDay[Date],"&lt;="&amp;DaybyDay[[#This Row],[Date]])</f>
        <v>0</v>
      </c>
      <c r="Q845" s="34">
        <f>SUMIFS(DaybyDay[Service-Actuals],DaybyDay[Date],"&gt;="&amp;$C$5,DaybyDay[RowYear],"&gt;="&amp;$C$4,DaybyDay[Date],"&lt;="&amp;DaybyDay[[#This Row],[Date]])</f>
        <v>0</v>
      </c>
      <c r="R845" s="34">
        <f>SUMIFS(DaybyDay[Retail-Actuals],DaybyDay[Date],"&gt;="&amp;$C$5,DaybyDay[RowYear],"&gt;="&amp;$C$4,DaybyDay[Date],"&lt;="&amp;DaybyDay[[#This Row],[Date]])</f>
        <v>0</v>
      </c>
      <c r="S845" s="35">
        <f>SUMIFS(DaybyDay[Service-LY],DaybyDay[Date],"&gt;="&amp;$C$5,DaybyDay[RowYear],"&gt;="&amp;$C$4,DaybyDay[Date],"&lt;="&amp;DaybyDay[[#This Row],[Date]])</f>
        <v>0</v>
      </c>
      <c r="T845" s="35">
        <f>SUMIFS(DaybyDay[Retail-LY],DaybyDay[Date],"&gt;="&amp;$C$5,DaybyDay[RowYear],"&gt;="&amp;$C$4,DaybyDay[Date],"&lt;="&amp;DaybyDay[[#This Row],[Date]])</f>
        <v>0</v>
      </c>
      <c r="U845" s="32">
        <f>DaybyDay[[#This Row],[Serv-Bud-RU]]+DaybyDay[[#This Row],[Ret-Bud-RU]]</f>
        <v>0</v>
      </c>
      <c r="V845" s="32">
        <f>DaybyDay[[#This Row],[Serv-Act-RU]]+DaybyDay[[#This Row],[Ret-Act-RU]]</f>
        <v>0</v>
      </c>
      <c r="W845" s="36">
        <f>IF(DaybyDay[[#This Row],[_Space]],IFERROR(
((DaybyDay[[#This Row],[Actual-Rollup]]-DaybyDay[[#This Row],[Budget-Rollup]])/DaybyDay[[#This Row],[Budget-Rollup]]),0),"")</f>
        <v>0</v>
      </c>
      <c r="X845" t="b">
        <f>NOT(AND(ISBLANK(DaybyDay[[#This Row],[Appts]]),ISBLANK(DaybyDay[[#This Row],[Service-Actuals]]),ISBLANK(DaybyDay[[#This Row],[Retail-Actuals]])))</f>
        <v>1</v>
      </c>
      <c r="Y845" s="36">
        <f>IF(DaybyDay[[#This Row],[_Space]],IFERROR(
((DaybyDay[[#This Row],[Actual-Rollup]]-DaybyDay[[#This Row],[LY-Rollup]])/DaybyDay[[#This Row],[LY-Rollup]]),0),"")</f>
        <v>0</v>
      </c>
      <c r="Z845"/>
      <c r="AA845" s="37" t="e">
        <f>IF(DaybyDay[[#This Row],[_Space]],DaybyDay[[#This Row],[Ret-Act-RU]]/DaybyDay[[#This Row],[Serv-Act-RU]],"")</f>
        <v>#DIV/0!</v>
      </c>
      <c r="AB845" s="50" t="e">
        <f>IF(DaybyDay[[#This Row],[_Space]],DaybyDay[[#This Row],[RETPEN-Act]]/DaybyDay[[#This Row],[RETPEN-Bud]],"")</f>
        <v>#DIV/0!</v>
      </c>
      <c r="AC845" s="37" t="e">
        <f>IF(DaybyDay[[#This Row],[_Space]],DaybyDay[[#This Row],[Ret-Bud-RU]]/DaybyDay[[#This Row],[Serv-Bud-RU]],"")</f>
        <v>#DIV/0!</v>
      </c>
      <c r="AD845" s="37" t="e">
        <f>IF(DaybyDay[[#This Row],[_Space]],DaybyDay[[#This Row],[Ret-LY-RU]]/DaybyDay[[#This Row],[Serv-LY-RU]],"")</f>
        <v>#DIV/0!</v>
      </c>
      <c r="AE845" s="30">
        <f>WEEKDAY(DaybyDay[[#This Row],[LY-Date]])</f>
        <v>6</v>
      </c>
      <c r="AF845" s="38">
        <f>$E$2+_xlfn.DAYS(DaybyDay[[#This Row],[Date]],minDate)</f>
        <v>43210</v>
      </c>
      <c r="AG845" s="39" cm="1">
        <f t="array" ref="AG845">IFERROR(INDEX(DaybyDay[],DaybyDay[[#This Row],[FORM_MATCH_HELPER]],8),"")</f>
        <v>31</v>
      </c>
      <c r="AH845" s="39" cm="1">
        <f t="array" ref="AH845">IFERROR(INDEX(DaybyDay[],DaybyDay[[#This Row],[FORM_MATCH_HELPER]],10),"")</f>
        <v>6768.5</v>
      </c>
      <c r="AI845" s="39" cm="1">
        <f t="array" ref="AI845">IFERROR(INDEX(DaybyDay[],DaybyDay[[#This Row],[FORM_MATCH_HELPER]],12),"")</f>
        <v>613</v>
      </c>
      <c r="AJ845" s="32">
        <f>IFERROR(DaybyDay[[#This Row],[Serv-LY-RU]]+DaybyDay[[#This Row],[Ret-LY-RU]],"")</f>
        <v>0</v>
      </c>
      <c r="AK8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5" s="77"/>
      <c r="AM845" s="40" t="str">
        <f>IF(DaybyDay[[#This Row],[Admin Hours]]&gt;0,DaybyDay[[#This Row],[Admin Hours]]*$AM$2+$AM$3,"")</f>
        <v/>
      </c>
      <c r="AN845" s="40">
        <f>SUMIFS(DaybyDay[Est-Admin-Payroll],DaybyDay[Date],"&gt;="&amp;$C$5,DaybyDay[RowYear],"&gt;="&amp;$C$4,DaybyDay[Date],"&lt;="&amp;DaybyDay[[#This Row],[Date]])</f>
        <v>0</v>
      </c>
      <c r="AO845" s="41" t="str">
        <f>IF(AND(DaybyDay[[#This Row],[_Space]],ISNUMBER(DaybyDay[[#This Row],[Admin Hours]])),DaybyDay[[#This Row],[Est-Admin-Payroll]]/(DaybyDay[[#This Row],[Service-Actuals]]+DaybyDay[[#This Row],[Retail-Actuals]]),"")</f>
        <v/>
      </c>
      <c r="AP845" s="41" t="e">
        <f>DaybyDay[[#This Row],[Estimated-Payroll-Rollup]]/DaybyDay[[#This Row],[Simple-Forecast]]</f>
        <v>#DIV/0!</v>
      </c>
      <c r="AQ8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5" s="77"/>
      <c r="AS845" s="40" t="str">
        <f>IF(DaybyDay[[#This Row],[Retail Hours]]&gt;0,DaybyDay[[#This Row],[Retail Hours]]*$AS$2,"")</f>
        <v/>
      </c>
      <c r="AT845" s="40">
        <f>SUMIFS(DaybyDay[Est-Retail-Payroll],DaybyDay[Date],"&gt;="&amp;$C$5,DaybyDay[RowYear],"&gt;="&amp;$C$4,DaybyDay[Date],"&lt;="&amp;DaybyDay[[#This Row],[Date]])</f>
        <v>0</v>
      </c>
      <c r="AU845" s="82" t="str">
        <f>IF(AND(DaybyDay[[#This Row],[_Space]],ISNUMBER(DaybyDay[[#This Row],[Retail Hours]])),DaybyDay[[#This Row],[Est-Retail-Payroll]]/(DaybyDay[[#This Row],[Retail-Actuals]]),"")</f>
        <v/>
      </c>
      <c r="AV845" s="82" t="e">
        <f>DaybyDay[[#This Row],[Est-Retail-PayrollRU]]/DaybyDay[[#This Row],[Simple-Forecast-Retail]]</f>
        <v>#DIV/0!</v>
      </c>
      <c r="AW845" s="8"/>
      <c r="AX845" s="49"/>
      <c r="AY845" s="48"/>
      <c r="AZ845" s="47"/>
      <c r="BA845" s="47"/>
      <c r="BB845" s="47"/>
      <c r="BC845" s="47"/>
      <c r="BD845" s="47"/>
    </row>
    <row r="846" spans="3:56" hidden="1" x14ac:dyDescent="0.25">
      <c r="C846" s="26" t="str">
        <f>Tools!$C$1</f>
        <v>Example</v>
      </c>
      <c r="D846" s="27" t="s">
        <v>71</v>
      </c>
      <c r="E846" s="28">
        <v>2019</v>
      </c>
      <c r="F846" s="28">
        <f>MATCH(DaybyDay[[#This Row],[RowMonth]],Table3[SummaryMonth],0)</f>
        <v>4</v>
      </c>
      <c r="G846" s="29">
        <f>MATCH(DaybyDay[[#This Row],[LY-Date]],DaybyDay[Date],0)</f>
        <v>476</v>
      </c>
      <c r="H846" s="30">
        <f>WEEKDAY(DaybyDay[[#This Row],[Date]])</f>
        <v>7</v>
      </c>
      <c r="I846" s="31">
        <v>43575</v>
      </c>
      <c r="J846" s="74">
        <v>37</v>
      </c>
      <c r="K846" s="32">
        <f>SUMIFS(BudgetSeasonality[365 Seasonality],BudgetSeasonality[MonthAdjustment],DaybyDay[[#This Row],[Date]])*SUMIFS(Budgets[Service-Budget],Budgets[BudgetMonth],DaybyDay[[#This Row],[RowMonth]],Budgets[BudgetYear],DaybyDay[[#This Row],[RowYear]])</f>
        <v>5824.5905651434723</v>
      </c>
      <c r="L846" s="75">
        <v>8526.4900000000016</v>
      </c>
      <c r="M846" s="32">
        <f>INDEX(BudgetSeasonality[365 Seasonality],MATCH(DaybyDay[[#This Row],[Date]],BudgetSeasonality[MonthAdjustment],0))*SUMIFS(Budgets[Retail-Budget],Budgets[BudgetMonth],DaybyDay[[#This Row],[RowMonth]],Budgets[BudgetYear],DaybyDay[[#This Row],[RowYear]])</f>
        <v>1617.0757220968783</v>
      </c>
      <c r="N846" s="75">
        <v>840.8</v>
      </c>
      <c r="O846" s="33">
        <f>SUMIFS(DaybyDay[Service-Budgets],DaybyDay[Date],"&gt;="&amp;$C$5,DaybyDay[RowYear],"&gt;="&amp;$C$4,DaybyDay[Date],"&lt;="&amp;DaybyDay[[#This Row],[Date]])</f>
        <v>0</v>
      </c>
      <c r="P846" s="33">
        <f>SUMIFS(DaybyDay[Retail-Budgets],DaybyDay[Date],"&gt;="&amp;$C$5,DaybyDay[RowYear],"&gt;="&amp;$C$4,DaybyDay[Date],"&lt;="&amp;DaybyDay[[#This Row],[Date]])</f>
        <v>0</v>
      </c>
      <c r="Q846" s="34">
        <f>SUMIFS(DaybyDay[Service-Actuals],DaybyDay[Date],"&gt;="&amp;$C$5,DaybyDay[RowYear],"&gt;="&amp;$C$4,DaybyDay[Date],"&lt;="&amp;DaybyDay[[#This Row],[Date]])</f>
        <v>0</v>
      </c>
      <c r="R846" s="34">
        <f>SUMIFS(DaybyDay[Retail-Actuals],DaybyDay[Date],"&gt;="&amp;$C$5,DaybyDay[RowYear],"&gt;="&amp;$C$4,DaybyDay[Date],"&lt;="&amp;DaybyDay[[#This Row],[Date]])</f>
        <v>0</v>
      </c>
      <c r="S846" s="35">
        <f>SUMIFS(DaybyDay[Service-LY],DaybyDay[Date],"&gt;="&amp;$C$5,DaybyDay[RowYear],"&gt;="&amp;$C$4,DaybyDay[Date],"&lt;="&amp;DaybyDay[[#This Row],[Date]])</f>
        <v>0</v>
      </c>
      <c r="T846" s="35">
        <f>SUMIFS(DaybyDay[Retail-LY],DaybyDay[Date],"&gt;="&amp;$C$5,DaybyDay[RowYear],"&gt;="&amp;$C$4,DaybyDay[Date],"&lt;="&amp;DaybyDay[[#This Row],[Date]])</f>
        <v>0</v>
      </c>
      <c r="U846" s="32">
        <f>DaybyDay[[#This Row],[Serv-Bud-RU]]+DaybyDay[[#This Row],[Ret-Bud-RU]]</f>
        <v>0</v>
      </c>
      <c r="V846" s="32">
        <f>DaybyDay[[#This Row],[Serv-Act-RU]]+DaybyDay[[#This Row],[Ret-Act-RU]]</f>
        <v>0</v>
      </c>
      <c r="W846" s="36">
        <f>IF(DaybyDay[[#This Row],[_Space]],IFERROR(
((DaybyDay[[#This Row],[Actual-Rollup]]-DaybyDay[[#This Row],[Budget-Rollup]])/DaybyDay[[#This Row],[Budget-Rollup]]),0),"")</f>
        <v>0</v>
      </c>
      <c r="X846" t="b">
        <f>NOT(AND(ISBLANK(DaybyDay[[#This Row],[Appts]]),ISBLANK(DaybyDay[[#This Row],[Service-Actuals]]),ISBLANK(DaybyDay[[#This Row],[Retail-Actuals]])))</f>
        <v>1</v>
      </c>
      <c r="Y846" s="36">
        <f>IF(DaybyDay[[#This Row],[_Space]],IFERROR(
((DaybyDay[[#This Row],[Actual-Rollup]]-DaybyDay[[#This Row],[LY-Rollup]])/DaybyDay[[#This Row],[LY-Rollup]]),0),"")</f>
        <v>0</v>
      </c>
      <c r="Z846"/>
      <c r="AA846" s="37" t="e">
        <f>IF(DaybyDay[[#This Row],[_Space]],DaybyDay[[#This Row],[Ret-Act-RU]]/DaybyDay[[#This Row],[Serv-Act-RU]],"")</f>
        <v>#DIV/0!</v>
      </c>
      <c r="AB846" s="50" t="e">
        <f>IF(DaybyDay[[#This Row],[_Space]],DaybyDay[[#This Row],[RETPEN-Act]]/DaybyDay[[#This Row],[RETPEN-Bud]],"")</f>
        <v>#DIV/0!</v>
      </c>
      <c r="AC846" s="37" t="e">
        <f>IF(DaybyDay[[#This Row],[_Space]],DaybyDay[[#This Row],[Ret-Bud-RU]]/DaybyDay[[#This Row],[Serv-Bud-RU]],"")</f>
        <v>#DIV/0!</v>
      </c>
      <c r="AD846" s="37" t="e">
        <f>IF(DaybyDay[[#This Row],[_Space]],DaybyDay[[#This Row],[Ret-LY-RU]]/DaybyDay[[#This Row],[Serv-LY-RU]],"")</f>
        <v>#DIV/0!</v>
      </c>
      <c r="AE846" s="30">
        <f>WEEKDAY(DaybyDay[[#This Row],[LY-Date]])</f>
        <v>7</v>
      </c>
      <c r="AF846" s="38">
        <f>$E$2+_xlfn.DAYS(DaybyDay[[#This Row],[Date]],minDate)</f>
        <v>43211</v>
      </c>
      <c r="AG846" s="39" cm="1">
        <f t="array" ref="AG846">IFERROR(INDEX(DaybyDay[],DaybyDay[[#This Row],[FORM_MATCH_HELPER]],8),"")</f>
        <v>28</v>
      </c>
      <c r="AH846" s="39" cm="1">
        <f t="array" ref="AH846">IFERROR(INDEX(DaybyDay[],DaybyDay[[#This Row],[FORM_MATCH_HELPER]],10),"")</f>
        <v>6195.6</v>
      </c>
      <c r="AI846" s="39" cm="1">
        <f t="array" ref="AI846">IFERROR(INDEX(DaybyDay[],DaybyDay[[#This Row],[FORM_MATCH_HELPER]],12),"")</f>
        <v>1853.25</v>
      </c>
      <c r="AJ846" s="32">
        <f>IFERROR(DaybyDay[[#This Row],[Serv-LY-RU]]+DaybyDay[[#This Row],[Ret-LY-RU]],"")</f>
        <v>0</v>
      </c>
      <c r="AK8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6" s="77"/>
      <c r="AM846" s="40" t="str">
        <f>IF(DaybyDay[[#This Row],[Admin Hours]]&gt;0,DaybyDay[[#This Row],[Admin Hours]]*$AM$2+$AM$3,"")</f>
        <v/>
      </c>
      <c r="AN846" s="40">
        <f>SUMIFS(DaybyDay[Est-Admin-Payroll],DaybyDay[Date],"&gt;="&amp;$C$5,DaybyDay[RowYear],"&gt;="&amp;$C$4,DaybyDay[Date],"&lt;="&amp;DaybyDay[[#This Row],[Date]])</f>
        <v>0</v>
      </c>
      <c r="AO846" s="41" t="str">
        <f>IF(AND(DaybyDay[[#This Row],[_Space]],ISNUMBER(DaybyDay[[#This Row],[Admin Hours]])),DaybyDay[[#This Row],[Est-Admin-Payroll]]/(DaybyDay[[#This Row],[Service-Actuals]]+DaybyDay[[#This Row],[Retail-Actuals]]),"")</f>
        <v/>
      </c>
      <c r="AP846" s="41" t="e">
        <f>DaybyDay[[#This Row],[Estimated-Payroll-Rollup]]/DaybyDay[[#This Row],[Simple-Forecast]]</f>
        <v>#DIV/0!</v>
      </c>
      <c r="AQ8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6" s="77"/>
      <c r="AS846" s="40" t="str">
        <f>IF(DaybyDay[[#This Row],[Retail Hours]]&gt;0,DaybyDay[[#This Row],[Retail Hours]]*$AS$2,"")</f>
        <v/>
      </c>
      <c r="AT846" s="40">
        <f>SUMIFS(DaybyDay[Est-Retail-Payroll],DaybyDay[Date],"&gt;="&amp;$C$5,DaybyDay[RowYear],"&gt;="&amp;$C$4,DaybyDay[Date],"&lt;="&amp;DaybyDay[[#This Row],[Date]])</f>
        <v>0</v>
      </c>
      <c r="AU846" s="82" t="str">
        <f>IF(AND(DaybyDay[[#This Row],[_Space]],ISNUMBER(DaybyDay[[#This Row],[Retail Hours]])),DaybyDay[[#This Row],[Est-Retail-Payroll]]/(DaybyDay[[#This Row],[Retail-Actuals]]),"")</f>
        <v/>
      </c>
      <c r="AV846" s="82" t="e">
        <f>DaybyDay[[#This Row],[Est-Retail-PayrollRU]]/DaybyDay[[#This Row],[Simple-Forecast-Retail]]</f>
        <v>#DIV/0!</v>
      </c>
      <c r="AW846" s="8"/>
      <c r="AX846" s="49"/>
      <c r="AY846" s="48"/>
      <c r="AZ846" s="47"/>
      <c r="BA846" s="47"/>
      <c r="BB846" s="47"/>
      <c r="BC846" s="47"/>
      <c r="BD846" s="47"/>
    </row>
    <row r="847" spans="3:56" hidden="1" x14ac:dyDescent="0.25">
      <c r="C847" s="26" t="str">
        <f>Tools!$C$1</f>
        <v>Example</v>
      </c>
      <c r="D847" s="27" t="s">
        <v>71</v>
      </c>
      <c r="E847" s="28">
        <v>2019</v>
      </c>
      <c r="F847" s="28">
        <f>MATCH(DaybyDay[[#This Row],[RowMonth]],Table3[SummaryMonth],0)</f>
        <v>4</v>
      </c>
      <c r="G847" s="29">
        <f>MATCH(DaybyDay[[#This Row],[LY-Date]],DaybyDay[Date],0)</f>
        <v>477</v>
      </c>
      <c r="H847" s="30">
        <f>WEEKDAY(DaybyDay[[#This Row],[Date]])</f>
        <v>1</v>
      </c>
      <c r="I847" s="31">
        <v>43576</v>
      </c>
      <c r="J847" s="74">
        <v>17</v>
      </c>
      <c r="K847" s="32">
        <f>SUMIFS(BudgetSeasonality[365 Seasonality],BudgetSeasonality[MonthAdjustment],DaybyDay[[#This Row],[Date]])*SUMIFS(Budgets[Service-Budget],Budgets[BudgetMonth],DaybyDay[[#This Row],[RowMonth]],Budgets[BudgetYear],DaybyDay[[#This Row],[RowYear]])</f>
        <v>4360.3146771534975</v>
      </c>
      <c r="L847" s="75">
        <v>4549</v>
      </c>
      <c r="M847" s="32">
        <f>INDEX(BudgetSeasonality[365 Seasonality],MATCH(DaybyDay[[#This Row],[Date]],BudgetSeasonality[MonthAdjustment],0))*SUMIFS(Budgets[Retail-Budget],Budgets[BudgetMonth],DaybyDay[[#This Row],[RowMonth]],Budgets[BudgetYear],DaybyDay[[#This Row],[RowYear]])</f>
        <v>1210.5501539152267</v>
      </c>
      <c r="N847" s="75">
        <v>820.5</v>
      </c>
      <c r="O847" s="33">
        <f>SUMIFS(DaybyDay[Service-Budgets],DaybyDay[Date],"&gt;="&amp;$C$5,DaybyDay[RowYear],"&gt;="&amp;$C$4,DaybyDay[Date],"&lt;="&amp;DaybyDay[[#This Row],[Date]])</f>
        <v>0</v>
      </c>
      <c r="P847" s="33">
        <f>SUMIFS(DaybyDay[Retail-Budgets],DaybyDay[Date],"&gt;="&amp;$C$5,DaybyDay[RowYear],"&gt;="&amp;$C$4,DaybyDay[Date],"&lt;="&amp;DaybyDay[[#This Row],[Date]])</f>
        <v>0</v>
      </c>
      <c r="Q847" s="34">
        <f>SUMIFS(DaybyDay[Service-Actuals],DaybyDay[Date],"&gt;="&amp;$C$5,DaybyDay[RowYear],"&gt;="&amp;$C$4,DaybyDay[Date],"&lt;="&amp;DaybyDay[[#This Row],[Date]])</f>
        <v>0</v>
      </c>
      <c r="R847" s="34">
        <f>SUMIFS(DaybyDay[Retail-Actuals],DaybyDay[Date],"&gt;="&amp;$C$5,DaybyDay[RowYear],"&gt;="&amp;$C$4,DaybyDay[Date],"&lt;="&amp;DaybyDay[[#This Row],[Date]])</f>
        <v>0</v>
      </c>
      <c r="S847" s="35">
        <f>SUMIFS(DaybyDay[Service-LY],DaybyDay[Date],"&gt;="&amp;$C$5,DaybyDay[RowYear],"&gt;="&amp;$C$4,DaybyDay[Date],"&lt;="&amp;DaybyDay[[#This Row],[Date]])</f>
        <v>0</v>
      </c>
      <c r="T847" s="35">
        <f>SUMIFS(DaybyDay[Retail-LY],DaybyDay[Date],"&gt;="&amp;$C$5,DaybyDay[RowYear],"&gt;="&amp;$C$4,DaybyDay[Date],"&lt;="&amp;DaybyDay[[#This Row],[Date]])</f>
        <v>0</v>
      </c>
      <c r="U847" s="32">
        <f>DaybyDay[[#This Row],[Serv-Bud-RU]]+DaybyDay[[#This Row],[Ret-Bud-RU]]</f>
        <v>0</v>
      </c>
      <c r="V847" s="32">
        <f>DaybyDay[[#This Row],[Serv-Act-RU]]+DaybyDay[[#This Row],[Ret-Act-RU]]</f>
        <v>0</v>
      </c>
      <c r="W847" s="36">
        <f>IF(DaybyDay[[#This Row],[_Space]],IFERROR(
((DaybyDay[[#This Row],[Actual-Rollup]]-DaybyDay[[#This Row],[Budget-Rollup]])/DaybyDay[[#This Row],[Budget-Rollup]]),0),"")</f>
        <v>0</v>
      </c>
      <c r="X847" t="b">
        <f>NOT(AND(ISBLANK(DaybyDay[[#This Row],[Appts]]),ISBLANK(DaybyDay[[#This Row],[Service-Actuals]]),ISBLANK(DaybyDay[[#This Row],[Retail-Actuals]])))</f>
        <v>1</v>
      </c>
      <c r="Y847" s="36">
        <f>IF(DaybyDay[[#This Row],[_Space]],IFERROR(
((DaybyDay[[#This Row],[Actual-Rollup]]-DaybyDay[[#This Row],[LY-Rollup]])/DaybyDay[[#This Row],[LY-Rollup]]),0),"")</f>
        <v>0</v>
      </c>
      <c r="Z847"/>
      <c r="AA847" s="37" t="e">
        <f>IF(DaybyDay[[#This Row],[_Space]],DaybyDay[[#This Row],[Ret-Act-RU]]/DaybyDay[[#This Row],[Serv-Act-RU]],"")</f>
        <v>#DIV/0!</v>
      </c>
      <c r="AB847" s="50" t="e">
        <f>IF(DaybyDay[[#This Row],[_Space]],DaybyDay[[#This Row],[RETPEN-Act]]/DaybyDay[[#This Row],[RETPEN-Bud]],"")</f>
        <v>#DIV/0!</v>
      </c>
      <c r="AC847" s="37" t="e">
        <f>IF(DaybyDay[[#This Row],[_Space]],DaybyDay[[#This Row],[Ret-Bud-RU]]/DaybyDay[[#This Row],[Serv-Bud-RU]],"")</f>
        <v>#DIV/0!</v>
      </c>
      <c r="AD847" s="37" t="e">
        <f>IF(DaybyDay[[#This Row],[_Space]],DaybyDay[[#This Row],[Ret-LY-RU]]/DaybyDay[[#This Row],[Serv-LY-RU]],"")</f>
        <v>#DIV/0!</v>
      </c>
      <c r="AE847" s="30">
        <f>WEEKDAY(DaybyDay[[#This Row],[LY-Date]])</f>
        <v>1</v>
      </c>
      <c r="AF847" s="38">
        <f>$E$2+_xlfn.DAYS(DaybyDay[[#This Row],[Date]],minDate)</f>
        <v>43212</v>
      </c>
      <c r="AG847" s="39" cm="1">
        <f t="array" ref="AG847">IFERROR(INDEX(DaybyDay[],DaybyDay[[#This Row],[FORM_MATCH_HELPER]],8),"")</f>
        <v>18</v>
      </c>
      <c r="AH847" s="39" cm="1">
        <f t="array" ref="AH847">IFERROR(INDEX(DaybyDay[],DaybyDay[[#This Row],[FORM_MATCH_HELPER]],10),"")</f>
        <v>4016.9</v>
      </c>
      <c r="AI847" s="39" cm="1">
        <f t="array" ref="AI847">IFERROR(INDEX(DaybyDay[],DaybyDay[[#This Row],[FORM_MATCH_HELPER]],12),"")</f>
        <v>395.3</v>
      </c>
      <c r="AJ847" s="32">
        <f>IFERROR(DaybyDay[[#This Row],[Serv-LY-RU]]+DaybyDay[[#This Row],[Ret-LY-RU]],"")</f>
        <v>0</v>
      </c>
      <c r="AK8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7" s="77"/>
      <c r="AM847" s="40" t="str">
        <f>IF(DaybyDay[[#This Row],[Admin Hours]]&gt;0,DaybyDay[[#This Row],[Admin Hours]]*$AM$2+$AM$3,"")</f>
        <v/>
      </c>
      <c r="AN847" s="40">
        <f>SUMIFS(DaybyDay[Est-Admin-Payroll],DaybyDay[Date],"&gt;="&amp;$C$5,DaybyDay[RowYear],"&gt;="&amp;$C$4,DaybyDay[Date],"&lt;="&amp;DaybyDay[[#This Row],[Date]])</f>
        <v>0</v>
      </c>
      <c r="AO847" s="41" t="str">
        <f>IF(AND(DaybyDay[[#This Row],[_Space]],ISNUMBER(DaybyDay[[#This Row],[Admin Hours]])),DaybyDay[[#This Row],[Est-Admin-Payroll]]/(DaybyDay[[#This Row],[Service-Actuals]]+DaybyDay[[#This Row],[Retail-Actuals]]),"")</f>
        <v/>
      </c>
      <c r="AP847" s="41" t="e">
        <f>DaybyDay[[#This Row],[Estimated-Payroll-Rollup]]/DaybyDay[[#This Row],[Simple-Forecast]]</f>
        <v>#DIV/0!</v>
      </c>
      <c r="AQ8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7" s="77"/>
      <c r="AS847" s="40" t="str">
        <f>IF(DaybyDay[[#This Row],[Retail Hours]]&gt;0,DaybyDay[[#This Row],[Retail Hours]]*$AS$2,"")</f>
        <v/>
      </c>
      <c r="AT847" s="40">
        <f>SUMIFS(DaybyDay[Est-Retail-Payroll],DaybyDay[Date],"&gt;="&amp;$C$5,DaybyDay[RowYear],"&gt;="&amp;$C$4,DaybyDay[Date],"&lt;="&amp;DaybyDay[[#This Row],[Date]])</f>
        <v>0</v>
      </c>
      <c r="AU847" s="82" t="str">
        <f>IF(AND(DaybyDay[[#This Row],[_Space]],ISNUMBER(DaybyDay[[#This Row],[Retail Hours]])),DaybyDay[[#This Row],[Est-Retail-Payroll]]/(DaybyDay[[#This Row],[Retail-Actuals]]),"")</f>
        <v/>
      </c>
      <c r="AV847" s="82" t="e">
        <f>DaybyDay[[#This Row],[Est-Retail-PayrollRU]]/DaybyDay[[#This Row],[Simple-Forecast-Retail]]</f>
        <v>#DIV/0!</v>
      </c>
      <c r="AW847" s="8"/>
      <c r="AX847" s="49"/>
      <c r="AY847" s="48"/>
      <c r="AZ847" s="47"/>
      <c r="BA847" s="47"/>
      <c r="BB847" s="47"/>
      <c r="BC847" s="47"/>
      <c r="BD847" s="47"/>
    </row>
    <row r="848" spans="3:56" hidden="1" x14ac:dyDescent="0.25">
      <c r="C848" s="26" t="str">
        <f>Tools!$C$1</f>
        <v>Example</v>
      </c>
      <c r="D848" s="27" t="s">
        <v>71</v>
      </c>
      <c r="E848" s="28">
        <v>2019</v>
      </c>
      <c r="F848" s="28">
        <f>MATCH(DaybyDay[[#This Row],[RowMonth]],Table3[SummaryMonth],0)</f>
        <v>4</v>
      </c>
      <c r="G848" s="29">
        <f>MATCH(DaybyDay[[#This Row],[LY-Date]],DaybyDay[Date],0)</f>
        <v>478</v>
      </c>
      <c r="H848" s="30">
        <f>WEEKDAY(DaybyDay[[#This Row],[Date]])</f>
        <v>2</v>
      </c>
      <c r="I848" s="31">
        <v>43577</v>
      </c>
      <c r="J848" s="74">
        <v>16</v>
      </c>
      <c r="K848" s="32">
        <f>SUMIFS(BudgetSeasonality[365 Seasonality],BudgetSeasonality[MonthAdjustment],DaybyDay[[#This Row],[Date]])*SUMIFS(Budgets[Service-Budget],Budgets[BudgetMonth],DaybyDay[[#This Row],[RowMonth]],Budgets[BudgetYear],DaybyDay[[#This Row],[RowYear]])</f>
        <v>2258.2949244443589</v>
      </c>
      <c r="L848" s="75">
        <v>3337.5</v>
      </c>
      <c r="M848" s="32">
        <f>INDEX(BudgetSeasonality[365 Seasonality],MATCH(DaybyDay[[#This Row],[Date]],BudgetSeasonality[MonthAdjustment],0))*SUMIFS(Budgets[Retail-Budget],Budgets[BudgetMonth],DaybyDay[[#This Row],[RowMonth]],Budgets[BudgetYear],DaybyDay[[#This Row],[RowYear]])</f>
        <v>626.96834306389133</v>
      </c>
      <c r="N848" s="75">
        <v>641.01</v>
      </c>
      <c r="O848" s="33">
        <f>SUMIFS(DaybyDay[Service-Budgets],DaybyDay[Date],"&gt;="&amp;$C$5,DaybyDay[RowYear],"&gt;="&amp;$C$4,DaybyDay[Date],"&lt;="&amp;DaybyDay[[#This Row],[Date]])</f>
        <v>0</v>
      </c>
      <c r="P848" s="33">
        <f>SUMIFS(DaybyDay[Retail-Budgets],DaybyDay[Date],"&gt;="&amp;$C$5,DaybyDay[RowYear],"&gt;="&amp;$C$4,DaybyDay[Date],"&lt;="&amp;DaybyDay[[#This Row],[Date]])</f>
        <v>0</v>
      </c>
      <c r="Q848" s="34">
        <f>SUMIFS(DaybyDay[Service-Actuals],DaybyDay[Date],"&gt;="&amp;$C$5,DaybyDay[RowYear],"&gt;="&amp;$C$4,DaybyDay[Date],"&lt;="&amp;DaybyDay[[#This Row],[Date]])</f>
        <v>0</v>
      </c>
      <c r="R848" s="34">
        <f>SUMIFS(DaybyDay[Retail-Actuals],DaybyDay[Date],"&gt;="&amp;$C$5,DaybyDay[RowYear],"&gt;="&amp;$C$4,DaybyDay[Date],"&lt;="&amp;DaybyDay[[#This Row],[Date]])</f>
        <v>0</v>
      </c>
      <c r="S848" s="35">
        <f>SUMIFS(DaybyDay[Service-LY],DaybyDay[Date],"&gt;="&amp;$C$5,DaybyDay[RowYear],"&gt;="&amp;$C$4,DaybyDay[Date],"&lt;="&amp;DaybyDay[[#This Row],[Date]])</f>
        <v>0</v>
      </c>
      <c r="T848" s="35">
        <f>SUMIFS(DaybyDay[Retail-LY],DaybyDay[Date],"&gt;="&amp;$C$5,DaybyDay[RowYear],"&gt;="&amp;$C$4,DaybyDay[Date],"&lt;="&amp;DaybyDay[[#This Row],[Date]])</f>
        <v>0</v>
      </c>
      <c r="U848" s="32">
        <f>DaybyDay[[#This Row],[Serv-Bud-RU]]+DaybyDay[[#This Row],[Ret-Bud-RU]]</f>
        <v>0</v>
      </c>
      <c r="V848" s="32">
        <f>DaybyDay[[#This Row],[Serv-Act-RU]]+DaybyDay[[#This Row],[Ret-Act-RU]]</f>
        <v>0</v>
      </c>
      <c r="W848" s="36">
        <f>IF(DaybyDay[[#This Row],[_Space]],IFERROR(
((DaybyDay[[#This Row],[Actual-Rollup]]-DaybyDay[[#This Row],[Budget-Rollup]])/DaybyDay[[#This Row],[Budget-Rollup]]),0),"")</f>
        <v>0</v>
      </c>
      <c r="X848" t="b">
        <f>NOT(AND(ISBLANK(DaybyDay[[#This Row],[Appts]]),ISBLANK(DaybyDay[[#This Row],[Service-Actuals]]),ISBLANK(DaybyDay[[#This Row],[Retail-Actuals]])))</f>
        <v>1</v>
      </c>
      <c r="Y848" s="36">
        <f>IF(DaybyDay[[#This Row],[_Space]],IFERROR(
((DaybyDay[[#This Row],[Actual-Rollup]]-DaybyDay[[#This Row],[LY-Rollup]])/DaybyDay[[#This Row],[LY-Rollup]]),0),"")</f>
        <v>0</v>
      </c>
      <c r="Z848"/>
      <c r="AA848" s="37" t="e">
        <f>IF(DaybyDay[[#This Row],[_Space]],DaybyDay[[#This Row],[Ret-Act-RU]]/DaybyDay[[#This Row],[Serv-Act-RU]],"")</f>
        <v>#DIV/0!</v>
      </c>
      <c r="AB848" s="50" t="e">
        <f>IF(DaybyDay[[#This Row],[_Space]],DaybyDay[[#This Row],[RETPEN-Act]]/DaybyDay[[#This Row],[RETPEN-Bud]],"")</f>
        <v>#DIV/0!</v>
      </c>
      <c r="AC848" s="37" t="e">
        <f>IF(DaybyDay[[#This Row],[_Space]],DaybyDay[[#This Row],[Ret-Bud-RU]]/DaybyDay[[#This Row],[Serv-Bud-RU]],"")</f>
        <v>#DIV/0!</v>
      </c>
      <c r="AD848" s="37" t="e">
        <f>IF(DaybyDay[[#This Row],[_Space]],DaybyDay[[#This Row],[Ret-LY-RU]]/DaybyDay[[#This Row],[Serv-LY-RU]],"")</f>
        <v>#DIV/0!</v>
      </c>
      <c r="AE848" s="30">
        <f>WEEKDAY(DaybyDay[[#This Row],[LY-Date]])</f>
        <v>2</v>
      </c>
      <c r="AF848" s="38">
        <f>$E$2+_xlfn.DAYS(DaybyDay[[#This Row],[Date]],minDate)</f>
        <v>43213</v>
      </c>
      <c r="AG848" s="39" cm="1">
        <f t="array" ref="AG848">IFERROR(INDEX(DaybyDay[],DaybyDay[[#This Row],[FORM_MATCH_HELPER]],8),"")</f>
        <v>6</v>
      </c>
      <c r="AH848" s="39" cm="1">
        <f t="array" ref="AH848">IFERROR(INDEX(DaybyDay[],DaybyDay[[#This Row],[FORM_MATCH_HELPER]],10),"")</f>
        <v>1612</v>
      </c>
      <c r="AI848" s="39" cm="1">
        <f t="array" ref="AI848">IFERROR(INDEX(DaybyDay[],DaybyDay[[#This Row],[FORM_MATCH_HELPER]],12),"")</f>
        <v>232</v>
      </c>
      <c r="AJ848" s="32">
        <f>IFERROR(DaybyDay[[#This Row],[Serv-LY-RU]]+DaybyDay[[#This Row],[Ret-LY-RU]],"")</f>
        <v>0</v>
      </c>
      <c r="AK8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8" s="77"/>
      <c r="AM848" s="40" t="str">
        <f>IF(DaybyDay[[#This Row],[Admin Hours]]&gt;0,DaybyDay[[#This Row],[Admin Hours]]*$AM$2+$AM$3,"")</f>
        <v/>
      </c>
      <c r="AN848" s="40">
        <f>SUMIFS(DaybyDay[Est-Admin-Payroll],DaybyDay[Date],"&gt;="&amp;$C$5,DaybyDay[RowYear],"&gt;="&amp;$C$4,DaybyDay[Date],"&lt;="&amp;DaybyDay[[#This Row],[Date]])</f>
        <v>0</v>
      </c>
      <c r="AO848" s="41" t="str">
        <f>IF(AND(DaybyDay[[#This Row],[_Space]],ISNUMBER(DaybyDay[[#This Row],[Admin Hours]])),DaybyDay[[#This Row],[Est-Admin-Payroll]]/(DaybyDay[[#This Row],[Service-Actuals]]+DaybyDay[[#This Row],[Retail-Actuals]]),"")</f>
        <v/>
      </c>
      <c r="AP848" s="41" t="e">
        <f>DaybyDay[[#This Row],[Estimated-Payroll-Rollup]]/DaybyDay[[#This Row],[Simple-Forecast]]</f>
        <v>#DIV/0!</v>
      </c>
      <c r="AQ8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8" s="77"/>
      <c r="AS848" s="40" t="str">
        <f>IF(DaybyDay[[#This Row],[Retail Hours]]&gt;0,DaybyDay[[#This Row],[Retail Hours]]*$AS$2,"")</f>
        <v/>
      </c>
      <c r="AT848" s="40">
        <f>SUMIFS(DaybyDay[Est-Retail-Payroll],DaybyDay[Date],"&gt;="&amp;$C$5,DaybyDay[RowYear],"&gt;="&amp;$C$4,DaybyDay[Date],"&lt;="&amp;DaybyDay[[#This Row],[Date]])</f>
        <v>0</v>
      </c>
      <c r="AU848" s="82" t="str">
        <f>IF(AND(DaybyDay[[#This Row],[_Space]],ISNUMBER(DaybyDay[[#This Row],[Retail Hours]])),DaybyDay[[#This Row],[Est-Retail-Payroll]]/(DaybyDay[[#This Row],[Retail-Actuals]]),"")</f>
        <v/>
      </c>
      <c r="AV848" s="82" t="e">
        <f>DaybyDay[[#This Row],[Est-Retail-PayrollRU]]/DaybyDay[[#This Row],[Simple-Forecast-Retail]]</f>
        <v>#DIV/0!</v>
      </c>
      <c r="AW848" s="8"/>
      <c r="AX848" s="49"/>
      <c r="AY848" s="48"/>
      <c r="AZ848" s="47"/>
      <c r="BA848" s="47"/>
      <c r="BB848" s="47"/>
      <c r="BC848" s="47"/>
      <c r="BD848" s="47"/>
    </row>
    <row r="849" spans="3:56" hidden="1" x14ac:dyDescent="0.25">
      <c r="C849" s="26" t="str">
        <f>Tools!$C$1</f>
        <v>Example</v>
      </c>
      <c r="D849" s="27" t="s">
        <v>71</v>
      </c>
      <c r="E849" s="28">
        <v>2019</v>
      </c>
      <c r="F849" s="28">
        <f>MATCH(DaybyDay[[#This Row],[RowMonth]],Table3[SummaryMonth],0)</f>
        <v>4</v>
      </c>
      <c r="G849" s="29">
        <f>MATCH(DaybyDay[[#This Row],[LY-Date]],DaybyDay[Date],0)</f>
        <v>479</v>
      </c>
      <c r="H849" s="30">
        <f>WEEKDAY(DaybyDay[[#This Row],[Date]])</f>
        <v>3</v>
      </c>
      <c r="I849" s="31">
        <v>43578</v>
      </c>
      <c r="J849" s="74">
        <v>21</v>
      </c>
      <c r="K849" s="32">
        <f>SUMIFS(BudgetSeasonality[365 Seasonality],BudgetSeasonality[MonthAdjustment],DaybyDay[[#This Row],[Date]])*SUMIFS(Budgets[Service-Budget],Budgets[BudgetMonth],DaybyDay[[#This Row],[RowMonth]],Budgets[BudgetYear],DaybyDay[[#This Row],[RowYear]])</f>
        <v>2353.8290103654081</v>
      </c>
      <c r="L849" s="75">
        <v>4077.6000000000004</v>
      </c>
      <c r="M849" s="32">
        <f>INDEX(BudgetSeasonality[365 Seasonality],MATCH(DaybyDay[[#This Row],[Date]],BudgetSeasonality[MonthAdjustment],0))*SUMIFS(Budgets[Retail-Budget],Budgets[BudgetMonth],DaybyDay[[#This Row],[RowMonth]],Budgets[BudgetYear],DaybyDay[[#This Row],[RowYear]])</f>
        <v>653.49138348155543</v>
      </c>
      <c r="N849" s="75">
        <v>148.5</v>
      </c>
      <c r="O849" s="33">
        <f>SUMIFS(DaybyDay[Service-Budgets],DaybyDay[Date],"&gt;="&amp;$C$5,DaybyDay[RowYear],"&gt;="&amp;$C$4,DaybyDay[Date],"&lt;="&amp;DaybyDay[[#This Row],[Date]])</f>
        <v>0</v>
      </c>
      <c r="P849" s="33">
        <f>SUMIFS(DaybyDay[Retail-Budgets],DaybyDay[Date],"&gt;="&amp;$C$5,DaybyDay[RowYear],"&gt;="&amp;$C$4,DaybyDay[Date],"&lt;="&amp;DaybyDay[[#This Row],[Date]])</f>
        <v>0</v>
      </c>
      <c r="Q849" s="34">
        <f>SUMIFS(DaybyDay[Service-Actuals],DaybyDay[Date],"&gt;="&amp;$C$5,DaybyDay[RowYear],"&gt;="&amp;$C$4,DaybyDay[Date],"&lt;="&amp;DaybyDay[[#This Row],[Date]])</f>
        <v>0</v>
      </c>
      <c r="R849" s="34">
        <f>SUMIFS(DaybyDay[Retail-Actuals],DaybyDay[Date],"&gt;="&amp;$C$5,DaybyDay[RowYear],"&gt;="&amp;$C$4,DaybyDay[Date],"&lt;="&amp;DaybyDay[[#This Row],[Date]])</f>
        <v>0</v>
      </c>
      <c r="S849" s="35">
        <f>SUMIFS(DaybyDay[Service-LY],DaybyDay[Date],"&gt;="&amp;$C$5,DaybyDay[RowYear],"&gt;="&amp;$C$4,DaybyDay[Date],"&lt;="&amp;DaybyDay[[#This Row],[Date]])</f>
        <v>0</v>
      </c>
      <c r="T849" s="35">
        <f>SUMIFS(DaybyDay[Retail-LY],DaybyDay[Date],"&gt;="&amp;$C$5,DaybyDay[RowYear],"&gt;="&amp;$C$4,DaybyDay[Date],"&lt;="&amp;DaybyDay[[#This Row],[Date]])</f>
        <v>0</v>
      </c>
      <c r="U849" s="32">
        <f>DaybyDay[[#This Row],[Serv-Bud-RU]]+DaybyDay[[#This Row],[Ret-Bud-RU]]</f>
        <v>0</v>
      </c>
      <c r="V849" s="32">
        <f>DaybyDay[[#This Row],[Serv-Act-RU]]+DaybyDay[[#This Row],[Ret-Act-RU]]</f>
        <v>0</v>
      </c>
      <c r="W849" s="36">
        <f>IF(DaybyDay[[#This Row],[_Space]],IFERROR(
((DaybyDay[[#This Row],[Actual-Rollup]]-DaybyDay[[#This Row],[Budget-Rollup]])/DaybyDay[[#This Row],[Budget-Rollup]]),0),"")</f>
        <v>0</v>
      </c>
      <c r="X849" t="b">
        <f>NOT(AND(ISBLANK(DaybyDay[[#This Row],[Appts]]),ISBLANK(DaybyDay[[#This Row],[Service-Actuals]]),ISBLANK(DaybyDay[[#This Row],[Retail-Actuals]])))</f>
        <v>1</v>
      </c>
      <c r="Y849" s="36">
        <f>IF(DaybyDay[[#This Row],[_Space]],IFERROR(
((DaybyDay[[#This Row],[Actual-Rollup]]-DaybyDay[[#This Row],[LY-Rollup]])/DaybyDay[[#This Row],[LY-Rollup]]),0),"")</f>
        <v>0</v>
      </c>
      <c r="Z849"/>
      <c r="AA849" s="37" t="e">
        <f>IF(DaybyDay[[#This Row],[_Space]],DaybyDay[[#This Row],[Ret-Act-RU]]/DaybyDay[[#This Row],[Serv-Act-RU]],"")</f>
        <v>#DIV/0!</v>
      </c>
      <c r="AB849" s="50" t="e">
        <f>IF(DaybyDay[[#This Row],[_Space]],DaybyDay[[#This Row],[RETPEN-Act]]/DaybyDay[[#This Row],[RETPEN-Bud]],"")</f>
        <v>#DIV/0!</v>
      </c>
      <c r="AC849" s="37" t="e">
        <f>IF(DaybyDay[[#This Row],[_Space]],DaybyDay[[#This Row],[Ret-Bud-RU]]/DaybyDay[[#This Row],[Serv-Bud-RU]],"")</f>
        <v>#DIV/0!</v>
      </c>
      <c r="AD849" s="37" t="e">
        <f>IF(DaybyDay[[#This Row],[_Space]],DaybyDay[[#This Row],[Ret-LY-RU]]/DaybyDay[[#This Row],[Serv-LY-RU]],"")</f>
        <v>#DIV/0!</v>
      </c>
      <c r="AE849" s="30">
        <f>WEEKDAY(DaybyDay[[#This Row],[LY-Date]])</f>
        <v>3</v>
      </c>
      <c r="AF849" s="38">
        <f>$E$2+_xlfn.DAYS(DaybyDay[[#This Row],[Date]],minDate)</f>
        <v>43214</v>
      </c>
      <c r="AG849" s="39" cm="1">
        <f t="array" ref="AG849">IFERROR(INDEX(DaybyDay[],DaybyDay[[#This Row],[FORM_MATCH_HELPER]],8),"")</f>
        <v>17</v>
      </c>
      <c r="AH849" s="39" cm="1">
        <f t="array" ref="AH849">IFERROR(INDEX(DaybyDay[],DaybyDay[[#This Row],[FORM_MATCH_HELPER]],10),"")</f>
        <v>3509</v>
      </c>
      <c r="AI849" s="39" cm="1">
        <f t="array" ref="AI849">IFERROR(INDEX(DaybyDay[],DaybyDay[[#This Row],[FORM_MATCH_HELPER]],12),"")</f>
        <v>51.75</v>
      </c>
      <c r="AJ849" s="32">
        <f>IFERROR(DaybyDay[[#This Row],[Serv-LY-RU]]+DaybyDay[[#This Row],[Ret-LY-RU]],"")</f>
        <v>0</v>
      </c>
      <c r="AK8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49" s="77"/>
      <c r="AM849" s="40" t="str">
        <f>IF(DaybyDay[[#This Row],[Admin Hours]]&gt;0,DaybyDay[[#This Row],[Admin Hours]]*$AM$2+$AM$3,"")</f>
        <v/>
      </c>
      <c r="AN849" s="40">
        <f>SUMIFS(DaybyDay[Est-Admin-Payroll],DaybyDay[Date],"&gt;="&amp;$C$5,DaybyDay[RowYear],"&gt;="&amp;$C$4,DaybyDay[Date],"&lt;="&amp;DaybyDay[[#This Row],[Date]])</f>
        <v>0</v>
      </c>
      <c r="AO849" s="41" t="str">
        <f>IF(AND(DaybyDay[[#This Row],[_Space]],ISNUMBER(DaybyDay[[#This Row],[Admin Hours]])),DaybyDay[[#This Row],[Est-Admin-Payroll]]/(DaybyDay[[#This Row],[Service-Actuals]]+DaybyDay[[#This Row],[Retail-Actuals]]),"")</f>
        <v/>
      </c>
      <c r="AP849" s="41" t="e">
        <f>DaybyDay[[#This Row],[Estimated-Payroll-Rollup]]/DaybyDay[[#This Row],[Simple-Forecast]]</f>
        <v>#DIV/0!</v>
      </c>
      <c r="AQ8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49" s="77"/>
      <c r="AS849" s="40" t="str">
        <f>IF(DaybyDay[[#This Row],[Retail Hours]]&gt;0,DaybyDay[[#This Row],[Retail Hours]]*$AS$2,"")</f>
        <v/>
      </c>
      <c r="AT849" s="40">
        <f>SUMIFS(DaybyDay[Est-Retail-Payroll],DaybyDay[Date],"&gt;="&amp;$C$5,DaybyDay[RowYear],"&gt;="&amp;$C$4,DaybyDay[Date],"&lt;="&amp;DaybyDay[[#This Row],[Date]])</f>
        <v>0</v>
      </c>
      <c r="AU849" s="82" t="str">
        <f>IF(AND(DaybyDay[[#This Row],[_Space]],ISNUMBER(DaybyDay[[#This Row],[Retail Hours]])),DaybyDay[[#This Row],[Est-Retail-Payroll]]/(DaybyDay[[#This Row],[Retail-Actuals]]),"")</f>
        <v/>
      </c>
      <c r="AV849" s="82" t="e">
        <f>DaybyDay[[#This Row],[Est-Retail-PayrollRU]]/DaybyDay[[#This Row],[Simple-Forecast-Retail]]</f>
        <v>#DIV/0!</v>
      </c>
      <c r="AW849" s="8"/>
      <c r="AX849" s="49"/>
      <c r="AY849" s="48"/>
      <c r="AZ849" s="47"/>
      <c r="BA849" s="47"/>
      <c r="BB849" s="47"/>
      <c r="BC849" s="47"/>
      <c r="BD849" s="47"/>
    </row>
    <row r="850" spans="3:56" hidden="1" x14ac:dyDescent="0.25">
      <c r="C850" s="26" t="str">
        <f>Tools!$C$1</f>
        <v>Example</v>
      </c>
      <c r="D850" s="27" t="s">
        <v>71</v>
      </c>
      <c r="E850" s="28">
        <v>2019</v>
      </c>
      <c r="F850" s="28">
        <f>MATCH(DaybyDay[[#This Row],[RowMonth]],Table3[SummaryMonth],0)</f>
        <v>4</v>
      </c>
      <c r="G850" s="29">
        <f>MATCH(DaybyDay[[#This Row],[LY-Date]],DaybyDay[Date],0)</f>
        <v>480</v>
      </c>
      <c r="H850" s="30">
        <f>WEEKDAY(DaybyDay[[#This Row],[Date]])</f>
        <v>4</v>
      </c>
      <c r="I850" s="31">
        <v>43579</v>
      </c>
      <c r="J850" s="74">
        <v>23</v>
      </c>
      <c r="K850" s="32">
        <f>SUMIFS(BudgetSeasonality[365 Seasonality],BudgetSeasonality[MonthAdjustment],DaybyDay[[#This Row],[Date]])*SUMIFS(Budgets[Service-Budget],Budgets[BudgetMonth],DaybyDay[[#This Row],[RowMonth]],Budgets[BudgetYear],DaybyDay[[#This Row],[RowYear]])</f>
        <v>2845.768154396002</v>
      </c>
      <c r="L850" s="75">
        <v>4324.25</v>
      </c>
      <c r="M850" s="32">
        <f>INDEX(BudgetSeasonality[365 Seasonality],MATCH(DaybyDay[[#This Row],[Date]],BudgetSeasonality[MonthAdjustment],0))*SUMIFS(Budgets[Retail-Budget],Budgets[BudgetMonth],DaybyDay[[#This Row],[RowMonth]],Budgets[BudgetYear],DaybyDay[[#This Row],[RowYear]])</f>
        <v>790.06799563376046</v>
      </c>
      <c r="N850" s="75">
        <v>547.5</v>
      </c>
      <c r="O850" s="33">
        <f>SUMIFS(DaybyDay[Service-Budgets],DaybyDay[Date],"&gt;="&amp;$C$5,DaybyDay[RowYear],"&gt;="&amp;$C$4,DaybyDay[Date],"&lt;="&amp;DaybyDay[[#This Row],[Date]])</f>
        <v>0</v>
      </c>
      <c r="P850" s="33">
        <f>SUMIFS(DaybyDay[Retail-Budgets],DaybyDay[Date],"&gt;="&amp;$C$5,DaybyDay[RowYear],"&gt;="&amp;$C$4,DaybyDay[Date],"&lt;="&amp;DaybyDay[[#This Row],[Date]])</f>
        <v>0</v>
      </c>
      <c r="Q850" s="34">
        <f>SUMIFS(DaybyDay[Service-Actuals],DaybyDay[Date],"&gt;="&amp;$C$5,DaybyDay[RowYear],"&gt;="&amp;$C$4,DaybyDay[Date],"&lt;="&amp;DaybyDay[[#This Row],[Date]])</f>
        <v>0</v>
      </c>
      <c r="R850" s="34">
        <f>SUMIFS(DaybyDay[Retail-Actuals],DaybyDay[Date],"&gt;="&amp;$C$5,DaybyDay[RowYear],"&gt;="&amp;$C$4,DaybyDay[Date],"&lt;="&amp;DaybyDay[[#This Row],[Date]])</f>
        <v>0</v>
      </c>
      <c r="S850" s="35">
        <f>SUMIFS(DaybyDay[Service-LY],DaybyDay[Date],"&gt;="&amp;$C$5,DaybyDay[RowYear],"&gt;="&amp;$C$4,DaybyDay[Date],"&lt;="&amp;DaybyDay[[#This Row],[Date]])</f>
        <v>0</v>
      </c>
      <c r="T850" s="35">
        <f>SUMIFS(DaybyDay[Retail-LY],DaybyDay[Date],"&gt;="&amp;$C$5,DaybyDay[RowYear],"&gt;="&amp;$C$4,DaybyDay[Date],"&lt;="&amp;DaybyDay[[#This Row],[Date]])</f>
        <v>0</v>
      </c>
      <c r="U850" s="32">
        <f>DaybyDay[[#This Row],[Serv-Bud-RU]]+DaybyDay[[#This Row],[Ret-Bud-RU]]</f>
        <v>0</v>
      </c>
      <c r="V850" s="32">
        <f>DaybyDay[[#This Row],[Serv-Act-RU]]+DaybyDay[[#This Row],[Ret-Act-RU]]</f>
        <v>0</v>
      </c>
      <c r="W850" s="36">
        <f>IF(DaybyDay[[#This Row],[_Space]],IFERROR(
((DaybyDay[[#This Row],[Actual-Rollup]]-DaybyDay[[#This Row],[Budget-Rollup]])/DaybyDay[[#This Row],[Budget-Rollup]]),0),"")</f>
        <v>0</v>
      </c>
      <c r="X850" t="b">
        <f>NOT(AND(ISBLANK(DaybyDay[[#This Row],[Appts]]),ISBLANK(DaybyDay[[#This Row],[Service-Actuals]]),ISBLANK(DaybyDay[[#This Row],[Retail-Actuals]])))</f>
        <v>1</v>
      </c>
      <c r="Y850" s="36">
        <f>IF(DaybyDay[[#This Row],[_Space]],IFERROR(
((DaybyDay[[#This Row],[Actual-Rollup]]-DaybyDay[[#This Row],[LY-Rollup]])/DaybyDay[[#This Row],[LY-Rollup]]),0),"")</f>
        <v>0</v>
      </c>
      <c r="Z850"/>
      <c r="AA850" s="37" t="e">
        <f>IF(DaybyDay[[#This Row],[_Space]],DaybyDay[[#This Row],[Ret-Act-RU]]/DaybyDay[[#This Row],[Serv-Act-RU]],"")</f>
        <v>#DIV/0!</v>
      </c>
      <c r="AB850" s="50" t="e">
        <f>IF(DaybyDay[[#This Row],[_Space]],DaybyDay[[#This Row],[RETPEN-Act]]/DaybyDay[[#This Row],[RETPEN-Bud]],"")</f>
        <v>#DIV/0!</v>
      </c>
      <c r="AC850" s="37" t="e">
        <f>IF(DaybyDay[[#This Row],[_Space]],DaybyDay[[#This Row],[Ret-Bud-RU]]/DaybyDay[[#This Row],[Serv-Bud-RU]],"")</f>
        <v>#DIV/0!</v>
      </c>
      <c r="AD850" s="37" t="e">
        <f>IF(DaybyDay[[#This Row],[_Space]],DaybyDay[[#This Row],[Ret-LY-RU]]/DaybyDay[[#This Row],[Serv-LY-RU]],"")</f>
        <v>#DIV/0!</v>
      </c>
      <c r="AE850" s="30">
        <f>WEEKDAY(DaybyDay[[#This Row],[LY-Date]])</f>
        <v>4</v>
      </c>
      <c r="AF850" s="38">
        <f>$E$2+_xlfn.DAYS(DaybyDay[[#This Row],[Date]],minDate)</f>
        <v>43215</v>
      </c>
      <c r="AG850" s="39" cm="1">
        <f t="array" ref="AG850">IFERROR(INDEX(DaybyDay[],DaybyDay[[#This Row],[FORM_MATCH_HELPER]],8),"")</f>
        <v>11</v>
      </c>
      <c r="AH850" s="39" cm="1">
        <f t="array" ref="AH850">IFERROR(INDEX(DaybyDay[],DaybyDay[[#This Row],[FORM_MATCH_HELPER]],10),"")</f>
        <v>2335.6</v>
      </c>
      <c r="AI850" s="39" cm="1">
        <f t="array" ref="AI850">IFERROR(INDEX(DaybyDay[],DaybyDay[[#This Row],[FORM_MATCH_HELPER]],12),"")</f>
        <v>1803.25</v>
      </c>
      <c r="AJ850" s="32">
        <f>IFERROR(DaybyDay[[#This Row],[Serv-LY-RU]]+DaybyDay[[#This Row],[Ret-LY-RU]],"")</f>
        <v>0</v>
      </c>
      <c r="AK8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0" s="77"/>
      <c r="AM850" s="40" t="str">
        <f>IF(DaybyDay[[#This Row],[Admin Hours]]&gt;0,DaybyDay[[#This Row],[Admin Hours]]*$AM$2+$AM$3,"")</f>
        <v/>
      </c>
      <c r="AN850" s="40">
        <f>SUMIFS(DaybyDay[Est-Admin-Payroll],DaybyDay[Date],"&gt;="&amp;$C$5,DaybyDay[RowYear],"&gt;="&amp;$C$4,DaybyDay[Date],"&lt;="&amp;DaybyDay[[#This Row],[Date]])</f>
        <v>0</v>
      </c>
      <c r="AO850" s="41" t="str">
        <f>IF(AND(DaybyDay[[#This Row],[_Space]],ISNUMBER(DaybyDay[[#This Row],[Admin Hours]])),DaybyDay[[#This Row],[Est-Admin-Payroll]]/(DaybyDay[[#This Row],[Service-Actuals]]+DaybyDay[[#This Row],[Retail-Actuals]]),"")</f>
        <v/>
      </c>
      <c r="AP850" s="41" t="e">
        <f>DaybyDay[[#This Row],[Estimated-Payroll-Rollup]]/DaybyDay[[#This Row],[Simple-Forecast]]</f>
        <v>#DIV/0!</v>
      </c>
      <c r="AQ8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0" s="77"/>
      <c r="AS850" s="40" t="str">
        <f>IF(DaybyDay[[#This Row],[Retail Hours]]&gt;0,DaybyDay[[#This Row],[Retail Hours]]*$AS$2,"")</f>
        <v/>
      </c>
      <c r="AT850" s="40">
        <f>SUMIFS(DaybyDay[Est-Retail-Payroll],DaybyDay[Date],"&gt;="&amp;$C$5,DaybyDay[RowYear],"&gt;="&amp;$C$4,DaybyDay[Date],"&lt;="&amp;DaybyDay[[#This Row],[Date]])</f>
        <v>0</v>
      </c>
      <c r="AU850" s="82" t="str">
        <f>IF(AND(DaybyDay[[#This Row],[_Space]],ISNUMBER(DaybyDay[[#This Row],[Retail Hours]])),DaybyDay[[#This Row],[Est-Retail-Payroll]]/(DaybyDay[[#This Row],[Retail-Actuals]]),"")</f>
        <v/>
      </c>
      <c r="AV850" s="82" t="e">
        <f>DaybyDay[[#This Row],[Est-Retail-PayrollRU]]/DaybyDay[[#This Row],[Simple-Forecast-Retail]]</f>
        <v>#DIV/0!</v>
      </c>
      <c r="AW850" s="8"/>
      <c r="AX850" s="49"/>
      <c r="AY850" s="48"/>
      <c r="AZ850" s="47"/>
      <c r="BA850" s="47"/>
      <c r="BB850" s="47"/>
      <c r="BC850" s="47"/>
      <c r="BD850" s="47"/>
    </row>
    <row r="851" spans="3:56" hidden="1" x14ac:dyDescent="0.25">
      <c r="C851" s="26" t="str">
        <f>Tools!$C$1</f>
        <v>Example</v>
      </c>
      <c r="D851" s="27" t="s">
        <v>71</v>
      </c>
      <c r="E851" s="28">
        <v>2019</v>
      </c>
      <c r="F851" s="28">
        <f>MATCH(DaybyDay[[#This Row],[RowMonth]],Table3[SummaryMonth],0)</f>
        <v>4</v>
      </c>
      <c r="G851" s="29">
        <f>MATCH(DaybyDay[[#This Row],[LY-Date]],DaybyDay[Date],0)</f>
        <v>481</v>
      </c>
      <c r="H851" s="30">
        <f>WEEKDAY(DaybyDay[[#This Row],[Date]])</f>
        <v>5</v>
      </c>
      <c r="I851" s="31">
        <v>43580</v>
      </c>
      <c r="J851" s="74">
        <v>21</v>
      </c>
      <c r="K851" s="32">
        <f>SUMIFS(BudgetSeasonality[365 Seasonality],BudgetSeasonality[MonthAdjustment],DaybyDay[[#This Row],[Date]])*SUMIFS(Budgets[Service-Budget],Budgets[BudgetMonth],DaybyDay[[#This Row],[RowMonth]],Budgets[BudgetYear],DaybyDay[[#This Row],[RowYear]])</f>
        <v>2962.0302285171529</v>
      </c>
      <c r="L851" s="75">
        <v>3863.4</v>
      </c>
      <c r="M851" s="32">
        <f>INDEX(BudgetSeasonality[365 Seasonality],MATCH(DaybyDay[[#This Row],[Date]],BudgetSeasonality[MonthAdjustment],0))*SUMIFS(Budgets[Retail-Budget],Budgets[BudgetMonth],DaybyDay[[#This Row],[RowMonth]],Budgets[BudgetYear],DaybyDay[[#This Row],[RowYear]])</f>
        <v>822.34572835321205</v>
      </c>
      <c r="N851" s="75">
        <v>724.35</v>
      </c>
      <c r="O851" s="33">
        <f>SUMIFS(DaybyDay[Service-Budgets],DaybyDay[Date],"&gt;="&amp;$C$5,DaybyDay[RowYear],"&gt;="&amp;$C$4,DaybyDay[Date],"&lt;="&amp;DaybyDay[[#This Row],[Date]])</f>
        <v>0</v>
      </c>
      <c r="P851" s="33">
        <f>SUMIFS(DaybyDay[Retail-Budgets],DaybyDay[Date],"&gt;="&amp;$C$5,DaybyDay[RowYear],"&gt;="&amp;$C$4,DaybyDay[Date],"&lt;="&amp;DaybyDay[[#This Row],[Date]])</f>
        <v>0</v>
      </c>
      <c r="Q851" s="34">
        <f>SUMIFS(DaybyDay[Service-Actuals],DaybyDay[Date],"&gt;="&amp;$C$5,DaybyDay[RowYear],"&gt;="&amp;$C$4,DaybyDay[Date],"&lt;="&amp;DaybyDay[[#This Row],[Date]])</f>
        <v>0</v>
      </c>
      <c r="R851" s="34">
        <f>SUMIFS(DaybyDay[Retail-Actuals],DaybyDay[Date],"&gt;="&amp;$C$5,DaybyDay[RowYear],"&gt;="&amp;$C$4,DaybyDay[Date],"&lt;="&amp;DaybyDay[[#This Row],[Date]])</f>
        <v>0</v>
      </c>
      <c r="S851" s="35">
        <f>SUMIFS(DaybyDay[Service-LY],DaybyDay[Date],"&gt;="&amp;$C$5,DaybyDay[RowYear],"&gt;="&amp;$C$4,DaybyDay[Date],"&lt;="&amp;DaybyDay[[#This Row],[Date]])</f>
        <v>0</v>
      </c>
      <c r="T851" s="35">
        <f>SUMIFS(DaybyDay[Retail-LY],DaybyDay[Date],"&gt;="&amp;$C$5,DaybyDay[RowYear],"&gt;="&amp;$C$4,DaybyDay[Date],"&lt;="&amp;DaybyDay[[#This Row],[Date]])</f>
        <v>0</v>
      </c>
      <c r="U851" s="32">
        <f>DaybyDay[[#This Row],[Serv-Bud-RU]]+DaybyDay[[#This Row],[Ret-Bud-RU]]</f>
        <v>0</v>
      </c>
      <c r="V851" s="32">
        <f>DaybyDay[[#This Row],[Serv-Act-RU]]+DaybyDay[[#This Row],[Ret-Act-RU]]</f>
        <v>0</v>
      </c>
      <c r="W851" s="36">
        <f>IF(DaybyDay[[#This Row],[_Space]],IFERROR(
((DaybyDay[[#This Row],[Actual-Rollup]]-DaybyDay[[#This Row],[Budget-Rollup]])/DaybyDay[[#This Row],[Budget-Rollup]]),0),"")</f>
        <v>0</v>
      </c>
      <c r="X851" t="b">
        <f>NOT(AND(ISBLANK(DaybyDay[[#This Row],[Appts]]),ISBLANK(DaybyDay[[#This Row],[Service-Actuals]]),ISBLANK(DaybyDay[[#This Row],[Retail-Actuals]])))</f>
        <v>1</v>
      </c>
      <c r="Y851" s="36">
        <f>IF(DaybyDay[[#This Row],[_Space]],IFERROR(
((DaybyDay[[#This Row],[Actual-Rollup]]-DaybyDay[[#This Row],[LY-Rollup]])/DaybyDay[[#This Row],[LY-Rollup]]),0),"")</f>
        <v>0</v>
      </c>
      <c r="Z851"/>
      <c r="AA851" s="37" t="e">
        <f>IF(DaybyDay[[#This Row],[_Space]],DaybyDay[[#This Row],[Ret-Act-RU]]/DaybyDay[[#This Row],[Serv-Act-RU]],"")</f>
        <v>#DIV/0!</v>
      </c>
      <c r="AB851" s="50" t="e">
        <f>IF(DaybyDay[[#This Row],[_Space]],DaybyDay[[#This Row],[RETPEN-Act]]/DaybyDay[[#This Row],[RETPEN-Bud]],"")</f>
        <v>#DIV/0!</v>
      </c>
      <c r="AC851" s="37" t="e">
        <f>IF(DaybyDay[[#This Row],[_Space]],DaybyDay[[#This Row],[Ret-Bud-RU]]/DaybyDay[[#This Row],[Serv-Bud-RU]],"")</f>
        <v>#DIV/0!</v>
      </c>
      <c r="AD851" s="37" t="e">
        <f>IF(DaybyDay[[#This Row],[_Space]],DaybyDay[[#This Row],[Ret-LY-RU]]/DaybyDay[[#This Row],[Serv-LY-RU]],"")</f>
        <v>#DIV/0!</v>
      </c>
      <c r="AE851" s="30">
        <f>WEEKDAY(DaybyDay[[#This Row],[LY-Date]])</f>
        <v>5</v>
      </c>
      <c r="AF851" s="38">
        <f>$E$2+_xlfn.DAYS(DaybyDay[[#This Row],[Date]],minDate)</f>
        <v>43216</v>
      </c>
      <c r="AG851" s="39" cm="1">
        <f t="array" ref="AG851">IFERROR(INDEX(DaybyDay[],DaybyDay[[#This Row],[FORM_MATCH_HELPER]],8),"")</f>
        <v>15</v>
      </c>
      <c r="AH851" s="39" cm="1">
        <f t="array" ref="AH851">IFERROR(INDEX(DaybyDay[],DaybyDay[[#This Row],[FORM_MATCH_HELPER]],10),"")</f>
        <v>2711</v>
      </c>
      <c r="AI851" s="39" cm="1">
        <f t="array" ref="AI851">IFERROR(INDEX(DaybyDay[],DaybyDay[[#This Row],[FORM_MATCH_HELPER]],12),"")</f>
        <v>2256</v>
      </c>
      <c r="AJ851" s="32">
        <f>IFERROR(DaybyDay[[#This Row],[Serv-LY-RU]]+DaybyDay[[#This Row],[Ret-LY-RU]],"")</f>
        <v>0</v>
      </c>
      <c r="AK8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1" s="77"/>
      <c r="AM851" s="40" t="str">
        <f>IF(DaybyDay[[#This Row],[Admin Hours]]&gt;0,DaybyDay[[#This Row],[Admin Hours]]*$AM$2+$AM$3,"")</f>
        <v/>
      </c>
      <c r="AN851" s="40">
        <f>SUMIFS(DaybyDay[Est-Admin-Payroll],DaybyDay[Date],"&gt;="&amp;$C$5,DaybyDay[RowYear],"&gt;="&amp;$C$4,DaybyDay[Date],"&lt;="&amp;DaybyDay[[#This Row],[Date]])</f>
        <v>0</v>
      </c>
      <c r="AO851" s="41" t="str">
        <f>IF(AND(DaybyDay[[#This Row],[_Space]],ISNUMBER(DaybyDay[[#This Row],[Admin Hours]])),DaybyDay[[#This Row],[Est-Admin-Payroll]]/(DaybyDay[[#This Row],[Service-Actuals]]+DaybyDay[[#This Row],[Retail-Actuals]]),"")</f>
        <v/>
      </c>
      <c r="AP851" s="41" t="e">
        <f>DaybyDay[[#This Row],[Estimated-Payroll-Rollup]]/DaybyDay[[#This Row],[Simple-Forecast]]</f>
        <v>#DIV/0!</v>
      </c>
      <c r="AQ8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1" s="77"/>
      <c r="AS851" s="40" t="str">
        <f>IF(DaybyDay[[#This Row],[Retail Hours]]&gt;0,DaybyDay[[#This Row],[Retail Hours]]*$AS$2,"")</f>
        <v/>
      </c>
      <c r="AT851" s="40">
        <f>SUMIFS(DaybyDay[Est-Retail-Payroll],DaybyDay[Date],"&gt;="&amp;$C$5,DaybyDay[RowYear],"&gt;="&amp;$C$4,DaybyDay[Date],"&lt;="&amp;DaybyDay[[#This Row],[Date]])</f>
        <v>0</v>
      </c>
      <c r="AU851" s="82" t="str">
        <f>IF(AND(DaybyDay[[#This Row],[_Space]],ISNUMBER(DaybyDay[[#This Row],[Retail Hours]])),DaybyDay[[#This Row],[Est-Retail-Payroll]]/(DaybyDay[[#This Row],[Retail-Actuals]]),"")</f>
        <v/>
      </c>
      <c r="AV851" s="82" t="e">
        <f>DaybyDay[[#This Row],[Est-Retail-PayrollRU]]/DaybyDay[[#This Row],[Simple-Forecast-Retail]]</f>
        <v>#DIV/0!</v>
      </c>
      <c r="AW851" s="8"/>
      <c r="AX851" s="49"/>
      <c r="AY851" s="48"/>
      <c r="AZ851" s="47"/>
      <c r="BA851" s="47"/>
      <c r="BB851" s="47"/>
      <c r="BC851" s="47"/>
      <c r="BD851" s="47"/>
    </row>
    <row r="852" spans="3:56" hidden="1" x14ac:dyDescent="0.25">
      <c r="C852" s="26" t="str">
        <f>Tools!$C$1</f>
        <v>Example</v>
      </c>
      <c r="D852" s="27" t="s">
        <v>71</v>
      </c>
      <c r="E852" s="28">
        <v>2019</v>
      </c>
      <c r="F852" s="28">
        <f>MATCH(DaybyDay[[#This Row],[RowMonth]],Table3[SummaryMonth],0)</f>
        <v>4</v>
      </c>
      <c r="G852" s="29">
        <f>MATCH(DaybyDay[[#This Row],[LY-Date]],DaybyDay[Date],0)</f>
        <v>482</v>
      </c>
      <c r="H852" s="30">
        <f>WEEKDAY(DaybyDay[[#This Row],[Date]])</f>
        <v>6</v>
      </c>
      <c r="I852" s="31">
        <v>43581</v>
      </c>
      <c r="J852" s="74">
        <v>18</v>
      </c>
      <c r="K852" s="32">
        <f>SUMIFS(BudgetSeasonality[365 Seasonality],BudgetSeasonality[MonthAdjustment],DaybyDay[[#This Row],[Date]])*SUMIFS(Budgets[Service-Budget],Budgets[BudgetMonth],DaybyDay[[#This Row],[RowMonth]],Budgets[BudgetYear],DaybyDay[[#This Row],[RowYear]])</f>
        <v>3896.9799273583785</v>
      </c>
      <c r="L852" s="75">
        <v>3975.99</v>
      </c>
      <c r="M852" s="32">
        <f>INDEX(BudgetSeasonality[365 Seasonality],MATCH(DaybyDay[[#This Row],[Date]],BudgetSeasonality[MonthAdjustment],0))*SUMIFS(Budgets[Retail-Budget],Budgets[BudgetMonth],DaybyDay[[#This Row],[RowMonth]],Budgets[BudgetYear],DaybyDay[[#This Row],[RowYear]])</f>
        <v>1081.9149534289825</v>
      </c>
      <c r="N852" s="75">
        <v>432.3</v>
      </c>
      <c r="O852" s="33">
        <f>SUMIFS(DaybyDay[Service-Budgets],DaybyDay[Date],"&gt;="&amp;$C$5,DaybyDay[RowYear],"&gt;="&amp;$C$4,DaybyDay[Date],"&lt;="&amp;DaybyDay[[#This Row],[Date]])</f>
        <v>0</v>
      </c>
      <c r="P852" s="33">
        <f>SUMIFS(DaybyDay[Retail-Budgets],DaybyDay[Date],"&gt;="&amp;$C$5,DaybyDay[RowYear],"&gt;="&amp;$C$4,DaybyDay[Date],"&lt;="&amp;DaybyDay[[#This Row],[Date]])</f>
        <v>0</v>
      </c>
      <c r="Q852" s="34">
        <f>SUMIFS(DaybyDay[Service-Actuals],DaybyDay[Date],"&gt;="&amp;$C$5,DaybyDay[RowYear],"&gt;="&amp;$C$4,DaybyDay[Date],"&lt;="&amp;DaybyDay[[#This Row],[Date]])</f>
        <v>0</v>
      </c>
      <c r="R852" s="34">
        <f>SUMIFS(DaybyDay[Retail-Actuals],DaybyDay[Date],"&gt;="&amp;$C$5,DaybyDay[RowYear],"&gt;="&amp;$C$4,DaybyDay[Date],"&lt;="&amp;DaybyDay[[#This Row],[Date]])</f>
        <v>0</v>
      </c>
      <c r="S852" s="35">
        <f>SUMIFS(DaybyDay[Service-LY],DaybyDay[Date],"&gt;="&amp;$C$5,DaybyDay[RowYear],"&gt;="&amp;$C$4,DaybyDay[Date],"&lt;="&amp;DaybyDay[[#This Row],[Date]])</f>
        <v>0</v>
      </c>
      <c r="T852" s="35">
        <f>SUMIFS(DaybyDay[Retail-LY],DaybyDay[Date],"&gt;="&amp;$C$5,DaybyDay[RowYear],"&gt;="&amp;$C$4,DaybyDay[Date],"&lt;="&amp;DaybyDay[[#This Row],[Date]])</f>
        <v>0</v>
      </c>
      <c r="U852" s="32">
        <f>DaybyDay[[#This Row],[Serv-Bud-RU]]+DaybyDay[[#This Row],[Ret-Bud-RU]]</f>
        <v>0</v>
      </c>
      <c r="V852" s="32">
        <f>DaybyDay[[#This Row],[Serv-Act-RU]]+DaybyDay[[#This Row],[Ret-Act-RU]]</f>
        <v>0</v>
      </c>
      <c r="W852" s="36">
        <f>IF(DaybyDay[[#This Row],[_Space]],IFERROR(
((DaybyDay[[#This Row],[Actual-Rollup]]-DaybyDay[[#This Row],[Budget-Rollup]])/DaybyDay[[#This Row],[Budget-Rollup]]),0),"")</f>
        <v>0</v>
      </c>
      <c r="X852" t="b">
        <f>NOT(AND(ISBLANK(DaybyDay[[#This Row],[Appts]]),ISBLANK(DaybyDay[[#This Row],[Service-Actuals]]),ISBLANK(DaybyDay[[#This Row],[Retail-Actuals]])))</f>
        <v>1</v>
      </c>
      <c r="Y852" s="36">
        <f>IF(DaybyDay[[#This Row],[_Space]],IFERROR(
((DaybyDay[[#This Row],[Actual-Rollup]]-DaybyDay[[#This Row],[LY-Rollup]])/DaybyDay[[#This Row],[LY-Rollup]]),0),"")</f>
        <v>0</v>
      </c>
      <c r="Z852"/>
      <c r="AA852" s="37" t="e">
        <f>IF(DaybyDay[[#This Row],[_Space]],DaybyDay[[#This Row],[Ret-Act-RU]]/DaybyDay[[#This Row],[Serv-Act-RU]],"")</f>
        <v>#DIV/0!</v>
      </c>
      <c r="AB852" s="50" t="e">
        <f>IF(DaybyDay[[#This Row],[_Space]],DaybyDay[[#This Row],[RETPEN-Act]]/DaybyDay[[#This Row],[RETPEN-Bud]],"")</f>
        <v>#DIV/0!</v>
      </c>
      <c r="AC852" s="37" t="e">
        <f>IF(DaybyDay[[#This Row],[_Space]],DaybyDay[[#This Row],[Ret-Bud-RU]]/DaybyDay[[#This Row],[Serv-Bud-RU]],"")</f>
        <v>#DIV/0!</v>
      </c>
      <c r="AD852" s="37" t="e">
        <f>IF(DaybyDay[[#This Row],[_Space]],DaybyDay[[#This Row],[Ret-LY-RU]]/DaybyDay[[#This Row],[Serv-LY-RU]],"")</f>
        <v>#DIV/0!</v>
      </c>
      <c r="AE852" s="30">
        <f>WEEKDAY(DaybyDay[[#This Row],[LY-Date]])</f>
        <v>6</v>
      </c>
      <c r="AF852" s="38">
        <f>$E$2+_xlfn.DAYS(DaybyDay[[#This Row],[Date]],minDate)</f>
        <v>43217</v>
      </c>
      <c r="AG852" s="39" cm="1">
        <f t="array" ref="AG852">IFERROR(INDEX(DaybyDay[],DaybyDay[[#This Row],[FORM_MATCH_HELPER]],8),"")</f>
        <v>23</v>
      </c>
      <c r="AH852" s="39" cm="1">
        <f t="array" ref="AH852">IFERROR(INDEX(DaybyDay[],DaybyDay[[#This Row],[FORM_MATCH_HELPER]],10),"")</f>
        <v>5570</v>
      </c>
      <c r="AI852" s="39" cm="1">
        <f t="array" ref="AI852">IFERROR(INDEX(DaybyDay[],DaybyDay[[#This Row],[FORM_MATCH_HELPER]],12),"")</f>
        <v>624</v>
      </c>
      <c r="AJ852" s="32">
        <f>IFERROR(DaybyDay[[#This Row],[Serv-LY-RU]]+DaybyDay[[#This Row],[Ret-LY-RU]],"")</f>
        <v>0</v>
      </c>
      <c r="AK8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2" s="77"/>
      <c r="AM852" s="40" t="str">
        <f>IF(DaybyDay[[#This Row],[Admin Hours]]&gt;0,DaybyDay[[#This Row],[Admin Hours]]*$AM$2+$AM$3,"")</f>
        <v/>
      </c>
      <c r="AN852" s="40">
        <f>SUMIFS(DaybyDay[Est-Admin-Payroll],DaybyDay[Date],"&gt;="&amp;$C$5,DaybyDay[RowYear],"&gt;="&amp;$C$4,DaybyDay[Date],"&lt;="&amp;DaybyDay[[#This Row],[Date]])</f>
        <v>0</v>
      </c>
      <c r="AO852" s="41" t="str">
        <f>IF(AND(DaybyDay[[#This Row],[_Space]],ISNUMBER(DaybyDay[[#This Row],[Admin Hours]])),DaybyDay[[#This Row],[Est-Admin-Payroll]]/(DaybyDay[[#This Row],[Service-Actuals]]+DaybyDay[[#This Row],[Retail-Actuals]]),"")</f>
        <v/>
      </c>
      <c r="AP852" s="41" t="e">
        <f>DaybyDay[[#This Row],[Estimated-Payroll-Rollup]]/DaybyDay[[#This Row],[Simple-Forecast]]</f>
        <v>#DIV/0!</v>
      </c>
      <c r="AQ8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2" s="77"/>
      <c r="AS852" s="40" t="str">
        <f>IF(DaybyDay[[#This Row],[Retail Hours]]&gt;0,DaybyDay[[#This Row],[Retail Hours]]*$AS$2,"")</f>
        <v/>
      </c>
      <c r="AT852" s="40">
        <f>SUMIFS(DaybyDay[Est-Retail-Payroll],DaybyDay[Date],"&gt;="&amp;$C$5,DaybyDay[RowYear],"&gt;="&amp;$C$4,DaybyDay[Date],"&lt;="&amp;DaybyDay[[#This Row],[Date]])</f>
        <v>0</v>
      </c>
      <c r="AU852" s="82" t="str">
        <f>IF(AND(DaybyDay[[#This Row],[_Space]],ISNUMBER(DaybyDay[[#This Row],[Retail Hours]])),DaybyDay[[#This Row],[Est-Retail-Payroll]]/(DaybyDay[[#This Row],[Retail-Actuals]]),"")</f>
        <v/>
      </c>
      <c r="AV852" s="82" t="e">
        <f>DaybyDay[[#This Row],[Est-Retail-PayrollRU]]/DaybyDay[[#This Row],[Simple-Forecast-Retail]]</f>
        <v>#DIV/0!</v>
      </c>
      <c r="AW852" s="8"/>
      <c r="AX852" s="49"/>
      <c r="AY852" s="48"/>
      <c r="AZ852" s="47"/>
      <c r="BA852" s="47"/>
      <c r="BB852" s="47"/>
      <c r="BC852" s="47"/>
      <c r="BD852" s="47"/>
    </row>
    <row r="853" spans="3:56" hidden="1" x14ac:dyDescent="0.25">
      <c r="C853" s="26" t="str">
        <f>Tools!$C$1</f>
        <v>Example</v>
      </c>
      <c r="D853" s="27" t="s">
        <v>71</v>
      </c>
      <c r="E853" s="28">
        <v>2019</v>
      </c>
      <c r="F853" s="28">
        <f>MATCH(DaybyDay[[#This Row],[RowMonth]],Table3[SummaryMonth],0)</f>
        <v>4</v>
      </c>
      <c r="G853" s="29">
        <f>MATCH(DaybyDay[[#This Row],[LY-Date]],DaybyDay[Date],0)</f>
        <v>483</v>
      </c>
      <c r="H853" s="30">
        <f>WEEKDAY(DaybyDay[[#This Row],[Date]])</f>
        <v>7</v>
      </c>
      <c r="I853" s="31">
        <v>43582</v>
      </c>
      <c r="J853" s="74">
        <v>37</v>
      </c>
      <c r="K853" s="32">
        <f>SUMIFS(BudgetSeasonality[365 Seasonality],BudgetSeasonality[MonthAdjustment],DaybyDay[[#This Row],[Date]])*SUMIFS(Budgets[Service-Budget],Budgets[BudgetMonth],DaybyDay[[#This Row],[RowMonth]],Budgets[BudgetYear],DaybyDay[[#This Row],[RowYear]])</f>
        <v>5857.0898635778885</v>
      </c>
      <c r="L853" s="75">
        <v>7281.74</v>
      </c>
      <c r="M853" s="32">
        <f>INDEX(BudgetSeasonality[365 Seasonality],MATCH(DaybyDay[[#This Row],[Date]],BudgetSeasonality[MonthAdjustment],0))*SUMIFS(Budgets[Retail-Budget],Budgets[BudgetMonth],DaybyDay[[#This Row],[RowMonth]],Budgets[BudgetYear],DaybyDay[[#This Row],[RowYear]])</f>
        <v>1626.0984724336963</v>
      </c>
      <c r="N853" s="75">
        <v>503.35</v>
      </c>
      <c r="O853" s="33">
        <f>SUMIFS(DaybyDay[Service-Budgets],DaybyDay[Date],"&gt;="&amp;$C$5,DaybyDay[RowYear],"&gt;="&amp;$C$4,DaybyDay[Date],"&lt;="&amp;DaybyDay[[#This Row],[Date]])</f>
        <v>0</v>
      </c>
      <c r="P853" s="33">
        <f>SUMIFS(DaybyDay[Retail-Budgets],DaybyDay[Date],"&gt;="&amp;$C$5,DaybyDay[RowYear],"&gt;="&amp;$C$4,DaybyDay[Date],"&lt;="&amp;DaybyDay[[#This Row],[Date]])</f>
        <v>0</v>
      </c>
      <c r="Q853" s="34">
        <f>SUMIFS(DaybyDay[Service-Actuals],DaybyDay[Date],"&gt;="&amp;$C$5,DaybyDay[RowYear],"&gt;="&amp;$C$4,DaybyDay[Date],"&lt;="&amp;DaybyDay[[#This Row],[Date]])</f>
        <v>0</v>
      </c>
      <c r="R853" s="34">
        <f>SUMIFS(DaybyDay[Retail-Actuals],DaybyDay[Date],"&gt;="&amp;$C$5,DaybyDay[RowYear],"&gt;="&amp;$C$4,DaybyDay[Date],"&lt;="&amp;DaybyDay[[#This Row],[Date]])</f>
        <v>0</v>
      </c>
      <c r="S853" s="35">
        <f>SUMIFS(DaybyDay[Service-LY],DaybyDay[Date],"&gt;="&amp;$C$5,DaybyDay[RowYear],"&gt;="&amp;$C$4,DaybyDay[Date],"&lt;="&amp;DaybyDay[[#This Row],[Date]])</f>
        <v>0</v>
      </c>
      <c r="T853" s="35">
        <f>SUMIFS(DaybyDay[Retail-LY],DaybyDay[Date],"&gt;="&amp;$C$5,DaybyDay[RowYear],"&gt;="&amp;$C$4,DaybyDay[Date],"&lt;="&amp;DaybyDay[[#This Row],[Date]])</f>
        <v>0</v>
      </c>
      <c r="U853" s="32">
        <f>DaybyDay[[#This Row],[Serv-Bud-RU]]+DaybyDay[[#This Row],[Ret-Bud-RU]]</f>
        <v>0</v>
      </c>
      <c r="V853" s="32">
        <f>DaybyDay[[#This Row],[Serv-Act-RU]]+DaybyDay[[#This Row],[Ret-Act-RU]]</f>
        <v>0</v>
      </c>
      <c r="W853" s="36">
        <f>IF(DaybyDay[[#This Row],[_Space]],IFERROR(
((DaybyDay[[#This Row],[Actual-Rollup]]-DaybyDay[[#This Row],[Budget-Rollup]])/DaybyDay[[#This Row],[Budget-Rollup]]),0),"")</f>
        <v>0</v>
      </c>
      <c r="X853" t="b">
        <f>NOT(AND(ISBLANK(DaybyDay[[#This Row],[Appts]]),ISBLANK(DaybyDay[[#This Row],[Service-Actuals]]),ISBLANK(DaybyDay[[#This Row],[Retail-Actuals]])))</f>
        <v>1</v>
      </c>
      <c r="Y853" s="36">
        <f>IF(DaybyDay[[#This Row],[_Space]],IFERROR(
((DaybyDay[[#This Row],[Actual-Rollup]]-DaybyDay[[#This Row],[LY-Rollup]])/DaybyDay[[#This Row],[LY-Rollup]]),0),"")</f>
        <v>0</v>
      </c>
      <c r="Z853"/>
      <c r="AA853" s="37" t="e">
        <f>IF(DaybyDay[[#This Row],[_Space]],DaybyDay[[#This Row],[Ret-Act-RU]]/DaybyDay[[#This Row],[Serv-Act-RU]],"")</f>
        <v>#DIV/0!</v>
      </c>
      <c r="AB853" s="50" t="e">
        <f>IF(DaybyDay[[#This Row],[_Space]],DaybyDay[[#This Row],[RETPEN-Act]]/DaybyDay[[#This Row],[RETPEN-Bud]],"")</f>
        <v>#DIV/0!</v>
      </c>
      <c r="AC853" s="37" t="e">
        <f>IF(DaybyDay[[#This Row],[_Space]],DaybyDay[[#This Row],[Ret-Bud-RU]]/DaybyDay[[#This Row],[Serv-Bud-RU]],"")</f>
        <v>#DIV/0!</v>
      </c>
      <c r="AD853" s="37" t="e">
        <f>IF(DaybyDay[[#This Row],[_Space]],DaybyDay[[#This Row],[Ret-LY-RU]]/DaybyDay[[#This Row],[Serv-LY-RU]],"")</f>
        <v>#DIV/0!</v>
      </c>
      <c r="AE853" s="30">
        <f>WEEKDAY(DaybyDay[[#This Row],[LY-Date]])</f>
        <v>7</v>
      </c>
      <c r="AF853" s="38">
        <f>$E$2+_xlfn.DAYS(DaybyDay[[#This Row],[Date]],minDate)</f>
        <v>43218</v>
      </c>
      <c r="AG853" s="39" cm="1">
        <f t="array" ref="AG853">IFERROR(INDEX(DaybyDay[],DaybyDay[[#This Row],[FORM_MATCH_HELPER]],8),"")</f>
        <v>35</v>
      </c>
      <c r="AH853" s="39" cm="1">
        <f t="array" ref="AH853">IFERROR(INDEX(DaybyDay[],DaybyDay[[#This Row],[FORM_MATCH_HELPER]],10),"")</f>
        <v>6556.05</v>
      </c>
      <c r="AI853" s="39" cm="1">
        <f t="array" ref="AI853">IFERROR(INDEX(DaybyDay[],DaybyDay[[#This Row],[FORM_MATCH_HELPER]],12),"")</f>
        <v>2882.25</v>
      </c>
      <c r="AJ853" s="32">
        <f>IFERROR(DaybyDay[[#This Row],[Serv-LY-RU]]+DaybyDay[[#This Row],[Ret-LY-RU]],"")</f>
        <v>0</v>
      </c>
      <c r="AK8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3" s="77"/>
      <c r="AM853" s="40" t="str">
        <f>IF(DaybyDay[[#This Row],[Admin Hours]]&gt;0,DaybyDay[[#This Row],[Admin Hours]]*$AM$2+$AM$3,"")</f>
        <v/>
      </c>
      <c r="AN853" s="40">
        <f>SUMIFS(DaybyDay[Est-Admin-Payroll],DaybyDay[Date],"&gt;="&amp;$C$5,DaybyDay[RowYear],"&gt;="&amp;$C$4,DaybyDay[Date],"&lt;="&amp;DaybyDay[[#This Row],[Date]])</f>
        <v>0</v>
      </c>
      <c r="AO853" s="41" t="str">
        <f>IF(AND(DaybyDay[[#This Row],[_Space]],ISNUMBER(DaybyDay[[#This Row],[Admin Hours]])),DaybyDay[[#This Row],[Est-Admin-Payroll]]/(DaybyDay[[#This Row],[Service-Actuals]]+DaybyDay[[#This Row],[Retail-Actuals]]),"")</f>
        <v/>
      </c>
      <c r="AP853" s="41" t="e">
        <f>DaybyDay[[#This Row],[Estimated-Payroll-Rollup]]/DaybyDay[[#This Row],[Simple-Forecast]]</f>
        <v>#DIV/0!</v>
      </c>
      <c r="AQ8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3" s="77"/>
      <c r="AS853" s="40" t="str">
        <f>IF(DaybyDay[[#This Row],[Retail Hours]]&gt;0,DaybyDay[[#This Row],[Retail Hours]]*$AS$2,"")</f>
        <v/>
      </c>
      <c r="AT853" s="40">
        <f>SUMIFS(DaybyDay[Est-Retail-Payroll],DaybyDay[Date],"&gt;="&amp;$C$5,DaybyDay[RowYear],"&gt;="&amp;$C$4,DaybyDay[Date],"&lt;="&amp;DaybyDay[[#This Row],[Date]])</f>
        <v>0</v>
      </c>
      <c r="AU853" s="82" t="str">
        <f>IF(AND(DaybyDay[[#This Row],[_Space]],ISNUMBER(DaybyDay[[#This Row],[Retail Hours]])),DaybyDay[[#This Row],[Est-Retail-Payroll]]/(DaybyDay[[#This Row],[Retail-Actuals]]),"")</f>
        <v/>
      </c>
      <c r="AV853" s="82" t="e">
        <f>DaybyDay[[#This Row],[Est-Retail-PayrollRU]]/DaybyDay[[#This Row],[Simple-Forecast-Retail]]</f>
        <v>#DIV/0!</v>
      </c>
      <c r="AW853" s="8"/>
      <c r="AX853" s="49"/>
      <c r="AY853" s="48"/>
      <c r="AZ853" s="47"/>
      <c r="BA853" s="47"/>
      <c r="BB853" s="47"/>
      <c r="BC853" s="47"/>
      <c r="BD853" s="47"/>
    </row>
    <row r="854" spans="3:56" hidden="1" x14ac:dyDescent="0.25">
      <c r="C854" s="26" t="str">
        <f>Tools!$C$1</f>
        <v>Example</v>
      </c>
      <c r="D854" s="27" t="s">
        <v>71</v>
      </c>
      <c r="E854" s="28">
        <v>2019</v>
      </c>
      <c r="F854" s="28">
        <f>MATCH(DaybyDay[[#This Row],[RowMonth]],Table3[SummaryMonth],0)</f>
        <v>4</v>
      </c>
      <c r="G854" s="29">
        <f>MATCH(DaybyDay[[#This Row],[LY-Date]],DaybyDay[Date],0)</f>
        <v>484</v>
      </c>
      <c r="H854" s="30">
        <f>WEEKDAY(DaybyDay[[#This Row],[Date]])</f>
        <v>1</v>
      </c>
      <c r="I854" s="31">
        <v>43583</v>
      </c>
      <c r="J854" s="74">
        <v>34</v>
      </c>
      <c r="K854" s="32">
        <f>SUMIFS(BudgetSeasonality[365 Seasonality],BudgetSeasonality[MonthAdjustment],DaybyDay[[#This Row],[Date]])*SUMIFS(Budgets[Service-Budget],Budgets[BudgetMonth],DaybyDay[[#This Row],[RowMonth]],Budgets[BudgetYear],DaybyDay[[#This Row],[RowYear]])</f>
        <v>4483.6850778119415</v>
      </c>
      <c r="L854" s="75">
        <v>8108.3899999999994</v>
      </c>
      <c r="M854" s="32">
        <f>INDEX(BudgetSeasonality[365 Seasonality],MATCH(DaybyDay[[#This Row],[Date]],BudgetSeasonality[MonthAdjustment],0))*SUMIFS(Budgets[Retail-Budget],Budgets[BudgetMonth],DaybyDay[[#This Row],[RowMonth]],Budgets[BudgetYear],DaybyDay[[#This Row],[RowYear]])</f>
        <v>1244.8013647941532</v>
      </c>
      <c r="N854" s="75">
        <v>1925.5</v>
      </c>
      <c r="O854" s="33">
        <f>SUMIFS(DaybyDay[Service-Budgets],DaybyDay[Date],"&gt;="&amp;$C$5,DaybyDay[RowYear],"&gt;="&amp;$C$4,DaybyDay[Date],"&lt;="&amp;DaybyDay[[#This Row],[Date]])</f>
        <v>0</v>
      </c>
      <c r="P854" s="33">
        <f>SUMIFS(DaybyDay[Retail-Budgets],DaybyDay[Date],"&gt;="&amp;$C$5,DaybyDay[RowYear],"&gt;="&amp;$C$4,DaybyDay[Date],"&lt;="&amp;DaybyDay[[#This Row],[Date]])</f>
        <v>0</v>
      </c>
      <c r="Q854" s="34">
        <f>SUMIFS(DaybyDay[Service-Actuals],DaybyDay[Date],"&gt;="&amp;$C$5,DaybyDay[RowYear],"&gt;="&amp;$C$4,DaybyDay[Date],"&lt;="&amp;DaybyDay[[#This Row],[Date]])</f>
        <v>0</v>
      </c>
      <c r="R854" s="34">
        <f>SUMIFS(DaybyDay[Retail-Actuals],DaybyDay[Date],"&gt;="&amp;$C$5,DaybyDay[RowYear],"&gt;="&amp;$C$4,DaybyDay[Date],"&lt;="&amp;DaybyDay[[#This Row],[Date]])</f>
        <v>0</v>
      </c>
      <c r="S854" s="35">
        <f>SUMIFS(DaybyDay[Service-LY],DaybyDay[Date],"&gt;="&amp;$C$5,DaybyDay[RowYear],"&gt;="&amp;$C$4,DaybyDay[Date],"&lt;="&amp;DaybyDay[[#This Row],[Date]])</f>
        <v>0</v>
      </c>
      <c r="T854" s="35">
        <f>SUMIFS(DaybyDay[Retail-LY],DaybyDay[Date],"&gt;="&amp;$C$5,DaybyDay[RowYear],"&gt;="&amp;$C$4,DaybyDay[Date],"&lt;="&amp;DaybyDay[[#This Row],[Date]])</f>
        <v>0</v>
      </c>
      <c r="U854" s="32">
        <f>DaybyDay[[#This Row],[Serv-Bud-RU]]+DaybyDay[[#This Row],[Ret-Bud-RU]]</f>
        <v>0</v>
      </c>
      <c r="V854" s="32">
        <f>DaybyDay[[#This Row],[Serv-Act-RU]]+DaybyDay[[#This Row],[Ret-Act-RU]]</f>
        <v>0</v>
      </c>
      <c r="W854" s="36">
        <f>IF(DaybyDay[[#This Row],[_Space]],IFERROR(
((DaybyDay[[#This Row],[Actual-Rollup]]-DaybyDay[[#This Row],[Budget-Rollup]])/DaybyDay[[#This Row],[Budget-Rollup]]),0),"")</f>
        <v>0</v>
      </c>
      <c r="X854" t="b">
        <f>NOT(AND(ISBLANK(DaybyDay[[#This Row],[Appts]]),ISBLANK(DaybyDay[[#This Row],[Service-Actuals]]),ISBLANK(DaybyDay[[#This Row],[Retail-Actuals]])))</f>
        <v>1</v>
      </c>
      <c r="Y854" s="36">
        <f>IF(DaybyDay[[#This Row],[_Space]],IFERROR(
((DaybyDay[[#This Row],[Actual-Rollup]]-DaybyDay[[#This Row],[LY-Rollup]])/DaybyDay[[#This Row],[LY-Rollup]]),0),"")</f>
        <v>0</v>
      </c>
      <c r="Z854"/>
      <c r="AA854" s="37" t="e">
        <f>IF(DaybyDay[[#This Row],[_Space]],DaybyDay[[#This Row],[Ret-Act-RU]]/DaybyDay[[#This Row],[Serv-Act-RU]],"")</f>
        <v>#DIV/0!</v>
      </c>
      <c r="AB854" s="50" t="e">
        <f>IF(DaybyDay[[#This Row],[_Space]],DaybyDay[[#This Row],[RETPEN-Act]]/DaybyDay[[#This Row],[RETPEN-Bud]],"")</f>
        <v>#DIV/0!</v>
      </c>
      <c r="AC854" s="37" t="e">
        <f>IF(DaybyDay[[#This Row],[_Space]],DaybyDay[[#This Row],[Ret-Bud-RU]]/DaybyDay[[#This Row],[Serv-Bud-RU]],"")</f>
        <v>#DIV/0!</v>
      </c>
      <c r="AD854" s="37" t="e">
        <f>IF(DaybyDay[[#This Row],[_Space]],DaybyDay[[#This Row],[Ret-LY-RU]]/DaybyDay[[#This Row],[Serv-LY-RU]],"")</f>
        <v>#DIV/0!</v>
      </c>
      <c r="AE854" s="30">
        <f>WEEKDAY(DaybyDay[[#This Row],[LY-Date]])</f>
        <v>1</v>
      </c>
      <c r="AF854" s="38">
        <f>$E$2+_xlfn.DAYS(DaybyDay[[#This Row],[Date]],minDate)</f>
        <v>43219</v>
      </c>
      <c r="AG854" s="39" cm="1">
        <f t="array" ref="AG854">IFERROR(INDEX(DaybyDay[],DaybyDay[[#This Row],[FORM_MATCH_HELPER]],8),"")</f>
        <v>18</v>
      </c>
      <c r="AH854" s="39" cm="1">
        <f t="array" ref="AH854">IFERROR(INDEX(DaybyDay[],DaybyDay[[#This Row],[FORM_MATCH_HELPER]],10),"")</f>
        <v>3525</v>
      </c>
      <c r="AI854" s="39" cm="1">
        <f t="array" ref="AI854">IFERROR(INDEX(DaybyDay[],DaybyDay[[#This Row],[FORM_MATCH_HELPER]],12),"")</f>
        <v>880</v>
      </c>
      <c r="AJ854" s="32">
        <f>IFERROR(DaybyDay[[#This Row],[Serv-LY-RU]]+DaybyDay[[#This Row],[Ret-LY-RU]],"")</f>
        <v>0</v>
      </c>
      <c r="AK8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4" s="77"/>
      <c r="AM854" s="40" t="str">
        <f>IF(DaybyDay[[#This Row],[Admin Hours]]&gt;0,DaybyDay[[#This Row],[Admin Hours]]*$AM$2+$AM$3,"")</f>
        <v/>
      </c>
      <c r="AN854" s="40">
        <f>SUMIFS(DaybyDay[Est-Admin-Payroll],DaybyDay[Date],"&gt;="&amp;$C$5,DaybyDay[RowYear],"&gt;="&amp;$C$4,DaybyDay[Date],"&lt;="&amp;DaybyDay[[#This Row],[Date]])</f>
        <v>0</v>
      </c>
      <c r="AO854" s="41" t="str">
        <f>IF(AND(DaybyDay[[#This Row],[_Space]],ISNUMBER(DaybyDay[[#This Row],[Admin Hours]])),DaybyDay[[#This Row],[Est-Admin-Payroll]]/(DaybyDay[[#This Row],[Service-Actuals]]+DaybyDay[[#This Row],[Retail-Actuals]]),"")</f>
        <v/>
      </c>
      <c r="AP854" s="41" t="e">
        <f>DaybyDay[[#This Row],[Estimated-Payroll-Rollup]]/DaybyDay[[#This Row],[Simple-Forecast]]</f>
        <v>#DIV/0!</v>
      </c>
      <c r="AQ8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4" s="77"/>
      <c r="AS854" s="40" t="str">
        <f>IF(DaybyDay[[#This Row],[Retail Hours]]&gt;0,DaybyDay[[#This Row],[Retail Hours]]*$AS$2,"")</f>
        <v/>
      </c>
      <c r="AT854" s="40">
        <f>SUMIFS(DaybyDay[Est-Retail-Payroll],DaybyDay[Date],"&gt;="&amp;$C$5,DaybyDay[RowYear],"&gt;="&amp;$C$4,DaybyDay[Date],"&lt;="&amp;DaybyDay[[#This Row],[Date]])</f>
        <v>0</v>
      </c>
      <c r="AU854" s="82" t="str">
        <f>IF(AND(DaybyDay[[#This Row],[_Space]],ISNUMBER(DaybyDay[[#This Row],[Retail Hours]])),DaybyDay[[#This Row],[Est-Retail-Payroll]]/(DaybyDay[[#This Row],[Retail-Actuals]]),"")</f>
        <v/>
      </c>
      <c r="AV854" s="82" t="e">
        <f>DaybyDay[[#This Row],[Est-Retail-PayrollRU]]/DaybyDay[[#This Row],[Simple-Forecast-Retail]]</f>
        <v>#DIV/0!</v>
      </c>
      <c r="AW854" s="8"/>
      <c r="AX854" s="49"/>
      <c r="AY854" s="48"/>
      <c r="AZ854" s="47"/>
      <c r="BA854" s="47"/>
      <c r="BB854" s="47"/>
      <c r="BC854" s="47"/>
      <c r="BD854" s="47"/>
    </row>
    <row r="855" spans="3:56" hidden="1" x14ac:dyDescent="0.25">
      <c r="C855" s="26" t="str">
        <f>Tools!$C$1</f>
        <v>Example</v>
      </c>
      <c r="D855" s="27" t="s">
        <v>71</v>
      </c>
      <c r="E855" s="28">
        <v>2019</v>
      </c>
      <c r="F855" s="28">
        <f>MATCH(DaybyDay[[#This Row],[RowMonth]],Table3[SummaryMonth],0)</f>
        <v>4</v>
      </c>
      <c r="G855" s="29">
        <f>MATCH(DaybyDay[[#This Row],[LY-Date]],DaybyDay[Date],0)</f>
        <v>485</v>
      </c>
      <c r="H855" s="30">
        <f>WEEKDAY(DaybyDay[[#This Row],[Date]])</f>
        <v>2</v>
      </c>
      <c r="I855" s="31">
        <v>43584</v>
      </c>
      <c r="J855" s="74">
        <v>7</v>
      </c>
      <c r="K855" s="32">
        <f>SUMIFS(BudgetSeasonality[365 Seasonality],BudgetSeasonality[MonthAdjustment],DaybyDay[[#This Row],[Date]])*SUMIFS(Budgets[Service-Budget],Budgets[BudgetMonth],DaybyDay[[#This Row],[RowMonth]],Budgets[BudgetYear],DaybyDay[[#This Row],[RowYear]])</f>
        <v>2466.7262379356275</v>
      </c>
      <c r="L855" s="75">
        <v>1048</v>
      </c>
      <c r="M855" s="32">
        <f>INDEX(BudgetSeasonality[365 Seasonality],MATCH(DaybyDay[[#This Row],[Date]],BudgetSeasonality[MonthAdjustment],0))*SUMIFS(Budgets[Retail-Budget],Budgets[BudgetMonth],DaybyDay[[#This Row],[RowMonth]],Budgets[BudgetYear],DaybyDay[[#This Row],[RowYear]])</f>
        <v>684.83493694750643</v>
      </c>
      <c r="N855" s="75">
        <v>0</v>
      </c>
      <c r="O855" s="33">
        <f>SUMIFS(DaybyDay[Service-Budgets],DaybyDay[Date],"&gt;="&amp;$C$5,DaybyDay[RowYear],"&gt;="&amp;$C$4,DaybyDay[Date],"&lt;="&amp;DaybyDay[[#This Row],[Date]])</f>
        <v>0</v>
      </c>
      <c r="P855" s="33">
        <f>SUMIFS(DaybyDay[Retail-Budgets],DaybyDay[Date],"&gt;="&amp;$C$5,DaybyDay[RowYear],"&gt;="&amp;$C$4,DaybyDay[Date],"&lt;="&amp;DaybyDay[[#This Row],[Date]])</f>
        <v>0</v>
      </c>
      <c r="Q855" s="34">
        <f>SUMIFS(DaybyDay[Service-Actuals],DaybyDay[Date],"&gt;="&amp;$C$5,DaybyDay[RowYear],"&gt;="&amp;$C$4,DaybyDay[Date],"&lt;="&amp;DaybyDay[[#This Row],[Date]])</f>
        <v>0</v>
      </c>
      <c r="R855" s="34">
        <f>SUMIFS(DaybyDay[Retail-Actuals],DaybyDay[Date],"&gt;="&amp;$C$5,DaybyDay[RowYear],"&gt;="&amp;$C$4,DaybyDay[Date],"&lt;="&amp;DaybyDay[[#This Row],[Date]])</f>
        <v>0</v>
      </c>
      <c r="S855" s="35">
        <f>SUMIFS(DaybyDay[Service-LY],DaybyDay[Date],"&gt;="&amp;$C$5,DaybyDay[RowYear],"&gt;="&amp;$C$4,DaybyDay[Date],"&lt;="&amp;DaybyDay[[#This Row],[Date]])</f>
        <v>0</v>
      </c>
      <c r="T855" s="35">
        <f>SUMIFS(DaybyDay[Retail-LY],DaybyDay[Date],"&gt;="&amp;$C$5,DaybyDay[RowYear],"&gt;="&amp;$C$4,DaybyDay[Date],"&lt;="&amp;DaybyDay[[#This Row],[Date]])</f>
        <v>0</v>
      </c>
      <c r="U855" s="32">
        <f>DaybyDay[[#This Row],[Serv-Bud-RU]]+DaybyDay[[#This Row],[Ret-Bud-RU]]</f>
        <v>0</v>
      </c>
      <c r="V855" s="32">
        <f>DaybyDay[[#This Row],[Serv-Act-RU]]+DaybyDay[[#This Row],[Ret-Act-RU]]</f>
        <v>0</v>
      </c>
      <c r="W855" s="36">
        <f>IF(DaybyDay[[#This Row],[_Space]],IFERROR(
((DaybyDay[[#This Row],[Actual-Rollup]]-DaybyDay[[#This Row],[Budget-Rollup]])/DaybyDay[[#This Row],[Budget-Rollup]]),0),"")</f>
        <v>0</v>
      </c>
      <c r="X855" t="b">
        <f>NOT(AND(ISBLANK(DaybyDay[[#This Row],[Appts]]),ISBLANK(DaybyDay[[#This Row],[Service-Actuals]]),ISBLANK(DaybyDay[[#This Row],[Retail-Actuals]])))</f>
        <v>1</v>
      </c>
      <c r="Y855" s="36">
        <f>IF(DaybyDay[[#This Row],[_Space]],IFERROR(
((DaybyDay[[#This Row],[Actual-Rollup]]-DaybyDay[[#This Row],[LY-Rollup]])/DaybyDay[[#This Row],[LY-Rollup]]),0),"")</f>
        <v>0</v>
      </c>
      <c r="Z855"/>
      <c r="AA855" s="37" t="e">
        <f>IF(DaybyDay[[#This Row],[_Space]],DaybyDay[[#This Row],[Ret-Act-RU]]/DaybyDay[[#This Row],[Serv-Act-RU]],"")</f>
        <v>#DIV/0!</v>
      </c>
      <c r="AB855" s="50" t="e">
        <f>IF(DaybyDay[[#This Row],[_Space]],DaybyDay[[#This Row],[RETPEN-Act]]/DaybyDay[[#This Row],[RETPEN-Bud]],"")</f>
        <v>#DIV/0!</v>
      </c>
      <c r="AC855" s="37" t="e">
        <f>IF(DaybyDay[[#This Row],[_Space]],DaybyDay[[#This Row],[Ret-Bud-RU]]/DaybyDay[[#This Row],[Serv-Bud-RU]],"")</f>
        <v>#DIV/0!</v>
      </c>
      <c r="AD855" s="37" t="e">
        <f>IF(DaybyDay[[#This Row],[_Space]],DaybyDay[[#This Row],[Ret-LY-RU]]/DaybyDay[[#This Row],[Serv-LY-RU]],"")</f>
        <v>#DIV/0!</v>
      </c>
      <c r="AE855" s="30">
        <f>WEEKDAY(DaybyDay[[#This Row],[LY-Date]])</f>
        <v>2</v>
      </c>
      <c r="AF855" s="38">
        <f>$E$2+_xlfn.DAYS(DaybyDay[[#This Row],[Date]],minDate)</f>
        <v>43220</v>
      </c>
      <c r="AG855" s="39" cm="1">
        <f t="array" ref="AG855">IFERROR(INDEX(DaybyDay[],DaybyDay[[#This Row],[FORM_MATCH_HELPER]],8),"")</f>
        <v>6</v>
      </c>
      <c r="AH855" s="39" cm="1">
        <f t="array" ref="AH855">IFERROR(INDEX(DaybyDay[],DaybyDay[[#This Row],[FORM_MATCH_HELPER]],10),"")</f>
        <v>1241.24</v>
      </c>
      <c r="AI855" s="39" cm="1">
        <f t="array" ref="AI855">IFERROR(INDEX(DaybyDay[],DaybyDay[[#This Row],[FORM_MATCH_HELPER]],12),"")</f>
        <v>208</v>
      </c>
      <c r="AJ855" s="32">
        <f>IFERROR(DaybyDay[[#This Row],[Serv-LY-RU]]+DaybyDay[[#This Row],[Ret-LY-RU]],"")</f>
        <v>0</v>
      </c>
      <c r="AK8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5" s="77"/>
      <c r="AM855" s="40" t="str">
        <f>IF(DaybyDay[[#This Row],[Admin Hours]]&gt;0,DaybyDay[[#This Row],[Admin Hours]]*$AM$2+$AM$3,"")</f>
        <v/>
      </c>
      <c r="AN855" s="40">
        <f>SUMIFS(DaybyDay[Est-Admin-Payroll],DaybyDay[Date],"&gt;="&amp;$C$5,DaybyDay[RowYear],"&gt;="&amp;$C$4,DaybyDay[Date],"&lt;="&amp;DaybyDay[[#This Row],[Date]])</f>
        <v>0</v>
      </c>
      <c r="AO855" s="41" t="str">
        <f>IF(AND(DaybyDay[[#This Row],[_Space]],ISNUMBER(DaybyDay[[#This Row],[Admin Hours]])),DaybyDay[[#This Row],[Est-Admin-Payroll]]/(DaybyDay[[#This Row],[Service-Actuals]]+DaybyDay[[#This Row],[Retail-Actuals]]),"")</f>
        <v/>
      </c>
      <c r="AP855" s="41" t="e">
        <f>DaybyDay[[#This Row],[Estimated-Payroll-Rollup]]/DaybyDay[[#This Row],[Simple-Forecast]]</f>
        <v>#DIV/0!</v>
      </c>
      <c r="AQ8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5" s="77"/>
      <c r="AS855" s="40" t="str">
        <f>IF(DaybyDay[[#This Row],[Retail Hours]]&gt;0,DaybyDay[[#This Row],[Retail Hours]]*$AS$2,"")</f>
        <v/>
      </c>
      <c r="AT855" s="40">
        <f>SUMIFS(DaybyDay[Est-Retail-Payroll],DaybyDay[Date],"&gt;="&amp;$C$5,DaybyDay[RowYear],"&gt;="&amp;$C$4,DaybyDay[Date],"&lt;="&amp;DaybyDay[[#This Row],[Date]])</f>
        <v>0</v>
      </c>
      <c r="AU855" s="82" t="str">
        <f>IF(AND(DaybyDay[[#This Row],[_Space]],ISNUMBER(DaybyDay[[#This Row],[Retail Hours]])),DaybyDay[[#This Row],[Est-Retail-Payroll]]/(DaybyDay[[#This Row],[Retail-Actuals]]),"")</f>
        <v/>
      </c>
      <c r="AV855" s="82" t="e">
        <f>DaybyDay[[#This Row],[Est-Retail-PayrollRU]]/DaybyDay[[#This Row],[Simple-Forecast-Retail]]</f>
        <v>#DIV/0!</v>
      </c>
      <c r="AW855" s="8"/>
      <c r="AX855" s="49"/>
      <c r="AY855" s="48"/>
      <c r="AZ855" s="47"/>
      <c r="BA855" s="47"/>
      <c r="BB855" s="47"/>
      <c r="BC855" s="47"/>
      <c r="BD855" s="47"/>
    </row>
    <row r="856" spans="3:56" hidden="1" x14ac:dyDescent="0.25">
      <c r="C856" s="26" t="str">
        <f>Tools!$C$1</f>
        <v>Example</v>
      </c>
      <c r="D856" s="27" t="s">
        <v>71</v>
      </c>
      <c r="E856" s="28">
        <v>2019</v>
      </c>
      <c r="F856" s="28">
        <f>MATCH(DaybyDay[[#This Row],[RowMonth]],Table3[SummaryMonth],0)</f>
        <v>4</v>
      </c>
      <c r="G856" s="29">
        <f>MATCH(DaybyDay[[#This Row],[LY-Date]],DaybyDay[Date],0)</f>
        <v>486</v>
      </c>
      <c r="H856" s="30">
        <f>WEEKDAY(DaybyDay[[#This Row],[Date]])</f>
        <v>3</v>
      </c>
      <c r="I856" s="31">
        <v>43585</v>
      </c>
      <c r="J856" s="74">
        <v>14</v>
      </c>
      <c r="K856" s="32">
        <f>SUMIFS(BudgetSeasonality[365 Seasonality],BudgetSeasonality[MonthAdjustment],DaybyDay[[#This Row],[Date]])*SUMIFS(Budgets[Service-Budget],Budgets[BudgetMonth],DaybyDay[[#This Row],[RowMonth]],Budgets[BudgetYear],DaybyDay[[#This Row],[RowYear]])</f>
        <v>2639.9387656949552</v>
      </c>
      <c r="L856" s="75">
        <v>3150.4</v>
      </c>
      <c r="M856" s="32">
        <f>INDEX(BudgetSeasonality[365 Seasonality],MATCH(DaybyDay[[#This Row],[Date]],BudgetSeasonality[MonthAdjustment],0))*SUMIFS(Budgets[Retail-Budget],Budgets[BudgetMonth],DaybyDay[[#This Row],[RowMonth]],Budgets[BudgetYear],DaybyDay[[#This Row],[RowYear]])</f>
        <v>732.92377173683053</v>
      </c>
      <c r="N856" s="75">
        <v>130</v>
      </c>
      <c r="O856" s="33">
        <f>SUMIFS(DaybyDay[Service-Budgets],DaybyDay[Date],"&gt;="&amp;$C$5,DaybyDay[RowYear],"&gt;="&amp;$C$4,DaybyDay[Date],"&lt;="&amp;DaybyDay[[#This Row],[Date]])</f>
        <v>0</v>
      </c>
      <c r="P856" s="33">
        <f>SUMIFS(DaybyDay[Retail-Budgets],DaybyDay[Date],"&gt;="&amp;$C$5,DaybyDay[RowYear],"&gt;="&amp;$C$4,DaybyDay[Date],"&lt;="&amp;DaybyDay[[#This Row],[Date]])</f>
        <v>0</v>
      </c>
      <c r="Q856" s="34">
        <f>SUMIFS(DaybyDay[Service-Actuals],DaybyDay[Date],"&gt;="&amp;$C$5,DaybyDay[RowYear],"&gt;="&amp;$C$4,DaybyDay[Date],"&lt;="&amp;DaybyDay[[#This Row],[Date]])</f>
        <v>0</v>
      </c>
      <c r="R856" s="34">
        <f>SUMIFS(DaybyDay[Retail-Actuals],DaybyDay[Date],"&gt;="&amp;$C$5,DaybyDay[RowYear],"&gt;="&amp;$C$4,DaybyDay[Date],"&lt;="&amp;DaybyDay[[#This Row],[Date]])</f>
        <v>0</v>
      </c>
      <c r="S856" s="35">
        <f>SUMIFS(DaybyDay[Service-LY],DaybyDay[Date],"&gt;="&amp;$C$5,DaybyDay[RowYear],"&gt;="&amp;$C$4,DaybyDay[Date],"&lt;="&amp;DaybyDay[[#This Row],[Date]])</f>
        <v>0</v>
      </c>
      <c r="T856" s="35">
        <f>SUMIFS(DaybyDay[Retail-LY],DaybyDay[Date],"&gt;="&amp;$C$5,DaybyDay[RowYear],"&gt;="&amp;$C$4,DaybyDay[Date],"&lt;="&amp;DaybyDay[[#This Row],[Date]])</f>
        <v>0</v>
      </c>
      <c r="U856" s="32">
        <f>DaybyDay[[#This Row],[Serv-Bud-RU]]+DaybyDay[[#This Row],[Ret-Bud-RU]]</f>
        <v>0</v>
      </c>
      <c r="V856" s="32">
        <f>DaybyDay[[#This Row],[Serv-Act-RU]]+DaybyDay[[#This Row],[Ret-Act-RU]]</f>
        <v>0</v>
      </c>
      <c r="W856" s="36">
        <f>IF(DaybyDay[[#This Row],[_Space]],IFERROR(
((DaybyDay[[#This Row],[Actual-Rollup]]-DaybyDay[[#This Row],[Budget-Rollup]])/DaybyDay[[#This Row],[Budget-Rollup]]),0),"")</f>
        <v>0</v>
      </c>
      <c r="X856" t="b">
        <f>NOT(AND(ISBLANK(DaybyDay[[#This Row],[Appts]]),ISBLANK(DaybyDay[[#This Row],[Service-Actuals]]),ISBLANK(DaybyDay[[#This Row],[Retail-Actuals]])))</f>
        <v>1</v>
      </c>
      <c r="Y856" s="36">
        <f>IF(DaybyDay[[#This Row],[_Space]],IFERROR(
((DaybyDay[[#This Row],[Actual-Rollup]]-DaybyDay[[#This Row],[LY-Rollup]])/DaybyDay[[#This Row],[LY-Rollup]]),0),"")</f>
        <v>0</v>
      </c>
      <c r="Z856"/>
      <c r="AA856" s="37" t="e">
        <f>IF(DaybyDay[[#This Row],[_Space]],DaybyDay[[#This Row],[Ret-Act-RU]]/DaybyDay[[#This Row],[Serv-Act-RU]],"")</f>
        <v>#DIV/0!</v>
      </c>
      <c r="AB856" s="50" t="e">
        <f>IF(DaybyDay[[#This Row],[_Space]],DaybyDay[[#This Row],[RETPEN-Act]]/DaybyDay[[#This Row],[RETPEN-Bud]],"")</f>
        <v>#DIV/0!</v>
      </c>
      <c r="AC856" s="37" t="e">
        <f>IF(DaybyDay[[#This Row],[_Space]],DaybyDay[[#This Row],[Ret-Bud-RU]]/DaybyDay[[#This Row],[Serv-Bud-RU]],"")</f>
        <v>#DIV/0!</v>
      </c>
      <c r="AD856" s="37" t="e">
        <f>IF(DaybyDay[[#This Row],[_Space]],DaybyDay[[#This Row],[Ret-LY-RU]]/DaybyDay[[#This Row],[Serv-LY-RU]],"")</f>
        <v>#DIV/0!</v>
      </c>
      <c r="AE856" s="30">
        <f>WEEKDAY(DaybyDay[[#This Row],[LY-Date]])</f>
        <v>3</v>
      </c>
      <c r="AF856" s="38">
        <f>$E$2+_xlfn.DAYS(DaybyDay[[#This Row],[Date]],minDate)</f>
        <v>43221</v>
      </c>
      <c r="AG856" s="39" cm="1">
        <f t="array" ref="AG856">IFERROR(INDEX(DaybyDay[],DaybyDay[[#This Row],[FORM_MATCH_HELPER]],8),"")</f>
        <v>8</v>
      </c>
      <c r="AH856" s="39" cm="1">
        <f t="array" ref="AH856">IFERROR(INDEX(DaybyDay[],DaybyDay[[#This Row],[FORM_MATCH_HELPER]],10),"")</f>
        <v>1076</v>
      </c>
      <c r="AI856" s="39" cm="1">
        <f t="array" ref="AI856">IFERROR(INDEX(DaybyDay[],DaybyDay[[#This Row],[FORM_MATCH_HELPER]],12),"")</f>
        <v>299</v>
      </c>
      <c r="AJ856" s="32">
        <f>IFERROR(DaybyDay[[#This Row],[Serv-LY-RU]]+DaybyDay[[#This Row],[Ret-LY-RU]],"")</f>
        <v>0</v>
      </c>
      <c r="AK8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6" s="77"/>
      <c r="AM856" s="40" t="str">
        <f>IF(DaybyDay[[#This Row],[Admin Hours]]&gt;0,DaybyDay[[#This Row],[Admin Hours]]*$AM$2+$AM$3,"")</f>
        <v/>
      </c>
      <c r="AN856" s="40">
        <f>SUMIFS(DaybyDay[Est-Admin-Payroll],DaybyDay[Date],"&gt;="&amp;$C$5,DaybyDay[RowYear],"&gt;="&amp;$C$4,DaybyDay[Date],"&lt;="&amp;DaybyDay[[#This Row],[Date]])</f>
        <v>0</v>
      </c>
      <c r="AO856" s="41" t="str">
        <f>IF(AND(DaybyDay[[#This Row],[_Space]],ISNUMBER(DaybyDay[[#This Row],[Admin Hours]])),DaybyDay[[#This Row],[Est-Admin-Payroll]]/(DaybyDay[[#This Row],[Service-Actuals]]+DaybyDay[[#This Row],[Retail-Actuals]]),"")</f>
        <v/>
      </c>
      <c r="AP856" s="41" t="e">
        <f>DaybyDay[[#This Row],[Estimated-Payroll-Rollup]]/DaybyDay[[#This Row],[Simple-Forecast]]</f>
        <v>#DIV/0!</v>
      </c>
      <c r="AQ8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6" s="77"/>
      <c r="AS856" s="40" t="str">
        <f>IF(DaybyDay[[#This Row],[Retail Hours]]&gt;0,DaybyDay[[#This Row],[Retail Hours]]*$AS$2,"")</f>
        <v/>
      </c>
      <c r="AT856" s="40">
        <f>SUMIFS(DaybyDay[Est-Retail-Payroll],DaybyDay[Date],"&gt;="&amp;$C$5,DaybyDay[RowYear],"&gt;="&amp;$C$4,DaybyDay[Date],"&lt;="&amp;DaybyDay[[#This Row],[Date]])</f>
        <v>0</v>
      </c>
      <c r="AU856" s="82" t="str">
        <f>IF(AND(DaybyDay[[#This Row],[_Space]],ISNUMBER(DaybyDay[[#This Row],[Retail Hours]])),DaybyDay[[#This Row],[Est-Retail-Payroll]]/(DaybyDay[[#This Row],[Retail-Actuals]]),"")</f>
        <v/>
      </c>
      <c r="AV856" s="82" t="e">
        <f>DaybyDay[[#This Row],[Est-Retail-PayrollRU]]/DaybyDay[[#This Row],[Simple-Forecast-Retail]]</f>
        <v>#DIV/0!</v>
      </c>
      <c r="AW856" s="8"/>
      <c r="AX856" s="49"/>
      <c r="AY856" s="48"/>
      <c r="AZ856" s="47"/>
      <c r="BA856" s="47"/>
      <c r="BB856" s="47"/>
      <c r="BC856" s="47"/>
      <c r="BD856" s="47"/>
    </row>
    <row r="857" spans="3:56" hidden="1" x14ac:dyDescent="0.25">
      <c r="C857" s="26" t="str">
        <f>Tools!$C$1</f>
        <v>Example</v>
      </c>
      <c r="D857" s="27" t="s">
        <v>71</v>
      </c>
      <c r="E857" s="28">
        <v>2019</v>
      </c>
      <c r="F857" s="28">
        <f>MATCH(DaybyDay[[#This Row],[RowMonth]],Table3[SummaryMonth],0)</f>
        <v>4</v>
      </c>
      <c r="G857" s="29">
        <f>MATCH(DaybyDay[[#This Row],[LY-Date]],DaybyDay[Date],0)</f>
        <v>487</v>
      </c>
      <c r="H857" s="30">
        <f>WEEKDAY(DaybyDay[[#This Row],[Date]])</f>
        <v>4</v>
      </c>
      <c r="I857" s="31">
        <v>43586</v>
      </c>
      <c r="J857" s="74">
        <v>20</v>
      </c>
      <c r="K857" s="32">
        <f>SUMIFS(BudgetSeasonality[365 Seasonality],BudgetSeasonality[MonthAdjustment],DaybyDay[[#This Row],[Date]])*SUMIFS(Budgets[Service-Budget],Budgets[BudgetMonth],DaybyDay[[#This Row],[RowMonth]],Budgets[BudgetYear],DaybyDay[[#This Row],[RowYear]])</f>
        <v>3200.7893732812681</v>
      </c>
      <c r="L857" s="75">
        <v>5333.2000000000007</v>
      </c>
      <c r="M857" s="32">
        <f>INDEX(BudgetSeasonality[365 Seasonality],MATCH(DaybyDay[[#This Row],[Date]],BudgetSeasonality[MonthAdjustment],0))*SUMIFS(Budgets[Retail-Budget],Budgets[BudgetMonth],DaybyDay[[#This Row],[RowMonth]],Budgets[BudgetYear],DaybyDay[[#This Row],[RowYear]])</f>
        <v>888.6322101425385</v>
      </c>
      <c r="N857" s="75">
        <v>3397.66</v>
      </c>
      <c r="O857" s="33">
        <f>SUMIFS(DaybyDay[Service-Budgets],DaybyDay[Date],"&gt;="&amp;$C$5,DaybyDay[RowYear],"&gt;="&amp;$C$4,DaybyDay[Date],"&lt;="&amp;DaybyDay[[#This Row],[Date]])</f>
        <v>0</v>
      </c>
      <c r="P857" s="33">
        <f>SUMIFS(DaybyDay[Retail-Budgets],DaybyDay[Date],"&gt;="&amp;$C$5,DaybyDay[RowYear],"&gt;="&amp;$C$4,DaybyDay[Date],"&lt;="&amp;DaybyDay[[#This Row],[Date]])</f>
        <v>0</v>
      </c>
      <c r="Q857" s="34">
        <f>SUMIFS(DaybyDay[Service-Actuals],DaybyDay[Date],"&gt;="&amp;$C$5,DaybyDay[RowYear],"&gt;="&amp;$C$4,DaybyDay[Date],"&lt;="&amp;DaybyDay[[#This Row],[Date]])</f>
        <v>0</v>
      </c>
      <c r="R857" s="34">
        <f>SUMIFS(DaybyDay[Retail-Actuals],DaybyDay[Date],"&gt;="&amp;$C$5,DaybyDay[RowYear],"&gt;="&amp;$C$4,DaybyDay[Date],"&lt;="&amp;DaybyDay[[#This Row],[Date]])</f>
        <v>0</v>
      </c>
      <c r="S857" s="35">
        <f>SUMIFS(DaybyDay[Service-LY],DaybyDay[Date],"&gt;="&amp;$C$5,DaybyDay[RowYear],"&gt;="&amp;$C$4,DaybyDay[Date],"&lt;="&amp;DaybyDay[[#This Row],[Date]])</f>
        <v>0</v>
      </c>
      <c r="T857" s="35">
        <f>SUMIFS(DaybyDay[Retail-LY],DaybyDay[Date],"&gt;="&amp;$C$5,DaybyDay[RowYear],"&gt;="&amp;$C$4,DaybyDay[Date],"&lt;="&amp;DaybyDay[[#This Row],[Date]])</f>
        <v>0</v>
      </c>
      <c r="U857" s="32">
        <f>DaybyDay[[#This Row],[Serv-Bud-RU]]+DaybyDay[[#This Row],[Ret-Bud-RU]]</f>
        <v>0</v>
      </c>
      <c r="V857" s="32">
        <f>DaybyDay[[#This Row],[Serv-Act-RU]]+DaybyDay[[#This Row],[Ret-Act-RU]]</f>
        <v>0</v>
      </c>
      <c r="W857" s="36">
        <f>IF(DaybyDay[[#This Row],[_Space]],IFERROR(
((DaybyDay[[#This Row],[Actual-Rollup]]-DaybyDay[[#This Row],[Budget-Rollup]])/DaybyDay[[#This Row],[Budget-Rollup]]),0),"")</f>
        <v>0</v>
      </c>
      <c r="X857" t="b">
        <f>NOT(AND(ISBLANK(DaybyDay[[#This Row],[Appts]]),ISBLANK(DaybyDay[[#This Row],[Service-Actuals]]),ISBLANK(DaybyDay[[#This Row],[Retail-Actuals]])))</f>
        <v>1</v>
      </c>
      <c r="Y857" s="36">
        <f>IF(DaybyDay[[#This Row],[_Space]],IFERROR(
((DaybyDay[[#This Row],[Actual-Rollup]]-DaybyDay[[#This Row],[LY-Rollup]])/DaybyDay[[#This Row],[LY-Rollup]]),0),"")</f>
        <v>0</v>
      </c>
      <c r="Z857"/>
      <c r="AA857" s="37" t="e">
        <f>IF(DaybyDay[[#This Row],[_Space]],DaybyDay[[#This Row],[Ret-Act-RU]]/DaybyDay[[#This Row],[Serv-Act-RU]],"")</f>
        <v>#DIV/0!</v>
      </c>
      <c r="AB857" s="50" t="e">
        <f>IF(DaybyDay[[#This Row],[_Space]],DaybyDay[[#This Row],[RETPEN-Act]]/DaybyDay[[#This Row],[RETPEN-Bud]],"")</f>
        <v>#DIV/0!</v>
      </c>
      <c r="AC857" s="37" t="e">
        <f>IF(DaybyDay[[#This Row],[_Space]],DaybyDay[[#This Row],[Ret-Bud-RU]]/DaybyDay[[#This Row],[Serv-Bud-RU]],"")</f>
        <v>#DIV/0!</v>
      </c>
      <c r="AD857" s="37" t="e">
        <f>IF(DaybyDay[[#This Row],[_Space]],DaybyDay[[#This Row],[Ret-LY-RU]]/DaybyDay[[#This Row],[Serv-LY-RU]],"")</f>
        <v>#DIV/0!</v>
      </c>
      <c r="AE857" s="30">
        <f>WEEKDAY(DaybyDay[[#This Row],[LY-Date]])</f>
        <v>4</v>
      </c>
      <c r="AF857" s="38">
        <f>$E$2+_xlfn.DAYS(DaybyDay[[#This Row],[Date]],minDate)</f>
        <v>43222</v>
      </c>
      <c r="AG857" s="39" cm="1">
        <f t="array" ref="AG857">IFERROR(INDEX(DaybyDay[],DaybyDay[[#This Row],[FORM_MATCH_HELPER]],8),"")</f>
        <v>16</v>
      </c>
      <c r="AH857" s="39" cm="1">
        <f t="array" ref="AH857">IFERROR(INDEX(DaybyDay[],DaybyDay[[#This Row],[FORM_MATCH_HELPER]],10),"")</f>
        <v>2892.97</v>
      </c>
      <c r="AI857" s="39" cm="1">
        <f t="array" ref="AI857">IFERROR(INDEX(DaybyDay[],DaybyDay[[#This Row],[FORM_MATCH_HELPER]],12),"")</f>
        <v>1290</v>
      </c>
      <c r="AJ857" s="32">
        <f>IFERROR(DaybyDay[[#This Row],[Serv-LY-RU]]+DaybyDay[[#This Row],[Ret-LY-RU]],"")</f>
        <v>0</v>
      </c>
      <c r="AK8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7" s="77"/>
      <c r="AM857" s="40" t="str">
        <f>IF(DaybyDay[[#This Row],[Admin Hours]]&gt;0,DaybyDay[[#This Row],[Admin Hours]]*$AM$2+$AM$3,"")</f>
        <v/>
      </c>
      <c r="AN857" s="40">
        <f>SUMIFS(DaybyDay[Est-Admin-Payroll],DaybyDay[Date],"&gt;="&amp;$C$5,DaybyDay[RowYear],"&gt;="&amp;$C$4,DaybyDay[Date],"&lt;="&amp;DaybyDay[[#This Row],[Date]])</f>
        <v>0</v>
      </c>
      <c r="AO857" s="41" t="str">
        <f>IF(AND(DaybyDay[[#This Row],[_Space]],ISNUMBER(DaybyDay[[#This Row],[Admin Hours]])),DaybyDay[[#This Row],[Est-Admin-Payroll]]/(DaybyDay[[#This Row],[Service-Actuals]]+DaybyDay[[#This Row],[Retail-Actuals]]),"")</f>
        <v/>
      </c>
      <c r="AP857" s="41" t="e">
        <f>DaybyDay[[#This Row],[Estimated-Payroll-Rollup]]/DaybyDay[[#This Row],[Simple-Forecast]]</f>
        <v>#DIV/0!</v>
      </c>
      <c r="AQ8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7" s="77"/>
      <c r="AS857" s="40" t="str">
        <f>IF(DaybyDay[[#This Row],[Retail Hours]]&gt;0,DaybyDay[[#This Row],[Retail Hours]]*$AS$2,"")</f>
        <v/>
      </c>
      <c r="AT857" s="40">
        <f>SUMIFS(DaybyDay[Est-Retail-Payroll],DaybyDay[Date],"&gt;="&amp;$C$5,DaybyDay[RowYear],"&gt;="&amp;$C$4,DaybyDay[Date],"&lt;="&amp;DaybyDay[[#This Row],[Date]])</f>
        <v>0</v>
      </c>
      <c r="AU857" s="82" t="str">
        <f>IF(AND(DaybyDay[[#This Row],[_Space]],ISNUMBER(DaybyDay[[#This Row],[Retail Hours]])),DaybyDay[[#This Row],[Est-Retail-Payroll]]/(DaybyDay[[#This Row],[Retail-Actuals]]),"")</f>
        <v/>
      </c>
      <c r="AV857" s="82" t="e">
        <f>DaybyDay[[#This Row],[Est-Retail-PayrollRU]]/DaybyDay[[#This Row],[Simple-Forecast-Retail]]</f>
        <v>#DIV/0!</v>
      </c>
      <c r="AW857" s="8"/>
      <c r="AX857" s="49"/>
      <c r="AY857" s="48"/>
      <c r="AZ857" s="47"/>
      <c r="BA857" s="47"/>
      <c r="BB857" s="47"/>
      <c r="BC857" s="47"/>
      <c r="BD857" s="47"/>
    </row>
    <row r="858" spans="3:56" hidden="1" x14ac:dyDescent="0.25">
      <c r="C858" s="26" t="str">
        <f>Tools!$C$1</f>
        <v>Example</v>
      </c>
      <c r="D858" s="27" t="s">
        <v>71</v>
      </c>
      <c r="E858" s="28">
        <v>2019</v>
      </c>
      <c r="F858" s="28">
        <f>MATCH(DaybyDay[[#This Row],[RowMonth]],Table3[SummaryMonth],0)</f>
        <v>4</v>
      </c>
      <c r="G858" s="29">
        <f>MATCH(DaybyDay[[#This Row],[LY-Date]],DaybyDay[Date],0)</f>
        <v>488</v>
      </c>
      <c r="H858" s="30">
        <f>WEEKDAY(DaybyDay[[#This Row],[Date]])</f>
        <v>5</v>
      </c>
      <c r="I858" s="31">
        <v>43587</v>
      </c>
      <c r="J858" s="74">
        <v>16</v>
      </c>
      <c r="K858" s="32">
        <f>SUMIFS(BudgetSeasonality[365 Seasonality],BudgetSeasonality[MonthAdjustment],DaybyDay[[#This Row],[Date]])*SUMIFS(Budgets[Service-Budget],Budgets[BudgetMonth],DaybyDay[[#This Row],[RowMonth]],Budgets[BudgetYear],DaybyDay[[#This Row],[RowYear]])</f>
        <v>3376.0288083829023</v>
      </c>
      <c r="L858" s="75">
        <v>4094.3999999999996</v>
      </c>
      <c r="M858" s="32">
        <f>INDEX(BudgetSeasonality[365 Seasonality],MATCH(DaybyDay[[#This Row],[Date]],BudgetSeasonality[MonthAdjustment],0))*SUMIFS(Budgets[Retail-Budget],Budgets[BudgetMonth],DaybyDay[[#This Row],[RowMonth]],Budgets[BudgetYear],DaybyDay[[#This Row],[RowYear]])</f>
        <v>937.28377335328992</v>
      </c>
      <c r="N858" s="75">
        <v>3629.5</v>
      </c>
      <c r="O858" s="33">
        <f>SUMIFS(DaybyDay[Service-Budgets],DaybyDay[Date],"&gt;="&amp;$C$5,DaybyDay[RowYear],"&gt;="&amp;$C$4,DaybyDay[Date],"&lt;="&amp;DaybyDay[[#This Row],[Date]])</f>
        <v>0</v>
      </c>
      <c r="P858" s="33">
        <f>SUMIFS(DaybyDay[Retail-Budgets],DaybyDay[Date],"&gt;="&amp;$C$5,DaybyDay[RowYear],"&gt;="&amp;$C$4,DaybyDay[Date],"&lt;="&amp;DaybyDay[[#This Row],[Date]])</f>
        <v>0</v>
      </c>
      <c r="Q858" s="34">
        <f>SUMIFS(DaybyDay[Service-Actuals],DaybyDay[Date],"&gt;="&amp;$C$5,DaybyDay[RowYear],"&gt;="&amp;$C$4,DaybyDay[Date],"&lt;="&amp;DaybyDay[[#This Row],[Date]])</f>
        <v>0</v>
      </c>
      <c r="R858" s="34">
        <f>SUMIFS(DaybyDay[Retail-Actuals],DaybyDay[Date],"&gt;="&amp;$C$5,DaybyDay[RowYear],"&gt;="&amp;$C$4,DaybyDay[Date],"&lt;="&amp;DaybyDay[[#This Row],[Date]])</f>
        <v>0</v>
      </c>
      <c r="S858" s="35">
        <f>SUMIFS(DaybyDay[Service-LY],DaybyDay[Date],"&gt;="&amp;$C$5,DaybyDay[RowYear],"&gt;="&amp;$C$4,DaybyDay[Date],"&lt;="&amp;DaybyDay[[#This Row],[Date]])</f>
        <v>0</v>
      </c>
      <c r="T858" s="35">
        <f>SUMIFS(DaybyDay[Retail-LY],DaybyDay[Date],"&gt;="&amp;$C$5,DaybyDay[RowYear],"&gt;="&amp;$C$4,DaybyDay[Date],"&lt;="&amp;DaybyDay[[#This Row],[Date]])</f>
        <v>0</v>
      </c>
      <c r="U858" s="32">
        <f>DaybyDay[[#This Row],[Serv-Bud-RU]]+DaybyDay[[#This Row],[Ret-Bud-RU]]</f>
        <v>0</v>
      </c>
      <c r="V858" s="32">
        <f>DaybyDay[[#This Row],[Serv-Act-RU]]+DaybyDay[[#This Row],[Ret-Act-RU]]</f>
        <v>0</v>
      </c>
      <c r="W858" s="36">
        <f>IF(DaybyDay[[#This Row],[_Space]],IFERROR(
((DaybyDay[[#This Row],[Actual-Rollup]]-DaybyDay[[#This Row],[Budget-Rollup]])/DaybyDay[[#This Row],[Budget-Rollup]]),0),"")</f>
        <v>0</v>
      </c>
      <c r="X858" t="b">
        <f>NOT(AND(ISBLANK(DaybyDay[[#This Row],[Appts]]),ISBLANK(DaybyDay[[#This Row],[Service-Actuals]]),ISBLANK(DaybyDay[[#This Row],[Retail-Actuals]])))</f>
        <v>1</v>
      </c>
      <c r="Y858" s="36">
        <f>IF(DaybyDay[[#This Row],[_Space]],IFERROR(
((DaybyDay[[#This Row],[Actual-Rollup]]-DaybyDay[[#This Row],[LY-Rollup]])/DaybyDay[[#This Row],[LY-Rollup]]),0),"")</f>
        <v>0</v>
      </c>
      <c r="Z858"/>
      <c r="AA858" s="37" t="e">
        <f>IF(DaybyDay[[#This Row],[_Space]],DaybyDay[[#This Row],[Ret-Act-RU]]/DaybyDay[[#This Row],[Serv-Act-RU]],"")</f>
        <v>#DIV/0!</v>
      </c>
      <c r="AB858" s="50" t="e">
        <f>IF(DaybyDay[[#This Row],[_Space]],DaybyDay[[#This Row],[RETPEN-Act]]/DaybyDay[[#This Row],[RETPEN-Bud]],"")</f>
        <v>#DIV/0!</v>
      </c>
      <c r="AC858" s="37" t="e">
        <f>IF(DaybyDay[[#This Row],[_Space]],DaybyDay[[#This Row],[Ret-Bud-RU]]/DaybyDay[[#This Row],[Serv-Bud-RU]],"")</f>
        <v>#DIV/0!</v>
      </c>
      <c r="AD858" s="37" t="e">
        <f>IF(DaybyDay[[#This Row],[_Space]],DaybyDay[[#This Row],[Ret-LY-RU]]/DaybyDay[[#This Row],[Serv-LY-RU]],"")</f>
        <v>#DIV/0!</v>
      </c>
      <c r="AE858" s="30">
        <f>WEEKDAY(DaybyDay[[#This Row],[LY-Date]])</f>
        <v>5</v>
      </c>
      <c r="AF858" s="38">
        <f>$E$2+_xlfn.DAYS(DaybyDay[[#This Row],[Date]],minDate)</f>
        <v>43223</v>
      </c>
      <c r="AG858" s="39" cm="1">
        <f t="array" ref="AG858">IFERROR(INDEX(DaybyDay[],DaybyDay[[#This Row],[FORM_MATCH_HELPER]],8),"")</f>
        <v>27</v>
      </c>
      <c r="AH858" s="39" cm="1">
        <f t="array" ref="AH858">IFERROR(INDEX(DaybyDay[],DaybyDay[[#This Row],[FORM_MATCH_HELPER]],10),"")</f>
        <v>4847.75</v>
      </c>
      <c r="AI858" s="39" cm="1">
        <f t="array" ref="AI858">IFERROR(INDEX(DaybyDay[],DaybyDay[[#This Row],[FORM_MATCH_HELPER]],12),"")</f>
        <v>2404.6999999999998</v>
      </c>
      <c r="AJ858" s="32">
        <f>IFERROR(DaybyDay[[#This Row],[Serv-LY-RU]]+DaybyDay[[#This Row],[Ret-LY-RU]],"")</f>
        <v>0</v>
      </c>
      <c r="AK8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8" s="77"/>
      <c r="AM858" s="40" t="str">
        <f>IF(DaybyDay[[#This Row],[Admin Hours]]&gt;0,DaybyDay[[#This Row],[Admin Hours]]*$AM$2+$AM$3,"")</f>
        <v/>
      </c>
      <c r="AN858" s="40">
        <f>SUMIFS(DaybyDay[Est-Admin-Payroll],DaybyDay[Date],"&gt;="&amp;$C$5,DaybyDay[RowYear],"&gt;="&amp;$C$4,DaybyDay[Date],"&lt;="&amp;DaybyDay[[#This Row],[Date]])</f>
        <v>0</v>
      </c>
      <c r="AO858" s="41" t="str">
        <f>IF(AND(DaybyDay[[#This Row],[_Space]],ISNUMBER(DaybyDay[[#This Row],[Admin Hours]])),DaybyDay[[#This Row],[Est-Admin-Payroll]]/(DaybyDay[[#This Row],[Service-Actuals]]+DaybyDay[[#This Row],[Retail-Actuals]]),"")</f>
        <v/>
      </c>
      <c r="AP858" s="41" t="e">
        <f>DaybyDay[[#This Row],[Estimated-Payroll-Rollup]]/DaybyDay[[#This Row],[Simple-Forecast]]</f>
        <v>#DIV/0!</v>
      </c>
      <c r="AQ8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8" s="77"/>
      <c r="AS858" s="40" t="str">
        <f>IF(DaybyDay[[#This Row],[Retail Hours]]&gt;0,DaybyDay[[#This Row],[Retail Hours]]*$AS$2,"")</f>
        <v/>
      </c>
      <c r="AT858" s="40">
        <f>SUMIFS(DaybyDay[Est-Retail-Payroll],DaybyDay[Date],"&gt;="&amp;$C$5,DaybyDay[RowYear],"&gt;="&amp;$C$4,DaybyDay[Date],"&lt;="&amp;DaybyDay[[#This Row],[Date]])</f>
        <v>0</v>
      </c>
      <c r="AU858" s="82" t="str">
        <f>IF(AND(DaybyDay[[#This Row],[_Space]],ISNUMBER(DaybyDay[[#This Row],[Retail Hours]])),DaybyDay[[#This Row],[Est-Retail-Payroll]]/(DaybyDay[[#This Row],[Retail-Actuals]]),"")</f>
        <v/>
      </c>
      <c r="AV858" s="82" t="e">
        <f>DaybyDay[[#This Row],[Est-Retail-PayrollRU]]/DaybyDay[[#This Row],[Simple-Forecast-Retail]]</f>
        <v>#DIV/0!</v>
      </c>
      <c r="AW858" s="8"/>
      <c r="AX858" s="49"/>
      <c r="AY858" s="48"/>
      <c r="AZ858" s="47"/>
      <c r="BA858" s="47"/>
      <c r="BB858" s="47"/>
      <c r="BC858" s="47"/>
      <c r="BD858" s="47"/>
    </row>
    <row r="859" spans="3:56" hidden="1" x14ac:dyDescent="0.25">
      <c r="C859" s="26" t="str">
        <f>Tools!$C$1</f>
        <v>Example</v>
      </c>
      <c r="D859" s="27" t="s">
        <v>71</v>
      </c>
      <c r="E859" s="28">
        <v>2019</v>
      </c>
      <c r="F859" s="28">
        <f>MATCH(DaybyDay[[#This Row],[RowMonth]],Table3[SummaryMonth],0)</f>
        <v>4</v>
      </c>
      <c r="G859" s="29">
        <f>MATCH(DaybyDay[[#This Row],[LY-Date]],DaybyDay[Date],0)</f>
        <v>489</v>
      </c>
      <c r="H859" s="30">
        <f>WEEKDAY(DaybyDay[[#This Row],[Date]])</f>
        <v>6</v>
      </c>
      <c r="I859" s="31">
        <v>43588</v>
      </c>
      <c r="J859" s="74">
        <v>22</v>
      </c>
      <c r="K859" s="32">
        <f>SUMIFS(BudgetSeasonality[365 Seasonality],BudgetSeasonality[MonthAdjustment],DaybyDay[[#This Row],[Date]])*SUMIFS(Budgets[Service-Budget],Budgets[BudgetMonth],DaybyDay[[#This Row],[RowMonth]],Budgets[BudgetYear],DaybyDay[[#This Row],[RowYear]])</f>
        <v>4359.096319804733</v>
      </c>
      <c r="L859" s="75">
        <v>5435.6</v>
      </c>
      <c r="M859" s="32">
        <f>INDEX(BudgetSeasonality[365 Seasonality],MATCH(DaybyDay[[#This Row],[Date]],BudgetSeasonality[MonthAdjustment],0))*SUMIFS(Budgets[Retail-Budget],Budgets[BudgetMonth],DaybyDay[[#This Row],[RowMonth]],Budgets[BudgetYear],DaybyDay[[#This Row],[RowYear]])</f>
        <v>1210.2119024849346</v>
      </c>
      <c r="N859" s="75">
        <v>9549.07</v>
      </c>
      <c r="O859" s="33">
        <f>SUMIFS(DaybyDay[Service-Budgets],DaybyDay[Date],"&gt;="&amp;$C$5,DaybyDay[RowYear],"&gt;="&amp;$C$4,DaybyDay[Date],"&lt;="&amp;DaybyDay[[#This Row],[Date]])</f>
        <v>0</v>
      </c>
      <c r="P859" s="33">
        <f>SUMIFS(DaybyDay[Retail-Budgets],DaybyDay[Date],"&gt;="&amp;$C$5,DaybyDay[RowYear],"&gt;="&amp;$C$4,DaybyDay[Date],"&lt;="&amp;DaybyDay[[#This Row],[Date]])</f>
        <v>0</v>
      </c>
      <c r="Q859" s="34">
        <f>SUMIFS(DaybyDay[Service-Actuals],DaybyDay[Date],"&gt;="&amp;$C$5,DaybyDay[RowYear],"&gt;="&amp;$C$4,DaybyDay[Date],"&lt;="&amp;DaybyDay[[#This Row],[Date]])</f>
        <v>0</v>
      </c>
      <c r="R859" s="34">
        <f>SUMIFS(DaybyDay[Retail-Actuals],DaybyDay[Date],"&gt;="&amp;$C$5,DaybyDay[RowYear],"&gt;="&amp;$C$4,DaybyDay[Date],"&lt;="&amp;DaybyDay[[#This Row],[Date]])</f>
        <v>0</v>
      </c>
      <c r="S859" s="35">
        <f>SUMIFS(DaybyDay[Service-LY],DaybyDay[Date],"&gt;="&amp;$C$5,DaybyDay[RowYear],"&gt;="&amp;$C$4,DaybyDay[Date],"&lt;="&amp;DaybyDay[[#This Row],[Date]])</f>
        <v>0</v>
      </c>
      <c r="T859" s="35">
        <f>SUMIFS(DaybyDay[Retail-LY],DaybyDay[Date],"&gt;="&amp;$C$5,DaybyDay[RowYear],"&gt;="&amp;$C$4,DaybyDay[Date],"&lt;="&amp;DaybyDay[[#This Row],[Date]])</f>
        <v>0</v>
      </c>
      <c r="U859" s="32">
        <f>DaybyDay[[#This Row],[Serv-Bud-RU]]+DaybyDay[[#This Row],[Ret-Bud-RU]]</f>
        <v>0</v>
      </c>
      <c r="V859" s="32">
        <f>DaybyDay[[#This Row],[Serv-Act-RU]]+DaybyDay[[#This Row],[Ret-Act-RU]]</f>
        <v>0</v>
      </c>
      <c r="W859" s="36">
        <f>IF(DaybyDay[[#This Row],[_Space]],IFERROR(
((DaybyDay[[#This Row],[Actual-Rollup]]-DaybyDay[[#This Row],[Budget-Rollup]])/DaybyDay[[#This Row],[Budget-Rollup]]),0),"")</f>
        <v>0</v>
      </c>
      <c r="X859" t="b">
        <f>NOT(AND(ISBLANK(DaybyDay[[#This Row],[Appts]]),ISBLANK(DaybyDay[[#This Row],[Service-Actuals]]),ISBLANK(DaybyDay[[#This Row],[Retail-Actuals]])))</f>
        <v>1</v>
      </c>
      <c r="Y859" s="36">
        <f>IF(DaybyDay[[#This Row],[_Space]],IFERROR(
((DaybyDay[[#This Row],[Actual-Rollup]]-DaybyDay[[#This Row],[LY-Rollup]])/DaybyDay[[#This Row],[LY-Rollup]]),0),"")</f>
        <v>0</v>
      </c>
      <c r="Z859"/>
      <c r="AA859" s="37" t="e">
        <f>IF(DaybyDay[[#This Row],[_Space]],DaybyDay[[#This Row],[Ret-Act-RU]]/DaybyDay[[#This Row],[Serv-Act-RU]],"")</f>
        <v>#DIV/0!</v>
      </c>
      <c r="AB859" s="50" t="e">
        <f>IF(DaybyDay[[#This Row],[_Space]],DaybyDay[[#This Row],[RETPEN-Act]]/DaybyDay[[#This Row],[RETPEN-Bud]],"")</f>
        <v>#DIV/0!</v>
      </c>
      <c r="AC859" s="37" t="e">
        <f>IF(DaybyDay[[#This Row],[_Space]],DaybyDay[[#This Row],[Ret-Bud-RU]]/DaybyDay[[#This Row],[Serv-Bud-RU]],"")</f>
        <v>#DIV/0!</v>
      </c>
      <c r="AD859" s="37" t="e">
        <f>IF(DaybyDay[[#This Row],[_Space]],DaybyDay[[#This Row],[Ret-LY-RU]]/DaybyDay[[#This Row],[Serv-LY-RU]],"")</f>
        <v>#DIV/0!</v>
      </c>
      <c r="AE859" s="30">
        <f>WEEKDAY(DaybyDay[[#This Row],[LY-Date]])</f>
        <v>6</v>
      </c>
      <c r="AF859" s="38">
        <f>$E$2+_xlfn.DAYS(DaybyDay[[#This Row],[Date]],minDate)</f>
        <v>43224</v>
      </c>
      <c r="AG859" s="39" cm="1">
        <f t="array" ref="AG859">IFERROR(INDEX(DaybyDay[],DaybyDay[[#This Row],[FORM_MATCH_HELPER]],8),"")</f>
        <v>20</v>
      </c>
      <c r="AH859" s="39" cm="1">
        <f t="array" ref="AH859">IFERROR(INDEX(DaybyDay[],DaybyDay[[#This Row],[FORM_MATCH_HELPER]],10),"")</f>
        <v>3013</v>
      </c>
      <c r="AI859" s="39" cm="1">
        <f t="array" ref="AI859">IFERROR(INDEX(DaybyDay[],DaybyDay[[#This Row],[FORM_MATCH_HELPER]],12),"")</f>
        <v>41.9</v>
      </c>
      <c r="AJ859" s="32">
        <f>IFERROR(DaybyDay[[#This Row],[Serv-LY-RU]]+DaybyDay[[#This Row],[Ret-LY-RU]],"")</f>
        <v>0</v>
      </c>
      <c r="AK8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59" s="77"/>
      <c r="AM859" s="40" t="str">
        <f>IF(DaybyDay[[#This Row],[Admin Hours]]&gt;0,DaybyDay[[#This Row],[Admin Hours]]*$AM$2+$AM$3,"")</f>
        <v/>
      </c>
      <c r="AN859" s="40">
        <f>SUMIFS(DaybyDay[Est-Admin-Payroll],DaybyDay[Date],"&gt;="&amp;$C$5,DaybyDay[RowYear],"&gt;="&amp;$C$4,DaybyDay[Date],"&lt;="&amp;DaybyDay[[#This Row],[Date]])</f>
        <v>0</v>
      </c>
      <c r="AO859" s="41" t="str">
        <f>IF(AND(DaybyDay[[#This Row],[_Space]],ISNUMBER(DaybyDay[[#This Row],[Admin Hours]])),DaybyDay[[#This Row],[Est-Admin-Payroll]]/(DaybyDay[[#This Row],[Service-Actuals]]+DaybyDay[[#This Row],[Retail-Actuals]]),"")</f>
        <v/>
      </c>
      <c r="AP859" s="41" t="e">
        <f>DaybyDay[[#This Row],[Estimated-Payroll-Rollup]]/DaybyDay[[#This Row],[Simple-Forecast]]</f>
        <v>#DIV/0!</v>
      </c>
      <c r="AQ8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59" s="77"/>
      <c r="AS859" s="40" t="str">
        <f>IF(DaybyDay[[#This Row],[Retail Hours]]&gt;0,DaybyDay[[#This Row],[Retail Hours]]*$AS$2,"")</f>
        <v/>
      </c>
      <c r="AT859" s="40">
        <f>SUMIFS(DaybyDay[Est-Retail-Payroll],DaybyDay[Date],"&gt;="&amp;$C$5,DaybyDay[RowYear],"&gt;="&amp;$C$4,DaybyDay[Date],"&lt;="&amp;DaybyDay[[#This Row],[Date]])</f>
        <v>0</v>
      </c>
      <c r="AU859" s="82" t="str">
        <f>IF(AND(DaybyDay[[#This Row],[_Space]],ISNUMBER(DaybyDay[[#This Row],[Retail Hours]])),DaybyDay[[#This Row],[Est-Retail-Payroll]]/(DaybyDay[[#This Row],[Retail-Actuals]]),"")</f>
        <v/>
      </c>
      <c r="AV859" s="82" t="e">
        <f>DaybyDay[[#This Row],[Est-Retail-PayrollRU]]/DaybyDay[[#This Row],[Simple-Forecast-Retail]]</f>
        <v>#DIV/0!</v>
      </c>
      <c r="AW859" s="8"/>
      <c r="AX859" s="49"/>
      <c r="AY859" s="48"/>
      <c r="AZ859" s="47"/>
      <c r="BA859" s="47"/>
      <c r="BB859" s="47"/>
      <c r="BC859" s="47"/>
      <c r="BD859" s="47"/>
    </row>
    <row r="860" spans="3:56" hidden="1" x14ac:dyDescent="0.25">
      <c r="C860" s="26" t="str">
        <f>Tools!$C$1</f>
        <v>Example</v>
      </c>
      <c r="D860" s="27" t="s">
        <v>71</v>
      </c>
      <c r="E860" s="28">
        <v>2019</v>
      </c>
      <c r="F860" s="28">
        <f>MATCH(DaybyDay[[#This Row],[RowMonth]],Table3[SummaryMonth],0)</f>
        <v>4</v>
      </c>
      <c r="G860" s="29">
        <f>MATCH(DaybyDay[[#This Row],[LY-Date]],DaybyDay[Date],0)</f>
        <v>490</v>
      </c>
      <c r="H860" s="30">
        <f>WEEKDAY(DaybyDay[[#This Row],[Date]])</f>
        <v>7</v>
      </c>
      <c r="I860" s="31">
        <v>43589</v>
      </c>
      <c r="J860" s="74">
        <v>43</v>
      </c>
      <c r="K860" s="32">
        <f>SUMIFS(BudgetSeasonality[365 Seasonality],BudgetSeasonality[MonthAdjustment],DaybyDay[[#This Row],[Date]])*SUMIFS(Budgets[Service-Budget],Budgets[BudgetMonth],DaybyDay[[#This Row],[RowMonth]],Budgets[BudgetYear],DaybyDay[[#This Row],[RowYear]])</f>
        <v>6355.7991369497176</v>
      </c>
      <c r="L860" s="75">
        <v>10034.65</v>
      </c>
      <c r="M860" s="32">
        <f>INDEX(BudgetSeasonality[365 Seasonality],MATCH(DaybyDay[[#This Row],[Date]],BudgetSeasonality[MonthAdjustment],0))*SUMIFS(Budgets[Retail-Budget],Budgets[BudgetMonth],DaybyDay[[#This Row],[RowMonth]],Budgets[BudgetYear],DaybyDay[[#This Row],[RowYear]])</f>
        <v>1764.554669368853</v>
      </c>
      <c r="N860" s="75">
        <v>3240.93</v>
      </c>
      <c r="O860" s="33">
        <f>SUMIFS(DaybyDay[Service-Budgets],DaybyDay[Date],"&gt;="&amp;$C$5,DaybyDay[RowYear],"&gt;="&amp;$C$4,DaybyDay[Date],"&lt;="&amp;DaybyDay[[#This Row],[Date]])</f>
        <v>0</v>
      </c>
      <c r="P860" s="33">
        <f>SUMIFS(DaybyDay[Retail-Budgets],DaybyDay[Date],"&gt;="&amp;$C$5,DaybyDay[RowYear],"&gt;="&amp;$C$4,DaybyDay[Date],"&lt;="&amp;DaybyDay[[#This Row],[Date]])</f>
        <v>0</v>
      </c>
      <c r="Q860" s="34">
        <f>SUMIFS(DaybyDay[Service-Actuals],DaybyDay[Date],"&gt;="&amp;$C$5,DaybyDay[RowYear],"&gt;="&amp;$C$4,DaybyDay[Date],"&lt;="&amp;DaybyDay[[#This Row],[Date]])</f>
        <v>0</v>
      </c>
      <c r="R860" s="34">
        <f>SUMIFS(DaybyDay[Retail-Actuals],DaybyDay[Date],"&gt;="&amp;$C$5,DaybyDay[RowYear],"&gt;="&amp;$C$4,DaybyDay[Date],"&lt;="&amp;DaybyDay[[#This Row],[Date]])</f>
        <v>0</v>
      </c>
      <c r="S860" s="35">
        <f>SUMIFS(DaybyDay[Service-LY],DaybyDay[Date],"&gt;="&amp;$C$5,DaybyDay[RowYear],"&gt;="&amp;$C$4,DaybyDay[Date],"&lt;="&amp;DaybyDay[[#This Row],[Date]])</f>
        <v>0</v>
      </c>
      <c r="T860" s="35">
        <f>SUMIFS(DaybyDay[Retail-LY],DaybyDay[Date],"&gt;="&amp;$C$5,DaybyDay[RowYear],"&gt;="&amp;$C$4,DaybyDay[Date],"&lt;="&amp;DaybyDay[[#This Row],[Date]])</f>
        <v>0</v>
      </c>
      <c r="U860" s="32">
        <f>DaybyDay[[#This Row],[Serv-Bud-RU]]+DaybyDay[[#This Row],[Ret-Bud-RU]]</f>
        <v>0</v>
      </c>
      <c r="V860" s="32">
        <f>DaybyDay[[#This Row],[Serv-Act-RU]]+DaybyDay[[#This Row],[Ret-Act-RU]]</f>
        <v>0</v>
      </c>
      <c r="W860" s="36">
        <f>IF(DaybyDay[[#This Row],[_Space]],IFERROR(
((DaybyDay[[#This Row],[Actual-Rollup]]-DaybyDay[[#This Row],[Budget-Rollup]])/DaybyDay[[#This Row],[Budget-Rollup]]),0),"")</f>
        <v>0</v>
      </c>
      <c r="X860" t="b">
        <f>NOT(AND(ISBLANK(DaybyDay[[#This Row],[Appts]]),ISBLANK(DaybyDay[[#This Row],[Service-Actuals]]),ISBLANK(DaybyDay[[#This Row],[Retail-Actuals]])))</f>
        <v>1</v>
      </c>
      <c r="Y860" s="36">
        <f>IF(DaybyDay[[#This Row],[_Space]],IFERROR(
((DaybyDay[[#This Row],[Actual-Rollup]]-DaybyDay[[#This Row],[LY-Rollup]])/DaybyDay[[#This Row],[LY-Rollup]]),0),"")</f>
        <v>0</v>
      </c>
      <c r="Z860"/>
      <c r="AA860" s="37" t="e">
        <f>IF(DaybyDay[[#This Row],[_Space]],DaybyDay[[#This Row],[Ret-Act-RU]]/DaybyDay[[#This Row],[Serv-Act-RU]],"")</f>
        <v>#DIV/0!</v>
      </c>
      <c r="AB860" s="50" t="e">
        <f>IF(DaybyDay[[#This Row],[_Space]],DaybyDay[[#This Row],[RETPEN-Act]]/DaybyDay[[#This Row],[RETPEN-Bud]],"")</f>
        <v>#DIV/0!</v>
      </c>
      <c r="AC860" s="37" t="e">
        <f>IF(DaybyDay[[#This Row],[_Space]],DaybyDay[[#This Row],[Ret-Bud-RU]]/DaybyDay[[#This Row],[Serv-Bud-RU]],"")</f>
        <v>#DIV/0!</v>
      </c>
      <c r="AD860" s="37" t="e">
        <f>IF(DaybyDay[[#This Row],[_Space]],DaybyDay[[#This Row],[Ret-LY-RU]]/DaybyDay[[#This Row],[Serv-LY-RU]],"")</f>
        <v>#DIV/0!</v>
      </c>
      <c r="AE860" s="30">
        <f>WEEKDAY(DaybyDay[[#This Row],[LY-Date]])</f>
        <v>7</v>
      </c>
      <c r="AF860" s="38">
        <f>$E$2+_xlfn.DAYS(DaybyDay[[#This Row],[Date]],minDate)</f>
        <v>43225</v>
      </c>
      <c r="AG860" s="39" cm="1">
        <f t="array" ref="AG860">IFERROR(INDEX(DaybyDay[],DaybyDay[[#This Row],[FORM_MATCH_HELPER]],8),"")</f>
        <v>20</v>
      </c>
      <c r="AH860" s="39" cm="1">
        <f t="array" ref="AH860">IFERROR(INDEX(DaybyDay[],DaybyDay[[#This Row],[FORM_MATCH_HELPER]],10),"")</f>
        <v>4163</v>
      </c>
      <c r="AI860" s="39" cm="1">
        <f t="array" ref="AI860">IFERROR(INDEX(DaybyDay[],DaybyDay[[#This Row],[FORM_MATCH_HELPER]],12),"")</f>
        <v>717</v>
      </c>
      <c r="AJ860" s="32">
        <f>IFERROR(DaybyDay[[#This Row],[Serv-LY-RU]]+DaybyDay[[#This Row],[Ret-LY-RU]],"")</f>
        <v>0</v>
      </c>
      <c r="AK8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0" s="77"/>
      <c r="AM860" s="40" t="str">
        <f>IF(DaybyDay[[#This Row],[Admin Hours]]&gt;0,DaybyDay[[#This Row],[Admin Hours]]*$AM$2+$AM$3,"")</f>
        <v/>
      </c>
      <c r="AN860" s="40">
        <f>SUMIFS(DaybyDay[Est-Admin-Payroll],DaybyDay[Date],"&gt;="&amp;$C$5,DaybyDay[RowYear],"&gt;="&amp;$C$4,DaybyDay[Date],"&lt;="&amp;DaybyDay[[#This Row],[Date]])</f>
        <v>0</v>
      </c>
      <c r="AO860" s="41" t="str">
        <f>IF(AND(DaybyDay[[#This Row],[_Space]],ISNUMBER(DaybyDay[[#This Row],[Admin Hours]])),DaybyDay[[#This Row],[Est-Admin-Payroll]]/(DaybyDay[[#This Row],[Service-Actuals]]+DaybyDay[[#This Row],[Retail-Actuals]]),"")</f>
        <v/>
      </c>
      <c r="AP860" s="41" t="e">
        <f>DaybyDay[[#This Row],[Estimated-Payroll-Rollup]]/DaybyDay[[#This Row],[Simple-Forecast]]</f>
        <v>#DIV/0!</v>
      </c>
      <c r="AQ8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0" s="77"/>
      <c r="AS860" s="40" t="str">
        <f>IF(DaybyDay[[#This Row],[Retail Hours]]&gt;0,DaybyDay[[#This Row],[Retail Hours]]*$AS$2,"")</f>
        <v/>
      </c>
      <c r="AT860" s="40">
        <f>SUMIFS(DaybyDay[Est-Retail-Payroll],DaybyDay[Date],"&gt;="&amp;$C$5,DaybyDay[RowYear],"&gt;="&amp;$C$4,DaybyDay[Date],"&lt;="&amp;DaybyDay[[#This Row],[Date]])</f>
        <v>0</v>
      </c>
      <c r="AU860" s="82" t="str">
        <f>IF(AND(DaybyDay[[#This Row],[_Space]],ISNUMBER(DaybyDay[[#This Row],[Retail Hours]])),DaybyDay[[#This Row],[Est-Retail-Payroll]]/(DaybyDay[[#This Row],[Retail-Actuals]]),"")</f>
        <v/>
      </c>
      <c r="AV860" s="82" t="e">
        <f>DaybyDay[[#This Row],[Est-Retail-PayrollRU]]/DaybyDay[[#This Row],[Simple-Forecast-Retail]]</f>
        <v>#DIV/0!</v>
      </c>
      <c r="AW860" s="8"/>
      <c r="AX860" s="49"/>
      <c r="AY860" s="48"/>
      <c r="AZ860" s="47"/>
      <c r="BA860" s="47"/>
      <c r="BB860" s="47"/>
      <c r="BC860" s="47"/>
      <c r="BD860" s="47"/>
    </row>
    <row r="861" spans="3:56" hidden="1" x14ac:dyDescent="0.25">
      <c r="C861" s="26" t="str">
        <f>Tools!$C$1</f>
        <v>Example</v>
      </c>
      <c r="D861" s="27" t="s">
        <v>72</v>
      </c>
      <c r="E861" s="28">
        <v>2019</v>
      </c>
      <c r="F861" s="28">
        <f>MATCH(DaybyDay[[#This Row],[RowMonth]],Table3[SummaryMonth],0)</f>
        <v>5</v>
      </c>
      <c r="G861" s="29">
        <f>MATCH(DaybyDay[[#This Row],[LY-Date]],DaybyDay[Date],0)</f>
        <v>491</v>
      </c>
      <c r="H861" s="30">
        <f>WEEKDAY(DaybyDay[[#This Row],[Date]])</f>
        <v>1</v>
      </c>
      <c r="I861" s="31">
        <v>43590</v>
      </c>
      <c r="J861" s="74">
        <v>41</v>
      </c>
      <c r="K861" s="32">
        <f>SUMIFS(BudgetSeasonality[365 Seasonality],BudgetSeasonality[MonthAdjustment],DaybyDay[[#This Row],[Date]])*SUMIFS(Budgets[Service-Budget],Budgets[BudgetMonth],DaybyDay[[#This Row],[RowMonth]],Budgets[BudgetYear],DaybyDay[[#This Row],[RowYear]])</f>
        <v>5485.6686139804297</v>
      </c>
      <c r="L861" s="75">
        <v>6134.3099999999995</v>
      </c>
      <c r="M861" s="32">
        <f>INDEX(BudgetSeasonality[365 Seasonality],MATCH(DaybyDay[[#This Row],[Date]],BudgetSeasonality[MonthAdjustment],0))*SUMIFS(Budgets[Retail-Budget],Budgets[BudgetMonth],DaybyDay[[#This Row],[RowMonth]],Budgets[BudgetYear],DaybyDay[[#This Row],[RowYear]])</f>
        <v>1305.509256062817</v>
      </c>
      <c r="N861" s="75">
        <v>3202.9</v>
      </c>
      <c r="O861" s="33">
        <f>SUMIFS(DaybyDay[Service-Budgets],DaybyDay[Date],"&gt;="&amp;$C$5,DaybyDay[RowYear],"&gt;="&amp;$C$4,DaybyDay[Date],"&lt;="&amp;DaybyDay[[#This Row],[Date]])</f>
        <v>0</v>
      </c>
      <c r="P861" s="33">
        <f>SUMIFS(DaybyDay[Retail-Budgets],DaybyDay[Date],"&gt;="&amp;$C$5,DaybyDay[RowYear],"&gt;="&amp;$C$4,DaybyDay[Date],"&lt;="&amp;DaybyDay[[#This Row],[Date]])</f>
        <v>0</v>
      </c>
      <c r="Q861" s="34">
        <f>SUMIFS(DaybyDay[Service-Actuals],DaybyDay[Date],"&gt;="&amp;$C$5,DaybyDay[RowYear],"&gt;="&amp;$C$4,DaybyDay[Date],"&lt;="&amp;DaybyDay[[#This Row],[Date]])</f>
        <v>0</v>
      </c>
      <c r="R861" s="34">
        <f>SUMIFS(DaybyDay[Retail-Actuals],DaybyDay[Date],"&gt;="&amp;$C$5,DaybyDay[RowYear],"&gt;="&amp;$C$4,DaybyDay[Date],"&lt;="&amp;DaybyDay[[#This Row],[Date]])</f>
        <v>0</v>
      </c>
      <c r="S861" s="35">
        <f>SUMIFS(DaybyDay[Service-LY],DaybyDay[Date],"&gt;="&amp;$C$5,DaybyDay[RowYear],"&gt;="&amp;$C$4,DaybyDay[Date],"&lt;="&amp;DaybyDay[[#This Row],[Date]])</f>
        <v>0</v>
      </c>
      <c r="T861" s="35">
        <f>SUMIFS(DaybyDay[Retail-LY],DaybyDay[Date],"&gt;="&amp;$C$5,DaybyDay[RowYear],"&gt;="&amp;$C$4,DaybyDay[Date],"&lt;="&amp;DaybyDay[[#This Row],[Date]])</f>
        <v>0</v>
      </c>
      <c r="U861" s="32">
        <f>DaybyDay[[#This Row],[Serv-Bud-RU]]+DaybyDay[[#This Row],[Ret-Bud-RU]]</f>
        <v>0</v>
      </c>
      <c r="V861" s="32">
        <f>DaybyDay[[#This Row],[Serv-Act-RU]]+DaybyDay[[#This Row],[Ret-Act-RU]]</f>
        <v>0</v>
      </c>
      <c r="W861" s="36">
        <f>IF(DaybyDay[[#This Row],[_Space]],IFERROR(
((DaybyDay[[#This Row],[Actual-Rollup]]-DaybyDay[[#This Row],[Budget-Rollup]])/DaybyDay[[#This Row],[Budget-Rollup]]),0),"")</f>
        <v>0</v>
      </c>
      <c r="X861" t="b">
        <f>NOT(AND(ISBLANK(DaybyDay[[#This Row],[Appts]]),ISBLANK(DaybyDay[[#This Row],[Service-Actuals]]),ISBLANK(DaybyDay[[#This Row],[Retail-Actuals]])))</f>
        <v>1</v>
      </c>
      <c r="Y861" s="36">
        <f>IF(DaybyDay[[#This Row],[_Space]],IFERROR(
((DaybyDay[[#This Row],[Actual-Rollup]]-DaybyDay[[#This Row],[LY-Rollup]])/DaybyDay[[#This Row],[LY-Rollup]]),0),"")</f>
        <v>0</v>
      </c>
      <c r="Z861"/>
      <c r="AA861" s="37" t="e">
        <f>IF(DaybyDay[[#This Row],[_Space]],DaybyDay[[#This Row],[Ret-Act-RU]]/DaybyDay[[#This Row],[Serv-Act-RU]],"")</f>
        <v>#DIV/0!</v>
      </c>
      <c r="AB861" s="50" t="e">
        <f>IF(DaybyDay[[#This Row],[_Space]],DaybyDay[[#This Row],[RETPEN-Act]]/DaybyDay[[#This Row],[RETPEN-Bud]],"")</f>
        <v>#DIV/0!</v>
      </c>
      <c r="AC861" s="37" t="e">
        <f>IF(DaybyDay[[#This Row],[_Space]],DaybyDay[[#This Row],[Ret-Bud-RU]]/DaybyDay[[#This Row],[Serv-Bud-RU]],"")</f>
        <v>#DIV/0!</v>
      </c>
      <c r="AD861" s="37" t="e">
        <f>IF(DaybyDay[[#This Row],[_Space]],DaybyDay[[#This Row],[Ret-LY-RU]]/DaybyDay[[#This Row],[Serv-LY-RU]],"")</f>
        <v>#DIV/0!</v>
      </c>
      <c r="AE861" s="30">
        <f>WEEKDAY(DaybyDay[[#This Row],[LY-Date]])</f>
        <v>1</v>
      </c>
      <c r="AF861" s="38">
        <f>$E$2+_xlfn.DAYS(DaybyDay[[#This Row],[Date]],minDate)</f>
        <v>43226</v>
      </c>
      <c r="AG861" s="39" cm="1">
        <f t="array" ref="AG861">IFERROR(INDEX(DaybyDay[],DaybyDay[[#This Row],[FORM_MATCH_HELPER]],8),"")</f>
        <v>19</v>
      </c>
      <c r="AH861" s="39" cm="1">
        <f t="array" ref="AH861">IFERROR(INDEX(DaybyDay[],DaybyDay[[#This Row],[FORM_MATCH_HELPER]],10),"")</f>
        <v>3374</v>
      </c>
      <c r="AI861" s="39" cm="1">
        <f t="array" ref="AI861">IFERROR(INDEX(DaybyDay[],DaybyDay[[#This Row],[FORM_MATCH_HELPER]],12),"")</f>
        <v>206</v>
      </c>
      <c r="AJ861" s="32">
        <f>IFERROR(DaybyDay[[#This Row],[Serv-LY-RU]]+DaybyDay[[#This Row],[Ret-LY-RU]],"")</f>
        <v>0</v>
      </c>
      <c r="AK8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1" s="77"/>
      <c r="AM861" s="40" t="str">
        <f>IF(DaybyDay[[#This Row],[Admin Hours]]&gt;0,DaybyDay[[#This Row],[Admin Hours]]*$AM$2+$AM$3,"")</f>
        <v/>
      </c>
      <c r="AN861" s="40">
        <f>SUMIFS(DaybyDay[Est-Admin-Payroll],DaybyDay[Date],"&gt;="&amp;$C$5,DaybyDay[RowYear],"&gt;="&amp;$C$4,DaybyDay[Date],"&lt;="&amp;DaybyDay[[#This Row],[Date]])</f>
        <v>0</v>
      </c>
      <c r="AO861" s="41" t="str">
        <f>IF(AND(DaybyDay[[#This Row],[_Space]],ISNUMBER(DaybyDay[[#This Row],[Admin Hours]])),DaybyDay[[#This Row],[Est-Admin-Payroll]]/(DaybyDay[[#This Row],[Service-Actuals]]+DaybyDay[[#This Row],[Retail-Actuals]]),"")</f>
        <v/>
      </c>
      <c r="AP861" s="41" t="e">
        <f>DaybyDay[[#This Row],[Estimated-Payroll-Rollup]]/DaybyDay[[#This Row],[Simple-Forecast]]</f>
        <v>#DIV/0!</v>
      </c>
      <c r="AQ8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1" s="77"/>
      <c r="AS861" s="40" t="str">
        <f>IF(DaybyDay[[#This Row],[Retail Hours]]&gt;0,DaybyDay[[#This Row],[Retail Hours]]*$AS$2,"")</f>
        <v/>
      </c>
      <c r="AT861" s="40">
        <f>SUMIFS(DaybyDay[Est-Retail-Payroll],DaybyDay[Date],"&gt;="&amp;$C$5,DaybyDay[RowYear],"&gt;="&amp;$C$4,DaybyDay[Date],"&lt;="&amp;DaybyDay[[#This Row],[Date]])</f>
        <v>0</v>
      </c>
      <c r="AU861" s="82" t="str">
        <f>IF(AND(DaybyDay[[#This Row],[_Space]],ISNUMBER(DaybyDay[[#This Row],[Retail Hours]])),DaybyDay[[#This Row],[Est-Retail-Payroll]]/(DaybyDay[[#This Row],[Retail-Actuals]]),"")</f>
        <v/>
      </c>
      <c r="AV861" s="82" t="e">
        <f>DaybyDay[[#This Row],[Est-Retail-PayrollRU]]/DaybyDay[[#This Row],[Simple-Forecast-Retail]]</f>
        <v>#DIV/0!</v>
      </c>
      <c r="AW861" s="8"/>
      <c r="AX861" s="49"/>
      <c r="AY861" s="48"/>
      <c r="AZ861" s="47"/>
      <c r="BA861" s="47"/>
      <c r="BB861" s="47"/>
      <c r="BC861" s="47"/>
      <c r="BD861" s="47"/>
    </row>
    <row r="862" spans="3:56" hidden="1" x14ac:dyDescent="0.25">
      <c r="C862" s="26" t="str">
        <f>Tools!$C$1</f>
        <v>Example</v>
      </c>
      <c r="D862" s="27" t="s">
        <v>72</v>
      </c>
      <c r="E862" s="28">
        <v>2019</v>
      </c>
      <c r="F862" s="28">
        <f>MATCH(DaybyDay[[#This Row],[RowMonth]],Table3[SummaryMonth],0)</f>
        <v>5</v>
      </c>
      <c r="G862" s="29">
        <f>MATCH(DaybyDay[[#This Row],[LY-Date]],DaybyDay[Date],0)</f>
        <v>492</v>
      </c>
      <c r="H862" s="30">
        <f>WEEKDAY(DaybyDay[[#This Row],[Date]])</f>
        <v>2</v>
      </c>
      <c r="I862" s="31">
        <v>43591</v>
      </c>
      <c r="J862" s="74">
        <v>13</v>
      </c>
      <c r="K862" s="32">
        <f>SUMIFS(BudgetSeasonality[365 Seasonality],BudgetSeasonality[MonthAdjustment],DaybyDay[[#This Row],[Date]])*SUMIFS(Budgets[Service-Budget],Budgets[BudgetMonth],DaybyDay[[#This Row],[RowMonth]],Budgets[BudgetYear],DaybyDay[[#This Row],[RowYear]])</f>
        <v>3289.7682300495194</v>
      </c>
      <c r="L862" s="75">
        <v>2968.7</v>
      </c>
      <c r="M862" s="32">
        <f>INDEX(BudgetSeasonality[365 Seasonality],MATCH(DaybyDay[[#This Row],[Date]],BudgetSeasonality[MonthAdjustment],0))*SUMIFS(Budgets[Retail-Budget],Budgets[BudgetMonth],DaybyDay[[#This Row],[RowMonth]],Budgets[BudgetYear],DaybyDay[[#This Row],[RowYear]])</f>
        <v>782.91693808946525</v>
      </c>
      <c r="N862" s="75">
        <v>1118</v>
      </c>
      <c r="O862" s="33">
        <f>SUMIFS(DaybyDay[Service-Budgets],DaybyDay[Date],"&gt;="&amp;$C$5,DaybyDay[RowYear],"&gt;="&amp;$C$4,DaybyDay[Date],"&lt;="&amp;DaybyDay[[#This Row],[Date]])</f>
        <v>0</v>
      </c>
      <c r="P862" s="33">
        <f>SUMIFS(DaybyDay[Retail-Budgets],DaybyDay[Date],"&gt;="&amp;$C$5,DaybyDay[RowYear],"&gt;="&amp;$C$4,DaybyDay[Date],"&lt;="&amp;DaybyDay[[#This Row],[Date]])</f>
        <v>0</v>
      </c>
      <c r="Q862" s="34">
        <f>SUMIFS(DaybyDay[Service-Actuals],DaybyDay[Date],"&gt;="&amp;$C$5,DaybyDay[RowYear],"&gt;="&amp;$C$4,DaybyDay[Date],"&lt;="&amp;DaybyDay[[#This Row],[Date]])</f>
        <v>0</v>
      </c>
      <c r="R862" s="34">
        <f>SUMIFS(DaybyDay[Retail-Actuals],DaybyDay[Date],"&gt;="&amp;$C$5,DaybyDay[RowYear],"&gt;="&amp;$C$4,DaybyDay[Date],"&lt;="&amp;DaybyDay[[#This Row],[Date]])</f>
        <v>0</v>
      </c>
      <c r="S862" s="35">
        <f>SUMIFS(DaybyDay[Service-LY],DaybyDay[Date],"&gt;="&amp;$C$5,DaybyDay[RowYear],"&gt;="&amp;$C$4,DaybyDay[Date],"&lt;="&amp;DaybyDay[[#This Row],[Date]])</f>
        <v>0</v>
      </c>
      <c r="T862" s="35">
        <f>SUMIFS(DaybyDay[Retail-LY],DaybyDay[Date],"&gt;="&amp;$C$5,DaybyDay[RowYear],"&gt;="&amp;$C$4,DaybyDay[Date],"&lt;="&amp;DaybyDay[[#This Row],[Date]])</f>
        <v>0</v>
      </c>
      <c r="U862" s="32">
        <f>DaybyDay[[#This Row],[Serv-Bud-RU]]+DaybyDay[[#This Row],[Ret-Bud-RU]]</f>
        <v>0</v>
      </c>
      <c r="V862" s="32">
        <f>DaybyDay[[#This Row],[Serv-Act-RU]]+DaybyDay[[#This Row],[Ret-Act-RU]]</f>
        <v>0</v>
      </c>
      <c r="W862" s="36">
        <f>IF(DaybyDay[[#This Row],[_Space]],IFERROR(
((DaybyDay[[#This Row],[Actual-Rollup]]-DaybyDay[[#This Row],[Budget-Rollup]])/DaybyDay[[#This Row],[Budget-Rollup]]),0),"")</f>
        <v>0</v>
      </c>
      <c r="X862" t="b">
        <f>NOT(AND(ISBLANK(DaybyDay[[#This Row],[Appts]]),ISBLANK(DaybyDay[[#This Row],[Service-Actuals]]),ISBLANK(DaybyDay[[#This Row],[Retail-Actuals]])))</f>
        <v>1</v>
      </c>
      <c r="Y862" s="36">
        <f>IF(DaybyDay[[#This Row],[_Space]],IFERROR(
((DaybyDay[[#This Row],[Actual-Rollup]]-DaybyDay[[#This Row],[LY-Rollup]])/DaybyDay[[#This Row],[LY-Rollup]]),0),"")</f>
        <v>0</v>
      </c>
      <c r="Z862"/>
      <c r="AA862" s="37" t="e">
        <f>IF(DaybyDay[[#This Row],[_Space]],DaybyDay[[#This Row],[Ret-Act-RU]]/DaybyDay[[#This Row],[Serv-Act-RU]],"")</f>
        <v>#DIV/0!</v>
      </c>
      <c r="AB862" s="50" t="e">
        <f>IF(DaybyDay[[#This Row],[_Space]],DaybyDay[[#This Row],[RETPEN-Act]]/DaybyDay[[#This Row],[RETPEN-Bud]],"")</f>
        <v>#DIV/0!</v>
      </c>
      <c r="AC862" s="37" t="e">
        <f>IF(DaybyDay[[#This Row],[_Space]],DaybyDay[[#This Row],[Ret-Bud-RU]]/DaybyDay[[#This Row],[Serv-Bud-RU]],"")</f>
        <v>#DIV/0!</v>
      </c>
      <c r="AD862" s="37" t="e">
        <f>IF(DaybyDay[[#This Row],[_Space]],DaybyDay[[#This Row],[Ret-LY-RU]]/DaybyDay[[#This Row],[Serv-LY-RU]],"")</f>
        <v>#DIV/0!</v>
      </c>
      <c r="AE862" s="30">
        <f>WEEKDAY(DaybyDay[[#This Row],[LY-Date]])</f>
        <v>2</v>
      </c>
      <c r="AF862" s="38">
        <f>$E$2+_xlfn.DAYS(DaybyDay[[#This Row],[Date]],minDate)</f>
        <v>43227</v>
      </c>
      <c r="AG862" s="39" cm="1">
        <f t="array" ref="AG862">IFERROR(INDEX(DaybyDay[],DaybyDay[[#This Row],[FORM_MATCH_HELPER]],8),"")</f>
        <v>23</v>
      </c>
      <c r="AH862" s="39" cm="1">
        <f t="array" ref="AH862">IFERROR(INDEX(DaybyDay[],DaybyDay[[#This Row],[FORM_MATCH_HELPER]],10),"")</f>
        <v>4119.5</v>
      </c>
      <c r="AI862" s="39" cm="1">
        <f t="array" ref="AI862">IFERROR(INDEX(DaybyDay[],DaybyDay[[#This Row],[FORM_MATCH_HELPER]],12),"")</f>
        <v>1672</v>
      </c>
      <c r="AJ862" s="32">
        <f>IFERROR(DaybyDay[[#This Row],[Serv-LY-RU]]+DaybyDay[[#This Row],[Ret-LY-RU]],"")</f>
        <v>0</v>
      </c>
      <c r="AK8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2" s="77"/>
      <c r="AM862" s="40" t="str">
        <f>IF(DaybyDay[[#This Row],[Admin Hours]]&gt;0,DaybyDay[[#This Row],[Admin Hours]]*$AM$2+$AM$3,"")</f>
        <v/>
      </c>
      <c r="AN862" s="40">
        <f>SUMIFS(DaybyDay[Est-Admin-Payroll],DaybyDay[Date],"&gt;="&amp;$C$5,DaybyDay[RowYear],"&gt;="&amp;$C$4,DaybyDay[Date],"&lt;="&amp;DaybyDay[[#This Row],[Date]])</f>
        <v>0</v>
      </c>
      <c r="AO862" s="41" t="str">
        <f>IF(AND(DaybyDay[[#This Row],[_Space]],ISNUMBER(DaybyDay[[#This Row],[Admin Hours]])),DaybyDay[[#This Row],[Est-Admin-Payroll]]/(DaybyDay[[#This Row],[Service-Actuals]]+DaybyDay[[#This Row],[Retail-Actuals]]),"")</f>
        <v/>
      </c>
      <c r="AP862" s="41" t="e">
        <f>DaybyDay[[#This Row],[Estimated-Payroll-Rollup]]/DaybyDay[[#This Row],[Simple-Forecast]]</f>
        <v>#DIV/0!</v>
      </c>
      <c r="AQ8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2" s="77"/>
      <c r="AS862" s="40" t="str">
        <f>IF(DaybyDay[[#This Row],[Retail Hours]]&gt;0,DaybyDay[[#This Row],[Retail Hours]]*$AS$2,"")</f>
        <v/>
      </c>
      <c r="AT862" s="40">
        <f>SUMIFS(DaybyDay[Est-Retail-Payroll],DaybyDay[Date],"&gt;="&amp;$C$5,DaybyDay[RowYear],"&gt;="&amp;$C$4,DaybyDay[Date],"&lt;="&amp;DaybyDay[[#This Row],[Date]])</f>
        <v>0</v>
      </c>
      <c r="AU862" s="82" t="str">
        <f>IF(AND(DaybyDay[[#This Row],[_Space]],ISNUMBER(DaybyDay[[#This Row],[Retail Hours]])),DaybyDay[[#This Row],[Est-Retail-Payroll]]/(DaybyDay[[#This Row],[Retail-Actuals]]),"")</f>
        <v/>
      </c>
      <c r="AV862" s="82" t="e">
        <f>DaybyDay[[#This Row],[Est-Retail-PayrollRU]]/DaybyDay[[#This Row],[Simple-Forecast-Retail]]</f>
        <v>#DIV/0!</v>
      </c>
      <c r="AW862" s="8"/>
      <c r="AX862" s="49"/>
      <c r="AY862" s="48"/>
      <c r="AZ862" s="47"/>
      <c r="BA862" s="47"/>
      <c r="BB862" s="47"/>
      <c r="BC862" s="47"/>
      <c r="BD862" s="47"/>
    </row>
    <row r="863" spans="3:56" hidden="1" x14ac:dyDescent="0.25">
      <c r="C863" s="26" t="str">
        <f>Tools!$C$1</f>
        <v>Example</v>
      </c>
      <c r="D863" s="27" t="s">
        <v>72</v>
      </c>
      <c r="E863" s="28">
        <v>2019</v>
      </c>
      <c r="F863" s="28">
        <f>MATCH(DaybyDay[[#This Row],[RowMonth]],Table3[SummaryMonth],0)</f>
        <v>5</v>
      </c>
      <c r="G863" s="29">
        <f>MATCH(DaybyDay[[#This Row],[LY-Date]],DaybyDay[Date],0)</f>
        <v>493</v>
      </c>
      <c r="H863" s="30">
        <f>WEEKDAY(DaybyDay[[#This Row],[Date]])</f>
        <v>3</v>
      </c>
      <c r="I863" s="31">
        <v>43592</v>
      </c>
      <c r="J863" s="74">
        <v>12</v>
      </c>
      <c r="K863" s="32">
        <f>SUMIFS(BudgetSeasonality[365 Seasonality],BudgetSeasonality[MonthAdjustment],DaybyDay[[#This Row],[Date]])*SUMIFS(Budgets[Service-Budget],Budgets[BudgetMonth],DaybyDay[[#This Row],[RowMonth]],Budgets[BudgetYear],DaybyDay[[#This Row],[RowYear]])</f>
        <v>3480.3778793723368</v>
      </c>
      <c r="L863" s="75">
        <v>3390.25</v>
      </c>
      <c r="M863" s="32">
        <f>INDEX(BudgetSeasonality[365 Seasonality],MATCH(DaybyDay[[#This Row],[Date]],BudgetSeasonality[MonthAdjustment],0))*SUMIFS(Budgets[Retail-Budget],Budgets[BudgetMonth],DaybyDay[[#This Row],[RowMonth]],Budgets[BudgetYear],DaybyDay[[#This Row],[RowYear]])</f>
        <v>828.2792592569599</v>
      </c>
      <c r="N863" s="75">
        <v>0</v>
      </c>
      <c r="O863" s="33">
        <f>SUMIFS(DaybyDay[Service-Budgets],DaybyDay[Date],"&gt;="&amp;$C$5,DaybyDay[RowYear],"&gt;="&amp;$C$4,DaybyDay[Date],"&lt;="&amp;DaybyDay[[#This Row],[Date]])</f>
        <v>0</v>
      </c>
      <c r="P863" s="33">
        <f>SUMIFS(DaybyDay[Retail-Budgets],DaybyDay[Date],"&gt;="&amp;$C$5,DaybyDay[RowYear],"&gt;="&amp;$C$4,DaybyDay[Date],"&lt;="&amp;DaybyDay[[#This Row],[Date]])</f>
        <v>0</v>
      </c>
      <c r="Q863" s="34">
        <f>SUMIFS(DaybyDay[Service-Actuals],DaybyDay[Date],"&gt;="&amp;$C$5,DaybyDay[RowYear],"&gt;="&amp;$C$4,DaybyDay[Date],"&lt;="&amp;DaybyDay[[#This Row],[Date]])</f>
        <v>0</v>
      </c>
      <c r="R863" s="34">
        <f>SUMIFS(DaybyDay[Retail-Actuals],DaybyDay[Date],"&gt;="&amp;$C$5,DaybyDay[RowYear],"&gt;="&amp;$C$4,DaybyDay[Date],"&lt;="&amp;DaybyDay[[#This Row],[Date]])</f>
        <v>0</v>
      </c>
      <c r="S863" s="35">
        <f>SUMIFS(DaybyDay[Service-LY],DaybyDay[Date],"&gt;="&amp;$C$5,DaybyDay[RowYear],"&gt;="&amp;$C$4,DaybyDay[Date],"&lt;="&amp;DaybyDay[[#This Row],[Date]])</f>
        <v>0</v>
      </c>
      <c r="T863" s="35">
        <f>SUMIFS(DaybyDay[Retail-LY],DaybyDay[Date],"&gt;="&amp;$C$5,DaybyDay[RowYear],"&gt;="&amp;$C$4,DaybyDay[Date],"&lt;="&amp;DaybyDay[[#This Row],[Date]])</f>
        <v>0</v>
      </c>
      <c r="U863" s="32">
        <f>DaybyDay[[#This Row],[Serv-Bud-RU]]+DaybyDay[[#This Row],[Ret-Bud-RU]]</f>
        <v>0</v>
      </c>
      <c r="V863" s="32">
        <f>DaybyDay[[#This Row],[Serv-Act-RU]]+DaybyDay[[#This Row],[Ret-Act-RU]]</f>
        <v>0</v>
      </c>
      <c r="W863" s="36">
        <f>IF(DaybyDay[[#This Row],[_Space]],IFERROR(
((DaybyDay[[#This Row],[Actual-Rollup]]-DaybyDay[[#This Row],[Budget-Rollup]])/DaybyDay[[#This Row],[Budget-Rollup]]),0),"")</f>
        <v>0</v>
      </c>
      <c r="X863" t="b">
        <f>NOT(AND(ISBLANK(DaybyDay[[#This Row],[Appts]]),ISBLANK(DaybyDay[[#This Row],[Service-Actuals]]),ISBLANK(DaybyDay[[#This Row],[Retail-Actuals]])))</f>
        <v>1</v>
      </c>
      <c r="Y863" s="36">
        <f>IF(DaybyDay[[#This Row],[_Space]],IFERROR(
((DaybyDay[[#This Row],[Actual-Rollup]]-DaybyDay[[#This Row],[LY-Rollup]])/DaybyDay[[#This Row],[LY-Rollup]]),0),"")</f>
        <v>0</v>
      </c>
      <c r="Z863"/>
      <c r="AA863" s="37" t="e">
        <f>IF(DaybyDay[[#This Row],[_Space]],DaybyDay[[#This Row],[Ret-Act-RU]]/DaybyDay[[#This Row],[Serv-Act-RU]],"")</f>
        <v>#DIV/0!</v>
      </c>
      <c r="AB863" s="50" t="e">
        <f>IF(DaybyDay[[#This Row],[_Space]],DaybyDay[[#This Row],[RETPEN-Act]]/DaybyDay[[#This Row],[RETPEN-Bud]],"")</f>
        <v>#DIV/0!</v>
      </c>
      <c r="AC863" s="37" t="e">
        <f>IF(DaybyDay[[#This Row],[_Space]],DaybyDay[[#This Row],[Ret-Bud-RU]]/DaybyDay[[#This Row],[Serv-Bud-RU]],"")</f>
        <v>#DIV/0!</v>
      </c>
      <c r="AD863" s="37" t="e">
        <f>IF(DaybyDay[[#This Row],[_Space]],DaybyDay[[#This Row],[Ret-LY-RU]]/DaybyDay[[#This Row],[Serv-LY-RU]],"")</f>
        <v>#DIV/0!</v>
      </c>
      <c r="AE863" s="30">
        <f>WEEKDAY(DaybyDay[[#This Row],[LY-Date]])</f>
        <v>3</v>
      </c>
      <c r="AF863" s="38">
        <f>$E$2+_xlfn.DAYS(DaybyDay[[#This Row],[Date]],minDate)</f>
        <v>43228</v>
      </c>
      <c r="AG863" s="39" cm="1">
        <f t="array" ref="AG863">IFERROR(INDEX(DaybyDay[],DaybyDay[[#This Row],[FORM_MATCH_HELPER]],8),"")</f>
        <v>9</v>
      </c>
      <c r="AH863" s="39" cm="1">
        <f t="array" ref="AH863">IFERROR(INDEX(DaybyDay[],DaybyDay[[#This Row],[FORM_MATCH_HELPER]],10),"")</f>
        <v>4221.7700000000004</v>
      </c>
      <c r="AI863" s="39" cm="1">
        <f t="array" ref="AI863">IFERROR(INDEX(DaybyDay[],DaybyDay[[#This Row],[FORM_MATCH_HELPER]],12),"")</f>
        <v>242.5</v>
      </c>
      <c r="AJ863" s="32">
        <f>IFERROR(DaybyDay[[#This Row],[Serv-LY-RU]]+DaybyDay[[#This Row],[Ret-LY-RU]],"")</f>
        <v>0</v>
      </c>
      <c r="AK8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3" s="77"/>
      <c r="AM863" s="40" t="str">
        <f>IF(DaybyDay[[#This Row],[Admin Hours]]&gt;0,DaybyDay[[#This Row],[Admin Hours]]*$AM$2+$AM$3,"")</f>
        <v/>
      </c>
      <c r="AN863" s="40">
        <f>SUMIFS(DaybyDay[Est-Admin-Payroll],DaybyDay[Date],"&gt;="&amp;$C$5,DaybyDay[RowYear],"&gt;="&amp;$C$4,DaybyDay[Date],"&lt;="&amp;DaybyDay[[#This Row],[Date]])</f>
        <v>0</v>
      </c>
      <c r="AO863" s="41" t="str">
        <f>IF(AND(DaybyDay[[#This Row],[_Space]],ISNUMBER(DaybyDay[[#This Row],[Admin Hours]])),DaybyDay[[#This Row],[Est-Admin-Payroll]]/(DaybyDay[[#This Row],[Service-Actuals]]+DaybyDay[[#This Row],[Retail-Actuals]]),"")</f>
        <v/>
      </c>
      <c r="AP863" s="41" t="e">
        <f>DaybyDay[[#This Row],[Estimated-Payroll-Rollup]]/DaybyDay[[#This Row],[Simple-Forecast]]</f>
        <v>#DIV/0!</v>
      </c>
      <c r="AQ8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3" s="77"/>
      <c r="AS863" s="40" t="str">
        <f>IF(DaybyDay[[#This Row],[Retail Hours]]&gt;0,DaybyDay[[#This Row],[Retail Hours]]*$AS$2,"")</f>
        <v/>
      </c>
      <c r="AT863" s="40">
        <f>SUMIFS(DaybyDay[Est-Retail-Payroll],DaybyDay[Date],"&gt;="&amp;$C$5,DaybyDay[RowYear],"&gt;="&amp;$C$4,DaybyDay[Date],"&lt;="&amp;DaybyDay[[#This Row],[Date]])</f>
        <v>0</v>
      </c>
      <c r="AU863" s="82" t="str">
        <f>IF(AND(DaybyDay[[#This Row],[_Space]],ISNUMBER(DaybyDay[[#This Row],[Retail Hours]])),DaybyDay[[#This Row],[Est-Retail-Payroll]]/(DaybyDay[[#This Row],[Retail-Actuals]]),"")</f>
        <v/>
      </c>
      <c r="AV863" s="82" t="e">
        <f>DaybyDay[[#This Row],[Est-Retail-PayrollRU]]/DaybyDay[[#This Row],[Simple-Forecast-Retail]]</f>
        <v>#DIV/0!</v>
      </c>
      <c r="AW863" s="8"/>
      <c r="AX863" s="49"/>
      <c r="AY863" s="48"/>
      <c r="AZ863" s="47"/>
      <c r="BA863" s="47"/>
      <c r="BB863" s="47"/>
      <c r="BC863" s="47"/>
      <c r="BD863" s="47"/>
    </row>
    <row r="864" spans="3:56" hidden="1" x14ac:dyDescent="0.25">
      <c r="C864" s="26" t="str">
        <f>Tools!$C$1</f>
        <v>Example</v>
      </c>
      <c r="D864" s="27" t="s">
        <v>72</v>
      </c>
      <c r="E864" s="28">
        <v>2019</v>
      </c>
      <c r="F864" s="28">
        <f>MATCH(DaybyDay[[#This Row],[RowMonth]],Table3[SummaryMonth],0)</f>
        <v>5</v>
      </c>
      <c r="G864" s="29">
        <f>MATCH(DaybyDay[[#This Row],[LY-Date]],DaybyDay[Date],0)</f>
        <v>494</v>
      </c>
      <c r="H864" s="30">
        <f>WEEKDAY(DaybyDay[[#This Row],[Date]])</f>
        <v>4</v>
      </c>
      <c r="I864" s="31">
        <v>43593</v>
      </c>
      <c r="J864" s="74">
        <v>16</v>
      </c>
      <c r="K864" s="32">
        <f>SUMIFS(BudgetSeasonality[365 Seasonality],BudgetSeasonality[MonthAdjustment],DaybyDay[[#This Row],[Date]])*SUMIFS(Budgets[Service-Budget],Budgets[BudgetMonth],DaybyDay[[#This Row],[RowMonth]],Budgets[BudgetYear],DaybyDay[[#This Row],[RowYear]])</f>
        <v>4083.1391808979283</v>
      </c>
      <c r="L864" s="75">
        <v>3202.4</v>
      </c>
      <c r="M864" s="32">
        <f>INDEX(BudgetSeasonality[365 Seasonality],MATCH(DaybyDay[[#This Row],[Date]],BudgetSeasonality[MonthAdjustment],0))*SUMIFS(Budgets[Retail-Budget],Budgets[BudgetMonth],DaybyDay[[#This Row],[RowMonth]],Budgets[BudgetYear],DaybyDay[[#This Row],[RowYear]])</f>
        <v>971.72767251558435</v>
      </c>
      <c r="N864" s="75">
        <v>467</v>
      </c>
      <c r="O864" s="33">
        <f>SUMIFS(DaybyDay[Service-Budgets],DaybyDay[Date],"&gt;="&amp;$C$5,DaybyDay[RowYear],"&gt;="&amp;$C$4,DaybyDay[Date],"&lt;="&amp;DaybyDay[[#This Row],[Date]])</f>
        <v>0</v>
      </c>
      <c r="P864" s="33">
        <f>SUMIFS(DaybyDay[Retail-Budgets],DaybyDay[Date],"&gt;="&amp;$C$5,DaybyDay[RowYear],"&gt;="&amp;$C$4,DaybyDay[Date],"&lt;="&amp;DaybyDay[[#This Row],[Date]])</f>
        <v>0</v>
      </c>
      <c r="Q864" s="34">
        <f>SUMIFS(DaybyDay[Service-Actuals],DaybyDay[Date],"&gt;="&amp;$C$5,DaybyDay[RowYear],"&gt;="&amp;$C$4,DaybyDay[Date],"&lt;="&amp;DaybyDay[[#This Row],[Date]])</f>
        <v>0</v>
      </c>
      <c r="R864" s="34">
        <f>SUMIFS(DaybyDay[Retail-Actuals],DaybyDay[Date],"&gt;="&amp;$C$5,DaybyDay[RowYear],"&gt;="&amp;$C$4,DaybyDay[Date],"&lt;="&amp;DaybyDay[[#This Row],[Date]])</f>
        <v>0</v>
      </c>
      <c r="S864" s="35">
        <f>SUMIFS(DaybyDay[Service-LY],DaybyDay[Date],"&gt;="&amp;$C$5,DaybyDay[RowYear],"&gt;="&amp;$C$4,DaybyDay[Date],"&lt;="&amp;DaybyDay[[#This Row],[Date]])</f>
        <v>0</v>
      </c>
      <c r="T864" s="35">
        <f>SUMIFS(DaybyDay[Retail-LY],DaybyDay[Date],"&gt;="&amp;$C$5,DaybyDay[RowYear],"&gt;="&amp;$C$4,DaybyDay[Date],"&lt;="&amp;DaybyDay[[#This Row],[Date]])</f>
        <v>0</v>
      </c>
      <c r="U864" s="32">
        <f>DaybyDay[[#This Row],[Serv-Bud-RU]]+DaybyDay[[#This Row],[Ret-Bud-RU]]</f>
        <v>0</v>
      </c>
      <c r="V864" s="32">
        <f>DaybyDay[[#This Row],[Serv-Act-RU]]+DaybyDay[[#This Row],[Ret-Act-RU]]</f>
        <v>0</v>
      </c>
      <c r="W864" s="36">
        <f>IF(DaybyDay[[#This Row],[_Space]],IFERROR(
((DaybyDay[[#This Row],[Actual-Rollup]]-DaybyDay[[#This Row],[Budget-Rollup]])/DaybyDay[[#This Row],[Budget-Rollup]]),0),"")</f>
        <v>0</v>
      </c>
      <c r="X864" t="b">
        <f>NOT(AND(ISBLANK(DaybyDay[[#This Row],[Appts]]),ISBLANK(DaybyDay[[#This Row],[Service-Actuals]]),ISBLANK(DaybyDay[[#This Row],[Retail-Actuals]])))</f>
        <v>1</v>
      </c>
      <c r="Y864" s="36">
        <f>IF(DaybyDay[[#This Row],[_Space]],IFERROR(
((DaybyDay[[#This Row],[Actual-Rollup]]-DaybyDay[[#This Row],[LY-Rollup]])/DaybyDay[[#This Row],[LY-Rollup]]),0),"")</f>
        <v>0</v>
      </c>
      <c r="Z864"/>
      <c r="AA864" s="37" t="e">
        <f>IF(DaybyDay[[#This Row],[_Space]],DaybyDay[[#This Row],[Ret-Act-RU]]/DaybyDay[[#This Row],[Serv-Act-RU]],"")</f>
        <v>#DIV/0!</v>
      </c>
      <c r="AB864" s="50" t="e">
        <f>IF(DaybyDay[[#This Row],[_Space]],DaybyDay[[#This Row],[RETPEN-Act]]/DaybyDay[[#This Row],[RETPEN-Bud]],"")</f>
        <v>#DIV/0!</v>
      </c>
      <c r="AC864" s="37" t="e">
        <f>IF(DaybyDay[[#This Row],[_Space]],DaybyDay[[#This Row],[Ret-Bud-RU]]/DaybyDay[[#This Row],[Serv-Bud-RU]],"")</f>
        <v>#DIV/0!</v>
      </c>
      <c r="AD864" s="37" t="e">
        <f>IF(DaybyDay[[#This Row],[_Space]],DaybyDay[[#This Row],[Ret-LY-RU]]/DaybyDay[[#This Row],[Serv-LY-RU]],"")</f>
        <v>#DIV/0!</v>
      </c>
      <c r="AE864" s="30">
        <f>WEEKDAY(DaybyDay[[#This Row],[LY-Date]])</f>
        <v>4</v>
      </c>
      <c r="AF864" s="38">
        <f>$E$2+_xlfn.DAYS(DaybyDay[[#This Row],[Date]],minDate)</f>
        <v>43229</v>
      </c>
      <c r="AG864" s="39" cm="1">
        <f t="array" ref="AG864">IFERROR(INDEX(DaybyDay[],DaybyDay[[#This Row],[FORM_MATCH_HELPER]],8),"")</f>
        <v>17</v>
      </c>
      <c r="AH864" s="39" cm="1">
        <f t="array" ref="AH864">IFERROR(INDEX(DaybyDay[],DaybyDay[[#This Row],[FORM_MATCH_HELPER]],10),"")</f>
        <v>4060.87</v>
      </c>
      <c r="AI864" s="39" cm="1">
        <f t="array" ref="AI864">IFERROR(INDEX(DaybyDay[],DaybyDay[[#This Row],[FORM_MATCH_HELPER]],12),"")</f>
        <v>1660.9</v>
      </c>
      <c r="AJ864" s="32">
        <f>IFERROR(DaybyDay[[#This Row],[Serv-LY-RU]]+DaybyDay[[#This Row],[Ret-LY-RU]],"")</f>
        <v>0</v>
      </c>
      <c r="AK8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4" s="77"/>
      <c r="AM864" s="40" t="str">
        <f>IF(DaybyDay[[#This Row],[Admin Hours]]&gt;0,DaybyDay[[#This Row],[Admin Hours]]*$AM$2+$AM$3,"")</f>
        <v/>
      </c>
      <c r="AN864" s="40">
        <f>SUMIFS(DaybyDay[Est-Admin-Payroll],DaybyDay[Date],"&gt;="&amp;$C$5,DaybyDay[RowYear],"&gt;="&amp;$C$4,DaybyDay[Date],"&lt;="&amp;DaybyDay[[#This Row],[Date]])</f>
        <v>0</v>
      </c>
      <c r="AO864" s="41" t="str">
        <f>IF(AND(DaybyDay[[#This Row],[_Space]],ISNUMBER(DaybyDay[[#This Row],[Admin Hours]])),DaybyDay[[#This Row],[Est-Admin-Payroll]]/(DaybyDay[[#This Row],[Service-Actuals]]+DaybyDay[[#This Row],[Retail-Actuals]]),"")</f>
        <v/>
      </c>
      <c r="AP864" s="41" t="e">
        <f>DaybyDay[[#This Row],[Estimated-Payroll-Rollup]]/DaybyDay[[#This Row],[Simple-Forecast]]</f>
        <v>#DIV/0!</v>
      </c>
      <c r="AQ8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4" s="77"/>
      <c r="AS864" s="40" t="str">
        <f>IF(DaybyDay[[#This Row],[Retail Hours]]&gt;0,DaybyDay[[#This Row],[Retail Hours]]*$AS$2,"")</f>
        <v/>
      </c>
      <c r="AT864" s="40">
        <f>SUMIFS(DaybyDay[Est-Retail-Payroll],DaybyDay[Date],"&gt;="&amp;$C$5,DaybyDay[RowYear],"&gt;="&amp;$C$4,DaybyDay[Date],"&lt;="&amp;DaybyDay[[#This Row],[Date]])</f>
        <v>0</v>
      </c>
      <c r="AU864" s="82" t="str">
        <f>IF(AND(DaybyDay[[#This Row],[_Space]],ISNUMBER(DaybyDay[[#This Row],[Retail Hours]])),DaybyDay[[#This Row],[Est-Retail-Payroll]]/(DaybyDay[[#This Row],[Retail-Actuals]]),"")</f>
        <v/>
      </c>
      <c r="AV864" s="82" t="e">
        <f>DaybyDay[[#This Row],[Est-Retail-PayrollRU]]/DaybyDay[[#This Row],[Simple-Forecast-Retail]]</f>
        <v>#DIV/0!</v>
      </c>
      <c r="AW864" s="8"/>
      <c r="AX864" s="49"/>
      <c r="AY864" s="48"/>
      <c r="AZ864" s="47"/>
      <c r="BA864" s="47"/>
      <c r="BB864" s="47"/>
      <c r="BC864" s="47"/>
      <c r="BD864" s="47"/>
    </row>
    <row r="865" spans="3:56" hidden="1" x14ac:dyDescent="0.25">
      <c r="C865" s="26" t="str">
        <f>Tools!$C$1</f>
        <v>Example</v>
      </c>
      <c r="D865" s="27" t="s">
        <v>72</v>
      </c>
      <c r="E865" s="28">
        <v>2019</v>
      </c>
      <c r="F865" s="28">
        <f>MATCH(DaybyDay[[#This Row],[RowMonth]],Table3[SummaryMonth],0)</f>
        <v>5</v>
      </c>
      <c r="G865" s="29">
        <f>MATCH(DaybyDay[[#This Row],[LY-Date]],DaybyDay[Date],0)</f>
        <v>495</v>
      </c>
      <c r="H865" s="30">
        <f>WEEKDAY(DaybyDay[[#This Row],[Date]])</f>
        <v>5</v>
      </c>
      <c r="I865" s="31">
        <v>43594</v>
      </c>
      <c r="J865" s="74">
        <v>23</v>
      </c>
      <c r="K865" s="32">
        <f>SUMIFS(BudgetSeasonality[365 Seasonality],BudgetSeasonality[MonthAdjustment],DaybyDay[[#This Row],[Date]])*SUMIFS(Budgets[Service-Budget],Budgets[BudgetMonth],DaybyDay[[#This Row],[RowMonth]],Budgets[BudgetYear],DaybyDay[[#This Row],[RowYear]])</f>
        <v>4251.6396439546752</v>
      </c>
      <c r="L865" s="75">
        <v>5082.0499999999993</v>
      </c>
      <c r="M865" s="32">
        <f>INDEX(BudgetSeasonality[365 Seasonality],MATCH(DaybyDay[[#This Row],[Date]],BudgetSeasonality[MonthAdjustment],0))*SUMIFS(Budgets[Retail-Budget],Budgets[BudgetMonth],DaybyDay[[#This Row],[RowMonth]],Budgets[BudgetYear],DaybyDay[[#This Row],[RowYear]])</f>
        <v>1011.8283292725072</v>
      </c>
      <c r="N865" s="75">
        <v>1451.9</v>
      </c>
      <c r="O865" s="33">
        <f>SUMIFS(DaybyDay[Service-Budgets],DaybyDay[Date],"&gt;="&amp;$C$5,DaybyDay[RowYear],"&gt;="&amp;$C$4,DaybyDay[Date],"&lt;="&amp;DaybyDay[[#This Row],[Date]])</f>
        <v>0</v>
      </c>
      <c r="P865" s="33">
        <f>SUMIFS(DaybyDay[Retail-Budgets],DaybyDay[Date],"&gt;="&amp;$C$5,DaybyDay[RowYear],"&gt;="&amp;$C$4,DaybyDay[Date],"&lt;="&amp;DaybyDay[[#This Row],[Date]])</f>
        <v>0</v>
      </c>
      <c r="Q865" s="34">
        <f>SUMIFS(DaybyDay[Service-Actuals],DaybyDay[Date],"&gt;="&amp;$C$5,DaybyDay[RowYear],"&gt;="&amp;$C$4,DaybyDay[Date],"&lt;="&amp;DaybyDay[[#This Row],[Date]])</f>
        <v>0</v>
      </c>
      <c r="R865" s="34">
        <f>SUMIFS(DaybyDay[Retail-Actuals],DaybyDay[Date],"&gt;="&amp;$C$5,DaybyDay[RowYear],"&gt;="&amp;$C$4,DaybyDay[Date],"&lt;="&amp;DaybyDay[[#This Row],[Date]])</f>
        <v>0</v>
      </c>
      <c r="S865" s="35">
        <f>SUMIFS(DaybyDay[Service-LY],DaybyDay[Date],"&gt;="&amp;$C$5,DaybyDay[RowYear],"&gt;="&amp;$C$4,DaybyDay[Date],"&lt;="&amp;DaybyDay[[#This Row],[Date]])</f>
        <v>0</v>
      </c>
      <c r="T865" s="35">
        <f>SUMIFS(DaybyDay[Retail-LY],DaybyDay[Date],"&gt;="&amp;$C$5,DaybyDay[RowYear],"&gt;="&amp;$C$4,DaybyDay[Date],"&lt;="&amp;DaybyDay[[#This Row],[Date]])</f>
        <v>0</v>
      </c>
      <c r="U865" s="32">
        <f>DaybyDay[[#This Row],[Serv-Bud-RU]]+DaybyDay[[#This Row],[Ret-Bud-RU]]</f>
        <v>0</v>
      </c>
      <c r="V865" s="32">
        <f>DaybyDay[[#This Row],[Serv-Act-RU]]+DaybyDay[[#This Row],[Ret-Act-RU]]</f>
        <v>0</v>
      </c>
      <c r="W865" s="36">
        <f>IF(DaybyDay[[#This Row],[_Space]],IFERROR(
((DaybyDay[[#This Row],[Actual-Rollup]]-DaybyDay[[#This Row],[Budget-Rollup]])/DaybyDay[[#This Row],[Budget-Rollup]]),0),"")</f>
        <v>0</v>
      </c>
      <c r="X865" t="b">
        <f>NOT(AND(ISBLANK(DaybyDay[[#This Row],[Appts]]),ISBLANK(DaybyDay[[#This Row],[Service-Actuals]]),ISBLANK(DaybyDay[[#This Row],[Retail-Actuals]])))</f>
        <v>1</v>
      </c>
      <c r="Y865" s="36">
        <f>IF(DaybyDay[[#This Row],[_Space]],IFERROR(
((DaybyDay[[#This Row],[Actual-Rollup]]-DaybyDay[[#This Row],[LY-Rollup]])/DaybyDay[[#This Row],[LY-Rollup]]),0),"")</f>
        <v>0</v>
      </c>
      <c r="Z865"/>
      <c r="AA865" s="37" t="e">
        <f>IF(DaybyDay[[#This Row],[_Space]],DaybyDay[[#This Row],[Ret-Act-RU]]/DaybyDay[[#This Row],[Serv-Act-RU]],"")</f>
        <v>#DIV/0!</v>
      </c>
      <c r="AB865" s="50" t="e">
        <f>IF(DaybyDay[[#This Row],[_Space]],DaybyDay[[#This Row],[RETPEN-Act]]/DaybyDay[[#This Row],[RETPEN-Bud]],"")</f>
        <v>#DIV/0!</v>
      </c>
      <c r="AC865" s="37" t="e">
        <f>IF(DaybyDay[[#This Row],[_Space]],DaybyDay[[#This Row],[Ret-Bud-RU]]/DaybyDay[[#This Row],[Serv-Bud-RU]],"")</f>
        <v>#DIV/0!</v>
      </c>
      <c r="AD865" s="37" t="e">
        <f>IF(DaybyDay[[#This Row],[_Space]],DaybyDay[[#This Row],[Ret-LY-RU]]/DaybyDay[[#This Row],[Serv-LY-RU]],"")</f>
        <v>#DIV/0!</v>
      </c>
      <c r="AE865" s="30">
        <f>WEEKDAY(DaybyDay[[#This Row],[LY-Date]])</f>
        <v>5</v>
      </c>
      <c r="AF865" s="38">
        <f>$E$2+_xlfn.DAYS(DaybyDay[[#This Row],[Date]],minDate)</f>
        <v>43230</v>
      </c>
      <c r="AG865" s="39" cm="1">
        <f t="array" ref="AG865">IFERROR(INDEX(DaybyDay[],DaybyDay[[#This Row],[FORM_MATCH_HELPER]],8),"")</f>
        <v>9</v>
      </c>
      <c r="AH865" s="39" cm="1">
        <f t="array" ref="AH865">IFERROR(INDEX(DaybyDay[],DaybyDay[[#This Row],[FORM_MATCH_HELPER]],10),"")</f>
        <v>2315</v>
      </c>
      <c r="AI865" s="39" cm="1">
        <f t="array" ref="AI865">IFERROR(INDEX(DaybyDay[],DaybyDay[[#This Row],[FORM_MATCH_HELPER]],12),"")</f>
        <v>158</v>
      </c>
      <c r="AJ865" s="32">
        <f>IFERROR(DaybyDay[[#This Row],[Serv-LY-RU]]+DaybyDay[[#This Row],[Ret-LY-RU]],"")</f>
        <v>0</v>
      </c>
      <c r="AK8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5" s="77"/>
      <c r="AM865" s="40" t="str">
        <f>IF(DaybyDay[[#This Row],[Admin Hours]]&gt;0,DaybyDay[[#This Row],[Admin Hours]]*$AM$2+$AM$3,"")</f>
        <v/>
      </c>
      <c r="AN865" s="40">
        <f>SUMIFS(DaybyDay[Est-Admin-Payroll],DaybyDay[Date],"&gt;="&amp;$C$5,DaybyDay[RowYear],"&gt;="&amp;$C$4,DaybyDay[Date],"&lt;="&amp;DaybyDay[[#This Row],[Date]])</f>
        <v>0</v>
      </c>
      <c r="AO865" s="41" t="str">
        <f>IF(AND(DaybyDay[[#This Row],[_Space]],ISNUMBER(DaybyDay[[#This Row],[Admin Hours]])),DaybyDay[[#This Row],[Est-Admin-Payroll]]/(DaybyDay[[#This Row],[Service-Actuals]]+DaybyDay[[#This Row],[Retail-Actuals]]),"")</f>
        <v/>
      </c>
      <c r="AP865" s="41" t="e">
        <f>DaybyDay[[#This Row],[Estimated-Payroll-Rollup]]/DaybyDay[[#This Row],[Simple-Forecast]]</f>
        <v>#DIV/0!</v>
      </c>
      <c r="AQ8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5" s="77"/>
      <c r="AS865" s="40" t="str">
        <f>IF(DaybyDay[[#This Row],[Retail Hours]]&gt;0,DaybyDay[[#This Row],[Retail Hours]]*$AS$2,"")</f>
        <v/>
      </c>
      <c r="AT865" s="40">
        <f>SUMIFS(DaybyDay[Est-Retail-Payroll],DaybyDay[Date],"&gt;="&amp;$C$5,DaybyDay[RowYear],"&gt;="&amp;$C$4,DaybyDay[Date],"&lt;="&amp;DaybyDay[[#This Row],[Date]])</f>
        <v>0</v>
      </c>
      <c r="AU865" s="82" t="str">
        <f>IF(AND(DaybyDay[[#This Row],[_Space]],ISNUMBER(DaybyDay[[#This Row],[Retail Hours]])),DaybyDay[[#This Row],[Est-Retail-Payroll]]/(DaybyDay[[#This Row],[Retail-Actuals]]),"")</f>
        <v/>
      </c>
      <c r="AV865" s="82" t="e">
        <f>DaybyDay[[#This Row],[Est-Retail-PayrollRU]]/DaybyDay[[#This Row],[Simple-Forecast-Retail]]</f>
        <v>#DIV/0!</v>
      </c>
      <c r="AW865" s="8"/>
      <c r="AX865" s="49"/>
      <c r="AY865" s="48"/>
      <c r="AZ865" s="47"/>
      <c r="BA865" s="47"/>
      <c r="BB865" s="47"/>
      <c r="BC865" s="47"/>
      <c r="BD865" s="47"/>
    </row>
    <row r="866" spans="3:56" hidden="1" x14ac:dyDescent="0.25">
      <c r="C866" s="26" t="str">
        <f>Tools!$C$1</f>
        <v>Example</v>
      </c>
      <c r="D866" s="27" t="s">
        <v>72</v>
      </c>
      <c r="E866" s="28">
        <v>2019</v>
      </c>
      <c r="F866" s="28">
        <f>MATCH(DaybyDay[[#This Row],[RowMonth]],Table3[SummaryMonth],0)</f>
        <v>5</v>
      </c>
      <c r="G866" s="29">
        <f>MATCH(DaybyDay[[#This Row],[LY-Date]],DaybyDay[Date],0)</f>
        <v>496</v>
      </c>
      <c r="H866" s="30">
        <f>WEEKDAY(DaybyDay[[#This Row],[Date]])</f>
        <v>6</v>
      </c>
      <c r="I866" s="31">
        <v>43595</v>
      </c>
      <c r="J866" s="74">
        <v>33</v>
      </c>
      <c r="K866" s="32">
        <f>SUMIFS(BudgetSeasonality[365 Seasonality],BudgetSeasonality[MonthAdjustment],DaybyDay[[#This Row],[Date]])*SUMIFS(Budgets[Service-Budget],Budgets[BudgetMonth],DaybyDay[[#This Row],[RowMonth]],Budgets[BudgetYear],DaybyDay[[#This Row],[RowYear]])</f>
        <v>5294.3962019280416</v>
      </c>
      <c r="L866" s="75">
        <v>5015.1899999999996</v>
      </c>
      <c r="M866" s="32">
        <f>INDEX(BudgetSeasonality[365 Seasonality],MATCH(DaybyDay[[#This Row],[Date]],BudgetSeasonality[MonthAdjustment],0))*SUMIFS(Budgets[Retail-Budget],Budgets[BudgetMonth],DaybyDay[[#This Row],[RowMonth]],Budgets[BudgetYear],DaybyDay[[#This Row],[RowYear]])</f>
        <v>1259.9892070158396</v>
      </c>
      <c r="N866" s="75">
        <v>832.35</v>
      </c>
      <c r="O866" s="33">
        <f>SUMIFS(DaybyDay[Service-Budgets],DaybyDay[Date],"&gt;="&amp;$C$5,DaybyDay[RowYear],"&gt;="&amp;$C$4,DaybyDay[Date],"&lt;="&amp;DaybyDay[[#This Row],[Date]])</f>
        <v>0</v>
      </c>
      <c r="P866" s="33">
        <f>SUMIFS(DaybyDay[Retail-Budgets],DaybyDay[Date],"&gt;="&amp;$C$5,DaybyDay[RowYear],"&gt;="&amp;$C$4,DaybyDay[Date],"&lt;="&amp;DaybyDay[[#This Row],[Date]])</f>
        <v>0</v>
      </c>
      <c r="Q866" s="34">
        <f>SUMIFS(DaybyDay[Service-Actuals],DaybyDay[Date],"&gt;="&amp;$C$5,DaybyDay[RowYear],"&gt;="&amp;$C$4,DaybyDay[Date],"&lt;="&amp;DaybyDay[[#This Row],[Date]])</f>
        <v>0</v>
      </c>
      <c r="R866" s="34">
        <f>SUMIFS(DaybyDay[Retail-Actuals],DaybyDay[Date],"&gt;="&amp;$C$5,DaybyDay[RowYear],"&gt;="&amp;$C$4,DaybyDay[Date],"&lt;="&amp;DaybyDay[[#This Row],[Date]])</f>
        <v>0</v>
      </c>
      <c r="S866" s="35">
        <f>SUMIFS(DaybyDay[Service-LY],DaybyDay[Date],"&gt;="&amp;$C$5,DaybyDay[RowYear],"&gt;="&amp;$C$4,DaybyDay[Date],"&lt;="&amp;DaybyDay[[#This Row],[Date]])</f>
        <v>0</v>
      </c>
      <c r="T866" s="35">
        <f>SUMIFS(DaybyDay[Retail-LY],DaybyDay[Date],"&gt;="&amp;$C$5,DaybyDay[RowYear],"&gt;="&amp;$C$4,DaybyDay[Date],"&lt;="&amp;DaybyDay[[#This Row],[Date]])</f>
        <v>0</v>
      </c>
      <c r="U866" s="32">
        <f>DaybyDay[[#This Row],[Serv-Bud-RU]]+DaybyDay[[#This Row],[Ret-Bud-RU]]</f>
        <v>0</v>
      </c>
      <c r="V866" s="32">
        <f>DaybyDay[[#This Row],[Serv-Act-RU]]+DaybyDay[[#This Row],[Ret-Act-RU]]</f>
        <v>0</v>
      </c>
      <c r="W866" s="36">
        <f>IF(DaybyDay[[#This Row],[_Space]],IFERROR(
((DaybyDay[[#This Row],[Actual-Rollup]]-DaybyDay[[#This Row],[Budget-Rollup]])/DaybyDay[[#This Row],[Budget-Rollup]]),0),"")</f>
        <v>0</v>
      </c>
      <c r="X866" t="b">
        <f>NOT(AND(ISBLANK(DaybyDay[[#This Row],[Appts]]),ISBLANK(DaybyDay[[#This Row],[Service-Actuals]]),ISBLANK(DaybyDay[[#This Row],[Retail-Actuals]])))</f>
        <v>1</v>
      </c>
      <c r="Y866" s="36">
        <f>IF(DaybyDay[[#This Row],[_Space]],IFERROR(
((DaybyDay[[#This Row],[Actual-Rollup]]-DaybyDay[[#This Row],[LY-Rollup]])/DaybyDay[[#This Row],[LY-Rollup]]),0),"")</f>
        <v>0</v>
      </c>
      <c r="Z866"/>
      <c r="AA866" s="37" t="e">
        <f>IF(DaybyDay[[#This Row],[_Space]],DaybyDay[[#This Row],[Ret-Act-RU]]/DaybyDay[[#This Row],[Serv-Act-RU]],"")</f>
        <v>#DIV/0!</v>
      </c>
      <c r="AB866" s="50" t="e">
        <f>IF(DaybyDay[[#This Row],[_Space]],DaybyDay[[#This Row],[RETPEN-Act]]/DaybyDay[[#This Row],[RETPEN-Bud]],"")</f>
        <v>#DIV/0!</v>
      </c>
      <c r="AC866" s="37" t="e">
        <f>IF(DaybyDay[[#This Row],[_Space]],DaybyDay[[#This Row],[Ret-Bud-RU]]/DaybyDay[[#This Row],[Serv-Bud-RU]],"")</f>
        <v>#DIV/0!</v>
      </c>
      <c r="AD866" s="37" t="e">
        <f>IF(DaybyDay[[#This Row],[_Space]],DaybyDay[[#This Row],[Ret-LY-RU]]/DaybyDay[[#This Row],[Serv-LY-RU]],"")</f>
        <v>#DIV/0!</v>
      </c>
      <c r="AE866" s="30">
        <f>WEEKDAY(DaybyDay[[#This Row],[LY-Date]])</f>
        <v>6</v>
      </c>
      <c r="AF866" s="38">
        <f>$E$2+_xlfn.DAYS(DaybyDay[[#This Row],[Date]],minDate)</f>
        <v>43231</v>
      </c>
      <c r="AG866" s="39" cm="1">
        <f t="array" ref="AG866">IFERROR(INDEX(DaybyDay[],DaybyDay[[#This Row],[FORM_MATCH_HELPER]],8),"")</f>
        <v>28</v>
      </c>
      <c r="AH866" s="39" cm="1">
        <f t="array" ref="AH866">IFERROR(INDEX(DaybyDay[],DaybyDay[[#This Row],[FORM_MATCH_HELPER]],10),"")</f>
        <v>6505.95</v>
      </c>
      <c r="AI866" s="39" cm="1">
        <f t="array" ref="AI866">IFERROR(INDEX(DaybyDay[],DaybyDay[[#This Row],[FORM_MATCH_HELPER]],12),"")</f>
        <v>1420.6</v>
      </c>
      <c r="AJ866" s="32">
        <f>IFERROR(DaybyDay[[#This Row],[Serv-LY-RU]]+DaybyDay[[#This Row],[Ret-LY-RU]],"")</f>
        <v>0</v>
      </c>
      <c r="AK8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6" s="77"/>
      <c r="AM866" s="40" t="str">
        <f>IF(DaybyDay[[#This Row],[Admin Hours]]&gt;0,DaybyDay[[#This Row],[Admin Hours]]*$AM$2+$AM$3,"")</f>
        <v/>
      </c>
      <c r="AN866" s="40">
        <f>SUMIFS(DaybyDay[Est-Admin-Payroll],DaybyDay[Date],"&gt;="&amp;$C$5,DaybyDay[RowYear],"&gt;="&amp;$C$4,DaybyDay[Date],"&lt;="&amp;DaybyDay[[#This Row],[Date]])</f>
        <v>0</v>
      </c>
      <c r="AO866" s="41" t="str">
        <f>IF(AND(DaybyDay[[#This Row],[_Space]],ISNUMBER(DaybyDay[[#This Row],[Admin Hours]])),DaybyDay[[#This Row],[Est-Admin-Payroll]]/(DaybyDay[[#This Row],[Service-Actuals]]+DaybyDay[[#This Row],[Retail-Actuals]]),"")</f>
        <v/>
      </c>
      <c r="AP866" s="41" t="e">
        <f>DaybyDay[[#This Row],[Estimated-Payroll-Rollup]]/DaybyDay[[#This Row],[Simple-Forecast]]</f>
        <v>#DIV/0!</v>
      </c>
      <c r="AQ8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6" s="77"/>
      <c r="AS866" s="40" t="str">
        <f>IF(DaybyDay[[#This Row],[Retail Hours]]&gt;0,DaybyDay[[#This Row],[Retail Hours]]*$AS$2,"")</f>
        <v/>
      </c>
      <c r="AT866" s="40">
        <f>SUMIFS(DaybyDay[Est-Retail-Payroll],DaybyDay[Date],"&gt;="&amp;$C$5,DaybyDay[RowYear],"&gt;="&amp;$C$4,DaybyDay[Date],"&lt;="&amp;DaybyDay[[#This Row],[Date]])</f>
        <v>0</v>
      </c>
      <c r="AU866" s="82" t="str">
        <f>IF(AND(DaybyDay[[#This Row],[_Space]],ISNUMBER(DaybyDay[[#This Row],[Retail Hours]])),DaybyDay[[#This Row],[Est-Retail-Payroll]]/(DaybyDay[[#This Row],[Retail-Actuals]]),"")</f>
        <v/>
      </c>
      <c r="AV866" s="82" t="e">
        <f>DaybyDay[[#This Row],[Est-Retail-PayrollRU]]/DaybyDay[[#This Row],[Simple-Forecast-Retail]]</f>
        <v>#DIV/0!</v>
      </c>
      <c r="AW866" s="8"/>
      <c r="AX866" s="49"/>
      <c r="AY866" s="48"/>
      <c r="AZ866" s="47"/>
      <c r="BA866" s="47"/>
      <c r="BB866" s="47"/>
      <c r="BC866" s="47"/>
      <c r="BD866" s="47"/>
    </row>
    <row r="867" spans="3:56" hidden="1" x14ac:dyDescent="0.25">
      <c r="C867" s="26" t="str">
        <f>Tools!$C$1</f>
        <v>Example</v>
      </c>
      <c r="D867" s="27" t="s">
        <v>72</v>
      </c>
      <c r="E867" s="28">
        <v>2019</v>
      </c>
      <c r="F867" s="28">
        <f>MATCH(DaybyDay[[#This Row],[RowMonth]],Table3[SummaryMonth],0)</f>
        <v>5</v>
      </c>
      <c r="G867" s="29">
        <f>MATCH(DaybyDay[[#This Row],[LY-Date]],DaybyDay[Date],0)</f>
        <v>497</v>
      </c>
      <c r="H867" s="30">
        <f>WEEKDAY(DaybyDay[[#This Row],[Date]])</f>
        <v>7</v>
      </c>
      <c r="I867" s="31">
        <v>43596</v>
      </c>
      <c r="J867" s="74">
        <v>53</v>
      </c>
      <c r="K867" s="32">
        <f>SUMIFS(BudgetSeasonality[365 Seasonality],BudgetSeasonality[MonthAdjustment],DaybyDay[[#This Row],[Date]])*SUMIFS(Budgets[Service-Budget],Budgets[BudgetMonth],DaybyDay[[#This Row],[RowMonth]],Budgets[BudgetYear],DaybyDay[[#This Row],[RowYear]])</f>
        <v>10089.206399683862</v>
      </c>
      <c r="L867" s="75">
        <v>9614.2900000000009</v>
      </c>
      <c r="M867" s="32">
        <f>INDEX(BudgetSeasonality[365 Seasonality],MATCH(DaybyDay[[#This Row],[Date]],BudgetSeasonality[MonthAdjustment],0))*SUMIFS(Budgets[Retail-Budget],Budgets[BudgetMonth],DaybyDay[[#This Row],[RowMonth]],Budgets[BudgetYear],DaybyDay[[#This Row],[RowYear]])</f>
        <v>2401.0842192594905</v>
      </c>
      <c r="N867" s="75">
        <v>1614</v>
      </c>
      <c r="O867" s="33">
        <f>SUMIFS(DaybyDay[Service-Budgets],DaybyDay[Date],"&gt;="&amp;$C$5,DaybyDay[RowYear],"&gt;="&amp;$C$4,DaybyDay[Date],"&lt;="&amp;DaybyDay[[#This Row],[Date]])</f>
        <v>0</v>
      </c>
      <c r="P867" s="33">
        <f>SUMIFS(DaybyDay[Retail-Budgets],DaybyDay[Date],"&gt;="&amp;$C$5,DaybyDay[RowYear],"&gt;="&amp;$C$4,DaybyDay[Date],"&lt;="&amp;DaybyDay[[#This Row],[Date]])</f>
        <v>0</v>
      </c>
      <c r="Q867" s="34">
        <f>SUMIFS(DaybyDay[Service-Actuals],DaybyDay[Date],"&gt;="&amp;$C$5,DaybyDay[RowYear],"&gt;="&amp;$C$4,DaybyDay[Date],"&lt;="&amp;DaybyDay[[#This Row],[Date]])</f>
        <v>0</v>
      </c>
      <c r="R867" s="34">
        <f>SUMIFS(DaybyDay[Retail-Actuals],DaybyDay[Date],"&gt;="&amp;$C$5,DaybyDay[RowYear],"&gt;="&amp;$C$4,DaybyDay[Date],"&lt;="&amp;DaybyDay[[#This Row],[Date]])</f>
        <v>0</v>
      </c>
      <c r="S867" s="35">
        <f>SUMIFS(DaybyDay[Service-LY],DaybyDay[Date],"&gt;="&amp;$C$5,DaybyDay[RowYear],"&gt;="&amp;$C$4,DaybyDay[Date],"&lt;="&amp;DaybyDay[[#This Row],[Date]])</f>
        <v>0</v>
      </c>
      <c r="T867" s="35">
        <f>SUMIFS(DaybyDay[Retail-LY],DaybyDay[Date],"&gt;="&amp;$C$5,DaybyDay[RowYear],"&gt;="&amp;$C$4,DaybyDay[Date],"&lt;="&amp;DaybyDay[[#This Row],[Date]])</f>
        <v>0</v>
      </c>
      <c r="U867" s="32">
        <f>DaybyDay[[#This Row],[Serv-Bud-RU]]+DaybyDay[[#This Row],[Ret-Bud-RU]]</f>
        <v>0</v>
      </c>
      <c r="V867" s="32">
        <f>DaybyDay[[#This Row],[Serv-Act-RU]]+DaybyDay[[#This Row],[Ret-Act-RU]]</f>
        <v>0</v>
      </c>
      <c r="W867" s="36">
        <f>IF(DaybyDay[[#This Row],[_Space]],IFERROR(
((DaybyDay[[#This Row],[Actual-Rollup]]-DaybyDay[[#This Row],[Budget-Rollup]])/DaybyDay[[#This Row],[Budget-Rollup]]),0),"")</f>
        <v>0</v>
      </c>
      <c r="X867" t="b">
        <f>NOT(AND(ISBLANK(DaybyDay[[#This Row],[Appts]]),ISBLANK(DaybyDay[[#This Row],[Service-Actuals]]),ISBLANK(DaybyDay[[#This Row],[Retail-Actuals]])))</f>
        <v>1</v>
      </c>
      <c r="Y867" s="36">
        <f>IF(DaybyDay[[#This Row],[_Space]],IFERROR(
((DaybyDay[[#This Row],[Actual-Rollup]]-DaybyDay[[#This Row],[LY-Rollup]])/DaybyDay[[#This Row],[LY-Rollup]]),0),"")</f>
        <v>0</v>
      </c>
      <c r="Z867"/>
      <c r="AA867" s="37" t="e">
        <f>IF(DaybyDay[[#This Row],[_Space]],DaybyDay[[#This Row],[Ret-Act-RU]]/DaybyDay[[#This Row],[Serv-Act-RU]],"")</f>
        <v>#DIV/0!</v>
      </c>
      <c r="AB867" s="50" t="e">
        <f>IF(DaybyDay[[#This Row],[_Space]],DaybyDay[[#This Row],[RETPEN-Act]]/DaybyDay[[#This Row],[RETPEN-Bud]],"")</f>
        <v>#DIV/0!</v>
      </c>
      <c r="AC867" s="37" t="e">
        <f>IF(DaybyDay[[#This Row],[_Space]],DaybyDay[[#This Row],[Ret-Bud-RU]]/DaybyDay[[#This Row],[Serv-Bud-RU]],"")</f>
        <v>#DIV/0!</v>
      </c>
      <c r="AD867" s="37" t="e">
        <f>IF(DaybyDay[[#This Row],[_Space]],DaybyDay[[#This Row],[Ret-LY-RU]]/DaybyDay[[#This Row],[Serv-LY-RU]],"")</f>
        <v>#DIV/0!</v>
      </c>
      <c r="AE867" s="30">
        <f>WEEKDAY(DaybyDay[[#This Row],[LY-Date]])</f>
        <v>7</v>
      </c>
      <c r="AF867" s="38">
        <f>$E$2+_xlfn.DAYS(DaybyDay[[#This Row],[Date]],minDate)</f>
        <v>43232</v>
      </c>
      <c r="AG867" s="39" cm="1">
        <f t="array" ref="AG867">IFERROR(INDEX(DaybyDay[],DaybyDay[[#This Row],[FORM_MATCH_HELPER]],8),"")</f>
        <v>20</v>
      </c>
      <c r="AH867" s="39" cm="1">
        <f t="array" ref="AH867">IFERROR(INDEX(DaybyDay[],DaybyDay[[#This Row],[FORM_MATCH_HELPER]],10),"")</f>
        <v>7951</v>
      </c>
      <c r="AI867" s="39" cm="1">
        <f t="array" ref="AI867">IFERROR(INDEX(DaybyDay[],DaybyDay[[#This Row],[FORM_MATCH_HELPER]],12),"")</f>
        <v>3344.4</v>
      </c>
      <c r="AJ867" s="32">
        <f>IFERROR(DaybyDay[[#This Row],[Serv-LY-RU]]+DaybyDay[[#This Row],[Ret-LY-RU]],"")</f>
        <v>0</v>
      </c>
      <c r="AK8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7" s="77"/>
      <c r="AM867" s="40" t="str">
        <f>IF(DaybyDay[[#This Row],[Admin Hours]]&gt;0,DaybyDay[[#This Row],[Admin Hours]]*$AM$2+$AM$3,"")</f>
        <v/>
      </c>
      <c r="AN867" s="40">
        <f>SUMIFS(DaybyDay[Est-Admin-Payroll],DaybyDay[Date],"&gt;="&amp;$C$5,DaybyDay[RowYear],"&gt;="&amp;$C$4,DaybyDay[Date],"&lt;="&amp;DaybyDay[[#This Row],[Date]])</f>
        <v>0</v>
      </c>
      <c r="AO867" s="41" t="str">
        <f>IF(AND(DaybyDay[[#This Row],[_Space]],ISNUMBER(DaybyDay[[#This Row],[Admin Hours]])),DaybyDay[[#This Row],[Est-Admin-Payroll]]/(DaybyDay[[#This Row],[Service-Actuals]]+DaybyDay[[#This Row],[Retail-Actuals]]),"")</f>
        <v/>
      </c>
      <c r="AP867" s="41" t="e">
        <f>DaybyDay[[#This Row],[Estimated-Payroll-Rollup]]/DaybyDay[[#This Row],[Simple-Forecast]]</f>
        <v>#DIV/0!</v>
      </c>
      <c r="AQ8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7" s="77"/>
      <c r="AS867" s="40" t="str">
        <f>IF(DaybyDay[[#This Row],[Retail Hours]]&gt;0,DaybyDay[[#This Row],[Retail Hours]]*$AS$2,"")</f>
        <v/>
      </c>
      <c r="AT867" s="40">
        <f>SUMIFS(DaybyDay[Est-Retail-Payroll],DaybyDay[Date],"&gt;="&amp;$C$5,DaybyDay[RowYear],"&gt;="&amp;$C$4,DaybyDay[Date],"&lt;="&amp;DaybyDay[[#This Row],[Date]])</f>
        <v>0</v>
      </c>
      <c r="AU867" s="82" t="str">
        <f>IF(AND(DaybyDay[[#This Row],[_Space]],ISNUMBER(DaybyDay[[#This Row],[Retail Hours]])),DaybyDay[[#This Row],[Est-Retail-Payroll]]/(DaybyDay[[#This Row],[Retail-Actuals]]),"")</f>
        <v/>
      </c>
      <c r="AV867" s="82" t="e">
        <f>DaybyDay[[#This Row],[Est-Retail-PayrollRU]]/DaybyDay[[#This Row],[Simple-Forecast-Retail]]</f>
        <v>#DIV/0!</v>
      </c>
      <c r="AW867" s="8"/>
      <c r="AX867" s="49"/>
      <c r="AY867" s="48"/>
      <c r="AZ867" s="47"/>
      <c r="BA867" s="47"/>
      <c r="BB867" s="47"/>
      <c r="BC867" s="47"/>
      <c r="BD867" s="47"/>
    </row>
    <row r="868" spans="3:56" hidden="1" x14ac:dyDescent="0.25">
      <c r="C868" s="26" t="str">
        <f>Tools!$C$1</f>
        <v>Example</v>
      </c>
      <c r="D868" s="27" t="s">
        <v>72</v>
      </c>
      <c r="E868" s="28">
        <v>2019</v>
      </c>
      <c r="F868" s="28">
        <f>MATCH(DaybyDay[[#This Row],[RowMonth]],Table3[SummaryMonth],0)</f>
        <v>5</v>
      </c>
      <c r="G868" s="29">
        <f>MATCH(DaybyDay[[#This Row],[LY-Date]],DaybyDay[Date],0)</f>
        <v>498</v>
      </c>
      <c r="H868" s="30">
        <f>WEEKDAY(DaybyDay[[#This Row],[Date]])</f>
        <v>1</v>
      </c>
      <c r="I868" s="31">
        <v>43597</v>
      </c>
      <c r="J868" s="74">
        <v>41</v>
      </c>
      <c r="K868" s="32">
        <f>SUMIFS(BudgetSeasonality[365 Seasonality],BudgetSeasonality[MonthAdjustment],DaybyDay[[#This Row],[Date]])*SUMIFS(Budgets[Service-Budget],Budgets[BudgetMonth],DaybyDay[[#This Row],[RowMonth]],Budgets[BudgetYear],DaybyDay[[#This Row],[RowYear]])</f>
        <v>8947.6396523140484</v>
      </c>
      <c r="L868" s="75">
        <v>10386.6</v>
      </c>
      <c r="M868" s="32">
        <f>INDEX(BudgetSeasonality[365 Seasonality],MATCH(DaybyDay[[#This Row],[Date]],BudgetSeasonality[MonthAdjustment],0))*SUMIFS(Budgets[Retail-Budget],Budgets[BudgetMonth],DaybyDay[[#This Row],[RowMonth]],Budgets[BudgetYear],DaybyDay[[#This Row],[RowYear]])</f>
        <v>2129.4079551653263</v>
      </c>
      <c r="N868" s="75">
        <v>1135.49</v>
      </c>
      <c r="O868" s="33">
        <f>SUMIFS(DaybyDay[Service-Budgets],DaybyDay[Date],"&gt;="&amp;$C$5,DaybyDay[RowYear],"&gt;="&amp;$C$4,DaybyDay[Date],"&lt;="&amp;DaybyDay[[#This Row],[Date]])</f>
        <v>0</v>
      </c>
      <c r="P868" s="33">
        <f>SUMIFS(DaybyDay[Retail-Budgets],DaybyDay[Date],"&gt;="&amp;$C$5,DaybyDay[RowYear],"&gt;="&amp;$C$4,DaybyDay[Date],"&lt;="&amp;DaybyDay[[#This Row],[Date]])</f>
        <v>0</v>
      </c>
      <c r="Q868" s="34">
        <f>SUMIFS(DaybyDay[Service-Actuals],DaybyDay[Date],"&gt;="&amp;$C$5,DaybyDay[RowYear],"&gt;="&amp;$C$4,DaybyDay[Date],"&lt;="&amp;DaybyDay[[#This Row],[Date]])</f>
        <v>0</v>
      </c>
      <c r="R868" s="34">
        <f>SUMIFS(DaybyDay[Retail-Actuals],DaybyDay[Date],"&gt;="&amp;$C$5,DaybyDay[RowYear],"&gt;="&amp;$C$4,DaybyDay[Date],"&lt;="&amp;DaybyDay[[#This Row],[Date]])</f>
        <v>0</v>
      </c>
      <c r="S868" s="35">
        <f>SUMIFS(DaybyDay[Service-LY],DaybyDay[Date],"&gt;="&amp;$C$5,DaybyDay[RowYear],"&gt;="&amp;$C$4,DaybyDay[Date],"&lt;="&amp;DaybyDay[[#This Row],[Date]])</f>
        <v>0</v>
      </c>
      <c r="T868" s="35">
        <f>SUMIFS(DaybyDay[Retail-LY],DaybyDay[Date],"&gt;="&amp;$C$5,DaybyDay[RowYear],"&gt;="&amp;$C$4,DaybyDay[Date],"&lt;="&amp;DaybyDay[[#This Row],[Date]])</f>
        <v>0</v>
      </c>
      <c r="U868" s="32">
        <f>DaybyDay[[#This Row],[Serv-Bud-RU]]+DaybyDay[[#This Row],[Ret-Bud-RU]]</f>
        <v>0</v>
      </c>
      <c r="V868" s="32">
        <f>DaybyDay[[#This Row],[Serv-Act-RU]]+DaybyDay[[#This Row],[Ret-Act-RU]]</f>
        <v>0</v>
      </c>
      <c r="W868" s="36">
        <f>IF(DaybyDay[[#This Row],[_Space]],IFERROR(
((DaybyDay[[#This Row],[Actual-Rollup]]-DaybyDay[[#This Row],[Budget-Rollup]])/DaybyDay[[#This Row],[Budget-Rollup]]),0),"")</f>
        <v>0</v>
      </c>
      <c r="X868" t="b">
        <f>NOT(AND(ISBLANK(DaybyDay[[#This Row],[Appts]]),ISBLANK(DaybyDay[[#This Row],[Service-Actuals]]),ISBLANK(DaybyDay[[#This Row],[Retail-Actuals]])))</f>
        <v>1</v>
      </c>
      <c r="Y868" s="36">
        <f>IF(DaybyDay[[#This Row],[_Space]],IFERROR(
((DaybyDay[[#This Row],[Actual-Rollup]]-DaybyDay[[#This Row],[LY-Rollup]])/DaybyDay[[#This Row],[LY-Rollup]]),0),"")</f>
        <v>0</v>
      </c>
      <c r="Z868"/>
      <c r="AA868" s="37" t="e">
        <f>IF(DaybyDay[[#This Row],[_Space]],DaybyDay[[#This Row],[Ret-Act-RU]]/DaybyDay[[#This Row],[Serv-Act-RU]],"")</f>
        <v>#DIV/0!</v>
      </c>
      <c r="AB868" s="50" t="e">
        <f>IF(DaybyDay[[#This Row],[_Space]],DaybyDay[[#This Row],[RETPEN-Act]]/DaybyDay[[#This Row],[RETPEN-Bud]],"")</f>
        <v>#DIV/0!</v>
      </c>
      <c r="AC868" s="37" t="e">
        <f>IF(DaybyDay[[#This Row],[_Space]],DaybyDay[[#This Row],[Ret-Bud-RU]]/DaybyDay[[#This Row],[Serv-Bud-RU]],"")</f>
        <v>#DIV/0!</v>
      </c>
      <c r="AD868" s="37" t="e">
        <f>IF(DaybyDay[[#This Row],[_Space]],DaybyDay[[#This Row],[Ret-LY-RU]]/DaybyDay[[#This Row],[Serv-LY-RU]],"")</f>
        <v>#DIV/0!</v>
      </c>
      <c r="AE868" s="30">
        <f>WEEKDAY(DaybyDay[[#This Row],[LY-Date]])</f>
        <v>1</v>
      </c>
      <c r="AF868" s="38">
        <f>$E$2+_xlfn.DAYS(DaybyDay[[#This Row],[Date]],minDate)</f>
        <v>43233</v>
      </c>
      <c r="AG868" s="39" cm="1">
        <f t="array" ref="AG868">IFERROR(INDEX(DaybyDay[],DaybyDay[[#This Row],[FORM_MATCH_HELPER]],8),"")</f>
        <v>37</v>
      </c>
      <c r="AH868" s="39" cm="1">
        <f t="array" ref="AH868">IFERROR(INDEX(DaybyDay[],DaybyDay[[#This Row],[FORM_MATCH_HELPER]],10),"")</f>
        <v>7349</v>
      </c>
      <c r="AI868" s="39" cm="1">
        <f t="array" ref="AI868">IFERROR(INDEX(DaybyDay[],DaybyDay[[#This Row],[FORM_MATCH_HELPER]],12),"")</f>
        <v>2514.5</v>
      </c>
      <c r="AJ868" s="32">
        <f>IFERROR(DaybyDay[[#This Row],[Serv-LY-RU]]+DaybyDay[[#This Row],[Ret-LY-RU]],"")</f>
        <v>0</v>
      </c>
      <c r="AK8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8" s="77"/>
      <c r="AM868" s="40" t="str">
        <f>IF(DaybyDay[[#This Row],[Admin Hours]]&gt;0,DaybyDay[[#This Row],[Admin Hours]]*$AM$2+$AM$3,"")</f>
        <v/>
      </c>
      <c r="AN868" s="40">
        <f>SUMIFS(DaybyDay[Est-Admin-Payroll],DaybyDay[Date],"&gt;="&amp;$C$5,DaybyDay[RowYear],"&gt;="&amp;$C$4,DaybyDay[Date],"&lt;="&amp;DaybyDay[[#This Row],[Date]])</f>
        <v>0</v>
      </c>
      <c r="AO868" s="41" t="str">
        <f>IF(AND(DaybyDay[[#This Row],[_Space]],ISNUMBER(DaybyDay[[#This Row],[Admin Hours]])),DaybyDay[[#This Row],[Est-Admin-Payroll]]/(DaybyDay[[#This Row],[Service-Actuals]]+DaybyDay[[#This Row],[Retail-Actuals]]),"")</f>
        <v/>
      </c>
      <c r="AP868" s="41" t="e">
        <f>DaybyDay[[#This Row],[Estimated-Payroll-Rollup]]/DaybyDay[[#This Row],[Simple-Forecast]]</f>
        <v>#DIV/0!</v>
      </c>
      <c r="AQ8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8" s="77"/>
      <c r="AS868" s="40" t="str">
        <f>IF(DaybyDay[[#This Row],[Retail Hours]]&gt;0,DaybyDay[[#This Row],[Retail Hours]]*$AS$2,"")</f>
        <v/>
      </c>
      <c r="AT868" s="40">
        <f>SUMIFS(DaybyDay[Est-Retail-Payroll],DaybyDay[Date],"&gt;="&amp;$C$5,DaybyDay[RowYear],"&gt;="&amp;$C$4,DaybyDay[Date],"&lt;="&amp;DaybyDay[[#This Row],[Date]])</f>
        <v>0</v>
      </c>
      <c r="AU868" s="82" t="str">
        <f>IF(AND(DaybyDay[[#This Row],[_Space]],ISNUMBER(DaybyDay[[#This Row],[Retail Hours]])),DaybyDay[[#This Row],[Est-Retail-Payroll]]/(DaybyDay[[#This Row],[Retail-Actuals]]),"")</f>
        <v/>
      </c>
      <c r="AV868" s="82" t="e">
        <f>DaybyDay[[#This Row],[Est-Retail-PayrollRU]]/DaybyDay[[#This Row],[Simple-Forecast-Retail]]</f>
        <v>#DIV/0!</v>
      </c>
      <c r="AW868" s="8"/>
      <c r="AX868" s="49"/>
      <c r="AY868" s="48"/>
      <c r="AZ868" s="47"/>
      <c r="BA868" s="47"/>
      <c r="BB868" s="47"/>
      <c r="BC868" s="47"/>
      <c r="BD868" s="47"/>
    </row>
    <row r="869" spans="3:56" hidden="1" x14ac:dyDescent="0.25">
      <c r="C869" s="26" t="str">
        <f>Tools!$C$1</f>
        <v>Example</v>
      </c>
      <c r="D869" s="27" t="s">
        <v>72</v>
      </c>
      <c r="E869" s="28">
        <v>2019</v>
      </c>
      <c r="F869" s="28">
        <f>MATCH(DaybyDay[[#This Row],[RowMonth]],Table3[SummaryMonth],0)</f>
        <v>5</v>
      </c>
      <c r="G869" s="29">
        <f>MATCH(DaybyDay[[#This Row],[LY-Date]],DaybyDay[Date],0)</f>
        <v>499</v>
      </c>
      <c r="H869" s="30">
        <f>WEEKDAY(DaybyDay[[#This Row],[Date]])</f>
        <v>2</v>
      </c>
      <c r="I869" s="31">
        <v>43598</v>
      </c>
      <c r="J869" s="74">
        <v>13</v>
      </c>
      <c r="K869" s="32">
        <f>SUMIFS(BudgetSeasonality[365 Seasonality],BudgetSeasonality[MonthAdjustment],DaybyDay[[#This Row],[Date]])*SUMIFS(Budgets[Service-Budget],Budgets[BudgetMonth],DaybyDay[[#This Row],[RowMonth]],Budgets[BudgetYear],DaybyDay[[#This Row],[RowYear]])</f>
        <v>4042.1222548835267</v>
      </c>
      <c r="L869" s="75">
        <v>2778</v>
      </c>
      <c r="M869" s="32">
        <f>INDEX(BudgetSeasonality[365 Seasonality],MATCH(DaybyDay[[#This Row],[Date]],BudgetSeasonality[MonthAdjustment],0))*SUMIFS(Budgets[Retail-Budget],Budgets[BudgetMonth],DaybyDay[[#This Row],[RowMonth]],Budgets[BudgetYear],DaybyDay[[#This Row],[RowYear]])</f>
        <v>961.96624135100831</v>
      </c>
      <c r="N869" s="75">
        <v>2259</v>
      </c>
      <c r="O869" s="33">
        <f>SUMIFS(DaybyDay[Service-Budgets],DaybyDay[Date],"&gt;="&amp;$C$5,DaybyDay[RowYear],"&gt;="&amp;$C$4,DaybyDay[Date],"&lt;="&amp;DaybyDay[[#This Row],[Date]])</f>
        <v>0</v>
      </c>
      <c r="P869" s="33">
        <f>SUMIFS(DaybyDay[Retail-Budgets],DaybyDay[Date],"&gt;="&amp;$C$5,DaybyDay[RowYear],"&gt;="&amp;$C$4,DaybyDay[Date],"&lt;="&amp;DaybyDay[[#This Row],[Date]])</f>
        <v>0</v>
      </c>
      <c r="Q869" s="34">
        <f>SUMIFS(DaybyDay[Service-Actuals],DaybyDay[Date],"&gt;="&amp;$C$5,DaybyDay[RowYear],"&gt;="&amp;$C$4,DaybyDay[Date],"&lt;="&amp;DaybyDay[[#This Row],[Date]])</f>
        <v>0</v>
      </c>
      <c r="R869" s="34">
        <f>SUMIFS(DaybyDay[Retail-Actuals],DaybyDay[Date],"&gt;="&amp;$C$5,DaybyDay[RowYear],"&gt;="&amp;$C$4,DaybyDay[Date],"&lt;="&amp;DaybyDay[[#This Row],[Date]])</f>
        <v>0</v>
      </c>
      <c r="S869" s="35">
        <f>SUMIFS(DaybyDay[Service-LY],DaybyDay[Date],"&gt;="&amp;$C$5,DaybyDay[RowYear],"&gt;="&amp;$C$4,DaybyDay[Date],"&lt;="&amp;DaybyDay[[#This Row],[Date]])</f>
        <v>0</v>
      </c>
      <c r="T869" s="35">
        <f>SUMIFS(DaybyDay[Retail-LY],DaybyDay[Date],"&gt;="&amp;$C$5,DaybyDay[RowYear],"&gt;="&amp;$C$4,DaybyDay[Date],"&lt;="&amp;DaybyDay[[#This Row],[Date]])</f>
        <v>0</v>
      </c>
      <c r="U869" s="32">
        <f>DaybyDay[[#This Row],[Serv-Bud-RU]]+DaybyDay[[#This Row],[Ret-Bud-RU]]</f>
        <v>0</v>
      </c>
      <c r="V869" s="32">
        <f>DaybyDay[[#This Row],[Serv-Act-RU]]+DaybyDay[[#This Row],[Ret-Act-RU]]</f>
        <v>0</v>
      </c>
      <c r="W869" s="36">
        <f>IF(DaybyDay[[#This Row],[_Space]],IFERROR(
((DaybyDay[[#This Row],[Actual-Rollup]]-DaybyDay[[#This Row],[Budget-Rollup]])/DaybyDay[[#This Row],[Budget-Rollup]]),0),"")</f>
        <v>0</v>
      </c>
      <c r="X869" t="b">
        <f>NOT(AND(ISBLANK(DaybyDay[[#This Row],[Appts]]),ISBLANK(DaybyDay[[#This Row],[Service-Actuals]]),ISBLANK(DaybyDay[[#This Row],[Retail-Actuals]])))</f>
        <v>1</v>
      </c>
      <c r="Y869" s="36">
        <f>IF(DaybyDay[[#This Row],[_Space]],IFERROR(
((DaybyDay[[#This Row],[Actual-Rollup]]-DaybyDay[[#This Row],[LY-Rollup]])/DaybyDay[[#This Row],[LY-Rollup]]),0),"")</f>
        <v>0</v>
      </c>
      <c r="Z869"/>
      <c r="AA869" s="37" t="e">
        <f>IF(DaybyDay[[#This Row],[_Space]],DaybyDay[[#This Row],[Ret-Act-RU]]/DaybyDay[[#This Row],[Serv-Act-RU]],"")</f>
        <v>#DIV/0!</v>
      </c>
      <c r="AB869" s="50" t="e">
        <f>IF(DaybyDay[[#This Row],[_Space]],DaybyDay[[#This Row],[RETPEN-Act]]/DaybyDay[[#This Row],[RETPEN-Bud]],"")</f>
        <v>#DIV/0!</v>
      </c>
      <c r="AC869" s="37" t="e">
        <f>IF(DaybyDay[[#This Row],[_Space]],DaybyDay[[#This Row],[Ret-Bud-RU]]/DaybyDay[[#This Row],[Serv-Bud-RU]],"")</f>
        <v>#DIV/0!</v>
      </c>
      <c r="AD869" s="37" t="e">
        <f>IF(DaybyDay[[#This Row],[_Space]],DaybyDay[[#This Row],[Ret-LY-RU]]/DaybyDay[[#This Row],[Serv-LY-RU]],"")</f>
        <v>#DIV/0!</v>
      </c>
      <c r="AE869" s="30">
        <f>WEEKDAY(DaybyDay[[#This Row],[LY-Date]])</f>
        <v>2</v>
      </c>
      <c r="AF869" s="38">
        <f>$E$2+_xlfn.DAYS(DaybyDay[[#This Row],[Date]],minDate)</f>
        <v>43234</v>
      </c>
      <c r="AG869" s="39" cm="1">
        <f t="array" ref="AG869">IFERROR(INDEX(DaybyDay[],DaybyDay[[#This Row],[FORM_MATCH_HELPER]],8),"")</f>
        <v>15</v>
      </c>
      <c r="AH869" s="39" cm="1">
        <f t="array" ref="AH869">IFERROR(INDEX(DaybyDay[],DaybyDay[[#This Row],[FORM_MATCH_HELPER]],10),"")</f>
        <v>3354.75</v>
      </c>
      <c r="AI869" s="39" cm="1">
        <f t="array" ref="AI869">IFERROR(INDEX(DaybyDay[],DaybyDay[[#This Row],[FORM_MATCH_HELPER]],12),"")</f>
        <v>710.2</v>
      </c>
      <c r="AJ869" s="32">
        <f>IFERROR(DaybyDay[[#This Row],[Serv-LY-RU]]+DaybyDay[[#This Row],[Ret-LY-RU]],"")</f>
        <v>0</v>
      </c>
      <c r="AK8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69" s="77"/>
      <c r="AM869" s="40" t="str">
        <f>IF(DaybyDay[[#This Row],[Admin Hours]]&gt;0,DaybyDay[[#This Row],[Admin Hours]]*$AM$2+$AM$3,"")</f>
        <v/>
      </c>
      <c r="AN869" s="40">
        <f>SUMIFS(DaybyDay[Est-Admin-Payroll],DaybyDay[Date],"&gt;="&amp;$C$5,DaybyDay[RowYear],"&gt;="&amp;$C$4,DaybyDay[Date],"&lt;="&amp;DaybyDay[[#This Row],[Date]])</f>
        <v>0</v>
      </c>
      <c r="AO869" s="41" t="str">
        <f>IF(AND(DaybyDay[[#This Row],[_Space]],ISNUMBER(DaybyDay[[#This Row],[Admin Hours]])),DaybyDay[[#This Row],[Est-Admin-Payroll]]/(DaybyDay[[#This Row],[Service-Actuals]]+DaybyDay[[#This Row],[Retail-Actuals]]),"")</f>
        <v/>
      </c>
      <c r="AP869" s="41" t="e">
        <f>DaybyDay[[#This Row],[Estimated-Payroll-Rollup]]/DaybyDay[[#This Row],[Simple-Forecast]]</f>
        <v>#DIV/0!</v>
      </c>
      <c r="AQ8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69" s="77"/>
      <c r="AS869" s="40" t="str">
        <f>IF(DaybyDay[[#This Row],[Retail Hours]]&gt;0,DaybyDay[[#This Row],[Retail Hours]]*$AS$2,"")</f>
        <v/>
      </c>
      <c r="AT869" s="40">
        <f>SUMIFS(DaybyDay[Est-Retail-Payroll],DaybyDay[Date],"&gt;="&amp;$C$5,DaybyDay[RowYear],"&gt;="&amp;$C$4,DaybyDay[Date],"&lt;="&amp;DaybyDay[[#This Row],[Date]])</f>
        <v>0</v>
      </c>
      <c r="AU869" s="82" t="str">
        <f>IF(AND(DaybyDay[[#This Row],[_Space]],ISNUMBER(DaybyDay[[#This Row],[Retail Hours]])),DaybyDay[[#This Row],[Est-Retail-Payroll]]/(DaybyDay[[#This Row],[Retail-Actuals]]),"")</f>
        <v/>
      </c>
      <c r="AV869" s="82" t="e">
        <f>DaybyDay[[#This Row],[Est-Retail-PayrollRU]]/DaybyDay[[#This Row],[Simple-Forecast-Retail]]</f>
        <v>#DIV/0!</v>
      </c>
      <c r="AW869" s="8"/>
      <c r="AX869" s="49"/>
      <c r="AY869" s="48"/>
      <c r="AZ869" s="47"/>
      <c r="BA869" s="47"/>
      <c r="BB869" s="47"/>
      <c r="BC869" s="47"/>
      <c r="BD869" s="47"/>
    </row>
    <row r="870" spans="3:56" hidden="1" x14ac:dyDescent="0.25">
      <c r="C870" s="26" t="str">
        <f>Tools!$C$1</f>
        <v>Example</v>
      </c>
      <c r="D870" s="27" t="s">
        <v>72</v>
      </c>
      <c r="E870" s="28">
        <v>2019</v>
      </c>
      <c r="F870" s="28">
        <f>MATCH(DaybyDay[[#This Row],[RowMonth]],Table3[SummaryMonth],0)</f>
        <v>5</v>
      </c>
      <c r="G870" s="29">
        <f>MATCH(DaybyDay[[#This Row],[LY-Date]],DaybyDay[Date],0)</f>
        <v>500</v>
      </c>
      <c r="H870" s="30">
        <f>WEEKDAY(DaybyDay[[#This Row],[Date]])</f>
        <v>3</v>
      </c>
      <c r="I870" s="31">
        <v>43599</v>
      </c>
      <c r="J870" s="74">
        <v>16</v>
      </c>
      <c r="K870" s="32">
        <f>SUMIFS(BudgetSeasonality[365 Seasonality],BudgetSeasonality[MonthAdjustment],DaybyDay[[#This Row],[Date]])*SUMIFS(Budgets[Service-Budget],Budgets[BudgetMonth],DaybyDay[[#This Row],[RowMonth]],Budgets[BudgetYear],DaybyDay[[#This Row],[RowYear]])</f>
        <v>3781.283300328791</v>
      </c>
      <c r="L870" s="75">
        <v>3749</v>
      </c>
      <c r="M870" s="32">
        <f>INDEX(BudgetSeasonality[365 Seasonality],MATCH(DaybyDay[[#This Row],[Date]],BudgetSeasonality[MonthAdjustment],0))*SUMIFS(Budgets[Retail-Budget],Budgets[BudgetMonth],DaybyDay[[#This Row],[RowMonth]],Budgets[BudgetYear],DaybyDay[[#This Row],[RowYear]])</f>
        <v>899.89036811194524</v>
      </c>
      <c r="N870" s="75">
        <v>1057.97</v>
      </c>
      <c r="O870" s="33">
        <f>SUMIFS(DaybyDay[Service-Budgets],DaybyDay[Date],"&gt;="&amp;$C$5,DaybyDay[RowYear],"&gt;="&amp;$C$4,DaybyDay[Date],"&lt;="&amp;DaybyDay[[#This Row],[Date]])</f>
        <v>0</v>
      </c>
      <c r="P870" s="33">
        <f>SUMIFS(DaybyDay[Retail-Budgets],DaybyDay[Date],"&gt;="&amp;$C$5,DaybyDay[RowYear],"&gt;="&amp;$C$4,DaybyDay[Date],"&lt;="&amp;DaybyDay[[#This Row],[Date]])</f>
        <v>0</v>
      </c>
      <c r="Q870" s="34">
        <f>SUMIFS(DaybyDay[Service-Actuals],DaybyDay[Date],"&gt;="&amp;$C$5,DaybyDay[RowYear],"&gt;="&amp;$C$4,DaybyDay[Date],"&lt;="&amp;DaybyDay[[#This Row],[Date]])</f>
        <v>0</v>
      </c>
      <c r="R870" s="34">
        <f>SUMIFS(DaybyDay[Retail-Actuals],DaybyDay[Date],"&gt;="&amp;$C$5,DaybyDay[RowYear],"&gt;="&amp;$C$4,DaybyDay[Date],"&lt;="&amp;DaybyDay[[#This Row],[Date]])</f>
        <v>0</v>
      </c>
      <c r="S870" s="35">
        <f>SUMIFS(DaybyDay[Service-LY],DaybyDay[Date],"&gt;="&amp;$C$5,DaybyDay[RowYear],"&gt;="&amp;$C$4,DaybyDay[Date],"&lt;="&amp;DaybyDay[[#This Row],[Date]])</f>
        <v>0</v>
      </c>
      <c r="T870" s="35">
        <f>SUMIFS(DaybyDay[Retail-LY],DaybyDay[Date],"&gt;="&amp;$C$5,DaybyDay[RowYear],"&gt;="&amp;$C$4,DaybyDay[Date],"&lt;="&amp;DaybyDay[[#This Row],[Date]])</f>
        <v>0</v>
      </c>
      <c r="U870" s="32">
        <f>DaybyDay[[#This Row],[Serv-Bud-RU]]+DaybyDay[[#This Row],[Ret-Bud-RU]]</f>
        <v>0</v>
      </c>
      <c r="V870" s="32">
        <f>DaybyDay[[#This Row],[Serv-Act-RU]]+DaybyDay[[#This Row],[Ret-Act-RU]]</f>
        <v>0</v>
      </c>
      <c r="W870" s="36">
        <f>IF(DaybyDay[[#This Row],[_Space]],IFERROR(
((DaybyDay[[#This Row],[Actual-Rollup]]-DaybyDay[[#This Row],[Budget-Rollup]])/DaybyDay[[#This Row],[Budget-Rollup]]),0),"")</f>
        <v>0</v>
      </c>
      <c r="X870" t="b">
        <f>NOT(AND(ISBLANK(DaybyDay[[#This Row],[Appts]]),ISBLANK(DaybyDay[[#This Row],[Service-Actuals]]),ISBLANK(DaybyDay[[#This Row],[Retail-Actuals]])))</f>
        <v>1</v>
      </c>
      <c r="Y870" s="36">
        <f>IF(DaybyDay[[#This Row],[_Space]],IFERROR(
((DaybyDay[[#This Row],[Actual-Rollup]]-DaybyDay[[#This Row],[LY-Rollup]])/DaybyDay[[#This Row],[LY-Rollup]]),0),"")</f>
        <v>0</v>
      </c>
      <c r="Z870"/>
      <c r="AA870" s="37" t="e">
        <f>IF(DaybyDay[[#This Row],[_Space]],DaybyDay[[#This Row],[Ret-Act-RU]]/DaybyDay[[#This Row],[Serv-Act-RU]],"")</f>
        <v>#DIV/0!</v>
      </c>
      <c r="AB870" s="50" t="e">
        <f>IF(DaybyDay[[#This Row],[_Space]],DaybyDay[[#This Row],[RETPEN-Act]]/DaybyDay[[#This Row],[RETPEN-Bud]],"")</f>
        <v>#DIV/0!</v>
      </c>
      <c r="AC870" s="37" t="e">
        <f>IF(DaybyDay[[#This Row],[_Space]],DaybyDay[[#This Row],[Ret-Bud-RU]]/DaybyDay[[#This Row],[Serv-Bud-RU]],"")</f>
        <v>#DIV/0!</v>
      </c>
      <c r="AD870" s="37" t="e">
        <f>IF(DaybyDay[[#This Row],[_Space]],DaybyDay[[#This Row],[Ret-LY-RU]]/DaybyDay[[#This Row],[Serv-LY-RU]],"")</f>
        <v>#DIV/0!</v>
      </c>
      <c r="AE870" s="30">
        <f>WEEKDAY(DaybyDay[[#This Row],[LY-Date]])</f>
        <v>3</v>
      </c>
      <c r="AF870" s="38">
        <f>$E$2+_xlfn.DAYS(DaybyDay[[#This Row],[Date]],minDate)</f>
        <v>43235</v>
      </c>
      <c r="AG870" s="39" cm="1">
        <f t="array" ref="AG870">IFERROR(INDEX(DaybyDay[],DaybyDay[[#This Row],[FORM_MATCH_HELPER]],8),"")</f>
        <v>14</v>
      </c>
      <c r="AH870" s="39" cm="1">
        <f t="array" ref="AH870">IFERROR(INDEX(DaybyDay[],DaybyDay[[#This Row],[FORM_MATCH_HELPER]],10),"")</f>
        <v>2698.5</v>
      </c>
      <c r="AI870" s="39" cm="1">
        <f t="array" ref="AI870">IFERROR(INDEX(DaybyDay[],DaybyDay[[#This Row],[FORM_MATCH_HELPER]],12),"")</f>
        <v>121</v>
      </c>
      <c r="AJ870" s="32">
        <f>IFERROR(DaybyDay[[#This Row],[Serv-LY-RU]]+DaybyDay[[#This Row],[Ret-LY-RU]],"")</f>
        <v>0</v>
      </c>
      <c r="AK8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0" s="77"/>
      <c r="AM870" s="40" t="str">
        <f>IF(DaybyDay[[#This Row],[Admin Hours]]&gt;0,DaybyDay[[#This Row],[Admin Hours]]*$AM$2+$AM$3,"")</f>
        <v/>
      </c>
      <c r="AN870" s="40">
        <f>SUMIFS(DaybyDay[Est-Admin-Payroll],DaybyDay[Date],"&gt;="&amp;$C$5,DaybyDay[RowYear],"&gt;="&amp;$C$4,DaybyDay[Date],"&lt;="&amp;DaybyDay[[#This Row],[Date]])</f>
        <v>0</v>
      </c>
      <c r="AO870" s="41" t="str">
        <f>IF(AND(DaybyDay[[#This Row],[_Space]],ISNUMBER(DaybyDay[[#This Row],[Admin Hours]])),DaybyDay[[#This Row],[Est-Admin-Payroll]]/(DaybyDay[[#This Row],[Service-Actuals]]+DaybyDay[[#This Row],[Retail-Actuals]]),"")</f>
        <v/>
      </c>
      <c r="AP870" s="41" t="e">
        <f>DaybyDay[[#This Row],[Estimated-Payroll-Rollup]]/DaybyDay[[#This Row],[Simple-Forecast]]</f>
        <v>#DIV/0!</v>
      </c>
      <c r="AQ8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0" s="77"/>
      <c r="AS870" s="40" t="str">
        <f>IF(DaybyDay[[#This Row],[Retail Hours]]&gt;0,DaybyDay[[#This Row],[Retail Hours]]*$AS$2,"")</f>
        <v/>
      </c>
      <c r="AT870" s="40">
        <f>SUMIFS(DaybyDay[Est-Retail-Payroll],DaybyDay[Date],"&gt;="&amp;$C$5,DaybyDay[RowYear],"&gt;="&amp;$C$4,DaybyDay[Date],"&lt;="&amp;DaybyDay[[#This Row],[Date]])</f>
        <v>0</v>
      </c>
      <c r="AU870" s="82" t="str">
        <f>IF(AND(DaybyDay[[#This Row],[_Space]],ISNUMBER(DaybyDay[[#This Row],[Retail Hours]])),DaybyDay[[#This Row],[Est-Retail-Payroll]]/(DaybyDay[[#This Row],[Retail-Actuals]]),"")</f>
        <v/>
      </c>
      <c r="AV870" s="82" t="e">
        <f>DaybyDay[[#This Row],[Est-Retail-PayrollRU]]/DaybyDay[[#This Row],[Simple-Forecast-Retail]]</f>
        <v>#DIV/0!</v>
      </c>
      <c r="AW870" s="8"/>
      <c r="AX870" s="49"/>
      <c r="AY870" s="48"/>
      <c r="AZ870" s="47"/>
      <c r="BA870" s="47"/>
      <c r="BB870" s="47"/>
      <c r="BC870" s="47"/>
      <c r="BD870" s="47"/>
    </row>
    <row r="871" spans="3:56" hidden="1" x14ac:dyDescent="0.25">
      <c r="C871" s="26" t="str">
        <f>Tools!$C$1</f>
        <v>Example</v>
      </c>
      <c r="D871" s="27" t="s">
        <v>72</v>
      </c>
      <c r="E871" s="28">
        <v>2019</v>
      </c>
      <c r="F871" s="28">
        <f>MATCH(DaybyDay[[#This Row],[RowMonth]],Table3[SummaryMonth],0)</f>
        <v>5</v>
      </c>
      <c r="G871" s="29">
        <f>MATCH(DaybyDay[[#This Row],[LY-Date]],DaybyDay[Date],0)</f>
        <v>501</v>
      </c>
      <c r="H871" s="30">
        <f>WEEKDAY(DaybyDay[[#This Row],[Date]])</f>
        <v>4</v>
      </c>
      <c r="I871" s="31">
        <v>43600</v>
      </c>
      <c r="J871" s="74">
        <v>20</v>
      </c>
      <c r="K871" s="32">
        <f>SUMIFS(BudgetSeasonality[365 Seasonality],BudgetSeasonality[MonthAdjustment],DaybyDay[[#This Row],[Date]])*SUMIFS(Budgets[Service-Budget],Budgets[BudgetMonth],DaybyDay[[#This Row],[RowMonth]],Budgets[BudgetYear],DaybyDay[[#This Row],[RowYear]])</f>
        <v>4317.5389552962333</v>
      </c>
      <c r="L871" s="75">
        <v>4946.3899999999994</v>
      </c>
      <c r="M871" s="32">
        <f>INDEX(BudgetSeasonality[365 Seasonality],MATCH(DaybyDay[[#This Row],[Date]],BudgetSeasonality[MonthAdjustment],0))*SUMIFS(Budgets[Retail-Budget],Budgets[BudgetMonth],DaybyDay[[#This Row],[RowMonth]],Budgets[BudgetYear],DaybyDay[[#This Row],[RowYear]])</f>
        <v>1027.5114058450354</v>
      </c>
      <c r="N871" s="75">
        <v>111.06</v>
      </c>
      <c r="O871" s="33">
        <f>SUMIFS(DaybyDay[Service-Budgets],DaybyDay[Date],"&gt;="&amp;$C$5,DaybyDay[RowYear],"&gt;="&amp;$C$4,DaybyDay[Date],"&lt;="&amp;DaybyDay[[#This Row],[Date]])</f>
        <v>0</v>
      </c>
      <c r="P871" s="33">
        <f>SUMIFS(DaybyDay[Retail-Budgets],DaybyDay[Date],"&gt;="&amp;$C$5,DaybyDay[RowYear],"&gt;="&amp;$C$4,DaybyDay[Date],"&lt;="&amp;DaybyDay[[#This Row],[Date]])</f>
        <v>0</v>
      </c>
      <c r="Q871" s="34">
        <f>SUMIFS(DaybyDay[Service-Actuals],DaybyDay[Date],"&gt;="&amp;$C$5,DaybyDay[RowYear],"&gt;="&amp;$C$4,DaybyDay[Date],"&lt;="&amp;DaybyDay[[#This Row],[Date]])</f>
        <v>0</v>
      </c>
      <c r="R871" s="34">
        <f>SUMIFS(DaybyDay[Retail-Actuals],DaybyDay[Date],"&gt;="&amp;$C$5,DaybyDay[RowYear],"&gt;="&amp;$C$4,DaybyDay[Date],"&lt;="&amp;DaybyDay[[#This Row],[Date]])</f>
        <v>0</v>
      </c>
      <c r="S871" s="35">
        <f>SUMIFS(DaybyDay[Service-LY],DaybyDay[Date],"&gt;="&amp;$C$5,DaybyDay[RowYear],"&gt;="&amp;$C$4,DaybyDay[Date],"&lt;="&amp;DaybyDay[[#This Row],[Date]])</f>
        <v>0</v>
      </c>
      <c r="T871" s="35">
        <f>SUMIFS(DaybyDay[Retail-LY],DaybyDay[Date],"&gt;="&amp;$C$5,DaybyDay[RowYear],"&gt;="&amp;$C$4,DaybyDay[Date],"&lt;="&amp;DaybyDay[[#This Row],[Date]])</f>
        <v>0</v>
      </c>
      <c r="U871" s="32">
        <f>DaybyDay[[#This Row],[Serv-Bud-RU]]+DaybyDay[[#This Row],[Ret-Bud-RU]]</f>
        <v>0</v>
      </c>
      <c r="V871" s="32">
        <f>DaybyDay[[#This Row],[Serv-Act-RU]]+DaybyDay[[#This Row],[Ret-Act-RU]]</f>
        <v>0</v>
      </c>
      <c r="W871" s="36">
        <f>IF(DaybyDay[[#This Row],[_Space]],IFERROR(
((DaybyDay[[#This Row],[Actual-Rollup]]-DaybyDay[[#This Row],[Budget-Rollup]])/DaybyDay[[#This Row],[Budget-Rollup]]),0),"")</f>
        <v>0</v>
      </c>
      <c r="X871" t="b">
        <f>NOT(AND(ISBLANK(DaybyDay[[#This Row],[Appts]]),ISBLANK(DaybyDay[[#This Row],[Service-Actuals]]),ISBLANK(DaybyDay[[#This Row],[Retail-Actuals]])))</f>
        <v>1</v>
      </c>
      <c r="Y871" s="36">
        <f>IF(DaybyDay[[#This Row],[_Space]],IFERROR(
((DaybyDay[[#This Row],[Actual-Rollup]]-DaybyDay[[#This Row],[LY-Rollup]])/DaybyDay[[#This Row],[LY-Rollup]]),0),"")</f>
        <v>0</v>
      </c>
      <c r="Z871"/>
      <c r="AA871" s="37" t="e">
        <f>IF(DaybyDay[[#This Row],[_Space]],DaybyDay[[#This Row],[Ret-Act-RU]]/DaybyDay[[#This Row],[Serv-Act-RU]],"")</f>
        <v>#DIV/0!</v>
      </c>
      <c r="AB871" s="50" t="e">
        <f>IF(DaybyDay[[#This Row],[_Space]],DaybyDay[[#This Row],[RETPEN-Act]]/DaybyDay[[#This Row],[RETPEN-Bud]],"")</f>
        <v>#DIV/0!</v>
      </c>
      <c r="AC871" s="37" t="e">
        <f>IF(DaybyDay[[#This Row],[_Space]],DaybyDay[[#This Row],[Ret-Bud-RU]]/DaybyDay[[#This Row],[Serv-Bud-RU]],"")</f>
        <v>#DIV/0!</v>
      </c>
      <c r="AD871" s="37" t="e">
        <f>IF(DaybyDay[[#This Row],[_Space]],DaybyDay[[#This Row],[Ret-LY-RU]]/DaybyDay[[#This Row],[Serv-LY-RU]],"")</f>
        <v>#DIV/0!</v>
      </c>
      <c r="AE871" s="30">
        <f>WEEKDAY(DaybyDay[[#This Row],[LY-Date]])</f>
        <v>4</v>
      </c>
      <c r="AF871" s="38">
        <f>$E$2+_xlfn.DAYS(DaybyDay[[#This Row],[Date]],minDate)</f>
        <v>43236</v>
      </c>
      <c r="AG871" s="39" cm="1">
        <f t="array" ref="AG871">IFERROR(INDEX(DaybyDay[],DaybyDay[[#This Row],[FORM_MATCH_HELPER]],8),"")</f>
        <v>12</v>
      </c>
      <c r="AH871" s="39" cm="1">
        <f t="array" ref="AH871">IFERROR(INDEX(DaybyDay[],DaybyDay[[#This Row],[FORM_MATCH_HELPER]],10),"")</f>
        <v>2482.2399999999998</v>
      </c>
      <c r="AI871" s="39" cm="1">
        <f t="array" ref="AI871">IFERROR(INDEX(DaybyDay[],DaybyDay[[#This Row],[FORM_MATCH_HELPER]],12),"")</f>
        <v>273</v>
      </c>
      <c r="AJ871" s="32">
        <f>IFERROR(DaybyDay[[#This Row],[Serv-LY-RU]]+DaybyDay[[#This Row],[Ret-LY-RU]],"")</f>
        <v>0</v>
      </c>
      <c r="AK8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1" s="77"/>
      <c r="AM871" s="40" t="str">
        <f>IF(DaybyDay[[#This Row],[Admin Hours]]&gt;0,DaybyDay[[#This Row],[Admin Hours]]*$AM$2+$AM$3,"")</f>
        <v/>
      </c>
      <c r="AN871" s="40">
        <f>SUMIFS(DaybyDay[Est-Admin-Payroll],DaybyDay[Date],"&gt;="&amp;$C$5,DaybyDay[RowYear],"&gt;="&amp;$C$4,DaybyDay[Date],"&lt;="&amp;DaybyDay[[#This Row],[Date]])</f>
        <v>0</v>
      </c>
      <c r="AO871" s="41" t="str">
        <f>IF(AND(DaybyDay[[#This Row],[_Space]],ISNUMBER(DaybyDay[[#This Row],[Admin Hours]])),DaybyDay[[#This Row],[Est-Admin-Payroll]]/(DaybyDay[[#This Row],[Service-Actuals]]+DaybyDay[[#This Row],[Retail-Actuals]]),"")</f>
        <v/>
      </c>
      <c r="AP871" s="41" t="e">
        <f>DaybyDay[[#This Row],[Estimated-Payroll-Rollup]]/DaybyDay[[#This Row],[Simple-Forecast]]</f>
        <v>#DIV/0!</v>
      </c>
      <c r="AQ8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1" s="77"/>
      <c r="AS871" s="40" t="str">
        <f>IF(DaybyDay[[#This Row],[Retail Hours]]&gt;0,DaybyDay[[#This Row],[Retail Hours]]*$AS$2,"")</f>
        <v/>
      </c>
      <c r="AT871" s="40">
        <f>SUMIFS(DaybyDay[Est-Retail-Payroll],DaybyDay[Date],"&gt;="&amp;$C$5,DaybyDay[RowYear],"&gt;="&amp;$C$4,DaybyDay[Date],"&lt;="&amp;DaybyDay[[#This Row],[Date]])</f>
        <v>0</v>
      </c>
      <c r="AU871" s="82" t="str">
        <f>IF(AND(DaybyDay[[#This Row],[_Space]],ISNUMBER(DaybyDay[[#This Row],[Retail Hours]])),DaybyDay[[#This Row],[Est-Retail-Payroll]]/(DaybyDay[[#This Row],[Retail-Actuals]]),"")</f>
        <v/>
      </c>
      <c r="AV871" s="82" t="e">
        <f>DaybyDay[[#This Row],[Est-Retail-PayrollRU]]/DaybyDay[[#This Row],[Simple-Forecast-Retail]]</f>
        <v>#DIV/0!</v>
      </c>
      <c r="AW871" s="8"/>
      <c r="AX871" s="49"/>
      <c r="AY871" s="48"/>
      <c r="AZ871" s="47"/>
      <c r="BA871" s="47"/>
      <c r="BB871" s="47"/>
      <c r="BC871" s="47"/>
      <c r="BD871" s="47"/>
    </row>
    <row r="872" spans="3:56" hidden="1" x14ac:dyDescent="0.25">
      <c r="C872" s="26" t="str">
        <f>Tools!$C$1</f>
        <v>Example</v>
      </c>
      <c r="D872" s="27" t="s">
        <v>72</v>
      </c>
      <c r="E872" s="28">
        <v>2019</v>
      </c>
      <c r="F872" s="28">
        <f>MATCH(DaybyDay[[#This Row],[RowMonth]],Table3[SummaryMonth],0)</f>
        <v>5</v>
      </c>
      <c r="G872" s="29">
        <f>MATCH(DaybyDay[[#This Row],[LY-Date]],DaybyDay[Date],0)</f>
        <v>502</v>
      </c>
      <c r="H872" s="30">
        <f>WEEKDAY(DaybyDay[[#This Row],[Date]])</f>
        <v>5</v>
      </c>
      <c r="I872" s="31">
        <v>43601</v>
      </c>
      <c r="J872" s="74">
        <v>20</v>
      </c>
      <c r="K872" s="32">
        <f>SUMIFS(BudgetSeasonality[365 Seasonality],BudgetSeasonality[MonthAdjustment],DaybyDay[[#This Row],[Date]])*SUMIFS(Budgets[Service-Budget],Budgets[BudgetMonth],DaybyDay[[#This Row],[RowMonth]],Budgets[BudgetYear],DaybyDay[[#This Row],[RowYear]])</f>
        <v>4418.2063746247813</v>
      </c>
      <c r="L872" s="75">
        <v>3930</v>
      </c>
      <c r="M872" s="32">
        <f>INDEX(BudgetSeasonality[365 Seasonality],MATCH(DaybyDay[[#This Row],[Date]],BudgetSeasonality[MonthAdjustment],0))*SUMIFS(Budgets[Retail-Budget],Budgets[BudgetMonth],DaybyDay[[#This Row],[RowMonth]],Budgets[BudgetYear],DaybyDay[[#This Row],[RowYear]])</f>
        <v>1051.4687858775151</v>
      </c>
      <c r="N872" s="75">
        <v>2014.95</v>
      </c>
      <c r="O872" s="33">
        <f>SUMIFS(DaybyDay[Service-Budgets],DaybyDay[Date],"&gt;="&amp;$C$5,DaybyDay[RowYear],"&gt;="&amp;$C$4,DaybyDay[Date],"&lt;="&amp;DaybyDay[[#This Row],[Date]])</f>
        <v>0</v>
      </c>
      <c r="P872" s="33">
        <f>SUMIFS(DaybyDay[Retail-Budgets],DaybyDay[Date],"&gt;="&amp;$C$5,DaybyDay[RowYear],"&gt;="&amp;$C$4,DaybyDay[Date],"&lt;="&amp;DaybyDay[[#This Row],[Date]])</f>
        <v>0</v>
      </c>
      <c r="Q872" s="34">
        <f>SUMIFS(DaybyDay[Service-Actuals],DaybyDay[Date],"&gt;="&amp;$C$5,DaybyDay[RowYear],"&gt;="&amp;$C$4,DaybyDay[Date],"&lt;="&amp;DaybyDay[[#This Row],[Date]])</f>
        <v>0</v>
      </c>
      <c r="R872" s="34">
        <f>SUMIFS(DaybyDay[Retail-Actuals],DaybyDay[Date],"&gt;="&amp;$C$5,DaybyDay[RowYear],"&gt;="&amp;$C$4,DaybyDay[Date],"&lt;="&amp;DaybyDay[[#This Row],[Date]])</f>
        <v>0</v>
      </c>
      <c r="S872" s="35">
        <f>SUMIFS(DaybyDay[Service-LY],DaybyDay[Date],"&gt;="&amp;$C$5,DaybyDay[RowYear],"&gt;="&amp;$C$4,DaybyDay[Date],"&lt;="&amp;DaybyDay[[#This Row],[Date]])</f>
        <v>0</v>
      </c>
      <c r="T872" s="35">
        <f>SUMIFS(DaybyDay[Retail-LY],DaybyDay[Date],"&gt;="&amp;$C$5,DaybyDay[RowYear],"&gt;="&amp;$C$4,DaybyDay[Date],"&lt;="&amp;DaybyDay[[#This Row],[Date]])</f>
        <v>0</v>
      </c>
      <c r="U872" s="32">
        <f>DaybyDay[[#This Row],[Serv-Bud-RU]]+DaybyDay[[#This Row],[Ret-Bud-RU]]</f>
        <v>0</v>
      </c>
      <c r="V872" s="32">
        <f>DaybyDay[[#This Row],[Serv-Act-RU]]+DaybyDay[[#This Row],[Ret-Act-RU]]</f>
        <v>0</v>
      </c>
      <c r="W872" s="36">
        <f>IF(DaybyDay[[#This Row],[_Space]],IFERROR(
((DaybyDay[[#This Row],[Actual-Rollup]]-DaybyDay[[#This Row],[Budget-Rollup]])/DaybyDay[[#This Row],[Budget-Rollup]]),0),"")</f>
        <v>0</v>
      </c>
      <c r="X872" t="b">
        <f>NOT(AND(ISBLANK(DaybyDay[[#This Row],[Appts]]),ISBLANK(DaybyDay[[#This Row],[Service-Actuals]]),ISBLANK(DaybyDay[[#This Row],[Retail-Actuals]])))</f>
        <v>1</v>
      </c>
      <c r="Y872" s="36">
        <f>IF(DaybyDay[[#This Row],[_Space]],IFERROR(
((DaybyDay[[#This Row],[Actual-Rollup]]-DaybyDay[[#This Row],[LY-Rollup]])/DaybyDay[[#This Row],[LY-Rollup]]),0),"")</f>
        <v>0</v>
      </c>
      <c r="Z872"/>
      <c r="AA872" s="37" t="e">
        <f>IF(DaybyDay[[#This Row],[_Space]],DaybyDay[[#This Row],[Ret-Act-RU]]/DaybyDay[[#This Row],[Serv-Act-RU]],"")</f>
        <v>#DIV/0!</v>
      </c>
      <c r="AB872" s="50" t="e">
        <f>IF(DaybyDay[[#This Row],[_Space]],DaybyDay[[#This Row],[RETPEN-Act]]/DaybyDay[[#This Row],[RETPEN-Bud]],"")</f>
        <v>#DIV/0!</v>
      </c>
      <c r="AC872" s="37" t="e">
        <f>IF(DaybyDay[[#This Row],[_Space]],DaybyDay[[#This Row],[Ret-Bud-RU]]/DaybyDay[[#This Row],[Serv-Bud-RU]],"")</f>
        <v>#DIV/0!</v>
      </c>
      <c r="AD872" s="37" t="e">
        <f>IF(DaybyDay[[#This Row],[_Space]],DaybyDay[[#This Row],[Ret-LY-RU]]/DaybyDay[[#This Row],[Serv-LY-RU]],"")</f>
        <v>#DIV/0!</v>
      </c>
      <c r="AE872" s="30">
        <f>WEEKDAY(DaybyDay[[#This Row],[LY-Date]])</f>
        <v>5</v>
      </c>
      <c r="AF872" s="38">
        <f>$E$2+_xlfn.DAYS(DaybyDay[[#This Row],[Date]],minDate)</f>
        <v>43237</v>
      </c>
      <c r="AG872" s="39" cm="1">
        <f t="array" ref="AG872">IFERROR(INDEX(DaybyDay[],DaybyDay[[#This Row],[FORM_MATCH_HELPER]],8),"")</f>
        <v>14</v>
      </c>
      <c r="AH872" s="39" cm="1">
        <f t="array" ref="AH872">IFERROR(INDEX(DaybyDay[],DaybyDay[[#This Row],[FORM_MATCH_HELPER]],10),"")</f>
        <v>3106</v>
      </c>
      <c r="AI872" s="39" cm="1">
        <f t="array" ref="AI872">IFERROR(INDEX(DaybyDay[],DaybyDay[[#This Row],[FORM_MATCH_HELPER]],12),"")</f>
        <v>569.29999999999995</v>
      </c>
      <c r="AJ872" s="32">
        <f>IFERROR(DaybyDay[[#This Row],[Serv-LY-RU]]+DaybyDay[[#This Row],[Ret-LY-RU]],"")</f>
        <v>0</v>
      </c>
      <c r="AK8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2" s="77"/>
      <c r="AM872" s="40" t="str">
        <f>IF(DaybyDay[[#This Row],[Admin Hours]]&gt;0,DaybyDay[[#This Row],[Admin Hours]]*$AM$2+$AM$3,"")</f>
        <v/>
      </c>
      <c r="AN872" s="40">
        <f>SUMIFS(DaybyDay[Est-Admin-Payroll],DaybyDay[Date],"&gt;="&amp;$C$5,DaybyDay[RowYear],"&gt;="&amp;$C$4,DaybyDay[Date],"&lt;="&amp;DaybyDay[[#This Row],[Date]])</f>
        <v>0</v>
      </c>
      <c r="AO872" s="41" t="str">
        <f>IF(AND(DaybyDay[[#This Row],[_Space]],ISNUMBER(DaybyDay[[#This Row],[Admin Hours]])),DaybyDay[[#This Row],[Est-Admin-Payroll]]/(DaybyDay[[#This Row],[Service-Actuals]]+DaybyDay[[#This Row],[Retail-Actuals]]),"")</f>
        <v/>
      </c>
      <c r="AP872" s="41" t="e">
        <f>DaybyDay[[#This Row],[Estimated-Payroll-Rollup]]/DaybyDay[[#This Row],[Simple-Forecast]]</f>
        <v>#DIV/0!</v>
      </c>
      <c r="AQ8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2" s="77"/>
      <c r="AS872" s="40" t="str">
        <f>IF(DaybyDay[[#This Row],[Retail Hours]]&gt;0,DaybyDay[[#This Row],[Retail Hours]]*$AS$2,"")</f>
        <v/>
      </c>
      <c r="AT872" s="40">
        <f>SUMIFS(DaybyDay[Est-Retail-Payroll],DaybyDay[Date],"&gt;="&amp;$C$5,DaybyDay[RowYear],"&gt;="&amp;$C$4,DaybyDay[Date],"&lt;="&amp;DaybyDay[[#This Row],[Date]])</f>
        <v>0</v>
      </c>
      <c r="AU872" s="82" t="str">
        <f>IF(AND(DaybyDay[[#This Row],[_Space]],ISNUMBER(DaybyDay[[#This Row],[Retail Hours]])),DaybyDay[[#This Row],[Est-Retail-Payroll]]/(DaybyDay[[#This Row],[Retail-Actuals]]),"")</f>
        <v/>
      </c>
      <c r="AV872" s="82" t="e">
        <f>DaybyDay[[#This Row],[Est-Retail-PayrollRU]]/DaybyDay[[#This Row],[Simple-Forecast-Retail]]</f>
        <v>#DIV/0!</v>
      </c>
      <c r="AW872" s="8"/>
      <c r="AX872" s="49"/>
      <c r="AY872" s="48"/>
      <c r="AZ872" s="47"/>
      <c r="BA872" s="47"/>
      <c r="BB872" s="47"/>
      <c r="BC872" s="47"/>
      <c r="BD872" s="47"/>
    </row>
    <row r="873" spans="3:56" hidden="1" x14ac:dyDescent="0.25">
      <c r="C873" s="26" t="str">
        <f>Tools!$C$1</f>
        <v>Example</v>
      </c>
      <c r="D873" s="27" t="s">
        <v>72</v>
      </c>
      <c r="E873" s="28">
        <v>2019</v>
      </c>
      <c r="F873" s="28">
        <f>MATCH(DaybyDay[[#This Row],[RowMonth]],Table3[SummaryMonth],0)</f>
        <v>5</v>
      </c>
      <c r="G873" s="29">
        <f>MATCH(DaybyDay[[#This Row],[LY-Date]],DaybyDay[Date],0)</f>
        <v>503</v>
      </c>
      <c r="H873" s="30">
        <f>WEEKDAY(DaybyDay[[#This Row],[Date]])</f>
        <v>6</v>
      </c>
      <c r="I873" s="31">
        <v>43602</v>
      </c>
      <c r="J873" s="74">
        <v>34</v>
      </c>
      <c r="K873" s="32">
        <f>SUMIFS(BudgetSeasonality[365 Seasonality],BudgetSeasonality[MonthAdjustment],DaybyDay[[#This Row],[Date]])*SUMIFS(Budgets[Service-Budget],Budgets[BudgetMonth],DaybyDay[[#This Row],[RowMonth]],Budgets[BudgetYear],DaybyDay[[#This Row],[RowYear]])</f>
        <v>5393.5618951455353</v>
      </c>
      <c r="L873" s="75">
        <v>6608.97</v>
      </c>
      <c r="M873" s="32">
        <f>INDEX(BudgetSeasonality[365 Seasonality],MATCH(DaybyDay[[#This Row],[Date]],BudgetSeasonality[MonthAdjustment],0))*SUMIFS(Budgets[Retail-Budget],Budgets[BudgetMonth],DaybyDay[[#This Row],[RowMonth]],Budgets[BudgetYear],DaybyDay[[#This Row],[RowYear]])</f>
        <v>1283.5891980997681</v>
      </c>
      <c r="N873" s="75">
        <v>725</v>
      </c>
      <c r="O873" s="33">
        <f>SUMIFS(DaybyDay[Service-Budgets],DaybyDay[Date],"&gt;="&amp;$C$5,DaybyDay[RowYear],"&gt;="&amp;$C$4,DaybyDay[Date],"&lt;="&amp;DaybyDay[[#This Row],[Date]])</f>
        <v>0</v>
      </c>
      <c r="P873" s="33">
        <f>SUMIFS(DaybyDay[Retail-Budgets],DaybyDay[Date],"&gt;="&amp;$C$5,DaybyDay[RowYear],"&gt;="&amp;$C$4,DaybyDay[Date],"&lt;="&amp;DaybyDay[[#This Row],[Date]])</f>
        <v>0</v>
      </c>
      <c r="Q873" s="34">
        <f>SUMIFS(DaybyDay[Service-Actuals],DaybyDay[Date],"&gt;="&amp;$C$5,DaybyDay[RowYear],"&gt;="&amp;$C$4,DaybyDay[Date],"&lt;="&amp;DaybyDay[[#This Row],[Date]])</f>
        <v>0</v>
      </c>
      <c r="R873" s="34">
        <f>SUMIFS(DaybyDay[Retail-Actuals],DaybyDay[Date],"&gt;="&amp;$C$5,DaybyDay[RowYear],"&gt;="&amp;$C$4,DaybyDay[Date],"&lt;="&amp;DaybyDay[[#This Row],[Date]])</f>
        <v>0</v>
      </c>
      <c r="S873" s="35">
        <f>SUMIFS(DaybyDay[Service-LY],DaybyDay[Date],"&gt;="&amp;$C$5,DaybyDay[RowYear],"&gt;="&amp;$C$4,DaybyDay[Date],"&lt;="&amp;DaybyDay[[#This Row],[Date]])</f>
        <v>0</v>
      </c>
      <c r="T873" s="35">
        <f>SUMIFS(DaybyDay[Retail-LY],DaybyDay[Date],"&gt;="&amp;$C$5,DaybyDay[RowYear],"&gt;="&amp;$C$4,DaybyDay[Date],"&lt;="&amp;DaybyDay[[#This Row],[Date]])</f>
        <v>0</v>
      </c>
      <c r="U873" s="32">
        <f>DaybyDay[[#This Row],[Serv-Bud-RU]]+DaybyDay[[#This Row],[Ret-Bud-RU]]</f>
        <v>0</v>
      </c>
      <c r="V873" s="32">
        <f>DaybyDay[[#This Row],[Serv-Act-RU]]+DaybyDay[[#This Row],[Ret-Act-RU]]</f>
        <v>0</v>
      </c>
      <c r="W873" s="36">
        <f>IF(DaybyDay[[#This Row],[_Space]],IFERROR(
((DaybyDay[[#This Row],[Actual-Rollup]]-DaybyDay[[#This Row],[Budget-Rollup]])/DaybyDay[[#This Row],[Budget-Rollup]]),0),"")</f>
        <v>0</v>
      </c>
      <c r="X873" t="b">
        <f>NOT(AND(ISBLANK(DaybyDay[[#This Row],[Appts]]),ISBLANK(DaybyDay[[#This Row],[Service-Actuals]]),ISBLANK(DaybyDay[[#This Row],[Retail-Actuals]])))</f>
        <v>1</v>
      </c>
      <c r="Y873" s="36">
        <f>IF(DaybyDay[[#This Row],[_Space]],IFERROR(
((DaybyDay[[#This Row],[Actual-Rollup]]-DaybyDay[[#This Row],[LY-Rollup]])/DaybyDay[[#This Row],[LY-Rollup]]),0),"")</f>
        <v>0</v>
      </c>
      <c r="Z873"/>
      <c r="AA873" s="37" t="e">
        <f>IF(DaybyDay[[#This Row],[_Space]],DaybyDay[[#This Row],[Ret-Act-RU]]/DaybyDay[[#This Row],[Serv-Act-RU]],"")</f>
        <v>#DIV/0!</v>
      </c>
      <c r="AB873" s="50" t="e">
        <f>IF(DaybyDay[[#This Row],[_Space]],DaybyDay[[#This Row],[RETPEN-Act]]/DaybyDay[[#This Row],[RETPEN-Bud]],"")</f>
        <v>#DIV/0!</v>
      </c>
      <c r="AC873" s="37" t="e">
        <f>IF(DaybyDay[[#This Row],[_Space]],DaybyDay[[#This Row],[Ret-Bud-RU]]/DaybyDay[[#This Row],[Serv-Bud-RU]],"")</f>
        <v>#DIV/0!</v>
      </c>
      <c r="AD873" s="37" t="e">
        <f>IF(DaybyDay[[#This Row],[_Space]],DaybyDay[[#This Row],[Ret-LY-RU]]/DaybyDay[[#This Row],[Serv-LY-RU]],"")</f>
        <v>#DIV/0!</v>
      </c>
      <c r="AE873" s="30">
        <f>WEEKDAY(DaybyDay[[#This Row],[LY-Date]])</f>
        <v>6</v>
      </c>
      <c r="AF873" s="38">
        <f>$E$2+_xlfn.DAYS(DaybyDay[[#This Row],[Date]],minDate)</f>
        <v>43238</v>
      </c>
      <c r="AG873" s="39" cm="1">
        <f t="array" ref="AG873">IFERROR(INDEX(DaybyDay[],DaybyDay[[#This Row],[FORM_MATCH_HELPER]],8),"")</f>
        <v>14</v>
      </c>
      <c r="AH873" s="39" cm="1">
        <f t="array" ref="AH873">IFERROR(INDEX(DaybyDay[],DaybyDay[[#This Row],[FORM_MATCH_HELPER]],10),"")</f>
        <v>3986</v>
      </c>
      <c r="AI873" s="39" cm="1">
        <f t="array" ref="AI873">IFERROR(INDEX(DaybyDay[],DaybyDay[[#This Row],[FORM_MATCH_HELPER]],12),"")</f>
        <v>262.2</v>
      </c>
      <c r="AJ873" s="32">
        <f>IFERROR(DaybyDay[[#This Row],[Serv-LY-RU]]+DaybyDay[[#This Row],[Ret-LY-RU]],"")</f>
        <v>0</v>
      </c>
      <c r="AK8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3" s="77"/>
      <c r="AM873" s="40" t="str">
        <f>IF(DaybyDay[[#This Row],[Admin Hours]]&gt;0,DaybyDay[[#This Row],[Admin Hours]]*$AM$2+$AM$3,"")</f>
        <v/>
      </c>
      <c r="AN873" s="40">
        <f>SUMIFS(DaybyDay[Est-Admin-Payroll],DaybyDay[Date],"&gt;="&amp;$C$5,DaybyDay[RowYear],"&gt;="&amp;$C$4,DaybyDay[Date],"&lt;="&amp;DaybyDay[[#This Row],[Date]])</f>
        <v>0</v>
      </c>
      <c r="AO873" s="41" t="str">
        <f>IF(AND(DaybyDay[[#This Row],[_Space]],ISNUMBER(DaybyDay[[#This Row],[Admin Hours]])),DaybyDay[[#This Row],[Est-Admin-Payroll]]/(DaybyDay[[#This Row],[Service-Actuals]]+DaybyDay[[#This Row],[Retail-Actuals]]),"")</f>
        <v/>
      </c>
      <c r="AP873" s="41" t="e">
        <f>DaybyDay[[#This Row],[Estimated-Payroll-Rollup]]/DaybyDay[[#This Row],[Simple-Forecast]]</f>
        <v>#DIV/0!</v>
      </c>
      <c r="AQ8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3" s="77"/>
      <c r="AS873" s="40" t="str">
        <f>IF(DaybyDay[[#This Row],[Retail Hours]]&gt;0,DaybyDay[[#This Row],[Retail Hours]]*$AS$2,"")</f>
        <v/>
      </c>
      <c r="AT873" s="40">
        <f>SUMIFS(DaybyDay[Est-Retail-Payroll],DaybyDay[Date],"&gt;="&amp;$C$5,DaybyDay[RowYear],"&gt;="&amp;$C$4,DaybyDay[Date],"&lt;="&amp;DaybyDay[[#This Row],[Date]])</f>
        <v>0</v>
      </c>
      <c r="AU873" s="82" t="str">
        <f>IF(AND(DaybyDay[[#This Row],[_Space]],ISNUMBER(DaybyDay[[#This Row],[Retail Hours]])),DaybyDay[[#This Row],[Est-Retail-Payroll]]/(DaybyDay[[#This Row],[Retail-Actuals]]),"")</f>
        <v/>
      </c>
      <c r="AV873" s="82" t="e">
        <f>DaybyDay[[#This Row],[Est-Retail-PayrollRU]]/DaybyDay[[#This Row],[Simple-Forecast-Retail]]</f>
        <v>#DIV/0!</v>
      </c>
      <c r="AW873" s="8"/>
      <c r="AX873" s="49"/>
      <c r="AY873" s="48"/>
      <c r="AZ873" s="47"/>
      <c r="BA873" s="47"/>
      <c r="BB873" s="47"/>
      <c r="BC873" s="47"/>
      <c r="BD873" s="47"/>
    </row>
    <row r="874" spans="3:56" hidden="1" x14ac:dyDescent="0.25">
      <c r="C874" s="26" t="str">
        <f>Tools!$C$1</f>
        <v>Example</v>
      </c>
      <c r="D874" s="27" t="s">
        <v>72</v>
      </c>
      <c r="E874" s="28">
        <v>2019</v>
      </c>
      <c r="F874" s="28">
        <f>MATCH(DaybyDay[[#This Row],[RowMonth]],Table3[SummaryMonth],0)</f>
        <v>5</v>
      </c>
      <c r="G874" s="29">
        <f>MATCH(DaybyDay[[#This Row],[LY-Date]],DaybyDay[Date],0)</f>
        <v>504</v>
      </c>
      <c r="H874" s="30">
        <f>WEEKDAY(DaybyDay[[#This Row],[Date]])</f>
        <v>7</v>
      </c>
      <c r="I874" s="31">
        <v>43603</v>
      </c>
      <c r="J874" s="74">
        <v>34</v>
      </c>
      <c r="K874" s="32">
        <f>SUMIFS(BudgetSeasonality[365 Seasonality],BudgetSeasonality[MonthAdjustment],DaybyDay[[#This Row],[Date]])*SUMIFS(Budgets[Service-Budget],Budgets[BudgetMonth],DaybyDay[[#This Row],[RowMonth]],Budgets[BudgetYear],DaybyDay[[#This Row],[RowYear]])</f>
        <v>7472.00733253219</v>
      </c>
      <c r="L874" s="75">
        <v>8023.5599999999995</v>
      </c>
      <c r="M874" s="32">
        <f>INDEX(BudgetSeasonality[365 Seasonality],MATCH(DaybyDay[[#This Row],[Date]],BudgetSeasonality[MonthAdjustment],0))*SUMIFS(Budgets[Retail-Budget],Budgets[BudgetMonth],DaybyDay[[#This Row],[RowMonth]],Budgets[BudgetYear],DaybyDay[[#This Row],[RowYear]])</f>
        <v>1778.2289489980508</v>
      </c>
      <c r="N874" s="75">
        <v>4343</v>
      </c>
      <c r="O874" s="33">
        <f>SUMIFS(DaybyDay[Service-Budgets],DaybyDay[Date],"&gt;="&amp;$C$5,DaybyDay[RowYear],"&gt;="&amp;$C$4,DaybyDay[Date],"&lt;="&amp;DaybyDay[[#This Row],[Date]])</f>
        <v>0</v>
      </c>
      <c r="P874" s="33">
        <f>SUMIFS(DaybyDay[Retail-Budgets],DaybyDay[Date],"&gt;="&amp;$C$5,DaybyDay[RowYear],"&gt;="&amp;$C$4,DaybyDay[Date],"&lt;="&amp;DaybyDay[[#This Row],[Date]])</f>
        <v>0</v>
      </c>
      <c r="Q874" s="34">
        <f>SUMIFS(DaybyDay[Service-Actuals],DaybyDay[Date],"&gt;="&amp;$C$5,DaybyDay[RowYear],"&gt;="&amp;$C$4,DaybyDay[Date],"&lt;="&amp;DaybyDay[[#This Row],[Date]])</f>
        <v>0</v>
      </c>
      <c r="R874" s="34">
        <f>SUMIFS(DaybyDay[Retail-Actuals],DaybyDay[Date],"&gt;="&amp;$C$5,DaybyDay[RowYear],"&gt;="&amp;$C$4,DaybyDay[Date],"&lt;="&amp;DaybyDay[[#This Row],[Date]])</f>
        <v>0</v>
      </c>
      <c r="S874" s="35">
        <f>SUMIFS(DaybyDay[Service-LY],DaybyDay[Date],"&gt;="&amp;$C$5,DaybyDay[RowYear],"&gt;="&amp;$C$4,DaybyDay[Date],"&lt;="&amp;DaybyDay[[#This Row],[Date]])</f>
        <v>0</v>
      </c>
      <c r="T874" s="35">
        <f>SUMIFS(DaybyDay[Retail-LY],DaybyDay[Date],"&gt;="&amp;$C$5,DaybyDay[RowYear],"&gt;="&amp;$C$4,DaybyDay[Date],"&lt;="&amp;DaybyDay[[#This Row],[Date]])</f>
        <v>0</v>
      </c>
      <c r="U874" s="32">
        <f>DaybyDay[[#This Row],[Serv-Bud-RU]]+DaybyDay[[#This Row],[Ret-Bud-RU]]</f>
        <v>0</v>
      </c>
      <c r="V874" s="32">
        <f>DaybyDay[[#This Row],[Serv-Act-RU]]+DaybyDay[[#This Row],[Ret-Act-RU]]</f>
        <v>0</v>
      </c>
      <c r="W874" s="36">
        <f>IF(DaybyDay[[#This Row],[_Space]],IFERROR(
((DaybyDay[[#This Row],[Actual-Rollup]]-DaybyDay[[#This Row],[Budget-Rollup]])/DaybyDay[[#This Row],[Budget-Rollup]]),0),"")</f>
        <v>0</v>
      </c>
      <c r="X874" t="b">
        <f>NOT(AND(ISBLANK(DaybyDay[[#This Row],[Appts]]),ISBLANK(DaybyDay[[#This Row],[Service-Actuals]]),ISBLANK(DaybyDay[[#This Row],[Retail-Actuals]])))</f>
        <v>1</v>
      </c>
      <c r="Y874" s="36">
        <f>IF(DaybyDay[[#This Row],[_Space]],IFERROR(
((DaybyDay[[#This Row],[Actual-Rollup]]-DaybyDay[[#This Row],[LY-Rollup]])/DaybyDay[[#This Row],[LY-Rollup]]),0),"")</f>
        <v>0</v>
      </c>
      <c r="Z874"/>
      <c r="AA874" s="37" t="e">
        <f>IF(DaybyDay[[#This Row],[_Space]],DaybyDay[[#This Row],[Ret-Act-RU]]/DaybyDay[[#This Row],[Serv-Act-RU]],"")</f>
        <v>#DIV/0!</v>
      </c>
      <c r="AB874" s="50" t="e">
        <f>IF(DaybyDay[[#This Row],[_Space]],DaybyDay[[#This Row],[RETPEN-Act]]/DaybyDay[[#This Row],[RETPEN-Bud]],"")</f>
        <v>#DIV/0!</v>
      </c>
      <c r="AC874" s="37" t="e">
        <f>IF(DaybyDay[[#This Row],[_Space]],DaybyDay[[#This Row],[Ret-Bud-RU]]/DaybyDay[[#This Row],[Serv-Bud-RU]],"")</f>
        <v>#DIV/0!</v>
      </c>
      <c r="AD874" s="37" t="e">
        <f>IF(DaybyDay[[#This Row],[_Space]],DaybyDay[[#This Row],[Ret-LY-RU]]/DaybyDay[[#This Row],[Serv-LY-RU]],"")</f>
        <v>#DIV/0!</v>
      </c>
      <c r="AE874" s="30">
        <f>WEEKDAY(DaybyDay[[#This Row],[LY-Date]])</f>
        <v>7</v>
      </c>
      <c r="AF874" s="38">
        <f>$E$2+_xlfn.DAYS(DaybyDay[[#This Row],[Date]],minDate)</f>
        <v>43239</v>
      </c>
      <c r="AG874" s="39" cm="1">
        <f t="array" ref="AG874">IFERROR(INDEX(DaybyDay[],DaybyDay[[#This Row],[FORM_MATCH_HELPER]],8),"")</f>
        <v>32</v>
      </c>
      <c r="AH874" s="39" cm="1">
        <f t="array" ref="AH874">IFERROR(INDEX(DaybyDay[],DaybyDay[[#This Row],[FORM_MATCH_HELPER]],10),"")</f>
        <v>7199</v>
      </c>
      <c r="AI874" s="39" cm="1">
        <f t="array" ref="AI874">IFERROR(INDEX(DaybyDay[],DaybyDay[[#This Row],[FORM_MATCH_HELPER]],12),"")</f>
        <v>1754</v>
      </c>
      <c r="AJ874" s="32">
        <f>IFERROR(DaybyDay[[#This Row],[Serv-LY-RU]]+DaybyDay[[#This Row],[Ret-LY-RU]],"")</f>
        <v>0</v>
      </c>
      <c r="AK8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4" s="77"/>
      <c r="AM874" s="40" t="str">
        <f>IF(DaybyDay[[#This Row],[Admin Hours]]&gt;0,DaybyDay[[#This Row],[Admin Hours]]*$AM$2+$AM$3,"")</f>
        <v/>
      </c>
      <c r="AN874" s="40">
        <f>SUMIFS(DaybyDay[Est-Admin-Payroll],DaybyDay[Date],"&gt;="&amp;$C$5,DaybyDay[RowYear],"&gt;="&amp;$C$4,DaybyDay[Date],"&lt;="&amp;DaybyDay[[#This Row],[Date]])</f>
        <v>0</v>
      </c>
      <c r="AO874" s="41" t="str">
        <f>IF(AND(DaybyDay[[#This Row],[_Space]],ISNUMBER(DaybyDay[[#This Row],[Admin Hours]])),DaybyDay[[#This Row],[Est-Admin-Payroll]]/(DaybyDay[[#This Row],[Service-Actuals]]+DaybyDay[[#This Row],[Retail-Actuals]]),"")</f>
        <v/>
      </c>
      <c r="AP874" s="41" t="e">
        <f>DaybyDay[[#This Row],[Estimated-Payroll-Rollup]]/DaybyDay[[#This Row],[Simple-Forecast]]</f>
        <v>#DIV/0!</v>
      </c>
      <c r="AQ8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4" s="77"/>
      <c r="AS874" s="40" t="str">
        <f>IF(DaybyDay[[#This Row],[Retail Hours]]&gt;0,DaybyDay[[#This Row],[Retail Hours]]*$AS$2,"")</f>
        <v/>
      </c>
      <c r="AT874" s="40">
        <f>SUMIFS(DaybyDay[Est-Retail-Payroll],DaybyDay[Date],"&gt;="&amp;$C$5,DaybyDay[RowYear],"&gt;="&amp;$C$4,DaybyDay[Date],"&lt;="&amp;DaybyDay[[#This Row],[Date]])</f>
        <v>0</v>
      </c>
      <c r="AU874" s="82" t="str">
        <f>IF(AND(DaybyDay[[#This Row],[_Space]],ISNUMBER(DaybyDay[[#This Row],[Retail Hours]])),DaybyDay[[#This Row],[Est-Retail-Payroll]]/(DaybyDay[[#This Row],[Retail-Actuals]]),"")</f>
        <v/>
      </c>
      <c r="AV874" s="82" t="e">
        <f>DaybyDay[[#This Row],[Est-Retail-PayrollRU]]/DaybyDay[[#This Row],[Simple-Forecast-Retail]]</f>
        <v>#DIV/0!</v>
      </c>
      <c r="AW874" s="8"/>
      <c r="AX874" s="49"/>
      <c r="AY874" s="48"/>
      <c r="AZ874" s="47"/>
      <c r="BA874" s="47"/>
      <c r="BB874" s="47"/>
      <c r="BC874" s="47"/>
      <c r="BD874" s="47"/>
    </row>
    <row r="875" spans="3:56" hidden="1" x14ac:dyDescent="0.25">
      <c r="C875" s="26" t="str">
        <f>Tools!$C$1</f>
        <v>Example</v>
      </c>
      <c r="D875" s="27" t="s">
        <v>72</v>
      </c>
      <c r="E875" s="28">
        <v>2019</v>
      </c>
      <c r="F875" s="28">
        <f>MATCH(DaybyDay[[#This Row],[RowMonth]],Table3[SummaryMonth],0)</f>
        <v>5</v>
      </c>
      <c r="G875" s="29">
        <f>MATCH(DaybyDay[[#This Row],[LY-Date]],DaybyDay[Date],0)</f>
        <v>505</v>
      </c>
      <c r="H875" s="30">
        <f>WEEKDAY(DaybyDay[[#This Row],[Date]])</f>
        <v>1</v>
      </c>
      <c r="I875" s="31">
        <v>43604</v>
      </c>
      <c r="J875" s="74">
        <v>41</v>
      </c>
      <c r="K875" s="32">
        <f>SUMIFS(BudgetSeasonality[365 Seasonality],BudgetSeasonality[MonthAdjustment],DaybyDay[[#This Row],[Date]])*SUMIFS(Budgets[Service-Budget],Budgets[BudgetMonth],DaybyDay[[#This Row],[RowMonth]],Budgets[BudgetYear],DaybyDay[[#This Row],[RowYear]])</f>
        <v>5880.8204378718001</v>
      </c>
      <c r="L875" s="75">
        <v>7019.4</v>
      </c>
      <c r="M875" s="32">
        <f>INDEX(BudgetSeasonality[365 Seasonality],MATCH(DaybyDay[[#This Row],[Date]],BudgetSeasonality[MonthAdjustment],0))*SUMIFS(Budgets[Retail-Budget],Budgets[BudgetMonth],DaybyDay[[#This Row],[RowMonth]],Budgets[BudgetYear],DaybyDay[[#This Row],[RowYear]])</f>
        <v>1399.5496365417914</v>
      </c>
      <c r="N875" s="75">
        <v>1562</v>
      </c>
      <c r="O875" s="33">
        <f>SUMIFS(DaybyDay[Service-Budgets],DaybyDay[Date],"&gt;="&amp;$C$5,DaybyDay[RowYear],"&gt;="&amp;$C$4,DaybyDay[Date],"&lt;="&amp;DaybyDay[[#This Row],[Date]])</f>
        <v>0</v>
      </c>
      <c r="P875" s="33">
        <f>SUMIFS(DaybyDay[Retail-Budgets],DaybyDay[Date],"&gt;="&amp;$C$5,DaybyDay[RowYear],"&gt;="&amp;$C$4,DaybyDay[Date],"&lt;="&amp;DaybyDay[[#This Row],[Date]])</f>
        <v>0</v>
      </c>
      <c r="Q875" s="34">
        <f>SUMIFS(DaybyDay[Service-Actuals],DaybyDay[Date],"&gt;="&amp;$C$5,DaybyDay[RowYear],"&gt;="&amp;$C$4,DaybyDay[Date],"&lt;="&amp;DaybyDay[[#This Row],[Date]])</f>
        <v>0</v>
      </c>
      <c r="R875" s="34">
        <f>SUMIFS(DaybyDay[Retail-Actuals],DaybyDay[Date],"&gt;="&amp;$C$5,DaybyDay[RowYear],"&gt;="&amp;$C$4,DaybyDay[Date],"&lt;="&amp;DaybyDay[[#This Row],[Date]])</f>
        <v>0</v>
      </c>
      <c r="S875" s="35">
        <f>SUMIFS(DaybyDay[Service-LY],DaybyDay[Date],"&gt;="&amp;$C$5,DaybyDay[RowYear],"&gt;="&amp;$C$4,DaybyDay[Date],"&lt;="&amp;DaybyDay[[#This Row],[Date]])</f>
        <v>0</v>
      </c>
      <c r="T875" s="35">
        <f>SUMIFS(DaybyDay[Retail-LY],DaybyDay[Date],"&gt;="&amp;$C$5,DaybyDay[RowYear],"&gt;="&amp;$C$4,DaybyDay[Date],"&lt;="&amp;DaybyDay[[#This Row],[Date]])</f>
        <v>0</v>
      </c>
      <c r="U875" s="32">
        <f>DaybyDay[[#This Row],[Serv-Bud-RU]]+DaybyDay[[#This Row],[Ret-Bud-RU]]</f>
        <v>0</v>
      </c>
      <c r="V875" s="32">
        <f>DaybyDay[[#This Row],[Serv-Act-RU]]+DaybyDay[[#This Row],[Ret-Act-RU]]</f>
        <v>0</v>
      </c>
      <c r="W875" s="36">
        <f>IF(DaybyDay[[#This Row],[_Space]],IFERROR(
((DaybyDay[[#This Row],[Actual-Rollup]]-DaybyDay[[#This Row],[Budget-Rollup]])/DaybyDay[[#This Row],[Budget-Rollup]]),0),"")</f>
        <v>0</v>
      </c>
      <c r="X875" t="b">
        <f>NOT(AND(ISBLANK(DaybyDay[[#This Row],[Appts]]),ISBLANK(DaybyDay[[#This Row],[Service-Actuals]]),ISBLANK(DaybyDay[[#This Row],[Retail-Actuals]])))</f>
        <v>1</v>
      </c>
      <c r="Y875" s="36">
        <f>IF(DaybyDay[[#This Row],[_Space]],IFERROR(
((DaybyDay[[#This Row],[Actual-Rollup]]-DaybyDay[[#This Row],[LY-Rollup]])/DaybyDay[[#This Row],[LY-Rollup]]),0),"")</f>
        <v>0</v>
      </c>
      <c r="Z875"/>
      <c r="AA875" s="37" t="e">
        <f>IF(DaybyDay[[#This Row],[_Space]],DaybyDay[[#This Row],[Ret-Act-RU]]/DaybyDay[[#This Row],[Serv-Act-RU]],"")</f>
        <v>#DIV/0!</v>
      </c>
      <c r="AB875" s="50" t="e">
        <f>IF(DaybyDay[[#This Row],[_Space]],DaybyDay[[#This Row],[RETPEN-Act]]/DaybyDay[[#This Row],[RETPEN-Bud]],"")</f>
        <v>#DIV/0!</v>
      </c>
      <c r="AC875" s="37" t="e">
        <f>IF(DaybyDay[[#This Row],[_Space]],DaybyDay[[#This Row],[Ret-Bud-RU]]/DaybyDay[[#This Row],[Serv-Bud-RU]],"")</f>
        <v>#DIV/0!</v>
      </c>
      <c r="AD875" s="37" t="e">
        <f>IF(DaybyDay[[#This Row],[_Space]],DaybyDay[[#This Row],[Ret-LY-RU]]/DaybyDay[[#This Row],[Serv-LY-RU]],"")</f>
        <v>#DIV/0!</v>
      </c>
      <c r="AE875" s="30">
        <f>WEEKDAY(DaybyDay[[#This Row],[LY-Date]])</f>
        <v>1</v>
      </c>
      <c r="AF875" s="38">
        <f>$E$2+_xlfn.DAYS(DaybyDay[[#This Row],[Date]],minDate)</f>
        <v>43240</v>
      </c>
      <c r="AG875" s="39" cm="1">
        <f t="array" ref="AG875">IFERROR(INDEX(DaybyDay[],DaybyDay[[#This Row],[FORM_MATCH_HELPER]],8),"")</f>
        <v>19</v>
      </c>
      <c r="AH875" s="39" cm="1">
        <f t="array" ref="AH875">IFERROR(INDEX(DaybyDay[],DaybyDay[[#This Row],[FORM_MATCH_HELPER]],10),"")</f>
        <v>2218.6</v>
      </c>
      <c r="AI875" s="39" cm="1">
        <f t="array" ref="AI875">IFERROR(INDEX(DaybyDay[],DaybyDay[[#This Row],[FORM_MATCH_HELPER]],12),"")</f>
        <v>1919.6</v>
      </c>
      <c r="AJ875" s="32">
        <f>IFERROR(DaybyDay[[#This Row],[Serv-LY-RU]]+DaybyDay[[#This Row],[Ret-LY-RU]],"")</f>
        <v>0</v>
      </c>
      <c r="AK8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5" s="77"/>
      <c r="AM875" s="40" t="str">
        <f>IF(DaybyDay[[#This Row],[Admin Hours]]&gt;0,DaybyDay[[#This Row],[Admin Hours]]*$AM$2+$AM$3,"")</f>
        <v/>
      </c>
      <c r="AN875" s="40">
        <f>SUMIFS(DaybyDay[Est-Admin-Payroll],DaybyDay[Date],"&gt;="&amp;$C$5,DaybyDay[RowYear],"&gt;="&amp;$C$4,DaybyDay[Date],"&lt;="&amp;DaybyDay[[#This Row],[Date]])</f>
        <v>0</v>
      </c>
      <c r="AO875" s="41" t="str">
        <f>IF(AND(DaybyDay[[#This Row],[_Space]],ISNUMBER(DaybyDay[[#This Row],[Admin Hours]])),DaybyDay[[#This Row],[Est-Admin-Payroll]]/(DaybyDay[[#This Row],[Service-Actuals]]+DaybyDay[[#This Row],[Retail-Actuals]]),"")</f>
        <v/>
      </c>
      <c r="AP875" s="41" t="e">
        <f>DaybyDay[[#This Row],[Estimated-Payroll-Rollup]]/DaybyDay[[#This Row],[Simple-Forecast]]</f>
        <v>#DIV/0!</v>
      </c>
      <c r="AQ8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5" s="77"/>
      <c r="AS875" s="40" t="str">
        <f>IF(DaybyDay[[#This Row],[Retail Hours]]&gt;0,DaybyDay[[#This Row],[Retail Hours]]*$AS$2,"")</f>
        <v/>
      </c>
      <c r="AT875" s="40">
        <f>SUMIFS(DaybyDay[Est-Retail-Payroll],DaybyDay[Date],"&gt;="&amp;$C$5,DaybyDay[RowYear],"&gt;="&amp;$C$4,DaybyDay[Date],"&lt;="&amp;DaybyDay[[#This Row],[Date]])</f>
        <v>0</v>
      </c>
      <c r="AU875" s="82" t="str">
        <f>IF(AND(DaybyDay[[#This Row],[_Space]],ISNUMBER(DaybyDay[[#This Row],[Retail Hours]])),DaybyDay[[#This Row],[Est-Retail-Payroll]]/(DaybyDay[[#This Row],[Retail-Actuals]]),"")</f>
        <v/>
      </c>
      <c r="AV875" s="82" t="e">
        <f>DaybyDay[[#This Row],[Est-Retail-PayrollRU]]/DaybyDay[[#This Row],[Simple-Forecast-Retail]]</f>
        <v>#DIV/0!</v>
      </c>
      <c r="AW875" s="8"/>
      <c r="AX875" s="49"/>
      <c r="AY875" s="48"/>
      <c r="AZ875" s="47"/>
      <c r="BA875" s="47"/>
      <c r="BB875" s="47"/>
      <c r="BC875" s="47"/>
      <c r="BD875" s="47"/>
    </row>
    <row r="876" spans="3:56" hidden="1" x14ac:dyDescent="0.25">
      <c r="C876" s="26" t="str">
        <f>Tools!$C$1</f>
        <v>Example</v>
      </c>
      <c r="D876" s="27" t="s">
        <v>72</v>
      </c>
      <c r="E876" s="28">
        <v>2019</v>
      </c>
      <c r="F876" s="28">
        <f>MATCH(DaybyDay[[#This Row],[RowMonth]],Table3[SummaryMonth],0)</f>
        <v>5</v>
      </c>
      <c r="G876" s="29">
        <f>MATCH(DaybyDay[[#This Row],[LY-Date]],DaybyDay[Date],0)</f>
        <v>506</v>
      </c>
      <c r="H876" s="30">
        <f>WEEKDAY(DaybyDay[[#This Row],[Date]])</f>
        <v>2</v>
      </c>
      <c r="I876" s="31">
        <v>43605</v>
      </c>
      <c r="J876" s="74">
        <v>21</v>
      </c>
      <c r="K876" s="32">
        <f>SUMIFS(BudgetSeasonality[365 Seasonality],BudgetSeasonality[MonthAdjustment],DaybyDay[[#This Row],[Date]])*SUMIFS(Budgets[Service-Budget],Budgets[BudgetMonth],DaybyDay[[#This Row],[RowMonth]],Budgets[BudgetYear],DaybyDay[[#This Row],[RowYear]])</f>
        <v>3569.9677147990074</v>
      </c>
      <c r="L876" s="75">
        <v>4856.8</v>
      </c>
      <c r="M876" s="32">
        <f>INDEX(BudgetSeasonality[365 Seasonality],MATCH(DaybyDay[[#This Row],[Date]],BudgetSeasonality[MonthAdjustment],0))*SUMIFS(Budgets[Retail-Budget],Budgets[BudgetMonth],DaybyDay[[#This Row],[RowMonth]],Budgets[BudgetYear],DaybyDay[[#This Row],[RowYear]])</f>
        <v>849.6003356159265</v>
      </c>
      <c r="N876" s="75">
        <v>452</v>
      </c>
      <c r="O876" s="33">
        <f>SUMIFS(DaybyDay[Service-Budgets],DaybyDay[Date],"&gt;="&amp;$C$5,DaybyDay[RowYear],"&gt;="&amp;$C$4,DaybyDay[Date],"&lt;="&amp;DaybyDay[[#This Row],[Date]])</f>
        <v>0</v>
      </c>
      <c r="P876" s="33">
        <f>SUMIFS(DaybyDay[Retail-Budgets],DaybyDay[Date],"&gt;="&amp;$C$5,DaybyDay[RowYear],"&gt;="&amp;$C$4,DaybyDay[Date],"&lt;="&amp;DaybyDay[[#This Row],[Date]])</f>
        <v>0</v>
      </c>
      <c r="Q876" s="34">
        <f>SUMIFS(DaybyDay[Service-Actuals],DaybyDay[Date],"&gt;="&amp;$C$5,DaybyDay[RowYear],"&gt;="&amp;$C$4,DaybyDay[Date],"&lt;="&amp;DaybyDay[[#This Row],[Date]])</f>
        <v>0</v>
      </c>
      <c r="R876" s="34">
        <f>SUMIFS(DaybyDay[Retail-Actuals],DaybyDay[Date],"&gt;="&amp;$C$5,DaybyDay[RowYear],"&gt;="&amp;$C$4,DaybyDay[Date],"&lt;="&amp;DaybyDay[[#This Row],[Date]])</f>
        <v>0</v>
      </c>
      <c r="S876" s="35">
        <f>SUMIFS(DaybyDay[Service-LY],DaybyDay[Date],"&gt;="&amp;$C$5,DaybyDay[RowYear],"&gt;="&amp;$C$4,DaybyDay[Date],"&lt;="&amp;DaybyDay[[#This Row],[Date]])</f>
        <v>0</v>
      </c>
      <c r="T876" s="35">
        <f>SUMIFS(DaybyDay[Retail-LY],DaybyDay[Date],"&gt;="&amp;$C$5,DaybyDay[RowYear],"&gt;="&amp;$C$4,DaybyDay[Date],"&lt;="&amp;DaybyDay[[#This Row],[Date]])</f>
        <v>0</v>
      </c>
      <c r="U876" s="32">
        <f>DaybyDay[[#This Row],[Serv-Bud-RU]]+DaybyDay[[#This Row],[Ret-Bud-RU]]</f>
        <v>0</v>
      </c>
      <c r="V876" s="32">
        <f>DaybyDay[[#This Row],[Serv-Act-RU]]+DaybyDay[[#This Row],[Ret-Act-RU]]</f>
        <v>0</v>
      </c>
      <c r="W876" s="36">
        <f>IF(DaybyDay[[#This Row],[_Space]],IFERROR(
((DaybyDay[[#This Row],[Actual-Rollup]]-DaybyDay[[#This Row],[Budget-Rollup]])/DaybyDay[[#This Row],[Budget-Rollup]]),0),"")</f>
        <v>0</v>
      </c>
      <c r="X876" t="b">
        <f>NOT(AND(ISBLANK(DaybyDay[[#This Row],[Appts]]),ISBLANK(DaybyDay[[#This Row],[Service-Actuals]]),ISBLANK(DaybyDay[[#This Row],[Retail-Actuals]])))</f>
        <v>1</v>
      </c>
      <c r="Y876" s="36">
        <f>IF(DaybyDay[[#This Row],[_Space]],IFERROR(
((DaybyDay[[#This Row],[Actual-Rollup]]-DaybyDay[[#This Row],[LY-Rollup]])/DaybyDay[[#This Row],[LY-Rollup]]),0),"")</f>
        <v>0</v>
      </c>
      <c r="Z876"/>
      <c r="AA876" s="37" t="e">
        <f>IF(DaybyDay[[#This Row],[_Space]],DaybyDay[[#This Row],[Ret-Act-RU]]/DaybyDay[[#This Row],[Serv-Act-RU]],"")</f>
        <v>#DIV/0!</v>
      </c>
      <c r="AB876" s="50" t="e">
        <f>IF(DaybyDay[[#This Row],[_Space]],DaybyDay[[#This Row],[RETPEN-Act]]/DaybyDay[[#This Row],[RETPEN-Bud]],"")</f>
        <v>#DIV/0!</v>
      </c>
      <c r="AC876" s="37" t="e">
        <f>IF(DaybyDay[[#This Row],[_Space]],DaybyDay[[#This Row],[Ret-Bud-RU]]/DaybyDay[[#This Row],[Serv-Bud-RU]],"")</f>
        <v>#DIV/0!</v>
      </c>
      <c r="AD876" s="37" t="e">
        <f>IF(DaybyDay[[#This Row],[_Space]],DaybyDay[[#This Row],[Ret-LY-RU]]/DaybyDay[[#This Row],[Serv-LY-RU]],"")</f>
        <v>#DIV/0!</v>
      </c>
      <c r="AE876" s="30">
        <f>WEEKDAY(DaybyDay[[#This Row],[LY-Date]])</f>
        <v>2</v>
      </c>
      <c r="AF876" s="38">
        <f>$E$2+_xlfn.DAYS(DaybyDay[[#This Row],[Date]],minDate)</f>
        <v>43241</v>
      </c>
      <c r="AG876" s="39" cm="1">
        <f t="array" ref="AG876">IFERROR(INDEX(DaybyDay[],DaybyDay[[#This Row],[FORM_MATCH_HELPER]],8),"")</f>
        <v>19</v>
      </c>
      <c r="AH876" s="39" cm="1">
        <f t="array" ref="AH876">IFERROR(INDEX(DaybyDay[],DaybyDay[[#This Row],[FORM_MATCH_HELPER]],10),"")</f>
        <v>3651.1</v>
      </c>
      <c r="AI876" s="39" cm="1">
        <f t="array" ref="AI876">IFERROR(INDEX(DaybyDay[],DaybyDay[[#This Row],[FORM_MATCH_HELPER]],12),"")</f>
        <v>1290</v>
      </c>
      <c r="AJ876" s="32">
        <f>IFERROR(DaybyDay[[#This Row],[Serv-LY-RU]]+DaybyDay[[#This Row],[Ret-LY-RU]],"")</f>
        <v>0</v>
      </c>
      <c r="AK8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6" s="77"/>
      <c r="AM876" s="40" t="str">
        <f>IF(DaybyDay[[#This Row],[Admin Hours]]&gt;0,DaybyDay[[#This Row],[Admin Hours]]*$AM$2+$AM$3,"")</f>
        <v/>
      </c>
      <c r="AN876" s="40">
        <f>SUMIFS(DaybyDay[Est-Admin-Payroll],DaybyDay[Date],"&gt;="&amp;$C$5,DaybyDay[RowYear],"&gt;="&amp;$C$4,DaybyDay[Date],"&lt;="&amp;DaybyDay[[#This Row],[Date]])</f>
        <v>0</v>
      </c>
      <c r="AO876" s="41" t="str">
        <f>IF(AND(DaybyDay[[#This Row],[_Space]],ISNUMBER(DaybyDay[[#This Row],[Admin Hours]])),DaybyDay[[#This Row],[Est-Admin-Payroll]]/(DaybyDay[[#This Row],[Service-Actuals]]+DaybyDay[[#This Row],[Retail-Actuals]]),"")</f>
        <v/>
      </c>
      <c r="AP876" s="41" t="e">
        <f>DaybyDay[[#This Row],[Estimated-Payroll-Rollup]]/DaybyDay[[#This Row],[Simple-Forecast]]</f>
        <v>#DIV/0!</v>
      </c>
      <c r="AQ8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6" s="77"/>
      <c r="AS876" s="40" t="str">
        <f>IF(DaybyDay[[#This Row],[Retail Hours]]&gt;0,DaybyDay[[#This Row],[Retail Hours]]*$AS$2,"")</f>
        <v/>
      </c>
      <c r="AT876" s="40">
        <f>SUMIFS(DaybyDay[Est-Retail-Payroll],DaybyDay[Date],"&gt;="&amp;$C$5,DaybyDay[RowYear],"&gt;="&amp;$C$4,DaybyDay[Date],"&lt;="&amp;DaybyDay[[#This Row],[Date]])</f>
        <v>0</v>
      </c>
      <c r="AU876" s="82" t="str">
        <f>IF(AND(DaybyDay[[#This Row],[_Space]],ISNUMBER(DaybyDay[[#This Row],[Retail Hours]])),DaybyDay[[#This Row],[Est-Retail-Payroll]]/(DaybyDay[[#This Row],[Retail-Actuals]]),"")</f>
        <v/>
      </c>
      <c r="AV876" s="82" t="e">
        <f>DaybyDay[[#This Row],[Est-Retail-PayrollRU]]/DaybyDay[[#This Row],[Simple-Forecast-Retail]]</f>
        <v>#DIV/0!</v>
      </c>
      <c r="AW876" s="8"/>
      <c r="AX876" s="49"/>
      <c r="AY876" s="48"/>
      <c r="AZ876" s="47"/>
      <c r="BA876" s="47"/>
      <c r="BB876" s="47"/>
      <c r="BC876" s="47"/>
      <c r="BD876" s="47"/>
    </row>
    <row r="877" spans="3:56" hidden="1" x14ac:dyDescent="0.25">
      <c r="C877" s="26" t="str">
        <f>Tools!$C$1</f>
        <v>Example</v>
      </c>
      <c r="D877" s="27" t="s">
        <v>72</v>
      </c>
      <c r="E877" s="28">
        <v>2019</v>
      </c>
      <c r="F877" s="28">
        <f>MATCH(DaybyDay[[#This Row],[RowMonth]],Table3[SummaryMonth],0)</f>
        <v>5</v>
      </c>
      <c r="G877" s="29">
        <f>MATCH(DaybyDay[[#This Row],[LY-Date]],DaybyDay[Date],0)</f>
        <v>507</v>
      </c>
      <c r="H877" s="30">
        <f>WEEKDAY(DaybyDay[[#This Row],[Date]])</f>
        <v>3</v>
      </c>
      <c r="I877" s="31">
        <v>43606</v>
      </c>
      <c r="J877" s="74">
        <v>12</v>
      </c>
      <c r="K877" s="32">
        <f>SUMIFS(BudgetSeasonality[365 Seasonality],BudgetSeasonality[MonthAdjustment],DaybyDay[[#This Row],[Date]])*SUMIFS(Budgets[Service-Budget],Budgets[BudgetMonth],DaybyDay[[#This Row],[RowMonth]],Budgets[BudgetYear],DaybyDay[[#This Row],[RowYear]])</f>
        <v>3647.1551539432166</v>
      </c>
      <c r="L877" s="75">
        <v>2368.4799999999996</v>
      </c>
      <c r="M877" s="32">
        <f>INDEX(BudgetSeasonality[365 Seasonality],MATCH(DaybyDay[[#This Row],[Date]],BudgetSeasonality[MonthAdjustment],0))*SUMIFS(Budgets[Retail-Budget],Budgets[BudgetMonth],DaybyDay[[#This Row],[RowMonth]],Budgets[BudgetYear],DaybyDay[[#This Row],[RowYear]])</f>
        <v>867.96982224472811</v>
      </c>
      <c r="N877" s="75">
        <v>570.45000000000005</v>
      </c>
      <c r="O877" s="33">
        <f>SUMIFS(DaybyDay[Service-Budgets],DaybyDay[Date],"&gt;="&amp;$C$5,DaybyDay[RowYear],"&gt;="&amp;$C$4,DaybyDay[Date],"&lt;="&amp;DaybyDay[[#This Row],[Date]])</f>
        <v>0</v>
      </c>
      <c r="P877" s="33">
        <f>SUMIFS(DaybyDay[Retail-Budgets],DaybyDay[Date],"&gt;="&amp;$C$5,DaybyDay[RowYear],"&gt;="&amp;$C$4,DaybyDay[Date],"&lt;="&amp;DaybyDay[[#This Row],[Date]])</f>
        <v>0</v>
      </c>
      <c r="Q877" s="34">
        <f>SUMIFS(DaybyDay[Service-Actuals],DaybyDay[Date],"&gt;="&amp;$C$5,DaybyDay[RowYear],"&gt;="&amp;$C$4,DaybyDay[Date],"&lt;="&amp;DaybyDay[[#This Row],[Date]])</f>
        <v>0</v>
      </c>
      <c r="R877" s="34">
        <f>SUMIFS(DaybyDay[Retail-Actuals],DaybyDay[Date],"&gt;="&amp;$C$5,DaybyDay[RowYear],"&gt;="&amp;$C$4,DaybyDay[Date],"&lt;="&amp;DaybyDay[[#This Row],[Date]])</f>
        <v>0</v>
      </c>
      <c r="S877" s="35">
        <f>SUMIFS(DaybyDay[Service-LY],DaybyDay[Date],"&gt;="&amp;$C$5,DaybyDay[RowYear],"&gt;="&amp;$C$4,DaybyDay[Date],"&lt;="&amp;DaybyDay[[#This Row],[Date]])</f>
        <v>0</v>
      </c>
      <c r="T877" s="35">
        <f>SUMIFS(DaybyDay[Retail-LY],DaybyDay[Date],"&gt;="&amp;$C$5,DaybyDay[RowYear],"&gt;="&amp;$C$4,DaybyDay[Date],"&lt;="&amp;DaybyDay[[#This Row],[Date]])</f>
        <v>0</v>
      </c>
      <c r="U877" s="32">
        <f>DaybyDay[[#This Row],[Serv-Bud-RU]]+DaybyDay[[#This Row],[Ret-Bud-RU]]</f>
        <v>0</v>
      </c>
      <c r="V877" s="32">
        <f>DaybyDay[[#This Row],[Serv-Act-RU]]+DaybyDay[[#This Row],[Ret-Act-RU]]</f>
        <v>0</v>
      </c>
      <c r="W877" s="36">
        <f>IF(DaybyDay[[#This Row],[_Space]],IFERROR(
((DaybyDay[[#This Row],[Actual-Rollup]]-DaybyDay[[#This Row],[Budget-Rollup]])/DaybyDay[[#This Row],[Budget-Rollup]]),0),"")</f>
        <v>0</v>
      </c>
      <c r="X877" t="b">
        <f>NOT(AND(ISBLANK(DaybyDay[[#This Row],[Appts]]),ISBLANK(DaybyDay[[#This Row],[Service-Actuals]]),ISBLANK(DaybyDay[[#This Row],[Retail-Actuals]])))</f>
        <v>1</v>
      </c>
      <c r="Y877" s="36">
        <f>IF(DaybyDay[[#This Row],[_Space]],IFERROR(
((DaybyDay[[#This Row],[Actual-Rollup]]-DaybyDay[[#This Row],[LY-Rollup]])/DaybyDay[[#This Row],[LY-Rollup]]),0),"")</f>
        <v>0</v>
      </c>
      <c r="Z877"/>
      <c r="AA877" s="37" t="e">
        <f>IF(DaybyDay[[#This Row],[_Space]],DaybyDay[[#This Row],[Ret-Act-RU]]/DaybyDay[[#This Row],[Serv-Act-RU]],"")</f>
        <v>#DIV/0!</v>
      </c>
      <c r="AB877" s="50" t="e">
        <f>IF(DaybyDay[[#This Row],[_Space]],DaybyDay[[#This Row],[RETPEN-Act]]/DaybyDay[[#This Row],[RETPEN-Bud]],"")</f>
        <v>#DIV/0!</v>
      </c>
      <c r="AC877" s="37" t="e">
        <f>IF(DaybyDay[[#This Row],[_Space]],DaybyDay[[#This Row],[Ret-Bud-RU]]/DaybyDay[[#This Row],[Serv-Bud-RU]],"")</f>
        <v>#DIV/0!</v>
      </c>
      <c r="AD877" s="37" t="e">
        <f>IF(DaybyDay[[#This Row],[_Space]],DaybyDay[[#This Row],[Ret-LY-RU]]/DaybyDay[[#This Row],[Serv-LY-RU]],"")</f>
        <v>#DIV/0!</v>
      </c>
      <c r="AE877" s="30">
        <f>WEEKDAY(DaybyDay[[#This Row],[LY-Date]])</f>
        <v>3</v>
      </c>
      <c r="AF877" s="38">
        <f>$E$2+_xlfn.DAYS(DaybyDay[[#This Row],[Date]],minDate)</f>
        <v>43242</v>
      </c>
      <c r="AG877" s="39" cm="1">
        <f t="array" ref="AG877">IFERROR(INDEX(DaybyDay[],DaybyDay[[#This Row],[FORM_MATCH_HELPER]],8),"")</f>
        <v>12</v>
      </c>
      <c r="AH877" s="39" cm="1">
        <f t="array" ref="AH877">IFERROR(INDEX(DaybyDay[],DaybyDay[[#This Row],[FORM_MATCH_HELPER]],10),"")</f>
        <v>1718.5</v>
      </c>
      <c r="AI877" s="39" cm="1">
        <f t="array" ref="AI877">IFERROR(INDEX(DaybyDay[],DaybyDay[[#This Row],[FORM_MATCH_HELPER]],12),"")</f>
        <v>377.6</v>
      </c>
      <c r="AJ877" s="32">
        <f>IFERROR(DaybyDay[[#This Row],[Serv-LY-RU]]+DaybyDay[[#This Row],[Ret-LY-RU]],"")</f>
        <v>0</v>
      </c>
      <c r="AK8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7" s="77"/>
      <c r="AM877" s="40" t="str">
        <f>IF(DaybyDay[[#This Row],[Admin Hours]]&gt;0,DaybyDay[[#This Row],[Admin Hours]]*$AM$2+$AM$3,"")</f>
        <v/>
      </c>
      <c r="AN877" s="40">
        <f>SUMIFS(DaybyDay[Est-Admin-Payroll],DaybyDay[Date],"&gt;="&amp;$C$5,DaybyDay[RowYear],"&gt;="&amp;$C$4,DaybyDay[Date],"&lt;="&amp;DaybyDay[[#This Row],[Date]])</f>
        <v>0</v>
      </c>
      <c r="AO877" s="41" t="str">
        <f>IF(AND(DaybyDay[[#This Row],[_Space]],ISNUMBER(DaybyDay[[#This Row],[Admin Hours]])),DaybyDay[[#This Row],[Est-Admin-Payroll]]/(DaybyDay[[#This Row],[Service-Actuals]]+DaybyDay[[#This Row],[Retail-Actuals]]),"")</f>
        <v/>
      </c>
      <c r="AP877" s="41" t="e">
        <f>DaybyDay[[#This Row],[Estimated-Payroll-Rollup]]/DaybyDay[[#This Row],[Simple-Forecast]]</f>
        <v>#DIV/0!</v>
      </c>
      <c r="AQ8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7" s="77"/>
      <c r="AS877" s="40" t="str">
        <f>IF(DaybyDay[[#This Row],[Retail Hours]]&gt;0,DaybyDay[[#This Row],[Retail Hours]]*$AS$2,"")</f>
        <v/>
      </c>
      <c r="AT877" s="40">
        <f>SUMIFS(DaybyDay[Est-Retail-Payroll],DaybyDay[Date],"&gt;="&amp;$C$5,DaybyDay[RowYear],"&gt;="&amp;$C$4,DaybyDay[Date],"&lt;="&amp;DaybyDay[[#This Row],[Date]])</f>
        <v>0</v>
      </c>
      <c r="AU877" s="82" t="str">
        <f>IF(AND(DaybyDay[[#This Row],[_Space]],ISNUMBER(DaybyDay[[#This Row],[Retail Hours]])),DaybyDay[[#This Row],[Est-Retail-Payroll]]/(DaybyDay[[#This Row],[Retail-Actuals]]),"")</f>
        <v/>
      </c>
      <c r="AV877" s="82" t="e">
        <f>DaybyDay[[#This Row],[Est-Retail-PayrollRU]]/DaybyDay[[#This Row],[Simple-Forecast-Retail]]</f>
        <v>#DIV/0!</v>
      </c>
      <c r="AW877" s="8"/>
      <c r="AX877" s="49"/>
      <c r="AY877" s="48"/>
      <c r="AZ877" s="47"/>
      <c r="BA877" s="47"/>
      <c r="BB877" s="47"/>
      <c r="BC877" s="47"/>
      <c r="BD877" s="47"/>
    </row>
    <row r="878" spans="3:56" hidden="1" x14ac:dyDescent="0.25">
      <c r="C878" s="26" t="str">
        <f>Tools!$C$1</f>
        <v>Example</v>
      </c>
      <c r="D878" s="27" t="s">
        <v>72</v>
      </c>
      <c r="E878" s="28">
        <v>2019</v>
      </c>
      <c r="F878" s="28">
        <f>MATCH(DaybyDay[[#This Row],[RowMonth]],Table3[SummaryMonth],0)</f>
        <v>5</v>
      </c>
      <c r="G878" s="29">
        <f>MATCH(DaybyDay[[#This Row],[LY-Date]],DaybyDay[Date],0)</f>
        <v>508</v>
      </c>
      <c r="H878" s="30">
        <f>WEEKDAY(DaybyDay[[#This Row],[Date]])</f>
        <v>4</v>
      </c>
      <c r="I878" s="31">
        <v>43607</v>
      </c>
      <c r="J878" s="74">
        <v>22</v>
      </c>
      <c r="K878" s="32">
        <f>SUMIFS(BudgetSeasonality[365 Seasonality],BudgetSeasonality[MonthAdjustment],DaybyDay[[#This Row],[Date]])*SUMIFS(Budgets[Service-Budget],Budgets[BudgetMonth],DaybyDay[[#This Row],[RowMonth]],Budgets[BudgetYear],DaybyDay[[#This Row],[RowYear]])</f>
        <v>4140.824924351854</v>
      </c>
      <c r="L878" s="75">
        <v>4590.3700000000008</v>
      </c>
      <c r="M878" s="32">
        <f>INDEX(BudgetSeasonality[365 Seasonality],MATCH(DaybyDay[[#This Row],[Date]],BudgetSeasonality[MonthAdjustment],0))*SUMIFS(Budgets[Retail-Budget],Budgets[BudgetMonth],DaybyDay[[#This Row],[RowMonth]],Budgets[BudgetYear],DaybyDay[[#This Row],[RowYear]])</f>
        <v>985.4560395244913</v>
      </c>
      <c r="N878" s="75">
        <v>969.4</v>
      </c>
      <c r="O878" s="33">
        <f>SUMIFS(DaybyDay[Service-Budgets],DaybyDay[Date],"&gt;="&amp;$C$5,DaybyDay[RowYear],"&gt;="&amp;$C$4,DaybyDay[Date],"&lt;="&amp;DaybyDay[[#This Row],[Date]])</f>
        <v>0</v>
      </c>
      <c r="P878" s="33">
        <f>SUMIFS(DaybyDay[Retail-Budgets],DaybyDay[Date],"&gt;="&amp;$C$5,DaybyDay[RowYear],"&gt;="&amp;$C$4,DaybyDay[Date],"&lt;="&amp;DaybyDay[[#This Row],[Date]])</f>
        <v>0</v>
      </c>
      <c r="Q878" s="34">
        <f>SUMIFS(DaybyDay[Service-Actuals],DaybyDay[Date],"&gt;="&amp;$C$5,DaybyDay[RowYear],"&gt;="&amp;$C$4,DaybyDay[Date],"&lt;="&amp;DaybyDay[[#This Row],[Date]])</f>
        <v>0</v>
      </c>
      <c r="R878" s="34">
        <f>SUMIFS(DaybyDay[Retail-Actuals],DaybyDay[Date],"&gt;="&amp;$C$5,DaybyDay[RowYear],"&gt;="&amp;$C$4,DaybyDay[Date],"&lt;="&amp;DaybyDay[[#This Row],[Date]])</f>
        <v>0</v>
      </c>
      <c r="S878" s="35">
        <f>SUMIFS(DaybyDay[Service-LY],DaybyDay[Date],"&gt;="&amp;$C$5,DaybyDay[RowYear],"&gt;="&amp;$C$4,DaybyDay[Date],"&lt;="&amp;DaybyDay[[#This Row],[Date]])</f>
        <v>0</v>
      </c>
      <c r="T878" s="35">
        <f>SUMIFS(DaybyDay[Retail-LY],DaybyDay[Date],"&gt;="&amp;$C$5,DaybyDay[RowYear],"&gt;="&amp;$C$4,DaybyDay[Date],"&lt;="&amp;DaybyDay[[#This Row],[Date]])</f>
        <v>0</v>
      </c>
      <c r="U878" s="32">
        <f>DaybyDay[[#This Row],[Serv-Bud-RU]]+DaybyDay[[#This Row],[Ret-Bud-RU]]</f>
        <v>0</v>
      </c>
      <c r="V878" s="32">
        <f>DaybyDay[[#This Row],[Serv-Act-RU]]+DaybyDay[[#This Row],[Ret-Act-RU]]</f>
        <v>0</v>
      </c>
      <c r="W878" s="36">
        <f>IF(DaybyDay[[#This Row],[_Space]],IFERROR(
((DaybyDay[[#This Row],[Actual-Rollup]]-DaybyDay[[#This Row],[Budget-Rollup]])/DaybyDay[[#This Row],[Budget-Rollup]]),0),"")</f>
        <v>0</v>
      </c>
      <c r="X878" t="b">
        <f>NOT(AND(ISBLANK(DaybyDay[[#This Row],[Appts]]),ISBLANK(DaybyDay[[#This Row],[Service-Actuals]]),ISBLANK(DaybyDay[[#This Row],[Retail-Actuals]])))</f>
        <v>1</v>
      </c>
      <c r="Y878" s="36">
        <f>IF(DaybyDay[[#This Row],[_Space]],IFERROR(
((DaybyDay[[#This Row],[Actual-Rollup]]-DaybyDay[[#This Row],[LY-Rollup]])/DaybyDay[[#This Row],[LY-Rollup]]),0),"")</f>
        <v>0</v>
      </c>
      <c r="Z878"/>
      <c r="AA878" s="37" t="e">
        <f>IF(DaybyDay[[#This Row],[_Space]],DaybyDay[[#This Row],[Ret-Act-RU]]/DaybyDay[[#This Row],[Serv-Act-RU]],"")</f>
        <v>#DIV/0!</v>
      </c>
      <c r="AB878" s="50" t="e">
        <f>IF(DaybyDay[[#This Row],[_Space]],DaybyDay[[#This Row],[RETPEN-Act]]/DaybyDay[[#This Row],[RETPEN-Bud]],"")</f>
        <v>#DIV/0!</v>
      </c>
      <c r="AC878" s="37" t="e">
        <f>IF(DaybyDay[[#This Row],[_Space]],DaybyDay[[#This Row],[Ret-Bud-RU]]/DaybyDay[[#This Row],[Serv-Bud-RU]],"")</f>
        <v>#DIV/0!</v>
      </c>
      <c r="AD878" s="37" t="e">
        <f>IF(DaybyDay[[#This Row],[_Space]],DaybyDay[[#This Row],[Ret-LY-RU]]/DaybyDay[[#This Row],[Serv-LY-RU]],"")</f>
        <v>#DIV/0!</v>
      </c>
      <c r="AE878" s="30">
        <f>WEEKDAY(DaybyDay[[#This Row],[LY-Date]])</f>
        <v>4</v>
      </c>
      <c r="AF878" s="38">
        <f>$E$2+_xlfn.DAYS(DaybyDay[[#This Row],[Date]],minDate)</f>
        <v>43243</v>
      </c>
      <c r="AG878" s="39" cm="1">
        <f t="array" ref="AG878">IFERROR(INDEX(DaybyDay[],DaybyDay[[#This Row],[FORM_MATCH_HELPER]],8),"")</f>
        <v>30</v>
      </c>
      <c r="AH878" s="39" cm="1">
        <f t="array" ref="AH878">IFERROR(INDEX(DaybyDay[],DaybyDay[[#This Row],[FORM_MATCH_HELPER]],10),"")</f>
        <v>5947.6</v>
      </c>
      <c r="AI878" s="39" cm="1">
        <f t="array" ref="AI878">IFERROR(INDEX(DaybyDay[],DaybyDay[[#This Row],[FORM_MATCH_HELPER]],12),"")</f>
        <v>288.3</v>
      </c>
      <c r="AJ878" s="32">
        <f>IFERROR(DaybyDay[[#This Row],[Serv-LY-RU]]+DaybyDay[[#This Row],[Ret-LY-RU]],"")</f>
        <v>0</v>
      </c>
      <c r="AK8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8" s="77"/>
      <c r="AM878" s="40" t="str">
        <f>IF(DaybyDay[[#This Row],[Admin Hours]]&gt;0,DaybyDay[[#This Row],[Admin Hours]]*$AM$2+$AM$3,"")</f>
        <v/>
      </c>
      <c r="AN878" s="40">
        <f>SUMIFS(DaybyDay[Est-Admin-Payroll],DaybyDay[Date],"&gt;="&amp;$C$5,DaybyDay[RowYear],"&gt;="&amp;$C$4,DaybyDay[Date],"&lt;="&amp;DaybyDay[[#This Row],[Date]])</f>
        <v>0</v>
      </c>
      <c r="AO878" s="41" t="str">
        <f>IF(AND(DaybyDay[[#This Row],[_Space]],ISNUMBER(DaybyDay[[#This Row],[Admin Hours]])),DaybyDay[[#This Row],[Est-Admin-Payroll]]/(DaybyDay[[#This Row],[Service-Actuals]]+DaybyDay[[#This Row],[Retail-Actuals]]),"")</f>
        <v/>
      </c>
      <c r="AP878" s="41" t="e">
        <f>DaybyDay[[#This Row],[Estimated-Payroll-Rollup]]/DaybyDay[[#This Row],[Simple-Forecast]]</f>
        <v>#DIV/0!</v>
      </c>
      <c r="AQ8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8" s="77"/>
      <c r="AS878" s="40" t="str">
        <f>IF(DaybyDay[[#This Row],[Retail Hours]]&gt;0,DaybyDay[[#This Row],[Retail Hours]]*$AS$2,"")</f>
        <v/>
      </c>
      <c r="AT878" s="40">
        <f>SUMIFS(DaybyDay[Est-Retail-Payroll],DaybyDay[Date],"&gt;="&amp;$C$5,DaybyDay[RowYear],"&gt;="&amp;$C$4,DaybyDay[Date],"&lt;="&amp;DaybyDay[[#This Row],[Date]])</f>
        <v>0</v>
      </c>
      <c r="AU878" s="82" t="str">
        <f>IF(AND(DaybyDay[[#This Row],[_Space]],ISNUMBER(DaybyDay[[#This Row],[Retail Hours]])),DaybyDay[[#This Row],[Est-Retail-Payroll]]/(DaybyDay[[#This Row],[Retail-Actuals]]),"")</f>
        <v/>
      </c>
      <c r="AV878" s="82" t="e">
        <f>DaybyDay[[#This Row],[Est-Retail-PayrollRU]]/DaybyDay[[#This Row],[Simple-Forecast-Retail]]</f>
        <v>#DIV/0!</v>
      </c>
      <c r="AW878" s="8"/>
      <c r="AX878" s="49"/>
      <c r="AY878" s="48"/>
      <c r="AZ878" s="47"/>
      <c r="BA878" s="47"/>
      <c r="BB878" s="47"/>
      <c r="BC878" s="47"/>
      <c r="BD878" s="47"/>
    </row>
    <row r="879" spans="3:56" hidden="1" x14ac:dyDescent="0.25">
      <c r="C879" s="26" t="str">
        <f>Tools!$C$1</f>
        <v>Example</v>
      </c>
      <c r="D879" s="27" t="s">
        <v>72</v>
      </c>
      <c r="E879" s="28">
        <v>2019</v>
      </c>
      <c r="F879" s="28">
        <f>MATCH(DaybyDay[[#This Row],[RowMonth]],Table3[SummaryMonth],0)</f>
        <v>5</v>
      </c>
      <c r="G879" s="29">
        <f>MATCH(DaybyDay[[#This Row],[LY-Date]],DaybyDay[Date],0)</f>
        <v>509</v>
      </c>
      <c r="H879" s="30">
        <f>WEEKDAY(DaybyDay[[#This Row],[Date]])</f>
        <v>5</v>
      </c>
      <c r="I879" s="31">
        <v>43608</v>
      </c>
      <c r="J879" s="74">
        <v>19</v>
      </c>
      <c r="K879" s="32">
        <f>SUMIFS(BudgetSeasonality[365 Seasonality],BudgetSeasonality[MonthAdjustment],DaybyDay[[#This Row],[Date]])*SUMIFS(Budgets[Service-Budget],Budgets[BudgetMonth],DaybyDay[[#This Row],[RowMonth]],Budgets[BudgetYear],DaybyDay[[#This Row],[RowYear]])</f>
        <v>4207.1529623850447</v>
      </c>
      <c r="L879" s="75">
        <v>4756.8999999999996</v>
      </c>
      <c r="M879" s="32">
        <f>INDEX(BudgetSeasonality[365 Seasonality],MATCH(DaybyDay[[#This Row],[Date]],BudgetSeasonality[MonthAdjustment],0))*SUMIFS(Budgets[Retail-Budget],Budgets[BudgetMonth],DaybyDay[[#This Row],[RowMonth]],Budgets[BudgetYear],DaybyDay[[#This Row],[RowYear]])</f>
        <v>1001.2411468071541</v>
      </c>
      <c r="N879" s="75">
        <v>1289.8</v>
      </c>
      <c r="O879" s="33">
        <f>SUMIFS(DaybyDay[Service-Budgets],DaybyDay[Date],"&gt;="&amp;$C$5,DaybyDay[RowYear],"&gt;="&amp;$C$4,DaybyDay[Date],"&lt;="&amp;DaybyDay[[#This Row],[Date]])</f>
        <v>0</v>
      </c>
      <c r="P879" s="33">
        <f>SUMIFS(DaybyDay[Retail-Budgets],DaybyDay[Date],"&gt;="&amp;$C$5,DaybyDay[RowYear],"&gt;="&amp;$C$4,DaybyDay[Date],"&lt;="&amp;DaybyDay[[#This Row],[Date]])</f>
        <v>0</v>
      </c>
      <c r="Q879" s="34">
        <f>SUMIFS(DaybyDay[Service-Actuals],DaybyDay[Date],"&gt;="&amp;$C$5,DaybyDay[RowYear],"&gt;="&amp;$C$4,DaybyDay[Date],"&lt;="&amp;DaybyDay[[#This Row],[Date]])</f>
        <v>0</v>
      </c>
      <c r="R879" s="34">
        <f>SUMIFS(DaybyDay[Retail-Actuals],DaybyDay[Date],"&gt;="&amp;$C$5,DaybyDay[RowYear],"&gt;="&amp;$C$4,DaybyDay[Date],"&lt;="&amp;DaybyDay[[#This Row],[Date]])</f>
        <v>0</v>
      </c>
      <c r="S879" s="35">
        <f>SUMIFS(DaybyDay[Service-LY],DaybyDay[Date],"&gt;="&amp;$C$5,DaybyDay[RowYear],"&gt;="&amp;$C$4,DaybyDay[Date],"&lt;="&amp;DaybyDay[[#This Row],[Date]])</f>
        <v>0</v>
      </c>
      <c r="T879" s="35">
        <f>SUMIFS(DaybyDay[Retail-LY],DaybyDay[Date],"&gt;="&amp;$C$5,DaybyDay[RowYear],"&gt;="&amp;$C$4,DaybyDay[Date],"&lt;="&amp;DaybyDay[[#This Row],[Date]])</f>
        <v>0</v>
      </c>
      <c r="U879" s="32">
        <f>DaybyDay[[#This Row],[Serv-Bud-RU]]+DaybyDay[[#This Row],[Ret-Bud-RU]]</f>
        <v>0</v>
      </c>
      <c r="V879" s="32">
        <f>DaybyDay[[#This Row],[Serv-Act-RU]]+DaybyDay[[#This Row],[Ret-Act-RU]]</f>
        <v>0</v>
      </c>
      <c r="W879" s="36">
        <f>IF(DaybyDay[[#This Row],[_Space]],IFERROR(
((DaybyDay[[#This Row],[Actual-Rollup]]-DaybyDay[[#This Row],[Budget-Rollup]])/DaybyDay[[#This Row],[Budget-Rollup]]),0),"")</f>
        <v>0</v>
      </c>
      <c r="X879" t="b">
        <f>NOT(AND(ISBLANK(DaybyDay[[#This Row],[Appts]]),ISBLANK(DaybyDay[[#This Row],[Service-Actuals]]),ISBLANK(DaybyDay[[#This Row],[Retail-Actuals]])))</f>
        <v>1</v>
      </c>
      <c r="Y879" s="36">
        <f>IF(DaybyDay[[#This Row],[_Space]],IFERROR(
((DaybyDay[[#This Row],[Actual-Rollup]]-DaybyDay[[#This Row],[LY-Rollup]])/DaybyDay[[#This Row],[LY-Rollup]]),0),"")</f>
        <v>0</v>
      </c>
      <c r="Z879"/>
      <c r="AA879" s="37" t="e">
        <f>IF(DaybyDay[[#This Row],[_Space]],DaybyDay[[#This Row],[Ret-Act-RU]]/DaybyDay[[#This Row],[Serv-Act-RU]],"")</f>
        <v>#DIV/0!</v>
      </c>
      <c r="AB879" s="50" t="e">
        <f>IF(DaybyDay[[#This Row],[_Space]],DaybyDay[[#This Row],[RETPEN-Act]]/DaybyDay[[#This Row],[RETPEN-Bud]],"")</f>
        <v>#DIV/0!</v>
      </c>
      <c r="AC879" s="37" t="e">
        <f>IF(DaybyDay[[#This Row],[_Space]],DaybyDay[[#This Row],[Ret-Bud-RU]]/DaybyDay[[#This Row],[Serv-Bud-RU]],"")</f>
        <v>#DIV/0!</v>
      </c>
      <c r="AD879" s="37" t="e">
        <f>IF(DaybyDay[[#This Row],[_Space]],DaybyDay[[#This Row],[Ret-LY-RU]]/DaybyDay[[#This Row],[Serv-LY-RU]],"")</f>
        <v>#DIV/0!</v>
      </c>
      <c r="AE879" s="30">
        <f>WEEKDAY(DaybyDay[[#This Row],[LY-Date]])</f>
        <v>5</v>
      </c>
      <c r="AF879" s="38">
        <f>$E$2+_xlfn.DAYS(DaybyDay[[#This Row],[Date]],minDate)</f>
        <v>43244</v>
      </c>
      <c r="AG879" s="39" cm="1">
        <f t="array" ref="AG879">IFERROR(INDEX(DaybyDay[],DaybyDay[[#This Row],[FORM_MATCH_HELPER]],8),"")</f>
        <v>22</v>
      </c>
      <c r="AH879" s="39" cm="1">
        <f t="array" ref="AH879">IFERROR(INDEX(DaybyDay[],DaybyDay[[#This Row],[FORM_MATCH_HELPER]],10),"")</f>
        <v>4525.25</v>
      </c>
      <c r="AI879" s="39" cm="1">
        <f t="array" ref="AI879">IFERROR(INDEX(DaybyDay[],DaybyDay[[#This Row],[FORM_MATCH_HELPER]],12),"")</f>
        <v>1347</v>
      </c>
      <c r="AJ879" s="32">
        <f>IFERROR(DaybyDay[[#This Row],[Serv-LY-RU]]+DaybyDay[[#This Row],[Ret-LY-RU]],"")</f>
        <v>0</v>
      </c>
      <c r="AK8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79" s="77"/>
      <c r="AM879" s="40" t="str">
        <f>IF(DaybyDay[[#This Row],[Admin Hours]]&gt;0,DaybyDay[[#This Row],[Admin Hours]]*$AM$2+$AM$3,"")</f>
        <v/>
      </c>
      <c r="AN879" s="40">
        <f>SUMIFS(DaybyDay[Est-Admin-Payroll],DaybyDay[Date],"&gt;="&amp;$C$5,DaybyDay[RowYear],"&gt;="&amp;$C$4,DaybyDay[Date],"&lt;="&amp;DaybyDay[[#This Row],[Date]])</f>
        <v>0</v>
      </c>
      <c r="AO879" s="41" t="str">
        <f>IF(AND(DaybyDay[[#This Row],[_Space]],ISNUMBER(DaybyDay[[#This Row],[Admin Hours]])),DaybyDay[[#This Row],[Est-Admin-Payroll]]/(DaybyDay[[#This Row],[Service-Actuals]]+DaybyDay[[#This Row],[Retail-Actuals]]),"")</f>
        <v/>
      </c>
      <c r="AP879" s="41" t="e">
        <f>DaybyDay[[#This Row],[Estimated-Payroll-Rollup]]/DaybyDay[[#This Row],[Simple-Forecast]]</f>
        <v>#DIV/0!</v>
      </c>
      <c r="AQ8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79" s="77"/>
      <c r="AS879" s="40" t="str">
        <f>IF(DaybyDay[[#This Row],[Retail Hours]]&gt;0,DaybyDay[[#This Row],[Retail Hours]]*$AS$2,"")</f>
        <v/>
      </c>
      <c r="AT879" s="40">
        <f>SUMIFS(DaybyDay[Est-Retail-Payroll],DaybyDay[Date],"&gt;="&amp;$C$5,DaybyDay[RowYear],"&gt;="&amp;$C$4,DaybyDay[Date],"&lt;="&amp;DaybyDay[[#This Row],[Date]])</f>
        <v>0</v>
      </c>
      <c r="AU879" s="82" t="str">
        <f>IF(AND(DaybyDay[[#This Row],[_Space]],ISNUMBER(DaybyDay[[#This Row],[Retail Hours]])),DaybyDay[[#This Row],[Est-Retail-Payroll]]/(DaybyDay[[#This Row],[Retail-Actuals]]),"")</f>
        <v/>
      </c>
      <c r="AV879" s="82" t="e">
        <f>DaybyDay[[#This Row],[Est-Retail-PayrollRU]]/DaybyDay[[#This Row],[Simple-Forecast-Retail]]</f>
        <v>#DIV/0!</v>
      </c>
      <c r="AW879" s="8"/>
      <c r="AX879" s="49"/>
      <c r="AY879" s="48"/>
      <c r="AZ879" s="47"/>
      <c r="BA879" s="47"/>
      <c r="BB879" s="47"/>
      <c r="BC879" s="47"/>
      <c r="BD879" s="47"/>
    </row>
    <row r="880" spans="3:56" hidden="1" x14ac:dyDescent="0.25">
      <c r="C880" s="26" t="str">
        <f>Tools!$C$1</f>
        <v>Example</v>
      </c>
      <c r="D880" s="27" t="s">
        <v>72</v>
      </c>
      <c r="E880" s="28">
        <v>2019</v>
      </c>
      <c r="F880" s="28">
        <f>MATCH(DaybyDay[[#This Row],[RowMonth]],Table3[SummaryMonth],0)</f>
        <v>5</v>
      </c>
      <c r="G880" s="29">
        <f>MATCH(DaybyDay[[#This Row],[LY-Date]],DaybyDay[Date],0)</f>
        <v>510</v>
      </c>
      <c r="H880" s="30">
        <f>WEEKDAY(DaybyDay[[#This Row],[Date]])</f>
        <v>6</v>
      </c>
      <c r="I880" s="31">
        <v>43609</v>
      </c>
      <c r="J880" s="74">
        <v>25</v>
      </c>
      <c r="K880" s="32">
        <f>SUMIFS(BudgetSeasonality[365 Seasonality],BudgetSeasonality[MonthAdjustment],DaybyDay[[#This Row],[Date]])*SUMIFS(Budgets[Service-Budget],Budgets[BudgetMonth],DaybyDay[[#This Row],[RowMonth]],Budgets[BudgetYear],DaybyDay[[#This Row],[RowYear]])</f>
        <v>5156.9699536807711</v>
      </c>
      <c r="L880" s="75">
        <v>6365.91</v>
      </c>
      <c r="M880" s="32">
        <f>INDEX(BudgetSeasonality[365 Seasonality],MATCH(DaybyDay[[#This Row],[Date]],BudgetSeasonality[MonthAdjustment],0))*SUMIFS(Budgets[Retail-Budget],Budgets[BudgetMonth],DaybyDay[[#This Row],[RowMonth]],Budgets[BudgetYear],DaybyDay[[#This Row],[RowYear]])</f>
        <v>1227.283760927543</v>
      </c>
      <c r="N880" s="75">
        <v>4077.19</v>
      </c>
      <c r="O880" s="33">
        <f>SUMIFS(DaybyDay[Service-Budgets],DaybyDay[Date],"&gt;="&amp;$C$5,DaybyDay[RowYear],"&gt;="&amp;$C$4,DaybyDay[Date],"&lt;="&amp;DaybyDay[[#This Row],[Date]])</f>
        <v>0</v>
      </c>
      <c r="P880" s="33">
        <f>SUMIFS(DaybyDay[Retail-Budgets],DaybyDay[Date],"&gt;="&amp;$C$5,DaybyDay[RowYear],"&gt;="&amp;$C$4,DaybyDay[Date],"&lt;="&amp;DaybyDay[[#This Row],[Date]])</f>
        <v>0</v>
      </c>
      <c r="Q880" s="34">
        <f>SUMIFS(DaybyDay[Service-Actuals],DaybyDay[Date],"&gt;="&amp;$C$5,DaybyDay[RowYear],"&gt;="&amp;$C$4,DaybyDay[Date],"&lt;="&amp;DaybyDay[[#This Row],[Date]])</f>
        <v>0</v>
      </c>
      <c r="R880" s="34">
        <f>SUMIFS(DaybyDay[Retail-Actuals],DaybyDay[Date],"&gt;="&amp;$C$5,DaybyDay[RowYear],"&gt;="&amp;$C$4,DaybyDay[Date],"&lt;="&amp;DaybyDay[[#This Row],[Date]])</f>
        <v>0</v>
      </c>
      <c r="S880" s="35">
        <f>SUMIFS(DaybyDay[Service-LY],DaybyDay[Date],"&gt;="&amp;$C$5,DaybyDay[RowYear],"&gt;="&amp;$C$4,DaybyDay[Date],"&lt;="&amp;DaybyDay[[#This Row],[Date]])</f>
        <v>0</v>
      </c>
      <c r="T880" s="35">
        <f>SUMIFS(DaybyDay[Retail-LY],DaybyDay[Date],"&gt;="&amp;$C$5,DaybyDay[RowYear],"&gt;="&amp;$C$4,DaybyDay[Date],"&lt;="&amp;DaybyDay[[#This Row],[Date]])</f>
        <v>0</v>
      </c>
      <c r="U880" s="32">
        <f>DaybyDay[[#This Row],[Serv-Bud-RU]]+DaybyDay[[#This Row],[Ret-Bud-RU]]</f>
        <v>0</v>
      </c>
      <c r="V880" s="32">
        <f>DaybyDay[[#This Row],[Serv-Act-RU]]+DaybyDay[[#This Row],[Ret-Act-RU]]</f>
        <v>0</v>
      </c>
      <c r="W880" s="36">
        <f>IF(DaybyDay[[#This Row],[_Space]],IFERROR(
((DaybyDay[[#This Row],[Actual-Rollup]]-DaybyDay[[#This Row],[Budget-Rollup]])/DaybyDay[[#This Row],[Budget-Rollup]]),0),"")</f>
        <v>0</v>
      </c>
      <c r="X880" t="b">
        <f>NOT(AND(ISBLANK(DaybyDay[[#This Row],[Appts]]),ISBLANK(DaybyDay[[#This Row],[Service-Actuals]]),ISBLANK(DaybyDay[[#This Row],[Retail-Actuals]])))</f>
        <v>1</v>
      </c>
      <c r="Y880" s="36">
        <f>IF(DaybyDay[[#This Row],[_Space]],IFERROR(
((DaybyDay[[#This Row],[Actual-Rollup]]-DaybyDay[[#This Row],[LY-Rollup]])/DaybyDay[[#This Row],[LY-Rollup]]),0),"")</f>
        <v>0</v>
      </c>
      <c r="Z880"/>
      <c r="AA880" s="37" t="e">
        <f>IF(DaybyDay[[#This Row],[_Space]],DaybyDay[[#This Row],[Ret-Act-RU]]/DaybyDay[[#This Row],[Serv-Act-RU]],"")</f>
        <v>#DIV/0!</v>
      </c>
      <c r="AB880" s="50" t="e">
        <f>IF(DaybyDay[[#This Row],[_Space]],DaybyDay[[#This Row],[RETPEN-Act]]/DaybyDay[[#This Row],[RETPEN-Bud]],"")</f>
        <v>#DIV/0!</v>
      </c>
      <c r="AC880" s="37" t="e">
        <f>IF(DaybyDay[[#This Row],[_Space]],DaybyDay[[#This Row],[Ret-Bud-RU]]/DaybyDay[[#This Row],[Serv-Bud-RU]],"")</f>
        <v>#DIV/0!</v>
      </c>
      <c r="AD880" s="37" t="e">
        <f>IF(DaybyDay[[#This Row],[_Space]],DaybyDay[[#This Row],[Ret-LY-RU]]/DaybyDay[[#This Row],[Serv-LY-RU]],"")</f>
        <v>#DIV/0!</v>
      </c>
      <c r="AE880" s="30">
        <f>WEEKDAY(DaybyDay[[#This Row],[LY-Date]])</f>
        <v>6</v>
      </c>
      <c r="AF880" s="38">
        <f>$E$2+_xlfn.DAYS(DaybyDay[[#This Row],[Date]],minDate)</f>
        <v>43245</v>
      </c>
      <c r="AG880" s="39" cm="1">
        <f t="array" ref="AG880">IFERROR(INDEX(DaybyDay[],DaybyDay[[#This Row],[FORM_MATCH_HELPER]],8),"")</f>
        <v>29</v>
      </c>
      <c r="AH880" s="39" cm="1">
        <f t="array" ref="AH880">IFERROR(INDEX(DaybyDay[],DaybyDay[[#This Row],[FORM_MATCH_HELPER]],10),"")</f>
        <v>5057.55</v>
      </c>
      <c r="AI880" s="39" cm="1">
        <f t="array" ref="AI880">IFERROR(INDEX(DaybyDay[],DaybyDay[[#This Row],[FORM_MATCH_HELPER]],12),"")</f>
        <v>1486.5</v>
      </c>
      <c r="AJ880" s="32">
        <f>IFERROR(DaybyDay[[#This Row],[Serv-LY-RU]]+DaybyDay[[#This Row],[Ret-LY-RU]],"")</f>
        <v>0</v>
      </c>
      <c r="AK8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0" s="77"/>
      <c r="AM880" s="40" t="str">
        <f>IF(DaybyDay[[#This Row],[Admin Hours]]&gt;0,DaybyDay[[#This Row],[Admin Hours]]*$AM$2+$AM$3,"")</f>
        <v/>
      </c>
      <c r="AN880" s="40">
        <f>SUMIFS(DaybyDay[Est-Admin-Payroll],DaybyDay[Date],"&gt;="&amp;$C$5,DaybyDay[RowYear],"&gt;="&amp;$C$4,DaybyDay[Date],"&lt;="&amp;DaybyDay[[#This Row],[Date]])</f>
        <v>0</v>
      </c>
      <c r="AO880" s="41" t="str">
        <f>IF(AND(DaybyDay[[#This Row],[_Space]],ISNUMBER(DaybyDay[[#This Row],[Admin Hours]])),DaybyDay[[#This Row],[Est-Admin-Payroll]]/(DaybyDay[[#This Row],[Service-Actuals]]+DaybyDay[[#This Row],[Retail-Actuals]]),"")</f>
        <v/>
      </c>
      <c r="AP880" s="41" t="e">
        <f>DaybyDay[[#This Row],[Estimated-Payroll-Rollup]]/DaybyDay[[#This Row],[Simple-Forecast]]</f>
        <v>#DIV/0!</v>
      </c>
      <c r="AQ8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0" s="77"/>
      <c r="AS880" s="40" t="str">
        <f>IF(DaybyDay[[#This Row],[Retail Hours]]&gt;0,DaybyDay[[#This Row],[Retail Hours]]*$AS$2,"")</f>
        <v/>
      </c>
      <c r="AT880" s="40">
        <f>SUMIFS(DaybyDay[Est-Retail-Payroll],DaybyDay[Date],"&gt;="&amp;$C$5,DaybyDay[RowYear],"&gt;="&amp;$C$4,DaybyDay[Date],"&lt;="&amp;DaybyDay[[#This Row],[Date]])</f>
        <v>0</v>
      </c>
      <c r="AU880" s="82" t="str">
        <f>IF(AND(DaybyDay[[#This Row],[_Space]],ISNUMBER(DaybyDay[[#This Row],[Retail Hours]])),DaybyDay[[#This Row],[Est-Retail-Payroll]]/(DaybyDay[[#This Row],[Retail-Actuals]]),"")</f>
        <v/>
      </c>
      <c r="AV880" s="82" t="e">
        <f>DaybyDay[[#This Row],[Est-Retail-PayrollRU]]/DaybyDay[[#This Row],[Simple-Forecast-Retail]]</f>
        <v>#DIV/0!</v>
      </c>
      <c r="AW880" s="8"/>
      <c r="AX880" s="49"/>
      <c r="AY880" s="48"/>
      <c r="AZ880" s="47"/>
      <c r="BA880" s="47"/>
      <c r="BB880" s="47"/>
      <c r="BC880" s="47"/>
      <c r="BD880" s="47"/>
    </row>
    <row r="881" spans="3:56" hidden="1" x14ac:dyDescent="0.25">
      <c r="C881" s="26" t="str">
        <f>Tools!$C$1</f>
        <v>Example</v>
      </c>
      <c r="D881" s="27" t="s">
        <v>72</v>
      </c>
      <c r="E881" s="28">
        <v>2019</v>
      </c>
      <c r="F881" s="28">
        <f>MATCH(DaybyDay[[#This Row],[RowMonth]],Table3[SummaryMonth],0)</f>
        <v>5</v>
      </c>
      <c r="G881" s="29">
        <f>MATCH(DaybyDay[[#This Row],[LY-Date]],DaybyDay[Date],0)</f>
        <v>511</v>
      </c>
      <c r="H881" s="30">
        <f>WEEKDAY(DaybyDay[[#This Row],[Date]])</f>
        <v>7</v>
      </c>
      <c r="I881" s="31">
        <v>43610</v>
      </c>
      <c r="J881" s="74">
        <v>32</v>
      </c>
      <c r="K881" s="32">
        <f>SUMIFS(BudgetSeasonality[365 Seasonality],BudgetSeasonality[MonthAdjustment],DaybyDay[[#This Row],[Date]])*SUMIFS(Budgets[Service-Budget],Budgets[BudgetMonth],DaybyDay[[#This Row],[RowMonth]],Budgets[BudgetYear],DaybyDay[[#This Row],[RowYear]])</f>
        <v>7218.9695737888524</v>
      </c>
      <c r="L881" s="75">
        <v>8215.4</v>
      </c>
      <c r="M881" s="32">
        <f>INDEX(BudgetSeasonality[365 Seasonality],MATCH(DaybyDay[[#This Row],[Date]],BudgetSeasonality[MonthAdjustment],0))*SUMIFS(Budgets[Retail-Budget],Budgets[BudgetMonth],DaybyDay[[#This Row],[RowMonth]],Budgets[BudgetYear],DaybyDay[[#This Row],[RowYear]])</f>
        <v>1718.0096467728079</v>
      </c>
      <c r="N881" s="75">
        <v>1520</v>
      </c>
      <c r="O881" s="33">
        <f>SUMIFS(DaybyDay[Service-Budgets],DaybyDay[Date],"&gt;="&amp;$C$5,DaybyDay[RowYear],"&gt;="&amp;$C$4,DaybyDay[Date],"&lt;="&amp;DaybyDay[[#This Row],[Date]])</f>
        <v>0</v>
      </c>
      <c r="P881" s="33">
        <f>SUMIFS(DaybyDay[Retail-Budgets],DaybyDay[Date],"&gt;="&amp;$C$5,DaybyDay[RowYear],"&gt;="&amp;$C$4,DaybyDay[Date],"&lt;="&amp;DaybyDay[[#This Row],[Date]])</f>
        <v>0</v>
      </c>
      <c r="Q881" s="34">
        <f>SUMIFS(DaybyDay[Service-Actuals],DaybyDay[Date],"&gt;="&amp;$C$5,DaybyDay[RowYear],"&gt;="&amp;$C$4,DaybyDay[Date],"&lt;="&amp;DaybyDay[[#This Row],[Date]])</f>
        <v>0</v>
      </c>
      <c r="R881" s="34">
        <f>SUMIFS(DaybyDay[Retail-Actuals],DaybyDay[Date],"&gt;="&amp;$C$5,DaybyDay[RowYear],"&gt;="&amp;$C$4,DaybyDay[Date],"&lt;="&amp;DaybyDay[[#This Row],[Date]])</f>
        <v>0</v>
      </c>
      <c r="S881" s="35">
        <f>SUMIFS(DaybyDay[Service-LY],DaybyDay[Date],"&gt;="&amp;$C$5,DaybyDay[RowYear],"&gt;="&amp;$C$4,DaybyDay[Date],"&lt;="&amp;DaybyDay[[#This Row],[Date]])</f>
        <v>0</v>
      </c>
      <c r="T881" s="35">
        <f>SUMIFS(DaybyDay[Retail-LY],DaybyDay[Date],"&gt;="&amp;$C$5,DaybyDay[RowYear],"&gt;="&amp;$C$4,DaybyDay[Date],"&lt;="&amp;DaybyDay[[#This Row],[Date]])</f>
        <v>0</v>
      </c>
      <c r="U881" s="32">
        <f>DaybyDay[[#This Row],[Serv-Bud-RU]]+DaybyDay[[#This Row],[Ret-Bud-RU]]</f>
        <v>0</v>
      </c>
      <c r="V881" s="32">
        <f>DaybyDay[[#This Row],[Serv-Act-RU]]+DaybyDay[[#This Row],[Ret-Act-RU]]</f>
        <v>0</v>
      </c>
      <c r="W881" s="36">
        <f>IF(DaybyDay[[#This Row],[_Space]],IFERROR(
((DaybyDay[[#This Row],[Actual-Rollup]]-DaybyDay[[#This Row],[Budget-Rollup]])/DaybyDay[[#This Row],[Budget-Rollup]]),0),"")</f>
        <v>0</v>
      </c>
      <c r="X881" t="b">
        <f>NOT(AND(ISBLANK(DaybyDay[[#This Row],[Appts]]),ISBLANK(DaybyDay[[#This Row],[Service-Actuals]]),ISBLANK(DaybyDay[[#This Row],[Retail-Actuals]])))</f>
        <v>1</v>
      </c>
      <c r="Y881" s="36">
        <f>IF(DaybyDay[[#This Row],[_Space]],IFERROR(
((DaybyDay[[#This Row],[Actual-Rollup]]-DaybyDay[[#This Row],[LY-Rollup]])/DaybyDay[[#This Row],[LY-Rollup]]),0),"")</f>
        <v>0</v>
      </c>
      <c r="Z881"/>
      <c r="AA881" s="37" t="e">
        <f>IF(DaybyDay[[#This Row],[_Space]],DaybyDay[[#This Row],[Ret-Act-RU]]/DaybyDay[[#This Row],[Serv-Act-RU]],"")</f>
        <v>#DIV/0!</v>
      </c>
      <c r="AB881" s="50" t="e">
        <f>IF(DaybyDay[[#This Row],[_Space]],DaybyDay[[#This Row],[RETPEN-Act]]/DaybyDay[[#This Row],[RETPEN-Bud]],"")</f>
        <v>#DIV/0!</v>
      </c>
      <c r="AC881" s="37" t="e">
        <f>IF(DaybyDay[[#This Row],[_Space]],DaybyDay[[#This Row],[Ret-Bud-RU]]/DaybyDay[[#This Row],[Serv-Bud-RU]],"")</f>
        <v>#DIV/0!</v>
      </c>
      <c r="AD881" s="37" t="e">
        <f>IF(DaybyDay[[#This Row],[_Space]],DaybyDay[[#This Row],[Ret-LY-RU]]/DaybyDay[[#This Row],[Serv-LY-RU]],"")</f>
        <v>#DIV/0!</v>
      </c>
      <c r="AE881" s="30">
        <f>WEEKDAY(DaybyDay[[#This Row],[LY-Date]])</f>
        <v>7</v>
      </c>
      <c r="AF881" s="38">
        <f>$E$2+_xlfn.DAYS(DaybyDay[[#This Row],[Date]],minDate)</f>
        <v>43246</v>
      </c>
      <c r="AG881" s="39" cm="1">
        <f t="array" ref="AG881">IFERROR(INDEX(DaybyDay[],DaybyDay[[#This Row],[FORM_MATCH_HELPER]],8),"")</f>
        <v>26</v>
      </c>
      <c r="AH881" s="39" cm="1">
        <f t="array" ref="AH881">IFERROR(INDEX(DaybyDay[],DaybyDay[[#This Row],[FORM_MATCH_HELPER]],10),"")</f>
        <v>7266.6</v>
      </c>
      <c r="AI881" s="39" cm="1">
        <f t="array" ref="AI881">IFERROR(INDEX(DaybyDay[],DaybyDay[[#This Row],[FORM_MATCH_HELPER]],12),"")</f>
        <v>1148.0999999999999</v>
      </c>
      <c r="AJ881" s="32">
        <f>IFERROR(DaybyDay[[#This Row],[Serv-LY-RU]]+DaybyDay[[#This Row],[Ret-LY-RU]],"")</f>
        <v>0</v>
      </c>
      <c r="AK8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1" s="77"/>
      <c r="AM881" s="40" t="str">
        <f>IF(DaybyDay[[#This Row],[Admin Hours]]&gt;0,DaybyDay[[#This Row],[Admin Hours]]*$AM$2+$AM$3,"")</f>
        <v/>
      </c>
      <c r="AN881" s="40">
        <f>SUMIFS(DaybyDay[Est-Admin-Payroll],DaybyDay[Date],"&gt;="&amp;$C$5,DaybyDay[RowYear],"&gt;="&amp;$C$4,DaybyDay[Date],"&lt;="&amp;DaybyDay[[#This Row],[Date]])</f>
        <v>0</v>
      </c>
      <c r="AO881" s="41" t="str">
        <f>IF(AND(DaybyDay[[#This Row],[_Space]],ISNUMBER(DaybyDay[[#This Row],[Admin Hours]])),DaybyDay[[#This Row],[Est-Admin-Payroll]]/(DaybyDay[[#This Row],[Service-Actuals]]+DaybyDay[[#This Row],[Retail-Actuals]]),"")</f>
        <v/>
      </c>
      <c r="AP881" s="41" t="e">
        <f>DaybyDay[[#This Row],[Estimated-Payroll-Rollup]]/DaybyDay[[#This Row],[Simple-Forecast]]</f>
        <v>#DIV/0!</v>
      </c>
      <c r="AQ8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1" s="77"/>
      <c r="AS881" s="40" t="str">
        <f>IF(DaybyDay[[#This Row],[Retail Hours]]&gt;0,DaybyDay[[#This Row],[Retail Hours]]*$AS$2,"")</f>
        <v/>
      </c>
      <c r="AT881" s="40">
        <f>SUMIFS(DaybyDay[Est-Retail-Payroll],DaybyDay[Date],"&gt;="&amp;$C$5,DaybyDay[RowYear],"&gt;="&amp;$C$4,DaybyDay[Date],"&lt;="&amp;DaybyDay[[#This Row],[Date]])</f>
        <v>0</v>
      </c>
      <c r="AU881" s="82" t="str">
        <f>IF(AND(DaybyDay[[#This Row],[_Space]],ISNUMBER(DaybyDay[[#This Row],[Retail Hours]])),DaybyDay[[#This Row],[Est-Retail-Payroll]]/(DaybyDay[[#This Row],[Retail-Actuals]]),"")</f>
        <v/>
      </c>
      <c r="AV881" s="82" t="e">
        <f>DaybyDay[[#This Row],[Est-Retail-PayrollRU]]/DaybyDay[[#This Row],[Simple-Forecast-Retail]]</f>
        <v>#DIV/0!</v>
      </c>
      <c r="AW881" s="8"/>
      <c r="AX881" s="49"/>
      <c r="AY881" s="48"/>
      <c r="AZ881" s="47"/>
      <c r="BA881" s="47"/>
      <c r="BB881" s="47"/>
      <c r="BC881" s="47"/>
      <c r="BD881" s="47"/>
    </row>
    <row r="882" spans="3:56" hidden="1" x14ac:dyDescent="0.25">
      <c r="C882" s="26" t="str">
        <f>Tools!$C$1</f>
        <v>Example</v>
      </c>
      <c r="D882" s="27" t="s">
        <v>72</v>
      </c>
      <c r="E882" s="28">
        <v>2019</v>
      </c>
      <c r="F882" s="28">
        <f>MATCH(DaybyDay[[#This Row],[RowMonth]],Table3[SummaryMonth],0)</f>
        <v>5</v>
      </c>
      <c r="G882" s="29">
        <f>MATCH(DaybyDay[[#This Row],[LY-Date]],DaybyDay[Date],0)</f>
        <v>512</v>
      </c>
      <c r="H882" s="30">
        <f>WEEKDAY(DaybyDay[[#This Row],[Date]])</f>
        <v>1</v>
      </c>
      <c r="I882" s="31">
        <v>43611</v>
      </c>
      <c r="J882" s="74">
        <v>45</v>
      </c>
      <c r="K882" s="32">
        <f>SUMIFS(BudgetSeasonality[365 Seasonality],BudgetSeasonality[MonthAdjustment],DaybyDay[[#This Row],[Date]])*SUMIFS(Budgets[Service-Budget],Budgets[BudgetMonth],DaybyDay[[#This Row],[RowMonth]],Budgets[BudgetYear],DaybyDay[[#This Row],[RowYear]])</f>
        <v>5620.4558393375419</v>
      </c>
      <c r="L882" s="75">
        <v>7887.5</v>
      </c>
      <c r="M882" s="32">
        <f>INDEX(BudgetSeasonality[365 Seasonality],MATCH(DaybyDay[[#This Row],[Date]],BudgetSeasonality[MonthAdjustment],0))*SUMIFS(Budgets[Retail-Budget],Budgets[BudgetMonth],DaybyDay[[#This Row],[RowMonth]],Budgets[BudgetYear],DaybyDay[[#This Row],[RowYear]])</f>
        <v>1337.5866531287425</v>
      </c>
      <c r="N882" s="75">
        <v>3712.08</v>
      </c>
      <c r="O882" s="33">
        <f>SUMIFS(DaybyDay[Service-Budgets],DaybyDay[Date],"&gt;="&amp;$C$5,DaybyDay[RowYear],"&gt;="&amp;$C$4,DaybyDay[Date],"&lt;="&amp;DaybyDay[[#This Row],[Date]])</f>
        <v>0</v>
      </c>
      <c r="P882" s="33">
        <f>SUMIFS(DaybyDay[Retail-Budgets],DaybyDay[Date],"&gt;="&amp;$C$5,DaybyDay[RowYear],"&gt;="&amp;$C$4,DaybyDay[Date],"&lt;="&amp;DaybyDay[[#This Row],[Date]])</f>
        <v>0</v>
      </c>
      <c r="Q882" s="34">
        <f>SUMIFS(DaybyDay[Service-Actuals],DaybyDay[Date],"&gt;="&amp;$C$5,DaybyDay[RowYear],"&gt;="&amp;$C$4,DaybyDay[Date],"&lt;="&amp;DaybyDay[[#This Row],[Date]])</f>
        <v>0</v>
      </c>
      <c r="R882" s="34">
        <f>SUMIFS(DaybyDay[Retail-Actuals],DaybyDay[Date],"&gt;="&amp;$C$5,DaybyDay[RowYear],"&gt;="&amp;$C$4,DaybyDay[Date],"&lt;="&amp;DaybyDay[[#This Row],[Date]])</f>
        <v>0</v>
      </c>
      <c r="S882" s="35">
        <f>SUMIFS(DaybyDay[Service-LY],DaybyDay[Date],"&gt;="&amp;$C$5,DaybyDay[RowYear],"&gt;="&amp;$C$4,DaybyDay[Date],"&lt;="&amp;DaybyDay[[#This Row],[Date]])</f>
        <v>0</v>
      </c>
      <c r="T882" s="35">
        <f>SUMIFS(DaybyDay[Retail-LY],DaybyDay[Date],"&gt;="&amp;$C$5,DaybyDay[RowYear],"&gt;="&amp;$C$4,DaybyDay[Date],"&lt;="&amp;DaybyDay[[#This Row],[Date]])</f>
        <v>0</v>
      </c>
      <c r="U882" s="32">
        <f>DaybyDay[[#This Row],[Serv-Bud-RU]]+DaybyDay[[#This Row],[Ret-Bud-RU]]</f>
        <v>0</v>
      </c>
      <c r="V882" s="32">
        <f>DaybyDay[[#This Row],[Serv-Act-RU]]+DaybyDay[[#This Row],[Ret-Act-RU]]</f>
        <v>0</v>
      </c>
      <c r="W882" s="36">
        <f>IF(DaybyDay[[#This Row],[_Space]],IFERROR(
((DaybyDay[[#This Row],[Actual-Rollup]]-DaybyDay[[#This Row],[Budget-Rollup]])/DaybyDay[[#This Row],[Budget-Rollup]]),0),"")</f>
        <v>0</v>
      </c>
      <c r="X882" t="b">
        <f>NOT(AND(ISBLANK(DaybyDay[[#This Row],[Appts]]),ISBLANK(DaybyDay[[#This Row],[Service-Actuals]]),ISBLANK(DaybyDay[[#This Row],[Retail-Actuals]])))</f>
        <v>1</v>
      </c>
      <c r="Y882" s="36">
        <f>IF(DaybyDay[[#This Row],[_Space]],IFERROR(
((DaybyDay[[#This Row],[Actual-Rollup]]-DaybyDay[[#This Row],[LY-Rollup]])/DaybyDay[[#This Row],[LY-Rollup]]),0),"")</f>
        <v>0</v>
      </c>
      <c r="Z882"/>
      <c r="AA882" s="37" t="e">
        <f>IF(DaybyDay[[#This Row],[_Space]],DaybyDay[[#This Row],[Ret-Act-RU]]/DaybyDay[[#This Row],[Serv-Act-RU]],"")</f>
        <v>#DIV/0!</v>
      </c>
      <c r="AB882" s="50" t="e">
        <f>IF(DaybyDay[[#This Row],[_Space]],DaybyDay[[#This Row],[RETPEN-Act]]/DaybyDay[[#This Row],[RETPEN-Bud]],"")</f>
        <v>#DIV/0!</v>
      </c>
      <c r="AC882" s="37" t="e">
        <f>IF(DaybyDay[[#This Row],[_Space]],DaybyDay[[#This Row],[Ret-Bud-RU]]/DaybyDay[[#This Row],[Serv-Bud-RU]],"")</f>
        <v>#DIV/0!</v>
      </c>
      <c r="AD882" s="37" t="e">
        <f>IF(DaybyDay[[#This Row],[_Space]],DaybyDay[[#This Row],[Ret-LY-RU]]/DaybyDay[[#This Row],[Serv-LY-RU]],"")</f>
        <v>#DIV/0!</v>
      </c>
      <c r="AE882" s="30">
        <f>WEEKDAY(DaybyDay[[#This Row],[LY-Date]])</f>
        <v>1</v>
      </c>
      <c r="AF882" s="38">
        <f>$E$2+_xlfn.DAYS(DaybyDay[[#This Row],[Date]],minDate)</f>
        <v>43247</v>
      </c>
      <c r="AG882" s="39" cm="1">
        <f t="array" ref="AG882">IFERROR(INDEX(DaybyDay[],DaybyDay[[#This Row],[FORM_MATCH_HELPER]],8),"")</f>
        <v>30</v>
      </c>
      <c r="AH882" s="39" cm="1">
        <f t="array" ref="AH882">IFERROR(INDEX(DaybyDay[],DaybyDay[[#This Row],[FORM_MATCH_HELPER]],10),"")</f>
        <v>5715</v>
      </c>
      <c r="AI882" s="39" cm="1">
        <f t="array" ref="AI882">IFERROR(INDEX(DaybyDay[],DaybyDay[[#This Row],[FORM_MATCH_HELPER]],12),"")</f>
        <v>564.4</v>
      </c>
      <c r="AJ882" s="32">
        <f>IFERROR(DaybyDay[[#This Row],[Serv-LY-RU]]+DaybyDay[[#This Row],[Ret-LY-RU]],"")</f>
        <v>0</v>
      </c>
      <c r="AK8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2" s="77"/>
      <c r="AM882" s="40" t="str">
        <f>IF(DaybyDay[[#This Row],[Admin Hours]]&gt;0,DaybyDay[[#This Row],[Admin Hours]]*$AM$2+$AM$3,"")</f>
        <v/>
      </c>
      <c r="AN882" s="40">
        <f>SUMIFS(DaybyDay[Est-Admin-Payroll],DaybyDay[Date],"&gt;="&amp;$C$5,DaybyDay[RowYear],"&gt;="&amp;$C$4,DaybyDay[Date],"&lt;="&amp;DaybyDay[[#This Row],[Date]])</f>
        <v>0</v>
      </c>
      <c r="AO882" s="41" t="str">
        <f>IF(AND(DaybyDay[[#This Row],[_Space]],ISNUMBER(DaybyDay[[#This Row],[Admin Hours]])),DaybyDay[[#This Row],[Est-Admin-Payroll]]/(DaybyDay[[#This Row],[Service-Actuals]]+DaybyDay[[#This Row],[Retail-Actuals]]),"")</f>
        <v/>
      </c>
      <c r="AP882" s="41" t="e">
        <f>DaybyDay[[#This Row],[Estimated-Payroll-Rollup]]/DaybyDay[[#This Row],[Simple-Forecast]]</f>
        <v>#DIV/0!</v>
      </c>
      <c r="AQ8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2" s="77"/>
      <c r="AS882" s="40" t="str">
        <f>IF(DaybyDay[[#This Row],[Retail Hours]]&gt;0,DaybyDay[[#This Row],[Retail Hours]]*$AS$2,"")</f>
        <v/>
      </c>
      <c r="AT882" s="40">
        <f>SUMIFS(DaybyDay[Est-Retail-Payroll],DaybyDay[Date],"&gt;="&amp;$C$5,DaybyDay[RowYear],"&gt;="&amp;$C$4,DaybyDay[Date],"&lt;="&amp;DaybyDay[[#This Row],[Date]])</f>
        <v>0</v>
      </c>
      <c r="AU882" s="82" t="str">
        <f>IF(AND(DaybyDay[[#This Row],[_Space]],ISNUMBER(DaybyDay[[#This Row],[Retail Hours]])),DaybyDay[[#This Row],[Est-Retail-Payroll]]/(DaybyDay[[#This Row],[Retail-Actuals]]),"")</f>
        <v/>
      </c>
      <c r="AV882" s="82" t="e">
        <f>DaybyDay[[#This Row],[Est-Retail-PayrollRU]]/DaybyDay[[#This Row],[Simple-Forecast-Retail]]</f>
        <v>#DIV/0!</v>
      </c>
      <c r="AW882" s="8"/>
      <c r="AX882" s="49"/>
      <c r="AY882" s="48"/>
      <c r="AZ882" s="47"/>
      <c r="BA882" s="47"/>
      <c r="BB882" s="47"/>
      <c r="BC882" s="47"/>
      <c r="BD882" s="47"/>
    </row>
    <row r="883" spans="3:56" hidden="1" x14ac:dyDescent="0.25">
      <c r="C883" s="26" t="str">
        <f>Tools!$C$1</f>
        <v>Example</v>
      </c>
      <c r="D883" s="27" t="s">
        <v>72</v>
      </c>
      <c r="E883" s="28">
        <v>2019</v>
      </c>
      <c r="F883" s="28">
        <f>MATCH(DaybyDay[[#This Row],[RowMonth]],Table3[SummaryMonth],0)</f>
        <v>5</v>
      </c>
      <c r="G883" s="29">
        <f>MATCH(DaybyDay[[#This Row],[LY-Date]],DaybyDay[Date],0)</f>
        <v>513</v>
      </c>
      <c r="H883" s="30">
        <f>WEEKDAY(DaybyDay[[#This Row],[Date]])</f>
        <v>2</v>
      </c>
      <c r="I883" s="31">
        <v>43612</v>
      </c>
      <c r="J883" s="74">
        <v>24</v>
      </c>
      <c r="K883" s="32">
        <f>SUMIFS(BudgetSeasonality[365 Seasonality],BudgetSeasonality[MonthAdjustment],DaybyDay[[#This Row],[Date]])*SUMIFS(Budgets[Service-Budget],Budgets[BudgetMonth],DaybyDay[[#This Row],[RowMonth]],Budgets[BudgetYear],DaybyDay[[#This Row],[RowYear]])</f>
        <v>3311.1599062824266</v>
      </c>
      <c r="L883" s="75">
        <v>4780.2000000000007</v>
      </c>
      <c r="M883" s="32">
        <f>INDEX(BudgetSeasonality[365 Seasonality],MATCH(DaybyDay[[#This Row],[Date]],BudgetSeasonality[MonthAdjustment],0))*SUMIFS(Budgets[Retail-Budget],Budgets[BudgetMonth],DaybyDay[[#This Row],[RowMonth]],Budgets[BudgetYear],DaybyDay[[#This Row],[RowYear]])</f>
        <v>788.00784555944722</v>
      </c>
      <c r="N883" s="75">
        <v>1191.5999999999999</v>
      </c>
      <c r="O883" s="33">
        <f>SUMIFS(DaybyDay[Service-Budgets],DaybyDay[Date],"&gt;="&amp;$C$5,DaybyDay[RowYear],"&gt;="&amp;$C$4,DaybyDay[Date],"&lt;="&amp;DaybyDay[[#This Row],[Date]])</f>
        <v>0</v>
      </c>
      <c r="P883" s="33">
        <f>SUMIFS(DaybyDay[Retail-Budgets],DaybyDay[Date],"&gt;="&amp;$C$5,DaybyDay[RowYear],"&gt;="&amp;$C$4,DaybyDay[Date],"&lt;="&amp;DaybyDay[[#This Row],[Date]])</f>
        <v>0</v>
      </c>
      <c r="Q883" s="34">
        <f>SUMIFS(DaybyDay[Service-Actuals],DaybyDay[Date],"&gt;="&amp;$C$5,DaybyDay[RowYear],"&gt;="&amp;$C$4,DaybyDay[Date],"&lt;="&amp;DaybyDay[[#This Row],[Date]])</f>
        <v>0</v>
      </c>
      <c r="R883" s="34">
        <f>SUMIFS(DaybyDay[Retail-Actuals],DaybyDay[Date],"&gt;="&amp;$C$5,DaybyDay[RowYear],"&gt;="&amp;$C$4,DaybyDay[Date],"&lt;="&amp;DaybyDay[[#This Row],[Date]])</f>
        <v>0</v>
      </c>
      <c r="S883" s="35">
        <f>SUMIFS(DaybyDay[Service-LY],DaybyDay[Date],"&gt;="&amp;$C$5,DaybyDay[RowYear],"&gt;="&amp;$C$4,DaybyDay[Date],"&lt;="&amp;DaybyDay[[#This Row],[Date]])</f>
        <v>0</v>
      </c>
      <c r="T883" s="35">
        <f>SUMIFS(DaybyDay[Retail-LY],DaybyDay[Date],"&gt;="&amp;$C$5,DaybyDay[RowYear],"&gt;="&amp;$C$4,DaybyDay[Date],"&lt;="&amp;DaybyDay[[#This Row],[Date]])</f>
        <v>0</v>
      </c>
      <c r="U883" s="32">
        <f>DaybyDay[[#This Row],[Serv-Bud-RU]]+DaybyDay[[#This Row],[Ret-Bud-RU]]</f>
        <v>0</v>
      </c>
      <c r="V883" s="32">
        <f>DaybyDay[[#This Row],[Serv-Act-RU]]+DaybyDay[[#This Row],[Ret-Act-RU]]</f>
        <v>0</v>
      </c>
      <c r="W883" s="36">
        <f>IF(DaybyDay[[#This Row],[_Space]],IFERROR(
((DaybyDay[[#This Row],[Actual-Rollup]]-DaybyDay[[#This Row],[Budget-Rollup]])/DaybyDay[[#This Row],[Budget-Rollup]]),0),"")</f>
        <v>0</v>
      </c>
      <c r="X883" t="b">
        <f>NOT(AND(ISBLANK(DaybyDay[[#This Row],[Appts]]),ISBLANK(DaybyDay[[#This Row],[Service-Actuals]]),ISBLANK(DaybyDay[[#This Row],[Retail-Actuals]])))</f>
        <v>1</v>
      </c>
      <c r="Y883" s="36">
        <f>IF(DaybyDay[[#This Row],[_Space]],IFERROR(
((DaybyDay[[#This Row],[Actual-Rollup]]-DaybyDay[[#This Row],[LY-Rollup]])/DaybyDay[[#This Row],[LY-Rollup]]),0),"")</f>
        <v>0</v>
      </c>
      <c r="Z883"/>
      <c r="AA883" s="37" t="e">
        <f>IF(DaybyDay[[#This Row],[_Space]],DaybyDay[[#This Row],[Ret-Act-RU]]/DaybyDay[[#This Row],[Serv-Act-RU]],"")</f>
        <v>#DIV/0!</v>
      </c>
      <c r="AB883" s="50" t="e">
        <f>IF(DaybyDay[[#This Row],[_Space]],DaybyDay[[#This Row],[RETPEN-Act]]/DaybyDay[[#This Row],[RETPEN-Bud]],"")</f>
        <v>#DIV/0!</v>
      </c>
      <c r="AC883" s="37" t="e">
        <f>IF(DaybyDay[[#This Row],[_Space]],DaybyDay[[#This Row],[Ret-Bud-RU]]/DaybyDay[[#This Row],[Serv-Bud-RU]],"")</f>
        <v>#DIV/0!</v>
      </c>
      <c r="AD883" s="37" t="e">
        <f>IF(DaybyDay[[#This Row],[_Space]],DaybyDay[[#This Row],[Ret-LY-RU]]/DaybyDay[[#This Row],[Serv-LY-RU]],"")</f>
        <v>#DIV/0!</v>
      </c>
      <c r="AE883" s="30">
        <f>WEEKDAY(DaybyDay[[#This Row],[LY-Date]])</f>
        <v>2</v>
      </c>
      <c r="AF883" s="38">
        <f>$E$2+_xlfn.DAYS(DaybyDay[[#This Row],[Date]],minDate)</f>
        <v>43248</v>
      </c>
      <c r="AG883" s="39" cm="1">
        <f t="array" ref="AG883">IFERROR(INDEX(DaybyDay[],DaybyDay[[#This Row],[FORM_MATCH_HELPER]],8),"")</f>
        <v>25</v>
      </c>
      <c r="AH883" s="39" cm="1">
        <f t="array" ref="AH883">IFERROR(INDEX(DaybyDay[],DaybyDay[[#This Row],[FORM_MATCH_HELPER]],10),"")</f>
        <v>5822.25</v>
      </c>
      <c r="AI883" s="39" cm="1">
        <f t="array" ref="AI883">IFERROR(INDEX(DaybyDay[],DaybyDay[[#This Row],[FORM_MATCH_HELPER]],12),"")</f>
        <v>2643.5</v>
      </c>
      <c r="AJ883" s="32">
        <f>IFERROR(DaybyDay[[#This Row],[Serv-LY-RU]]+DaybyDay[[#This Row],[Ret-LY-RU]],"")</f>
        <v>0</v>
      </c>
      <c r="AK8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3" s="77"/>
      <c r="AM883" s="40" t="str">
        <f>IF(DaybyDay[[#This Row],[Admin Hours]]&gt;0,DaybyDay[[#This Row],[Admin Hours]]*$AM$2+$AM$3,"")</f>
        <v/>
      </c>
      <c r="AN883" s="40">
        <f>SUMIFS(DaybyDay[Est-Admin-Payroll],DaybyDay[Date],"&gt;="&amp;$C$5,DaybyDay[RowYear],"&gt;="&amp;$C$4,DaybyDay[Date],"&lt;="&amp;DaybyDay[[#This Row],[Date]])</f>
        <v>0</v>
      </c>
      <c r="AO883" s="41" t="str">
        <f>IF(AND(DaybyDay[[#This Row],[_Space]],ISNUMBER(DaybyDay[[#This Row],[Admin Hours]])),DaybyDay[[#This Row],[Est-Admin-Payroll]]/(DaybyDay[[#This Row],[Service-Actuals]]+DaybyDay[[#This Row],[Retail-Actuals]]),"")</f>
        <v/>
      </c>
      <c r="AP883" s="41" t="e">
        <f>DaybyDay[[#This Row],[Estimated-Payroll-Rollup]]/DaybyDay[[#This Row],[Simple-Forecast]]</f>
        <v>#DIV/0!</v>
      </c>
      <c r="AQ8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3" s="77"/>
      <c r="AS883" s="40" t="str">
        <f>IF(DaybyDay[[#This Row],[Retail Hours]]&gt;0,DaybyDay[[#This Row],[Retail Hours]]*$AS$2,"")</f>
        <v/>
      </c>
      <c r="AT883" s="40">
        <f>SUMIFS(DaybyDay[Est-Retail-Payroll],DaybyDay[Date],"&gt;="&amp;$C$5,DaybyDay[RowYear],"&gt;="&amp;$C$4,DaybyDay[Date],"&lt;="&amp;DaybyDay[[#This Row],[Date]])</f>
        <v>0</v>
      </c>
      <c r="AU883" s="82" t="str">
        <f>IF(AND(DaybyDay[[#This Row],[_Space]],ISNUMBER(DaybyDay[[#This Row],[Retail Hours]])),DaybyDay[[#This Row],[Est-Retail-Payroll]]/(DaybyDay[[#This Row],[Retail-Actuals]]),"")</f>
        <v/>
      </c>
      <c r="AV883" s="82" t="e">
        <f>DaybyDay[[#This Row],[Est-Retail-PayrollRU]]/DaybyDay[[#This Row],[Simple-Forecast-Retail]]</f>
        <v>#DIV/0!</v>
      </c>
      <c r="AW883" s="8"/>
      <c r="AX883" s="49"/>
      <c r="AY883" s="48"/>
      <c r="AZ883" s="47"/>
      <c r="BA883" s="47"/>
      <c r="BB883" s="47"/>
      <c r="BC883" s="47"/>
      <c r="BD883" s="47"/>
    </row>
    <row r="884" spans="3:56" hidden="1" x14ac:dyDescent="0.25">
      <c r="C884" s="26" t="str">
        <f>Tools!$C$1</f>
        <v>Example</v>
      </c>
      <c r="D884" s="27" t="s">
        <v>72</v>
      </c>
      <c r="E884" s="28">
        <v>2019</v>
      </c>
      <c r="F884" s="28">
        <f>MATCH(DaybyDay[[#This Row],[RowMonth]],Table3[SummaryMonth],0)</f>
        <v>5</v>
      </c>
      <c r="G884" s="29">
        <f>MATCH(DaybyDay[[#This Row],[LY-Date]],DaybyDay[Date],0)</f>
        <v>514</v>
      </c>
      <c r="H884" s="30">
        <f>WEEKDAY(DaybyDay[[#This Row],[Date]])</f>
        <v>3</v>
      </c>
      <c r="I884" s="31">
        <v>43613</v>
      </c>
      <c r="J884" s="74">
        <v>15</v>
      </c>
      <c r="K884" s="32">
        <f>SUMIFS(BudgetSeasonality[365 Seasonality],BudgetSeasonality[MonthAdjustment],DaybyDay[[#This Row],[Date]])*SUMIFS(Budgets[Service-Budget],Budgets[BudgetMonth],DaybyDay[[#This Row],[RowMonth]],Budgets[BudgetYear],DaybyDay[[#This Row],[RowYear]])</f>
        <v>3398.3017824914386</v>
      </c>
      <c r="L884" s="75">
        <v>3350.2</v>
      </c>
      <c r="M884" s="32">
        <f>INDEX(BudgetSeasonality[365 Seasonality],MATCH(DaybyDay[[#This Row],[Date]],BudgetSeasonality[MonthAdjustment],0))*SUMIFS(Budgets[Retail-Budget],Budgets[BudgetMonth],DaybyDay[[#This Row],[RowMonth]],Budgets[BudgetYear],DaybyDay[[#This Row],[RowYear]])</f>
        <v>808.74634326811531</v>
      </c>
      <c r="N884" s="75">
        <v>720.5</v>
      </c>
      <c r="O884" s="33">
        <f>SUMIFS(DaybyDay[Service-Budgets],DaybyDay[Date],"&gt;="&amp;$C$5,DaybyDay[RowYear],"&gt;="&amp;$C$4,DaybyDay[Date],"&lt;="&amp;DaybyDay[[#This Row],[Date]])</f>
        <v>0</v>
      </c>
      <c r="P884" s="33">
        <f>SUMIFS(DaybyDay[Retail-Budgets],DaybyDay[Date],"&gt;="&amp;$C$5,DaybyDay[RowYear],"&gt;="&amp;$C$4,DaybyDay[Date],"&lt;="&amp;DaybyDay[[#This Row],[Date]])</f>
        <v>0</v>
      </c>
      <c r="Q884" s="34">
        <f>SUMIFS(DaybyDay[Service-Actuals],DaybyDay[Date],"&gt;="&amp;$C$5,DaybyDay[RowYear],"&gt;="&amp;$C$4,DaybyDay[Date],"&lt;="&amp;DaybyDay[[#This Row],[Date]])</f>
        <v>0</v>
      </c>
      <c r="R884" s="34">
        <f>SUMIFS(DaybyDay[Retail-Actuals],DaybyDay[Date],"&gt;="&amp;$C$5,DaybyDay[RowYear],"&gt;="&amp;$C$4,DaybyDay[Date],"&lt;="&amp;DaybyDay[[#This Row],[Date]])</f>
        <v>0</v>
      </c>
      <c r="S884" s="35">
        <f>SUMIFS(DaybyDay[Service-LY],DaybyDay[Date],"&gt;="&amp;$C$5,DaybyDay[RowYear],"&gt;="&amp;$C$4,DaybyDay[Date],"&lt;="&amp;DaybyDay[[#This Row],[Date]])</f>
        <v>0</v>
      </c>
      <c r="T884" s="35">
        <f>SUMIFS(DaybyDay[Retail-LY],DaybyDay[Date],"&gt;="&amp;$C$5,DaybyDay[RowYear],"&gt;="&amp;$C$4,DaybyDay[Date],"&lt;="&amp;DaybyDay[[#This Row],[Date]])</f>
        <v>0</v>
      </c>
      <c r="U884" s="32">
        <f>DaybyDay[[#This Row],[Serv-Bud-RU]]+DaybyDay[[#This Row],[Ret-Bud-RU]]</f>
        <v>0</v>
      </c>
      <c r="V884" s="32">
        <f>DaybyDay[[#This Row],[Serv-Act-RU]]+DaybyDay[[#This Row],[Ret-Act-RU]]</f>
        <v>0</v>
      </c>
      <c r="W884" s="36">
        <f>IF(DaybyDay[[#This Row],[_Space]],IFERROR(
((DaybyDay[[#This Row],[Actual-Rollup]]-DaybyDay[[#This Row],[Budget-Rollup]])/DaybyDay[[#This Row],[Budget-Rollup]]),0),"")</f>
        <v>0</v>
      </c>
      <c r="X884" t="b">
        <f>NOT(AND(ISBLANK(DaybyDay[[#This Row],[Appts]]),ISBLANK(DaybyDay[[#This Row],[Service-Actuals]]),ISBLANK(DaybyDay[[#This Row],[Retail-Actuals]])))</f>
        <v>1</v>
      </c>
      <c r="Y884" s="36">
        <f>IF(DaybyDay[[#This Row],[_Space]],IFERROR(
((DaybyDay[[#This Row],[Actual-Rollup]]-DaybyDay[[#This Row],[LY-Rollup]])/DaybyDay[[#This Row],[LY-Rollup]]),0),"")</f>
        <v>0</v>
      </c>
      <c r="Z884"/>
      <c r="AA884" s="37" t="e">
        <f>IF(DaybyDay[[#This Row],[_Space]],DaybyDay[[#This Row],[Ret-Act-RU]]/DaybyDay[[#This Row],[Serv-Act-RU]],"")</f>
        <v>#DIV/0!</v>
      </c>
      <c r="AB884" s="50" t="e">
        <f>IF(DaybyDay[[#This Row],[_Space]],DaybyDay[[#This Row],[RETPEN-Act]]/DaybyDay[[#This Row],[RETPEN-Bud]],"")</f>
        <v>#DIV/0!</v>
      </c>
      <c r="AC884" s="37" t="e">
        <f>IF(DaybyDay[[#This Row],[_Space]],DaybyDay[[#This Row],[Ret-Bud-RU]]/DaybyDay[[#This Row],[Serv-Bud-RU]],"")</f>
        <v>#DIV/0!</v>
      </c>
      <c r="AD884" s="37" t="e">
        <f>IF(DaybyDay[[#This Row],[_Space]],DaybyDay[[#This Row],[Ret-LY-RU]]/DaybyDay[[#This Row],[Serv-LY-RU]],"")</f>
        <v>#DIV/0!</v>
      </c>
      <c r="AE884" s="30">
        <f>WEEKDAY(DaybyDay[[#This Row],[LY-Date]])</f>
        <v>3</v>
      </c>
      <c r="AF884" s="38">
        <f>$E$2+_xlfn.DAYS(DaybyDay[[#This Row],[Date]],minDate)</f>
        <v>43249</v>
      </c>
      <c r="AG884" s="39" cm="1">
        <f t="array" ref="AG884">IFERROR(INDEX(DaybyDay[],DaybyDay[[#This Row],[FORM_MATCH_HELPER]],8),"")</f>
        <v>22</v>
      </c>
      <c r="AH884" s="39" cm="1">
        <f t="array" ref="AH884">IFERROR(INDEX(DaybyDay[],DaybyDay[[#This Row],[FORM_MATCH_HELPER]],10),"")</f>
        <v>6128.79</v>
      </c>
      <c r="AI884" s="39" cm="1">
        <f t="array" ref="AI884">IFERROR(INDEX(DaybyDay[],DaybyDay[[#This Row],[FORM_MATCH_HELPER]],12),"")</f>
        <v>2070.5</v>
      </c>
      <c r="AJ884" s="32">
        <f>IFERROR(DaybyDay[[#This Row],[Serv-LY-RU]]+DaybyDay[[#This Row],[Ret-LY-RU]],"")</f>
        <v>0</v>
      </c>
      <c r="AK8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4" s="77"/>
      <c r="AM884" s="40" t="str">
        <f>IF(DaybyDay[[#This Row],[Admin Hours]]&gt;0,DaybyDay[[#This Row],[Admin Hours]]*$AM$2+$AM$3,"")</f>
        <v/>
      </c>
      <c r="AN884" s="40">
        <f>SUMIFS(DaybyDay[Est-Admin-Payroll],DaybyDay[Date],"&gt;="&amp;$C$5,DaybyDay[RowYear],"&gt;="&amp;$C$4,DaybyDay[Date],"&lt;="&amp;DaybyDay[[#This Row],[Date]])</f>
        <v>0</v>
      </c>
      <c r="AO884" s="41" t="str">
        <f>IF(AND(DaybyDay[[#This Row],[_Space]],ISNUMBER(DaybyDay[[#This Row],[Admin Hours]])),DaybyDay[[#This Row],[Est-Admin-Payroll]]/(DaybyDay[[#This Row],[Service-Actuals]]+DaybyDay[[#This Row],[Retail-Actuals]]),"")</f>
        <v/>
      </c>
      <c r="AP884" s="41" t="e">
        <f>DaybyDay[[#This Row],[Estimated-Payroll-Rollup]]/DaybyDay[[#This Row],[Simple-Forecast]]</f>
        <v>#DIV/0!</v>
      </c>
      <c r="AQ8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4" s="77"/>
      <c r="AS884" s="40" t="str">
        <f>IF(DaybyDay[[#This Row],[Retail Hours]]&gt;0,DaybyDay[[#This Row],[Retail Hours]]*$AS$2,"")</f>
        <v/>
      </c>
      <c r="AT884" s="40">
        <f>SUMIFS(DaybyDay[Est-Retail-Payroll],DaybyDay[Date],"&gt;="&amp;$C$5,DaybyDay[RowYear],"&gt;="&amp;$C$4,DaybyDay[Date],"&lt;="&amp;DaybyDay[[#This Row],[Date]])</f>
        <v>0</v>
      </c>
      <c r="AU884" s="82" t="str">
        <f>IF(AND(DaybyDay[[#This Row],[_Space]],ISNUMBER(DaybyDay[[#This Row],[Retail Hours]])),DaybyDay[[#This Row],[Est-Retail-Payroll]]/(DaybyDay[[#This Row],[Retail-Actuals]]),"")</f>
        <v/>
      </c>
      <c r="AV884" s="82" t="e">
        <f>DaybyDay[[#This Row],[Est-Retail-PayrollRU]]/DaybyDay[[#This Row],[Simple-Forecast-Retail]]</f>
        <v>#DIV/0!</v>
      </c>
      <c r="AW884" s="8"/>
      <c r="AX884" s="49"/>
      <c r="AY884" s="48"/>
      <c r="AZ884" s="47"/>
      <c r="BA884" s="47"/>
      <c r="BB884" s="47"/>
      <c r="BC884" s="47"/>
      <c r="BD884" s="47"/>
    </row>
    <row r="885" spans="3:56" hidden="1" x14ac:dyDescent="0.25">
      <c r="C885" s="26" t="str">
        <f>Tools!$C$1</f>
        <v>Example</v>
      </c>
      <c r="D885" s="27" t="s">
        <v>72</v>
      </c>
      <c r="E885" s="28">
        <v>2019</v>
      </c>
      <c r="F885" s="28">
        <f>MATCH(DaybyDay[[#This Row],[RowMonth]],Table3[SummaryMonth],0)</f>
        <v>5</v>
      </c>
      <c r="G885" s="29">
        <f>MATCH(DaybyDay[[#This Row],[LY-Date]],DaybyDay[Date],0)</f>
        <v>515</v>
      </c>
      <c r="H885" s="30">
        <f>WEEKDAY(DaybyDay[[#This Row],[Date]])</f>
        <v>4</v>
      </c>
      <c r="I885" s="31">
        <v>43614</v>
      </c>
      <c r="J885" s="74">
        <v>13</v>
      </c>
      <c r="K885" s="32">
        <f>SUMIFS(BudgetSeasonality[365 Seasonality],BudgetSeasonality[MonthAdjustment],DaybyDay[[#This Row],[Date]])*SUMIFS(Budgets[Service-Budget],Budgets[BudgetMonth],DaybyDay[[#This Row],[RowMonth]],Budgets[BudgetYear],DaybyDay[[#This Row],[RowYear]])</f>
        <v>3909.6045930419814</v>
      </c>
      <c r="L885" s="75">
        <v>3715.6000000000004</v>
      </c>
      <c r="M885" s="32">
        <f>INDEX(BudgetSeasonality[365 Seasonality],MATCH(DaybyDay[[#This Row],[Date]],BudgetSeasonality[MonthAdjustment],0))*SUMIFS(Budgets[Retail-Budget],Budgets[BudgetMonth],DaybyDay[[#This Row],[RowMonth]],Budgets[BudgetYear],DaybyDay[[#This Row],[RowYear]])</f>
        <v>930.42896735581382</v>
      </c>
      <c r="N885" s="75">
        <v>2723.5</v>
      </c>
      <c r="O885" s="33">
        <f>SUMIFS(DaybyDay[Service-Budgets],DaybyDay[Date],"&gt;="&amp;$C$5,DaybyDay[RowYear],"&gt;="&amp;$C$4,DaybyDay[Date],"&lt;="&amp;DaybyDay[[#This Row],[Date]])</f>
        <v>0</v>
      </c>
      <c r="P885" s="33">
        <f>SUMIFS(DaybyDay[Retail-Budgets],DaybyDay[Date],"&gt;="&amp;$C$5,DaybyDay[RowYear],"&gt;="&amp;$C$4,DaybyDay[Date],"&lt;="&amp;DaybyDay[[#This Row],[Date]])</f>
        <v>0</v>
      </c>
      <c r="Q885" s="34">
        <f>SUMIFS(DaybyDay[Service-Actuals],DaybyDay[Date],"&gt;="&amp;$C$5,DaybyDay[RowYear],"&gt;="&amp;$C$4,DaybyDay[Date],"&lt;="&amp;DaybyDay[[#This Row],[Date]])</f>
        <v>0</v>
      </c>
      <c r="R885" s="34">
        <f>SUMIFS(DaybyDay[Retail-Actuals],DaybyDay[Date],"&gt;="&amp;$C$5,DaybyDay[RowYear],"&gt;="&amp;$C$4,DaybyDay[Date],"&lt;="&amp;DaybyDay[[#This Row],[Date]])</f>
        <v>0</v>
      </c>
      <c r="S885" s="35">
        <f>SUMIFS(DaybyDay[Service-LY],DaybyDay[Date],"&gt;="&amp;$C$5,DaybyDay[RowYear],"&gt;="&amp;$C$4,DaybyDay[Date],"&lt;="&amp;DaybyDay[[#This Row],[Date]])</f>
        <v>0</v>
      </c>
      <c r="T885" s="35">
        <f>SUMIFS(DaybyDay[Retail-LY],DaybyDay[Date],"&gt;="&amp;$C$5,DaybyDay[RowYear],"&gt;="&amp;$C$4,DaybyDay[Date],"&lt;="&amp;DaybyDay[[#This Row],[Date]])</f>
        <v>0</v>
      </c>
      <c r="U885" s="32">
        <f>DaybyDay[[#This Row],[Serv-Bud-RU]]+DaybyDay[[#This Row],[Ret-Bud-RU]]</f>
        <v>0</v>
      </c>
      <c r="V885" s="32">
        <f>DaybyDay[[#This Row],[Serv-Act-RU]]+DaybyDay[[#This Row],[Ret-Act-RU]]</f>
        <v>0</v>
      </c>
      <c r="W885" s="36">
        <f>IF(DaybyDay[[#This Row],[_Space]],IFERROR(
((DaybyDay[[#This Row],[Actual-Rollup]]-DaybyDay[[#This Row],[Budget-Rollup]])/DaybyDay[[#This Row],[Budget-Rollup]]),0),"")</f>
        <v>0</v>
      </c>
      <c r="X885" t="b">
        <f>NOT(AND(ISBLANK(DaybyDay[[#This Row],[Appts]]),ISBLANK(DaybyDay[[#This Row],[Service-Actuals]]),ISBLANK(DaybyDay[[#This Row],[Retail-Actuals]])))</f>
        <v>1</v>
      </c>
      <c r="Y885" s="36">
        <f>IF(DaybyDay[[#This Row],[_Space]],IFERROR(
((DaybyDay[[#This Row],[Actual-Rollup]]-DaybyDay[[#This Row],[LY-Rollup]])/DaybyDay[[#This Row],[LY-Rollup]]),0),"")</f>
        <v>0</v>
      </c>
      <c r="Z885"/>
      <c r="AA885" s="37" t="e">
        <f>IF(DaybyDay[[#This Row],[_Space]],DaybyDay[[#This Row],[Ret-Act-RU]]/DaybyDay[[#This Row],[Serv-Act-RU]],"")</f>
        <v>#DIV/0!</v>
      </c>
      <c r="AB885" s="50" t="e">
        <f>IF(DaybyDay[[#This Row],[_Space]],DaybyDay[[#This Row],[RETPEN-Act]]/DaybyDay[[#This Row],[RETPEN-Bud]],"")</f>
        <v>#DIV/0!</v>
      </c>
      <c r="AC885" s="37" t="e">
        <f>IF(DaybyDay[[#This Row],[_Space]],DaybyDay[[#This Row],[Ret-Bud-RU]]/DaybyDay[[#This Row],[Serv-Bud-RU]],"")</f>
        <v>#DIV/0!</v>
      </c>
      <c r="AD885" s="37" t="e">
        <f>IF(DaybyDay[[#This Row],[_Space]],DaybyDay[[#This Row],[Ret-LY-RU]]/DaybyDay[[#This Row],[Serv-LY-RU]],"")</f>
        <v>#DIV/0!</v>
      </c>
      <c r="AE885" s="30">
        <f>WEEKDAY(DaybyDay[[#This Row],[LY-Date]])</f>
        <v>4</v>
      </c>
      <c r="AF885" s="38">
        <f>$E$2+_xlfn.DAYS(DaybyDay[[#This Row],[Date]],minDate)</f>
        <v>43250</v>
      </c>
      <c r="AG885" s="39" cm="1">
        <f t="array" ref="AG885">IFERROR(INDEX(DaybyDay[],DaybyDay[[#This Row],[FORM_MATCH_HELPER]],8),"")</f>
        <v>13</v>
      </c>
      <c r="AH885" s="39" cm="1">
        <f t="array" ref="AH885">IFERROR(INDEX(DaybyDay[],DaybyDay[[#This Row],[FORM_MATCH_HELPER]],10),"")</f>
        <v>2826.6</v>
      </c>
      <c r="AI885" s="39" cm="1">
        <f t="array" ref="AI885">IFERROR(INDEX(DaybyDay[],DaybyDay[[#This Row],[FORM_MATCH_HELPER]],12),"")</f>
        <v>2286.6</v>
      </c>
      <c r="AJ885" s="32">
        <f>IFERROR(DaybyDay[[#This Row],[Serv-LY-RU]]+DaybyDay[[#This Row],[Ret-LY-RU]],"")</f>
        <v>0</v>
      </c>
      <c r="AK8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5" s="77"/>
      <c r="AM885" s="40" t="str">
        <f>IF(DaybyDay[[#This Row],[Admin Hours]]&gt;0,DaybyDay[[#This Row],[Admin Hours]]*$AM$2+$AM$3,"")</f>
        <v/>
      </c>
      <c r="AN885" s="40">
        <f>SUMIFS(DaybyDay[Est-Admin-Payroll],DaybyDay[Date],"&gt;="&amp;$C$5,DaybyDay[RowYear],"&gt;="&amp;$C$4,DaybyDay[Date],"&lt;="&amp;DaybyDay[[#This Row],[Date]])</f>
        <v>0</v>
      </c>
      <c r="AO885" s="41" t="str">
        <f>IF(AND(DaybyDay[[#This Row],[_Space]],ISNUMBER(DaybyDay[[#This Row],[Admin Hours]])),DaybyDay[[#This Row],[Est-Admin-Payroll]]/(DaybyDay[[#This Row],[Service-Actuals]]+DaybyDay[[#This Row],[Retail-Actuals]]),"")</f>
        <v/>
      </c>
      <c r="AP885" s="41" t="e">
        <f>DaybyDay[[#This Row],[Estimated-Payroll-Rollup]]/DaybyDay[[#This Row],[Simple-Forecast]]</f>
        <v>#DIV/0!</v>
      </c>
      <c r="AQ8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5" s="77"/>
      <c r="AS885" s="40" t="str">
        <f>IF(DaybyDay[[#This Row],[Retail Hours]]&gt;0,DaybyDay[[#This Row],[Retail Hours]]*$AS$2,"")</f>
        <v/>
      </c>
      <c r="AT885" s="40">
        <f>SUMIFS(DaybyDay[Est-Retail-Payroll],DaybyDay[Date],"&gt;="&amp;$C$5,DaybyDay[RowYear],"&gt;="&amp;$C$4,DaybyDay[Date],"&lt;="&amp;DaybyDay[[#This Row],[Date]])</f>
        <v>0</v>
      </c>
      <c r="AU885" s="82" t="str">
        <f>IF(AND(DaybyDay[[#This Row],[_Space]],ISNUMBER(DaybyDay[[#This Row],[Retail Hours]])),DaybyDay[[#This Row],[Est-Retail-Payroll]]/(DaybyDay[[#This Row],[Retail-Actuals]]),"")</f>
        <v/>
      </c>
      <c r="AV885" s="82" t="e">
        <f>DaybyDay[[#This Row],[Est-Retail-PayrollRU]]/DaybyDay[[#This Row],[Simple-Forecast-Retail]]</f>
        <v>#DIV/0!</v>
      </c>
      <c r="AW885" s="8"/>
      <c r="AX885" s="49"/>
      <c r="AY885" s="48"/>
      <c r="AZ885" s="47"/>
      <c r="BA885" s="47"/>
      <c r="BB885" s="47"/>
      <c r="BC885" s="47"/>
      <c r="BD885" s="47"/>
    </row>
    <row r="886" spans="3:56" hidden="1" x14ac:dyDescent="0.25">
      <c r="C886" s="26" t="str">
        <f>Tools!$C$1</f>
        <v>Example</v>
      </c>
      <c r="D886" s="27" t="s">
        <v>72</v>
      </c>
      <c r="E886" s="28">
        <v>2019</v>
      </c>
      <c r="F886" s="28">
        <f>MATCH(DaybyDay[[#This Row],[RowMonth]],Table3[SummaryMonth],0)</f>
        <v>5</v>
      </c>
      <c r="G886" s="29">
        <f>MATCH(DaybyDay[[#This Row],[LY-Date]],DaybyDay[Date],0)</f>
        <v>516</v>
      </c>
      <c r="H886" s="30">
        <f>WEEKDAY(DaybyDay[[#This Row],[Date]])</f>
        <v>5</v>
      </c>
      <c r="I886" s="31">
        <v>43615</v>
      </c>
      <c r="J886" s="74">
        <v>16</v>
      </c>
      <c r="K886" s="32">
        <f>SUMIFS(BudgetSeasonality[365 Seasonality],BudgetSeasonality[MonthAdjustment],DaybyDay[[#This Row],[Date]])*SUMIFS(Budgets[Service-Budget],Budgets[BudgetMonth],DaybyDay[[#This Row],[RowMonth]],Budgets[BudgetYear],DaybyDay[[#This Row],[RowYear]])</f>
        <v>4000.3158373571878</v>
      </c>
      <c r="L886" s="75">
        <v>3184.8500000000004</v>
      </c>
      <c r="M886" s="32">
        <f>INDEX(BudgetSeasonality[365 Seasonality],MATCH(DaybyDay[[#This Row],[Date]],BudgetSeasonality[MonthAdjustment],0))*SUMIFS(Budgets[Retail-Budget],Budgets[BudgetMonth],DaybyDay[[#This Row],[RowMonth]],Budgets[BudgetYear],DaybyDay[[#This Row],[RowYear]])</f>
        <v>952.01692270198043</v>
      </c>
      <c r="N886" s="75">
        <v>2117</v>
      </c>
      <c r="O886" s="33">
        <f>SUMIFS(DaybyDay[Service-Budgets],DaybyDay[Date],"&gt;="&amp;$C$5,DaybyDay[RowYear],"&gt;="&amp;$C$4,DaybyDay[Date],"&lt;="&amp;DaybyDay[[#This Row],[Date]])</f>
        <v>0</v>
      </c>
      <c r="P886" s="33">
        <f>SUMIFS(DaybyDay[Retail-Budgets],DaybyDay[Date],"&gt;="&amp;$C$5,DaybyDay[RowYear],"&gt;="&amp;$C$4,DaybyDay[Date],"&lt;="&amp;DaybyDay[[#This Row],[Date]])</f>
        <v>0</v>
      </c>
      <c r="Q886" s="34">
        <f>SUMIFS(DaybyDay[Service-Actuals],DaybyDay[Date],"&gt;="&amp;$C$5,DaybyDay[RowYear],"&gt;="&amp;$C$4,DaybyDay[Date],"&lt;="&amp;DaybyDay[[#This Row],[Date]])</f>
        <v>0</v>
      </c>
      <c r="R886" s="34">
        <f>SUMIFS(DaybyDay[Retail-Actuals],DaybyDay[Date],"&gt;="&amp;$C$5,DaybyDay[RowYear],"&gt;="&amp;$C$4,DaybyDay[Date],"&lt;="&amp;DaybyDay[[#This Row],[Date]])</f>
        <v>0</v>
      </c>
      <c r="S886" s="35">
        <f>SUMIFS(DaybyDay[Service-LY],DaybyDay[Date],"&gt;="&amp;$C$5,DaybyDay[RowYear],"&gt;="&amp;$C$4,DaybyDay[Date],"&lt;="&amp;DaybyDay[[#This Row],[Date]])</f>
        <v>0</v>
      </c>
      <c r="T886" s="35">
        <f>SUMIFS(DaybyDay[Retail-LY],DaybyDay[Date],"&gt;="&amp;$C$5,DaybyDay[RowYear],"&gt;="&amp;$C$4,DaybyDay[Date],"&lt;="&amp;DaybyDay[[#This Row],[Date]])</f>
        <v>0</v>
      </c>
      <c r="U886" s="32">
        <f>DaybyDay[[#This Row],[Serv-Bud-RU]]+DaybyDay[[#This Row],[Ret-Bud-RU]]</f>
        <v>0</v>
      </c>
      <c r="V886" s="32">
        <f>DaybyDay[[#This Row],[Serv-Act-RU]]+DaybyDay[[#This Row],[Ret-Act-RU]]</f>
        <v>0</v>
      </c>
      <c r="W886" s="36">
        <f>IF(DaybyDay[[#This Row],[_Space]],IFERROR(
((DaybyDay[[#This Row],[Actual-Rollup]]-DaybyDay[[#This Row],[Budget-Rollup]])/DaybyDay[[#This Row],[Budget-Rollup]]),0),"")</f>
        <v>0</v>
      </c>
      <c r="X886" t="b">
        <f>NOT(AND(ISBLANK(DaybyDay[[#This Row],[Appts]]),ISBLANK(DaybyDay[[#This Row],[Service-Actuals]]),ISBLANK(DaybyDay[[#This Row],[Retail-Actuals]])))</f>
        <v>1</v>
      </c>
      <c r="Y886" s="36">
        <f>IF(DaybyDay[[#This Row],[_Space]],IFERROR(
((DaybyDay[[#This Row],[Actual-Rollup]]-DaybyDay[[#This Row],[LY-Rollup]])/DaybyDay[[#This Row],[LY-Rollup]]),0),"")</f>
        <v>0</v>
      </c>
      <c r="Z886"/>
      <c r="AA886" s="37" t="e">
        <f>IF(DaybyDay[[#This Row],[_Space]],DaybyDay[[#This Row],[Ret-Act-RU]]/DaybyDay[[#This Row],[Serv-Act-RU]],"")</f>
        <v>#DIV/0!</v>
      </c>
      <c r="AB886" s="50" t="e">
        <f>IF(DaybyDay[[#This Row],[_Space]],DaybyDay[[#This Row],[RETPEN-Act]]/DaybyDay[[#This Row],[RETPEN-Bud]],"")</f>
        <v>#DIV/0!</v>
      </c>
      <c r="AC886" s="37" t="e">
        <f>IF(DaybyDay[[#This Row],[_Space]],DaybyDay[[#This Row],[Ret-Bud-RU]]/DaybyDay[[#This Row],[Serv-Bud-RU]],"")</f>
        <v>#DIV/0!</v>
      </c>
      <c r="AD886" s="37" t="e">
        <f>IF(DaybyDay[[#This Row],[_Space]],DaybyDay[[#This Row],[Ret-LY-RU]]/DaybyDay[[#This Row],[Serv-LY-RU]],"")</f>
        <v>#DIV/0!</v>
      </c>
      <c r="AE886" s="30">
        <f>WEEKDAY(DaybyDay[[#This Row],[LY-Date]])</f>
        <v>5</v>
      </c>
      <c r="AF886" s="38">
        <f>$E$2+_xlfn.DAYS(DaybyDay[[#This Row],[Date]],minDate)</f>
        <v>43251</v>
      </c>
      <c r="AG886" s="39" cm="1">
        <f t="array" ref="AG886">IFERROR(INDEX(DaybyDay[],DaybyDay[[#This Row],[FORM_MATCH_HELPER]],8),"")</f>
        <v>33</v>
      </c>
      <c r="AH886" s="39" cm="1">
        <f t="array" ref="AH886">IFERROR(INDEX(DaybyDay[],DaybyDay[[#This Row],[FORM_MATCH_HELPER]],10),"")</f>
        <v>5942.2</v>
      </c>
      <c r="AI886" s="39" cm="1">
        <f t="array" ref="AI886">IFERROR(INDEX(DaybyDay[],DaybyDay[[#This Row],[FORM_MATCH_HELPER]],12),"")</f>
        <v>716.1</v>
      </c>
      <c r="AJ886" s="32">
        <f>IFERROR(DaybyDay[[#This Row],[Serv-LY-RU]]+DaybyDay[[#This Row],[Ret-LY-RU]],"")</f>
        <v>0</v>
      </c>
      <c r="AK8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6" s="77"/>
      <c r="AM886" s="40" t="str">
        <f>IF(DaybyDay[[#This Row],[Admin Hours]]&gt;0,DaybyDay[[#This Row],[Admin Hours]]*$AM$2+$AM$3,"")</f>
        <v/>
      </c>
      <c r="AN886" s="40">
        <f>SUMIFS(DaybyDay[Est-Admin-Payroll],DaybyDay[Date],"&gt;="&amp;$C$5,DaybyDay[RowYear],"&gt;="&amp;$C$4,DaybyDay[Date],"&lt;="&amp;DaybyDay[[#This Row],[Date]])</f>
        <v>0</v>
      </c>
      <c r="AO886" s="41" t="str">
        <f>IF(AND(DaybyDay[[#This Row],[_Space]],ISNUMBER(DaybyDay[[#This Row],[Admin Hours]])),DaybyDay[[#This Row],[Est-Admin-Payroll]]/(DaybyDay[[#This Row],[Service-Actuals]]+DaybyDay[[#This Row],[Retail-Actuals]]),"")</f>
        <v/>
      </c>
      <c r="AP886" s="41" t="e">
        <f>DaybyDay[[#This Row],[Estimated-Payroll-Rollup]]/DaybyDay[[#This Row],[Simple-Forecast]]</f>
        <v>#DIV/0!</v>
      </c>
      <c r="AQ8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6" s="77"/>
      <c r="AS886" s="40" t="str">
        <f>IF(DaybyDay[[#This Row],[Retail Hours]]&gt;0,DaybyDay[[#This Row],[Retail Hours]]*$AS$2,"")</f>
        <v/>
      </c>
      <c r="AT886" s="40">
        <f>SUMIFS(DaybyDay[Est-Retail-Payroll],DaybyDay[Date],"&gt;="&amp;$C$5,DaybyDay[RowYear],"&gt;="&amp;$C$4,DaybyDay[Date],"&lt;="&amp;DaybyDay[[#This Row],[Date]])</f>
        <v>0</v>
      </c>
      <c r="AU886" s="82" t="str">
        <f>IF(AND(DaybyDay[[#This Row],[_Space]],ISNUMBER(DaybyDay[[#This Row],[Retail Hours]])),DaybyDay[[#This Row],[Est-Retail-Payroll]]/(DaybyDay[[#This Row],[Retail-Actuals]]),"")</f>
        <v/>
      </c>
      <c r="AV886" s="82" t="e">
        <f>DaybyDay[[#This Row],[Est-Retail-PayrollRU]]/DaybyDay[[#This Row],[Simple-Forecast-Retail]]</f>
        <v>#DIV/0!</v>
      </c>
      <c r="AW886" s="8"/>
      <c r="AX886" s="49"/>
      <c r="AY886" s="48"/>
      <c r="AZ886" s="47"/>
      <c r="BA886" s="47"/>
      <c r="BB886" s="47"/>
      <c r="BC886" s="47"/>
      <c r="BD886" s="47"/>
    </row>
    <row r="887" spans="3:56" hidden="1" x14ac:dyDescent="0.25">
      <c r="C887" s="26" t="str">
        <f>Tools!$C$1</f>
        <v>Example</v>
      </c>
      <c r="D887" s="27" t="s">
        <v>72</v>
      </c>
      <c r="E887" s="28">
        <v>2019</v>
      </c>
      <c r="F887" s="28">
        <f>MATCH(DaybyDay[[#This Row],[RowMonth]],Table3[SummaryMonth],0)</f>
        <v>5</v>
      </c>
      <c r="G887" s="29">
        <f>MATCH(DaybyDay[[#This Row],[LY-Date]],DaybyDay[Date],0)</f>
        <v>517</v>
      </c>
      <c r="H887" s="30">
        <f>WEEKDAY(DaybyDay[[#This Row],[Date]])</f>
        <v>6</v>
      </c>
      <c r="I887" s="31">
        <v>43616</v>
      </c>
      <c r="J887" s="74">
        <v>25</v>
      </c>
      <c r="K887" s="32">
        <f>SUMIFS(BudgetSeasonality[365 Seasonality],BudgetSeasonality[MonthAdjustment],DaybyDay[[#This Row],[Date]])*SUMIFS(Budgets[Service-Budget],Budgets[BudgetMonth],DaybyDay[[#This Row],[RowMonth]],Budgets[BudgetYear],DaybyDay[[#This Row],[RowYear]])</f>
        <v>4980.157484214893</v>
      </c>
      <c r="L887" s="75">
        <v>5479.5999999999995</v>
      </c>
      <c r="M887" s="32">
        <f>INDEX(BudgetSeasonality[365 Seasonality],MATCH(DaybyDay[[#This Row],[Date]],BudgetSeasonality[MonthAdjustment],0))*SUMIFS(Budgets[Retail-Budget],Budgets[BudgetMonth],DaybyDay[[#This Row],[RowMonth]],Budgets[BudgetYear],DaybyDay[[#This Row],[RowYear]])</f>
        <v>1185.2049676721958</v>
      </c>
      <c r="N887" s="75">
        <v>846.72</v>
      </c>
      <c r="O887" s="33">
        <f>SUMIFS(DaybyDay[Service-Budgets],DaybyDay[Date],"&gt;="&amp;$C$5,DaybyDay[RowYear],"&gt;="&amp;$C$4,DaybyDay[Date],"&lt;="&amp;DaybyDay[[#This Row],[Date]])</f>
        <v>0</v>
      </c>
      <c r="P887" s="33">
        <f>SUMIFS(DaybyDay[Retail-Budgets],DaybyDay[Date],"&gt;="&amp;$C$5,DaybyDay[RowYear],"&gt;="&amp;$C$4,DaybyDay[Date],"&lt;="&amp;DaybyDay[[#This Row],[Date]])</f>
        <v>0</v>
      </c>
      <c r="Q887" s="34">
        <f>SUMIFS(DaybyDay[Service-Actuals],DaybyDay[Date],"&gt;="&amp;$C$5,DaybyDay[RowYear],"&gt;="&amp;$C$4,DaybyDay[Date],"&lt;="&amp;DaybyDay[[#This Row],[Date]])</f>
        <v>0</v>
      </c>
      <c r="R887" s="34">
        <f>SUMIFS(DaybyDay[Retail-Actuals],DaybyDay[Date],"&gt;="&amp;$C$5,DaybyDay[RowYear],"&gt;="&amp;$C$4,DaybyDay[Date],"&lt;="&amp;DaybyDay[[#This Row],[Date]])</f>
        <v>0</v>
      </c>
      <c r="S887" s="35">
        <f>SUMIFS(DaybyDay[Service-LY],DaybyDay[Date],"&gt;="&amp;$C$5,DaybyDay[RowYear],"&gt;="&amp;$C$4,DaybyDay[Date],"&lt;="&amp;DaybyDay[[#This Row],[Date]])</f>
        <v>0</v>
      </c>
      <c r="T887" s="35">
        <f>SUMIFS(DaybyDay[Retail-LY],DaybyDay[Date],"&gt;="&amp;$C$5,DaybyDay[RowYear],"&gt;="&amp;$C$4,DaybyDay[Date],"&lt;="&amp;DaybyDay[[#This Row],[Date]])</f>
        <v>0</v>
      </c>
      <c r="U887" s="32">
        <f>DaybyDay[[#This Row],[Serv-Bud-RU]]+DaybyDay[[#This Row],[Ret-Bud-RU]]</f>
        <v>0</v>
      </c>
      <c r="V887" s="32">
        <f>DaybyDay[[#This Row],[Serv-Act-RU]]+DaybyDay[[#This Row],[Ret-Act-RU]]</f>
        <v>0</v>
      </c>
      <c r="W887" s="36">
        <f>IF(DaybyDay[[#This Row],[_Space]],IFERROR(
((DaybyDay[[#This Row],[Actual-Rollup]]-DaybyDay[[#This Row],[Budget-Rollup]])/DaybyDay[[#This Row],[Budget-Rollup]]),0),"")</f>
        <v>0</v>
      </c>
      <c r="X887" t="b">
        <f>NOT(AND(ISBLANK(DaybyDay[[#This Row],[Appts]]),ISBLANK(DaybyDay[[#This Row],[Service-Actuals]]),ISBLANK(DaybyDay[[#This Row],[Retail-Actuals]])))</f>
        <v>1</v>
      </c>
      <c r="Y887" s="36">
        <f>IF(DaybyDay[[#This Row],[_Space]],IFERROR(
((DaybyDay[[#This Row],[Actual-Rollup]]-DaybyDay[[#This Row],[LY-Rollup]])/DaybyDay[[#This Row],[LY-Rollup]]),0),"")</f>
        <v>0</v>
      </c>
      <c r="Z887"/>
      <c r="AA887" s="37" t="e">
        <f>IF(DaybyDay[[#This Row],[_Space]],DaybyDay[[#This Row],[Ret-Act-RU]]/DaybyDay[[#This Row],[Serv-Act-RU]],"")</f>
        <v>#DIV/0!</v>
      </c>
      <c r="AB887" s="50" t="e">
        <f>IF(DaybyDay[[#This Row],[_Space]],DaybyDay[[#This Row],[RETPEN-Act]]/DaybyDay[[#This Row],[RETPEN-Bud]],"")</f>
        <v>#DIV/0!</v>
      </c>
      <c r="AC887" s="37" t="e">
        <f>IF(DaybyDay[[#This Row],[_Space]],DaybyDay[[#This Row],[Ret-Bud-RU]]/DaybyDay[[#This Row],[Serv-Bud-RU]],"")</f>
        <v>#DIV/0!</v>
      </c>
      <c r="AD887" s="37" t="e">
        <f>IF(DaybyDay[[#This Row],[_Space]],DaybyDay[[#This Row],[Ret-LY-RU]]/DaybyDay[[#This Row],[Serv-LY-RU]],"")</f>
        <v>#DIV/0!</v>
      </c>
      <c r="AE887" s="30">
        <f>WEEKDAY(DaybyDay[[#This Row],[LY-Date]])</f>
        <v>6</v>
      </c>
      <c r="AF887" s="38">
        <f>$E$2+_xlfn.DAYS(DaybyDay[[#This Row],[Date]],minDate)</f>
        <v>43252</v>
      </c>
      <c r="AG887" s="39" cm="1">
        <f t="array" ref="AG887">IFERROR(INDEX(DaybyDay[],DaybyDay[[#This Row],[FORM_MATCH_HELPER]],8),"")</f>
        <v>17</v>
      </c>
      <c r="AH887" s="39" cm="1">
        <f t="array" ref="AH887">IFERROR(INDEX(DaybyDay[],DaybyDay[[#This Row],[FORM_MATCH_HELPER]],10),"")</f>
        <v>3036.77</v>
      </c>
      <c r="AI887" s="39" cm="1">
        <f t="array" ref="AI887">IFERROR(INDEX(DaybyDay[],DaybyDay[[#This Row],[FORM_MATCH_HELPER]],12),"")</f>
        <v>379.6</v>
      </c>
      <c r="AJ887" s="32">
        <f>IFERROR(DaybyDay[[#This Row],[Serv-LY-RU]]+DaybyDay[[#This Row],[Ret-LY-RU]],"")</f>
        <v>0</v>
      </c>
      <c r="AK8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7" s="77"/>
      <c r="AM887" s="40" t="str">
        <f>IF(DaybyDay[[#This Row],[Admin Hours]]&gt;0,DaybyDay[[#This Row],[Admin Hours]]*$AM$2+$AM$3,"")</f>
        <v/>
      </c>
      <c r="AN887" s="40">
        <f>SUMIFS(DaybyDay[Est-Admin-Payroll],DaybyDay[Date],"&gt;="&amp;$C$5,DaybyDay[RowYear],"&gt;="&amp;$C$4,DaybyDay[Date],"&lt;="&amp;DaybyDay[[#This Row],[Date]])</f>
        <v>0</v>
      </c>
      <c r="AO887" s="41" t="str">
        <f>IF(AND(DaybyDay[[#This Row],[_Space]],ISNUMBER(DaybyDay[[#This Row],[Admin Hours]])),DaybyDay[[#This Row],[Est-Admin-Payroll]]/(DaybyDay[[#This Row],[Service-Actuals]]+DaybyDay[[#This Row],[Retail-Actuals]]),"")</f>
        <v/>
      </c>
      <c r="AP887" s="41" t="e">
        <f>DaybyDay[[#This Row],[Estimated-Payroll-Rollup]]/DaybyDay[[#This Row],[Simple-Forecast]]</f>
        <v>#DIV/0!</v>
      </c>
      <c r="AQ8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7" s="77"/>
      <c r="AS887" s="40" t="str">
        <f>IF(DaybyDay[[#This Row],[Retail Hours]]&gt;0,DaybyDay[[#This Row],[Retail Hours]]*$AS$2,"")</f>
        <v/>
      </c>
      <c r="AT887" s="40">
        <f>SUMIFS(DaybyDay[Est-Retail-Payroll],DaybyDay[Date],"&gt;="&amp;$C$5,DaybyDay[RowYear],"&gt;="&amp;$C$4,DaybyDay[Date],"&lt;="&amp;DaybyDay[[#This Row],[Date]])</f>
        <v>0</v>
      </c>
      <c r="AU887" s="82" t="str">
        <f>IF(AND(DaybyDay[[#This Row],[_Space]],ISNUMBER(DaybyDay[[#This Row],[Retail Hours]])),DaybyDay[[#This Row],[Est-Retail-Payroll]]/(DaybyDay[[#This Row],[Retail-Actuals]]),"")</f>
        <v/>
      </c>
      <c r="AV887" s="82" t="e">
        <f>DaybyDay[[#This Row],[Est-Retail-PayrollRU]]/DaybyDay[[#This Row],[Simple-Forecast-Retail]]</f>
        <v>#DIV/0!</v>
      </c>
      <c r="AW887" s="8"/>
      <c r="AX887" s="49"/>
      <c r="AY887" s="48"/>
      <c r="AZ887" s="47"/>
      <c r="BA887" s="47"/>
      <c r="BB887" s="47"/>
      <c r="BC887" s="47"/>
      <c r="BD887" s="47"/>
    </row>
    <row r="888" spans="3:56" hidden="1" x14ac:dyDescent="0.25">
      <c r="C888" s="26" t="str">
        <f>Tools!$C$1</f>
        <v>Example</v>
      </c>
      <c r="D888" s="27" t="s">
        <v>72</v>
      </c>
      <c r="E888" s="28">
        <v>2019</v>
      </c>
      <c r="F888" s="28">
        <f>MATCH(DaybyDay[[#This Row],[RowMonth]],Table3[SummaryMonth],0)</f>
        <v>5</v>
      </c>
      <c r="G888" s="29">
        <f>MATCH(DaybyDay[[#This Row],[LY-Date]],DaybyDay[Date],0)</f>
        <v>518</v>
      </c>
      <c r="H888" s="30">
        <f>WEEKDAY(DaybyDay[[#This Row],[Date]])</f>
        <v>7</v>
      </c>
      <c r="I888" s="31">
        <v>43617</v>
      </c>
      <c r="J888" s="74">
        <v>31</v>
      </c>
      <c r="K888" s="32">
        <f>SUMIFS(BudgetSeasonality[365 Seasonality],BudgetSeasonality[MonthAdjustment],DaybyDay[[#This Row],[Date]])*SUMIFS(Budgets[Service-Budget],Budgets[BudgetMonth],DaybyDay[[#This Row],[RowMonth]],Budgets[BudgetYear],DaybyDay[[#This Row],[RowYear]])</f>
        <v>7076.5679214620977</v>
      </c>
      <c r="L888" s="75">
        <v>8808.4</v>
      </c>
      <c r="M888" s="32">
        <f>INDEX(BudgetSeasonality[365 Seasonality],MATCH(DaybyDay[[#This Row],[Date]],BudgetSeasonality[MonthAdjustment],0))*SUMIFS(Budgets[Retail-Budget],Budgets[BudgetMonth],DaybyDay[[#This Row],[RowMonth]],Budgets[BudgetYear],DaybyDay[[#This Row],[RowYear]])</f>
        <v>1684.1201269579528</v>
      </c>
      <c r="N888" s="75">
        <v>1904</v>
      </c>
      <c r="O888" s="33">
        <f>SUMIFS(DaybyDay[Service-Budgets],DaybyDay[Date],"&gt;="&amp;$C$5,DaybyDay[RowYear],"&gt;="&amp;$C$4,DaybyDay[Date],"&lt;="&amp;DaybyDay[[#This Row],[Date]])</f>
        <v>0</v>
      </c>
      <c r="P888" s="33">
        <f>SUMIFS(DaybyDay[Retail-Budgets],DaybyDay[Date],"&gt;="&amp;$C$5,DaybyDay[RowYear],"&gt;="&amp;$C$4,DaybyDay[Date],"&lt;="&amp;DaybyDay[[#This Row],[Date]])</f>
        <v>0</v>
      </c>
      <c r="Q888" s="34">
        <f>SUMIFS(DaybyDay[Service-Actuals],DaybyDay[Date],"&gt;="&amp;$C$5,DaybyDay[RowYear],"&gt;="&amp;$C$4,DaybyDay[Date],"&lt;="&amp;DaybyDay[[#This Row],[Date]])</f>
        <v>0</v>
      </c>
      <c r="R888" s="34">
        <f>SUMIFS(DaybyDay[Retail-Actuals],DaybyDay[Date],"&gt;="&amp;$C$5,DaybyDay[RowYear],"&gt;="&amp;$C$4,DaybyDay[Date],"&lt;="&amp;DaybyDay[[#This Row],[Date]])</f>
        <v>0</v>
      </c>
      <c r="S888" s="35">
        <f>SUMIFS(DaybyDay[Service-LY],DaybyDay[Date],"&gt;="&amp;$C$5,DaybyDay[RowYear],"&gt;="&amp;$C$4,DaybyDay[Date],"&lt;="&amp;DaybyDay[[#This Row],[Date]])</f>
        <v>0</v>
      </c>
      <c r="T888" s="35">
        <f>SUMIFS(DaybyDay[Retail-LY],DaybyDay[Date],"&gt;="&amp;$C$5,DaybyDay[RowYear],"&gt;="&amp;$C$4,DaybyDay[Date],"&lt;="&amp;DaybyDay[[#This Row],[Date]])</f>
        <v>0</v>
      </c>
      <c r="U888" s="32">
        <f>DaybyDay[[#This Row],[Serv-Bud-RU]]+DaybyDay[[#This Row],[Ret-Bud-RU]]</f>
        <v>0</v>
      </c>
      <c r="V888" s="32">
        <f>DaybyDay[[#This Row],[Serv-Act-RU]]+DaybyDay[[#This Row],[Ret-Act-RU]]</f>
        <v>0</v>
      </c>
      <c r="W888" s="36">
        <f>IF(DaybyDay[[#This Row],[_Space]],IFERROR(
((DaybyDay[[#This Row],[Actual-Rollup]]-DaybyDay[[#This Row],[Budget-Rollup]])/DaybyDay[[#This Row],[Budget-Rollup]]),0),"")</f>
        <v>0</v>
      </c>
      <c r="X888" t="b">
        <f>NOT(AND(ISBLANK(DaybyDay[[#This Row],[Appts]]),ISBLANK(DaybyDay[[#This Row],[Service-Actuals]]),ISBLANK(DaybyDay[[#This Row],[Retail-Actuals]])))</f>
        <v>1</v>
      </c>
      <c r="Y888" s="36">
        <f>IF(DaybyDay[[#This Row],[_Space]],IFERROR(
((DaybyDay[[#This Row],[Actual-Rollup]]-DaybyDay[[#This Row],[LY-Rollup]])/DaybyDay[[#This Row],[LY-Rollup]]),0),"")</f>
        <v>0</v>
      </c>
      <c r="Z888"/>
      <c r="AA888" s="37" t="e">
        <f>IF(DaybyDay[[#This Row],[_Space]],DaybyDay[[#This Row],[Ret-Act-RU]]/DaybyDay[[#This Row],[Serv-Act-RU]],"")</f>
        <v>#DIV/0!</v>
      </c>
      <c r="AB888" s="50" t="e">
        <f>IF(DaybyDay[[#This Row],[_Space]],DaybyDay[[#This Row],[RETPEN-Act]]/DaybyDay[[#This Row],[RETPEN-Bud]],"")</f>
        <v>#DIV/0!</v>
      </c>
      <c r="AC888" s="37" t="e">
        <f>IF(DaybyDay[[#This Row],[_Space]],DaybyDay[[#This Row],[Ret-Bud-RU]]/DaybyDay[[#This Row],[Serv-Bud-RU]],"")</f>
        <v>#DIV/0!</v>
      </c>
      <c r="AD888" s="37" t="e">
        <f>IF(DaybyDay[[#This Row],[_Space]],DaybyDay[[#This Row],[Ret-LY-RU]]/DaybyDay[[#This Row],[Serv-LY-RU]],"")</f>
        <v>#DIV/0!</v>
      </c>
      <c r="AE888" s="30">
        <f>WEEKDAY(DaybyDay[[#This Row],[LY-Date]])</f>
        <v>7</v>
      </c>
      <c r="AF888" s="38">
        <f>$E$2+_xlfn.DAYS(DaybyDay[[#This Row],[Date]],minDate)</f>
        <v>43253</v>
      </c>
      <c r="AG888" s="39" cm="1">
        <f t="array" ref="AG888">IFERROR(INDEX(DaybyDay[],DaybyDay[[#This Row],[FORM_MATCH_HELPER]],8),"")</f>
        <v>29</v>
      </c>
      <c r="AH888" s="39" cm="1">
        <f t="array" ref="AH888">IFERROR(INDEX(DaybyDay[],DaybyDay[[#This Row],[FORM_MATCH_HELPER]],10),"")</f>
        <v>8561.19</v>
      </c>
      <c r="AI888" s="39" cm="1">
        <f t="array" ref="AI888">IFERROR(INDEX(DaybyDay[],DaybyDay[[#This Row],[FORM_MATCH_HELPER]],12),"")</f>
        <v>993.5</v>
      </c>
      <c r="AJ888" s="32">
        <f>IFERROR(DaybyDay[[#This Row],[Serv-LY-RU]]+DaybyDay[[#This Row],[Ret-LY-RU]],"")</f>
        <v>0</v>
      </c>
      <c r="AK8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8" s="77"/>
      <c r="AM888" s="40" t="str">
        <f>IF(DaybyDay[[#This Row],[Admin Hours]]&gt;0,DaybyDay[[#This Row],[Admin Hours]]*$AM$2+$AM$3,"")</f>
        <v/>
      </c>
      <c r="AN888" s="40">
        <f>SUMIFS(DaybyDay[Est-Admin-Payroll],DaybyDay[Date],"&gt;="&amp;$C$5,DaybyDay[RowYear],"&gt;="&amp;$C$4,DaybyDay[Date],"&lt;="&amp;DaybyDay[[#This Row],[Date]])</f>
        <v>0</v>
      </c>
      <c r="AO888" s="41" t="str">
        <f>IF(AND(DaybyDay[[#This Row],[_Space]],ISNUMBER(DaybyDay[[#This Row],[Admin Hours]])),DaybyDay[[#This Row],[Est-Admin-Payroll]]/(DaybyDay[[#This Row],[Service-Actuals]]+DaybyDay[[#This Row],[Retail-Actuals]]),"")</f>
        <v/>
      </c>
      <c r="AP888" s="41" t="e">
        <f>DaybyDay[[#This Row],[Estimated-Payroll-Rollup]]/DaybyDay[[#This Row],[Simple-Forecast]]</f>
        <v>#DIV/0!</v>
      </c>
      <c r="AQ8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8" s="77"/>
      <c r="AS888" s="40" t="str">
        <f>IF(DaybyDay[[#This Row],[Retail Hours]]&gt;0,DaybyDay[[#This Row],[Retail Hours]]*$AS$2,"")</f>
        <v/>
      </c>
      <c r="AT888" s="40">
        <f>SUMIFS(DaybyDay[Est-Retail-Payroll],DaybyDay[Date],"&gt;="&amp;$C$5,DaybyDay[RowYear],"&gt;="&amp;$C$4,DaybyDay[Date],"&lt;="&amp;DaybyDay[[#This Row],[Date]])</f>
        <v>0</v>
      </c>
      <c r="AU888" s="82" t="str">
        <f>IF(AND(DaybyDay[[#This Row],[_Space]],ISNUMBER(DaybyDay[[#This Row],[Retail Hours]])),DaybyDay[[#This Row],[Est-Retail-Payroll]]/(DaybyDay[[#This Row],[Retail-Actuals]]),"")</f>
        <v/>
      </c>
      <c r="AV888" s="82" t="e">
        <f>DaybyDay[[#This Row],[Est-Retail-PayrollRU]]/DaybyDay[[#This Row],[Simple-Forecast-Retail]]</f>
        <v>#DIV/0!</v>
      </c>
      <c r="AW888" s="8"/>
      <c r="AX888" s="49"/>
      <c r="AY888" s="48"/>
      <c r="AZ888" s="47"/>
      <c r="BA888" s="47"/>
      <c r="BB888" s="47"/>
      <c r="BC888" s="47"/>
      <c r="BD888" s="47"/>
    </row>
    <row r="889" spans="3:56" hidden="1" x14ac:dyDescent="0.25">
      <c r="C889" s="26" t="str">
        <f>Tools!$C$1</f>
        <v>Example</v>
      </c>
      <c r="D889" s="27" t="s">
        <v>73</v>
      </c>
      <c r="E889" s="28">
        <v>2019</v>
      </c>
      <c r="F889" s="28">
        <f>MATCH(DaybyDay[[#This Row],[RowMonth]],Table3[SummaryMonth],0)</f>
        <v>6</v>
      </c>
      <c r="G889" s="29">
        <f>MATCH(DaybyDay[[#This Row],[LY-Date]],DaybyDay[Date],0)</f>
        <v>519</v>
      </c>
      <c r="H889" s="30">
        <f>WEEKDAY(DaybyDay[[#This Row],[Date]])</f>
        <v>1</v>
      </c>
      <c r="I889" s="31">
        <v>43618</v>
      </c>
      <c r="J889" s="74">
        <v>29</v>
      </c>
      <c r="K889" s="32">
        <f>SUMIFS(BudgetSeasonality[365 Seasonality],BudgetSeasonality[MonthAdjustment],DaybyDay[[#This Row],[Date]])*SUMIFS(Budgets[Service-Budget],Budgets[BudgetMonth],DaybyDay[[#This Row],[RowMonth]],Budgets[BudgetYear],DaybyDay[[#This Row],[RowYear]])</f>
        <v>6508.7923287535305</v>
      </c>
      <c r="L889" s="75">
        <v>5536.6</v>
      </c>
      <c r="M889" s="32">
        <f>INDEX(BudgetSeasonality[365 Seasonality],MATCH(DaybyDay[[#This Row],[Date]],BudgetSeasonality[MonthAdjustment],0))*SUMIFS(Budgets[Retail-Budget],Budgets[BudgetMonth],DaybyDay[[#This Row],[RowMonth]],Budgets[BudgetYear],DaybyDay[[#This Row],[RowYear]])</f>
        <v>1872.2756453020822</v>
      </c>
      <c r="N889" s="75">
        <v>714</v>
      </c>
      <c r="O889" s="33">
        <f>SUMIFS(DaybyDay[Service-Budgets],DaybyDay[Date],"&gt;="&amp;$C$5,DaybyDay[RowYear],"&gt;="&amp;$C$4,DaybyDay[Date],"&lt;="&amp;DaybyDay[[#This Row],[Date]])</f>
        <v>0</v>
      </c>
      <c r="P889" s="33">
        <f>SUMIFS(DaybyDay[Retail-Budgets],DaybyDay[Date],"&gt;="&amp;$C$5,DaybyDay[RowYear],"&gt;="&amp;$C$4,DaybyDay[Date],"&lt;="&amp;DaybyDay[[#This Row],[Date]])</f>
        <v>0</v>
      </c>
      <c r="Q889" s="34">
        <f>SUMIFS(DaybyDay[Service-Actuals],DaybyDay[Date],"&gt;="&amp;$C$5,DaybyDay[RowYear],"&gt;="&amp;$C$4,DaybyDay[Date],"&lt;="&amp;DaybyDay[[#This Row],[Date]])</f>
        <v>0</v>
      </c>
      <c r="R889" s="34">
        <f>SUMIFS(DaybyDay[Retail-Actuals],DaybyDay[Date],"&gt;="&amp;$C$5,DaybyDay[RowYear],"&gt;="&amp;$C$4,DaybyDay[Date],"&lt;="&amp;DaybyDay[[#This Row],[Date]])</f>
        <v>0</v>
      </c>
      <c r="S889" s="35">
        <f>SUMIFS(DaybyDay[Service-LY],DaybyDay[Date],"&gt;="&amp;$C$5,DaybyDay[RowYear],"&gt;="&amp;$C$4,DaybyDay[Date],"&lt;="&amp;DaybyDay[[#This Row],[Date]])</f>
        <v>0</v>
      </c>
      <c r="T889" s="35">
        <f>SUMIFS(DaybyDay[Retail-LY],DaybyDay[Date],"&gt;="&amp;$C$5,DaybyDay[RowYear],"&gt;="&amp;$C$4,DaybyDay[Date],"&lt;="&amp;DaybyDay[[#This Row],[Date]])</f>
        <v>0</v>
      </c>
      <c r="U889" s="32">
        <f>DaybyDay[[#This Row],[Serv-Bud-RU]]+DaybyDay[[#This Row],[Ret-Bud-RU]]</f>
        <v>0</v>
      </c>
      <c r="V889" s="32">
        <f>DaybyDay[[#This Row],[Serv-Act-RU]]+DaybyDay[[#This Row],[Ret-Act-RU]]</f>
        <v>0</v>
      </c>
      <c r="W889" s="36">
        <f>IF(DaybyDay[[#This Row],[_Space]],IFERROR(
((DaybyDay[[#This Row],[Actual-Rollup]]-DaybyDay[[#This Row],[Budget-Rollup]])/DaybyDay[[#This Row],[Budget-Rollup]]),0),"")</f>
        <v>0</v>
      </c>
      <c r="X889" t="b">
        <f>NOT(AND(ISBLANK(DaybyDay[[#This Row],[Appts]]),ISBLANK(DaybyDay[[#This Row],[Service-Actuals]]),ISBLANK(DaybyDay[[#This Row],[Retail-Actuals]])))</f>
        <v>1</v>
      </c>
      <c r="Y889" s="36">
        <f>IF(DaybyDay[[#This Row],[_Space]],IFERROR(
((DaybyDay[[#This Row],[Actual-Rollup]]-DaybyDay[[#This Row],[LY-Rollup]])/DaybyDay[[#This Row],[LY-Rollup]]),0),"")</f>
        <v>0</v>
      </c>
      <c r="Z889"/>
      <c r="AA889" s="37" t="e">
        <f>IF(DaybyDay[[#This Row],[_Space]],DaybyDay[[#This Row],[Ret-Act-RU]]/DaybyDay[[#This Row],[Serv-Act-RU]],"")</f>
        <v>#DIV/0!</v>
      </c>
      <c r="AB889" s="50" t="e">
        <f>IF(DaybyDay[[#This Row],[_Space]],DaybyDay[[#This Row],[RETPEN-Act]]/DaybyDay[[#This Row],[RETPEN-Bud]],"")</f>
        <v>#DIV/0!</v>
      </c>
      <c r="AC889" s="37" t="e">
        <f>IF(DaybyDay[[#This Row],[_Space]],DaybyDay[[#This Row],[Ret-Bud-RU]]/DaybyDay[[#This Row],[Serv-Bud-RU]],"")</f>
        <v>#DIV/0!</v>
      </c>
      <c r="AD889" s="37" t="e">
        <f>IF(DaybyDay[[#This Row],[_Space]],DaybyDay[[#This Row],[Ret-LY-RU]]/DaybyDay[[#This Row],[Serv-LY-RU]],"")</f>
        <v>#DIV/0!</v>
      </c>
      <c r="AE889" s="30">
        <f>WEEKDAY(DaybyDay[[#This Row],[LY-Date]])</f>
        <v>1</v>
      </c>
      <c r="AF889" s="38">
        <f>$E$2+_xlfn.DAYS(DaybyDay[[#This Row],[Date]],minDate)</f>
        <v>43254</v>
      </c>
      <c r="AG889" s="39" cm="1">
        <f t="array" ref="AG889">IFERROR(INDEX(DaybyDay[],DaybyDay[[#This Row],[FORM_MATCH_HELPER]],8),"")</f>
        <v>31</v>
      </c>
      <c r="AH889" s="39" cm="1">
        <f t="array" ref="AH889">IFERROR(INDEX(DaybyDay[],DaybyDay[[#This Row],[FORM_MATCH_HELPER]],10),"")</f>
        <v>5074.6000000000004</v>
      </c>
      <c r="AI889" s="39" cm="1">
        <f t="array" ref="AI889">IFERROR(INDEX(DaybyDay[],DaybyDay[[#This Row],[FORM_MATCH_HELPER]],12),"")</f>
        <v>526.5</v>
      </c>
      <c r="AJ889" s="32">
        <f>IFERROR(DaybyDay[[#This Row],[Serv-LY-RU]]+DaybyDay[[#This Row],[Ret-LY-RU]],"")</f>
        <v>0</v>
      </c>
      <c r="AK8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89" s="77"/>
      <c r="AM889" s="40" t="str">
        <f>IF(DaybyDay[[#This Row],[Admin Hours]]&gt;0,DaybyDay[[#This Row],[Admin Hours]]*$AM$2+$AM$3,"")</f>
        <v/>
      </c>
      <c r="AN889" s="40">
        <f>SUMIFS(DaybyDay[Est-Admin-Payroll],DaybyDay[Date],"&gt;="&amp;$C$5,DaybyDay[RowYear],"&gt;="&amp;$C$4,DaybyDay[Date],"&lt;="&amp;DaybyDay[[#This Row],[Date]])</f>
        <v>0</v>
      </c>
      <c r="AO889" s="41" t="str">
        <f>IF(AND(DaybyDay[[#This Row],[_Space]],ISNUMBER(DaybyDay[[#This Row],[Admin Hours]])),DaybyDay[[#This Row],[Est-Admin-Payroll]]/(DaybyDay[[#This Row],[Service-Actuals]]+DaybyDay[[#This Row],[Retail-Actuals]]),"")</f>
        <v/>
      </c>
      <c r="AP889" s="41" t="e">
        <f>DaybyDay[[#This Row],[Estimated-Payroll-Rollup]]/DaybyDay[[#This Row],[Simple-Forecast]]</f>
        <v>#DIV/0!</v>
      </c>
      <c r="AQ8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89" s="77"/>
      <c r="AS889" s="40" t="str">
        <f>IF(DaybyDay[[#This Row],[Retail Hours]]&gt;0,DaybyDay[[#This Row],[Retail Hours]]*$AS$2,"")</f>
        <v/>
      </c>
      <c r="AT889" s="40">
        <f>SUMIFS(DaybyDay[Est-Retail-Payroll],DaybyDay[Date],"&gt;="&amp;$C$5,DaybyDay[RowYear],"&gt;="&amp;$C$4,DaybyDay[Date],"&lt;="&amp;DaybyDay[[#This Row],[Date]])</f>
        <v>0</v>
      </c>
      <c r="AU889" s="82" t="str">
        <f>IF(AND(DaybyDay[[#This Row],[_Space]],ISNUMBER(DaybyDay[[#This Row],[Retail Hours]])),DaybyDay[[#This Row],[Est-Retail-Payroll]]/(DaybyDay[[#This Row],[Retail-Actuals]]),"")</f>
        <v/>
      </c>
      <c r="AV889" s="82" t="e">
        <f>DaybyDay[[#This Row],[Est-Retail-PayrollRU]]/DaybyDay[[#This Row],[Simple-Forecast-Retail]]</f>
        <v>#DIV/0!</v>
      </c>
      <c r="AW889" s="8"/>
      <c r="AX889" s="49"/>
      <c r="AY889" s="48"/>
      <c r="AZ889" s="47"/>
      <c r="BA889" s="47"/>
      <c r="BB889" s="47"/>
      <c r="BC889" s="47"/>
      <c r="BD889" s="47"/>
    </row>
    <row r="890" spans="3:56" hidden="1" x14ac:dyDescent="0.25">
      <c r="C890" s="26" t="str">
        <f>Tools!$C$1</f>
        <v>Example</v>
      </c>
      <c r="D890" s="27" t="s">
        <v>73</v>
      </c>
      <c r="E890" s="28">
        <v>2019</v>
      </c>
      <c r="F890" s="28">
        <f>MATCH(DaybyDay[[#This Row],[RowMonth]],Table3[SummaryMonth],0)</f>
        <v>6</v>
      </c>
      <c r="G890" s="29">
        <f>MATCH(DaybyDay[[#This Row],[LY-Date]],DaybyDay[Date],0)</f>
        <v>520</v>
      </c>
      <c r="H890" s="30">
        <f>WEEKDAY(DaybyDay[[#This Row],[Date]])</f>
        <v>2</v>
      </c>
      <c r="I890" s="31">
        <v>43619</v>
      </c>
      <c r="J890" s="74">
        <v>7</v>
      </c>
      <c r="K890" s="32">
        <f>SUMIFS(BudgetSeasonality[365 Seasonality],BudgetSeasonality[MonthAdjustment],DaybyDay[[#This Row],[Date]])*SUMIFS(Budgets[Service-Budget],Budgets[BudgetMonth],DaybyDay[[#This Row],[RowMonth]],Budgets[BudgetYear],DaybyDay[[#This Row],[RowYear]])</f>
        <v>3829.6542271747489</v>
      </c>
      <c r="L890" s="75">
        <v>1714.4</v>
      </c>
      <c r="M890" s="32">
        <f>INDEX(BudgetSeasonality[365 Seasonality],MATCH(DaybyDay[[#This Row],[Date]],BudgetSeasonality[MonthAdjustment],0))*SUMIFS(Budgets[Retail-Budget],Budgets[BudgetMonth],DaybyDay[[#This Row],[RowMonth]],Budgets[BudgetYear],DaybyDay[[#This Row],[RowYear]])</f>
        <v>1101.612707443775</v>
      </c>
      <c r="N890" s="75">
        <v>270.89999999999998</v>
      </c>
      <c r="O890" s="33">
        <f>SUMIFS(DaybyDay[Service-Budgets],DaybyDay[Date],"&gt;="&amp;$C$5,DaybyDay[RowYear],"&gt;="&amp;$C$4,DaybyDay[Date],"&lt;="&amp;DaybyDay[[#This Row],[Date]])</f>
        <v>0</v>
      </c>
      <c r="P890" s="33">
        <f>SUMIFS(DaybyDay[Retail-Budgets],DaybyDay[Date],"&gt;="&amp;$C$5,DaybyDay[RowYear],"&gt;="&amp;$C$4,DaybyDay[Date],"&lt;="&amp;DaybyDay[[#This Row],[Date]])</f>
        <v>0</v>
      </c>
      <c r="Q890" s="34">
        <f>SUMIFS(DaybyDay[Service-Actuals],DaybyDay[Date],"&gt;="&amp;$C$5,DaybyDay[RowYear],"&gt;="&amp;$C$4,DaybyDay[Date],"&lt;="&amp;DaybyDay[[#This Row],[Date]])</f>
        <v>0</v>
      </c>
      <c r="R890" s="34">
        <f>SUMIFS(DaybyDay[Retail-Actuals],DaybyDay[Date],"&gt;="&amp;$C$5,DaybyDay[RowYear],"&gt;="&amp;$C$4,DaybyDay[Date],"&lt;="&amp;DaybyDay[[#This Row],[Date]])</f>
        <v>0</v>
      </c>
      <c r="S890" s="35">
        <f>SUMIFS(DaybyDay[Service-LY],DaybyDay[Date],"&gt;="&amp;$C$5,DaybyDay[RowYear],"&gt;="&amp;$C$4,DaybyDay[Date],"&lt;="&amp;DaybyDay[[#This Row],[Date]])</f>
        <v>0</v>
      </c>
      <c r="T890" s="35">
        <f>SUMIFS(DaybyDay[Retail-LY],DaybyDay[Date],"&gt;="&amp;$C$5,DaybyDay[RowYear],"&gt;="&amp;$C$4,DaybyDay[Date],"&lt;="&amp;DaybyDay[[#This Row],[Date]])</f>
        <v>0</v>
      </c>
      <c r="U890" s="32">
        <f>DaybyDay[[#This Row],[Serv-Bud-RU]]+DaybyDay[[#This Row],[Ret-Bud-RU]]</f>
        <v>0</v>
      </c>
      <c r="V890" s="32">
        <f>DaybyDay[[#This Row],[Serv-Act-RU]]+DaybyDay[[#This Row],[Ret-Act-RU]]</f>
        <v>0</v>
      </c>
      <c r="W890" s="36">
        <f>IF(DaybyDay[[#This Row],[_Space]],IFERROR(
((DaybyDay[[#This Row],[Actual-Rollup]]-DaybyDay[[#This Row],[Budget-Rollup]])/DaybyDay[[#This Row],[Budget-Rollup]]),0),"")</f>
        <v>0</v>
      </c>
      <c r="X890" t="b">
        <f>NOT(AND(ISBLANK(DaybyDay[[#This Row],[Appts]]),ISBLANK(DaybyDay[[#This Row],[Service-Actuals]]),ISBLANK(DaybyDay[[#This Row],[Retail-Actuals]])))</f>
        <v>1</v>
      </c>
      <c r="Y890" s="36">
        <f>IF(DaybyDay[[#This Row],[_Space]],IFERROR(
((DaybyDay[[#This Row],[Actual-Rollup]]-DaybyDay[[#This Row],[LY-Rollup]])/DaybyDay[[#This Row],[LY-Rollup]]),0),"")</f>
        <v>0</v>
      </c>
      <c r="Z890"/>
      <c r="AA890" s="37" t="e">
        <f>IF(DaybyDay[[#This Row],[_Space]],DaybyDay[[#This Row],[Ret-Act-RU]]/DaybyDay[[#This Row],[Serv-Act-RU]],"")</f>
        <v>#DIV/0!</v>
      </c>
      <c r="AB890" s="50" t="e">
        <f>IF(DaybyDay[[#This Row],[_Space]],DaybyDay[[#This Row],[RETPEN-Act]]/DaybyDay[[#This Row],[RETPEN-Bud]],"")</f>
        <v>#DIV/0!</v>
      </c>
      <c r="AC890" s="37" t="e">
        <f>IF(DaybyDay[[#This Row],[_Space]],DaybyDay[[#This Row],[Ret-Bud-RU]]/DaybyDay[[#This Row],[Serv-Bud-RU]],"")</f>
        <v>#DIV/0!</v>
      </c>
      <c r="AD890" s="37" t="e">
        <f>IF(DaybyDay[[#This Row],[_Space]],DaybyDay[[#This Row],[Ret-LY-RU]]/DaybyDay[[#This Row],[Serv-LY-RU]],"")</f>
        <v>#DIV/0!</v>
      </c>
      <c r="AE890" s="30">
        <f>WEEKDAY(DaybyDay[[#This Row],[LY-Date]])</f>
        <v>2</v>
      </c>
      <c r="AF890" s="38">
        <f>$E$2+_xlfn.DAYS(DaybyDay[[#This Row],[Date]],minDate)</f>
        <v>43255</v>
      </c>
      <c r="AG890" s="39" cm="1">
        <f t="array" ref="AG890">IFERROR(INDEX(DaybyDay[],DaybyDay[[#This Row],[FORM_MATCH_HELPER]],8),"")</f>
        <v>13</v>
      </c>
      <c r="AH890" s="39" cm="1">
        <f t="array" ref="AH890">IFERROR(INDEX(DaybyDay[],DaybyDay[[#This Row],[FORM_MATCH_HELPER]],10),"")</f>
        <v>2199.9299999999998</v>
      </c>
      <c r="AI890" s="39" cm="1">
        <f t="array" ref="AI890">IFERROR(INDEX(DaybyDay[],DaybyDay[[#This Row],[FORM_MATCH_HELPER]],12),"")</f>
        <v>176</v>
      </c>
      <c r="AJ890" s="32">
        <f>IFERROR(DaybyDay[[#This Row],[Serv-LY-RU]]+DaybyDay[[#This Row],[Ret-LY-RU]],"")</f>
        <v>0</v>
      </c>
      <c r="AK8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0" s="77"/>
      <c r="AM890" s="40" t="str">
        <f>IF(DaybyDay[[#This Row],[Admin Hours]]&gt;0,DaybyDay[[#This Row],[Admin Hours]]*$AM$2+$AM$3,"")</f>
        <v/>
      </c>
      <c r="AN890" s="40">
        <f>SUMIFS(DaybyDay[Est-Admin-Payroll],DaybyDay[Date],"&gt;="&amp;$C$5,DaybyDay[RowYear],"&gt;="&amp;$C$4,DaybyDay[Date],"&lt;="&amp;DaybyDay[[#This Row],[Date]])</f>
        <v>0</v>
      </c>
      <c r="AO890" s="41" t="str">
        <f>IF(AND(DaybyDay[[#This Row],[_Space]],ISNUMBER(DaybyDay[[#This Row],[Admin Hours]])),DaybyDay[[#This Row],[Est-Admin-Payroll]]/(DaybyDay[[#This Row],[Service-Actuals]]+DaybyDay[[#This Row],[Retail-Actuals]]),"")</f>
        <v/>
      </c>
      <c r="AP890" s="41" t="e">
        <f>DaybyDay[[#This Row],[Estimated-Payroll-Rollup]]/DaybyDay[[#This Row],[Simple-Forecast]]</f>
        <v>#DIV/0!</v>
      </c>
      <c r="AQ8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0" s="77"/>
      <c r="AS890" s="40" t="str">
        <f>IF(DaybyDay[[#This Row],[Retail Hours]]&gt;0,DaybyDay[[#This Row],[Retail Hours]]*$AS$2,"")</f>
        <v/>
      </c>
      <c r="AT890" s="40">
        <f>SUMIFS(DaybyDay[Est-Retail-Payroll],DaybyDay[Date],"&gt;="&amp;$C$5,DaybyDay[RowYear],"&gt;="&amp;$C$4,DaybyDay[Date],"&lt;="&amp;DaybyDay[[#This Row],[Date]])</f>
        <v>0</v>
      </c>
      <c r="AU890" s="82" t="str">
        <f>IF(AND(DaybyDay[[#This Row],[_Space]],ISNUMBER(DaybyDay[[#This Row],[Retail Hours]])),DaybyDay[[#This Row],[Est-Retail-Payroll]]/(DaybyDay[[#This Row],[Retail-Actuals]]),"")</f>
        <v/>
      </c>
      <c r="AV890" s="82" t="e">
        <f>DaybyDay[[#This Row],[Est-Retail-PayrollRU]]/DaybyDay[[#This Row],[Simple-Forecast-Retail]]</f>
        <v>#DIV/0!</v>
      </c>
      <c r="AW890" s="8"/>
      <c r="AX890" s="49"/>
      <c r="AY890" s="48"/>
      <c r="AZ890" s="47"/>
      <c r="BA890" s="47"/>
      <c r="BB890" s="47"/>
      <c r="BC890" s="47"/>
      <c r="BD890" s="47"/>
    </row>
    <row r="891" spans="3:56" hidden="1" x14ac:dyDescent="0.25">
      <c r="C891" s="26" t="str">
        <f>Tools!$C$1</f>
        <v>Example</v>
      </c>
      <c r="D891" s="27" t="s">
        <v>73</v>
      </c>
      <c r="E891" s="28">
        <v>2019</v>
      </c>
      <c r="F891" s="28">
        <f>MATCH(DaybyDay[[#This Row],[RowMonth]],Table3[SummaryMonth],0)</f>
        <v>6</v>
      </c>
      <c r="G891" s="29">
        <f>MATCH(DaybyDay[[#This Row],[LY-Date]],DaybyDay[Date],0)</f>
        <v>521</v>
      </c>
      <c r="H891" s="30">
        <f>WEEKDAY(DaybyDay[[#This Row],[Date]])</f>
        <v>3</v>
      </c>
      <c r="I891" s="31">
        <v>43620</v>
      </c>
      <c r="J891" s="74">
        <v>11</v>
      </c>
      <c r="K891" s="32">
        <f>SUMIFS(BudgetSeasonality[365 Seasonality],BudgetSeasonality[MonthAdjustment],DaybyDay[[#This Row],[Date]])*SUMIFS(Budgets[Service-Budget],Budgets[BudgetMonth],DaybyDay[[#This Row],[RowMonth]],Budgets[BudgetYear],DaybyDay[[#This Row],[RowYear]])</f>
        <v>3978.687629117403</v>
      </c>
      <c r="L891" s="75">
        <v>2179.4</v>
      </c>
      <c r="M891" s="32">
        <f>INDEX(BudgetSeasonality[365 Seasonality],MATCH(DaybyDay[[#This Row],[Date]],BudgetSeasonality[MonthAdjustment],0))*SUMIFS(Budgets[Retail-Budget],Budgets[BudgetMonth],DaybyDay[[#This Row],[RowMonth]],Budgets[BudgetYear],DaybyDay[[#This Row],[RowYear]])</f>
        <v>1144.4826585345611</v>
      </c>
      <c r="N891" s="75">
        <v>664.5</v>
      </c>
      <c r="O891" s="33">
        <f>SUMIFS(DaybyDay[Service-Budgets],DaybyDay[Date],"&gt;="&amp;$C$5,DaybyDay[RowYear],"&gt;="&amp;$C$4,DaybyDay[Date],"&lt;="&amp;DaybyDay[[#This Row],[Date]])</f>
        <v>0</v>
      </c>
      <c r="P891" s="33">
        <f>SUMIFS(DaybyDay[Retail-Budgets],DaybyDay[Date],"&gt;="&amp;$C$5,DaybyDay[RowYear],"&gt;="&amp;$C$4,DaybyDay[Date],"&lt;="&amp;DaybyDay[[#This Row],[Date]])</f>
        <v>0</v>
      </c>
      <c r="Q891" s="34">
        <f>SUMIFS(DaybyDay[Service-Actuals],DaybyDay[Date],"&gt;="&amp;$C$5,DaybyDay[RowYear],"&gt;="&amp;$C$4,DaybyDay[Date],"&lt;="&amp;DaybyDay[[#This Row],[Date]])</f>
        <v>0</v>
      </c>
      <c r="R891" s="34">
        <f>SUMIFS(DaybyDay[Retail-Actuals],DaybyDay[Date],"&gt;="&amp;$C$5,DaybyDay[RowYear],"&gt;="&amp;$C$4,DaybyDay[Date],"&lt;="&amp;DaybyDay[[#This Row],[Date]])</f>
        <v>0</v>
      </c>
      <c r="S891" s="35">
        <f>SUMIFS(DaybyDay[Service-LY],DaybyDay[Date],"&gt;="&amp;$C$5,DaybyDay[RowYear],"&gt;="&amp;$C$4,DaybyDay[Date],"&lt;="&amp;DaybyDay[[#This Row],[Date]])</f>
        <v>0</v>
      </c>
      <c r="T891" s="35">
        <f>SUMIFS(DaybyDay[Retail-LY],DaybyDay[Date],"&gt;="&amp;$C$5,DaybyDay[RowYear],"&gt;="&amp;$C$4,DaybyDay[Date],"&lt;="&amp;DaybyDay[[#This Row],[Date]])</f>
        <v>0</v>
      </c>
      <c r="U891" s="32">
        <f>DaybyDay[[#This Row],[Serv-Bud-RU]]+DaybyDay[[#This Row],[Ret-Bud-RU]]</f>
        <v>0</v>
      </c>
      <c r="V891" s="32">
        <f>DaybyDay[[#This Row],[Serv-Act-RU]]+DaybyDay[[#This Row],[Ret-Act-RU]]</f>
        <v>0</v>
      </c>
      <c r="W891" s="36">
        <f>IF(DaybyDay[[#This Row],[_Space]],IFERROR(
((DaybyDay[[#This Row],[Actual-Rollup]]-DaybyDay[[#This Row],[Budget-Rollup]])/DaybyDay[[#This Row],[Budget-Rollup]]),0),"")</f>
        <v>0</v>
      </c>
      <c r="X891" t="b">
        <f>NOT(AND(ISBLANK(DaybyDay[[#This Row],[Appts]]),ISBLANK(DaybyDay[[#This Row],[Service-Actuals]]),ISBLANK(DaybyDay[[#This Row],[Retail-Actuals]])))</f>
        <v>1</v>
      </c>
      <c r="Y891" s="36">
        <f>IF(DaybyDay[[#This Row],[_Space]],IFERROR(
((DaybyDay[[#This Row],[Actual-Rollup]]-DaybyDay[[#This Row],[LY-Rollup]])/DaybyDay[[#This Row],[LY-Rollup]]),0),"")</f>
        <v>0</v>
      </c>
      <c r="Z891"/>
      <c r="AA891" s="37" t="e">
        <f>IF(DaybyDay[[#This Row],[_Space]],DaybyDay[[#This Row],[Ret-Act-RU]]/DaybyDay[[#This Row],[Serv-Act-RU]],"")</f>
        <v>#DIV/0!</v>
      </c>
      <c r="AB891" s="50" t="e">
        <f>IF(DaybyDay[[#This Row],[_Space]],DaybyDay[[#This Row],[RETPEN-Act]]/DaybyDay[[#This Row],[RETPEN-Bud]],"")</f>
        <v>#DIV/0!</v>
      </c>
      <c r="AC891" s="37" t="e">
        <f>IF(DaybyDay[[#This Row],[_Space]],DaybyDay[[#This Row],[Ret-Bud-RU]]/DaybyDay[[#This Row],[Serv-Bud-RU]],"")</f>
        <v>#DIV/0!</v>
      </c>
      <c r="AD891" s="37" t="e">
        <f>IF(DaybyDay[[#This Row],[_Space]],DaybyDay[[#This Row],[Ret-LY-RU]]/DaybyDay[[#This Row],[Serv-LY-RU]],"")</f>
        <v>#DIV/0!</v>
      </c>
      <c r="AE891" s="30">
        <f>WEEKDAY(DaybyDay[[#This Row],[LY-Date]])</f>
        <v>3</v>
      </c>
      <c r="AF891" s="38">
        <f>$E$2+_xlfn.DAYS(DaybyDay[[#This Row],[Date]],minDate)</f>
        <v>43256</v>
      </c>
      <c r="AG891" s="39" cm="1">
        <f t="array" ref="AG891">IFERROR(INDEX(DaybyDay[],DaybyDay[[#This Row],[FORM_MATCH_HELPER]],8),"")</f>
        <v>15</v>
      </c>
      <c r="AH891" s="39" cm="1">
        <f t="array" ref="AH891">IFERROR(INDEX(DaybyDay[],DaybyDay[[#This Row],[FORM_MATCH_HELPER]],10),"")</f>
        <v>2480.4</v>
      </c>
      <c r="AI891" s="39" cm="1">
        <f t="array" ref="AI891">IFERROR(INDEX(DaybyDay[],DaybyDay[[#This Row],[FORM_MATCH_HELPER]],12),"")</f>
        <v>4121</v>
      </c>
      <c r="AJ891" s="32">
        <f>IFERROR(DaybyDay[[#This Row],[Serv-LY-RU]]+DaybyDay[[#This Row],[Ret-LY-RU]],"")</f>
        <v>0</v>
      </c>
      <c r="AK8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1" s="77"/>
      <c r="AM891" s="40" t="str">
        <f>IF(DaybyDay[[#This Row],[Admin Hours]]&gt;0,DaybyDay[[#This Row],[Admin Hours]]*$AM$2+$AM$3,"")</f>
        <v/>
      </c>
      <c r="AN891" s="40">
        <f>SUMIFS(DaybyDay[Est-Admin-Payroll],DaybyDay[Date],"&gt;="&amp;$C$5,DaybyDay[RowYear],"&gt;="&amp;$C$4,DaybyDay[Date],"&lt;="&amp;DaybyDay[[#This Row],[Date]])</f>
        <v>0</v>
      </c>
      <c r="AO891" s="41" t="str">
        <f>IF(AND(DaybyDay[[#This Row],[_Space]],ISNUMBER(DaybyDay[[#This Row],[Admin Hours]])),DaybyDay[[#This Row],[Est-Admin-Payroll]]/(DaybyDay[[#This Row],[Service-Actuals]]+DaybyDay[[#This Row],[Retail-Actuals]]),"")</f>
        <v/>
      </c>
      <c r="AP891" s="41" t="e">
        <f>DaybyDay[[#This Row],[Estimated-Payroll-Rollup]]/DaybyDay[[#This Row],[Simple-Forecast]]</f>
        <v>#DIV/0!</v>
      </c>
      <c r="AQ8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1" s="77"/>
      <c r="AS891" s="40" t="str">
        <f>IF(DaybyDay[[#This Row],[Retail Hours]]&gt;0,DaybyDay[[#This Row],[Retail Hours]]*$AS$2,"")</f>
        <v/>
      </c>
      <c r="AT891" s="40">
        <f>SUMIFS(DaybyDay[Est-Retail-Payroll],DaybyDay[Date],"&gt;="&amp;$C$5,DaybyDay[RowYear],"&gt;="&amp;$C$4,DaybyDay[Date],"&lt;="&amp;DaybyDay[[#This Row],[Date]])</f>
        <v>0</v>
      </c>
      <c r="AU891" s="82" t="str">
        <f>IF(AND(DaybyDay[[#This Row],[_Space]],ISNUMBER(DaybyDay[[#This Row],[Retail Hours]])),DaybyDay[[#This Row],[Est-Retail-Payroll]]/(DaybyDay[[#This Row],[Retail-Actuals]]),"")</f>
        <v/>
      </c>
      <c r="AV891" s="82" t="e">
        <f>DaybyDay[[#This Row],[Est-Retail-PayrollRU]]/DaybyDay[[#This Row],[Simple-Forecast-Retail]]</f>
        <v>#DIV/0!</v>
      </c>
      <c r="AW891" s="8"/>
      <c r="AX891" s="49"/>
      <c r="AY891" s="48"/>
      <c r="AZ891" s="47"/>
      <c r="BA891" s="47"/>
      <c r="BB891" s="47"/>
      <c r="BC891" s="47"/>
      <c r="BD891" s="47"/>
    </row>
    <row r="892" spans="3:56" hidden="1" x14ac:dyDescent="0.25">
      <c r="C892" s="26" t="str">
        <f>Tools!$C$1</f>
        <v>Example</v>
      </c>
      <c r="D892" s="27" t="s">
        <v>73</v>
      </c>
      <c r="E892" s="28">
        <v>2019</v>
      </c>
      <c r="F892" s="28">
        <f>MATCH(DaybyDay[[#This Row],[RowMonth]],Table3[SummaryMonth],0)</f>
        <v>6</v>
      </c>
      <c r="G892" s="29">
        <f>MATCH(DaybyDay[[#This Row],[LY-Date]],DaybyDay[Date],0)</f>
        <v>522</v>
      </c>
      <c r="H892" s="30">
        <f>WEEKDAY(DaybyDay[[#This Row],[Date]])</f>
        <v>4</v>
      </c>
      <c r="I892" s="31">
        <v>43621</v>
      </c>
      <c r="J892" s="74">
        <v>17</v>
      </c>
      <c r="K892" s="32">
        <f>SUMIFS(BudgetSeasonality[365 Seasonality],BudgetSeasonality[MonthAdjustment],DaybyDay[[#This Row],[Date]])*SUMIFS(Budgets[Service-Budget],Budgets[BudgetMonth],DaybyDay[[#This Row],[RowMonth]],Budgets[BudgetYear],DaybyDay[[#This Row],[RowYear]])</f>
        <v>4626.7133596799285</v>
      </c>
      <c r="L892" s="75">
        <v>3859.3999999999996</v>
      </c>
      <c r="M892" s="32">
        <f>INDEX(BudgetSeasonality[365 Seasonality],MATCH(DaybyDay[[#This Row],[Date]],BudgetSeasonality[MonthAdjustment],0))*SUMIFS(Budgets[Retail-Budget],Budgets[BudgetMonth],DaybyDay[[#This Row],[RowMonth]],Budgets[BudgetYear],DaybyDay[[#This Row],[RowYear]])</f>
        <v>1330.8894036847257</v>
      </c>
      <c r="N892" s="75">
        <v>2142.5</v>
      </c>
      <c r="O892" s="33">
        <f>SUMIFS(DaybyDay[Service-Budgets],DaybyDay[Date],"&gt;="&amp;$C$5,DaybyDay[RowYear],"&gt;="&amp;$C$4,DaybyDay[Date],"&lt;="&amp;DaybyDay[[#This Row],[Date]])</f>
        <v>0</v>
      </c>
      <c r="P892" s="33">
        <f>SUMIFS(DaybyDay[Retail-Budgets],DaybyDay[Date],"&gt;="&amp;$C$5,DaybyDay[RowYear],"&gt;="&amp;$C$4,DaybyDay[Date],"&lt;="&amp;DaybyDay[[#This Row],[Date]])</f>
        <v>0</v>
      </c>
      <c r="Q892" s="34">
        <f>SUMIFS(DaybyDay[Service-Actuals],DaybyDay[Date],"&gt;="&amp;$C$5,DaybyDay[RowYear],"&gt;="&amp;$C$4,DaybyDay[Date],"&lt;="&amp;DaybyDay[[#This Row],[Date]])</f>
        <v>0</v>
      </c>
      <c r="R892" s="34">
        <f>SUMIFS(DaybyDay[Retail-Actuals],DaybyDay[Date],"&gt;="&amp;$C$5,DaybyDay[RowYear],"&gt;="&amp;$C$4,DaybyDay[Date],"&lt;="&amp;DaybyDay[[#This Row],[Date]])</f>
        <v>0</v>
      </c>
      <c r="S892" s="35">
        <f>SUMIFS(DaybyDay[Service-LY],DaybyDay[Date],"&gt;="&amp;$C$5,DaybyDay[RowYear],"&gt;="&amp;$C$4,DaybyDay[Date],"&lt;="&amp;DaybyDay[[#This Row],[Date]])</f>
        <v>0</v>
      </c>
      <c r="T892" s="35">
        <f>SUMIFS(DaybyDay[Retail-LY],DaybyDay[Date],"&gt;="&amp;$C$5,DaybyDay[RowYear],"&gt;="&amp;$C$4,DaybyDay[Date],"&lt;="&amp;DaybyDay[[#This Row],[Date]])</f>
        <v>0</v>
      </c>
      <c r="U892" s="32">
        <f>DaybyDay[[#This Row],[Serv-Bud-RU]]+DaybyDay[[#This Row],[Ret-Bud-RU]]</f>
        <v>0</v>
      </c>
      <c r="V892" s="32">
        <f>DaybyDay[[#This Row],[Serv-Act-RU]]+DaybyDay[[#This Row],[Ret-Act-RU]]</f>
        <v>0</v>
      </c>
      <c r="W892" s="36">
        <f>IF(DaybyDay[[#This Row],[_Space]],IFERROR(
((DaybyDay[[#This Row],[Actual-Rollup]]-DaybyDay[[#This Row],[Budget-Rollup]])/DaybyDay[[#This Row],[Budget-Rollup]]),0),"")</f>
        <v>0</v>
      </c>
      <c r="X892" t="b">
        <f>NOT(AND(ISBLANK(DaybyDay[[#This Row],[Appts]]),ISBLANK(DaybyDay[[#This Row],[Service-Actuals]]),ISBLANK(DaybyDay[[#This Row],[Retail-Actuals]])))</f>
        <v>1</v>
      </c>
      <c r="Y892" s="36">
        <f>IF(DaybyDay[[#This Row],[_Space]],IFERROR(
((DaybyDay[[#This Row],[Actual-Rollup]]-DaybyDay[[#This Row],[LY-Rollup]])/DaybyDay[[#This Row],[LY-Rollup]]),0),"")</f>
        <v>0</v>
      </c>
      <c r="Z892"/>
      <c r="AA892" s="37" t="e">
        <f>IF(DaybyDay[[#This Row],[_Space]],DaybyDay[[#This Row],[Ret-Act-RU]]/DaybyDay[[#This Row],[Serv-Act-RU]],"")</f>
        <v>#DIV/0!</v>
      </c>
      <c r="AB892" s="50" t="e">
        <f>IF(DaybyDay[[#This Row],[_Space]],DaybyDay[[#This Row],[RETPEN-Act]]/DaybyDay[[#This Row],[RETPEN-Bud]],"")</f>
        <v>#DIV/0!</v>
      </c>
      <c r="AC892" s="37" t="e">
        <f>IF(DaybyDay[[#This Row],[_Space]],DaybyDay[[#This Row],[Ret-Bud-RU]]/DaybyDay[[#This Row],[Serv-Bud-RU]],"")</f>
        <v>#DIV/0!</v>
      </c>
      <c r="AD892" s="37" t="e">
        <f>IF(DaybyDay[[#This Row],[_Space]],DaybyDay[[#This Row],[Ret-LY-RU]]/DaybyDay[[#This Row],[Serv-LY-RU]],"")</f>
        <v>#DIV/0!</v>
      </c>
      <c r="AE892" s="30">
        <f>WEEKDAY(DaybyDay[[#This Row],[LY-Date]])</f>
        <v>4</v>
      </c>
      <c r="AF892" s="38">
        <f>$E$2+_xlfn.DAYS(DaybyDay[[#This Row],[Date]],minDate)</f>
        <v>43257</v>
      </c>
      <c r="AG892" s="39" cm="1">
        <f t="array" ref="AG892">IFERROR(INDEX(DaybyDay[],DaybyDay[[#This Row],[FORM_MATCH_HELPER]],8),"")</f>
        <v>17</v>
      </c>
      <c r="AH892" s="39" cm="1">
        <f t="array" ref="AH892">IFERROR(INDEX(DaybyDay[],DaybyDay[[#This Row],[FORM_MATCH_HELPER]],10),"")</f>
        <v>3667.78</v>
      </c>
      <c r="AI892" s="39" cm="1">
        <f t="array" ref="AI892">IFERROR(INDEX(DaybyDay[],DaybyDay[[#This Row],[FORM_MATCH_HELPER]],12),"")</f>
        <v>449</v>
      </c>
      <c r="AJ892" s="32">
        <f>IFERROR(DaybyDay[[#This Row],[Serv-LY-RU]]+DaybyDay[[#This Row],[Ret-LY-RU]],"")</f>
        <v>0</v>
      </c>
      <c r="AK8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2" s="77"/>
      <c r="AM892" s="40" t="str">
        <f>IF(DaybyDay[[#This Row],[Admin Hours]]&gt;0,DaybyDay[[#This Row],[Admin Hours]]*$AM$2+$AM$3,"")</f>
        <v/>
      </c>
      <c r="AN892" s="40">
        <f>SUMIFS(DaybyDay[Est-Admin-Payroll],DaybyDay[Date],"&gt;="&amp;$C$5,DaybyDay[RowYear],"&gt;="&amp;$C$4,DaybyDay[Date],"&lt;="&amp;DaybyDay[[#This Row],[Date]])</f>
        <v>0</v>
      </c>
      <c r="AO892" s="41" t="str">
        <f>IF(AND(DaybyDay[[#This Row],[_Space]],ISNUMBER(DaybyDay[[#This Row],[Admin Hours]])),DaybyDay[[#This Row],[Est-Admin-Payroll]]/(DaybyDay[[#This Row],[Service-Actuals]]+DaybyDay[[#This Row],[Retail-Actuals]]),"")</f>
        <v/>
      </c>
      <c r="AP892" s="41" t="e">
        <f>DaybyDay[[#This Row],[Estimated-Payroll-Rollup]]/DaybyDay[[#This Row],[Simple-Forecast]]</f>
        <v>#DIV/0!</v>
      </c>
      <c r="AQ8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2" s="77"/>
      <c r="AS892" s="40" t="str">
        <f>IF(DaybyDay[[#This Row],[Retail Hours]]&gt;0,DaybyDay[[#This Row],[Retail Hours]]*$AS$2,"")</f>
        <v/>
      </c>
      <c r="AT892" s="40">
        <f>SUMIFS(DaybyDay[Est-Retail-Payroll],DaybyDay[Date],"&gt;="&amp;$C$5,DaybyDay[RowYear],"&gt;="&amp;$C$4,DaybyDay[Date],"&lt;="&amp;DaybyDay[[#This Row],[Date]])</f>
        <v>0</v>
      </c>
      <c r="AU892" s="82" t="str">
        <f>IF(AND(DaybyDay[[#This Row],[_Space]],ISNUMBER(DaybyDay[[#This Row],[Retail Hours]])),DaybyDay[[#This Row],[Est-Retail-Payroll]]/(DaybyDay[[#This Row],[Retail-Actuals]]),"")</f>
        <v/>
      </c>
      <c r="AV892" s="82" t="e">
        <f>DaybyDay[[#This Row],[Est-Retail-PayrollRU]]/DaybyDay[[#This Row],[Simple-Forecast-Retail]]</f>
        <v>#DIV/0!</v>
      </c>
      <c r="AW892" s="8"/>
      <c r="AX892" s="49"/>
      <c r="AY892" s="48"/>
      <c r="AZ892" s="47"/>
      <c r="BA892" s="47"/>
      <c r="BB892" s="47"/>
      <c r="BC892" s="47"/>
      <c r="BD892" s="47"/>
    </row>
    <row r="893" spans="3:56" hidden="1" x14ac:dyDescent="0.25">
      <c r="C893" s="26" t="str">
        <f>Tools!$C$1</f>
        <v>Example</v>
      </c>
      <c r="D893" s="27" t="s">
        <v>73</v>
      </c>
      <c r="E893" s="28">
        <v>2019</v>
      </c>
      <c r="F893" s="28">
        <f>MATCH(DaybyDay[[#This Row],[RowMonth]],Table3[SummaryMonth],0)</f>
        <v>6</v>
      </c>
      <c r="G893" s="29">
        <f>MATCH(DaybyDay[[#This Row],[LY-Date]],DaybyDay[Date],0)</f>
        <v>523</v>
      </c>
      <c r="H893" s="30">
        <f>WEEKDAY(DaybyDay[[#This Row],[Date]])</f>
        <v>5</v>
      </c>
      <c r="I893" s="31">
        <v>43622</v>
      </c>
      <c r="J893" s="74">
        <v>20</v>
      </c>
      <c r="K893" s="32">
        <f>SUMIFS(BudgetSeasonality[365 Seasonality],BudgetSeasonality[MonthAdjustment],DaybyDay[[#This Row],[Date]])*SUMIFS(Budgets[Service-Budget],Budgets[BudgetMonth],DaybyDay[[#This Row],[RowMonth]],Budgets[BudgetYear],DaybyDay[[#This Row],[RowYear]])</f>
        <v>4775.2026883671288</v>
      </c>
      <c r="L893" s="75">
        <v>4234.2</v>
      </c>
      <c r="M893" s="32">
        <f>INDEX(BudgetSeasonality[365 Seasonality],MATCH(DaybyDay[[#This Row],[Date]],BudgetSeasonality[MonthAdjustment],0))*SUMIFS(Budgets[Retail-Budget],Budgets[BudgetMonth],DaybyDay[[#This Row],[RowMonth]],Budgets[BudgetYear],DaybyDay[[#This Row],[RowYear]])</f>
        <v>1373.6028503037151</v>
      </c>
      <c r="N893" s="75">
        <v>855.5</v>
      </c>
      <c r="O893" s="33">
        <f>SUMIFS(DaybyDay[Service-Budgets],DaybyDay[Date],"&gt;="&amp;$C$5,DaybyDay[RowYear],"&gt;="&amp;$C$4,DaybyDay[Date],"&lt;="&amp;DaybyDay[[#This Row],[Date]])</f>
        <v>0</v>
      </c>
      <c r="P893" s="33">
        <f>SUMIFS(DaybyDay[Retail-Budgets],DaybyDay[Date],"&gt;="&amp;$C$5,DaybyDay[RowYear],"&gt;="&amp;$C$4,DaybyDay[Date],"&lt;="&amp;DaybyDay[[#This Row],[Date]])</f>
        <v>0</v>
      </c>
      <c r="Q893" s="34">
        <f>SUMIFS(DaybyDay[Service-Actuals],DaybyDay[Date],"&gt;="&amp;$C$5,DaybyDay[RowYear],"&gt;="&amp;$C$4,DaybyDay[Date],"&lt;="&amp;DaybyDay[[#This Row],[Date]])</f>
        <v>0</v>
      </c>
      <c r="R893" s="34">
        <f>SUMIFS(DaybyDay[Retail-Actuals],DaybyDay[Date],"&gt;="&amp;$C$5,DaybyDay[RowYear],"&gt;="&amp;$C$4,DaybyDay[Date],"&lt;="&amp;DaybyDay[[#This Row],[Date]])</f>
        <v>0</v>
      </c>
      <c r="S893" s="35">
        <f>SUMIFS(DaybyDay[Service-LY],DaybyDay[Date],"&gt;="&amp;$C$5,DaybyDay[RowYear],"&gt;="&amp;$C$4,DaybyDay[Date],"&lt;="&amp;DaybyDay[[#This Row],[Date]])</f>
        <v>0</v>
      </c>
      <c r="T893" s="35">
        <f>SUMIFS(DaybyDay[Retail-LY],DaybyDay[Date],"&gt;="&amp;$C$5,DaybyDay[RowYear],"&gt;="&amp;$C$4,DaybyDay[Date],"&lt;="&amp;DaybyDay[[#This Row],[Date]])</f>
        <v>0</v>
      </c>
      <c r="U893" s="32">
        <f>DaybyDay[[#This Row],[Serv-Bud-RU]]+DaybyDay[[#This Row],[Ret-Bud-RU]]</f>
        <v>0</v>
      </c>
      <c r="V893" s="32">
        <f>DaybyDay[[#This Row],[Serv-Act-RU]]+DaybyDay[[#This Row],[Ret-Act-RU]]</f>
        <v>0</v>
      </c>
      <c r="W893" s="36">
        <f>IF(DaybyDay[[#This Row],[_Space]],IFERROR(
((DaybyDay[[#This Row],[Actual-Rollup]]-DaybyDay[[#This Row],[Budget-Rollup]])/DaybyDay[[#This Row],[Budget-Rollup]]),0),"")</f>
        <v>0</v>
      </c>
      <c r="X893" t="b">
        <f>NOT(AND(ISBLANK(DaybyDay[[#This Row],[Appts]]),ISBLANK(DaybyDay[[#This Row],[Service-Actuals]]),ISBLANK(DaybyDay[[#This Row],[Retail-Actuals]])))</f>
        <v>1</v>
      </c>
      <c r="Y893" s="36">
        <f>IF(DaybyDay[[#This Row],[_Space]],IFERROR(
((DaybyDay[[#This Row],[Actual-Rollup]]-DaybyDay[[#This Row],[LY-Rollup]])/DaybyDay[[#This Row],[LY-Rollup]]),0),"")</f>
        <v>0</v>
      </c>
      <c r="Z893"/>
      <c r="AA893" s="37" t="e">
        <f>IF(DaybyDay[[#This Row],[_Space]],DaybyDay[[#This Row],[Ret-Act-RU]]/DaybyDay[[#This Row],[Serv-Act-RU]],"")</f>
        <v>#DIV/0!</v>
      </c>
      <c r="AB893" s="50" t="e">
        <f>IF(DaybyDay[[#This Row],[_Space]],DaybyDay[[#This Row],[RETPEN-Act]]/DaybyDay[[#This Row],[RETPEN-Bud]],"")</f>
        <v>#DIV/0!</v>
      </c>
      <c r="AC893" s="37" t="e">
        <f>IF(DaybyDay[[#This Row],[_Space]],DaybyDay[[#This Row],[Ret-Bud-RU]]/DaybyDay[[#This Row],[Serv-Bud-RU]],"")</f>
        <v>#DIV/0!</v>
      </c>
      <c r="AD893" s="37" t="e">
        <f>IF(DaybyDay[[#This Row],[_Space]],DaybyDay[[#This Row],[Ret-LY-RU]]/DaybyDay[[#This Row],[Serv-LY-RU]],"")</f>
        <v>#DIV/0!</v>
      </c>
      <c r="AE893" s="30">
        <f>WEEKDAY(DaybyDay[[#This Row],[LY-Date]])</f>
        <v>5</v>
      </c>
      <c r="AF893" s="38">
        <f>$E$2+_xlfn.DAYS(DaybyDay[[#This Row],[Date]],minDate)</f>
        <v>43258</v>
      </c>
      <c r="AG893" s="39" cm="1">
        <f t="array" ref="AG893">IFERROR(INDEX(DaybyDay[],DaybyDay[[#This Row],[FORM_MATCH_HELPER]],8),"")</f>
        <v>25</v>
      </c>
      <c r="AH893" s="39" cm="1">
        <f t="array" ref="AH893">IFERROR(INDEX(DaybyDay[],DaybyDay[[#This Row],[FORM_MATCH_HELPER]],10),"")</f>
        <v>3774.6</v>
      </c>
      <c r="AI893" s="39" cm="1">
        <f t="array" ref="AI893">IFERROR(INDEX(DaybyDay[],DaybyDay[[#This Row],[FORM_MATCH_HELPER]],12),"")</f>
        <v>1404</v>
      </c>
      <c r="AJ893" s="32">
        <f>IFERROR(DaybyDay[[#This Row],[Serv-LY-RU]]+DaybyDay[[#This Row],[Ret-LY-RU]],"")</f>
        <v>0</v>
      </c>
      <c r="AK8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3" s="77"/>
      <c r="AM893" s="40" t="str">
        <f>IF(DaybyDay[[#This Row],[Admin Hours]]&gt;0,DaybyDay[[#This Row],[Admin Hours]]*$AM$2+$AM$3,"")</f>
        <v/>
      </c>
      <c r="AN893" s="40">
        <f>SUMIFS(DaybyDay[Est-Admin-Payroll],DaybyDay[Date],"&gt;="&amp;$C$5,DaybyDay[RowYear],"&gt;="&amp;$C$4,DaybyDay[Date],"&lt;="&amp;DaybyDay[[#This Row],[Date]])</f>
        <v>0</v>
      </c>
      <c r="AO893" s="41" t="str">
        <f>IF(AND(DaybyDay[[#This Row],[_Space]],ISNUMBER(DaybyDay[[#This Row],[Admin Hours]])),DaybyDay[[#This Row],[Est-Admin-Payroll]]/(DaybyDay[[#This Row],[Service-Actuals]]+DaybyDay[[#This Row],[Retail-Actuals]]),"")</f>
        <v/>
      </c>
      <c r="AP893" s="41" t="e">
        <f>DaybyDay[[#This Row],[Estimated-Payroll-Rollup]]/DaybyDay[[#This Row],[Simple-Forecast]]</f>
        <v>#DIV/0!</v>
      </c>
      <c r="AQ8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3" s="77"/>
      <c r="AS893" s="40" t="str">
        <f>IF(DaybyDay[[#This Row],[Retail Hours]]&gt;0,DaybyDay[[#This Row],[Retail Hours]]*$AS$2,"")</f>
        <v/>
      </c>
      <c r="AT893" s="40">
        <f>SUMIFS(DaybyDay[Est-Retail-Payroll],DaybyDay[Date],"&gt;="&amp;$C$5,DaybyDay[RowYear],"&gt;="&amp;$C$4,DaybyDay[Date],"&lt;="&amp;DaybyDay[[#This Row],[Date]])</f>
        <v>0</v>
      </c>
      <c r="AU893" s="82" t="str">
        <f>IF(AND(DaybyDay[[#This Row],[_Space]],ISNUMBER(DaybyDay[[#This Row],[Retail Hours]])),DaybyDay[[#This Row],[Est-Retail-Payroll]]/(DaybyDay[[#This Row],[Retail-Actuals]]),"")</f>
        <v/>
      </c>
      <c r="AV893" s="82" t="e">
        <f>DaybyDay[[#This Row],[Est-Retail-PayrollRU]]/DaybyDay[[#This Row],[Simple-Forecast-Retail]]</f>
        <v>#DIV/0!</v>
      </c>
      <c r="AW893" s="8"/>
      <c r="AX893" s="49"/>
      <c r="AY893" s="48"/>
      <c r="AZ893" s="47"/>
      <c r="BA893" s="47"/>
      <c r="BB893" s="47"/>
      <c r="BC893" s="47"/>
      <c r="BD893" s="47"/>
    </row>
    <row r="894" spans="3:56" hidden="1" x14ac:dyDescent="0.25">
      <c r="C894" s="26" t="str">
        <f>Tools!$C$1</f>
        <v>Example</v>
      </c>
      <c r="D894" s="27" t="s">
        <v>73</v>
      </c>
      <c r="E894" s="28">
        <v>2019</v>
      </c>
      <c r="F894" s="28">
        <f>MATCH(DaybyDay[[#This Row],[RowMonth]],Table3[SummaryMonth],0)</f>
        <v>6</v>
      </c>
      <c r="G894" s="29">
        <f>MATCH(DaybyDay[[#This Row],[LY-Date]],DaybyDay[Date],0)</f>
        <v>524</v>
      </c>
      <c r="H894" s="30">
        <f>WEEKDAY(DaybyDay[[#This Row],[Date]])</f>
        <v>6</v>
      </c>
      <c r="I894" s="31">
        <v>43623</v>
      </c>
      <c r="J894" s="74">
        <v>27</v>
      </c>
      <c r="K894" s="32">
        <f>SUMIFS(BudgetSeasonality[365 Seasonality],BudgetSeasonality[MonthAdjustment],DaybyDay[[#This Row],[Date]])*SUMIFS(Budgets[Service-Budget],Budgets[BudgetMonth],DaybyDay[[#This Row],[RowMonth]],Budgets[BudgetYear],DaybyDay[[#This Row],[RowYear]])</f>
        <v>5968.221452824283</v>
      </c>
      <c r="L894" s="75">
        <v>5727.8700000000008</v>
      </c>
      <c r="M894" s="32">
        <f>INDEX(BudgetSeasonality[365 Seasonality],MATCH(DaybyDay[[#This Row],[Date]],BudgetSeasonality[MonthAdjustment],0))*SUMIFS(Budgets[Retail-Budget],Budgets[BudgetMonth],DaybyDay[[#This Row],[RowMonth]],Budgets[BudgetYear],DaybyDay[[#This Row],[RowYear]])</f>
        <v>1716.7786445618904</v>
      </c>
      <c r="N894" s="75">
        <v>805.81</v>
      </c>
      <c r="O894" s="33">
        <f>SUMIFS(DaybyDay[Service-Budgets],DaybyDay[Date],"&gt;="&amp;$C$5,DaybyDay[RowYear],"&gt;="&amp;$C$4,DaybyDay[Date],"&lt;="&amp;DaybyDay[[#This Row],[Date]])</f>
        <v>0</v>
      </c>
      <c r="P894" s="33">
        <f>SUMIFS(DaybyDay[Retail-Budgets],DaybyDay[Date],"&gt;="&amp;$C$5,DaybyDay[RowYear],"&gt;="&amp;$C$4,DaybyDay[Date],"&lt;="&amp;DaybyDay[[#This Row],[Date]])</f>
        <v>0</v>
      </c>
      <c r="Q894" s="34">
        <f>SUMIFS(DaybyDay[Service-Actuals],DaybyDay[Date],"&gt;="&amp;$C$5,DaybyDay[RowYear],"&gt;="&amp;$C$4,DaybyDay[Date],"&lt;="&amp;DaybyDay[[#This Row],[Date]])</f>
        <v>0</v>
      </c>
      <c r="R894" s="34">
        <f>SUMIFS(DaybyDay[Retail-Actuals],DaybyDay[Date],"&gt;="&amp;$C$5,DaybyDay[RowYear],"&gt;="&amp;$C$4,DaybyDay[Date],"&lt;="&amp;DaybyDay[[#This Row],[Date]])</f>
        <v>0</v>
      </c>
      <c r="S894" s="35">
        <f>SUMIFS(DaybyDay[Service-LY],DaybyDay[Date],"&gt;="&amp;$C$5,DaybyDay[RowYear],"&gt;="&amp;$C$4,DaybyDay[Date],"&lt;="&amp;DaybyDay[[#This Row],[Date]])</f>
        <v>0</v>
      </c>
      <c r="T894" s="35">
        <f>SUMIFS(DaybyDay[Retail-LY],DaybyDay[Date],"&gt;="&amp;$C$5,DaybyDay[RowYear],"&gt;="&amp;$C$4,DaybyDay[Date],"&lt;="&amp;DaybyDay[[#This Row],[Date]])</f>
        <v>0</v>
      </c>
      <c r="U894" s="32">
        <f>DaybyDay[[#This Row],[Serv-Bud-RU]]+DaybyDay[[#This Row],[Ret-Bud-RU]]</f>
        <v>0</v>
      </c>
      <c r="V894" s="32">
        <f>DaybyDay[[#This Row],[Serv-Act-RU]]+DaybyDay[[#This Row],[Ret-Act-RU]]</f>
        <v>0</v>
      </c>
      <c r="W894" s="36">
        <f>IF(DaybyDay[[#This Row],[_Space]],IFERROR(
((DaybyDay[[#This Row],[Actual-Rollup]]-DaybyDay[[#This Row],[Budget-Rollup]])/DaybyDay[[#This Row],[Budget-Rollup]]),0),"")</f>
        <v>0</v>
      </c>
      <c r="X894" t="b">
        <f>NOT(AND(ISBLANK(DaybyDay[[#This Row],[Appts]]),ISBLANK(DaybyDay[[#This Row],[Service-Actuals]]),ISBLANK(DaybyDay[[#This Row],[Retail-Actuals]])))</f>
        <v>1</v>
      </c>
      <c r="Y894" s="36">
        <f>IF(DaybyDay[[#This Row],[_Space]],IFERROR(
((DaybyDay[[#This Row],[Actual-Rollup]]-DaybyDay[[#This Row],[LY-Rollup]])/DaybyDay[[#This Row],[LY-Rollup]]),0),"")</f>
        <v>0</v>
      </c>
      <c r="Z894"/>
      <c r="AA894" s="37" t="e">
        <f>IF(DaybyDay[[#This Row],[_Space]],DaybyDay[[#This Row],[Ret-Act-RU]]/DaybyDay[[#This Row],[Serv-Act-RU]],"")</f>
        <v>#DIV/0!</v>
      </c>
      <c r="AB894" s="50" t="e">
        <f>IF(DaybyDay[[#This Row],[_Space]],DaybyDay[[#This Row],[RETPEN-Act]]/DaybyDay[[#This Row],[RETPEN-Bud]],"")</f>
        <v>#DIV/0!</v>
      </c>
      <c r="AC894" s="37" t="e">
        <f>IF(DaybyDay[[#This Row],[_Space]],DaybyDay[[#This Row],[Ret-Bud-RU]]/DaybyDay[[#This Row],[Serv-Bud-RU]],"")</f>
        <v>#DIV/0!</v>
      </c>
      <c r="AD894" s="37" t="e">
        <f>IF(DaybyDay[[#This Row],[_Space]],DaybyDay[[#This Row],[Ret-LY-RU]]/DaybyDay[[#This Row],[Serv-LY-RU]],"")</f>
        <v>#DIV/0!</v>
      </c>
      <c r="AE894" s="30">
        <f>WEEKDAY(DaybyDay[[#This Row],[LY-Date]])</f>
        <v>6</v>
      </c>
      <c r="AF894" s="38">
        <f>$E$2+_xlfn.DAYS(DaybyDay[[#This Row],[Date]],minDate)</f>
        <v>43259</v>
      </c>
      <c r="AG894" s="39" cm="1">
        <f t="array" ref="AG894">IFERROR(INDEX(DaybyDay[],DaybyDay[[#This Row],[FORM_MATCH_HELPER]],8),"")</f>
        <v>18</v>
      </c>
      <c r="AH894" s="39" cm="1">
        <f t="array" ref="AH894">IFERROR(INDEX(DaybyDay[],DaybyDay[[#This Row],[FORM_MATCH_HELPER]],10),"")</f>
        <v>4356.95</v>
      </c>
      <c r="AI894" s="39" cm="1">
        <f t="array" ref="AI894">IFERROR(INDEX(DaybyDay[],DaybyDay[[#This Row],[FORM_MATCH_HELPER]],12),"")</f>
        <v>684</v>
      </c>
      <c r="AJ894" s="32">
        <f>IFERROR(DaybyDay[[#This Row],[Serv-LY-RU]]+DaybyDay[[#This Row],[Ret-LY-RU]],"")</f>
        <v>0</v>
      </c>
      <c r="AK8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4" s="77"/>
      <c r="AM894" s="40" t="str">
        <f>IF(DaybyDay[[#This Row],[Admin Hours]]&gt;0,DaybyDay[[#This Row],[Admin Hours]]*$AM$2+$AM$3,"")</f>
        <v/>
      </c>
      <c r="AN894" s="40">
        <f>SUMIFS(DaybyDay[Est-Admin-Payroll],DaybyDay[Date],"&gt;="&amp;$C$5,DaybyDay[RowYear],"&gt;="&amp;$C$4,DaybyDay[Date],"&lt;="&amp;DaybyDay[[#This Row],[Date]])</f>
        <v>0</v>
      </c>
      <c r="AO894" s="41" t="str">
        <f>IF(AND(DaybyDay[[#This Row],[_Space]],ISNUMBER(DaybyDay[[#This Row],[Admin Hours]])),DaybyDay[[#This Row],[Est-Admin-Payroll]]/(DaybyDay[[#This Row],[Service-Actuals]]+DaybyDay[[#This Row],[Retail-Actuals]]),"")</f>
        <v/>
      </c>
      <c r="AP894" s="41" t="e">
        <f>DaybyDay[[#This Row],[Estimated-Payroll-Rollup]]/DaybyDay[[#This Row],[Simple-Forecast]]</f>
        <v>#DIV/0!</v>
      </c>
      <c r="AQ8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4" s="77"/>
      <c r="AS894" s="40" t="str">
        <f>IF(DaybyDay[[#This Row],[Retail Hours]]&gt;0,DaybyDay[[#This Row],[Retail Hours]]*$AS$2,"")</f>
        <v/>
      </c>
      <c r="AT894" s="40">
        <f>SUMIFS(DaybyDay[Est-Retail-Payroll],DaybyDay[Date],"&gt;="&amp;$C$5,DaybyDay[RowYear],"&gt;="&amp;$C$4,DaybyDay[Date],"&lt;="&amp;DaybyDay[[#This Row],[Date]])</f>
        <v>0</v>
      </c>
      <c r="AU894" s="82" t="str">
        <f>IF(AND(DaybyDay[[#This Row],[_Space]],ISNUMBER(DaybyDay[[#This Row],[Retail Hours]])),DaybyDay[[#This Row],[Est-Retail-Payroll]]/(DaybyDay[[#This Row],[Retail-Actuals]]),"")</f>
        <v/>
      </c>
      <c r="AV894" s="82" t="e">
        <f>DaybyDay[[#This Row],[Est-Retail-PayrollRU]]/DaybyDay[[#This Row],[Simple-Forecast-Retail]]</f>
        <v>#DIV/0!</v>
      </c>
      <c r="AW894" s="8"/>
      <c r="AX894" s="49"/>
      <c r="AY894" s="48"/>
      <c r="AZ894" s="47"/>
      <c r="BA894" s="47"/>
      <c r="BB894" s="47"/>
      <c r="BC894" s="47"/>
      <c r="BD894" s="47"/>
    </row>
    <row r="895" spans="3:56" hidden="1" x14ac:dyDescent="0.25">
      <c r="C895" s="26" t="str">
        <f>Tools!$C$1</f>
        <v>Example</v>
      </c>
      <c r="D895" s="27" t="s">
        <v>73</v>
      </c>
      <c r="E895" s="28">
        <v>2019</v>
      </c>
      <c r="F895" s="28">
        <f>MATCH(DaybyDay[[#This Row],[RowMonth]],Table3[SummaryMonth],0)</f>
        <v>6</v>
      </c>
      <c r="G895" s="29">
        <f>MATCH(DaybyDay[[#This Row],[LY-Date]],DaybyDay[Date],0)</f>
        <v>525</v>
      </c>
      <c r="H895" s="30">
        <f>WEEKDAY(DaybyDay[[#This Row],[Date]])</f>
        <v>7</v>
      </c>
      <c r="I895" s="31">
        <v>43624</v>
      </c>
      <c r="J895" s="74">
        <v>31</v>
      </c>
      <c r="K895" s="32">
        <f>SUMIFS(BudgetSeasonality[365 Seasonality],BudgetSeasonality[MonthAdjustment],DaybyDay[[#This Row],[Date]])*SUMIFS(Budgets[Service-Budget],Budgets[BudgetMonth],DaybyDay[[#This Row],[RowMonth]],Budgets[BudgetYear],DaybyDay[[#This Row],[RowYear]])</f>
        <v>8472.7946903409957</v>
      </c>
      <c r="L895" s="75">
        <v>8214.23</v>
      </c>
      <c r="M895" s="32">
        <f>INDEX(BudgetSeasonality[365 Seasonality],MATCH(DaybyDay[[#This Row],[Date]],BudgetSeasonality[MonthAdjustment],0))*SUMIFS(Budgets[Retail-Budget],Budgets[BudgetMonth],DaybyDay[[#This Row],[RowMonth]],Budgets[BudgetYear],DaybyDay[[#This Row],[RowYear]])</f>
        <v>2437.2274217893469</v>
      </c>
      <c r="N895" s="75">
        <v>4499</v>
      </c>
      <c r="O895" s="33">
        <f>SUMIFS(DaybyDay[Service-Budgets],DaybyDay[Date],"&gt;="&amp;$C$5,DaybyDay[RowYear],"&gt;="&amp;$C$4,DaybyDay[Date],"&lt;="&amp;DaybyDay[[#This Row],[Date]])</f>
        <v>0</v>
      </c>
      <c r="P895" s="33">
        <f>SUMIFS(DaybyDay[Retail-Budgets],DaybyDay[Date],"&gt;="&amp;$C$5,DaybyDay[RowYear],"&gt;="&amp;$C$4,DaybyDay[Date],"&lt;="&amp;DaybyDay[[#This Row],[Date]])</f>
        <v>0</v>
      </c>
      <c r="Q895" s="34">
        <f>SUMIFS(DaybyDay[Service-Actuals],DaybyDay[Date],"&gt;="&amp;$C$5,DaybyDay[RowYear],"&gt;="&amp;$C$4,DaybyDay[Date],"&lt;="&amp;DaybyDay[[#This Row],[Date]])</f>
        <v>0</v>
      </c>
      <c r="R895" s="34">
        <f>SUMIFS(DaybyDay[Retail-Actuals],DaybyDay[Date],"&gt;="&amp;$C$5,DaybyDay[RowYear],"&gt;="&amp;$C$4,DaybyDay[Date],"&lt;="&amp;DaybyDay[[#This Row],[Date]])</f>
        <v>0</v>
      </c>
      <c r="S895" s="35">
        <f>SUMIFS(DaybyDay[Service-LY],DaybyDay[Date],"&gt;="&amp;$C$5,DaybyDay[RowYear],"&gt;="&amp;$C$4,DaybyDay[Date],"&lt;="&amp;DaybyDay[[#This Row],[Date]])</f>
        <v>0</v>
      </c>
      <c r="T895" s="35">
        <f>SUMIFS(DaybyDay[Retail-LY],DaybyDay[Date],"&gt;="&amp;$C$5,DaybyDay[RowYear],"&gt;="&amp;$C$4,DaybyDay[Date],"&lt;="&amp;DaybyDay[[#This Row],[Date]])</f>
        <v>0</v>
      </c>
      <c r="U895" s="32">
        <f>DaybyDay[[#This Row],[Serv-Bud-RU]]+DaybyDay[[#This Row],[Ret-Bud-RU]]</f>
        <v>0</v>
      </c>
      <c r="V895" s="32">
        <f>DaybyDay[[#This Row],[Serv-Act-RU]]+DaybyDay[[#This Row],[Ret-Act-RU]]</f>
        <v>0</v>
      </c>
      <c r="W895" s="36">
        <f>IF(DaybyDay[[#This Row],[_Space]],IFERROR(
((DaybyDay[[#This Row],[Actual-Rollup]]-DaybyDay[[#This Row],[Budget-Rollup]])/DaybyDay[[#This Row],[Budget-Rollup]]),0),"")</f>
        <v>0</v>
      </c>
      <c r="X895" t="b">
        <f>NOT(AND(ISBLANK(DaybyDay[[#This Row],[Appts]]),ISBLANK(DaybyDay[[#This Row],[Service-Actuals]]),ISBLANK(DaybyDay[[#This Row],[Retail-Actuals]])))</f>
        <v>1</v>
      </c>
      <c r="Y895" s="36">
        <f>IF(DaybyDay[[#This Row],[_Space]],IFERROR(
((DaybyDay[[#This Row],[Actual-Rollup]]-DaybyDay[[#This Row],[LY-Rollup]])/DaybyDay[[#This Row],[LY-Rollup]]),0),"")</f>
        <v>0</v>
      </c>
      <c r="Z895"/>
      <c r="AA895" s="37" t="e">
        <f>IF(DaybyDay[[#This Row],[_Space]],DaybyDay[[#This Row],[Ret-Act-RU]]/DaybyDay[[#This Row],[Serv-Act-RU]],"")</f>
        <v>#DIV/0!</v>
      </c>
      <c r="AB895" s="50" t="e">
        <f>IF(DaybyDay[[#This Row],[_Space]],DaybyDay[[#This Row],[RETPEN-Act]]/DaybyDay[[#This Row],[RETPEN-Bud]],"")</f>
        <v>#DIV/0!</v>
      </c>
      <c r="AC895" s="37" t="e">
        <f>IF(DaybyDay[[#This Row],[_Space]],DaybyDay[[#This Row],[Ret-Bud-RU]]/DaybyDay[[#This Row],[Serv-Bud-RU]],"")</f>
        <v>#DIV/0!</v>
      </c>
      <c r="AD895" s="37" t="e">
        <f>IF(DaybyDay[[#This Row],[_Space]],DaybyDay[[#This Row],[Ret-LY-RU]]/DaybyDay[[#This Row],[Serv-LY-RU]],"")</f>
        <v>#DIV/0!</v>
      </c>
      <c r="AE895" s="30">
        <f>WEEKDAY(DaybyDay[[#This Row],[LY-Date]])</f>
        <v>7</v>
      </c>
      <c r="AF895" s="38">
        <f>$E$2+_xlfn.DAYS(DaybyDay[[#This Row],[Date]],minDate)</f>
        <v>43260</v>
      </c>
      <c r="AG895" s="39" cm="1">
        <f t="array" ref="AG895">IFERROR(INDEX(DaybyDay[],DaybyDay[[#This Row],[FORM_MATCH_HELPER]],8),"")</f>
        <v>36</v>
      </c>
      <c r="AH895" s="39" cm="1">
        <f t="array" ref="AH895">IFERROR(INDEX(DaybyDay[],DaybyDay[[#This Row],[FORM_MATCH_HELPER]],10),"")</f>
        <v>7768.5</v>
      </c>
      <c r="AI895" s="39" cm="1">
        <f t="array" ref="AI895">IFERROR(INDEX(DaybyDay[],DaybyDay[[#This Row],[FORM_MATCH_HELPER]],12),"")</f>
        <v>2333.15</v>
      </c>
      <c r="AJ895" s="32">
        <f>IFERROR(DaybyDay[[#This Row],[Serv-LY-RU]]+DaybyDay[[#This Row],[Ret-LY-RU]],"")</f>
        <v>0</v>
      </c>
      <c r="AK8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5" s="77"/>
      <c r="AM895" s="40" t="str">
        <f>IF(DaybyDay[[#This Row],[Admin Hours]]&gt;0,DaybyDay[[#This Row],[Admin Hours]]*$AM$2+$AM$3,"")</f>
        <v/>
      </c>
      <c r="AN895" s="40">
        <f>SUMIFS(DaybyDay[Est-Admin-Payroll],DaybyDay[Date],"&gt;="&amp;$C$5,DaybyDay[RowYear],"&gt;="&amp;$C$4,DaybyDay[Date],"&lt;="&amp;DaybyDay[[#This Row],[Date]])</f>
        <v>0</v>
      </c>
      <c r="AO895" s="41" t="str">
        <f>IF(AND(DaybyDay[[#This Row],[_Space]],ISNUMBER(DaybyDay[[#This Row],[Admin Hours]])),DaybyDay[[#This Row],[Est-Admin-Payroll]]/(DaybyDay[[#This Row],[Service-Actuals]]+DaybyDay[[#This Row],[Retail-Actuals]]),"")</f>
        <v/>
      </c>
      <c r="AP895" s="41" t="e">
        <f>DaybyDay[[#This Row],[Estimated-Payroll-Rollup]]/DaybyDay[[#This Row],[Simple-Forecast]]</f>
        <v>#DIV/0!</v>
      </c>
      <c r="AQ8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5" s="77"/>
      <c r="AS895" s="40" t="str">
        <f>IF(DaybyDay[[#This Row],[Retail Hours]]&gt;0,DaybyDay[[#This Row],[Retail Hours]]*$AS$2,"")</f>
        <v/>
      </c>
      <c r="AT895" s="40">
        <f>SUMIFS(DaybyDay[Est-Retail-Payroll],DaybyDay[Date],"&gt;="&amp;$C$5,DaybyDay[RowYear],"&gt;="&amp;$C$4,DaybyDay[Date],"&lt;="&amp;DaybyDay[[#This Row],[Date]])</f>
        <v>0</v>
      </c>
      <c r="AU895" s="82" t="str">
        <f>IF(AND(DaybyDay[[#This Row],[_Space]],ISNUMBER(DaybyDay[[#This Row],[Retail Hours]])),DaybyDay[[#This Row],[Est-Retail-Payroll]]/(DaybyDay[[#This Row],[Retail-Actuals]]),"")</f>
        <v/>
      </c>
      <c r="AV895" s="82" t="e">
        <f>DaybyDay[[#This Row],[Est-Retail-PayrollRU]]/DaybyDay[[#This Row],[Simple-Forecast-Retail]]</f>
        <v>#DIV/0!</v>
      </c>
      <c r="AW895" s="8"/>
      <c r="AX895" s="49"/>
      <c r="AY895" s="48"/>
      <c r="AZ895" s="47"/>
      <c r="BA895" s="47"/>
      <c r="BB895" s="47"/>
      <c r="BC895" s="47"/>
      <c r="BD895" s="47"/>
    </row>
    <row r="896" spans="3:56" hidden="1" x14ac:dyDescent="0.25">
      <c r="C896" s="26" t="str">
        <f>Tools!$C$1</f>
        <v>Example</v>
      </c>
      <c r="D896" s="27" t="s">
        <v>73</v>
      </c>
      <c r="E896" s="28">
        <v>2019</v>
      </c>
      <c r="F896" s="28">
        <f>MATCH(DaybyDay[[#This Row],[RowMonth]],Table3[SummaryMonth],0)</f>
        <v>6</v>
      </c>
      <c r="G896" s="29">
        <f>MATCH(DaybyDay[[#This Row],[LY-Date]],DaybyDay[Date],0)</f>
        <v>526</v>
      </c>
      <c r="H896" s="30">
        <f>WEEKDAY(DaybyDay[[#This Row],[Date]])</f>
        <v>1</v>
      </c>
      <c r="I896" s="31">
        <v>43625</v>
      </c>
      <c r="J896" s="74">
        <v>37</v>
      </c>
      <c r="K896" s="32">
        <f>SUMIFS(BudgetSeasonality[365 Seasonality],BudgetSeasonality[MonthAdjustment],DaybyDay[[#This Row],[Date]])*SUMIFS(Budgets[Service-Budget],Budgets[BudgetMonth],DaybyDay[[#This Row],[RowMonth]],Budgets[BudgetYear],DaybyDay[[#This Row],[RowYear]])</f>
        <v>6653.9031169128593</v>
      </c>
      <c r="L896" s="75">
        <v>6280.6900000000005</v>
      </c>
      <c r="M896" s="32">
        <f>INDEX(BudgetSeasonality[365 Seasonality],MATCH(DaybyDay[[#This Row],[Date]],BudgetSeasonality[MonthAdjustment],0))*SUMIFS(Budgets[Retail-Budget],Budgets[BudgetMonth],DaybyDay[[#This Row],[RowMonth]],Budgets[BudgetYear],DaybyDay[[#This Row],[RowYear]])</f>
        <v>1914.0172435615755</v>
      </c>
      <c r="N896" s="75">
        <v>707.81</v>
      </c>
      <c r="O896" s="33">
        <f>SUMIFS(DaybyDay[Service-Budgets],DaybyDay[Date],"&gt;="&amp;$C$5,DaybyDay[RowYear],"&gt;="&amp;$C$4,DaybyDay[Date],"&lt;="&amp;DaybyDay[[#This Row],[Date]])</f>
        <v>0</v>
      </c>
      <c r="P896" s="33">
        <f>SUMIFS(DaybyDay[Retail-Budgets],DaybyDay[Date],"&gt;="&amp;$C$5,DaybyDay[RowYear],"&gt;="&amp;$C$4,DaybyDay[Date],"&lt;="&amp;DaybyDay[[#This Row],[Date]])</f>
        <v>0</v>
      </c>
      <c r="Q896" s="34">
        <f>SUMIFS(DaybyDay[Service-Actuals],DaybyDay[Date],"&gt;="&amp;$C$5,DaybyDay[RowYear],"&gt;="&amp;$C$4,DaybyDay[Date],"&lt;="&amp;DaybyDay[[#This Row],[Date]])</f>
        <v>0</v>
      </c>
      <c r="R896" s="34">
        <f>SUMIFS(DaybyDay[Retail-Actuals],DaybyDay[Date],"&gt;="&amp;$C$5,DaybyDay[RowYear],"&gt;="&amp;$C$4,DaybyDay[Date],"&lt;="&amp;DaybyDay[[#This Row],[Date]])</f>
        <v>0</v>
      </c>
      <c r="S896" s="35">
        <f>SUMIFS(DaybyDay[Service-LY],DaybyDay[Date],"&gt;="&amp;$C$5,DaybyDay[RowYear],"&gt;="&amp;$C$4,DaybyDay[Date],"&lt;="&amp;DaybyDay[[#This Row],[Date]])</f>
        <v>0</v>
      </c>
      <c r="T896" s="35">
        <f>SUMIFS(DaybyDay[Retail-LY],DaybyDay[Date],"&gt;="&amp;$C$5,DaybyDay[RowYear],"&gt;="&amp;$C$4,DaybyDay[Date],"&lt;="&amp;DaybyDay[[#This Row],[Date]])</f>
        <v>0</v>
      </c>
      <c r="U896" s="32">
        <f>DaybyDay[[#This Row],[Serv-Bud-RU]]+DaybyDay[[#This Row],[Ret-Bud-RU]]</f>
        <v>0</v>
      </c>
      <c r="V896" s="32">
        <f>DaybyDay[[#This Row],[Serv-Act-RU]]+DaybyDay[[#This Row],[Ret-Act-RU]]</f>
        <v>0</v>
      </c>
      <c r="W896" s="36">
        <f>IF(DaybyDay[[#This Row],[_Space]],IFERROR(
((DaybyDay[[#This Row],[Actual-Rollup]]-DaybyDay[[#This Row],[Budget-Rollup]])/DaybyDay[[#This Row],[Budget-Rollup]]),0),"")</f>
        <v>0</v>
      </c>
      <c r="X896" t="b">
        <f>NOT(AND(ISBLANK(DaybyDay[[#This Row],[Appts]]),ISBLANK(DaybyDay[[#This Row],[Service-Actuals]]),ISBLANK(DaybyDay[[#This Row],[Retail-Actuals]])))</f>
        <v>1</v>
      </c>
      <c r="Y896" s="36">
        <f>IF(DaybyDay[[#This Row],[_Space]],IFERROR(
((DaybyDay[[#This Row],[Actual-Rollup]]-DaybyDay[[#This Row],[LY-Rollup]])/DaybyDay[[#This Row],[LY-Rollup]]),0),"")</f>
        <v>0</v>
      </c>
      <c r="Z896"/>
      <c r="AA896" s="37" t="e">
        <f>IF(DaybyDay[[#This Row],[_Space]],DaybyDay[[#This Row],[Ret-Act-RU]]/DaybyDay[[#This Row],[Serv-Act-RU]],"")</f>
        <v>#DIV/0!</v>
      </c>
      <c r="AB896" s="50" t="e">
        <f>IF(DaybyDay[[#This Row],[_Space]],DaybyDay[[#This Row],[RETPEN-Act]]/DaybyDay[[#This Row],[RETPEN-Bud]],"")</f>
        <v>#DIV/0!</v>
      </c>
      <c r="AC896" s="37" t="e">
        <f>IF(DaybyDay[[#This Row],[_Space]],DaybyDay[[#This Row],[Ret-Bud-RU]]/DaybyDay[[#This Row],[Serv-Bud-RU]],"")</f>
        <v>#DIV/0!</v>
      </c>
      <c r="AD896" s="37" t="e">
        <f>IF(DaybyDay[[#This Row],[_Space]],DaybyDay[[#This Row],[Ret-LY-RU]]/DaybyDay[[#This Row],[Serv-LY-RU]],"")</f>
        <v>#DIV/0!</v>
      </c>
      <c r="AE896" s="30">
        <f>WEEKDAY(DaybyDay[[#This Row],[LY-Date]])</f>
        <v>1</v>
      </c>
      <c r="AF896" s="38">
        <f>$E$2+_xlfn.DAYS(DaybyDay[[#This Row],[Date]],minDate)</f>
        <v>43261</v>
      </c>
      <c r="AG896" s="39" cm="1">
        <f t="array" ref="AG896">IFERROR(INDEX(DaybyDay[],DaybyDay[[#This Row],[FORM_MATCH_HELPER]],8),"")</f>
        <v>31</v>
      </c>
      <c r="AH896" s="39" cm="1">
        <f t="array" ref="AH896">IFERROR(INDEX(DaybyDay[],DaybyDay[[#This Row],[FORM_MATCH_HELPER]],10),"")</f>
        <v>6118.39</v>
      </c>
      <c r="AI896" s="39" cm="1">
        <f t="array" ref="AI896">IFERROR(INDEX(DaybyDay[],DaybyDay[[#This Row],[FORM_MATCH_HELPER]],12),"")</f>
        <v>809.5</v>
      </c>
      <c r="AJ896" s="32">
        <f>IFERROR(DaybyDay[[#This Row],[Serv-LY-RU]]+DaybyDay[[#This Row],[Ret-LY-RU]],"")</f>
        <v>0</v>
      </c>
      <c r="AK8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6" s="77"/>
      <c r="AM896" s="40" t="str">
        <f>IF(DaybyDay[[#This Row],[Admin Hours]]&gt;0,DaybyDay[[#This Row],[Admin Hours]]*$AM$2+$AM$3,"")</f>
        <v/>
      </c>
      <c r="AN896" s="40">
        <f>SUMIFS(DaybyDay[Est-Admin-Payroll],DaybyDay[Date],"&gt;="&amp;$C$5,DaybyDay[RowYear],"&gt;="&amp;$C$4,DaybyDay[Date],"&lt;="&amp;DaybyDay[[#This Row],[Date]])</f>
        <v>0</v>
      </c>
      <c r="AO896" s="41" t="str">
        <f>IF(AND(DaybyDay[[#This Row],[_Space]],ISNUMBER(DaybyDay[[#This Row],[Admin Hours]])),DaybyDay[[#This Row],[Est-Admin-Payroll]]/(DaybyDay[[#This Row],[Service-Actuals]]+DaybyDay[[#This Row],[Retail-Actuals]]),"")</f>
        <v/>
      </c>
      <c r="AP896" s="41" t="e">
        <f>DaybyDay[[#This Row],[Estimated-Payroll-Rollup]]/DaybyDay[[#This Row],[Simple-Forecast]]</f>
        <v>#DIV/0!</v>
      </c>
      <c r="AQ8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6" s="77"/>
      <c r="AS896" s="40" t="str">
        <f>IF(DaybyDay[[#This Row],[Retail Hours]]&gt;0,DaybyDay[[#This Row],[Retail Hours]]*$AS$2,"")</f>
        <v/>
      </c>
      <c r="AT896" s="40">
        <f>SUMIFS(DaybyDay[Est-Retail-Payroll],DaybyDay[Date],"&gt;="&amp;$C$5,DaybyDay[RowYear],"&gt;="&amp;$C$4,DaybyDay[Date],"&lt;="&amp;DaybyDay[[#This Row],[Date]])</f>
        <v>0</v>
      </c>
      <c r="AU896" s="82" t="str">
        <f>IF(AND(DaybyDay[[#This Row],[_Space]],ISNUMBER(DaybyDay[[#This Row],[Retail Hours]])),DaybyDay[[#This Row],[Est-Retail-Payroll]]/(DaybyDay[[#This Row],[Retail-Actuals]]),"")</f>
        <v/>
      </c>
      <c r="AV896" s="82" t="e">
        <f>DaybyDay[[#This Row],[Est-Retail-PayrollRU]]/DaybyDay[[#This Row],[Simple-Forecast-Retail]]</f>
        <v>#DIV/0!</v>
      </c>
      <c r="AW896" s="8"/>
      <c r="AX896" s="49"/>
      <c r="AY896" s="48"/>
      <c r="AZ896" s="47"/>
      <c r="BA896" s="47"/>
      <c r="BB896" s="47"/>
      <c r="BC896" s="47"/>
      <c r="BD896" s="47"/>
    </row>
    <row r="897" spans="3:56" hidden="1" x14ac:dyDescent="0.25">
      <c r="C897" s="26" t="str">
        <f>Tools!$C$1</f>
        <v>Example</v>
      </c>
      <c r="D897" s="27" t="s">
        <v>73</v>
      </c>
      <c r="E897" s="28">
        <v>2019</v>
      </c>
      <c r="F897" s="28">
        <f>MATCH(DaybyDay[[#This Row],[RowMonth]],Table3[SummaryMonth],0)</f>
        <v>6</v>
      </c>
      <c r="G897" s="29">
        <f>MATCH(DaybyDay[[#This Row],[LY-Date]],DaybyDay[Date],0)</f>
        <v>527</v>
      </c>
      <c r="H897" s="30">
        <f>WEEKDAY(DaybyDay[[#This Row],[Date]])</f>
        <v>2</v>
      </c>
      <c r="I897" s="31">
        <v>43626</v>
      </c>
      <c r="J897" s="74">
        <v>21</v>
      </c>
      <c r="K897" s="32">
        <f>SUMIFS(BudgetSeasonality[365 Seasonality],BudgetSeasonality[MonthAdjustment],DaybyDay[[#This Row],[Date]])*SUMIFS(Budgets[Service-Budget],Budgets[BudgetMonth],DaybyDay[[#This Row],[RowMonth]],Budgets[BudgetYear],DaybyDay[[#This Row],[RowYear]])</f>
        <v>3989.8621848124521</v>
      </c>
      <c r="L897" s="75">
        <v>4304</v>
      </c>
      <c r="M897" s="32">
        <f>INDEX(BudgetSeasonality[365 Seasonality],MATCH(DaybyDay[[#This Row],[Date]],BudgetSeasonality[MonthAdjustment],0))*SUMIFS(Budgets[Retail-Budget],Budgets[BudgetMonth],DaybyDay[[#This Row],[RowMonth]],Budgets[BudgetYear],DaybyDay[[#This Row],[RowYear]])</f>
        <v>1147.6970564471335</v>
      </c>
      <c r="N897" s="75">
        <v>137</v>
      </c>
      <c r="O897" s="33">
        <f>SUMIFS(DaybyDay[Service-Budgets],DaybyDay[Date],"&gt;="&amp;$C$5,DaybyDay[RowYear],"&gt;="&amp;$C$4,DaybyDay[Date],"&lt;="&amp;DaybyDay[[#This Row],[Date]])</f>
        <v>0</v>
      </c>
      <c r="P897" s="33">
        <f>SUMIFS(DaybyDay[Retail-Budgets],DaybyDay[Date],"&gt;="&amp;$C$5,DaybyDay[RowYear],"&gt;="&amp;$C$4,DaybyDay[Date],"&lt;="&amp;DaybyDay[[#This Row],[Date]])</f>
        <v>0</v>
      </c>
      <c r="Q897" s="34">
        <f>SUMIFS(DaybyDay[Service-Actuals],DaybyDay[Date],"&gt;="&amp;$C$5,DaybyDay[RowYear],"&gt;="&amp;$C$4,DaybyDay[Date],"&lt;="&amp;DaybyDay[[#This Row],[Date]])</f>
        <v>0</v>
      </c>
      <c r="R897" s="34">
        <f>SUMIFS(DaybyDay[Retail-Actuals],DaybyDay[Date],"&gt;="&amp;$C$5,DaybyDay[RowYear],"&gt;="&amp;$C$4,DaybyDay[Date],"&lt;="&amp;DaybyDay[[#This Row],[Date]])</f>
        <v>0</v>
      </c>
      <c r="S897" s="35">
        <f>SUMIFS(DaybyDay[Service-LY],DaybyDay[Date],"&gt;="&amp;$C$5,DaybyDay[RowYear],"&gt;="&amp;$C$4,DaybyDay[Date],"&lt;="&amp;DaybyDay[[#This Row],[Date]])</f>
        <v>0</v>
      </c>
      <c r="T897" s="35">
        <f>SUMIFS(DaybyDay[Retail-LY],DaybyDay[Date],"&gt;="&amp;$C$5,DaybyDay[RowYear],"&gt;="&amp;$C$4,DaybyDay[Date],"&lt;="&amp;DaybyDay[[#This Row],[Date]])</f>
        <v>0</v>
      </c>
      <c r="U897" s="32">
        <f>DaybyDay[[#This Row],[Serv-Bud-RU]]+DaybyDay[[#This Row],[Ret-Bud-RU]]</f>
        <v>0</v>
      </c>
      <c r="V897" s="32">
        <f>DaybyDay[[#This Row],[Serv-Act-RU]]+DaybyDay[[#This Row],[Ret-Act-RU]]</f>
        <v>0</v>
      </c>
      <c r="W897" s="36">
        <f>IF(DaybyDay[[#This Row],[_Space]],IFERROR(
((DaybyDay[[#This Row],[Actual-Rollup]]-DaybyDay[[#This Row],[Budget-Rollup]])/DaybyDay[[#This Row],[Budget-Rollup]]),0),"")</f>
        <v>0</v>
      </c>
      <c r="X897" t="b">
        <f>NOT(AND(ISBLANK(DaybyDay[[#This Row],[Appts]]),ISBLANK(DaybyDay[[#This Row],[Service-Actuals]]),ISBLANK(DaybyDay[[#This Row],[Retail-Actuals]])))</f>
        <v>1</v>
      </c>
      <c r="Y897" s="36">
        <f>IF(DaybyDay[[#This Row],[_Space]],IFERROR(
((DaybyDay[[#This Row],[Actual-Rollup]]-DaybyDay[[#This Row],[LY-Rollup]])/DaybyDay[[#This Row],[LY-Rollup]]),0),"")</f>
        <v>0</v>
      </c>
      <c r="Z897"/>
      <c r="AA897" s="37" t="e">
        <f>IF(DaybyDay[[#This Row],[_Space]],DaybyDay[[#This Row],[Ret-Act-RU]]/DaybyDay[[#This Row],[Serv-Act-RU]],"")</f>
        <v>#DIV/0!</v>
      </c>
      <c r="AB897" s="50" t="e">
        <f>IF(DaybyDay[[#This Row],[_Space]],DaybyDay[[#This Row],[RETPEN-Act]]/DaybyDay[[#This Row],[RETPEN-Bud]],"")</f>
        <v>#DIV/0!</v>
      </c>
      <c r="AC897" s="37" t="e">
        <f>IF(DaybyDay[[#This Row],[_Space]],DaybyDay[[#This Row],[Ret-Bud-RU]]/DaybyDay[[#This Row],[Serv-Bud-RU]],"")</f>
        <v>#DIV/0!</v>
      </c>
      <c r="AD897" s="37" t="e">
        <f>IF(DaybyDay[[#This Row],[_Space]],DaybyDay[[#This Row],[Ret-LY-RU]]/DaybyDay[[#This Row],[Serv-LY-RU]],"")</f>
        <v>#DIV/0!</v>
      </c>
      <c r="AE897" s="30">
        <f>WEEKDAY(DaybyDay[[#This Row],[LY-Date]])</f>
        <v>2</v>
      </c>
      <c r="AF897" s="38">
        <f>$E$2+_xlfn.DAYS(DaybyDay[[#This Row],[Date]],minDate)</f>
        <v>43262</v>
      </c>
      <c r="AG897" s="39" cm="1">
        <f t="array" ref="AG897">IFERROR(INDEX(DaybyDay[],DaybyDay[[#This Row],[FORM_MATCH_HELPER]],8),"")</f>
        <v>23</v>
      </c>
      <c r="AH897" s="39" cm="1">
        <f t="array" ref="AH897">IFERROR(INDEX(DaybyDay[],DaybyDay[[#This Row],[FORM_MATCH_HELPER]],10),"")</f>
        <v>3393.1</v>
      </c>
      <c r="AI897" s="39" cm="1">
        <f t="array" ref="AI897">IFERROR(INDEX(DaybyDay[],DaybyDay[[#This Row],[FORM_MATCH_HELPER]],12),"")</f>
        <v>466</v>
      </c>
      <c r="AJ897" s="32">
        <f>IFERROR(DaybyDay[[#This Row],[Serv-LY-RU]]+DaybyDay[[#This Row],[Ret-LY-RU]],"")</f>
        <v>0</v>
      </c>
      <c r="AK8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7" s="77"/>
      <c r="AM897" s="40" t="str">
        <f>IF(DaybyDay[[#This Row],[Admin Hours]]&gt;0,DaybyDay[[#This Row],[Admin Hours]]*$AM$2+$AM$3,"")</f>
        <v/>
      </c>
      <c r="AN897" s="40">
        <f>SUMIFS(DaybyDay[Est-Admin-Payroll],DaybyDay[Date],"&gt;="&amp;$C$5,DaybyDay[RowYear],"&gt;="&amp;$C$4,DaybyDay[Date],"&lt;="&amp;DaybyDay[[#This Row],[Date]])</f>
        <v>0</v>
      </c>
      <c r="AO897" s="41" t="str">
        <f>IF(AND(DaybyDay[[#This Row],[_Space]],ISNUMBER(DaybyDay[[#This Row],[Admin Hours]])),DaybyDay[[#This Row],[Est-Admin-Payroll]]/(DaybyDay[[#This Row],[Service-Actuals]]+DaybyDay[[#This Row],[Retail-Actuals]]),"")</f>
        <v/>
      </c>
      <c r="AP897" s="41" t="e">
        <f>DaybyDay[[#This Row],[Estimated-Payroll-Rollup]]/DaybyDay[[#This Row],[Simple-Forecast]]</f>
        <v>#DIV/0!</v>
      </c>
      <c r="AQ8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7" s="77"/>
      <c r="AS897" s="40" t="str">
        <f>IF(DaybyDay[[#This Row],[Retail Hours]]&gt;0,DaybyDay[[#This Row],[Retail Hours]]*$AS$2,"")</f>
        <v/>
      </c>
      <c r="AT897" s="40">
        <f>SUMIFS(DaybyDay[Est-Retail-Payroll],DaybyDay[Date],"&gt;="&amp;$C$5,DaybyDay[RowYear],"&gt;="&amp;$C$4,DaybyDay[Date],"&lt;="&amp;DaybyDay[[#This Row],[Date]])</f>
        <v>0</v>
      </c>
      <c r="AU897" s="82" t="str">
        <f>IF(AND(DaybyDay[[#This Row],[_Space]],ISNUMBER(DaybyDay[[#This Row],[Retail Hours]])),DaybyDay[[#This Row],[Est-Retail-Payroll]]/(DaybyDay[[#This Row],[Retail-Actuals]]),"")</f>
        <v/>
      </c>
      <c r="AV897" s="82" t="e">
        <f>DaybyDay[[#This Row],[Est-Retail-PayrollRU]]/DaybyDay[[#This Row],[Simple-Forecast-Retail]]</f>
        <v>#DIV/0!</v>
      </c>
      <c r="AW897" s="8"/>
      <c r="AX897" s="49"/>
      <c r="AY897" s="48"/>
      <c r="AZ897" s="47"/>
      <c r="BA897" s="47"/>
      <c r="BB897" s="47"/>
      <c r="BC897" s="47"/>
      <c r="BD897" s="47"/>
    </row>
    <row r="898" spans="3:56" hidden="1" x14ac:dyDescent="0.25">
      <c r="C898" s="26" t="str">
        <f>Tools!$C$1</f>
        <v>Example</v>
      </c>
      <c r="D898" s="27" t="s">
        <v>73</v>
      </c>
      <c r="E898" s="28">
        <v>2019</v>
      </c>
      <c r="F898" s="28">
        <f>MATCH(DaybyDay[[#This Row],[RowMonth]],Table3[SummaryMonth],0)</f>
        <v>6</v>
      </c>
      <c r="G898" s="29">
        <f>MATCH(DaybyDay[[#This Row],[LY-Date]],DaybyDay[Date],0)</f>
        <v>528</v>
      </c>
      <c r="H898" s="30">
        <f>WEEKDAY(DaybyDay[[#This Row],[Date]])</f>
        <v>3</v>
      </c>
      <c r="I898" s="31">
        <v>43627</v>
      </c>
      <c r="J898" s="74">
        <v>15</v>
      </c>
      <c r="K898" s="32">
        <f>SUMIFS(BudgetSeasonality[365 Seasonality],BudgetSeasonality[MonthAdjustment],DaybyDay[[#This Row],[Date]])*SUMIFS(Budgets[Service-Budget],Budgets[BudgetMonth],DaybyDay[[#This Row],[RowMonth]],Budgets[BudgetYear],DaybyDay[[#This Row],[RowYear]])</f>
        <v>4145.0599817670191</v>
      </c>
      <c r="L898" s="75">
        <v>2579.8000000000002</v>
      </c>
      <c r="M898" s="32">
        <f>INDEX(BudgetSeasonality[365 Seasonality],MATCH(DaybyDay[[#This Row],[Date]],BudgetSeasonality[MonthAdjustment],0))*SUMIFS(Budgets[Retail-Budget],Budgets[BudgetMonth],DaybyDay[[#This Row],[RowMonth]],Budgets[BudgetYear],DaybyDay[[#This Row],[RowYear]])</f>
        <v>1192.340216155721</v>
      </c>
      <c r="N898" s="75">
        <v>315.35000000000002</v>
      </c>
      <c r="O898" s="33">
        <f>SUMIFS(DaybyDay[Service-Budgets],DaybyDay[Date],"&gt;="&amp;$C$5,DaybyDay[RowYear],"&gt;="&amp;$C$4,DaybyDay[Date],"&lt;="&amp;DaybyDay[[#This Row],[Date]])</f>
        <v>0</v>
      </c>
      <c r="P898" s="33">
        <f>SUMIFS(DaybyDay[Retail-Budgets],DaybyDay[Date],"&gt;="&amp;$C$5,DaybyDay[RowYear],"&gt;="&amp;$C$4,DaybyDay[Date],"&lt;="&amp;DaybyDay[[#This Row],[Date]])</f>
        <v>0</v>
      </c>
      <c r="Q898" s="34">
        <f>SUMIFS(DaybyDay[Service-Actuals],DaybyDay[Date],"&gt;="&amp;$C$5,DaybyDay[RowYear],"&gt;="&amp;$C$4,DaybyDay[Date],"&lt;="&amp;DaybyDay[[#This Row],[Date]])</f>
        <v>0</v>
      </c>
      <c r="R898" s="34">
        <f>SUMIFS(DaybyDay[Retail-Actuals],DaybyDay[Date],"&gt;="&amp;$C$5,DaybyDay[RowYear],"&gt;="&amp;$C$4,DaybyDay[Date],"&lt;="&amp;DaybyDay[[#This Row],[Date]])</f>
        <v>0</v>
      </c>
      <c r="S898" s="35">
        <f>SUMIFS(DaybyDay[Service-LY],DaybyDay[Date],"&gt;="&amp;$C$5,DaybyDay[RowYear],"&gt;="&amp;$C$4,DaybyDay[Date],"&lt;="&amp;DaybyDay[[#This Row],[Date]])</f>
        <v>0</v>
      </c>
      <c r="T898" s="35">
        <f>SUMIFS(DaybyDay[Retail-LY],DaybyDay[Date],"&gt;="&amp;$C$5,DaybyDay[RowYear],"&gt;="&amp;$C$4,DaybyDay[Date],"&lt;="&amp;DaybyDay[[#This Row],[Date]])</f>
        <v>0</v>
      </c>
      <c r="U898" s="32">
        <f>DaybyDay[[#This Row],[Serv-Bud-RU]]+DaybyDay[[#This Row],[Ret-Bud-RU]]</f>
        <v>0</v>
      </c>
      <c r="V898" s="32">
        <f>DaybyDay[[#This Row],[Serv-Act-RU]]+DaybyDay[[#This Row],[Ret-Act-RU]]</f>
        <v>0</v>
      </c>
      <c r="W898" s="36">
        <f>IF(DaybyDay[[#This Row],[_Space]],IFERROR(
((DaybyDay[[#This Row],[Actual-Rollup]]-DaybyDay[[#This Row],[Budget-Rollup]])/DaybyDay[[#This Row],[Budget-Rollup]]),0),"")</f>
        <v>0</v>
      </c>
      <c r="X898" t="b">
        <f>NOT(AND(ISBLANK(DaybyDay[[#This Row],[Appts]]),ISBLANK(DaybyDay[[#This Row],[Service-Actuals]]),ISBLANK(DaybyDay[[#This Row],[Retail-Actuals]])))</f>
        <v>1</v>
      </c>
      <c r="Y898" s="36">
        <f>IF(DaybyDay[[#This Row],[_Space]],IFERROR(
((DaybyDay[[#This Row],[Actual-Rollup]]-DaybyDay[[#This Row],[LY-Rollup]])/DaybyDay[[#This Row],[LY-Rollup]]),0),"")</f>
        <v>0</v>
      </c>
      <c r="Z898"/>
      <c r="AA898" s="37" t="e">
        <f>IF(DaybyDay[[#This Row],[_Space]],DaybyDay[[#This Row],[Ret-Act-RU]]/DaybyDay[[#This Row],[Serv-Act-RU]],"")</f>
        <v>#DIV/0!</v>
      </c>
      <c r="AB898" s="50" t="e">
        <f>IF(DaybyDay[[#This Row],[_Space]],DaybyDay[[#This Row],[RETPEN-Act]]/DaybyDay[[#This Row],[RETPEN-Bud]],"")</f>
        <v>#DIV/0!</v>
      </c>
      <c r="AC898" s="37" t="e">
        <f>IF(DaybyDay[[#This Row],[_Space]],DaybyDay[[#This Row],[Ret-Bud-RU]]/DaybyDay[[#This Row],[Serv-Bud-RU]],"")</f>
        <v>#DIV/0!</v>
      </c>
      <c r="AD898" s="37" t="e">
        <f>IF(DaybyDay[[#This Row],[_Space]],DaybyDay[[#This Row],[Ret-LY-RU]]/DaybyDay[[#This Row],[Serv-LY-RU]],"")</f>
        <v>#DIV/0!</v>
      </c>
      <c r="AE898" s="30">
        <f>WEEKDAY(DaybyDay[[#This Row],[LY-Date]])</f>
        <v>3</v>
      </c>
      <c r="AF898" s="38">
        <f>$E$2+_xlfn.DAYS(DaybyDay[[#This Row],[Date]],minDate)</f>
        <v>43263</v>
      </c>
      <c r="AG898" s="39" cm="1">
        <f t="array" ref="AG898">IFERROR(INDEX(DaybyDay[],DaybyDay[[#This Row],[FORM_MATCH_HELPER]],8),"")</f>
        <v>23</v>
      </c>
      <c r="AH898" s="39" cm="1">
        <f t="array" ref="AH898">IFERROR(INDEX(DaybyDay[],DaybyDay[[#This Row],[FORM_MATCH_HELPER]],10),"")</f>
        <v>4466.2</v>
      </c>
      <c r="AI898" s="39" cm="1">
        <f t="array" ref="AI898">IFERROR(INDEX(DaybyDay[],DaybyDay[[#This Row],[FORM_MATCH_HELPER]],12),"")</f>
        <v>3081.37</v>
      </c>
      <c r="AJ898" s="32">
        <f>IFERROR(DaybyDay[[#This Row],[Serv-LY-RU]]+DaybyDay[[#This Row],[Ret-LY-RU]],"")</f>
        <v>0</v>
      </c>
      <c r="AK8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8" s="77"/>
      <c r="AM898" s="40" t="str">
        <f>IF(DaybyDay[[#This Row],[Admin Hours]]&gt;0,DaybyDay[[#This Row],[Admin Hours]]*$AM$2+$AM$3,"")</f>
        <v/>
      </c>
      <c r="AN898" s="40">
        <f>SUMIFS(DaybyDay[Est-Admin-Payroll],DaybyDay[Date],"&gt;="&amp;$C$5,DaybyDay[RowYear],"&gt;="&amp;$C$4,DaybyDay[Date],"&lt;="&amp;DaybyDay[[#This Row],[Date]])</f>
        <v>0</v>
      </c>
      <c r="AO898" s="41" t="str">
        <f>IF(AND(DaybyDay[[#This Row],[_Space]],ISNUMBER(DaybyDay[[#This Row],[Admin Hours]])),DaybyDay[[#This Row],[Est-Admin-Payroll]]/(DaybyDay[[#This Row],[Service-Actuals]]+DaybyDay[[#This Row],[Retail-Actuals]]),"")</f>
        <v/>
      </c>
      <c r="AP898" s="41" t="e">
        <f>DaybyDay[[#This Row],[Estimated-Payroll-Rollup]]/DaybyDay[[#This Row],[Simple-Forecast]]</f>
        <v>#DIV/0!</v>
      </c>
      <c r="AQ8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8" s="77"/>
      <c r="AS898" s="40" t="str">
        <f>IF(DaybyDay[[#This Row],[Retail Hours]]&gt;0,DaybyDay[[#This Row],[Retail Hours]]*$AS$2,"")</f>
        <v/>
      </c>
      <c r="AT898" s="40">
        <f>SUMIFS(DaybyDay[Est-Retail-Payroll],DaybyDay[Date],"&gt;="&amp;$C$5,DaybyDay[RowYear],"&gt;="&amp;$C$4,DaybyDay[Date],"&lt;="&amp;DaybyDay[[#This Row],[Date]])</f>
        <v>0</v>
      </c>
      <c r="AU898" s="82" t="str">
        <f>IF(AND(DaybyDay[[#This Row],[_Space]],ISNUMBER(DaybyDay[[#This Row],[Retail Hours]])),DaybyDay[[#This Row],[Est-Retail-Payroll]]/(DaybyDay[[#This Row],[Retail-Actuals]]),"")</f>
        <v/>
      </c>
      <c r="AV898" s="82" t="e">
        <f>DaybyDay[[#This Row],[Est-Retail-PayrollRU]]/DaybyDay[[#This Row],[Simple-Forecast-Retail]]</f>
        <v>#DIV/0!</v>
      </c>
      <c r="AW898" s="8"/>
      <c r="AX898" s="49"/>
      <c r="AY898" s="48"/>
      <c r="AZ898" s="47"/>
      <c r="BA898" s="47"/>
      <c r="BB898" s="47"/>
      <c r="BC898" s="47"/>
      <c r="BD898" s="47"/>
    </row>
    <row r="899" spans="3:56" hidden="1" x14ac:dyDescent="0.25">
      <c r="C899" s="26" t="str">
        <f>Tools!$C$1</f>
        <v>Example</v>
      </c>
      <c r="D899" s="27" t="s">
        <v>73</v>
      </c>
      <c r="E899" s="28">
        <v>2019</v>
      </c>
      <c r="F899" s="28">
        <f>MATCH(DaybyDay[[#This Row],[RowMonth]],Table3[SummaryMonth],0)</f>
        <v>6</v>
      </c>
      <c r="G899" s="29">
        <f>MATCH(DaybyDay[[#This Row],[LY-Date]],DaybyDay[Date],0)</f>
        <v>529</v>
      </c>
      <c r="H899" s="30">
        <f>WEEKDAY(DaybyDay[[#This Row],[Date]])</f>
        <v>4</v>
      </c>
      <c r="I899" s="31">
        <v>43628</v>
      </c>
      <c r="J899" s="74">
        <v>20</v>
      </c>
      <c r="K899" s="32">
        <f>SUMIFS(BudgetSeasonality[365 Seasonality],BudgetSeasonality[MonthAdjustment],DaybyDay[[#This Row],[Date]])*SUMIFS(Budgets[Service-Budget],Budgets[BudgetMonth],DaybyDay[[#This Row],[RowMonth]],Budgets[BudgetYear],DaybyDay[[#This Row],[RowYear]])</f>
        <v>4789.8911070484191</v>
      </c>
      <c r="L899" s="75">
        <v>4084.6000000000004</v>
      </c>
      <c r="M899" s="32">
        <f>INDEX(BudgetSeasonality[365 Seasonality],MATCH(DaybyDay[[#This Row],[Date]],BudgetSeasonality[MonthAdjustment],0))*SUMIFS(Budgets[Retail-Budget],Budgets[BudgetMonth],DaybyDay[[#This Row],[RowMonth]],Budgets[BudgetYear],DaybyDay[[#This Row],[RowYear]])</f>
        <v>1377.8280225285978</v>
      </c>
      <c r="N899" s="75">
        <v>979</v>
      </c>
      <c r="O899" s="33">
        <f>SUMIFS(DaybyDay[Service-Budgets],DaybyDay[Date],"&gt;="&amp;$C$5,DaybyDay[RowYear],"&gt;="&amp;$C$4,DaybyDay[Date],"&lt;="&amp;DaybyDay[[#This Row],[Date]])</f>
        <v>0</v>
      </c>
      <c r="P899" s="33">
        <f>SUMIFS(DaybyDay[Retail-Budgets],DaybyDay[Date],"&gt;="&amp;$C$5,DaybyDay[RowYear],"&gt;="&amp;$C$4,DaybyDay[Date],"&lt;="&amp;DaybyDay[[#This Row],[Date]])</f>
        <v>0</v>
      </c>
      <c r="Q899" s="34">
        <f>SUMIFS(DaybyDay[Service-Actuals],DaybyDay[Date],"&gt;="&amp;$C$5,DaybyDay[RowYear],"&gt;="&amp;$C$4,DaybyDay[Date],"&lt;="&amp;DaybyDay[[#This Row],[Date]])</f>
        <v>0</v>
      </c>
      <c r="R899" s="34">
        <f>SUMIFS(DaybyDay[Retail-Actuals],DaybyDay[Date],"&gt;="&amp;$C$5,DaybyDay[RowYear],"&gt;="&amp;$C$4,DaybyDay[Date],"&lt;="&amp;DaybyDay[[#This Row],[Date]])</f>
        <v>0</v>
      </c>
      <c r="S899" s="35">
        <f>SUMIFS(DaybyDay[Service-LY],DaybyDay[Date],"&gt;="&amp;$C$5,DaybyDay[RowYear],"&gt;="&amp;$C$4,DaybyDay[Date],"&lt;="&amp;DaybyDay[[#This Row],[Date]])</f>
        <v>0</v>
      </c>
      <c r="T899" s="35">
        <f>SUMIFS(DaybyDay[Retail-LY],DaybyDay[Date],"&gt;="&amp;$C$5,DaybyDay[RowYear],"&gt;="&amp;$C$4,DaybyDay[Date],"&lt;="&amp;DaybyDay[[#This Row],[Date]])</f>
        <v>0</v>
      </c>
      <c r="U899" s="32">
        <f>DaybyDay[[#This Row],[Serv-Bud-RU]]+DaybyDay[[#This Row],[Ret-Bud-RU]]</f>
        <v>0</v>
      </c>
      <c r="V899" s="32">
        <f>DaybyDay[[#This Row],[Serv-Act-RU]]+DaybyDay[[#This Row],[Ret-Act-RU]]</f>
        <v>0</v>
      </c>
      <c r="W899" s="36">
        <f>IF(DaybyDay[[#This Row],[_Space]],IFERROR(
((DaybyDay[[#This Row],[Actual-Rollup]]-DaybyDay[[#This Row],[Budget-Rollup]])/DaybyDay[[#This Row],[Budget-Rollup]]),0),"")</f>
        <v>0</v>
      </c>
      <c r="X899" t="b">
        <f>NOT(AND(ISBLANK(DaybyDay[[#This Row],[Appts]]),ISBLANK(DaybyDay[[#This Row],[Service-Actuals]]),ISBLANK(DaybyDay[[#This Row],[Retail-Actuals]])))</f>
        <v>1</v>
      </c>
      <c r="Y899" s="36">
        <f>IF(DaybyDay[[#This Row],[_Space]],IFERROR(
((DaybyDay[[#This Row],[Actual-Rollup]]-DaybyDay[[#This Row],[LY-Rollup]])/DaybyDay[[#This Row],[LY-Rollup]]),0),"")</f>
        <v>0</v>
      </c>
      <c r="Z899"/>
      <c r="AA899" s="37" t="e">
        <f>IF(DaybyDay[[#This Row],[_Space]],DaybyDay[[#This Row],[Ret-Act-RU]]/DaybyDay[[#This Row],[Serv-Act-RU]],"")</f>
        <v>#DIV/0!</v>
      </c>
      <c r="AB899" s="50" t="e">
        <f>IF(DaybyDay[[#This Row],[_Space]],DaybyDay[[#This Row],[RETPEN-Act]]/DaybyDay[[#This Row],[RETPEN-Bud]],"")</f>
        <v>#DIV/0!</v>
      </c>
      <c r="AC899" s="37" t="e">
        <f>IF(DaybyDay[[#This Row],[_Space]],DaybyDay[[#This Row],[Ret-Bud-RU]]/DaybyDay[[#This Row],[Serv-Bud-RU]],"")</f>
        <v>#DIV/0!</v>
      </c>
      <c r="AD899" s="37" t="e">
        <f>IF(DaybyDay[[#This Row],[_Space]],DaybyDay[[#This Row],[Ret-LY-RU]]/DaybyDay[[#This Row],[Serv-LY-RU]],"")</f>
        <v>#DIV/0!</v>
      </c>
      <c r="AE899" s="30">
        <f>WEEKDAY(DaybyDay[[#This Row],[LY-Date]])</f>
        <v>4</v>
      </c>
      <c r="AF899" s="38">
        <f>$E$2+_xlfn.DAYS(DaybyDay[[#This Row],[Date]],minDate)</f>
        <v>43264</v>
      </c>
      <c r="AG899" s="39" cm="1">
        <f t="array" ref="AG899">IFERROR(INDEX(DaybyDay[],DaybyDay[[#This Row],[FORM_MATCH_HELPER]],8),"")</f>
        <v>23</v>
      </c>
      <c r="AH899" s="39" cm="1">
        <f t="array" ref="AH899">IFERROR(INDEX(DaybyDay[],DaybyDay[[#This Row],[FORM_MATCH_HELPER]],10),"")</f>
        <v>4507.3999999999996</v>
      </c>
      <c r="AI899" s="39" cm="1">
        <f t="array" ref="AI899">IFERROR(INDEX(DaybyDay[],DaybyDay[[#This Row],[FORM_MATCH_HELPER]],12),"")</f>
        <v>395.5</v>
      </c>
      <c r="AJ899" s="32">
        <f>IFERROR(DaybyDay[[#This Row],[Serv-LY-RU]]+DaybyDay[[#This Row],[Ret-LY-RU]],"")</f>
        <v>0</v>
      </c>
      <c r="AK8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899" s="77"/>
      <c r="AM899" s="40" t="str">
        <f>IF(DaybyDay[[#This Row],[Admin Hours]]&gt;0,DaybyDay[[#This Row],[Admin Hours]]*$AM$2+$AM$3,"")</f>
        <v/>
      </c>
      <c r="AN899" s="40">
        <f>SUMIFS(DaybyDay[Est-Admin-Payroll],DaybyDay[Date],"&gt;="&amp;$C$5,DaybyDay[RowYear],"&gt;="&amp;$C$4,DaybyDay[Date],"&lt;="&amp;DaybyDay[[#This Row],[Date]])</f>
        <v>0</v>
      </c>
      <c r="AO899" s="41" t="str">
        <f>IF(AND(DaybyDay[[#This Row],[_Space]],ISNUMBER(DaybyDay[[#This Row],[Admin Hours]])),DaybyDay[[#This Row],[Est-Admin-Payroll]]/(DaybyDay[[#This Row],[Service-Actuals]]+DaybyDay[[#This Row],[Retail-Actuals]]),"")</f>
        <v/>
      </c>
      <c r="AP899" s="41" t="e">
        <f>DaybyDay[[#This Row],[Estimated-Payroll-Rollup]]/DaybyDay[[#This Row],[Simple-Forecast]]</f>
        <v>#DIV/0!</v>
      </c>
      <c r="AQ8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899" s="77"/>
      <c r="AS899" s="40" t="str">
        <f>IF(DaybyDay[[#This Row],[Retail Hours]]&gt;0,DaybyDay[[#This Row],[Retail Hours]]*$AS$2,"")</f>
        <v/>
      </c>
      <c r="AT899" s="40">
        <f>SUMIFS(DaybyDay[Est-Retail-Payroll],DaybyDay[Date],"&gt;="&amp;$C$5,DaybyDay[RowYear],"&gt;="&amp;$C$4,DaybyDay[Date],"&lt;="&amp;DaybyDay[[#This Row],[Date]])</f>
        <v>0</v>
      </c>
      <c r="AU899" s="82" t="str">
        <f>IF(AND(DaybyDay[[#This Row],[_Space]],ISNUMBER(DaybyDay[[#This Row],[Retail Hours]])),DaybyDay[[#This Row],[Est-Retail-Payroll]]/(DaybyDay[[#This Row],[Retail-Actuals]]),"")</f>
        <v/>
      </c>
      <c r="AV899" s="82" t="e">
        <f>DaybyDay[[#This Row],[Est-Retail-PayrollRU]]/DaybyDay[[#This Row],[Simple-Forecast-Retail]]</f>
        <v>#DIV/0!</v>
      </c>
      <c r="AW899" s="8"/>
      <c r="AX899" s="49"/>
      <c r="AY899" s="48"/>
      <c r="AZ899" s="47"/>
      <c r="BA899" s="47"/>
      <c r="BB899" s="47"/>
      <c r="BC899" s="47"/>
      <c r="BD899" s="47"/>
    </row>
    <row r="900" spans="3:56" hidden="1" x14ac:dyDescent="0.25">
      <c r="C900" s="26" t="str">
        <f>Tools!$C$1</f>
        <v>Example</v>
      </c>
      <c r="D900" s="27" t="s">
        <v>73</v>
      </c>
      <c r="E900" s="28">
        <v>2019</v>
      </c>
      <c r="F900" s="28">
        <f>MATCH(DaybyDay[[#This Row],[RowMonth]],Table3[SummaryMonth],0)</f>
        <v>6</v>
      </c>
      <c r="G900" s="29">
        <f>MATCH(DaybyDay[[#This Row],[LY-Date]],DaybyDay[Date],0)</f>
        <v>530</v>
      </c>
      <c r="H900" s="30">
        <f>WEEKDAY(DaybyDay[[#This Row],[Date]])</f>
        <v>5</v>
      </c>
      <c r="I900" s="31">
        <v>43629</v>
      </c>
      <c r="J900" s="74">
        <v>24</v>
      </c>
      <c r="K900" s="32">
        <f>SUMIFS(BudgetSeasonality[365 Seasonality],BudgetSeasonality[MonthAdjustment],DaybyDay[[#This Row],[Date]])*SUMIFS(Budgets[Service-Budget],Budgets[BudgetMonth],DaybyDay[[#This Row],[RowMonth]],Budgets[BudgetYear],DaybyDay[[#This Row],[RowYear]])</f>
        <v>4925.6851198007644</v>
      </c>
      <c r="L900" s="75">
        <v>3263.57</v>
      </c>
      <c r="M900" s="32">
        <f>INDEX(BudgetSeasonality[365 Seasonality],MATCH(DaybyDay[[#This Row],[Date]],BudgetSeasonality[MonthAdjustment],0))*SUMIFS(Budgets[Retail-Budget],Budgets[BudgetMonth],DaybyDay[[#This Row],[RowMonth]],Budgets[BudgetYear],DaybyDay[[#This Row],[RowYear]])</f>
        <v>1416.889619521161</v>
      </c>
      <c r="N900" s="75">
        <v>813.02</v>
      </c>
      <c r="O900" s="33">
        <f>SUMIFS(DaybyDay[Service-Budgets],DaybyDay[Date],"&gt;="&amp;$C$5,DaybyDay[RowYear],"&gt;="&amp;$C$4,DaybyDay[Date],"&lt;="&amp;DaybyDay[[#This Row],[Date]])</f>
        <v>0</v>
      </c>
      <c r="P900" s="33">
        <f>SUMIFS(DaybyDay[Retail-Budgets],DaybyDay[Date],"&gt;="&amp;$C$5,DaybyDay[RowYear],"&gt;="&amp;$C$4,DaybyDay[Date],"&lt;="&amp;DaybyDay[[#This Row],[Date]])</f>
        <v>0</v>
      </c>
      <c r="Q900" s="34">
        <f>SUMIFS(DaybyDay[Service-Actuals],DaybyDay[Date],"&gt;="&amp;$C$5,DaybyDay[RowYear],"&gt;="&amp;$C$4,DaybyDay[Date],"&lt;="&amp;DaybyDay[[#This Row],[Date]])</f>
        <v>0</v>
      </c>
      <c r="R900" s="34">
        <f>SUMIFS(DaybyDay[Retail-Actuals],DaybyDay[Date],"&gt;="&amp;$C$5,DaybyDay[RowYear],"&gt;="&amp;$C$4,DaybyDay[Date],"&lt;="&amp;DaybyDay[[#This Row],[Date]])</f>
        <v>0</v>
      </c>
      <c r="S900" s="35">
        <f>SUMIFS(DaybyDay[Service-LY],DaybyDay[Date],"&gt;="&amp;$C$5,DaybyDay[RowYear],"&gt;="&amp;$C$4,DaybyDay[Date],"&lt;="&amp;DaybyDay[[#This Row],[Date]])</f>
        <v>0</v>
      </c>
      <c r="T900" s="35">
        <f>SUMIFS(DaybyDay[Retail-LY],DaybyDay[Date],"&gt;="&amp;$C$5,DaybyDay[RowYear],"&gt;="&amp;$C$4,DaybyDay[Date],"&lt;="&amp;DaybyDay[[#This Row],[Date]])</f>
        <v>0</v>
      </c>
      <c r="U900" s="32">
        <f>DaybyDay[[#This Row],[Serv-Bud-RU]]+DaybyDay[[#This Row],[Ret-Bud-RU]]</f>
        <v>0</v>
      </c>
      <c r="V900" s="32">
        <f>DaybyDay[[#This Row],[Serv-Act-RU]]+DaybyDay[[#This Row],[Ret-Act-RU]]</f>
        <v>0</v>
      </c>
      <c r="W900" s="36">
        <f>IF(DaybyDay[[#This Row],[_Space]],IFERROR(
((DaybyDay[[#This Row],[Actual-Rollup]]-DaybyDay[[#This Row],[Budget-Rollup]])/DaybyDay[[#This Row],[Budget-Rollup]]),0),"")</f>
        <v>0</v>
      </c>
      <c r="X900" t="b">
        <f>NOT(AND(ISBLANK(DaybyDay[[#This Row],[Appts]]),ISBLANK(DaybyDay[[#This Row],[Service-Actuals]]),ISBLANK(DaybyDay[[#This Row],[Retail-Actuals]])))</f>
        <v>1</v>
      </c>
      <c r="Y900" s="36">
        <f>IF(DaybyDay[[#This Row],[_Space]],IFERROR(
((DaybyDay[[#This Row],[Actual-Rollup]]-DaybyDay[[#This Row],[LY-Rollup]])/DaybyDay[[#This Row],[LY-Rollup]]),0),"")</f>
        <v>0</v>
      </c>
      <c r="Z900"/>
      <c r="AA900" s="37" t="e">
        <f>IF(DaybyDay[[#This Row],[_Space]],DaybyDay[[#This Row],[Ret-Act-RU]]/DaybyDay[[#This Row],[Serv-Act-RU]],"")</f>
        <v>#DIV/0!</v>
      </c>
      <c r="AB900" s="50" t="e">
        <f>IF(DaybyDay[[#This Row],[_Space]],DaybyDay[[#This Row],[RETPEN-Act]]/DaybyDay[[#This Row],[RETPEN-Bud]],"")</f>
        <v>#DIV/0!</v>
      </c>
      <c r="AC900" s="37" t="e">
        <f>IF(DaybyDay[[#This Row],[_Space]],DaybyDay[[#This Row],[Ret-Bud-RU]]/DaybyDay[[#This Row],[Serv-Bud-RU]],"")</f>
        <v>#DIV/0!</v>
      </c>
      <c r="AD900" s="37" t="e">
        <f>IF(DaybyDay[[#This Row],[_Space]],DaybyDay[[#This Row],[Ret-LY-RU]]/DaybyDay[[#This Row],[Serv-LY-RU]],"")</f>
        <v>#DIV/0!</v>
      </c>
      <c r="AE900" s="30">
        <f>WEEKDAY(DaybyDay[[#This Row],[LY-Date]])</f>
        <v>5</v>
      </c>
      <c r="AF900" s="38">
        <f>$E$2+_xlfn.DAYS(DaybyDay[[#This Row],[Date]],minDate)</f>
        <v>43265</v>
      </c>
      <c r="AG900" s="39" cm="1">
        <f t="array" ref="AG900">IFERROR(INDEX(DaybyDay[],DaybyDay[[#This Row],[FORM_MATCH_HELPER]],8),"")</f>
        <v>28</v>
      </c>
      <c r="AH900" s="39" cm="1">
        <f t="array" ref="AH900">IFERROR(INDEX(DaybyDay[],DaybyDay[[#This Row],[FORM_MATCH_HELPER]],10),"")</f>
        <v>4998.8999999999996</v>
      </c>
      <c r="AI900" s="39" cm="1">
        <f t="array" ref="AI900">IFERROR(INDEX(DaybyDay[],DaybyDay[[#This Row],[FORM_MATCH_HELPER]],12),"")</f>
        <v>2153</v>
      </c>
      <c r="AJ900" s="32">
        <f>IFERROR(DaybyDay[[#This Row],[Serv-LY-RU]]+DaybyDay[[#This Row],[Ret-LY-RU]],"")</f>
        <v>0</v>
      </c>
      <c r="AK9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0" s="77"/>
      <c r="AM900" s="40" t="str">
        <f>IF(DaybyDay[[#This Row],[Admin Hours]]&gt;0,DaybyDay[[#This Row],[Admin Hours]]*$AM$2+$AM$3,"")</f>
        <v/>
      </c>
      <c r="AN900" s="40">
        <f>SUMIFS(DaybyDay[Est-Admin-Payroll],DaybyDay[Date],"&gt;="&amp;$C$5,DaybyDay[RowYear],"&gt;="&amp;$C$4,DaybyDay[Date],"&lt;="&amp;DaybyDay[[#This Row],[Date]])</f>
        <v>0</v>
      </c>
      <c r="AO900" s="41" t="str">
        <f>IF(AND(DaybyDay[[#This Row],[_Space]],ISNUMBER(DaybyDay[[#This Row],[Admin Hours]])),DaybyDay[[#This Row],[Est-Admin-Payroll]]/(DaybyDay[[#This Row],[Service-Actuals]]+DaybyDay[[#This Row],[Retail-Actuals]]),"")</f>
        <v/>
      </c>
      <c r="AP900" s="41" t="e">
        <f>DaybyDay[[#This Row],[Estimated-Payroll-Rollup]]/DaybyDay[[#This Row],[Simple-Forecast]]</f>
        <v>#DIV/0!</v>
      </c>
      <c r="AQ9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0" s="77"/>
      <c r="AS900" s="40" t="str">
        <f>IF(DaybyDay[[#This Row],[Retail Hours]]&gt;0,DaybyDay[[#This Row],[Retail Hours]]*$AS$2,"")</f>
        <v/>
      </c>
      <c r="AT900" s="40">
        <f>SUMIFS(DaybyDay[Est-Retail-Payroll],DaybyDay[Date],"&gt;="&amp;$C$5,DaybyDay[RowYear],"&gt;="&amp;$C$4,DaybyDay[Date],"&lt;="&amp;DaybyDay[[#This Row],[Date]])</f>
        <v>0</v>
      </c>
      <c r="AU900" s="82" t="str">
        <f>IF(AND(DaybyDay[[#This Row],[_Space]],ISNUMBER(DaybyDay[[#This Row],[Retail Hours]])),DaybyDay[[#This Row],[Est-Retail-Payroll]]/(DaybyDay[[#This Row],[Retail-Actuals]]),"")</f>
        <v/>
      </c>
      <c r="AV900" s="82" t="e">
        <f>DaybyDay[[#This Row],[Est-Retail-PayrollRU]]/DaybyDay[[#This Row],[Simple-Forecast-Retail]]</f>
        <v>#DIV/0!</v>
      </c>
      <c r="AW900" s="8"/>
      <c r="AX900" s="49"/>
      <c r="AY900" s="48"/>
      <c r="AZ900" s="47"/>
      <c r="BA900" s="47"/>
      <c r="BB900" s="47"/>
      <c r="BC900" s="47"/>
      <c r="BD900" s="47"/>
    </row>
    <row r="901" spans="3:56" hidden="1" x14ac:dyDescent="0.25">
      <c r="C901" s="26" t="str">
        <f>Tools!$C$1</f>
        <v>Example</v>
      </c>
      <c r="D901" s="27" t="s">
        <v>73</v>
      </c>
      <c r="E901" s="28">
        <v>2019</v>
      </c>
      <c r="F901" s="28">
        <f>MATCH(DaybyDay[[#This Row],[RowMonth]],Table3[SummaryMonth],0)</f>
        <v>6</v>
      </c>
      <c r="G901" s="29">
        <f>MATCH(DaybyDay[[#This Row],[LY-Date]],DaybyDay[Date],0)</f>
        <v>531</v>
      </c>
      <c r="H901" s="30">
        <f>WEEKDAY(DaybyDay[[#This Row],[Date]])</f>
        <v>6</v>
      </c>
      <c r="I901" s="31">
        <v>43630</v>
      </c>
      <c r="J901" s="74">
        <v>25</v>
      </c>
      <c r="K901" s="32">
        <f>SUMIFS(BudgetSeasonality[365 Seasonality],BudgetSeasonality[MonthAdjustment],DaybyDay[[#This Row],[Date]])*SUMIFS(Budgets[Service-Budget],Budgets[BudgetMonth],DaybyDay[[#This Row],[RowMonth]],Budgets[BudgetYear],DaybyDay[[#This Row],[RowYear]])</f>
        <v>6096.65439898762</v>
      </c>
      <c r="L901" s="75">
        <v>6085.05</v>
      </c>
      <c r="M901" s="32">
        <f>INDEX(BudgetSeasonality[365 Seasonality],MATCH(DaybyDay[[#This Row],[Date]],BudgetSeasonality[MonthAdjustment],0))*SUMIFS(Budgets[Retail-Budget],Budgets[BudgetMonth],DaybyDay[[#This Row],[RowMonth]],Budgets[BudgetYear],DaybyDay[[#This Row],[RowYear]])</f>
        <v>1753.7228063987543</v>
      </c>
      <c r="N901" s="75">
        <v>962.2</v>
      </c>
      <c r="O901" s="33">
        <f>SUMIFS(DaybyDay[Service-Budgets],DaybyDay[Date],"&gt;="&amp;$C$5,DaybyDay[RowYear],"&gt;="&amp;$C$4,DaybyDay[Date],"&lt;="&amp;DaybyDay[[#This Row],[Date]])</f>
        <v>0</v>
      </c>
      <c r="P901" s="33">
        <f>SUMIFS(DaybyDay[Retail-Budgets],DaybyDay[Date],"&gt;="&amp;$C$5,DaybyDay[RowYear],"&gt;="&amp;$C$4,DaybyDay[Date],"&lt;="&amp;DaybyDay[[#This Row],[Date]])</f>
        <v>0</v>
      </c>
      <c r="Q901" s="34">
        <f>SUMIFS(DaybyDay[Service-Actuals],DaybyDay[Date],"&gt;="&amp;$C$5,DaybyDay[RowYear],"&gt;="&amp;$C$4,DaybyDay[Date],"&lt;="&amp;DaybyDay[[#This Row],[Date]])</f>
        <v>0</v>
      </c>
      <c r="R901" s="34">
        <f>SUMIFS(DaybyDay[Retail-Actuals],DaybyDay[Date],"&gt;="&amp;$C$5,DaybyDay[RowYear],"&gt;="&amp;$C$4,DaybyDay[Date],"&lt;="&amp;DaybyDay[[#This Row],[Date]])</f>
        <v>0</v>
      </c>
      <c r="S901" s="35">
        <f>SUMIFS(DaybyDay[Service-LY],DaybyDay[Date],"&gt;="&amp;$C$5,DaybyDay[RowYear],"&gt;="&amp;$C$4,DaybyDay[Date],"&lt;="&amp;DaybyDay[[#This Row],[Date]])</f>
        <v>0</v>
      </c>
      <c r="T901" s="35">
        <f>SUMIFS(DaybyDay[Retail-LY],DaybyDay[Date],"&gt;="&amp;$C$5,DaybyDay[RowYear],"&gt;="&amp;$C$4,DaybyDay[Date],"&lt;="&amp;DaybyDay[[#This Row],[Date]])</f>
        <v>0</v>
      </c>
      <c r="U901" s="32">
        <f>DaybyDay[[#This Row],[Serv-Bud-RU]]+DaybyDay[[#This Row],[Ret-Bud-RU]]</f>
        <v>0</v>
      </c>
      <c r="V901" s="32">
        <f>DaybyDay[[#This Row],[Serv-Act-RU]]+DaybyDay[[#This Row],[Ret-Act-RU]]</f>
        <v>0</v>
      </c>
      <c r="W901" s="36">
        <f>IF(DaybyDay[[#This Row],[_Space]],IFERROR(
((DaybyDay[[#This Row],[Actual-Rollup]]-DaybyDay[[#This Row],[Budget-Rollup]])/DaybyDay[[#This Row],[Budget-Rollup]]),0),"")</f>
        <v>0</v>
      </c>
      <c r="X901" t="b">
        <f>NOT(AND(ISBLANK(DaybyDay[[#This Row],[Appts]]),ISBLANK(DaybyDay[[#This Row],[Service-Actuals]]),ISBLANK(DaybyDay[[#This Row],[Retail-Actuals]])))</f>
        <v>1</v>
      </c>
      <c r="Y901" s="36">
        <f>IF(DaybyDay[[#This Row],[_Space]],IFERROR(
((DaybyDay[[#This Row],[Actual-Rollup]]-DaybyDay[[#This Row],[LY-Rollup]])/DaybyDay[[#This Row],[LY-Rollup]]),0),"")</f>
        <v>0</v>
      </c>
      <c r="Z901"/>
      <c r="AA901" s="37" t="e">
        <f>IF(DaybyDay[[#This Row],[_Space]],DaybyDay[[#This Row],[Ret-Act-RU]]/DaybyDay[[#This Row],[Serv-Act-RU]],"")</f>
        <v>#DIV/0!</v>
      </c>
      <c r="AB901" s="50" t="e">
        <f>IF(DaybyDay[[#This Row],[_Space]],DaybyDay[[#This Row],[RETPEN-Act]]/DaybyDay[[#This Row],[RETPEN-Bud]],"")</f>
        <v>#DIV/0!</v>
      </c>
      <c r="AC901" s="37" t="e">
        <f>IF(DaybyDay[[#This Row],[_Space]],DaybyDay[[#This Row],[Ret-Bud-RU]]/DaybyDay[[#This Row],[Serv-Bud-RU]],"")</f>
        <v>#DIV/0!</v>
      </c>
      <c r="AD901" s="37" t="e">
        <f>IF(DaybyDay[[#This Row],[_Space]],DaybyDay[[#This Row],[Ret-LY-RU]]/DaybyDay[[#This Row],[Serv-LY-RU]],"")</f>
        <v>#DIV/0!</v>
      </c>
      <c r="AE901" s="30">
        <f>WEEKDAY(DaybyDay[[#This Row],[LY-Date]])</f>
        <v>6</v>
      </c>
      <c r="AF901" s="38">
        <f>$E$2+_xlfn.DAYS(DaybyDay[[#This Row],[Date]],minDate)</f>
        <v>43266</v>
      </c>
      <c r="AG901" s="39" cm="1">
        <f t="array" ref="AG901">IFERROR(INDEX(DaybyDay[],DaybyDay[[#This Row],[FORM_MATCH_HELPER]],8),"")</f>
        <v>23</v>
      </c>
      <c r="AH901" s="39" cm="1">
        <f t="array" ref="AH901">IFERROR(INDEX(DaybyDay[],DaybyDay[[#This Row],[FORM_MATCH_HELPER]],10),"")</f>
        <v>3992.75</v>
      </c>
      <c r="AI901" s="39" cm="1">
        <f t="array" ref="AI901">IFERROR(INDEX(DaybyDay[],DaybyDay[[#This Row],[FORM_MATCH_HELPER]],12),"")</f>
        <v>396.1</v>
      </c>
      <c r="AJ901" s="32">
        <f>IFERROR(DaybyDay[[#This Row],[Serv-LY-RU]]+DaybyDay[[#This Row],[Ret-LY-RU]],"")</f>
        <v>0</v>
      </c>
      <c r="AK9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1" s="77"/>
      <c r="AM901" s="40" t="str">
        <f>IF(DaybyDay[[#This Row],[Admin Hours]]&gt;0,DaybyDay[[#This Row],[Admin Hours]]*$AM$2+$AM$3,"")</f>
        <v/>
      </c>
      <c r="AN901" s="40">
        <f>SUMIFS(DaybyDay[Est-Admin-Payroll],DaybyDay[Date],"&gt;="&amp;$C$5,DaybyDay[RowYear],"&gt;="&amp;$C$4,DaybyDay[Date],"&lt;="&amp;DaybyDay[[#This Row],[Date]])</f>
        <v>0</v>
      </c>
      <c r="AO901" s="41" t="str">
        <f>IF(AND(DaybyDay[[#This Row],[_Space]],ISNUMBER(DaybyDay[[#This Row],[Admin Hours]])),DaybyDay[[#This Row],[Est-Admin-Payroll]]/(DaybyDay[[#This Row],[Service-Actuals]]+DaybyDay[[#This Row],[Retail-Actuals]]),"")</f>
        <v/>
      </c>
      <c r="AP901" s="41" t="e">
        <f>DaybyDay[[#This Row],[Estimated-Payroll-Rollup]]/DaybyDay[[#This Row],[Simple-Forecast]]</f>
        <v>#DIV/0!</v>
      </c>
      <c r="AQ9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1" s="77"/>
      <c r="AS901" s="40" t="str">
        <f>IF(DaybyDay[[#This Row],[Retail Hours]]&gt;0,DaybyDay[[#This Row],[Retail Hours]]*$AS$2,"")</f>
        <v/>
      </c>
      <c r="AT901" s="40">
        <f>SUMIFS(DaybyDay[Est-Retail-Payroll],DaybyDay[Date],"&gt;="&amp;$C$5,DaybyDay[RowYear],"&gt;="&amp;$C$4,DaybyDay[Date],"&lt;="&amp;DaybyDay[[#This Row],[Date]])</f>
        <v>0</v>
      </c>
      <c r="AU901" s="82" t="str">
        <f>IF(AND(DaybyDay[[#This Row],[_Space]],ISNUMBER(DaybyDay[[#This Row],[Retail Hours]])),DaybyDay[[#This Row],[Est-Retail-Payroll]]/(DaybyDay[[#This Row],[Retail-Actuals]]),"")</f>
        <v/>
      </c>
      <c r="AV901" s="82" t="e">
        <f>DaybyDay[[#This Row],[Est-Retail-PayrollRU]]/DaybyDay[[#This Row],[Simple-Forecast-Retail]]</f>
        <v>#DIV/0!</v>
      </c>
      <c r="AW901" s="8"/>
      <c r="AX901" s="49"/>
      <c r="AY901" s="48"/>
      <c r="AZ901" s="47"/>
      <c r="BA901" s="47"/>
      <c r="BB901" s="47"/>
      <c r="BC901" s="47"/>
      <c r="BD901" s="47"/>
    </row>
    <row r="902" spans="3:56" hidden="1" x14ac:dyDescent="0.25">
      <c r="C902" s="26" t="str">
        <f>Tools!$C$1</f>
        <v>Example</v>
      </c>
      <c r="D902" s="27" t="s">
        <v>73</v>
      </c>
      <c r="E902" s="28">
        <v>2019</v>
      </c>
      <c r="F902" s="28">
        <f>MATCH(DaybyDay[[#This Row],[RowMonth]],Table3[SummaryMonth],0)</f>
        <v>6</v>
      </c>
      <c r="G902" s="29">
        <f>MATCH(DaybyDay[[#This Row],[LY-Date]],DaybyDay[Date],0)</f>
        <v>532</v>
      </c>
      <c r="H902" s="30">
        <f>WEEKDAY(DaybyDay[[#This Row],[Date]])</f>
        <v>7</v>
      </c>
      <c r="I902" s="31">
        <v>43631</v>
      </c>
      <c r="J902" s="74">
        <v>40</v>
      </c>
      <c r="K902" s="32">
        <f>SUMIFS(BudgetSeasonality[365 Seasonality],BudgetSeasonality[MonthAdjustment],DaybyDay[[#This Row],[Date]])*SUMIFS(Budgets[Service-Budget],Budgets[BudgetMonth],DaybyDay[[#This Row],[RowMonth]],Budgets[BudgetYear],DaybyDay[[#This Row],[RowYear]])</f>
        <v>8570.2545038024091</v>
      </c>
      <c r="L902" s="75">
        <v>8427.1999999999989</v>
      </c>
      <c r="M902" s="32">
        <f>INDEX(BudgetSeasonality[365 Seasonality],MATCH(DaybyDay[[#This Row],[Date]],BudgetSeasonality[MonthAdjustment],0))*SUMIFS(Budgets[Retail-Budget],Budgets[BudgetMonth],DaybyDay[[#This Row],[RowMonth]],Budgets[BudgetYear],DaybyDay[[#This Row],[RowYear]])</f>
        <v>2465.2620595413291</v>
      </c>
      <c r="N902" s="75">
        <v>2363.85</v>
      </c>
      <c r="O902" s="33">
        <f>SUMIFS(DaybyDay[Service-Budgets],DaybyDay[Date],"&gt;="&amp;$C$5,DaybyDay[RowYear],"&gt;="&amp;$C$4,DaybyDay[Date],"&lt;="&amp;DaybyDay[[#This Row],[Date]])</f>
        <v>0</v>
      </c>
      <c r="P902" s="33">
        <f>SUMIFS(DaybyDay[Retail-Budgets],DaybyDay[Date],"&gt;="&amp;$C$5,DaybyDay[RowYear],"&gt;="&amp;$C$4,DaybyDay[Date],"&lt;="&amp;DaybyDay[[#This Row],[Date]])</f>
        <v>0</v>
      </c>
      <c r="Q902" s="34">
        <f>SUMIFS(DaybyDay[Service-Actuals],DaybyDay[Date],"&gt;="&amp;$C$5,DaybyDay[RowYear],"&gt;="&amp;$C$4,DaybyDay[Date],"&lt;="&amp;DaybyDay[[#This Row],[Date]])</f>
        <v>0</v>
      </c>
      <c r="R902" s="34">
        <f>SUMIFS(DaybyDay[Retail-Actuals],DaybyDay[Date],"&gt;="&amp;$C$5,DaybyDay[RowYear],"&gt;="&amp;$C$4,DaybyDay[Date],"&lt;="&amp;DaybyDay[[#This Row],[Date]])</f>
        <v>0</v>
      </c>
      <c r="S902" s="35">
        <f>SUMIFS(DaybyDay[Service-LY],DaybyDay[Date],"&gt;="&amp;$C$5,DaybyDay[RowYear],"&gt;="&amp;$C$4,DaybyDay[Date],"&lt;="&amp;DaybyDay[[#This Row],[Date]])</f>
        <v>0</v>
      </c>
      <c r="T902" s="35">
        <f>SUMIFS(DaybyDay[Retail-LY],DaybyDay[Date],"&gt;="&amp;$C$5,DaybyDay[RowYear],"&gt;="&amp;$C$4,DaybyDay[Date],"&lt;="&amp;DaybyDay[[#This Row],[Date]])</f>
        <v>0</v>
      </c>
      <c r="U902" s="32">
        <f>DaybyDay[[#This Row],[Serv-Bud-RU]]+DaybyDay[[#This Row],[Ret-Bud-RU]]</f>
        <v>0</v>
      </c>
      <c r="V902" s="32">
        <f>DaybyDay[[#This Row],[Serv-Act-RU]]+DaybyDay[[#This Row],[Ret-Act-RU]]</f>
        <v>0</v>
      </c>
      <c r="W902" s="36">
        <f>IF(DaybyDay[[#This Row],[_Space]],IFERROR(
((DaybyDay[[#This Row],[Actual-Rollup]]-DaybyDay[[#This Row],[Budget-Rollup]])/DaybyDay[[#This Row],[Budget-Rollup]]),0),"")</f>
        <v>0</v>
      </c>
      <c r="X902" t="b">
        <f>NOT(AND(ISBLANK(DaybyDay[[#This Row],[Appts]]),ISBLANK(DaybyDay[[#This Row],[Service-Actuals]]),ISBLANK(DaybyDay[[#This Row],[Retail-Actuals]])))</f>
        <v>1</v>
      </c>
      <c r="Y902" s="36">
        <f>IF(DaybyDay[[#This Row],[_Space]],IFERROR(
((DaybyDay[[#This Row],[Actual-Rollup]]-DaybyDay[[#This Row],[LY-Rollup]])/DaybyDay[[#This Row],[LY-Rollup]]),0),"")</f>
        <v>0</v>
      </c>
      <c r="Z902"/>
      <c r="AA902" s="37" t="e">
        <f>IF(DaybyDay[[#This Row],[_Space]],DaybyDay[[#This Row],[Ret-Act-RU]]/DaybyDay[[#This Row],[Serv-Act-RU]],"")</f>
        <v>#DIV/0!</v>
      </c>
      <c r="AB902" s="50" t="e">
        <f>IF(DaybyDay[[#This Row],[_Space]],DaybyDay[[#This Row],[RETPEN-Act]]/DaybyDay[[#This Row],[RETPEN-Bud]],"")</f>
        <v>#DIV/0!</v>
      </c>
      <c r="AC902" s="37" t="e">
        <f>IF(DaybyDay[[#This Row],[_Space]],DaybyDay[[#This Row],[Ret-Bud-RU]]/DaybyDay[[#This Row],[Serv-Bud-RU]],"")</f>
        <v>#DIV/0!</v>
      </c>
      <c r="AD902" s="37" t="e">
        <f>IF(DaybyDay[[#This Row],[_Space]],DaybyDay[[#This Row],[Ret-LY-RU]]/DaybyDay[[#This Row],[Serv-LY-RU]],"")</f>
        <v>#DIV/0!</v>
      </c>
      <c r="AE902" s="30">
        <f>WEEKDAY(DaybyDay[[#This Row],[LY-Date]])</f>
        <v>7</v>
      </c>
      <c r="AF902" s="38">
        <f>$E$2+_xlfn.DAYS(DaybyDay[[#This Row],[Date]],minDate)</f>
        <v>43267</v>
      </c>
      <c r="AG902" s="39" cm="1">
        <f t="array" ref="AG902">IFERROR(INDEX(DaybyDay[],DaybyDay[[#This Row],[FORM_MATCH_HELPER]],8),"")</f>
        <v>35</v>
      </c>
      <c r="AH902" s="39" cm="1">
        <f t="array" ref="AH902">IFERROR(INDEX(DaybyDay[],DaybyDay[[#This Row],[FORM_MATCH_HELPER]],10),"")</f>
        <v>7970.25</v>
      </c>
      <c r="AI902" s="39" cm="1">
        <f t="array" ref="AI902">IFERROR(INDEX(DaybyDay[],DaybyDay[[#This Row],[FORM_MATCH_HELPER]],12),"")</f>
        <v>1731</v>
      </c>
      <c r="AJ902" s="32">
        <f>IFERROR(DaybyDay[[#This Row],[Serv-LY-RU]]+DaybyDay[[#This Row],[Ret-LY-RU]],"")</f>
        <v>0</v>
      </c>
      <c r="AK9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2" s="77"/>
      <c r="AM902" s="40" t="str">
        <f>IF(DaybyDay[[#This Row],[Admin Hours]]&gt;0,DaybyDay[[#This Row],[Admin Hours]]*$AM$2+$AM$3,"")</f>
        <v/>
      </c>
      <c r="AN902" s="40">
        <f>SUMIFS(DaybyDay[Est-Admin-Payroll],DaybyDay[Date],"&gt;="&amp;$C$5,DaybyDay[RowYear],"&gt;="&amp;$C$4,DaybyDay[Date],"&lt;="&amp;DaybyDay[[#This Row],[Date]])</f>
        <v>0</v>
      </c>
      <c r="AO902" s="41" t="str">
        <f>IF(AND(DaybyDay[[#This Row],[_Space]],ISNUMBER(DaybyDay[[#This Row],[Admin Hours]])),DaybyDay[[#This Row],[Est-Admin-Payroll]]/(DaybyDay[[#This Row],[Service-Actuals]]+DaybyDay[[#This Row],[Retail-Actuals]]),"")</f>
        <v/>
      </c>
      <c r="AP902" s="41" t="e">
        <f>DaybyDay[[#This Row],[Estimated-Payroll-Rollup]]/DaybyDay[[#This Row],[Simple-Forecast]]</f>
        <v>#DIV/0!</v>
      </c>
      <c r="AQ9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2" s="77"/>
      <c r="AS902" s="40" t="str">
        <f>IF(DaybyDay[[#This Row],[Retail Hours]]&gt;0,DaybyDay[[#This Row],[Retail Hours]]*$AS$2,"")</f>
        <v/>
      </c>
      <c r="AT902" s="40">
        <f>SUMIFS(DaybyDay[Est-Retail-Payroll],DaybyDay[Date],"&gt;="&amp;$C$5,DaybyDay[RowYear],"&gt;="&amp;$C$4,DaybyDay[Date],"&lt;="&amp;DaybyDay[[#This Row],[Date]])</f>
        <v>0</v>
      </c>
      <c r="AU902" s="82" t="str">
        <f>IF(AND(DaybyDay[[#This Row],[_Space]],ISNUMBER(DaybyDay[[#This Row],[Retail Hours]])),DaybyDay[[#This Row],[Est-Retail-Payroll]]/(DaybyDay[[#This Row],[Retail-Actuals]]),"")</f>
        <v/>
      </c>
      <c r="AV902" s="82" t="e">
        <f>DaybyDay[[#This Row],[Est-Retail-PayrollRU]]/DaybyDay[[#This Row],[Simple-Forecast-Retail]]</f>
        <v>#DIV/0!</v>
      </c>
      <c r="AW902" s="8"/>
      <c r="AX902" s="49"/>
      <c r="AY902" s="48"/>
      <c r="AZ902" s="47"/>
      <c r="BA902" s="47"/>
      <c r="BB902" s="47"/>
      <c r="BC902" s="47"/>
      <c r="BD902" s="47"/>
    </row>
    <row r="903" spans="3:56" hidden="1" x14ac:dyDescent="0.25">
      <c r="C903" s="26" t="str">
        <f>Tools!$C$1</f>
        <v>Example</v>
      </c>
      <c r="D903" s="27" t="s">
        <v>73</v>
      </c>
      <c r="E903" s="28">
        <v>2019</v>
      </c>
      <c r="F903" s="28">
        <f>MATCH(DaybyDay[[#This Row],[RowMonth]],Table3[SummaryMonth],0)</f>
        <v>6</v>
      </c>
      <c r="G903" s="29">
        <f>MATCH(DaybyDay[[#This Row],[LY-Date]],DaybyDay[Date],0)</f>
        <v>533</v>
      </c>
      <c r="H903" s="30">
        <f>WEEKDAY(DaybyDay[[#This Row],[Date]])</f>
        <v>1</v>
      </c>
      <c r="I903" s="31">
        <v>43632</v>
      </c>
      <c r="J903" s="74">
        <v>23</v>
      </c>
      <c r="K903" s="32">
        <f>SUMIFS(BudgetSeasonality[365 Seasonality],BudgetSeasonality[MonthAdjustment],DaybyDay[[#This Row],[Date]])*SUMIFS(Budgets[Service-Budget],Budgets[BudgetMonth],DaybyDay[[#This Row],[RowMonth]],Budgets[BudgetYear],DaybyDay[[#This Row],[RowYear]])</f>
        <v>6712.1685003846933</v>
      </c>
      <c r="L903" s="75">
        <v>4674.6499999999996</v>
      </c>
      <c r="M903" s="32">
        <f>INDEX(BudgetSeasonality[365 Seasonality],MATCH(DaybyDay[[#This Row],[Date]],BudgetSeasonality[MonthAdjustment],0))*SUMIFS(Budgets[Retail-Budget],Budgets[BudgetMonth],DaybyDay[[#This Row],[RowMonth]],Budgets[BudgetYear],DaybyDay[[#This Row],[RowYear]])</f>
        <v>1930.7774738667561</v>
      </c>
      <c r="N903" s="75">
        <v>883.5</v>
      </c>
      <c r="O903" s="33">
        <f>SUMIFS(DaybyDay[Service-Budgets],DaybyDay[Date],"&gt;="&amp;$C$5,DaybyDay[RowYear],"&gt;="&amp;$C$4,DaybyDay[Date],"&lt;="&amp;DaybyDay[[#This Row],[Date]])</f>
        <v>0</v>
      </c>
      <c r="P903" s="33">
        <f>SUMIFS(DaybyDay[Retail-Budgets],DaybyDay[Date],"&gt;="&amp;$C$5,DaybyDay[RowYear],"&gt;="&amp;$C$4,DaybyDay[Date],"&lt;="&amp;DaybyDay[[#This Row],[Date]])</f>
        <v>0</v>
      </c>
      <c r="Q903" s="34">
        <f>SUMIFS(DaybyDay[Service-Actuals],DaybyDay[Date],"&gt;="&amp;$C$5,DaybyDay[RowYear],"&gt;="&amp;$C$4,DaybyDay[Date],"&lt;="&amp;DaybyDay[[#This Row],[Date]])</f>
        <v>0</v>
      </c>
      <c r="R903" s="34">
        <f>SUMIFS(DaybyDay[Retail-Actuals],DaybyDay[Date],"&gt;="&amp;$C$5,DaybyDay[RowYear],"&gt;="&amp;$C$4,DaybyDay[Date],"&lt;="&amp;DaybyDay[[#This Row],[Date]])</f>
        <v>0</v>
      </c>
      <c r="S903" s="35">
        <f>SUMIFS(DaybyDay[Service-LY],DaybyDay[Date],"&gt;="&amp;$C$5,DaybyDay[RowYear],"&gt;="&amp;$C$4,DaybyDay[Date],"&lt;="&amp;DaybyDay[[#This Row],[Date]])</f>
        <v>0</v>
      </c>
      <c r="T903" s="35">
        <f>SUMIFS(DaybyDay[Retail-LY],DaybyDay[Date],"&gt;="&amp;$C$5,DaybyDay[RowYear],"&gt;="&amp;$C$4,DaybyDay[Date],"&lt;="&amp;DaybyDay[[#This Row],[Date]])</f>
        <v>0</v>
      </c>
      <c r="U903" s="32">
        <f>DaybyDay[[#This Row],[Serv-Bud-RU]]+DaybyDay[[#This Row],[Ret-Bud-RU]]</f>
        <v>0</v>
      </c>
      <c r="V903" s="32">
        <f>DaybyDay[[#This Row],[Serv-Act-RU]]+DaybyDay[[#This Row],[Ret-Act-RU]]</f>
        <v>0</v>
      </c>
      <c r="W903" s="36">
        <f>IF(DaybyDay[[#This Row],[_Space]],IFERROR(
((DaybyDay[[#This Row],[Actual-Rollup]]-DaybyDay[[#This Row],[Budget-Rollup]])/DaybyDay[[#This Row],[Budget-Rollup]]),0),"")</f>
        <v>0</v>
      </c>
      <c r="X903" t="b">
        <f>NOT(AND(ISBLANK(DaybyDay[[#This Row],[Appts]]),ISBLANK(DaybyDay[[#This Row],[Service-Actuals]]),ISBLANK(DaybyDay[[#This Row],[Retail-Actuals]])))</f>
        <v>1</v>
      </c>
      <c r="Y903" s="36">
        <f>IF(DaybyDay[[#This Row],[_Space]],IFERROR(
((DaybyDay[[#This Row],[Actual-Rollup]]-DaybyDay[[#This Row],[LY-Rollup]])/DaybyDay[[#This Row],[LY-Rollup]]),0),"")</f>
        <v>0</v>
      </c>
      <c r="Z903"/>
      <c r="AA903" s="37" t="e">
        <f>IF(DaybyDay[[#This Row],[_Space]],DaybyDay[[#This Row],[Ret-Act-RU]]/DaybyDay[[#This Row],[Serv-Act-RU]],"")</f>
        <v>#DIV/0!</v>
      </c>
      <c r="AB903" s="50" t="e">
        <f>IF(DaybyDay[[#This Row],[_Space]],DaybyDay[[#This Row],[RETPEN-Act]]/DaybyDay[[#This Row],[RETPEN-Bud]],"")</f>
        <v>#DIV/0!</v>
      </c>
      <c r="AC903" s="37" t="e">
        <f>IF(DaybyDay[[#This Row],[_Space]],DaybyDay[[#This Row],[Ret-Bud-RU]]/DaybyDay[[#This Row],[Serv-Bud-RU]],"")</f>
        <v>#DIV/0!</v>
      </c>
      <c r="AD903" s="37" t="e">
        <f>IF(DaybyDay[[#This Row],[_Space]],DaybyDay[[#This Row],[Ret-LY-RU]]/DaybyDay[[#This Row],[Serv-LY-RU]],"")</f>
        <v>#DIV/0!</v>
      </c>
      <c r="AE903" s="30">
        <f>WEEKDAY(DaybyDay[[#This Row],[LY-Date]])</f>
        <v>1</v>
      </c>
      <c r="AF903" s="38">
        <f>$E$2+_xlfn.DAYS(DaybyDay[[#This Row],[Date]],minDate)</f>
        <v>43268</v>
      </c>
      <c r="AG903" s="39" cm="1">
        <f t="array" ref="AG903">IFERROR(INDEX(DaybyDay[],DaybyDay[[#This Row],[FORM_MATCH_HELPER]],8),"")</f>
        <v>33</v>
      </c>
      <c r="AH903" s="39" cm="1">
        <f t="array" ref="AH903">IFERROR(INDEX(DaybyDay[],DaybyDay[[#This Row],[FORM_MATCH_HELPER]],10),"")</f>
        <v>6220.8</v>
      </c>
      <c r="AI903" s="39" cm="1">
        <f t="array" ref="AI903">IFERROR(INDEX(DaybyDay[],DaybyDay[[#This Row],[FORM_MATCH_HELPER]],12),"")</f>
        <v>118.5</v>
      </c>
      <c r="AJ903" s="32">
        <f>IFERROR(DaybyDay[[#This Row],[Serv-LY-RU]]+DaybyDay[[#This Row],[Ret-LY-RU]],"")</f>
        <v>0</v>
      </c>
      <c r="AK9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3" s="77"/>
      <c r="AM903" s="40" t="str">
        <f>IF(DaybyDay[[#This Row],[Admin Hours]]&gt;0,DaybyDay[[#This Row],[Admin Hours]]*$AM$2+$AM$3,"")</f>
        <v/>
      </c>
      <c r="AN903" s="40">
        <f>SUMIFS(DaybyDay[Est-Admin-Payroll],DaybyDay[Date],"&gt;="&amp;$C$5,DaybyDay[RowYear],"&gt;="&amp;$C$4,DaybyDay[Date],"&lt;="&amp;DaybyDay[[#This Row],[Date]])</f>
        <v>0</v>
      </c>
      <c r="AO903" s="41" t="str">
        <f>IF(AND(DaybyDay[[#This Row],[_Space]],ISNUMBER(DaybyDay[[#This Row],[Admin Hours]])),DaybyDay[[#This Row],[Est-Admin-Payroll]]/(DaybyDay[[#This Row],[Service-Actuals]]+DaybyDay[[#This Row],[Retail-Actuals]]),"")</f>
        <v/>
      </c>
      <c r="AP903" s="41" t="e">
        <f>DaybyDay[[#This Row],[Estimated-Payroll-Rollup]]/DaybyDay[[#This Row],[Simple-Forecast]]</f>
        <v>#DIV/0!</v>
      </c>
      <c r="AQ9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3" s="77"/>
      <c r="AS903" s="40" t="str">
        <f>IF(DaybyDay[[#This Row],[Retail Hours]]&gt;0,DaybyDay[[#This Row],[Retail Hours]]*$AS$2,"")</f>
        <v/>
      </c>
      <c r="AT903" s="40">
        <f>SUMIFS(DaybyDay[Est-Retail-Payroll],DaybyDay[Date],"&gt;="&amp;$C$5,DaybyDay[RowYear],"&gt;="&amp;$C$4,DaybyDay[Date],"&lt;="&amp;DaybyDay[[#This Row],[Date]])</f>
        <v>0</v>
      </c>
      <c r="AU903" s="82" t="str">
        <f>IF(AND(DaybyDay[[#This Row],[_Space]],ISNUMBER(DaybyDay[[#This Row],[Retail Hours]])),DaybyDay[[#This Row],[Est-Retail-Payroll]]/(DaybyDay[[#This Row],[Retail-Actuals]]),"")</f>
        <v/>
      </c>
      <c r="AV903" s="82" t="e">
        <f>DaybyDay[[#This Row],[Est-Retail-PayrollRU]]/DaybyDay[[#This Row],[Simple-Forecast-Retail]]</f>
        <v>#DIV/0!</v>
      </c>
      <c r="AW903" s="8"/>
      <c r="AX903" s="49"/>
      <c r="AY903" s="48"/>
      <c r="AZ903" s="47"/>
      <c r="BA903" s="47"/>
      <c r="BB903" s="47"/>
      <c r="BC903" s="47"/>
      <c r="BD903" s="47"/>
    </row>
    <row r="904" spans="3:56" hidden="1" x14ac:dyDescent="0.25">
      <c r="C904" s="26" t="str">
        <f>Tools!$C$1</f>
        <v>Example</v>
      </c>
      <c r="D904" s="27" t="s">
        <v>73</v>
      </c>
      <c r="E904" s="28">
        <v>2019</v>
      </c>
      <c r="F904" s="28">
        <f>MATCH(DaybyDay[[#This Row],[RowMonth]],Table3[SummaryMonth],0)</f>
        <v>6</v>
      </c>
      <c r="G904" s="29">
        <f>MATCH(DaybyDay[[#This Row],[LY-Date]],DaybyDay[Date],0)</f>
        <v>534</v>
      </c>
      <c r="H904" s="30">
        <f>WEEKDAY(DaybyDay[[#This Row],[Date]])</f>
        <v>2</v>
      </c>
      <c r="I904" s="31">
        <v>43633</v>
      </c>
      <c r="J904" s="74">
        <v>13</v>
      </c>
      <c r="K904" s="32">
        <f>SUMIFS(BudgetSeasonality[365 Seasonality],BudgetSeasonality[MonthAdjustment],DaybyDay[[#This Row],[Date]])*SUMIFS(Budgets[Service-Budget],Budgets[BudgetMonth],DaybyDay[[#This Row],[RowMonth]],Budgets[BudgetYear],DaybyDay[[#This Row],[RowYear]])</f>
        <v>4001.6663878058735</v>
      </c>
      <c r="L904" s="75">
        <v>2843.4</v>
      </c>
      <c r="M904" s="32">
        <f>INDEX(BudgetSeasonality[365 Seasonality],MATCH(DaybyDay[[#This Row],[Date]],BudgetSeasonality[MonthAdjustment],0))*SUMIFS(Budgets[Retail-Budget],Budgets[BudgetMonth],DaybyDay[[#This Row],[RowMonth]],Budgets[BudgetYear],DaybyDay[[#This Row],[RowYear]])</f>
        <v>1151.0925744880381</v>
      </c>
      <c r="N904" s="75">
        <v>-39</v>
      </c>
      <c r="O904" s="33">
        <f>SUMIFS(DaybyDay[Service-Budgets],DaybyDay[Date],"&gt;="&amp;$C$5,DaybyDay[RowYear],"&gt;="&amp;$C$4,DaybyDay[Date],"&lt;="&amp;DaybyDay[[#This Row],[Date]])</f>
        <v>0</v>
      </c>
      <c r="P904" s="33">
        <f>SUMIFS(DaybyDay[Retail-Budgets],DaybyDay[Date],"&gt;="&amp;$C$5,DaybyDay[RowYear],"&gt;="&amp;$C$4,DaybyDay[Date],"&lt;="&amp;DaybyDay[[#This Row],[Date]])</f>
        <v>0</v>
      </c>
      <c r="Q904" s="34">
        <f>SUMIFS(DaybyDay[Service-Actuals],DaybyDay[Date],"&gt;="&amp;$C$5,DaybyDay[RowYear],"&gt;="&amp;$C$4,DaybyDay[Date],"&lt;="&amp;DaybyDay[[#This Row],[Date]])</f>
        <v>0</v>
      </c>
      <c r="R904" s="34">
        <f>SUMIFS(DaybyDay[Retail-Actuals],DaybyDay[Date],"&gt;="&amp;$C$5,DaybyDay[RowYear],"&gt;="&amp;$C$4,DaybyDay[Date],"&lt;="&amp;DaybyDay[[#This Row],[Date]])</f>
        <v>0</v>
      </c>
      <c r="S904" s="35">
        <f>SUMIFS(DaybyDay[Service-LY],DaybyDay[Date],"&gt;="&amp;$C$5,DaybyDay[RowYear],"&gt;="&amp;$C$4,DaybyDay[Date],"&lt;="&amp;DaybyDay[[#This Row],[Date]])</f>
        <v>0</v>
      </c>
      <c r="T904" s="35">
        <f>SUMIFS(DaybyDay[Retail-LY],DaybyDay[Date],"&gt;="&amp;$C$5,DaybyDay[RowYear],"&gt;="&amp;$C$4,DaybyDay[Date],"&lt;="&amp;DaybyDay[[#This Row],[Date]])</f>
        <v>0</v>
      </c>
      <c r="U904" s="32">
        <f>DaybyDay[[#This Row],[Serv-Bud-RU]]+DaybyDay[[#This Row],[Ret-Bud-RU]]</f>
        <v>0</v>
      </c>
      <c r="V904" s="32">
        <f>DaybyDay[[#This Row],[Serv-Act-RU]]+DaybyDay[[#This Row],[Ret-Act-RU]]</f>
        <v>0</v>
      </c>
      <c r="W904" s="36">
        <f>IF(DaybyDay[[#This Row],[_Space]],IFERROR(
((DaybyDay[[#This Row],[Actual-Rollup]]-DaybyDay[[#This Row],[Budget-Rollup]])/DaybyDay[[#This Row],[Budget-Rollup]]),0),"")</f>
        <v>0</v>
      </c>
      <c r="X904" t="b">
        <f>NOT(AND(ISBLANK(DaybyDay[[#This Row],[Appts]]),ISBLANK(DaybyDay[[#This Row],[Service-Actuals]]),ISBLANK(DaybyDay[[#This Row],[Retail-Actuals]])))</f>
        <v>1</v>
      </c>
      <c r="Y904" s="36">
        <f>IF(DaybyDay[[#This Row],[_Space]],IFERROR(
((DaybyDay[[#This Row],[Actual-Rollup]]-DaybyDay[[#This Row],[LY-Rollup]])/DaybyDay[[#This Row],[LY-Rollup]]),0),"")</f>
        <v>0</v>
      </c>
      <c r="Z904"/>
      <c r="AA904" s="37" t="e">
        <f>IF(DaybyDay[[#This Row],[_Space]],DaybyDay[[#This Row],[Ret-Act-RU]]/DaybyDay[[#This Row],[Serv-Act-RU]],"")</f>
        <v>#DIV/0!</v>
      </c>
      <c r="AB904" s="50" t="e">
        <f>IF(DaybyDay[[#This Row],[_Space]],DaybyDay[[#This Row],[RETPEN-Act]]/DaybyDay[[#This Row],[RETPEN-Bud]],"")</f>
        <v>#DIV/0!</v>
      </c>
      <c r="AC904" s="37" t="e">
        <f>IF(DaybyDay[[#This Row],[_Space]],DaybyDay[[#This Row],[Ret-Bud-RU]]/DaybyDay[[#This Row],[Serv-Bud-RU]],"")</f>
        <v>#DIV/0!</v>
      </c>
      <c r="AD904" s="37" t="e">
        <f>IF(DaybyDay[[#This Row],[_Space]],DaybyDay[[#This Row],[Ret-LY-RU]]/DaybyDay[[#This Row],[Serv-LY-RU]],"")</f>
        <v>#DIV/0!</v>
      </c>
      <c r="AE904" s="30">
        <f>WEEKDAY(DaybyDay[[#This Row],[LY-Date]])</f>
        <v>2</v>
      </c>
      <c r="AF904" s="38">
        <f>$E$2+_xlfn.DAYS(DaybyDay[[#This Row],[Date]],minDate)</f>
        <v>43269</v>
      </c>
      <c r="AG904" s="39" cm="1">
        <f t="array" ref="AG904">IFERROR(INDEX(DaybyDay[],DaybyDay[[#This Row],[FORM_MATCH_HELPER]],8),"")</f>
        <v>7</v>
      </c>
      <c r="AH904" s="39" cm="1">
        <f t="array" ref="AH904">IFERROR(INDEX(DaybyDay[],DaybyDay[[#This Row],[FORM_MATCH_HELPER]],10),"")</f>
        <v>1345.5</v>
      </c>
      <c r="AI904" s="39" cm="1">
        <f t="array" ref="AI904">IFERROR(INDEX(DaybyDay[],DaybyDay[[#This Row],[FORM_MATCH_HELPER]],12),"")</f>
        <v>1348.5</v>
      </c>
      <c r="AJ904" s="32">
        <f>IFERROR(DaybyDay[[#This Row],[Serv-LY-RU]]+DaybyDay[[#This Row],[Ret-LY-RU]],"")</f>
        <v>0</v>
      </c>
      <c r="AK9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4" s="77"/>
      <c r="AM904" s="40" t="str">
        <f>IF(DaybyDay[[#This Row],[Admin Hours]]&gt;0,DaybyDay[[#This Row],[Admin Hours]]*$AM$2+$AM$3,"")</f>
        <v/>
      </c>
      <c r="AN904" s="40">
        <f>SUMIFS(DaybyDay[Est-Admin-Payroll],DaybyDay[Date],"&gt;="&amp;$C$5,DaybyDay[RowYear],"&gt;="&amp;$C$4,DaybyDay[Date],"&lt;="&amp;DaybyDay[[#This Row],[Date]])</f>
        <v>0</v>
      </c>
      <c r="AO904" s="41" t="str">
        <f>IF(AND(DaybyDay[[#This Row],[_Space]],ISNUMBER(DaybyDay[[#This Row],[Admin Hours]])),DaybyDay[[#This Row],[Est-Admin-Payroll]]/(DaybyDay[[#This Row],[Service-Actuals]]+DaybyDay[[#This Row],[Retail-Actuals]]),"")</f>
        <v/>
      </c>
      <c r="AP904" s="41" t="e">
        <f>DaybyDay[[#This Row],[Estimated-Payroll-Rollup]]/DaybyDay[[#This Row],[Simple-Forecast]]</f>
        <v>#DIV/0!</v>
      </c>
      <c r="AQ9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4" s="77"/>
      <c r="AS904" s="40" t="str">
        <f>IF(DaybyDay[[#This Row],[Retail Hours]]&gt;0,DaybyDay[[#This Row],[Retail Hours]]*$AS$2,"")</f>
        <v/>
      </c>
      <c r="AT904" s="40">
        <f>SUMIFS(DaybyDay[Est-Retail-Payroll],DaybyDay[Date],"&gt;="&amp;$C$5,DaybyDay[RowYear],"&gt;="&amp;$C$4,DaybyDay[Date],"&lt;="&amp;DaybyDay[[#This Row],[Date]])</f>
        <v>0</v>
      </c>
      <c r="AU904" s="82" t="str">
        <f>IF(AND(DaybyDay[[#This Row],[_Space]],ISNUMBER(DaybyDay[[#This Row],[Retail Hours]])),DaybyDay[[#This Row],[Est-Retail-Payroll]]/(DaybyDay[[#This Row],[Retail-Actuals]]),"")</f>
        <v/>
      </c>
      <c r="AV904" s="82" t="e">
        <f>DaybyDay[[#This Row],[Est-Retail-PayrollRU]]/DaybyDay[[#This Row],[Simple-Forecast-Retail]]</f>
        <v>#DIV/0!</v>
      </c>
      <c r="AW904" s="8"/>
      <c r="AX904" s="49"/>
      <c r="AY904" s="48"/>
      <c r="AZ904" s="47"/>
      <c r="BA904" s="47"/>
      <c r="BB904" s="47"/>
      <c r="BC904" s="47"/>
      <c r="BD904" s="47"/>
    </row>
    <row r="905" spans="3:56" hidden="1" x14ac:dyDescent="0.25">
      <c r="C905" s="26" t="str">
        <f>Tools!$C$1</f>
        <v>Example</v>
      </c>
      <c r="D905" s="27" t="s">
        <v>73</v>
      </c>
      <c r="E905" s="28">
        <v>2019</v>
      </c>
      <c r="F905" s="28">
        <f>MATCH(DaybyDay[[#This Row],[RowMonth]],Table3[SummaryMonth],0)</f>
        <v>6</v>
      </c>
      <c r="G905" s="29">
        <f>MATCH(DaybyDay[[#This Row],[LY-Date]],DaybyDay[Date],0)</f>
        <v>535</v>
      </c>
      <c r="H905" s="30">
        <f>WEEKDAY(DaybyDay[[#This Row],[Date]])</f>
        <v>3</v>
      </c>
      <c r="I905" s="31">
        <v>43634</v>
      </c>
      <c r="J905" s="74">
        <v>10</v>
      </c>
      <c r="K905" s="32">
        <f>SUMIFS(BudgetSeasonality[365 Seasonality],BudgetSeasonality[MonthAdjustment],DaybyDay[[#This Row],[Date]])*SUMIFS(Budgets[Service-Budget],Budgets[BudgetMonth],DaybyDay[[#This Row],[RowMonth]],Budgets[BudgetYear],DaybyDay[[#This Row],[RowYear]])</f>
        <v>4104.3164122169292</v>
      </c>
      <c r="L905" s="75">
        <v>2074.3999999999996</v>
      </c>
      <c r="M905" s="32">
        <f>INDEX(BudgetSeasonality[365 Seasonality],MATCH(DaybyDay[[#This Row],[Date]],BudgetSeasonality[MonthAdjustment],0))*SUMIFS(Budgets[Retail-Budget],Budgets[BudgetMonth],DaybyDay[[#This Row],[RowMonth]],Budgets[BudgetYear],DaybyDay[[#This Row],[RowYear]])</f>
        <v>1180.620193589582</v>
      </c>
      <c r="N905" s="75">
        <v>2209.25</v>
      </c>
      <c r="O905" s="33">
        <f>SUMIFS(DaybyDay[Service-Budgets],DaybyDay[Date],"&gt;="&amp;$C$5,DaybyDay[RowYear],"&gt;="&amp;$C$4,DaybyDay[Date],"&lt;="&amp;DaybyDay[[#This Row],[Date]])</f>
        <v>0</v>
      </c>
      <c r="P905" s="33">
        <f>SUMIFS(DaybyDay[Retail-Budgets],DaybyDay[Date],"&gt;="&amp;$C$5,DaybyDay[RowYear],"&gt;="&amp;$C$4,DaybyDay[Date],"&lt;="&amp;DaybyDay[[#This Row],[Date]])</f>
        <v>0</v>
      </c>
      <c r="Q905" s="34">
        <f>SUMIFS(DaybyDay[Service-Actuals],DaybyDay[Date],"&gt;="&amp;$C$5,DaybyDay[RowYear],"&gt;="&amp;$C$4,DaybyDay[Date],"&lt;="&amp;DaybyDay[[#This Row],[Date]])</f>
        <v>0</v>
      </c>
      <c r="R905" s="34">
        <f>SUMIFS(DaybyDay[Retail-Actuals],DaybyDay[Date],"&gt;="&amp;$C$5,DaybyDay[RowYear],"&gt;="&amp;$C$4,DaybyDay[Date],"&lt;="&amp;DaybyDay[[#This Row],[Date]])</f>
        <v>0</v>
      </c>
      <c r="S905" s="35">
        <f>SUMIFS(DaybyDay[Service-LY],DaybyDay[Date],"&gt;="&amp;$C$5,DaybyDay[RowYear],"&gt;="&amp;$C$4,DaybyDay[Date],"&lt;="&amp;DaybyDay[[#This Row],[Date]])</f>
        <v>0</v>
      </c>
      <c r="T905" s="35">
        <f>SUMIFS(DaybyDay[Retail-LY],DaybyDay[Date],"&gt;="&amp;$C$5,DaybyDay[RowYear],"&gt;="&amp;$C$4,DaybyDay[Date],"&lt;="&amp;DaybyDay[[#This Row],[Date]])</f>
        <v>0</v>
      </c>
      <c r="U905" s="32">
        <f>DaybyDay[[#This Row],[Serv-Bud-RU]]+DaybyDay[[#This Row],[Ret-Bud-RU]]</f>
        <v>0</v>
      </c>
      <c r="V905" s="32">
        <f>DaybyDay[[#This Row],[Serv-Act-RU]]+DaybyDay[[#This Row],[Ret-Act-RU]]</f>
        <v>0</v>
      </c>
      <c r="W905" s="36">
        <f>IF(DaybyDay[[#This Row],[_Space]],IFERROR(
((DaybyDay[[#This Row],[Actual-Rollup]]-DaybyDay[[#This Row],[Budget-Rollup]])/DaybyDay[[#This Row],[Budget-Rollup]]),0),"")</f>
        <v>0</v>
      </c>
      <c r="X905" t="b">
        <f>NOT(AND(ISBLANK(DaybyDay[[#This Row],[Appts]]),ISBLANK(DaybyDay[[#This Row],[Service-Actuals]]),ISBLANK(DaybyDay[[#This Row],[Retail-Actuals]])))</f>
        <v>1</v>
      </c>
      <c r="Y905" s="36">
        <f>IF(DaybyDay[[#This Row],[_Space]],IFERROR(
((DaybyDay[[#This Row],[Actual-Rollup]]-DaybyDay[[#This Row],[LY-Rollup]])/DaybyDay[[#This Row],[LY-Rollup]]),0),"")</f>
        <v>0</v>
      </c>
      <c r="Z905"/>
      <c r="AA905" s="37" t="e">
        <f>IF(DaybyDay[[#This Row],[_Space]],DaybyDay[[#This Row],[Ret-Act-RU]]/DaybyDay[[#This Row],[Serv-Act-RU]],"")</f>
        <v>#DIV/0!</v>
      </c>
      <c r="AB905" s="50" t="e">
        <f>IF(DaybyDay[[#This Row],[_Space]],DaybyDay[[#This Row],[RETPEN-Act]]/DaybyDay[[#This Row],[RETPEN-Bud]],"")</f>
        <v>#DIV/0!</v>
      </c>
      <c r="AC905" s="37" t="e">
        <f>IF(DaybyDay[[#This Row],[_Space]],DaybyDay[[#This Row],[Ret-Bud-RU]]/DaybyDay[[#This Row],[Serv-Bud-RU]],"")</f>
        <v>#DIV/0!</v>
      </c>
      <c r="AD905" s="37" t="e">
        <f>IF(DaybyDay[[#This Row],[_Space]],DaybyDay[[#This Row],[Ret-LY-RU]]/DaybyDay[[#This Row],[Serv-LY-RU]],"")</f>
        <v>#DIV/0!</v>
      </c>
      <c r="AE905" s="30">
        <f>WEEKDAY(DaybyDay[[#This Row],[LY-Date]])</f>
        <v>3</v>
      </c>
      <c r="AF905" s="38">
        <f>$E$2+_xlfn.DAYS(DaybyDay[[#This Row],[Date]],minDate)</f>
        <v>43270</v>
      </c>
      <c r="AG905" s="39" cm="1">
        <f t="array" ref="AG905">IFERROR(INDEX(DaybyDay[],DaybyDay[[#This Row],[FORM_MATCH_HELPER]],8),"")</f>
        <v>26</v>
      </c>
      <c r="AH905" s="39" cm="1">
        <f t="array" ref="AH905">IFERROR(INDEX(DaybyDay[],DaybyDay[[#This Row],[FORM_MATCH_HELPER]],10),"")</f>
        <v>4136</v>
      </c>
      <c r="AI905" s="39" cm="1">
        <f t="array" ref="AI905">IFERROR(INDEX(DaybyDay[],DaybyDay[[#This Row],[FORM_MATCH_HELPER]],12),"")</f>
        <v>863.75</v>
      </c>
      <c r="AJ905" s="32">
        <f>IFERROR(DaybyDay[[#This Row],[Serv-LY-RU]]+DaybyDay[[#This Row],[Ret-LY-RU]],"")</f>
        <v>0</v>
      </c>
      <c r="AK9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5" s="77"/>
      <c r="AM905" s="40" t="str">
        <f>IF(DaybyDay[[#This Row],[Admin Hours]]&gt;0,DaybyDay[[#This Row],[Admin Hours]]*$AM$2+$AM$3,"")</f>
        <v/>
      </c>
      <c r="AN905" s="40">
        <f>SUMIFS(DaybyDay[Est-Admin-Payroll],DaybyDay[Date],"&gt;="&amp;$C$5,DaybyDay[RowYear],"&gt;="&amp;$C$4,DaybyDay[Date],"&lt;="&amp;DaybyDay[[#This Row],[Date]])</f>
        <v>0</v>
      </c>
      <c r="AO905" s="41" t="str">
        <f>IF(AND(DaybyDay[[#This Row],[_Space]],ISNUMBER(DaybyDay[[#This Row],[Admin Hours]])),DaybyDay[[#This Row],[Est-Admin-Payroll]]/(DaybyDay[[#This Row],[Service-Actuals]]+DaybyDay[[#This Row],[Retail-Actuals]]),"")</f>
        <v/>
      </c>
      <c r="AP905" s="41" t="e">
        <f>DaybyDay[[#This Row],[Estimated-Payroll-Rollup]]/DaybyDay[[#This Row],[Simple-Forecast]]</f>
        <v>#DIV/0!</v>
      </c>
      <c r="AQ9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5" s="77"/>
      <c r="AS905" s="40" t="str">
        <f>IF(DaybyDay[[#This Row],[Retail Hours]]&gt;0,DaybyDay[[#This Row],[Retail Hours]]*$AS$2,"")</f>
        <v/>
      </c>
      <c r="AT905" s="40">
        <f>SUMIFS(DaybyDay[Est-Retail-Payroll],DaybyDay[Date],"&gt;="&amp;$C$5,DaybyDay[RowYear],"&gt;="&amp;$C$4,DaybyDay[Date],"&lt;="&amp;DaybyDay[[#This Row],[Date]])</f>
        <v>0</v>
      </c>
      <c r="AU905" s="82" t="str">
        <f>IF(AND(DaybyDay[[#This Row],[_Space]],ISNUMBER(DaybyDay[[#This Row],[Retail Hours]])),DaybyDay[[#This Row],[Est-Retail-Payroll]]/(DaybyDay[[#This Row],[Retail-Actuals]]),"")</f>
        <v/>
      </c>
      <c r="AV905" s="82" t="e">
        <f>DaybyDay[[#This Row],[Est-Retail-PayrollRU]]/DaybyDay[[#This Row],[Simple-Forecast-Retail]]</f>
        <v>#DIV/0!</v>
      </c>
      <c r="AW905" s="8"/>
      <c r="AX905" s="49"/>
      <c r="AY905" s="48"/>
      <c r="AZ905" s="47"/>
      <c r="BA905" s="47"/>
      <c r="BB905" s="47"/>
      <c r="BC905" s="47"/>
      <c r="BD905" s="47"/>
    </row>
    <row r="906" spans="3:56" hidden="1" x14ac:dyDescent="0.25">
      <c r="C906" s="26" t="str">
        <f>Tools!$C$1</f>
        <v>Example</v>
      </c>
      <c r="D906" s="27" t="s">
        <v>73</v>
      </c>
      <c r="E906" s="28">
        <v>2019</v>
      </c>
      <c r="F906" s="28">
        <f>MATCH(DaybyDay[[#This Row],[RowMonth]],Table3[SummaryMonth],0)</f>
        <v>6</v>
      </c>
      <c r="G906" s="29">
        <f>MATCH(DaybyDay[[#This Row],[LY-Date]],DaybyDay[Date],0)</f>
        <v>536</v>
      </c>
      <c r="H906" s="30">
        <f>WEEKDAY(DaybyDay[[#This Row],[Date]])</f>
        <v>4</v>
      </c>
      <c r="I906" s="31">
        <v>43635</v>
      </c>
      <c r="J906" s="74">
        <v>9</v>
      </c>
      <c r="K906" s="32">
        <f>SUMIFS(BudgetSeasonality[365 Seasonality],BudgetSeasonality[MonthAdjustment],DaybyDay[[#This Row],[Date]])*SUMIFS(Budgets[Service-Budget],Budgets[BudgetMonth],DaybyDay[[#This Row],[RowMonth]],Budgets[BudgetYear],DaybyDay[[#This Row],[RowYear]])</f>
        <v>4691.8861653339964</v>
      </c>
      <c r="L906" s="75">
        <v>2321.6</v>
      </c>
      <c r="M906" s="32">
        <f>INDEX(BudgetSeasonality[365 Seasonality],MATCH(DaybyDay[[#This Row],[Date]],BudgetSeasonality[MonthAdjustment],0))*SUMIFS(Budgets[Retail-Budget],Budgets[BudgetMonth],DaybyDay[[#This Row],[RowMonth]],Budgets[BudgetYear],DaybyDay[[#This Row],[RowYear]])</f>
        <v>1349.6365768312817</v>
      </c>
      <c r="N906" s="75">
        <v>762.9</v>
      </c>
      <c r="O906" s="33">
        <f>SUMIFS(DaybyDay[Service-Budgets],DaybyDay[Date],"&gt;="&amp;$C$5,DaybyDay[RowYear],"&gt;="&amp;$C$4,DaybyDay[Date],"&lt;="&amp;DaybyDay[[#This Row],[Date]])</f>
        <v>0</v>
      </c>
      <c r="P906" s="33">
        <f>SUMIFS(DaybyDay[Retail-Budgets],DaybyDay[Date],"&gt;="&amp;$C$5,DaybyDay[RowYear],"&gt;="&amp;$C$4,DaybyDay[Date],"&lt;="&amp;DaybyDay[[#This Row],[Date]])</f>
        <v>0</v>
      </c>
      <c r="Q906" s="34">
        <f>SUMIFS(DaybyDay[Service-Actuals],DaybyDay[Date],"&gt;="&amp;$C$5,DaybyDay[RowYear],"&gt;="&amp;$C$4,DaybyDay[Date],"&lt;="&amp;DaybyDay[[#This Row],[Date]])</f>
        <v>0</v>
      </c>
      <c r="R906" s="34">
        <f>SUMIFS(DaybyDay[Retail-Actuals],DaybyDay[Date],"&gt;="&amp;$C$5,DaybyDay[RowYear],"&gt;="&amp;$C$4,DaybyDay[Date],"&lt;="&amp;DaybyDay[[#This Row],[Date]])</f>
        <v>0</v>
      </c>
      <c r="S906" s="35">
        <f>SUMIFS(DaybyDay[Service-LY],DaybyDay[Date],"&gt;="&amp;$C$5,DaybyDay[RowYear],"&gt;="&amp;$C$4,DaybyDay[Date],"&lt;="&amp;DaybyDay[[#This Row],[Date]])</f>
        <v>0</v>
      </c>
      <c r="T906" s="35">
        <f>SUMIFS(DaybyDay[Retail-LY],DaybyDay[Date],"&gt;="&amp;$C$5,DaybyDay[RowYear],"&gt;="&amp;$C$4,DaybyDay[Date],"&lt;="&amp;DaybyDay[[#This Row],[Date]])</f>
        <v>0</v>
      </c>
      <c r="U906" s="32">
        <f>DaybyDay[[#This Row],[Serv-Bud-RU]]+DaybyDay[[#This Row],[Ret-Bud-RU]]</f>
        <v>0</v>
      </c>
      <c r="V906" s="32">
        <f>DaybyDay[[#This Row],[Serv-Act-RU]]+DaybyDay[[#This Row],[Ret-Act-RU]]</f>
        <v>0</v>
      </c>
      <c r="W906" s="36">
        <f>IF(DaybyDay[[#This Row],[_Space]],IFERROR(
((DaybyDay[[#This Row],[Actual-Rollup]]-DaybyDay[[#This Row],[Budget-Rollup]])/DaybyDay[[#This Row],[Budget-Rollup]]),0),"")</f>
        <v>0</v>
      </c>
      <c r="X906" t="b">
        <f>NOT(AND(ISBLANK(DaybyDay[[#This Row],[Appts]]),ISBLANK(DaybyDay[[#This Row],[Service-Actuals]]),ISBLANK(DaybyDay[[#This Row],[Retail-Actuals]])))</f>
        <v>1</v>
      </c>
      <c r="Y906" s="36">
        <f>IF(DaybyDay[[#This Row],[_Space]],IFERROR(
((DaybyDay[[#This Row],[Actual-Rollup]]-DaybyDay[[#This Row],[LY-Rollup]])/DaybyDay[[#This Row],[LY-Rollup]]),0),"")</f>
        <v>0</v>
      </c>
      <c r="Z906"/>
      <c r="AA906" s="37" t="e">
        <f>IF(DaybyDay[[#This Row],[_Space]],DaybyDay[[#This Row],[Ret-Act-RU]]/DaybyDay[[#This Row],[Serv-Act-RU]],"")</f>
        <v>#DIV/0!</v>
      </c>
      <c r="AB906" s="50" t="e">
        <f>IF(DaybyDay[[#This Row],[_Space]],DaybyDay[[#This Row],[RETPEN-Act]]/DaybyDay[[#This Row],[RETPEN-Bud]],"")</f>
        <v>#DIV/0!</v>
      </c>
      <c r="AC906" s="37" t="e">
        <f>IF(DaybyDay[[#This Row],[_Space]],DaybyDay[[#This Row],[Ret-Bud-RU]]/DaybyDay[[#This Row],[Serv-Bud-RU]],"")</f>
        <v>#DIV/0!</v>
      </c>
      <c r="AD906" s="37" t="e">
        <f>IF(DaybyDay[[#This Row],[_Space]],DaybyDay[[#This Row],[Ret-LY-RU]]/DaybyDay[[#This Row],[Serv-LY-RU]],"")</f>
        <v>#DIV/0!</v>
      </c>
      <c r="AE906" s="30">
        <f>WEEKDAY(DaybyDay[[#This Row],[LY-Date]])</f>
        <v>4</v>
      </c>
      <c r="AF906" s="38">
        <f>$E$2+_xlfn.DAYS(DaybyDay[[#This Row],[Date]],minDate)</f>
        <v>43271</v>
      </c>
      <c r="AG906" s="39" cm="1">
        <f t="array" ref="AG906">IFERROR(INDEX(DaybyDay[],DaybyDay[[#This Row],[FORM_MATCH_HELPER]],8),"")</f>
        <v>14</v>
      </c>
      <c r="AH906" s="39" cm="1">
        <f t="array" ref="AH906">IFERROR(INDEX(DaybyDay[],DaybyDay[[#This Row],[FORM_MATCH_HELPER]],10),"")</f>
        <v>2189.9</v>
      </c>
      <c r="AI906" s="39" cm="1">
        <f t="array" ref="AI906">IFERROR(INDEX(DaybyDay[],DaybyDay[[#This Row],[FORM_MATCH_HELPER]],12),"")</f>
        <v>1291</v>
      </c>
      <c r="AJ906" s="32">
        <f>IFERROR(DaybyDay[[#This Row],[Serv-LY-RU]]+DaybyDay[[#This Row],[Ret-LY-RU]],"")</f>
        <v>0</v>
      </c>
      <c r="AK9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6" s="77"/>
      <c r="AM906" s="40" t="str">
        <f>IF(DaybyDay[[#This Row],[Admin Hours]]&gt;0,DaybyDay[[#This Row],[Admin Hours]]*$AM$2+$AM$3,"")</f>
        <v/>
      </c>
      <c r="AN906" s="40">
        <f>SUMIFS(DaybyDay[Est-Admin-Payroll],DaybyDay[Date],"&gt;="&amp;$C$5,DaybyDay[RowYear],"&gt;="&amp;$C$4,DaybyDay[Date],"&lt;="&amp;DaybyDay[[#This Row],[Date]])</f>
        <v>0</v>
      </c>
      <c r="AO906" s="41" t="str">
        <f>IF(AND(DaybyDay[[#This Row],[_Space]],ISNUMBER(DaybyDay[[#This Row],[Admin Hours]])),DaybyDay[[#This Row],[Est-Admin-Payroll]]/(DaybyDay[[#This Row],[Service-Actuals]]+DaybyDay[[#This Row],[Retail-Actuals]]),"")</f>
        <v/>
      </c>
      <c r="AP906" s="41" t="e">
        <f>DaybyDay[[#This Row],[Estimated-Payroll-Rollup]]/DaybyDay[[#This Row],[Simple-Forecast]]</f>
        <v>#DIV/0!</v>
      </c>
      <c r="AQ9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6" s="77"/>
      <c r="AS906" s="40" t="str">
        <f>IF(DaybyDay[[#This Row],[Retail Hours]]&gt;0,DaybyDay[[#This Row],[Retail Hours]]*$AS$2,"")</f>
        <v/>
      </c>
      <c r="AT906" s="40">
        <f>SUMIFS(DaybyDay[Est-Retail-Payroll],DaybyDay[Date],"&gt;="&amp;$C$5,DaybyDay[RowYear],"&gt;="&amp;$C$4,DaybyDay[Date],"&lt;="&amp;DaybyDay[[#This Row],[Date]])</f>
        <v>0</v>
      </c>
      <c r="AU906" s="82" t="str">
        <f>IF(AND(DaybyDay[[#This Row],[_Space]],ISNUMBER(DaybyDay[[#This Row],[Retail Hours]])),DaybyDay[[#This Row],[Est-Retail-Payroll]]/(DaybyDay[[#This Row],[Retail-Actuals]]),"")</f>
        <v/>
      </c>
      <c r="AV906" s="82" t="e">
        <f>DaybyDay[[#This Row],[Est-Retail-PayrollRU]]/DaybyDay[[#This Row],[Simple-Forecast-Retail]]</f>
        <v>#DIV/0!</v>
      </c>
      <c r="AW906" s="8"/>
      <c r="AX906" s="49"/>
      <c r="AY906" s="48"/>
      <c r="AZ906" s="47"/>
      <c r="BA906" s="47"/>
      <c r="BB906" s="47"/>
      <c r="BC906" s="47"/>
      <c r="BD906" s="47"/>
    </row>
    <row r="907" spans="3:56" hidden="1" x14ac:dyDescent="0.25">
      <c r="C907" s="26" t="str">
        <f>Tools!$C$1</f>
        <v>Example</v>
      </c>
      <c r="D907" s="27" t="s">
        <v>73</v>
      </c>
      <c r="E907" s="28">
        <v>2019</v>
      </c>
      <c r="F907" s="28">
        <f>MATCH(DaybyDay[[#This Row],[RowMonth]],Table3[SummaryMonth],0)</f>
        <v>6</v>
      </c>
      <c r="G907" s="29">
        <f>MATCH(DaybyDay[[#This Row],[LY-Date]],DaybyDay[Date],0)</f>
        <v>537</v>
      </c>
      <c r="H907" s="30">
        <f>WEEKDAY(DaybyDay[[#This Row],[Date]])</f>
        <v>5</v>
      </c>
      <c r="I907" s="31">
        <v>43636</v>
      </c>
      <c r="J907" s="74">
        <v>23</v>
      </c>
      <c r="K907" s="32">
        <f>SUMIFS(BudgetSeasonality[365 Seasonality],BudgetSeasonality[MonthAdjustment],DaybyDay[[#This Row],[Date]])*SUMIFS(Budgets[Service-Budget],Budgets[BudgetMonth],DaybyDay[[#This Row],[RowMonth]],Budgets[BudgetYear],DaybyDay[[#This Row],[RowYear]])</f>
        <v>4767.2330040219995</v>
      </c>
      <c r="L907" s="75">
        <v>4270.7</v>
      </c>
      <c r="M907" s="32">
        <f>INDEX(BudgetSeasonality[365 Seasonality],MATCH(DaybyDay[[#This Row],[Date]],BudgetSeasonality[MonthAdjustment],0))*SUMIFS(Budgets[Retail-Budget],Budgets[BudgetMonth],DaybyDay[[#This Row],[RowMonth]],Budgets[BudgetYear],DaybyDay[[#This Row],[RowYear]])</f>
        <v>1371.3103442370807</v>
      </c>
      <c r="N907" s="75">
        <v>277.25</v>
      </c>
      <c r="O907" s="33">
        <f>SUMIFS(DaybyDay[Service-Budgets],DaybyDay[Date],"&gt;="&amp;$C$5,DaybyDay[RowYear],"&gt;="&amp;$C$4,DaybyDay[Date],"&lt;="&amp;DaybyDay[[#This Row],[Date]])</f>
        <v>0</v>
      </c>
      <c r="P907" s="33">
        <f>SUMIFS(DaybyDay[Retail-Budgets],DaybyDay[Date],"&gt;="&amp;$C$5,DaybyDay[RowYear],"&gt;="&amp;$C$4,DaybyDay[Date],"&lt;="&amp;DaybyDay[[#This Row],[Date]])</f>
        <v>0</v>
      </c>
      <c r="Q907" s="34">
        <f>SUMIFS(DaybyDay[Service-Actuals],DaybyDay[Date],"&gt;="&amp;$C$5,DaybyDay[RowYear],"&gt;="&amp;$C$4,DaybyDay[Date],"&lt;="&amp;DaybyDay[[#This Row],[Date]])</f>
        <v>0</v>
      </c>
      <c r="R907" s="34">
        <f>SUMIFS(DaybyDay[Retail-Actuals],DaybyDay[Date],"&gt;="&amp;$C$5,DaybyDay[RowYear],"&gt;="&amp;$C$4,DaybyDay[Date],"&lt;="&amp;DaybyDay[[#This Row],[Date]])</f>
        <v>0</v>
      </c>
      <c r="S907" s="35">
        <f>SUMIFS(DaybyDay[Service-LY],DaybyDay[Date],"&gt;="&amp;$C$5,DaybyDay[RowYear],"&gt;="&amp;$C$4,DaybyDay[Date],"&lt;="&amp;DaybyDay[[#This Row],[Date]])</f>
        <v>0</v>
      </c>
      <c r="T907" s="35">
        <f>SUMIFS(DaybyDay[Retail-LY],DaybyDay[Date],"&gt;="&amp;$C$5,DaybyDay[RowYear],"&gt;="&amp;$C$4,DaybyDay[Date],"&lt;="&amp;DaybyDay[[#This Row],[Date]])</f>
        <v>0</v>
      </c>
      <c r="U907" s="32">
        <f>DaybyDay[[#This Row],[Serv-Bud-RU]]+DaybyDay[[#This Row],[Ret-Bud-RU]]</f>
        <v>0</v>
      </c>
      <c r="V907" s="32">
        <f>DaybyDay[[#This Row],[Serv-Act-RU]]+DaybyDay[[#This Row],[Ret-Act-RU]]</f>
        <v>0</v>
      </c>
      <c r="W907" s="36">
        <f>IF(DaybyDay[[#This Row],[_Space]],IFERROR(
((DaybyDay[[#This Row],[Actual-Rollup]]-DaybyDay[[#This Row],[Budget-Rollup]])/DaybyDay[[#This Row],[Budget-Rollup]]),0),"")</f>
        <v>0</v>
      </c>
      <c r="X907" t="b">
        <f>NOT(AND(ISBLANK(DaybyDay[[#This Row],[Appts]]),ISBLANK(DaybyDay[[#This Row],[Service-Actuals]]),ISBLANK(DaybyDay[[#This Row],[Retail-Actuals]])))</f>
        <v>1</v>
      </c>
      <c r="Y907" s="36">
        <f>IF(DaybyDay[[#This Row],[_Space]],IFERROR(
((DaybyDay[[#This Row],[Actual-Rollup]]-DaybyDay[[#This Row],[LY-Rollup]])/DaybyDay[[#This Row],[LY-Rollup]]),0),"")</f>
        <v>0</v>
      </c>
      <c r="Z907"/>
      <c r="AA907" s="37" t="e">
        <f>IF(DaybyDay[[#This Row],[_Space]],DaybyDay[[#This Row],[Ret-Act-RU]]/DaybyDay[[#This Row],[Serv-Act-RU]],"")</f>
        <v>#DIV/0!</v>
      </c>
      <c r="AB907" s="50" t="e">
        <f>IF(DaybyDay[[#This Row],[_Space]],DaybyDay[[#This Row],[RETPEN-Act]]/DaybyDay[[#This Row],[RETPEN-Bud]],"")</f>
        <v>#DIV/0!</v>
      </c>
      <c r="AC907" s="37" t="e">
        <f>IF(DaybyDay[[#This Row],[_Space]],DaybyDay[[#This Row],[Ret-Bud-RU]]/DaybyDay[[#This Row],[Serv-Bud-RU]],"")</f>
        <v>#DIV/0!</v>
      </c>
      <c r="AD907" s="37" t="e">
        <f>IF(DaybyDay[[#This Row],[_Space]],DaybyDay[[#This Row],[Ret-LY-RU]]/DaybyDay[[#This Row],[Serv-LY-RU]],"")</f>
        <v>#DIV/0!</v>
      </c>
      <c r="AE907" s="30">
        <f>WEEKDAY(DaybyDay[[#This Row],[LY-Date]])</f>
        <v>5</v>
      </c>
      <c r="AF907" s="38">
        <f>$E$2+_xlfn.DAYS(DaybyDay[[#This Row],[Date]],minDate)</f>
        <v>43272</v>
      </c>
      <c r="AG907" s="39" cm="1">
        <f t="array" ref="AG907">IFERROR(INDEX(DaybyDay[],DaybyDay[[#This Row],[FORM_MATCH_HELPER]],8),"")</f>
        <v>25</v>
      </c>
      <c r="AH907" s="39" cm="1">
        <f t="array" ref="AH907">IFERROR(INDEX(DaybyDay[],DaybyDay[[#This Row],[FORM_MATCH_HELPER]],10),"")</f>
        <v>4169.5</v>
      </c>
      <c r="AI907" s="39" cm="1">
        <f t="array" ref="AI907">IFERROR(INDEX(DaybyDay[],DaybyDay[[#This Row],[FORM_MATCH_HELPER]],12),"")</f>
        <v>1602.25</v>
      </c>
      <c r="AJ907" s="32">
        <f>IFERROR(DaybyDay[[#This Row],[Serv-LY-RU]]+DaybyDay[[#This Row],[Ret-LY-RU]],"")</f>
        <v>0</v>
      </c>
      <c r="AK9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7" s="77"/>
      <c r="AM907" s="40" t="str">
        <f>IF(DaybyDay[[#This Row],[Admin Hours]]&gt;0,DaybyDay[[#This Row],[Admin Hours]]*$AM$2+$AM$3,"")</f>
        <v/>
      </c>
      <c r="AN907" s="40">
        <f>SUMIFS(DaybyDay[Est-Admin-Payroll],DaybyDay[Date],"&gt;="&amp;$C$5,DaybyDay[RowYear],"&gt;="&amp;$C$4,DaybyDay[Date],"&lt;="&amp;DaybyDay[[#This Row],[Date]])</f>
        <v>0</v>
      </c>
      <c r="AO907" s="41" t="str">
        <f>IF(AND(DaybyDay[[#This Row],[_Space]],ISNUMBER(DaybyDay[[#This Row],[Admin Hours]])),DaybyDay[[#This Row],[Est-Admin-Payroll]]/(DaybyDay[[#This Row],[Service-Actuals]]+DaybyDay[[#This Row],[Retail-Actuals]]),"")</f>
        <v/>
      </c>
      <c r="AP907" s="41" t="e">
        <f>DaybyDay[[#This Row],[Estimated-Payroll-Rollup]]/DaybyDay[[#This Row],[Simple-Forecast]]</f>
        <v>#DIV/0!</v>
      </c>
      <c r="AQ9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7" s="77"/>
      <c r="AS907" s="40" t="str">
        <f>IF(DaybyDay[[#This Row],[Retail Hours]]&gt;0,DaybyDay[[#This Row],[Retail Hours]]*$AS$2,"")</f>
        <v/>
      </c>
      <c r="AT907" s="40">
        <f>SUMIFS(DaybyDay[Est-Retail-Payroll],DaybyDay[Date],"&gt;="&amp;$C$5,DaybyDay[RowYear],"&gt;="&amp;$C$4,DaybyDay[Date],"&lt;="&amp;DaybyDay[[#This Row],[Date]])</f>
        <v>0</v>
      </c>
      <c r="AU907" s="82" t="str">
        <f>IF(AND(DaybyDay[[#This Row],[_Space]],ISNUMBER(DaybyDay[[#This Row],[Retail Hours]])),DaybyDay[[#This Row],[Est-Retail-Payroll]]/(DaybyDay[[#This Row],[Retail-Actuals]]),"")</f>
        <v/>
      </c>
      <c r="AV907" s="82" t="e">
        <f>DaybyDay[[#This Row],[Est-Retail-PayrollRU]]/DaybyDay[[#This Row],[Simple-Forecast-Retail]]</f>
        <v>#DIV/0!</v>
      </c>
      <c r="AW907" s="8"/>
      <c r="AX907" s="49"/>
      <c r="AY907" s="48"/>
      <c r="AZ907" s="47"/>
      <c r="BA907" s="47"/>
      <c r="BB907" s="47"/>
      <c r="BC907" s="47"/>
      <c r="BD907" s="47"/>
    </row>
    <row r="908" spans="3:56" hidden="1" x14ac:dyDescent="0.25">
      <c r="C908" s="26" t="str">
        <f>Tools!$C$1</f>
        <v>Example</v>
      </c>
      <c r="D908" s="27" t="s">
        <v>73</v>
      </c>
      <c r="E908" s="28">
        <v>2019</v>
      </c>
      <c r="F908" s="28">
        <f>MATCH(DaybyDay[[#This Row],[RowMonth]],Table3[SummaryMonth],0)</f>
        <v>6</v>
      </c>
      <c r="G908" s="29">
        <f>MATCH(DaybyDay[[#This Row],[LY-Date]],DaybyDay[Date],0)</f>
        <v>538</v>
      </c>
      <c r="H908" s="30">
        <f>WEEKDAY(DaybyDay[[#This Row],[Date]])</f>
        <v>6</v>
      </c>
      <c r="I908" s="31">
        <v>43637</v>
      </c>
      <c r="J908" s="74">
        <v>24</v>
      </c>
      <c r="K908" s="32">
        <f>SUMIFS(BudgetSeasonality[365 Seasonality],BudgetSeasonality[MonthAdjustment],DaybyDay[[#This Row],[Date]])*SUMIFS(Budgets[Service-Budget],Budgets[BudgetMonth],DaybyDay[[#This Row],[RowMonth]],Budgets[BudgetYear],DaybyDay[[#This Row],[RowYear]])</f>
        <v>5876.2096342525856</v>
      </c>
      <c r="L908" s="75">
        <v>4517.25</v>
      </c>
      <c r="M908" s="32">
        <f>INDEX(BudgetSeasonality[365 Seasonality],MATCH(DaybyDay[[#This Row],[Date]],BudgetSeasonality[MonthAdjustment],0))*SUMIFS(Budgets[Retail-Budget],Budgets[BudgetMonth],DaybyDay[[#This Row],[RowMonth]],Budgets[BudgetYear],DaybyDay[[#This Row],[RowYear]])</f>
        <v>1690.3111405626141</v>
      </c>
      <c r="N908" s="75">
        <v>3268.05</v>
      </c>
      <c r="O908" s="33">
        <f>SUMIFS(DaybyDay[Service-Budgets],DaybyDay[Date],"&gt;="&amp;$C$5,DaybyDay[RowYear],"&gt;="&amp;$C$4,DaybyDay[Date],"&lt;="&amp;DaybyDay[[#This Row],[Date]])</f>
        <v>0</v>
      </c>
      <c r="P908" s="33">
        <f>SUMIFS(DaybyDay[Retail-Budgets],DaybyDay[Date],"&gt;="&amp;$C$5,DaybyDay[RowYear],"&gt;="&amp;$C$4,DaybyDay[Date],"&lt;="&amp;DaybyDay[[#This Row],[Date]])</f>
        <v>0</v>
      </c>
      <c r="Q908" s="34">
        <f>SUMIFS(DaybyDay[Service-Actuals],DaybyDay[Date],"&gt;="&amp;$C$5,DaybyDay[RowYear],"&gt;="&amp;$C$4,DaybyDay[Date],"&lt;="&amp;DaybyDay[[#This Row],[Date]])</f>
        <v>0</v>
      </c>
      <c r="R908" s="34">
        <f>SUMIFS(DaybyDay[Retail-Actuals],DaybyDay[Date],"&gt;="&amp;$C$5,DaybyDay[RowYear],"&gt;="&amp;$C$4,DaybyDay[Date],"&lt;="&amp;DaybyDay[[#This Row],[Date]])</f>
        <v>0</v>
      </c>
      <c r="S908" s="35">
        <f>SUMIFS(DaybyDay[Service-LY],DaybyDay[Date],"&gt;="&amp;$C$5,DaybyDay[RowYear],"&gt;="&amp;$C$4,DaybyDay[Date],"&lt;="&amp;DaybyDay[[#This Row],[Date]])</f>
        <v>0</v>
      </c>
      <c r="T908" s="35">
        <f>SUMIFS(DaybyDay[Retail-LY],DaybyDay[Date],"&gt;="&amp;$C$5,DaybyDay[RowYear],"&gt;="&amp;$C$4,DaybyDay[Date],"&lt;="&amp;DaybyDay[[#This Row],[Date]])</f>
        <v>0</v>
      </c>
      <c r="U908" s="32">
        <f>DaybyDay[[#This Row],[Serv-Bud-RU]]+DaybyDay[[#This Row],[Ret-Bud-RU]]</f>
        <v>0</v>
      </c>
      <c r="V908" s="32">
        <f>DaybyDay[[#This Row],[Serv-Act-RU]]+DaybyDay[[#This Row],[Ret-Act-RU]]</f>
        <v>0</v>
      </c>
      <c r="W908" s="36">
        <f>IF(DaybyDay[[#This Row],[_Space]],IFERROR(
((DaybyDay[[#This Row],[Actual-Rollup]]-DaybyDay[[#This Row],[Budget-Rollup]])/DaybyDay[[#This Row],[Budget-Rollup]]),0),"")</f>
        <v>0</v>
      </c>
      <c r="X908" t="b">
        <f>NOT(AND(ISBLANK(DaybyDay[[#This Row],[Appts]]),ISBLANK(DaybyDay[[#This Row],[Service-Actuals]]),ISBLANK(DaybyDay[[#This Row],[Retail-Actuals]])))</f>
        <v>1</v>
      </c>
      <c r="Y908" s="36">
        <f>IF(DaybyDay[[#This Row],[_Space]],IFERROR(
((DaybyDay[[#This Row],[Actual-Rollup]]-DaybyDay[[#This Row],[LY-Rollup]])/DaybyDay[[#This Row],[LY-Rollup]]),0),"")</f>
        <v>0</v>
      </c>
      <c r="Z908"/>
      <c r="AA908" s="37" t="e">
        <f>IF(DaybyDay[[#This Row],[_Space]],DaybyDay[[#This Row],[Ret-Act-RU]]/DaybyDay[[#This Row],[Serv-Act-RU]],"")</f>
        <v>#DIV/0!</v>
      </c>
      <c r="AB908" s="50" t="e">
        <f>IF(DaybyDay[[#This Row],[_Space]],DaybyDay[[#This Row],[RETPEN-Act]]/DaybyDay[[#This Row],[RETPEN-Bud]],"")</f>
        <v>#DIV/0!</v>
      </c>
      <c r="AC908" s="37" t="e">
        <f>IF(DaybyDay[[#This Row],[_Space]],DaybyDay[[#This Row],[Ret-Bud-RU]]/DaybyDay[[#This Row],[Serv-Bud-RU]],"")</f>
        <v>#DIV/0!</v>
      </c>
      <c r="AD908" s="37" t="e">
        <f>IF(DaybyDay[[#This Row],[_Space]],DaybyDay[[#This Row],[Ret-LY-RU]]/DaybyDay[[#This Row],[Serv-LY-RU]],"")</f>
        <v>#DIV/0!</v>
      </c>
      <c r="AE908" s="30">
        <f>WEEKDAY(DaybyDay[[#This Row],[LY-Date]])</f>
        <v>6</v>
      </c>
      <c r="AF908" s="38">
        <f>$E$2+_xlfn.DAYS(DaybyDay[[#This Row],[Date]],minDate)</f>
        <v>43273</v>
      </c>
      <c r="AG908" s="39" cm="1">
        <f t="array" ref="AG908">IFERROR(INDEX(DaybyDay[],DaybyDay[[#This Row],[FORM_MATCH_HELPER]],8),"")</f>
        <v>20</v>
      </c>
      <c r="AH908" s="39" cm="1">
        <f t="array" ref="AH908">IFERROR(INDEX(DaybyDay[],DaybyDay[[#This Row],[FORM_MATCH_HELPER]],10),"")</f>
        <v>4367.2</v>
      </c>
      <c r="AI908" s="39" cm="1">
        <f t="array" ref="AI908">IFERROR(INDEX(DaybyDay[],DaybyDay[[#This Row],[FORM_MATCH_HELPER]],12),"")</f>
        <v>565.75</v>
      </c>
      <c r="AJ908" s="32">
        <f>IFERROR(DaybyDay[[#This Row],[Serv-LY-RU]]+DaybyDay[[#This Row],[Ret-LY-RU]],"")</f>
        <v>0</v>
      </c>
      <c r="AK9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8" s="77"/>
      <c r="AM908" s="40" t="str">
        <f>IF(DaybyDay[[#This Row],[Admin Hours]]&gt;0,DaybyDay[[#This Row],[Admin Hours]]*$AM$2+$AM$3,"")</f>
        <v/>
      </c>
      <c r="AN908" s="40">
        <f>SUMIFS(DaybyDay[Est-Admin-Payroll],DaybyDay[Date],"&gt;="&amp;$C$5,DaybyDay[RowYear],"&gt;="&amp;$C$4,DaybyDay[Date],"&lt;="&amp;DaybyDay[[#This Row],[Date]])</f>
        <v>0</v>
      </c>
      <c r="AO908" s="41" t="str">
        <f>IF(AND(DaybyDay[[#This Row],[_Space]],ISNUMBER(DaybyDay[[#This Row],[Admin Hours]])),DaybyDay[[#This Row],[Est-Admin-Payroll]]/(DaybyDay[[#This Row],[Service-Actuals]]+DaybyDay[[#This Row],[Retail-Actuals]]),"")</f>
        <v/>
      </c>
      <c r="AP908" s="41" t="e">
        <f>DaybyDay[[#This Row],[Estimated-Payroll-Rollup]]/DaybyDay[[#This Row],[Simple-Forecast]]</f>
        <v>#DIV/0!</v>
      </c>
      <c r="AQ9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8" s="77"/>
      <c r="AS908" s="40" t="str">
        <f>IF(DaybyDay[[#This Row],[Retail Hours]]&gt;0,DaybyDay[[#This Row],[Retail Hours]]*$AS$2,"")</f>
        <v/>
      </c>
      <c r="AT908" s="40">
        <f>SUMIFS(DaybyDay[Est-Retail-Payroll],DaybyDay[Date],"&gt;="&amp;$C$5,DaybyDay[RowYear],"&gt;="&amp;$C$4,DaybyDay[Date],"&lt;="&amp;DaybyDay[[#This Row],[Date]])</f>
        <v>0</v>
      </c>
      <c r="AU908" s="82" t="str">
        <f>IF(AND(DaybyDay[[#This Row],[_Space]],ISNUMBER(DaybyDay[[#This Row],[Retail Hours]])),DaybyDay[[#This Row],[Est-Retail-Payroll]]/(DaybyDay[[#This Row],[Retail-Actuals]]),"")</f>
        <v/>
      </c>
      <c r="AV908" s="82" t="e">
        <f>DaybyDay[[#This Row],[Est-Retail-PayrollRU]]/DaybyDay[[#This Row],[Simple-Forecast-Retail]]</f>
        <v>#DIV/0!</v>
      </c>
      <c r="AW908" s="8"/>
      <c r="AX908" s="49"/>
      <c r="AY908" s="48"/>
      <c r="AZ908" s="47"/>
      <c r="BA908" s="47"/>
      <c r="BB908" s="47"/>
      <c r="BC908" s="47"/>
      <c r="BD908" s="47"/>
    </row>
    <row r="909" spans="3:56" hidden="1" x14ac:dyDescent="0.25">
      <c r="C909" s="26" t="str">
        <f>Tools!$C$1</f>
        <v>Example</v>
      </c>
      <c r="D909" s="27" t="s">
        <v>73</v>
      </c>
      <c r="E909" s="28">
        <v>2019</v>
      </c>
      <c r="F909" s="28">
        <f>MATCH(DaybyDay[[#This Row],[RowMonth]],Table3[SummaryMonth],0)</f>
        <v>6</v>
      </c>
      <c r="G909" s="29">
        <f>MATCH(DaybyDay[[#This Row],[LY-Date]],DaybyDay[Date],0)</f>
        <v>539</v>
      </c>
      <c r="H909" s="30">
        <f>WEEKDAY(DaybyDay[[#This Row],[Date]])</f>
        <v>7</v>
      </c>
      <c r="I909" s="31">
        <v>43638</v>
      </c>
      <c r="J909" s="74">
        <v>32</v>
      </c>
      <c r="K909" s="32">
        <f>SUMIFS(BudgetSeasonality[365 Seasonality],BudgetSeasonality[MonthAdjustment],DaybyDay[[#This Row],[Date]])*SUMIFS(Budgets[Service-Budget],Budgets[BudgetMonth],DaybyDay[[#This Row],[RowMonth]],Budgets[BudgetYear],DaybyDay[[#This Row],[RowYear]])</f>
        <v>8287.9791645365785</v>
      </c>
      <c r="L909" s="75">
        <v>6330.2</v>
      </c>
      <c r="M909" s="32">
        <f>INDEX(BudgetSeasonality[365 Seasonality],MATCH(DaybyDay[[#This Row],[Date]],BudgetSeasonality[MonthAdjustment],0))*SUMIFS(Budgets[Retail-Budget],Budgets[BudgetMonth],DaybyDay[[#This Row],[RowMonth]],Budgets[BudgetYear],DaybyDay[[#This Row],[RowYear]])</f>
        <v>2384.0646243977794</v>
      </c>
      <c r="N909" s="75">
        <v>152</v>
      </c>
      <c r="O909" s="33">
        <f>SUMIFS(DaybyDay[Service-Budgets],DaybyDay[Date],"&gt;="&amp;$C$5,DaybyDay[RowYear],"&gt;="&amp;$C$4,DaybyDay[Date],"&lt;="&amp;DaybyDay[[#This Row],[Date]])</f>
        <v>0</v>
      </c>
      <c r="P909" s="33">
        <f>SUMIFS(DaybyDay[Retail-Budgets],DaybyDay[Date],"&gt;="&amp;$C$5,DaybyDay[RowYear],"&gt;="&amp;$C$4,DaybyDay[Date],"&lt;="&amp;DaybyDay[[#This Row],[Date]])</f>
        <v>0</v>
      </c>
      <c r="Q909" s="34">
        <f>SUMIFS(DaybyDay[Service-Actuals],DaybyDay[Date],"&gt;="&amp;$C$5,DaybyDay[RowYear],"&gt;="&amp;$C$4,DaybyDay[Date],"&lt;="&amp;DaybyDay[[#This Row],[Date]])</f>
        <v>0</v>
      </c>
      <c r="R909" s="34">
        <f>SUMIFS(DaybyDay[Retail-Actuals],DaybyDay[Date],"&gt;="&amp;$C$5,DaybyDay[RowYear],"&gt;="&amp;$C$4,DaybyDay[Date],"&lt;="&amp;DaybyDay[[#This Row],[Date]])</f>
        <v>0</v>
      </c>
      <c r="S909" s="35">
        <f>SUMIFS(DaybyDay[Service-LY],DaybyDay[Date],"&gt;="&amp;$C$5,DaybyDay[RowYear],"&gt;="&amp;$C$4,DaybyDay[Date],"&lt;="&amp;DaybyDay[[#This Row],[Date]])</f>
        <v>0</v>
      </c>
      <c r="T909" s="35">
        <f>SUMIFS(DaybyDay[Retail-LY],DaybyDay[Date],"&gt;="&amp;$C$5,DaybyDay[RowYear],"&gt;="&amp;$C$4,DaybyDay[Date],"&lt;="&amp;DaybyDay[[#This Row],[Date]])</f>
        <v>0</v>
      </c>
      <c r="U909" s="32">
        <f>DaybyDay[[#This Row],[Serv-Bud-RU]]+DaybyDay[[#This Row],[Ret-Bud-RU]]</f>
        <v>0</v>
      </c>
      <c r="V909" s="32">
        <f>DaybyDay[[#This Row],[Serv-Act-RU]]+DaybyDay[[#This Row],[Ret-Act-RU]]</f>
        <v>0</v>
      </c>
      <c r="W909" s="36">
        <f>IF(DaybyDay[[#This Row],[_Space]],IFERROR(
((DaybyDay[[#This Row],[Actual-Rollup]]-DaybyDay[[#This Row],[Budget-Rollup]])/DaybyDay[[#This Row],[Budget-Rollup]]),0),"")</f>
        <v>0</v>
      </c>
      <c r="X909" t="b">
        <f>NOT(AND(ISBLANK(DaybyDay[[#This Row],[Appts]]),ISBLANK(DaybyDay[[#This Row],[Service-Actuals]]),ISBLANK(DaybyDay[[#This Row],[Retail-Actuals]])))</f>
        <v>1</v>
      </c>
      <c r="Y909" s="36">
        <f>IF(DaybyDay[[#This Row],[_Space]],IFERROR(
((DaybyDay[[#This Row],[Actual-Rollup]]-DaybyDay[[#This Row],[LY-Rollup]])/DaybyDay[[#This Row],[LY-Rollup]]),0),"")</f>
        <v>0</v>
      </c>
      <c r="Z909"/>
      <c r="AA909" s="37" t="e">
        <f>IF(DaybyDay[[#This Row],[_Space]],DaybyDay[[#This Row],[Ret-Act-RU]]/DaybyDay[[#This Row],[Serv-Act-RU]],"")</f>
        <v>#DIV/0!</v>
      </c>
      <c r="AB909" s="50" t="e">
        <f>IF(DaybyDay[[#This Row],[_Space]],DaybyDay[[#This Row],[RETPEN-Act]]/DaybyDay[[#This Row],[RETPEN-Bud]],"")</f>
        <v>#DIV/0!</v>
      </c>
      <c r="AC909" s="37" t="e">
        <f>IF(DaybyDay[[#This Row],[_Space]],DaybyDay[[#This Row],[Ret-Bud-RU]]/DaybyDay[[#This Row],[Serv-Bud-RU]],"")</f>
        <v>#DIV/0!</v>
      </c>
      <c r="AD909" s="37" t="e">
        <f>IF(DaybyDay[[#This Row],[_Space]],DaybyDay[[#This Row],[Ret-LY-RU]]/DaybyDay[[#This Row],[Serv-LY-RU]],"")</f>
        <v>#DIV/0!</v>
      </c>
      <c r="AE909" s="30">
        <f>WEEKDAY(DaybyDay[[#This Row],[LY-Date]])</f>
        <v>7</v>
      </c>
      <c r="AF909" s="38">
        <f>$E$2+_xlfn.DAYS(DaybyDay[[#This Row],[Date]],minDate)</f>
        <v>43274</v>
      </c>
      <c r="AG909" s="39" cm="1">
        <f t="array" ref="AG909">IFERROR(INDEX(DaybyDay[],DaybyDay[[#This Row],[FORM_MATCH_HELPER]],8),"")</f>
        <v>31</v>
      </c>
      <c r="AH909" s="39" cm="1">
        <f t="array" ref="AH909">IFERROR(INDEX(DaybyDay[],DaybyDay[[#This Row],[FORM_MATCH_HELPER]],10),"")</f>
        <v>7428.5</v>
      </c>
      <c r="AI909" s="39" cm="1">
        <f t="array" ref="AI909">IFERROR(INDEX(DaybyDay[],DaybyDay[[#This Row],[FORM_MATCH_HELPER]],12),"")</f>
        <v>643.5</v>
      </c>
      <c r="AJ909" s="32">
        <f>IFERROR(DaybyDay[[#This Row],[Serv-LY-RU]]+DaybyDay[[#This Row],[Ret-LY-RU]],"")</f>
        <v>0</v>
      </c>
      <c r="AK9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09" s="77"/>
      <c r="AM909" s="40" t="str">
        <f>IF(DaybyDay[[#This Row],[Admin Hours]]&gt;0,DaybyDay[[#This Row],[Admin Hours]]*$AM$2+$AM$3,"")</f>
        <v/>
      </c>
      <c r="AN909" s="40">
        <f>SUMIFS(DaybyDay[Est-Admin-Payroll],DaybyDay[Date],"&gt;="&amp;$C$5,DaybyDay[RowYear],"&gt;="&amp;$C$4,DaybyDay[Date],"&lt;="&amp;DaybyDay[[#This Row],[Date]])</f>
        <v>0</v>
      </c>
      <c r="AO909" s="41" t="str">
        <f>IF(AND(DaybyDay[[#This Row],[_Space]],ISNUMBER(DaybyDay[[#This Row],[Admin Hours]])),DaybyDay[[#This Row],[Est-Admin-Payroll]]/(DaybyDay[[#This Row],[Service-Actuals]]+DaybyDay[[#This Row],[Retail-Actuals]]),"")</f>
        <v/>
      </c>
      <c r="AP909" s="41" t="e">
        <f>DaybyDay[[#This Row],[Estimated-Payroll-Rollup]]/DaybyDay[[#This Row],[Simple-Forecast]]</f>
        <v>#DIV/0!</v>
      </c>
      <c r="AQ9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09" s="77"/>
      <c r="AS909" s="40" t="str">
        <f>IF(DaybyDay[[#This Row],[Retail Hours]]&gt;0,DaybyDay[[#This Row],[Retail Hours]]*$AS$2,"")</f>
        <v/>
      </c>
      <c r="AT909" s="40">
        <f>SUMIFS(DaybyDay[Est-Retail-Payroll],DaybyDay[Date],"&gt;="&amp;$C$5,DaybyDay[RowYear],"&gt;="&amp;$C$4,DaybyDay[Date],"&lt;="&amp;DaybyDay[[#This Row],[Date]])</f>
        <v>0</v>
      </c>
      <c r="AU909" s="82" t="str">
        <f>IF(AND(DaybyDay[[#This Row],[_Space]],ISNUMBER(DaybyDay[[#This Row],[Retail Hours]])),DaybyDay[[#This Row],[Est-Retail-Payroll]]/(DaybyDay[[#This Row],[Retail-Actuals]]),"")</f>
        <v/>
      </c>
      <c r="AV909" s="82" t="e">
        <f>DaybyDay[[#This Row],[Est-Retail-PayrollRU]]/DaybyDay[[#This Row],[Simple-Forecast-Retail]]</f>
        <v>#DIV/0!</v>
      </c>
      <c r="AW909" s="8"/>
      <c r="AX909" s="49"/>
      <c r="AY909" s="48"/>
      <c r="AZ909" s="47"/>
      <c r="BA909" s="47"/>
      <c r="BB909" s="47"/>
      <c r="BC909" s="47"/>
      <c r="BD909" s="47"/>
    </row>
    <row r="910" spans="3:56" hidden="1" x14ac:dyDescent="0.25">
      <c r="C910" s="26" t="str">
        <f>Tools!$C$1</f>
        <v>Example</v>
      </c>
      <c r="D910" s="27" t="s">
        <v>73</v>
      </c>
      <c r="E910" s="28">
        <v>2019</v>
      </c>
      <c r="F910" s="28">
        <f>MATCH(DaybyDay[[#This Row],[RowMonth]],Table3[SummaryMonth],0)</f>
        <v>6</v>
      </c>
      <c r="G910" s="29">
        <f>MATCH(DaybyDay[[#This Row],[LY-Date]],DaybyDay[Date],0)</f>
        <v>540</v>
      </c>
      <c r="H910" s="30">
        <f>WEEKDAY(DaybyDay[[#This Row],[Date]])</f>
        <v>1</v>
      </c>
      <c r="I910" s="31">
        <v>43639</v>
      </c>
      <c r="J910" s="74">
        <v>33</v>
      </c>
      <c r="K910" s="32">
        <f>SUMIFS(BudgetSeasonality[365 Seasonality],BudgetSeasonality[MonthAdjustment],DaybyDay[[#This Row],[Date]])*SUMIFS(Budgets[Service-Budget],Budgets[BudgetMonth],DaybyDay[[#This Row],[RowMonth]],Budgets[BudgetYear],DaybyDay[[#This Row],[RowYear]])</f>
        <v>6369.9523154727467</v>
      </c>
      <c r="L910" s="75">
        <v>5582.95</v>
      </c>
      <c r="M910" s="32">
        <f>INDEX(BudgetSeasonality[365 Seasonality],MATCH(DaybyDay[[#This Row],[Date]],BudgetSeasonality[MonthAdjustment],0))*SUMIFS(Budgets[Retail-Budget],Budgets[BudgetMonth],DaybyDay[[#This Row],[RowMonth]],Budgets[BudgetYear],DaybyDay[[#This Row],[RowYear]])</f>
        <v>1832.3378561809459</v>
      </c>
      <c r="N910" s="75">
        <v>948</v>
      </c>
      <c r="O910" s="33">
        <f>SUMIFS(DaybyDay[Service-Budgets],DaybyDay[Date],"&gt;="&amp;$C$5,DaybyDay[RowYear],"&gt;="&amp;$C$4,DaybyDay[Date],"&lt;="&amp;DaybyDay[[#This Row],[Date]])</f>
        <v>0</v>
      </c>
      <c r="P910" s="33">
        <f>SUMIFS(DaybyDay[Retail-Budgets],DaybyDay[Date],"&gt;="&amp;$C$5,DaybyDay[RowYear],"&gt;="&amp;$C$4,DaybyDay[Date],"&lt;="&amp;DaybyDay[[#This Row],[Date]])</f>
        <v>0</v>
      </c>
      <c r="Q910" s="34">
        <f>SUMIFS(DaybyDay[Service-Actuals],DaybyDay[Date],"&gt;="&amp;$C$5,DaybyDay[RowYear],"&gt;="&amp;$C$4,DaybyDay[Date],"&lt;="&amp;DaybyDay[[#This Row],[Date]])</f>
        <v>0</v>
      </c>
      <c r="R910" s="34">
        <f>SUMIFS(DaybyDay[Retail-Actuals],DaybyDay[Date],"&gt;="&amp;$C$5,DaybyDay[RowYear],"&gt;="&amp;$C$4,DaybyDay[Date],"&lt;="&amp;DaybyDay[[#This Row],[Date]])</f>
        <v>0</v>
      </c>
      <c r="S910" s="35">
        <f>SUMIFS(DaybyDay[Service-LY],DaybyDay[Date],"&gt;="&amp;$C$5,DaybyDay[RowYear],"&gt;="&amp;$C$4,DaybyDay[Date],"&lt;="&amp;DaybyDay[[#This Row],[Date]])</f>
        <v>0</v>
      </c>
      <c r="T910" s="35">
        <f>SUMIFS(DaybyDay[Retail-LY],DaybyDay[Date],"&gt;="&amp;$C$5,DaybyDay[RowYear],"&gt;="&amp;$C$4,DaybyDay[Date],"&lt;="&amp;DaybyDay[[#This Row],[Date]])</f>
        <v>0</v>
      </c>
      <c r="U910" s="32">
        <f>DaybyDay[[#This Row],[Serv-Bud-RU]]+DaybyDay[[#This Row],[Ret-Bud-RU]]</f>
        <v>0</v>
      </c>
      <c r="V910" s="32">
        <f>DaybyDay[[#This Row],[Serv-Act-RU]]+DaybyDay[[#This Row],[Ret-Act-RU]]</f>
        <v>0</v>
      </c>
      <c r="W910" s="36">
        <f>IF(DaybyDay[[#This Row],[_Space]],IFERROR(
((DaybyDay[[#This Row],[Actual-Rollup]]-DaybyDay[[#This Row],[Budget-Rollup]])/DaybyDay[[#This Row],[Budget-Rollup]]),0),"")</f>
        <v>0</v>
      </c>
      <c r="X910" t="b">
        <f>NOT(AND(ISBLANK(DaybyDay[[#This Row],[Appts]]),ISBLANK(DaybyDay[[#This Row],[Service-Actuals]]),ISBLANK(DaybyDay[[#This Row],[Retail-Actuals]])))</f>
        <v>1</v>
      </c>
      <c r="Y910" s="36">
        <f>IF(DaybyDay[[#This Row],[_Space]],IFERROR(
((DaybyDay[[#This Row],[Actual-Rollup]]-DaybyDay[[#This Row],[LY-Rollup]])/DaybyDay[[#This Row],[LY-Rollup]]),0),"")</f>
        <v>0</v>
      </c>
      <c r="Z910"/>
      <c r="AA910" s="37" t="e">
        <f>IF(DaybyDay[[#This Row],[_Space]],DaybyDay[[#This Row],[Ret-Act-RU]]/DaybyDay[[#This Row],[Serv-Act-RU]],"")</f>
        <v>#DIV/0!</v>
      </c>
      <c r="AB910" s="50" t="e">
        <f>IF(DaybyDay[[#This Row],[_Space]],DaybyDay[[#This Row],[RETPEN-Act]]/DaybyDay[[#This Row],[RETPEN-Bud]],"")</f>
        <v>#DIV/0!</v>
      </c>
      <c r="AC910" s="37" t="e">
        <f>IF(DaybyDay[[#This Row],[_Space]],DaybyDay[[#This Row],[Ret-Bud-RU]]/DaybyDay[[#This Row],[Serv-Bud-RU]],"")</f>
        <v>#DIV/0!</v>
      </c>
      <c r="AD910" s="37" t="e">
        <f>IF(DaybyDay[[#This Row],[_Space]],DaybyDay[[#This Row],[Ret-LY-RU]]/DaybyDay[[#This Row],[Serv-LY-RU]],"")</f>
        <v>#DIV/0!</v>
      </c>
      <c r="AE910" s="30">
        <f>WEEKDAY(DaybyDay[[#This Row],[LY-Date]])</f>
        <v>1</v>
      </c>
      <c r="AF910" s="38">
        <f>$E$2+_xlfn.DAYS(DaybyDay[[#This Row],[Date]],minDate)</f>
        <v>43275</v>
      </c>
      <c r="AG910" s="39" cm="1">
        <f t="array" ref="AG910">IFERROR(INDEX(DaybyDay[],DaybyDay[[#This Row],[FORM_MATCH_HELPER]],8),"")</f>
        <v>29</v>
      </c>
      <c r="AH910" s="39" cm="1">
        <f t="array" ref="AH910">IFERROR(INDEX(DaybyDay[],DaybyDay[[#This Row],[FORM_MATCH_HELPER]],10),"")</f>
        <v>5257</v>
      </c>
      <c r="AI910" s="39" cm="1">
        <f t="array" ref="AI910">IFERROR(INDEX(DaybyDay[],DaybyDay[[#This Row],[FORM_MATCH_HELPER]],12),"")</f>
        <v>787</v>
      </c>
      <c r="AJ910" s="32">
        <f>IFERROR(DaybyDay[[#This Row],[Serv-LY-RU]]+DaybyDay[[#This Row],[Ret-LY-RU]],"")</f>
        <v>0</v>
      </c>
      <c r="AK9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0" s="77"/>
      <c r="AM910" s="40" t="str">
        <f>IF(DaybyDay[[#This Row],[Admin Hours]]&gt;0,DaybyDay[[#This Row],[Admin Hours]]*$AM$2+$AM$3,"")</f>
        <v/>
      </c>
      <c r="AN910" s="40">
        <f>SUMIFS(DaybyDay[Est-Admin-Payroll],DaybyDay[Date],"&gt;="&amp;$C$5,DaybyDay[RowYear],"&gt;="&amp;$C$4,DaybyDay[Date],"&lt;="&amp;DaybyDay[[#This Row],[Date]])</f>
        <v>0</v>
      </c>
      <c r="AO910" s="41" t="str">
        <f>IF(AND(DaybyDay[[#This Row],[_Space]],ISNUMBER(DaybyDay[[#This Row],[Admin Hours]])),DaybyDay[[#This Row],[Est-Admin-Payroll]]/(DaybyDay[[#This Row],[Service-Actuals]]+DaybyDay[[#This Row],[Retail-Actuals]]),"")</f>
        <v/>
      </c>
      <c r="AP910" s="41" t="e">
        <f>DaybyDay[[#This Row],[Estimated-Payroll-Rollup]]/DaybyDay[[#This Row],[Simple-Forecast]]</f>
        <v>#DIV/0!</v>
      </c>
      <c r="AQ9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0" s="77"/>
      <c r="AS910" s="40" t="str">
        <f>IF(DaybyDay[[#This Row],[Retail Hours]]&gt;0,DaybyDay[[#This Row],[Retail Hours]]*$AS$2,"")</f>
        <v/>
      </c>
      <c r="AT910" s="40">
        <f>SUMIFS(DaybyDay[Est-Retail-Payroll],DaybyDay[Date],"&gt;="&amp;$C$5,DaybyDay[RowYear],"&gt;="&amp;$C$4,DaybyDay[Date],"&lt;="&amp;DaybyDay[[#This Row],[Date]])</f>
        <v>0</v>
      </c>
      <c r="AU910" s="82" t="str">
        <f>IF(AND(DaybyDay[[#This Row],[_Space]],ISNUMBER(DaybyDay[[#This Row],[Retail Hours]])),DaybyDay[[#This Row],[Est-Retail-Payroll]]/(DaybyDay[[#This Row],[Retail-Actuals]]),"")</f>
        <v/>
      </c>
      <c r="AV910" s="82" t="e">
        <f>DaybyDay[[#This Row],[Est-Retail-PayrollRU]]/DaybyDay[[#This Row],[Simple-Forecast-Retail]]</f>
        <v>#DIV/0!</v>
      </c>
      <c r="AW910" s="8"/>
      <c r="AX910" s="49"/>
      <c r="AY910" s="48"/>
      <c r="AZ910" s="47"/>
      <c r="BA910" s="47"/>
      <c r="BB910" s="47"/>
      <c r="BC910" s="47"/>
      <c r="BD910" s="47"/>
    </row>
    <row r="911" spans="3:56" hidden="1" x14ac:dyDescent="0.25">
      <c r="C911" s="26" t="str">
        <f>Tools!$C$1</f>
        <v>Example</v>
      </c>
      <c r="D911" s="27" t="s">
        <v>73</v>
      </c>
      <c r="E911" s="28">
        <v>2019</v>
      </c>
      <c r="F911" s="28">
        <f>MATCH(DaybyDay[[#This Row],[RowMonth]],Table3[SummaryMonth],0)</f>
        <v>6</v>
      </c>
      <c r="G911" s="29">
        <f>MATCH(DaybyDay[[#This Row],[LY-Date]],DaybyDay[Date],0)</f>
        <v>541</v>
      </c>
      <c r="H911" s="30">
        <f>WEEKDAY(DaybyDay[[#This Row],[Date]])</f>
        <v>2</v>
      </c>
      <c r="I911" s="31">
        <v>43640</v>
      </c>
      <c r="J911" s="74">
        <v>16</v>
      </c>
      <c r="K911" s="32">
        <f>SUMIFS(BudgetSeasonality[365 Seasonality],BudgetSeasonality[MonthAdjustment],DaybyDay[[#This Row],[Date]])*SUMIFS(Budgets[Service-Budget],Budgets[BudgetMonth],DaybyDay[[#This Row],[RowMonth]],Budgets[BudgetYear],DaybyDay[[#This Row],[RowYear]])</f>
        <v>3603.0992073131706</v>
      </c>
      <c r="L911" s="75">
        <v>3106.4</v>
      </c>
      <c r="M911" s="32">
        <f>INDEX(BudgetSeasonality[365 Seasonality],MATCH(DaybyDay[[#This Row],[Date]],BudgetSeasonality[MonthAdjustment],0))*SUMIFS(Budgets[Retail-Budget],Budgets[BudgetMonth],DaybyDay[[#This Row],[RowMonth]],Budgets[BudgetYear],DaybyDay[[#This Row],[RowYear]])</f>
        <v>1036.4434065069615</v>
      </c>
      <c r="N911" s="75">
        <v>1216.4000000000001</v>
      </c>
      <c r="O911" s="33">
        <f>SUMIFS(DaybyDay[Service-Budgets],DaybyDay[Date],"&gt;="&amp;$C$5,DaybyDay[RowYear],"&gt;="&amp;$C$4,DaybyDay[Date],"&lt;="&amp;DaybyDay[[#This Row],[Date]])</f>
        <v>0</v>
      </c>
      <c r="P911" s="33">
        <f>SUMIFS(DaybyDay[Retail-Budgets],DaybyDay[Date],"&gt;="&amp;$C$5,DaybyDay[RowYear],"&gt;="&amp;$C$4,DaybyDay[Date],"&lt;="&amp;DaybyDay[[#This Row],[Date]])</f>
        <v>0</v>
      </c>
      <c r="Q911" s="34">
        <f>SUMIFS(DaybyDay[Service-Actuals],DaybyDay[Date],"&gt;="&amp;$C$5,DaybyDay[RowYear],"&gt;="&amp;$C$4,DaybyDay[Date],"&lt;="&amp;DaybyDay[[#This Row],[Date]])</f>
        <v>0</v>
      </c>
      <c r="R911" s="34">
        <f>SUMIFS(DaybyDay[Retail-Actuals],DaybyDay[Date],"&gt;="&amp;$C$5,DaybyDay[RowYear],"&gt;="&amp;$C$4,DaybyDay[Date],"&lt;="&amp;DaybyDay[[#This Row],[Date]])</f>
        <v>0</v>
      </c>
      <c r="S911" s="35">
        <f>SUMIFS(DaybyDay[Service-LY],DaybyDay[Date],"&gt;="&amp;$C$5,DaybyDay[RowYear],"&gt;="&amp;$C$4,DaybyDay[Date],"&lt;="&amp;DaybyDay[[#This Row],[Date]])</f>
        <v>0</v>
      </c>
      <c r="T911" s="35">
        <f>SUMIFS(DaybyDay[Retail-LY],DaybyDay[Date],"&gt;="&amp;$C$5,DaybyDay[RowYear],"&gt;="&amp;$C$4,DaybyDay[Date],"&lt;="&amp;DaybyDay[[#This Row],[Date]])</f>
        <v>0</v>
      </c>
      <c r="U911" s="32">
        <f>DaybyDay[[#This Row],[Serv-Bud-RU]]+DaybyDay[[#This Row],[Ret-Bud-RU]]</f>
        <v>0</v>
      </c>
      <c r="V911" s="32">
        <f>DaybyDay[[#This Row],[Serv-Act-RU]]+DaybyDay[[#This Row],[Ret-Act-RU]]</f>
        <v>0</v>
      </c>
      <c r="W911" s="36">
        <f>IF(DaybyDay[[#This Row],[_Space]],IFERROR(
((DaybyDay[[#This Row],[Actual-Rollup]]-DaybyDay[[#This Row],[Budget-Rollup]])/DaybyDay[[#This Row],[Budget-Rollup]]),0),"")</f>
        <v>0</v>
      </c>
      <c r="X911" t="b">
        <f>NOT(AND(ISBLANK(DaybyDay[[#This Row],[Appts]]),ISBLANK(DaybyDay[[#This Row],[Service-Actuals]]),ISBLANK(DaybyDay[[#This Row],[Retail-Actuals]])))</f>
        <v>1</v>
      </c>
      <c r="Y911" s="36">
        <f>IF(DaybyDay[[#This Row],[_Space]],IFERROR(
((DaybyDay[[#This Row],[Actual-Rollup]]-DaybyDay[[#This Row],[LY-Rollup]])/DaybyDay[[#This Row],[LY-Rollup]]),0),"")</f>
        <v>0</v>
      </c>
      <c r="Z911"/>
      <c r="AA911" s="37" t="e">
        <f>IF(DaybyDay[[#This Row],[_Space]],DaybyDay[[#This Row],[Ret-Act-RU]]/DaybyDay[[#This Row],[Serv-Act-RU]],"")</f>
        <v>#DIV/0!</v>
      </c>
      <c r="AB911" s="50" t="e">
        <f>IF(DaybyDay[[#This Row],[_Space]],DaybyDay[[#This Row],[RETPEN-Act]]/DaybyDay[[#This Row],[RETPEN-Bud]],"")</f>
        <v>#DIV/0!</v>
      </c>
      <c r="AC911" s="37" t="e">
        <f>IF(DaybyDay[[#This Row],[_Space]],DaybyDay[[#This Row],[Ret-Bud-RU]]/DaybyDay[[#This Row],[Serv-Bud-RU]],"")</f>
        <v>#DIV/0!</v>
      </c>
      <c r="AD911" s="37" t="e">
        <f>IF(DaybyDay[[#This Row],[_Space]],DaybyDay[[#This Row],[Ret-LY-RU]]/DaybyDay[[#This Row],[Serv-LY-RU]],"")</f>
        <v>#DIV/0!</v>
      </c>
      <c r="AE911" s="30">
        <f>WEEKDAY(DaybyDay[[#This Row],[LY-Date]])</f>
        <v>2</v>
      </c>
      <c r="AF911" s="38">
        <f>$E$2+_xlfn.DAYS(DaybyDay[[#This Row],[Date]],minDate)</f>
        <v>43276</v>
      </c>
      <c r="AG911" s="39" cm="1">
        <f t="array" ref="AG911">IFERROR(INDEX(DaybyDay[],DaybyDay[[#This Row],[FORM_MATCH_HELPER]],8),"")</f>
        <v>14</v>
      </c>
      <c r="AH911" s="39" cm="1">
        <f t="array" ref="AH911">IFERROR(INDEX(DaybyDay[],DaybyDay[[#This Row],[FORM_MATCH_HELPER]],10),"")</f>
        <v>2201.79</v>
      </c>
      <c r="AI911" s="39" cm="1">
        <f t="array" ref="AI911">IFERROR(INDEX(DaybyDay[],DaybyDay[[#This Row],[FORM_MATCH_HELPER]],12),"")</f>
        <v>1188.75</v>
      </c>
      <c r="AJ911" s="32">
        <f>IFERROR(DaybyDay[[#This Row],[Serv-LY-RU]]+DaybyDay[[#This Row],[Ret-LY-RU]],"")</f>
        <v>0</v>
      </c>
      <c r="AK9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1" s="77"/>
      <c r="AM911" s="40" t="str">
        <f>IF(DaybyDay[[#This Row],[Admin Hours]]&gt;0,DaybyDay[[#This Row],[Admin Hours]]*$AM$2+$AM$3,"")</f>
        <v/>
      </c>
      <c r="AN911" s="40">
        <f>SUMIFS(DaybyDay[Est-Admin-Payroll],DaybyDay[Date],"&gt;="&amp;$C$5,DaybyDay[RowYear],"&gt;="&amp;$C$4,DaybyDay[Date],"&lt;="&amp;DaybyDay[[#This Row],[Date]])</f>
        <v>0</v>
      </c>
      <c r="AO911" s="41" t="str">
        <f>IF(AND(DaybyDay[[#This Row],[_Space]],ISNUMBER(DaybyDay[[#This Row],[Admin Hours]])),DaybyDay[[#This Row],[Est-Admin-Payroll]]/(DaybyDay[[#This Row],[Service-Actuals]]+DaybyDay[[#This Row],[Retail-Actuals]]),"")</f>
        <v/>
      </c>
      <c r="AP911" s="41" t="e">
        <f>DaybyDay[[#This Row],[Estimated-Payroll-Rollup]]/DaybyDay[[#This Row],[Simple-Forecast]]</f>
        <v>#DIV/0!</v>
      </c>
      <c r="AQ9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1" s="77"/>
      <c r="AS911" s="40" t="str">
        <f>IF(DaybyDay[[#This Row],[Retail Hours]]&gt;0,DaybyDay[[#This Row],[Retail Hours]]*$AS$2,"")</f>
        <v/>
      </c>
      <c r="AT911" s="40">
        <f>SUMIFS(DaybyDay[Est-Retail-Payroll],DaybyDay[Date],"&gt;="&amp;$C$5,DaybyDay[RowYear],"&gt;="&amp;$C$4,DaybyDay[Date],"&lt;="&amp;DaybyDay[[#This Row],[Date]])</f>
        <v>0</v>
      </c>
      <c r="AU911" s="82" t="str">
        <f>IF(AND(DaybyDay[[#This Row],[_Space]],ISNUMBER(DaybyDay[[#This Row],[Retail Hours]])),DaybyDay[[#This Row],[Est-Retail-Payroll]]/(DaybyDay[[#This Row],[Retail-Actuals]]),"")</f>
        <v/>
      </c>
      <c r="AV911" s="82" t="e">
        <f>DaybyDay[[#This Row],[Est-Retail-PayrollRU]]/DaybyDay[[#This Row],[Simple-Forecast-Retail]]</f>
        <v>#DIV/0!</v>
      </c>
      <c r="AW911" s="8"/>
      <c r="AX911" s="49"/>
      <c r="AY911" s="48"/>
      <c r="AZ911" s="47"/>
      <c r="BA911" s="47"/>
      <c r="BB911" s="47"/>
      <c r="BC911" s="47"/>
      <c r="BD911" s="47"/>
    </row>
    <row r="912" spans="3:56" hidden="1" x14ac:dyDescent="0.25">
      <c r="C912" s="26" t="str">
        <f>Tools!$C$1</f>
        <v>Example</v>
      </c>
      <c r="D912" s="27" t="s">
        <v>73</v>
      </c>
      <c r="E912" s="28">
        <v>2019</v>
      </c>
      <c r="F912" s="28">
        <f>MATCH(DaybyDay[[#This Row],[RowMonth]],Table3[SummaryMonth],0)</f>
        <v>6</v>
      </c>
      <c r="G912" s="29">
        <f>MATCH(DaybyDay[[#This Row],[LY-Date]],DaybyDay[Date],0)</f>
        <v>542</v>
      </c>
      <c r="H912" s="30">
        <f>WEEKDAY(DaybyDay[[#This Row],[Date]])</f>
        <v>3</v>
      </c>
      <c r="I912" s="31">
        <v>43641</v>
      </c>
      <c r="J912" s="74">
        <v>16</v>
      </c>
      <c r="K912" s="32">
        <f>SUMIFS(BudgetSeasonality[365 Seasonality],BudgetSeasonality[MonthAdjustment],DaybyDay[[#This Row],[Date]])*SUMIFS(Budgets[Service-Budget],Budgets[BudgetMonth],DaybyDay[[#This Row],[RowMonth]],Budgets[BudgetYear],DaybyDay[[#This Row],[RowYear]])</f>
        <v>3654.6138226801959</v>
      </c>
      <c r="L912" s="75">
        <v>3622.3999999999996</v>
      </c>
      <c r="M912" s="32">
        <f>INDEX(BudgetSeasonality[365 Seasonality],MATCH(DaybyDay[[#This Row],[Date]],BudgetSeasonality[MonthAdjustment],0))*SUMIFS(Budgets[Retail-Budget],Budgets[BudgetMonth],DaybyDay[[#This Row],[RowMonth]],Budgets[BudgetYear],DaybyDay[[#This Row],[RowYear]])</f>
        <v>1051.2617560343701</v>
      </c>
      <c r="N912" s="75">
        <v>4808.49</v>
      </c>
      <c r="O912" s="33">
        <f>SUMIFS(DaybyDay[Service-Budgets],DaybyDay[Date],"&gt;="&amp;$C$5,DaybyDay[RowYear],"&gt;="&amp;$C$4,DaybyDay[Date],"&lt;="&amp;DaybyDay[[#This Row],[Date]])</f>
        <v>0</v>
      </c>
      <c r="P912" s="33">
        <f>SUMIFS(DaybyDay[Retail-Budgets],DaybyDay[Date],"&gt;="&amp;$C$5,DaybyDay[RowYear],"&gt;="&amp;$C$4,DaybyDay[Date],"&lt;="&amp;DaybyDay[[#This Row],[Date]])</f>
        <v>0</v>
      </c>
      <c r="Q912" s="34">
        <f>SUMIFS(DaybyDay[Service-Actuals],DaybyDay[Date],"&gt;="&amp;$C$5,DaybyDay[RowYear],"&gt;="&amp;$C$4,DaybyDay[Date],"&lt;="&amp;DaybyDay[[#This Row],[Date]])</f>
        <v>0</v>
      </c>
      <c r="R912" s="34">
        <f>SUMIFS(DaybyDay[Retail-Actuals],DaybyDay[Date],"&gt;="&amp;$C$5,DaybyDay[RowYear],"&gt;="&amp;$C$4,DaybyDay[Date],"&lt;="&amp;DaybyDay[[#This Row],[Date]])</f>
        <v>0</v>
      </c>
      <c r="S912" s="35">
        <f>SUMIFS(DaybyDay[Service-LY],DaybyDay[Date],"&gt;="&amp;$C$5,DaybyDay[RowYear],"&gt;="&amp;$C$4,DaybyDay[Date],"&lt;="&amp;DaybyDay[[#This Row],[Date]])</f>
        <v>0</v>
      </c>
      <c r="T912" s="35">
        <f>SUMIFS(DaybyDay[Retail-LY],DaybyDay[Date],"&gt;="&amp;$C$5,DaybyDay[RowYear],"&gt;="&amp;$C$4,DaybyDay[Date],"&lt;="&amp;DaybyDay[[#This Row],[Date]])</f>
        <v>0</v>
      </c>
      <c r="U912" s="32">
        <f>DaybyDay[[#This Row],[Serv-Bud-RU]]+DaybyDay[[#This Row],[Ret-Bud-RU]]</f>
        <v>0</v>
      </c>
      <c r="V912" s="32">
        <f>DaybyDay[[#This Row],[Serv-Act-RU]]+DaybyDay[[#This Row],[Ret-Act-RU]]</f>
        <v>0</v>
      </c>
      <c r="W912" s="36">
        <f>IF(DaybyDay[[#This Row],[_Space]],IFERROR(
((DaybyDay[[#This Row],[Actual-Rollup]]-DaybyDay[[#This Row],[Budget-Rollup]])/DaybyDay[[#This Row],[Budget-Rollup]]),0),"")</f>
        <v>0</v>
      </c>
      <c r="X912" t="b">
        <f>NOT(AND(ISBLANK(DaybyDay[[#This Row],[Appts]]),ISBLANK(DaybyDay[[#This Row],[Service-Actuals]]),ISBLANK(DaybyDay[[#This Row],[Retail-Actuals]])))</f>
        <v>1</v>
      </c>
      <c r="Y912" s="36">
        <f>IF(DaybyDay[[#This Row],[_Space]],IFERROR(
((DaybyDay[[#This Row],[Actual-Rollup]]-DaybyDay[[#This Row],[LY-Rollup]])/DaybyDay[[#This Row],[LY-Rollup]]),0),"")</f>
        <v>0</v>
      </c>
      <c r="Z912"/>
      <c r="AA912" s="37" t="e">
        <f>IF(DaybyDay[[#This Row],[_Space]],DaybyDay[[#This Row],[Ret-Act-RU]]/DaybyDay[[#This Row],[Serv-Act-RU]],"")</f>
        <v>#DIV/0!</v>
      </c>
      <c r="AB912" s="50" t="e">
        <f>IF(DaybyDay[[#This Row],[_Space]],DaybyDay[[#This Row],[RETPEN-Act]]/DaybyDay[[#This Row],[RETPEN-Bud]],"")</f>
        <v>#DIV/0!</v>
      </c>
      <c r="AC912" s="37" t="e">
        <f>IF(DaybyDay[[#This Row],[_Space]],DaybyDay[[#This Row],[Ret-Bud-RU]]/DaybyDay[[#This Row],[Serv-Bud-RU]],"")</f>
        <v>#DIV/0!</v>
      </c>
      <c r="AD912" s="37" t="e">
        <f>IF(DaybyDay[[#This Row],[_Space]],DaybyDay[[#This Row],[Ret-LY-RU]]/DaybyDay[[#This Row],[Serv-LY-RU]],"")</f>
        <v>#DIV/0!</v>
      </c>
      <c r="AE912" s="30">
        <f>WEEKDAY(DaybyDay[[#This Row],[LY-Date]])</f>
        <v>3</v>
      </c>
      <c r="AF912" s="38">
        <f>$E$2+_xlfn.DAYS(DaybyDay[[#This Row],[Date]],minDate)</f>
        <v>43277</v>
      </c>
      <c r="AG912" s="39" cm="1">
        <f t="array" ref="AG912">IFERROR(INDEX(DaybyDay[],DaybyDay[[#This Row],[FORM_MATCH_HELPER]],8),"")</f>
        <v>20</v>
      </c>
      <c r="AH912" s="39" cm="1">
        <f t="array" ref="AH912">IFERROR(INDEX(DaybyDay[],DaybyDay[[#This Row],[FORM_MATCH_HELPER]],10),"")</f>
        <v>4080.65</v>
      </c>
      <c r="AI912" s="39" cm="1">
        <f t="array" ref="AI912">IFERROR(INDEX(DaybyDay[],DaybyDay[[#This Row],[FORM_MATCH_HELPER]],12),"")</f>
        <v>1063.5</v>
      </c>
      <c r="AJ912" s="32">
        <f>IFERROR(DaybyDay[[#This Row],[Serv-LY-RU]]+DaybyDay[[#This Row],[Ret-LY-RU]],"")</f>
        <v>0</v>
      </c>
      <c r="AK9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2" s="77"/>
      <c r="AM912" s="40" t="str">
        <f>IF(DaybyDay[[#This Row],[Admin Hours]]&gt;0,DaybyDay[[#This Row],[Admin Hours]]*$AM$2+$AM$3,"")</f>
        <v/>
      </c>
      <c r="AN912" s="40">
        <f>SUMIFS(DaybyDay[Est-Admin-Payroll],DaybyDay[Date],"&gt;="&amp;$C$5,DaybyDay[RowYear],"&gt;="&amp;$C$4,DaybyDay[Date],"&lt;="&amp;DaybyDay[[#This Row],[Date]])</f>
        <v>0</v>
      </c>
      <c r="AO912" s="41" t="str">
        <f>IF(AND(DaybyDay[[#This Row],[_Space]],ISNUMBER(DaybyDay[[#This Row],[Admin Hours]])),DaybyDay[[#This Row],[Est-Admin-Payroll]]/(DaybyDay[[#This Row],[Service-Actuals]]+DaybyDay[[#This Row],[Retail-Actuals]]),"")</f>
        <v/>
      </c>
      <c r="AP912" s="41" t="e">
        <f>DaybyDay[[#This Row],[Estimated-Payroll-Rollup]]/DaybyDay[[#This Row],[Simple-Forecast]]</f>
        <v>#DIV/0!</v>
      </c>
      <c r="AQ9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2" s="77"/>
      <c r="AS912" s="40" t="str">
        <f>IF(DaybyDay[[#This Row],[Retail Hours]]&gt;0,DaybyDay[[#This Row],[Retail Hours]]*$AS$2,"")</f>
        <v/>
      </c>
      <c r="AT912" s="40">
        <f>SUMIFS(DaybyDay[Est-Retail-Payroll],DaybyDay[Date],"&gt;="&amp;$C$5,DaybyDay[RowYear],"&gt;="&amp;$C$4,DaybyDay[Date],"&lt;="&amp;DaybyDay[[#This Row],[Date]])</f>
        <v>0</v>
      </c>
      <c r="AU912" s="82" t="str">
        <f>IF(AND(DaybyDay[[#This Row],[_Space]],ISNUMBER(DaybyDay[[#This Row],[Retail Hours]])),DaybyDay[[#This Row],[Est-Retail-Payroll]]/(DaybyDay[[#This Row],[Retail-Actuals]]),"")</f>
        <v/>
      </c>
      <c r="AV912" s="82" t="e">
        <f>DaybyDay[[#This Row],[Est-Retail-PayrollRU]]/DaybyDay[[#This Row],[Simple-Forecast-Retail]]</f>
        <v>#DIV/0!</v>
      </c>
      <c r="AW912" s="8"/>
      <c r="AX912" s="49"/>
      <c r="AY912" s="48"/>
      <c r="AZ912" s="47"/>
      <c r="BA912" s="47"/>
      <c r="BB912" s="47"/>
      <c r="BC912" s="47"/>
      <c r="BD912" s="47"/>
    </row>
    <row r="913" spans="3:56" hidden="1" x14ac:dyDescent="0.25">
      <c r="C913" s="26" t="str">
        <f>Tools!$C$1</f>
        <v>Example</v>
      </c>
      <c r="D913" s="27" t="s">
        <v>73</v>
      </c>
      <c r="E913" s="28">
        <v>2019</v>
      </c>
      <c r="F913" s="28">
        <f>MATCH(DaybyDay[[#This Row],[RowMonth]],Table3[SummaryMonth],0)</f>
        <v>6</v>
      </c>
      <c r="G913" s="29">
        <f>MATCH(DaybyDay[[#This Row],[LY-Date]],DaybyDay[Date],0)</f>
        <v>543</v>
      </c>
      <c r="H913" s="30">
        <f>WEEKDAY(DaybyDay[[#This Row],[Date]])</f>
        <v>4</v>
      </c>
      <c r="I913" s="31">
        <v>43642</v>
      </c>
      <c r="J913" s="74">
        <v>19</v>
      </c>
      <c r="K913" s="32">
        <f>SUMIFS(BudgetSeasonality[365 Seasonality],BudgetSeasonality[MonthAdjustment],DaybyDay[[#This Row],[Date]])*SUMIFS(Budgets[Service-Budget],Budgets[BudgetMonth],DaybyDay[[#This Row],[RowMonth]],Budgets[BudgetYear],DaybyDay[[#This Row],[RowYear]])</f>
        <v>4197.77031592002</v>
      </c>
      <c r="L913" s="75">
        <v>3511.17</v>
      </c>
      <c r="M913" s="32">
        <f>INDEX(BudgetSeasonality[365 Seasonality],MATCH(DaybyDay[[#This Row],[Date]],BudgetSeasonality[MonthAdjustment],0))*SUMIFS(Budgets[Retail-Budget],Budgets[BudgetMonth],DaybyDay[[#This Row],[RowMonth]],Budgets[BudgetYear],DaybyDay[[#This Row],[RowYear]])</f>
        <v>1207.5025181475096</v>
      </c>
      <c r="N913" s="75">
        <v>1086.7</v>
      </c>
      <c r="O913" s="33">
        <f>SUMIFS(DaybyDay[Service-Budgets],DaybyDay[Date],"&gt;="&amp;$C$5,DaybyDay[RowYear],"&gt;="&amp;$C$4,DaybyDay[Date],"&lt;="&amp;DaybyDay[[#This Row],[Date]])</f>
        <v>0</v>
      </c>
      <c r="P913" s="33">
        <f>SUMIFS(DaybyDay[Retail-Budgets],DaybyDay[Date],"&gt;="&amp;$C$5,DaybyDay[RowYear],"&gt;="&amp;$C$4,DaybyDay[Date],"&lt;="&amp;DaybyDay[[#This Row],[Date]])</f>
        <v>0</v>
      </c>
      <c r="Q913" s="34">
        <f>SUMIFS(DaybyDay[Service-Actuals],DaybyDay[Date],"&gt;="&amp;$C$5,DaybyDay[RowYear],"&gt;="&amp;$C$4,DaybyDay[Date],"&lt;="&amp;DaybyDay[[#This Row],[Date]])</f>
        <v>0</v>
      </c>
      <c r="R913" s="34">
        <f>SUMIFS(DaybyDay[Retail-Actuals],DaybyDay[Date],"&gt;="&amp;$C$5,DaybyDay[RowYear],"&gt;="&amp;$C$4,DaybyDay[Date],"&lt;="&amp;DaybyDay[[#This Row],[Date]])</f>
        <v>0</v>
      </c>
      <c r="S913" s="35">
        <f>SUMIFS(DaybyDay[Service-LY],DaybyDay[Date],"&gt;="&amp;$C$5,DaybyDay[RowYear],"&gt;="&amp;$C$4,DaybyDay[Date],"&lt;="&amp;DaybyDay[[#This Row],[Date]])</f>
        <v>0</v>
      </c>
      <c r="T913" s="35">
        <f>SUMIFS(DaybyDay[Retail-LY],DaybyDay[Date],"&gt;="&amp;$C$5,DaybyDay[RowYear],"&gt;="&amp;$C$4,DaybyDay[Date],"&lt;="&amp;DaybyDay[[#This Row],[Date]])</f>
        <v>0</v>
      </c>
      <c r="U913" s="32">
        <f>DaybyDay[[#This Row],[Serv-Bud-RU]]+DaybyDay[[#This Row],[Ret-Bud-RU]]</f>
        <v>0</v>
      </c>
      <c r="V913" s="32">
        <f>DaybyDay[[#This Row],[Serv-Act-RU]]+DaybyDay[[#This Row],[Ret-Act-RU]]</f>
        <v>0</v>
      </c>
      <c r="W913" s="36">
        <f>IF(DaybyDay[[#This Row],[_Space]],IFERROR(
((DaybyDay[[#This Row],[Actual-Rollup]]-DaybyDay[[#This Row],[Budget-Rollup]])/DaybyDay[[#This Row],[Budget-Rollup]]),0),"")</f>
        <v>0</v>
      </c>
      <c r="X913" t="b">
        <f>NOT(AND(ISBLANK(DaybyDay[[#This Row],[Appts]]),ISBLANK(DaybyDay[[#This Row],[Service-Actuals]]),ISBLANK(DaybyDay[[#This Row],[Retail-Actuals]])))</f>
        <v>1</v>
      </c>
      <c r="Y913" s="36">
        <f>IF(DaybyDay[[#This Row],[_Space]],IFERROR(
((DaybyDay[[#This Row],[Actual-Rollup]]-DaybyDay[[#This Row],[LY-Rollup]])/DaybyDay[[#This Row],[LY-Rollup]]),0),"")</f>
        <v>0</v>
      </c>
      <c r="Z913"/>
      <c r="AA913" s="37" t="e">
        <f>IF(DaybyDay[[#This Row],[_Space]],DaybyDay[[#This Row],[Ret-Act-RU]]/DaybyDay[[#This Row],[Serv-Act-RU]],"")</f>
        <v>#DIV/0!</v>
      </c>
      <c r="AB913" s="50" t="e">
        <f>IF(DaybyDay[[#This Row],[_Space]],DaybyDay[[#This Row],[RETPEN-Act]]/DaybyDay[[#This Row],[RETPEN-Bud]],"")</f>
        <v>#DIV/0!</v>
      </c>
      <c r="AC913" s="37" t="e">
        <f>IF(DaybyDay[[#This Row],[_Space]],DaybyDay[[#This Row],[Ret-Bud-RU]]/DaybyDay[[#This Row],[Serv-Bud-RU]],"")</f>
        <v>#DIV/0!</v>
      </c>
      <c r="AD913" s="37" t="e">
        <f>IF(DaybyDay[[#This Row],[_Space]],DaybyDay[[#This Row],[Ret-LY-RU]]/DaybyDay[[#This Row],[Serv-LY-RU]],"")</f>
        <v>#DIV/0!</v>
      </c>
      <c r="AE913" s="30">
        <f>WEEKDAY(DaybyDay[[#This Row],[LY-Date]])</f>
        <v>4</v>
      </c>
      <c r="AF913" s="38">
        <f>$E$2+_xlfn.DAYS(DaybyDay[[#This Row],[Date]],minDate)</f>
        <v>43278</v>
      </c>
      <c r="AG913" s="39" cm="1">
        <f t="array" ref="AG913">IFERROR(INDEX(DaybyDay[],DaybyDay[[#This Row],[FORM_MATCH_HELPER]],8),"")</f>
        <v>26</v>
      </c>
      <c r="AH913" s="39" cm="1">
        <f t="array" ref="AH913">IFERROR(INDEX(DaybyDay[],DaybyDay[[#This Row],[FORM_MATCH_HELPER]],10),"")</f>
        <v>5093.8</v>
      </c>
      <c r="AI913" s="39" cm="1">
        <f t="array" ref="AI913">IFERROR(INDEX(DaybyDay[],DaybyDay[[#This Row],[FORM_MATCH_HELPER]],12),"")</f>
        <v>1923.5</v>
      </c>
      <c r="AJ913" s="32">
        <f>IFERROR(DaybyDay[[#This Row],[Serv-LY-RU]]+DaybyDay[[#This Row],[Ret-LY-RU]],"")</f>
        <v>0</v>
      </c>
      <c r="AK9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3" s="77"/>
      <c r="AM913" s="40" t="str">
        <f>IF(DaybyDay[[#This Row],[Admin Hours]]&gt;0,DaybyDay[[#This Row],[Admin Hours]]*$AM$2+$AM$3,"")</f>
        <v/>
      </c>
      <c r="AN913" s="40">
        <f>SUMIFS(DaybyDay[Est-Admin-Payroll],DaybyDay[Date],"&gt;="&amp;$C$5,DaybyDay[RowYear],"&gt;="&amp;$C$4,DaybyDay[Date],"&lt;="&amp;DaybyDay[[#This Row],[Date]])</f>
        <v>0</v>
      </c>
      <c r="AO913" s="41" t="str">
        <f>IF(AND(DaybyDay[[#This Row],[_Space]],ISNUMBER(DaybyDay[[#This Row],[Admin Hours]])),DaybyDay[[#This Row],[Est-Admin-Payroll]]/(DaybyDay[[#This Row],[Service-Actuals]]+DaybyDay[[#This Row],[Retail-Actuals]]),"")</f>
        <v/>
      </c>
      <c r="AP913" s="41" t="e">
        <f>DaybyDay[[#This Row],[Estimated-Payroll-Rollup]]/DaybyDay[[#This Row],[Simple-Forecast]]</f>
        <v>#DIV/0!</v>
      </c>
      <c r="AQ9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3" s="77"/>
      <c r="AS913" s="40" t="str">
        <f>IF(DaybyDay[[#This Row],[Retail Hours]]&gt;0,DaybyDay[[#This Row],[Retail Hours]]*$AS$2,"")</f>
        <v/>
      </c>
      <c r="AT913" s="40">
        <f>SUMIFS(DaybyDay[Est-Retail-Payroll],DaybyDay[Date],"&gt;="&amp;$C$5,DaybyDay[RowYear],"&gt;="&amp;$C$4,DaybyDay[Date],"&lt;="&amp;DaybyDay[[#This Row],[Date]])</f>
        <v>0</v>
      </c>
      <c r="AU913" s="82" t="str">
        <f>IF(AND(DaybyDay[[#This Row],[_Space]],ISNUMBER(DaybyDay[[#This Row],[Retail Hours]])),DaybyDay[[#This Row],[Est-Retail-Payroll]]/(DaybyDay[[#This Row],[Retail-Actuals]]),"")</f>
        <v/>
      </c>
      <c r="AV913" s="82" t="e">
        <f>DaybyDay[[#This Row],[Est-Retail-PayrollRU]]/DaybyDay[[#This Row],[Simple-Forecast-Retail]]</f>
        <v>#DIV/0!</v>
      </c>
      <c r="AW913" s="8"/>
      <c r="AX913" s="49"/>
      <c r="AY913" s="48"/>
      <c r="AZ913" s="47"/>
      <c r="BA913" s="47"/>
      <c r="BB913" s="47"/>
      <c r="BC913" s="47"/>
      <c r="BD913" s="47"/>
    </row>
    <row r="914" spans="3:56" hidden="1" x14ac:dyDescent="0.25">
      <c r="C914" s="26" t="str">
        <f>Tools!$C$1</f>
        <v>Example</v>
      </c>
      <c r="D914" s="27" t="s">
        <v>73</v>
      </c>
      <c r="E914" s="28">
        <v>2019</v>
      </c>
      <c r="F914" s="28">
        <f>MATCH(DaybyDay[[#This Row],[RowMonth]],Table3[SummaryMonth],0)</f>
        <v>6</v>
      </c>
      <c r="G914" s="29">
        <f>MATCH(DaybyDay[[#This Row],[LY-Date]],DaybyDay[Date],0)</f>
        <v>544</v>
      </c>
      <c r="H914" s="30">
        <f>WEEKDAY(DaybyDay[[#This Row],[Date]])</f>
        <v>5</v>
      </c>
      <c r="I914" s="31">
        <v>43643</v>
      </c>
      <c r="J914" s="74">
        <v>24</v>
      </c>
      <c r="K914" s="32">
        <f>SUMIFS(BudgetSeasonality[365 Seasonality],BudgetSeasonality[MonthAdjustment],DaybyDay[[#This Row],[Date]])*SUMIFS(Budgets[Service-Budget],Budgets[BudgetMonth],DaybyDay[[#This Row],[RowMonth]],Budgets[BudgetYear],DaybyDay[[#This Row],[RowYear]])</f>
        <v>4236.771899397163</v>
      </c>
      <c r="L914" s="75">
        <v>3918.32</v>
      </c>
      <c r="M914" s="32">
        <f>INDEX(BudgetSeasonality[365 Seasonality],MATCH(DaybyDay[[#This Row],[Date]],BudgetSeasonality[MonthAdjustment],0))*SUMIFS(Budgets[Retail-Budget],Budgets[BudgetMonth],DaybyDay[[#This Row],[RowMonth]],Budgets[BudgetYear],DaybyDay[[#This Row],[RowYear]])</f>
        <v>1218.7214526570478</v>
      </c>
      <c r="N914" s="75">
        <v>241.48</v>
      </c>
      <c r="O914" s="33">
        <f>SUMIFS(DaybyDay[Service-Budgets],DaybyDay[Date],"&gt;="&amp;$C$5,DaybyDay[RowYear],"&gt;="&amp;$C$4,DaybyDay[Date],"&lt;="&amp;DaybyDay[[#This Row],[Date]])</f>
        <v>0</v>
      </c>
      <c r="P914" s="33">
        <f>SUMIFS(DaybyDay[Retail-Budgets],DaybyDay[Date],"&gt;="&amp;$C$5,DaybyDay[RowYear],"&gt;="&amp;$C$4,DaybyDay[Date],"&lt;="&amp;DaybyDay[[#This Row],[Date]])</f>
        <v>0</v>
      </c>
      <c r="Q914" s="34">
        <f>SUMIFS(DaybyDay[Service-Actuals],DaybyDay[Date],"&gt;="&amp;$C$5,DaybyDay[RowYear],"&gt;="&amp;$C$4,DaybyDay[Date],"&lt;="&amp;DaybyDay[[#This Row],[Date]])</f>
        <v>0</v>
      </c>
      <c r="R914" s="34">
        <f>SUMIFS(DaybyDay[Retail-Actuals],DaybyDay[Date],"&gt;="&amp;$C$5,DaybyDay[RowYear],"&gt;="&amp;$C$4,DaybyDay[Date],"&lt;="&amp;DaybyDay[[#This Row],[Date]])</f>
        <v>0</v>
      </c>
      <c r="S914" s="35">
        <f>SUMIFS(DaybyDay[Service-LY],DaybyDay[Date],"&gt;="&amp;$C$5,DaybyDay[RowYear],"&gt;="&amp;$C$4,DaybyDay[Date],"&lt;="&amp;DaybyDay[[#This Row],[Date]])</f>
        <v>0</v>
      </c>
      <c r="T914" s="35">
        <f>SUMIFS(DaybyDay[Retail-LY],DaybyDay[Date],"&gt;="&amp;$C$5,DaybyDay[RowYear],"&gt;="&amp;$C$4,DaybyDay[Date],"&lt;="&amp;DaybyDay[[#This Row],[Date]])</f>
        <v>0</v>
      </c>
      <c r="U914" s="32">
        <f>DaybyDay[[#This Row],[Serv-Bud-RU]]+DaybyDay[[#This Row],[Ret-Bud-RU]]</f>
        <v>0</v>
      </c>
      <c r="V914" s="32">
        <f>DaybyDay[[#This Row],[Serv-Act-RU]]+DaybyDay[[#This Row],[Ret-Act-RU]]</f>
        <v>0</v>
      </c>
      <c r="W914" s="36">
        <f>IF(DaybyDay[[#This Row],[_Space]],IFERROR(
((DaybyDay[[#This Row],[Actual-Rollup]]-DaybyDay[[#This Row],[Budget-Rollup]])/DaybyDay[[#This Row],[Budget-Rollup]]),0),"")</f>
        <v>0</v>
      </c>
      <c r="X914" t="b">
        <f>NOT(AND(ISBLANK(DaybyDay[[#This Row],[Appts]]),ISBLANK(DaybyDay[[#This Row],[Service-Actuals]]),ISBLANK(DaybyDay[[#This Row],[Retail-Actuals]])))</f>
        <v>1</v>
      </c>
      <c r="Y914" s="36">
        <f>IF(DaybyDay[[#This Row],[_Space]],IFERROR(
((DaybyDay[[#This Row],[Actual-Rollup]]-DaybyDay[[#This Row],[LY-Rollup]])/DaybyDay[[#This Row],[LY-Rollup]]),0),"")</f>
        <v>0</v>
      </c>
      <c r="Z914"/>
      <c r="AA914" s="37" t="e">
        <f>IF(DaybyDay[[#This Row],[_Space]],DaybyDay[[#This Row],[Ret-Act-RU]]/DaybyDay[[#This Row],[Serv-Act-RU]],"")</f>
        <v>#DIV/0!</v>
      </c>
      <c r="AB914" s="50" t="e">
        <f>IF(DaybyDay[[#This Row],[_Space]],DaybyDay[[#This Row],[RETPEN-Act]]/DaybyDay[[#This Row],[RETPEN-Bud]],"")</f>
        <v>#DIV/0!</v>
      </c>
      <c r="AC914" s="37" t="e">
        <f>IF(DaybyDay[[#This Row],[_Space]],DaybyDay[[#This Row],[Ret-Bud-RU]]/DaybyDay[[#This Row],[Serv-Bud-RU]],"")</f>
        <v>#DIV/0!</v>
      </c>
      <c r="AD914" s="37" t="e">
        <f>IF(DaybyDay[[#This Row],[_Space]],DaybyDay[[#This Row],[Ret-LY-RU]]/DaybyDay[[#This Row],[Serv-LY-RU]],"")</f>
        <v>#DIV/0!</v>
      </c>
      <c r="AE914" s="30">
        <f>WEEKDAY(DaybyDay[[#This Row],[LY-Date]])</f>
        <v>5</v>
      </c>
      <c r="AF914" s="38">
        <f>$E$2+_xlfn.DAYS(DaybyDay[[#This Row],[Date]],minDate)</f>
        <v>43279</v>
      </c>
      <c r="AG914" s="39" cm="1">
        <f t="array" ref="AG914">IFERROR(INDEX(DaybyDay[],DaybyDay[[#This Row],[FORM_MATCH_HELPER]],8),"")</f>
        <v>47</v>
      </c>
      <c r="AH914" s="39" cm="1">
        <f t="array" ref="AH914">IFERROR(INDEX(DaybyDay[],DaybyDay[[#This Row],[FORM_MATCH_HELPER]],10),"")</f>
        <v>7464.4</v>
      </c>
      <c r="AI914" s="39" cm="1">
        <f t="array" ref="AI914">IFERROR(INDEX(DaybyDay[],DaybyDay[[#This Row],[FORM_MATCH_HELPER]],12),"")</f>
        <v>5013</v>
      </c>
      <c r="AJ914" s="32">
        <f>IFERROR(DaybyDay[[#This Row],[Serv-LY-RU]]+DaybyDay[[#This Row],[Ret-LY-RU]],"")</f>
        <v>0</v>
      </c>
      <c r="AK9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4" s="77"/>
      <c r="AM914" s="40" t="str">
        <f>IF(DaybyDay[[#This Row],[Admin Hours]]&gt;0,DaybyDay[[#This Row],[Admin Hours]]*$AM$2+$AM$3,"")</f>
        <v/>
      </c>
      <c r="AN914" s="40">
        <f>SUMIFS(DaybyDay[Est-Admin-Payroll],DaybyDay[Date],"&gt;="&amp;$C$5,DaybyDay[RowYear],"&gt;="&amp;$C$4,DaybyDay[Date],"&lt;="&amp;DaybyDay[[#This Row],[Date]])</f>
        <v>0</v>
      </c>
      <c r="AO914" s="41" t="str">
        <f>IF(AND(DaybyDay[[#This Row],[_Space]],ISNUMBER(DaybyDay[[#This Row],[Admin Hours]])),DaybyDay[[#This Row],[Est-Admin-Payroll]]/(DaybyDay[[#This Row],[Service-Actuals]]+DaybyDay[[#This Row],[Retail-Actuals]]),"")</f>
        <v/>
      </c>
      <c r="AP914" s="41" t="e">
        <f>DaybyDay[[#This Row],[Estimated-Payroll-Rollup]]/DaybyDay[[#This Row],[Simple-Forecast]]</f>
        <v>#DIV/0!</v>
      </c>
      <c r="AQ9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4" s="77"/>
      <c r="AS914" s="40" t="str">
        <f>IF(DaybyDay[[#This Row],[Retail Hours]]&gt;0,DaybyDay[[#This Row],[Retail Hours]]*$AS$2,"")</f>
        <v/>
      </c>
      <c r="AT914" s="40">
        <f>SUMIFS(DaybyDay[Est-Retail-Payroll],DaybyDay[Date],"&gt;="&amp;$C$5,DaybyDay[RowYear],"&gt;="&amp;$C$4,DaybyDay[Date],"&lt;="&amp;DaybyDay[[#This Row],[Date]])</f>
        <v>0</v>
      </c>
      <c r="AU914" s="82" t="str">
        <f>IF(AND(DaybyDay[[#This Row],[_Space]],ISNUMBER(DaybyDay[[#This Row],[Retail Hours]])),DaybyDay[[#This Row],[Est-Retail-Payroll]]/(DaybyDay[[#This Row],[Retail-Actuals]]),"")</f>
        <v/>
      </c>
      <c r="AV914" s="82" t="e">
        <f>DaybyDay[[#This Row],[Est-Retail-PayrollRU]]/DaybyDay[[#This Row],[Simple-Forecast-Retail]]</f>
        <v>#DIV/0!</v>
      </c>
      <c r="AW914" s="8"/>
      <c r="AX914" s="49"/>
      <c r="AY914" s="48"/>
      <c r="AZ914" s="47"/>
      <c r="BA914" s="47"/>
      <c r="BB914" s="47"/>
      <c r="BC914" s="47"/>
      <c r="BD914" s="47"/>
    </row>
    <row r="915" spans="3:56" hidden="1" x14ac:dyDescent="0.25">
      <c r="C915" s="26" t="str">
        <f>Tools!$C$1</f>
        <v>Example</v>
      </c>
      <c r="D915" s="27" t="s">
        <v>73</v>
      </c>
      <c r="E915" s="28">
        <v>2019</v>
      </c>
      <c r="F915" s="28">
        <f>MATCH(DaybyDay[[#This Row],[RowMonth]],Table3[SummaryMonth],0)</f>
        <v>6</v>
      </c>
      <c r="G915" s="29">
        <f>MATCH(DaybyDay[[#This Row],[LY-Date]],DaybyDay[Date],0)</f>
        <v>545</v>
      </c>
      <c r="H915" s="30">
        <f>WEEKDAY(DaybyDay[[#This Row],[Date]])</f>
        <v>6</v>
      </c>
      <c r="I915" s="31">
        <v>43644</v>
      </c>
      <c r="J915" s="74">
        <v>29</v>
      </c>
      <c r="K915" s="32">
        <f>SUMIFS(BudgetSeasonality[365 Seasonality],BudgetSeasonality[MonthAdjustment],DaybyDay[[#This Row],[Date]])*SUMIFS(Budgets[Service-Budget],Budgets[BudgetMonth],DaybyDay[[#This Row],[RowMonth]],Budgets[BudgetYear],DaybyDay[[#This Row],[RowYear]])</f>
        <v>5318.6192969894164</v>
      </c>
      <c r="L915" s="75">
        <v>5597.6</v>
      </c>
      <c r="M915" s="32">
        <f>INDEX(BudgetSeasonality[365 Seasonality],MATCH(DaybyDay[[#This Row],[Date]],BudgetSeasonality[MonthAdjustment],0))*SUMIFS(Budgets[Retail-Budget],Budgets[BudgetMonth],DaybyDay[[#This Row],[RowMonth]],Budgets[BudgetYear],DaybyDay[[#This Row],[RowYear]])</f>
        <v>1529.9184354671158</v>
      </c>
      <c r="N915" s="75">
        <v>2085.5</v>
      </c>
      <c r="O915" s="33">
        <f>SUMIFS(DaybyDay[Service-Budgets],DaybyDay[Date],"&gt;="&amp;$C$5,DaybyDay[RowYear],"&gt;="&amp;$C$4,DaybyDay[Date],"&lt;="&amp;DaybyDay[[#This Row],[Date]])</f>
        <v>0</v>
      </c>
      <c r="P915" s="33">
        <f>SUMIFS(DaybyDay[Retail-Budgets],DaybyDay[Date],"&gt;="&amp;$C$5,DaybyDay[RowYear],"&gt;="&amp;$C$4,DaybyDay[Date],"&lt;="&amp;DaybyDay[[#This Row],[Date]])</f>
        <v>0</v>
      </c>
      <c r="Q915" s="34">
        <f>SUMIFS(DaybyDay[Service-Actuals],DaybyDay[Date],"&gt;="&amp;$C$5,DaybyDay[RowYear],"&gt;="&amp;$C$4,DaybyDay[Date],"&lt;="&amp;DaybyDay[[#This Row],[Date]])</f>
        <v>0</v>
      </c>
      <c r="R915" s="34">
        <f>SUMIFS(DaybyDay[Retail-Actuals],DaybyDay[Date],"&gt;="&amp;$C$5,DaybyDay[RowYear],"&gt;="&amp;$C$4,DaybyDay[Date],"&lt;="&amp;DaybyDay[[#This Row],[Date]])</f>
        <v>0</v>
      </c>
      <c r="S915" s="35">
        <f>SUMIFS(DaybyDay[Service-LY],DaybyDay[Date],"&gt;="&amp;$C$5,DaybyDay[RowYear],"&gt;="&amp;$C$4,DaybyDay[Date],"&lt;="&amp;DaybyDay[[#This Row],[Date]])</f>
        <v>0</v>
      </c>
      <c r="T915" s="35">
        <f>SUMIFS(DaybyDay[Retail-LY],DaybyDay[Date],"&gt;="&amp;$C$5,DaybyDay[RowYear],"&gt;="&amp;$C$4,DaybyDay[Date],"&lt;="&amp;DaybyDay[[#This Row],[Date]])</f>
        <v>0</v>
      </c>
      <c r="U915" s="32">
        <f>DaybyDay[[#This Row],[Serv-Bud-RU]]+DaybyDay[[#This Row],[Ret-Bud-RU]]</f>
        <v>0</v>
      </c>
      <c r="V915" s="32">
        <f>DaybyDay[[#This Row],[Serv-Act-RU]]+DaybyDay[[#This Row],[Ret-Act-RU]]</f>
        <v>0</v>
      </c>
      <c r="W915" s="36">
        <f>IF(DaybyDay[[#This Row],[_Space]],IFERROR(
((DaybyDay[[#This Row],[Actual-Rollup]]-DaybyDay[[#This Row],[Budget-Rollup]])/DaybyDay[[#This Row],[Budget-Rollup]]),0),"")</f>
        <v>0</v>
      </c>
      <c r="X915" t="b">
        <f>NOT(AND(ISBLANK(DaybyDay[[#This Row],[Appts]]),ISBLANK(DaybyDay[[#This Row],[Service-Actuals]]),ISBLANK(DaybyDay[[#This Row],[Retail-Actuals]])))</f>
        <v>1</v>
      </c>
      <c r="Y915" s="36">
        <f>IF(DaybyDay[[#This Row],[_Space]],IFERROR(
((DaybyDay[[#This Row],[Actual-Rollup]]-DaybyDay[[#This Row],[LY-Rollup]])/DaybyDay[[#This Row],[LY-Rollup]]),0),"")</f>
        <v>0</v>
      </c>
      <c r="Z915"/>
      <c r="AA915" s="37" t="e">
        <f>IF(DaybyDay[[#This Row],[_Space]],DaybyDay[[#This Row],[Ret-Act-RU]]/DaybyDay[[#This Row],[Serv-Act-RU]],"")</f>
        <v>#DIV/0!</v>
      </c>
      <c r="AB915" s="50" t="e">
        <f>IF(DaybyDay[[#This Row],[_Space]],DaybyDay[[#This Row],[RETPEN-Act]]/DaybyDay[[#This Row],[RETPEN-Bud]],"")</f>
        <v>#DIV/0!</v>
      </c>
      <c r="AC915" s="37" t="e">
        <f>IF(DaybyDay[[#This Row],[_Space]],DaybyDay[[#This Row],[Ret-Bud-RU]]/DaybyDay[[#This Row],[Serv-Bud-RU]],"")</f>
        <v>#DIV/0!</v>
      </c>
      <c r="AD915" s="37" t="e">
        <f>IF(DaybyDay[[#This Row],[_Space]],DaybyDay[[#This Row],[Ret-LY-RU]]/DaybyDay[[#This Row],[Serv-LY-RU]],"")</f>
        <v>#DIV/0!</v>
      </c>
      <c r="AE915" s="30">
        <f>WEEKDAY(DaybyDay[[#This Row],[LY-Date]])</f>
        <v>6</v>
      </c>
      <c r="AF915" s="38">
        <f>$E$2+_xlfn.DAYS(DaybyDay[[#This Row],[Date]],minDate)</f>
        <v>43280</v>
      </c>
      <c r="AG915" s="39" cm="1">
        <f t="array" ref="AG915">IFERROR(INDEX(DaybyDay[],DaybyDay[[#This Row],[FORM_MATCH_HELPER]],8),"")</f>
        <v>24</v>
      </c>
      <c r="AH915" s="39" cm="1">
        <f t="array" ref="AH915">IFERROR(INDEX(DaybyDay[],DaybyDay[[#This Row],[FORM_MATCH_HELPER]],10),"")</f>
        <v>5305.23</v>
      </c>
      <c r="AI915" s="39" cm="1">
        <f t="array" ref="AI915">IFERROR(INDEX(DaybyDay[],DaybyDay[[#This Row],[FORM_MATCH_HELPER]],12),"")</f>
        <v>579.45000000000005</v>
      </c>
      <c r="AJ915" s="32">
        <f>IFERROR(DaybyDay[[#This Row],[Serv-LY-RU]]+DaybyDay[[#This Row],[Ret-LY-RU]],"")</f>
        <v>0</v>
      </c>
      <c r="AK9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5" s="77"/>
      <c r="AM915" s="40" t="str">
        <f>IF(DaybyDay[[#This Row],[Admin Hours]]&gt;0,DaybyDay[[#This Row],[Admin Hours]]*$AM$2+$AM$3,"")</f>
        <v/>
      </c>
      <c r="AN915" s="40">
        <f>SUMIFS(DaybyDay[Est-Admin-Payroll],DaybyDay[Date],"&gt;="&amp;$C$5,DaybyDay[RowYear],"&gt;="&amp;$C$4,DaybyDay[Date],"&lt;="&amp;DaybyDay[[#This Row],[Date]])</f>
        <v>0</v>
      </c>
      <c r="AO915" s="41" t="str">
        <f>IF(AND(DaybyDay[[#This Row],[_Space]],ISNUMBER(DaybyDay[[#This Row],[Admin Hours]])),DaybyDay[[#This Row],[Est-Admin-Payroll]]/(DaybyDay[[#This Row],[Service-Actuals]]+DaybyDay[[#This Row],[Retail-Actuals]]),"")</f>
        <v/>
      </c>
      <c r="AP915" s="41" t="e">
        <f>DaybyDay[[#This Row],[Estimated-Payroll-Rollup]]/DaybyDay[[#This Row],[Simple-Forecast]]</f>
        <v>#DIV/0!</v>
      </c>
      <c r="AQ9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5" s="77"/>
      <c r="AS915" s="40" t="str">
        <f>IF(DaybyDay[[#This Row],[Retail Hours]]&gt;0,DaybyDay[[#This Row],[Retail Hours]]*$AS$2,"")</f>
        <v/>
      </c>
      <c r="AT915" s="40">
        <f>SUMIFS(DaybyDay[Est-Retail-Payroll],DaybyDay[Date],"&gt;="&amp;$C$5,DaybyDay[RowYear],"&gt;="&amp;$C$4,DaybyDay[Date],"&lt;="&amp;DaybyDay[[#This Row],[Date]])</f>
        <v>0</v>
      </c>
      <c r="AU915" s="82" t="str">
        <f>IF(AND(DaybyDay[[#This Row],[_Space]],ISNUMBER(DaybyDay[[#This Row],[Retail Hours]])),DaybyDay[[#This Row],[Est-Retail-Payroll]]/(DaybyDay[[#This Row],[Retail-Actuals]]),"")</f>
        <v/>
      </c>
      <c r="AV915" s="82" t="e">
        <f>DaybyDay[[#This Row],[Est-Retail-PayrollRU]]/DaybyDay[[#This Row],[Simple-Forecast-Retail]]</f>
        <v>#DIV/0!</v>
      </c>
      <c r="AW915" s="8"/>
      <c r="AX915" s="49"/>
      <c r="AY915" s="48"/>
      <c r="AZ915" s="47"/>
      <c r="BA915" s="47"/>
      <c r="BB915" s="47"/>
      <c r="BC915" s="47"/>
      <c r="BD915" s="47"/>
    </row>
    <row r="916" spans="3:56" hidden="1" x14ac:dyDescent="0.25">
      <c r="C916" s="26" t="str">
        <f>Tools!$C$1</f>
        <v>Example</v>
      </c>
      <c r="D916" s="27" t="s">
        <v>73</v>
      </c>
      <c r="E916" s="28">
        <v>2019</v>
      </c>
      <c r="F916" s="28">
        <f>MATCH(DaybyDay[[#This Row],[RowMonth]],Table3[SummaryMonth],0)</f>
        <v>6</v>
      </c>
      <c r="G916" s="29">
        <f>MATCH(DaybyDay[[#This Row],[LY-Date]],DaybyDay[Date],0)</f>
        <v>546</v>
      </c>
      <c r="H916" s="30">
        <f>WEEKDAY(DaybyDay[[#This Row],[Date]])</f>
        <v>7</v>
      </c>
      <c r="I916" s="31">
        <v>43645</v>
      </c>
      <c r="J916" s="74">
        <v>28</v>
      </c>
      <c r="K916" s="32">
        <f>SUMIFS(BudgetSeasonality[365 Seasonality],BudgetSeasonality[MonthAdjustment],DaybyDay[[#This Row],[Date]])*SUMIFS(Budgets[Service-Budget],Budgets[BudgetMonth],DaybyDay[[#This Row],[RowMonth]],Budgets[BudgetYear],DaybyDay[[#This Row],[RowYear]])</f>
        <v>7713.394047658423</v>
      </c>
      <c r="L916" s="75">
        <v>7282.4</v>
      </c>
      <c r="M916" s="32">
        <f>INDEX(BudgetSeasonality[365 Seasonality],MATCH(DaybyDay[[#This Row],[Date]],BudgetSeasonality[MonthAdjustment],0))*SUMIFS(Budgets[Retail-Budget],Budgets[BudgetMonth],DaybyDay[[#This Row],[RowMonth]],Budgets[BudgetYear],DaybyDay[[#This Row],[RowYear]])</f>
        <v>2218.7833147250776</v>
      </c>
      <c r="N916" s="75">
        <v>231</v>
      </c>
      <c r="O916" s="33">
        <f>SUMIFS(DaybyDay[Service-Budgets],DaybyDay[Date],"&gt;="&amp;$C$5,DaybyDay[RowYear],"&gt;="&amp;$C$4,DaybyDay[Date],"&lt;="&amp;DaybyDay[[#This Row],[Date]])</f>
        <v>0</v>
      </c>
      <c r="P916" s="33">
        <f>SUMIFS(DaybyDay[Retail-Budgets],DaybyDay[Date],"&gt;="&amp;$C$5,DaybyDay[RowYear],"&gt;="&amp;$C$4,DaybyDay[Date],"&lt;="&amp;DaybyDay[[#This Row],[Date]])</f>
        <v>0</v>
      </c>
      <c r="Q916" s="34">
        <f>SUMIFS(DaybyDay[Service-Actuals],DaybyDay[Date],"&gt;="&amp;$C$5,DaybyDay[RowYear],"&gt;="&amp;$C$4,DaybyDay[Date],"&lt;="&amp;DaybyDay[[#This Row],[Date]])</f>
        <v>0</v>
      </c>
      <c r="R916" s="34">
        <f>SUMIFS(DaybyDay[Retail-Actuals],DaybyDay[Date],"&gt;="&amp;$C$5,DaybyDay[RowYear],"&gt;="&amp;$C$4,DaybyDay[Date],"&lt;="&amp;DaybyDay[[#This Row],[Date]])</f>
        <v>0</v>
      </c>
      <c r="S916" s="35">
        <f>SUMIFS(DaybyDay[Service-LY],DaybyDay[Date],"&gt;="&amp;$C$5,DaybyDay[RowYear],"&gt;="&amp;$C$4,DaybyDay[Date],"&lt;="&amp;DaybyDay[[#This Row],[Date]])</f>
        <v>0</v>
      </c>
      <c r="T916" s="35">
        <f>SUMIFS(DaybyDay[Retail-LY],DaybyDay[Date],"&gt;="&amp;$C$5,DaybyDay[RowYear],"&gt;="&amp;$C$4,DaybyDay[Date],"&lt;="&amp;DaybyDay[[#This Row],[Date]])</f>
        <v>0</v>
      </c>
      <c r="U916" s="32">
        <f>DaybyDay[[#This Row],[Serv-Bud-RU]]+DaybyDay[[#This Row],[Ret-Bud-RU]]</f>
        <v>0</v>
      </c>
      <c r="V916" s="32">
        <f>DaybyDay[[#This Row],[Serv-Act-RU]]+DaybyDay[[#This Row],[Ret-Act-RU]]</f>
        <v>0</v>
      </c>
      <c r="W916" s="36">
        <f>IF(DaybyDay[[#This Row],[_Space]],IFERROR(
((DaybyDay[[#This Row],[Actual-Rollup]]-DaybyDay[[#This Row],[Budget-Rollup]])/DaybyDay[[#This Row],[Budget-Rollup]]),0),"")</f>
        <v>0</v>
      </c>
      <c r="X916" t="b">
        <f>NOT(AND(ISBLANK(DaybyDay[[#This Row],[Appts]]),ISBLANK(DaybyDay[[#This Row],[Service-Actuals]]),ISBLANK(DaybyDay[[#This Row],[Retail-Actuals]])))</f>
        <v>1</v>
      </c>
      <c r="Y916" s="36">
        <f>IF(DaybyDay[[#This Row],[_Space]],IFERROR(
((DaybyDay[[#This Row],[Actual-Rollup]]-DaybyDay[[#This Row],[LY-Rollup]])/DaybyDay[[#This Row],[LY-Rollup]]),0),"")</f>
        <v>0</v>
      </c>
      <c r="Z916"/>
      <c r="AA916" s="37" t="e">
        <f>IF(DaybyDay[[#This Row],[_Space]],DaybyDay[[#This Row],[Ret-Act-RU]]/DaybyDay[[#This Row],[Serv-Act-RU]],"")</f>
        <v>#DIV/0!</v>
      </c>
      <c r="AB916" s="50" t="e">
        <f>IF(DaybyDay[[#This Row],[_Space]],DaybyDay[[#This Row],[RETPEN-Act]]/DaybyDay[[#This Row],[RETPEN-Bud]],"")</f>
        <v>#DIV/0!</v>
      </c>
      <c r="AC916" s="37" t="e">
        <f>IF(DaybyDay[[#This Row],[_Space]],DaybyDay[[#This Row],[Ret-Bud-RU]]/DaybyDay[[#This Row],[Serv-Bud-RU]],"")</f>
        <v>#DIV/0!</v>
      </c>
      <c r="AD916" s="37" t="e">
        <f>IF(DaybyDay[[#This Row],[_Space]],DaybyDay[[#This Row],[Ret-LY-RU]]/DaybyDay[[#This Row],[Serv-LY-RU]],"")</f>
        <v>#DIV/0!</v>
      </c>
      <c r="AE916" s="30">
        <f>WEEKDAY(DaybyDay[[#This Row],[LY-Date]])</f>
        <v>7</v>
      </c>
      <c r="AF916" s="38">
        <f>$E$2+_xlfn.DAYS(DaybyDay[[#This Row],[Date]],minDate)</f>
        <v>43281</v>
      </c>
      <c r="AG916" s="39" cm="1">
        <f t="array" ref="AG916">IFERROR(INDEX(DaybyDay[],DaybyDay[[#This Row],[FORM_MATCH_HELPER]],8),"")</f>
        <v>36</v>
      </c>
      <c r="AH916" s="39" cm="1">
        <f t="array" ref="AH916">IFERROR(INDEX(DaybyDay[],DaybyDay[[#This Row],[FORM_MATCH_HELPER]],10),"")</f>
        <v>7137</v>
      </c>
      <c r="AI916" s="39" cm="1">
        <f t="array" ref="AI916">IFERROR(INDEX(DaybyDay[],DaybyDay[[#This Row],[FORM_MATCH_HELPER]],12),"")</f>
        <v>1590</v>
      </c>
      <c r="AJ916" s="32">
        <f>IFERROR(DaybyDay[[#This Row],[Serv-LY-RU]]+DaybyDay[[#This Row],[Ret-LY-RU]],"")</f>
        <v>0</v>
      </c>
      <c r="AK9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6" s="77"/>
      <c r="AM916" s="40" t="str">
        <f>IF(DaybyDay[[#This Row],[Admin Hours]]&gt;0,DaybyDay[[#This Row],[Admin Hours]]*$AM$2+$AM$3,"")</f>
        <v/>
      </c>
      <c r="AN916" s="40">
        <f>SUMIFS(DaybyDay[Est-Admin-Payroll],DaybyDay[Date],"&gt;="&amp;$C$5,DaybyDay[RowYear],"&gt;="&amp;$C$4,DaybyDay[Date],"&lt;="&amp;DaybyDay[[#This Row],[Date]])</f>
        <v>0</v>
      </c>
      <c r="AO916" s="41" t="str">
        <f>IF(AND(DaybyDay[[#This Row],[_Space]],ISNUMBER(DaybyDay[[#This Row],[Admin Hours]])),DaybyDay[[#This Row],[Est-Admin-Payroll]]/(DaybyDay[[#This Row],[Service-Actuals]]+DaybyDay[[#This Row],[Retail-Actuals]]),"")</f>
        <v/>
      </c>
      <c r="AP916" s="41" t="e">
        <f>DaybyDay[[#This Row],[Estimated-Payroll-Rollup]]/DaybyDay[[#This Row],[Simple-Forecast]]</f>
        <v>#DIV/0!</v>
      </c>
      <c r="AQ9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6" s="77"/>
      <c r="AS916" s="40" t="str">
        <f>IF(DaybyDay[[#This Row],[Retail Hours]]&gt;0,DaybyDay[[#This Row],[Retail Hours]]*$AS$2,"")</f>
        <v/>
      </c>
      <c r="AT916" s="40">
        <f>SUMIFS(DaybyDay[Est-Retail-Payroll],DaybyDay[Date],"&gt;="&amp;$C$5,DaybyDay[RowYear],"&gt;="&amp;$C$4,DaybyDay[Date],"&lt;="&amp;DaybyDay[[#This Row],[Date]])</f>
        <v>0</v>
      </c>
      <c r="AU916" s="82" t="str">
        <f>IF(AND(DaybyDay[[#This Row],[_Space]],ISNUMBER(DaybyDay[[#This Row],[Retail Hours]])),DaybyDay[[#This Row],[Est-Retail-Payroll]]/(DaybyDay[[#This Row],[Retail-Actuals]]),"")</f>
        <v/>
      </c>
      <c r="AV916" s="82" t="e">
        <f>DaybyDay[[#This Row],[Est-Retail-PayrollRU]]/DaybyDay[[#This Row],[Simple-Forecast-Retail]]</f>
        <v>#DIV/0!</v>
      </c>
      <c r="AW916" s="8"/>
      <c r="AX916" s="49"/>
      <c r="AY916" s="48"/>
      <c r="AZ916" s="47"/>
      <c r="BA916" s="47"/>
      <c r="BB916" s="47"/>
      <c r="BC916" s="47"/>
      <c r="BD916" s="47"/>
    </row>
    <row r="917" spans="3:56" hidden="1" x14ac:dyDescent="0.25">
      <c r="C917" s="26" t="str">
        <f>Tools!$C$1</f>
        <v>Example</v>
      </c>
      <c r="D917" s="27" t="s">
        <v>73</v>
      </c>
      <c r="E917" s="28">
        <v>2019</v>
      </c>
      <c r="F917" s="28">
        <f>MATCH(DaybyDay[[#This Row],[RowMonth]],Table3[SummaryMonth],0)</f>
        <v>6</v>
      </c>
      <c r="G917" s="29">
        <f>MATCH(DaybyDay[[#This Row],[LY-Date]],DaybyDay[Date],0)</f>
        <v>547</v>
      </c>
      <c r="H917" s="30">
        <f>WEEKDAY(DaybyDay[[#This Row],[Date]])</f>
        <v>1</v>
      </c>
      <c r="I917" s="31">
        <v>43646</v>
      </c>
      <c r="J917" s="74">
        <v>13</v>
      </c>
      <c r="K917" s="32">
        <f>SUMIFS(BudgetSeasonality[365 Seasonality],BudgetSeasonality[MonthAdjustment],DaybyDay[[#This Row],[Date]])*SUMIFS(Budgets[Service-Budget],Budgets[BudgetMonth],DaybyDay[[#This Row],[RowMonth]],Budgets[BudgetYear],DaybyDay[[#This Row],[RowYear]])</f>
        <v>5789.1701997292403</v>
      </c>
      <c r="L917" s="75">
        <v>2742.6</v>
      </c>
      <c r="M917" s="32">
        <f>INDEX(BudgetSeasonality[365 Seasonality],MATCH(DaybyDay[[#This Row],[Date]],BudgetSeasonality[MonthAdjustment],0))*SUMIFS(Budgets[Retail-Budget],Budgets[BudgetMonth],DaybyDay[[#This Row],[RowMonth]],Budgets[BudgetYear],DaybyDay[[#This Row],[RowYear]])</f>
        <v>1665.2739592841428</v>
      </c>
      <c r="N917" s="75">
        <v>271</v>
      </c>
      <c r="O917" s="33">
        <f>SUMIFS(DaybyDay[Service-Budgets],DaybyDay[Date],"&gt;="&amp;$C$5,DaybyDay[RowYear],"&gt;="&amp;$C$4,DaybyDay[Date],"&lt;="&amp;DaybyDay[[#This Row],[Date]])</f>
        <v>0</v>
      </c>
      <c r="P917" s="33">
        <f>SUMIFS(DaybyDay[Retail-Budgets],DaybyDay[Date],"&gt;="&amp;$C$5,DaybyDay[RowYear],"&gt;="&amp;$C$4,DaybyDay[Date],"&lt;="&amp;DaybyDay[[#This Row],[Date]])</f>
        <v>0</v>
      </c>
      <c r="Q917" s="34">
        <f>SUMIFS(DaybyDay[Service-Actuals],DaybyDay[Date],"&gt;="&amp;$C$5,DaybyDay[RowYear],"&gt;="&amp;$C$4,DaybyDay[Date],"&lt;="&amp;DaybyDay[[#This Row],[Date]])</f>
        <v>0</v>
      </c>
      <c r="R917" s="34">
        <f>SUMIFS(DaybyDay[Retail-Actuals],DaybyDay[Date],"&gt;="&amp;$C$5,DaybyDay[RowYear],"&gt;="&amp;$C$4,DaybyDay[Date],"&lt;="&amp;DaybyDay[[#This Row],[Date]])</f>
        <v>0</v>
      </c>
      <c r="S917" s="35">
        <f>SUMIFS(DaybyDay[Service-LY],DaybyDay[Date],"&gt;="&amp;$C$5,DaybyDay[RowYear],"&gt;="&amp;$C$4,DaybyDay[Date],"&lt;="&amp;DaybyDay[[#This Row],[Date]])</f>
        <v>0</v>
      </c>
      <c r="T917" s="35">
        <f>SUMIFS(DaybyDay[Retail-LY],DaybyDay[Date],"&gt;="&amp;$C$5,DaybyDay[RowYear],"&gt;="&amp;$C$4,DaybyDay[Date],"&lt;="&amp;DaybyDay[[#This Row],[Date]])</f>
        <v>0</v>
      </c>
      <c r="U917" s="32">
        <f>DaybyDay[[#This Row],[Serv-Bud-RU]]+DaybyDay[[#This Row],[Ret-Bud-RU]]</f>
        <v>0</v>
      </c>
      <c r="V917" s="32">
        <f>DaybyDay[[#This Row],[Serv-Act-RU]]+DaybyDay[[#This Row],[Ret-Act-RU]]</f>
        <v>0</v>
      </c>
      <c r="W917" s="36">
        <f>IF(DaybyDay[[#This Row],[_Space]],IFERROR(
((DaybyDay[[#This Row],[Actual-Rollup]]-DaybyDay[[#This Row],[Budget-Rollup]])/DaybyDay[[#This Row],[Budget-Rollup]]),0),"")</f>
        <v>0</v>
      </c>
      <c r="X917" t="b">
        <f>NOT(AND(ISBLANK(DaybyDay[[#This Row],[Appts]]),ISBLANK(DaybyDay[[#This Row],[Service-Actuals]]),ISBLANK(DaybyDay[[#This Row],[Retail-Actuals]])))</f>
        <v>1</v>
      </c>
      <c r="Y917" s="36">
        <f>IF(DaybyDay[[#This Row],[_Space]],IFERROR(
((DaybyDay[[#This Row],[Actual-Rollup]]-DaybyDay[[#This Row],[LY-Rollup]])/DaybyDay[[#This Row],[LY-Rollup]]),0),"")</f>
        <v>0</v>
      </c>
      <c r="Z917"/>
      <c r="AA917" s="37" t="e">
        <f>IF(DaybyDay[[#This Row],[_Space]],DaybyDay[[#This Row],[Ret-Act-RU]]/DaybyDay[[#This Row],[Serv-Act-RU]],"")</f>
        <v>#DIV/0!</v>
      </c>
      <c r="AB917" s="50" t="e">
        <f>IF(DaybyDay[[#This Row],[_Space]],DaybyDay[[#This Row],[RETPEN-Act]]/DaybyDay[[#This Row],[RETPEN-Bud]],"")</f>
        <v>#DIV/0!</v>
      </c>
      <c r="AC917" s="37" t="e">
        <f>IF(DaybyDay[[#This Row],[_Space]],DaybyDay[[#This Row],[Ret-Bud-RU]]/DaybyDay[[#This Row],[Serv-Bud-RU]],"")</f>
        <v>#DIV/0!</v>
      </c>
      <c r="AD917" s="37" t="e">
        <f>IF(DaybyDay[[#This Row],[_Space]],DaybyDay[[#This Row],[Ret-LY-RU]]/DaybyDay[[#This Row],[Serv-LY-RU]],"")</f>
        <v>#DIV/0!</v>
      </c>
      <c r="AE917" s="30">
        <f>WEEKDAY(DaybyDay[[#This Row],[LY-Date]])</f>
        <v>1</v>
      </c>
      <c r="AF917" s="38">
        <f>$E$2+_xlfn.DAYS(DaybyDay[[#This Row],[Date]],minDate)</f>
        <v>43282</v>
      </c>
      <c r="AG917" s="39" cm="1">
        <f t="array" ref="AG917">IFERROR(INDEX(DaybyDay[],DaybyDay[[#This Row],[FORM_MATCH_HELPER]],8),"")</f>
        <v>32</v>
      </c>
      <c r="AH917" s="39" cm="1">
        <f t="array" ref="AH917">IFERROR(INDEX(DaybyDay[],DaybyDay[[#This Row],[FORM_MATCH_HELPER]],10),"")</f>
        <v>5663.6</v>
      </c>
      <c r="AI917" s="39" cm="1">
        <f t="array" ref="AI917">IFERROR(INDEX(DaybyDay[],DaybyDay[[#This Row],[FORM_MATCH_HELPER]],12),"")</f>
        <v>1016</v>
      </c>
      <c r="AJ917" s="32">
        <f>IFERROR(DaybyDay[[#This Row],[Serv-LY-RU]]+DaybyDay[[#This Row],[Ret-LY-RU]],"")</f>
        <v>0</v>
      </c>
      <c r="AK9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7" s="77"/>
      <c r="AM917" s="40" t="str">
        <f>IF(DaybyDay[[#This Row],[Admin Hours]]&gt;0,DaybyDay[[#This Row],[Admin Hours]]*$AM$2+$AM$3,"")</f>
        <v/>
      </c>
      <c r="AN917" s="40">
        <f>SUMIFS(DaybyDay[Est-Admin-Payroll],DaybyDay[Date],"&gt;="&amp;$C$5,DaybyDay[RowYear],"&gt;="&amp;$C$4,DaybyDay[Date],"&lt;="&amp;DaybyDay[[#This Row],[Date]])</f>
        <v>0</v>
      </c>
      <c r="AO917" s="41" t="str">
        <f>IF(AND(DaybyDay[[#This Row],[_Space]],ISNUMBER(DaybyDay[[#This Row],[Admin Hours]])),DaybyDay[[#This Row],[Est-Admin-Payroll]]/(DaybyDay[[#This Row],[Service-Actuals]]+DaybyDay[[#This Row],[Retail-Actuals]]),"")</f>
        <v/>
      </c>
      <c r="AP917" s="41" t="e">
        <f>DaybyDay[[#This Row],[Estimated-Payroll-Rollup]]/DaybyDay[[#This Row],[Simple-Forecast]]</f>
        <v>#DIV/0!</v>
      </c>
      <c r="AQ9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7" s="77"/>
      <c r="AS917" s="40" t="str">
        <f>IF(DaybyDay[[#This Row],[Retail Hours]]&gt;0,DaybyDay[[#This Row],[Retail Hours]]*$AS$2,"")</f>
        <v/>
      </c>
      <c r="AT917" s="40">
        <f>SUMIFS(DaybyDay[Est-Retail-Payroll],DaybyDay[Date],"&gt;="&amp;$C$5,DaybyDay[RowYear],"&gt;="&amp;$C$4,DaybyDay[Date],"&lt;="&amp;DaybyDay[[#This Row],[Date]])</f>
        <v>0</v>
      </c>
      <c r="AU917" s="82" t="str">
        <f>IF(AND(DaybyDay[[#This Row],[_Space]],ISNUMBER(DaybyDay[[#This Row],[Retail Hours]])),DaybyDay[[#This Row],[Est-Retail-Payroll]]/(DaybyDay[[#This Row],[Retail-Actuals]]),"")</f>
        <v/>
      </c>
      <c r="AV917" s="82" t="e">
        <f>DaybyDay[[#This Row],[Est-Retail-PayrollRU]]/DaybyDay[[#This Row],[Simple-Forecast-Retail]]</f>
        <v>#DIV/0!</v>
      </c>
      <c r="AW917" s="8"/>
      <c r="AX917" s="49"/>
      <c r="AY917" s="48"/>
      <c r="AZ917" s="47"/>
      <c r="BA917" s="47"/>
      <c r="BB917" s="47"/>
      <c r="BC917" s="47"/>
      <c r="BD917" s="47"/>
    </row>
    <row r="918" spans="3:56" hidden="1" x14ac:dyDescent="0.25">
      <c r="C918" s="26" t="str">
        <f>Tools!$C$1</f>
        <v>Example</v>
      </c>
      <c r="D918" s="27" t="s">
        <v>73</v>
      </c>
      <c r="E918" s="28">
        <v>2019</v>
      </c>
      <c r="F918" s="28">
        <f>MATCH(DaybyDay[[#This Row],[RowMonth]],Table3[SummaryMonth],0)</f>
        <v>6</v>
      </c>
      <c r="G918" s="29">
        <f>MATCH(DaybyDay[[#This Row],[LY-Date]],DaybyDay[Date],0)</f>
        <v>548</v>
      </c>
      <c r="H918" s="30">
        <f>WEEKDAY(DaybyDay[[#This Row],[Date]])</f>
        <v>2</v>
      </c>
      <c r="I918" s="31">
        <v>43647</v>
      </c>
      <c r="J918" s="74">
        <v>13</v>
      </c>
      <c r="K918" s="32">
        <f>SUMIFS(BudgetSeasonality[365 Seasonality],BudgetSeasonality[MonthAdjustment],DaybyDay[[#This Row],[Date]])*SUMIFS(Budgets[Service-Budget],Budgets[BudgetMonth],DaybyDay[[#This Row],[RowMonth]],Budgets[BudgetYear],DaybyDay[[#This Row],[RowYear]])</f>
        <v>3027.3074843922341</v>
      </c>
      <c r="L918" s="75">
        <v>3122.4</v>
      </c>
      <c r="M918" s="32">
        <f>INDEX(BudgetSeasonality[365 Seasonality],MATCH(DaybyDay[[#This Row],[Date]],BudgetSeasonality[MonthAdjustment],0))*SUMIFS(Budgets[Retail-Budget],Budgets[BudgetMonth],DaybyDay[[#This Row],[RowMonth]],Budgets[BudgetYear],DaybyDay[[#This Row],[RowYear]])</f>
        <v>870.81501261444271</v>
      </c>
      <c r="N918" s="75">
        <v>267</v>
      </c>
      <c r="O918" s="33">
        <f>SUMIFS(DaybyDay[Service-Budgets],DaybyDay[Date],"&gt;="&amp;$C$5,DaybyDay[RowYear],"&gt;="&amp;$C$4,DaybyDay[Date],"&lt;="&amp;DaybyDay[[#This Row],[Date]])</f>
        <v>0</v>
      </c>
      <c r="P918" s="33">
        <f>SUMIFS(DaybyDay[Retail-Budgets],DaybyDay[Date],"&gt;="&amp;$C$5,DaybyDay[RowYear],"&gt;="&amp;$C$4,DaybyDay[Date],"&lt;="&amp;DaybyDay[[#This Row],[Date]])</f>
        <v>0</v>
      </c>
      <c r="Q918" s="34">
        <f>SUMIFS(DaybyDay[Service-Actuals],DaybyDay[Date],"&gt;="&amp;$C$5,DaybyDay[RowYear],"&gt;="&amp;$C$4,DaybyDay[Date],"&lt;="&amp;DaybyDay[[#This Row],[Date]])</f>
        <v>0</v>
      </c>
      <c r="R918" s="34">
        <f>SUMIFS(DaybyDay[Retail-Actuals],DaybyDay[Date],"&gt;="&amp;$C$5,DaybyDay[RowYear],"&gt;="&amp;$C$4,DaybyDay[Date],"&lt;="&amp;DaybyDay[[#This Row],[Date]])</f>
        <v>0</v>
      </c>
      <c r="S918" s="35">
        <f>SUMIFS(DaybyDay[Service-LY],DaybyDay[Date],"&gt;="&amp;$C$5,DaybyDay[RowYear],"&gt;="&amp;$C$4,DaybyDay[Date],"&lt;="&amp;DaybyDay[[#This Row],[Date]])</f>
        <v>0</v>
      </c>
      <c r="T918" s="35">
        <f>SUMIFS(DaybyDay[Retail-LY],DaybyDay[Date],"&gt;="&amp;$C$5,DaybyDay[RowYear],"&gt;="&amp;$C$4,DaybyDay[Date],"&lt;="&amp;DaybyDay[[#This Row],[Date]])</f>
        <v>0</v>
      </c>
      <c r="U918" s="32">
        <f>DaybyDay[[#This Row],[Serv-Bud-RU]]+DaybyDay[[#This Row],[Ret-Bud-RU]]</f>
        <v>0</v>
      </c>
      <c r="V918" s="32">
        <f>DaybyDay[[#This Row],[Serv-Act-RU]]+DaybyDay[[#This Row],[Ret-Act-RU]]</f>
        <v>0</v>
      </c>
      <c r="W918" s="36">
        <f>IF(DaybyDay[[#This Row],[_Space]],IFERROR(
((DaybyDay[[#This Row],[Actual-Rollup]]-DaybyDay[[#This Row],[Budget-Rollup]])/DaybyDay[[#This Row],[Budget-Rollup]]),0),"")</f>
        <v>0</v>
      </c>
      <c r="X918" t="b">
        <f>NOT(AND(ISBLANK(DaybyDay[[#This Row],[Appts]]),ISBLANK(DaybyDay[[#This Row],[Service-Actuals]]),ISBLANK(DaybyDay[[#This Row],[Retail-Actuals]])))</f>
        <v>1</v>
      </c>
      <c r="Y918" s="36">
        <f>IF(DaybyDay[[#This Row],[_Space]],IFERROR(
((DaybyDay[[#This Row],[Actual-Rollup]]-DaybyDay[[#This Row],[LY-Rollup]])/DaybyDay[[#This Row],[LY-Rollup]]),0),"")</f>
        <v>0</v>
      </c>
      <c r="Z918"/>
      <c r="AA918" s="37" t="e">
        <f>IF(DaybyDay[[#This Row],[_Space]],DaybyDay[[#This Row],[Ret-Act-RU]]/DaybyDay[[#This Row],[Serv-Act-RU]],"")</f>
        <v>#DIV/0!</v>
      </c>
      <c r="AB918" s="50" t="e">
        <f>IF(DaybyDay[[#This Row],[_Space]],DaybyDay[[#This Row],[RETPEN-Act]]/DaybyDay[[#This Row],[RETPEN-Bud]],"")</f>
        <v>#DIV/0!</v>
      </c>
      <c r="AC918" s="37" t="e">
        <f>IF(DaybyDay[[#This Row],[_Space]],DaybyDay[[#This Row],[Ret-Bud-RU]]/DaybyDay[[#This Row],[Serv-Bud-RU]],"")</f>
        <v>#DIV/0!</v>
      </c>
      <c r="AD918" s="37" t="e">
        <f>IF(DaybyDay[[#This Row],[_Space]],DaybyDay[[#This Row],[Ret-LY-RU]]/DaybyDay[[#This Row],[Serv-LY-RU]],"")</f>
        <v>#DIV/0!</v>
      </c>
      <c r="AE918" s="30">
        <f>WEEKDAY(DaybyDay[[#This Row],[LY-Date]])</f>
        <v>2</v>
      </c>
      <c r="AF918" s="38">
        <f>$E$2+_xlfn.DAYS(DaybyDay[[#This Row],[Date]],minDate)</f>
        <v>43283</v>
      </c>
      <c r="AG918" s="39" cm="1">
        <f t="array" ref="AG918">IFERROR(INDEX(DaybyDay[],DaybyDay[[#This Row],[FORM_MATCH_HELPER]],8),"")</f>
        <v>22</v>
      </c>
      <c r="AH918" s="39" cm="1">
        <f t="array" ref="AH918">IFERROR(INDEX(DaybyDay[],DaybyDay[[#This Row],[FORM_MATCH_HELPER]],10),"")</f>
        <v>3557</v>
      </c>
      <c r="AI918" s="39" cm="1">
        <f t="array" ref="AI918">IFERROR(INDEX(DaybyDay[],DaybyDay[[#This Row],[FORM_MATCH_HELPER]],12),"")</f>
        <v>798.5</v>
      </c>
      <c r="AJ918" s="32">
        <f>IFERROR(DaybyDay[[#This Row],[Serv-LY-RU]]+DaybyDay[[#This Row],[Ret-LY-RU]],"")</f>
        <v>0</v>
      </c>
      <c r="AK9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8" s="77"/>
      <c r="AM918" s="40" t="str">
        <f>IF(DaybyDay[[#This Row],[Admin Hours]]&gt;0,DaybyDay[[#This Row],[Admin Hours]]*$AM$2+$AM$3,"")</f>
        <v/>
      </c>
      <c r="AN918" s="40">
        <f>SUMIFS(DaybyDay[Est-Admin-Payroll],DaybyDay[Date],"&gt;="&amp;$C$5,DaybyDay[RowYear],"&gt;="&amp;$C$4,DaybyDay[Date],"&lt;="&amp;DaybyDay[[#This Row],[Date]])</f>
        <v>0</v>
      </c>
      <c r="AO918" s="41" t="str">
        <f>IF(AND(DaybyDay[[#This Row],[_Space]],ISNUMBER(DaybyDay[[#This Row],[Admin Hours]])),DaybyDay[[#This Row],[Est-Admin-Payroll]]/(DaybyDay[[#This Row],[Service-Actuals]]+DaybyDay[[#This Row],[Retail-Actuals]]),"")</f>
        <v/>
      </c>
      <c r="AP918" s="41" t="e">
        <f>DaybyDay[[#This Row],[Estimated-Payroll-Rollup]]/DaybyDay[[#This Row],[Simple-Forecast]]</f>
        <v>#DIV/0!</v>
      </c>
      <c r="AQ9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8" s="77"/>
      <c r="AS918" s="40" t="str">
        <f>IF(DaybyDay[[#This Row],[Retail Hours]]&gt;0,DaybyDay[[#This Row],[Retail Hours]]*$AS$2,"")</f>
        <v/>
      </c>
      <c r="AT918" s="40">
        <f>SUMIFS(DaybyDay[Est-Retail-Payroll],DaybyDay[Date],"&gt;="&amp;$C$5,DaybyDay[RowYear],"&gt;="&amp;$C$4,DaybyDay[Date],"&lt;="&amp;DaybyDay[[#This Row],[Date]])</f>
        <v>0</v>
      </c>
      <c r="AU918" s="82" t="str">
        <f>IF(AND(DaybyDay[[#This Row],[_Space]],ISNUMBER(DaybyDay[[#This Row],[Retail Hours]])),DaybyDay[[#This Row],[Est-Retail-Payroll]]/(DaybyDay[[#This Row],[Retail-Actuals]]),"")</f>
        <v/>
      </c>
      <c r="AV918" s="82" t="e">
        <f>DaybyDay[[#This Row],[Est-Retail-PayrollRU]]/DaybyDay[[#This Row],[Simple-Forecast-Retail]]</f>
        <v>#DIV/0!</v>
      </c>
      <c r="AW918" s="8"/>
      <c r="AX918" s="49"/>
      <c r="AY918" s="48"/>
      <c r="AZ918" s="47"/>
      <c r="BA918" s="47"/>
      <c r="BB918" s="47"/>
      <c r="BC918" s="47"/>
      <c r="BD918" s="47"/>
    </row>
    <row r="919" spans="3:56" hidden="1" x14ac:dyDescent="0.25">
      <c r="C919" s="26" t="str">
        <f>Tools!$C$1</f>
        <v>Example</v>
      </c>
      <c r="D919" s="27" t="s">
        <v>73</v>
      </c>
      <c r="E919" s="28">
        <v>2019</v>
      </c>
      <c r="F919" s="28">
        <f>MATCH(DaybyDay[[#This Row],[RowMonth]],Table3[SummaryMonth],0)</f>
        <v>6</v>
      </c>
      <c r="G919" s="29">
        <f>MATCH(DaybyDay[[#This Row],[LY-Date]],DaybyDay[Date],0)</f>
        <v>549</v>
      </c>
      <c r="H919" s="30">
        <f>WEEKDAY(DaybyDay[[#This Row],[Date]])</f>
        <v>3</v>
      </c>
      <c r="I919" s="31">
        <v>43648</v>
      </c>
      <c r="J919" s="74">
        <v>13</v>
      </c>
      <c r="K919" s="32">
        <f>SUMIFS(BudgetSeasonality[365 Seasonality],BudgetSeasonality[MonthAdjustment],DaybyDay[[#This Row],[Date]])*SUMIFS(Budgets[Service-Budget],Budgets[BudgetMonth],DaybyDay[[#This Row],[RowMonth]],Budgets[BudgetYear],DaybyDay[[#This Row],[RowYear]])</f>
        <v>3095.1045584245144</v>
      </c>
      <c r="L919" s="75">
        <v>2216.1</v>
      </c>
      <c r="M919" s="32">
        <f>INDEX(BudgetSeasonality[365 Seasonality],MATCH(DaybyDay[[#This Row],[Date]],BudgetSeasonality[MonthAdjustment],0))*SUMIFS(Budgets[Retail-Budget],Budgets[BudgetMonth],DaybyDay[[#This Row],[RowMonth]],Budgets[BudgetYear],DaybyDay[[#This Row],[RowYear]])</f>
        <v>890.3170652414143</v>
      </c>
      <c r="N919" s="75">
        <v>543.1</v>
      </c>
      <c r="O919" s="33">
        <f>SUMIFS(DaybyDay[Service-Budgets],DaybyDay[Date],"&gt;="&amp;$C$5,DaybyDay[RowYear],"&gt;="&amp;$C$4,DaybyDay[Date],"&lt;="&amp;DaybyDay[[#This Row],[Date]])</f>
        <v>0</v>
      </c>
      <c r="P919" s="33">
        <f>SUMIFS(DaybyDay[Retail-Budgets],DaybyDay[Date],"&gt;="&amp;$C$5,DaybyDay[RowYear],"&gt;="&amp;$C$4,DaybyDay[Date],"&lt;="&amp;DaybyDay[[#This Row],[Date]])</f>
        <v>0</v>
      </c>
      <c r="Q919" s="34">
        <f>SUMIFS(DaybyDay[Service-Actuals],DaybyDay[Date],"&gt;="&amp;$C$5,DaybyDay[RowYear],"&gt;="&amp;$C$4,DaybyDay[Date],"&lt;="&amp;DaybyDay[[#This Row],[Date]])</f>
        <v>0</v>
      </c>
      <c r="R919" s="34">
        <f>SUMIFS(DaybyDay[Retail-Actuals],DaybyDay[Date],"&gt;="&amp;$C$5,DaybyDay[RowYear],"&gt;="&amp;$C$4,DaybyDay[Date],"&lt;="&amp;DaybyDay[[#This Row],[Date]])</f>
        <v>0</v>
      </c>
      <c r="S919" s="35">
        <f>SUMIFS(DaybyDay[Service-LY],DaybyDay[Date],"&gt;="&amp;$C$5,DaybyDay[RowYear],"&gt;="&amp;$C$4,DaybyDay[Date],"&lt;="&amp;DaybyDay[[#This Row],[Date]])</f>
        <v>0</v>
      </c>
      <c r="T919" s="35">
        <f>SUMIFS(DaybyDay[Retail-LY],DaybyDay[Date],"&gt;="&amp;$C$5,DaybyDay[RowYear],"&gt;="&amp;$C$4,DaybyDay[Date],"&lt;="&amp;DaybyDay[[#This Row],[Date]])</f>
        <v>0</v>
      </c>
      <c r="U919" s="32">
        <f>DaybyDay[[#This Row],[Serv-Bud-RU]]+DaybyDay[[#This Row],[Ret-Bud-RU]]</f>
        <v>0</v>
      </c>
      <c r="V919" s="32">
        <f>DaybyDay[[#This Row],[Serv-Act-RU]]+DaybyDay[[#This Row],[Ret-Act-RU]]</f>
        <v>0</v>
      </c>
      <c r="W919" s="36">
        <f>IF(DaybyDay[[#This Row],[_Space]],IFERROR(
((DaybyDay[[#This Row],[Actual-Rollup]]-DaybyDay[[#This Row],[Budget-Rollup]])/DaybyDay[[#This Row],[Budget-Rollup]]),0),"")</f>
        <v>0</v>
      </c>
      <c r="X919" t="b">
        <f>NOT(AND(ISBLANK(DaybyDay[[#This Row],[Appts]]),ISBLANK(DaybyDay[[#This Row],[Service-Actuals]]),ISBLANK(DaybyDay[[#This Row],[Retail-Actuals]])))</f>
        <v>1</v>
      </c>
      <c r="Y919" s="36">
        <f>IF(DaybyDay[[#This Row],[_Space]],IFERROR(
((DaybyDay[[#This Row],[Actual-Rollup]]-DaybyDay[[#This Row],[LY-Rollup]])/DaybyDay[[#This Row],[LY-Rollup]]),0),"")</f>
        <v>0</v>
      </c>
      <c r="Z919"/>
      <c r="AA919" s="37" t="e">
        <f>IF(DaybyDay[[#This Row],[_Space]],DaybyDay[[#This Row],[Ret-Act-RU]]/DaybyDay[[#This Row],[Serv-Act-RU]],"")</f>
        <v>#DIV/0!</v>
      </c>
      <c r="AB919" s="50" t="e">
        <f>IF(DaybyDay[[#This Row],[_Space]],DaybyDay[[#This Row],[RETPEN-Act]]/DaybyDay[[#This Row],[RETPEN-Bud]],"")</f>
        <v>#DIV/0!</v>
      </c>
      <c r="AC919" s="37" t="e">
        <f>IF(DaybyDay[[#This Row],[_Space]],DaybyDay[[#This Row],[Ret-Bud-RU]]/DaybyDay[[#This Row],[Serv-Bud-RU]],"")</f>
        <v>#DIV/0!</v>
      </c>
      <c r="AD919" s="37" t="e">
        <f>IF(DaybyDay[[#This Row],[_Space]],DaybyDay[[#This Row],[Ret-LY-RU]]/DaybyDay[[#This Row],[Serv-LY-RU]],"")</f>
        <v>#DIV/0!</v>
      </c>
      <c r="AE919" s="30">
        <f>WEEKDAY(DaybyDay[[#This Row],[LY-Date]])</f>
        <v>3</v>
      </c>
      <c r="AF919" s="38">
        <f>$E$2+_xlfn.DAYS(DaybyDay[[#This Row],[Date]],minDate)</f>
        <v>43284</v>
      </c>
      <c r="AG919" s="39" cm="1">
        <f t="array" ref="AG919">IFERROR(INDEX(DaybyDay[],DaybyDay[[#This Row],[FORM_MATCH_HELPER]],8),"")</f>
        <v>22</v>
      </c>
      <c r="AH919" s="39" cm="1">
        <f t="array" ref="AH919">IFERROR(INDEX(DaybyDay[],DaybyDay[[#This Row],[FORM_MATCH_HELPER]],10),"")</f>
        <v>4310.3999999999996</v>
      </c>
      <c r="AI919" s="39" cm="1">
        <f t="array" ref="AI919">IFERROR(INDEX(DaybyDay[],DaybyDay[[#This Row],[FORM_MATCH_HELPER]],12),"")</f>
        <v>2395.0500000000002</v>
      </c>
      <c r="AJ919" s="32">
        <f>IFERROR(DaybyDay[[#This Row],[Serv-LY-RU]]+DaybyDay[[#This Row],[Ret-LY-RU]],"")</f>
        <v>0</v>
      </c>
      <c r="AK9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19" s="77"/>
      <c r="AM919" s="40" t="str">
        <f>IF(DaybyDay[[#This Row],[Admin Hours]]&gt;0,DaybyDay[[#This Row],[Admin Hours]]*$AM$2+$AM$3,"")</f>
        <v/>
      </c>
      <c r="AN919" s="40">
        <f>SUMIFS(DaybyDay[Est-Admin-Payroll],DaybyDay[Date],"&gt;="&amp;$C$5,DaybyDay[RowYear],"&gt;="&amp;$C$4,DaybyDay[Date],"&lt;="&amp;DaybyDay[[#This Row],[Date]])</f>
        <v>0</v>
      </c>
      <c r="AO919" s="41" t="str">
        <f>IF(AND(DaybyDay[[#This Row],[_Space]],ISNUMBER(DaybyDay[[#This Row],[Admin Hours]])),DaybyDay[[#This Row],[Est-Admin-Payroll]]/(DaybyDay[[#This Row],[Service-Actuals]]+DaybyDay[[#This Row],[Retail-Actuals]]),"")</f>
        <v/>
      </c>
      <c r="AP919" s="41" t="e">
        <f>DaybyDay[[#This Row],[Estimated-Payroll-Rollup]]/DaybyDay[[#This Row],[Simple-Forecast]]</f>
        <v>#DIV/0!</v>
      </c>
      <c r="AQ9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19" s="77"/>
      <c r="AS919" s="40" t="str">
        <f>IF(DaybyDay[[#This Row],[Retail Hours]]&gt;0,DaybyDay[[#This Row],[Retail Hours]]*$AS$2,"")</f>
        <v/>
      </c>
      <c r="AT919" s="40">
        <f>SUMIFS(DaybyDay[Est-Retail-Payroll],DaybyDay[Date],"&gt;="&amp;$C$5,DaybyDay[RowYear],"&gt;="&amp;$C$4,DaybyDay[Date],"&lt;="&amp;DaybyDay[[#This Row],[Date]])</f>
        <v>0</v>
      </c>
      <c r="AU919" s="82" t="str">
        <f>IF(AND(DaybyDay[[#This Row],[_Space]],ISNUMBER(DaybyDay[[#This Row],[Retail Hours]])),DaybyDay[[#This Row],[Est-Retail-Payroll]]/(DaybyDay[[#This Row],[Retail-Actuals]]),"")</f>
        <v/>
      </c>
      <c r="AV919" s="82" t="e">
        <f>DaybyDay[[#This Row],[Est-Retail-PayrollRU]]/DaybyDay[[#This Row],[Simple-Forecast-Retail]]</f>
        <v>#DIV/0!</v>
      </c>
      <c r="AW919" s="8"/>
      <c r="AX919" s="49"/>
      <c r="AY919" s="48"/>
      <c r="AZ919" s="47"/>
      <c r="BA919" s="47"/>
      <c r="BB919" s="47"/>
      <c r="BC919" s="47"/>
      <c r="BD919" s="47"/>
    </row>
    <row r="920" spans="3:56" hidden="1" x14ac:dyDescent="0.25">
      <c r="C920" s="26" t="str">
        <f>Tools!$C$1</f>
        <v>Example</v>
      </c>
      <c r="D920" s="27" t="s">
        <v>73</v>
      </c>
      <c r="E920" s="28">
        <v>2019</v>
      </c>
      <c r="F920" s="28">
        <f>MATCH(DaybyDay[[#This Row],[RowMonth]],Table3[SummaryMonth],0)</f>
        <v>6</v>
      </c>
      <c r="G920" s="29">
        <f>MATCH(DaybyDay[[#This Row],[LY-Date]],DaybyDay[Date],0)</f>
        <v>550</v>
      </c>
      <c r="H920" s="30">
        <f>WEEKDAY(DaybyDay[[#This Row],[Date]])</f>
        <v>4</v>
      </c>
      <c r="I920" s="31">
        <v>43649</v>
      </c>
      <c r="J920" s="74">
        <v>17</v>
      </c>
      <c r="K920" s="32">
        <f>SUMIFS(BudgetSeasonality[365 Seasonality],BudgetSeasonality[MonthAdjustment],DaybyDay[[#This Row],[Date]])*SUMIFS(Budgets[Service-Budget],Budgets[BudgetMonth],DaybyDay[[#This Row],[RowMonth]],Budgets[BudgetYear],DaybyDay[[#This Row],[RowYear]])</f>
        <v>3665.6517669801387</v>
      </c>
      <c r="L920" s="75">
        <v>3353.7000000000003</v>
      </c>
      <c r="M920" s="32">
        <f>INDEX(BudgetSeasonality[365 Seasonality],MATCH(DaybyDay[[#This Row],[Date]],BudgetSeasonality[MonthAdjustment],0))*SUMIFS(Budgets[Retail-Budget],Budgets[BudgetMonth],DaybyDay[[#This Row],[RowMonth]],Budgets[BudgetYear],DaybyDay[[#This Row],[RowYear]])</f>
        <v>1054.4368572272119</v>
      </c>
      <c r="N920" s="75">
        <v>1263.5999999999999</v>
      </c>
      <c r="O920" s="33">
        <f>SUMIFS(DaybyDay[Service-Budgets],DaybyDay[Date],"&gt;="&amp;$C$5,DaybyDay[RowYear],"&gt;="&amp;$C$4,DaybyDay[Date],"&lt;="&amp;DaybyDay[[#This Row],[Date]])</f>
        <v>0</v>
      </c>
      <c r="P920" s="33">
        <f>SUMIFS(DaybyDay[Retail-Budgets],DaybyDay[Date],"&gt;="&amp;$C$5,DaybyDay[RowYear],"&gt;="&amp;$C$4,DaybyDay[Date],"&lt;="&amp;DaybyDay[[#This Row],[Date]])</f>
        <v>0</v>
      </c>
      <c r="Q920" s="34">
        <f>SUMIFS(DaybyDay[Service-Actuals],DaybyDay[Date],"&gt;="&amp;$C$5,DaybyDay[RowYear],"&gt;="&amp;$C$4,DaybyDay[Date],"&lt;="&amp;DaybyDay[[#This Row],[Date]])</f>
        <v>0</v>
      </c>
      <c r="R920" s="34">
        <f>SUMIFS(DaybyDay[Retail-Actuals],DaybyDay[Date],"&gt;="&amp;$C$5,DaybyDay[RowYear],"&gt;="&amp;$C$4,DaybyDay[Date],"&lt;="&amp;DaybyDay[[#This Row],[Date]])</f>
        <v>0</v>
      </c>
      <c r="S920" s="35">
        <f>SUMIFS(DaybyDay[Service-LY],DaybyDay[Date],"&gt;="&amp;$C$5,DaybyDay[RowYear],"&gt;="&amp;$C$4,DaybyDay[Date],"&lt;="&amp;DaybyDay[[#This Row],[Date]])</f>
        <v>0</v>
      </c>
      <c r="T920" s="35">
        <f>SUMIFS(DaybyDay[Retail-LY],DaybyDay[Date],"&gt;="&amp;$C$5,DaybyDay[RowYear],"&gt;="&amp;$C$4,DaybyDay[Date],"&lt;="&amp;DaybyDay[[#This Row],[Date]])</f>
        <v>0</v>
      </c>
      <c r="U920" s="32">
        <f>DaybyDay[[#This Row],[Serv-Bud-RU]]+DaybyDay[[#This Row],[Ret-Bud-RU]]</f>
        <v>0</v>
      </c>
      <c r="V920" s="32">
        <f>DaybyDay[[#This Row],[Serv-Act-RU]]+DaybyDay[[#This Row],[Ret-Act-RU]]</f>
        <v>0</v>
      </c>
      <c r="W920" s="36">
        <f>IF(DaybyDay[[#This Row],[_Space]],IFERROR(
((DaybyDay[[#This Row],[Actual-Rollup]]-DaybyDay[[#This Row],[Budget-Rollup]])/DaybyDay[[#This Row],[Budget-Rollup]]),0),"")</f>
        <v>0</v>
      </c>
      <c r="X920" t="b">
        <f>NOT(AND(ISBLANK(DaybyDay[[#This Row],[Appts]]),ISBLANK(DaybyDay[[#This Row],[Service-Actuals]]),ISBLANK(DaybyDay[[#This Row],[Retail-Actuals]])))</f>
        <v>1</v>
      </c>
      <c r="Y920" s="36">
        <f>IF(DaybyDay[[#This Row],[_Space]],IFERROR(
((DaybyDay[[#This Row],[Actual-Rollup]]-DaybyDay[[#This Row],[LY-Rollup]])/DaybyDay[[#This Row],[LY-Rollup]]),0),"")</f>
        <v>0</v>
      </c>
      <c r="Z920"/>
      <c r="AA920" s="37" t="e">
        <f>IF(DaybyDay[[#This Row],[_Space]],DaybyDay[[#This Row],[Ret-Act-RU]]/DaybyDay[[#This Row],[Serv-Act-RU]],"")</f>
        <v>#DIV/0!</v>
      </c>
      <c r="AB920" s="50" t="e">
        <f>IF(DaybyDay[[#This Row],[_Space]],DaybyDay[[#This Row],[RETPEN-Act]]/DaybyDay[[#This Row],[RETPEN-Bud]],"")</f>
        <v>#DIV/0!</v>
      </c>
      <c r="AC920" s="37" t="e">
        <f>IF(DaybyDay[[#This Row],[_Space]],DaybyDay[[#This Row],[Ret-Bud-RU]]/DaybyDay[[#This Row],[Serv-Bud-RU]],"")</f>
        <v>#DIV/0!</v>
      </c>
      <c r="AD920" s="37" t="e">
        <f>IF(DaybyDay[[#This Row],[_Space]],DaybyDay[[#This Row],[Ret-LY-RU]]/DaybyDay[[#This Row],[Serv-LY-RU]],"")</f>
        <v>#DIV/0!</v>
      </c>
      <c r="AE920" s="30">
        <f>WEEKDAY(DaybyDay[[#This Row],[LY-Date]])</f>
        <v>4</v>
      </c>
      <c r="AF920" s="38">
        <f>$E$2+_xlfn.DAYS(DaybyDay[[#This Row],[Date]],minDate)</f>
        <v>43285</v>
      </c>
      <c r="AG920" s="39" cm="1">
        <f t="array" ref="AG920">IFERROR(INDEX(DaybyDay[],DaybyDay[[#This Row],[FORM_MATCH_HELPER]],8),"")</f>
        <v>18</v>
      </c>
      <c r="AH920" s="39" cm="1">
        <f t="array" ref="AH920">IFERROR(INDEX(DaybyDay[],DaybyDay[[#This Row],[FORM_MATCH_HELPER]],10),"")</f>
        <v>3254</v>
      </c>
      <c r="AI920" s="39" cm="1">
        <f t="array" ref="AI920">IFERROR(INDEX(DaybyDay[],DaybyDay[[#This Row],[FORM_MATCH_HELPER]],12),"")</f>
        <v>0</v>
      </c>
      <c r="AJ920" s="32">
        <f>IFERROR(DaybyDay[[#This Row],[Serv-LY-RU]]+DaybyDay[[#This Row],[Ret-LY-RU]],"")</f>
        <v>0</v>
      </c>
      <c r="AK9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0" s="77"/>
      <c r="AM920" s="40" t="str">
        <f>IF(DaybyDay[[#This Row],[Admin Hours]]&gt;0,DaybyDay[[#This Row],[Admin Hours]]*$AM$2+$AM$3,"")</f>
        <v/>
      </c>
      <c r="AN920" s="40">
        <f>SUMIFS(DaybyDay[Est-Admin-Payroll],DaybyDay[Date],"&gt;="&amp;$C$5,DaybyDay[RowYear],"&gt;="&amp;$C$4,DaybyDay[Date],"&lt;="&amp;DaybyDay[[#This Row],[Date]])</f>
        <v>0</v>
      </c>
      <c r="AO920" s="41" t="str">
        <f>IF(AND(DaybyDay[[#This Row],[_Space]],ISNUMBER(DaybyDay[[#This Row],[Admin Hours]])),DaybyDay[[#This Row],[Est-Admin-Payroll]]/(DaybyDay[[#This Row],[Service-Actuals]]+DaybyDay[[#This Row],[Retail-Actuals]]),"")</f>
        <v/>
      </c>
      <c r="AP920" s="41" t="e">
        <f>DaybyDay[[#This Row],[Estimated-Payroll-Rollup]]/DaybyDay[[#This Row],[Simple-Forecast]]</f>
        <v>#DIV/0!</v>
      </c>
      <c r="AQ9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0" s="77"/>
      <c r="AS920" s="40" t="str">
        <f>IF(DaybyDay[[#This Row],[Retail Hours]]&gt;0,DaybyDay[[#This Row],[Retail Hours]]*$AS$2,"")</f>
        <v/>
      </c>
      <c r="AT920" s="40">
        <f>SUMIFS(DaybyDay[Est-Retail-Payroll],DaybyDay[Date],"&gt;="&amp;$C$5,DaybyDay[RowYear],"&gt;="&amp;$C$4,DaybyDay[Date],"&lt;="&amp;DaybyDay[[#This Row],[Date]])</f>
        <v>0</v>
      </c>
      <c r="AU920" s="82" t="str">
        <f>IF(AND(DaybyDay[[#This Row],[_Space]],ISNUMBER(DaybyDay[[#This Row],[Retail Hours]])),DaybyDay[[#This Row],[Est-Retail-Payroll]]/(DaybyDay[[#This Row],[Retail-Actuals]]),"")</f>
        <v/>
      </c>
      <c r="AV920" s="82" t="e">
        <f>DaybyDay[[#This Row],[Est-Retail-PayrollRU]]/DaybyDay[[#This Row],[Simple-Forecast-Retail]]</f>
        <v>#DIV/0!</v>
      </c>
      <c r="AW920" s="8"/>
      <c r="AX920" s="49"/>
      <c r="AY920" s="48"/>
      <c r="AZ920" s="47"/>
      <c r="BA920" s="47"/>
      <c r="BB920" s="47"/>
      <c r="BC920" s="47"/>
      <c r="BD920" s="47"/>
    </row>
    <row r="921" spans="3:56" hidden="1" x14ac:dyDescent="0.25">
      <c r="C921" s="26" t="str">
        <f>Tools!$C$1</f>
        <v>Example</v>
      </c>
      <c r="D921" s="27" t="s">
        <v>73</v>
      </c>
      <c r="E921" s="28">
        <v>2019</v>
      </c>
      <c r="F921" s="28">
        <f>MATCH(DaybyDay[[#This Row],[RowMonth]],Table3[SummaryMonth],0)</f>
        <v>6</v>
      </c>
      <c r="G921" s="29">
        <f>MATCH(DaybyDay[[#This Row],[LY-Date]],DaybyDay[Date],0)</f>
        <v>551</v>
      </c>
      <c r="H921" s="30">
        <f>WEEKDAY(DaybyDay[[#This Row],[Date]])</f>
        <v>5</v>
      </c>
      <c r="I921" s="31">
        <v>43650</v>
      </c>
      <c r="J921" s="74">
        <v>13</v>
      </c>
      <c r="K921" s="32">
        <f>SUMIFS(BudgetSeasonality[365 Seasonality],BudgetSeasonality[MonthAdjustment],DaybyDay[[#This Row],[Date]])*SUMIFS(Budgets[Service-Budget],Budgets[BudgetMonth],DaybyDay[[#This Row],[RowMonth]],Budgets[BudgetYear],DaybyDay[[#This Row],[RowYear]])</f>
        <v>3742.6842180772555</v>
      </c>
      <c r="L921" s="75">
        <v>2763.6</v>
      </c>
      <c r="M921" s="32">
        <f>INDEX(BudgetSeasonality[365 Seasonality],MATCH(DaybyDay[[#This Row],[Date]],BudgetSeasonality[MonthAdjustment],0))*SUMIFS(Budgets[Retail-Budget],Budgets[BudgetMonth],DaybyDay[[#This Row],[RowMonth]],Budgets[BudgetYear],DaybyDay[[#This Row],[RowYear]])</f>
        <v>1076.5954966187187</v>
      </c>
      <c r="N921" s="75">
        <v>0</v>
      </c>
      <c r="O921" s="33">
        <f>SUMIFS(DaybyDay[Service-Budgets],DaybyDay[Date],"&gt;="&amp;$C$5,DaybyDay[RowYear],"&gt;="&amp;$C$4,DaybyDay[Date],"&lt;="&amp;DaybyDay[[#This Row],[Date]])</f>
        <v>0</v>
      </c>
      <c r="P921" s="33">
        <f>SUMIFS(DaybyDay[Retail-Budgets],DaybyDay[Date],"&gt;="&amp;$C$5,DaybyDay[RowYear],"&gt;="&amp;$C$4,DaybyDay[Date],"&lt;="&amp;DaybyDay[[#This Row],[Date]])</f>
        <v>0</v>
      </c>
      <c r="Q921" s="34">
        <f>SUMIFS(DaybyDay[Service-Actuals],DaybyDay[Date],"&gt;="&amp;$C$5,DaybyDay[RowYear],"&gt;="&amp;$C$4,DaybyDay[Date],"&lt;="&amp;DaybyDay[[#This Row],[Date]])</f>
        <v>0</v>
      </c>
      <c r="R921" s="34">
        <f>SUMIFS(DaybyDay[Retail-Actuals],DaybyDay[Date],"&gt;="&amp;$C$5,DaybyDay[RowYear],"&gt;="&amp;$C$4,DaybyDay[Date],"&lt;="&amp;DaybyDay[[#This Row],[Date]])</f>
        <v>0</v>
      </c>
      <c r="S921" s="35">
        <f>SUMIFS(DaybyDay[Service-LY],DaybyDay[Date],"&gt;="&amp;$C$5,DaybyDay[RowYear],"&gt;="&amp;$C$4,DaybyDay[Date],"&lt;="&amp;DaybyDay[[#This Row],[Date]])</f>
        <v>0</v>
      </c>
      <c r="T921" s="35">
        <f>SUMIFS(DaybyDay[Retail-LY],DaybyDay[Date],"&gt;="&amp;$C$5,DaybyDay[RowYear],"&gt;="&amp;$C$4,DaybyDay[Date],"&lt;="&amp;DaybyDay[[#This Row],[Date]])</f>
        <v>0</v>
      </c>
      <c r="U921" s="32">
        <f>DaybyDay[[#This Row],[Serv-Bud-RU]]+DaybyDay[[#This Row],[Ret-Bud-RU]]</f>
        <v>0</v>
      </c>
      <c r="V921" s="32">
        <f>DaybyDay[[#This Row],[Serv-Act-RU]]+DaybyDay[[#This Row],[Ret-Act-RU]]</f>
        <v>0</v>
      </c>
      <c r="W921" s="36">
        <f>IF(DaybyDay[[#This Row],[_Space]],IFERROR(
((DaybyDay[[#This Row],[Actual-Rollup]]-DaybyDay[[#This Row],[Budget-Rollup]])/DaybyDay[[#This Row],[Budget-Rollup]]),0),"")</f>
        <v>0</v>
      </c>
      <c r="X921" t="b">
        <f>NOT(AND(ISBLANK(DaybyDay[[#This Row],[Appts]]),ISBLANK(DaybyDay[[#This Row],[Service-Actuals]]),ISBLANK(DaybyDay[[#This Row],[Retail-Actuals]])))</f>
        <v>1</v>
      </c>
      <c r="Y921" s="36">
        <f>IF(DaybyDay[[#This Row],[_Space]],IFERROR(
((DaybyDay[[#This Row],[Actual-Rollup]]-DaybyDay[[#This Row],[LY-Rollup]])/DaybyDay[[#This Row],[LY-Rollup]]),0),"")</f>
        <v>0</v>
      </c>
      <c r="Z921"/>
      <c r="AA921" s="37" t="e">
        <f>IF(DaybyDay[[#This Row],[_Space]],DaybyDay[[#This Row],[Ret-Act-RU]]/DaybyDay[[#This Row],[Serv-Act-RU]],"")</f>
        <v>#DIV/0!</v>
      </c>
      <c r="AB921" s="50" t="e">
        <f>IF(DaybyDay[[#This Row],[_Space]],DaybyDay[[#This Row],[RETPEN-Act]]/DaybyDay[[#This Row],[RETPEN-Bud]],"")</f>
        <v>#DIV/0!</v>
      </c>
      <c r="AC921" s="37" t="e">
        <f>IF(DaybyDay[[#This Row],[_Space]],DaybyDay[[#This Row],[Ret-Bud-RU]]/DaybyDay[[#This Row],[Serv-Bud-RU]],"")</f>
        <v>#DIV/0!</v>
      </c>
      <c r="AD921" s="37" t="e">
        <f>IF(DaybyDay[[#This Row],[_Space]],DaybyDay[[#This Row],[Ret-LY-RU]]/DaybyDay[[#This Row],[Serv-LY-RU]],"")</f>
        <v>#DIV/0!</v>
      </c>
      <c r="AE921" s="30">
        <f>WEEKDAY(DaybyDay[[#This Row],[LY-Date]])</f>
        <v>5</v>
      </c>
      <c r="AF921" s="38">
        <f>$E$2+_xlfn.DAYS(DaybyDay[[#This Row],[Date]],minDate)</f>
        <v>43286</v>
      </c>
      <c r="AG921" s="39" cm="1">
        <f t="array" ref="AG921">IFERROR(INDEX(DaybyDay[],DaybyDay[[#This Row],[FORM_MATCH_HELPER]],8),"")</f>
        <v>24</v>
      </c>
      <c r="AH921" s="39" cm="1">
        <f t="array" ref="AH921">IFERROR(INDEX(DaybyDay[],DaybyDay[[#This Row],[FORM_MATCH_HELPER]],10),"")</f>
        <v>3878.8</v>
      </c>
      <c r="AI921" s="39" cm="1">
        <f t="array" ref="AI921">IFERROR(INDEX(DaybyDay[],DaybyDay[[#This Row],[FORM_MATCH_HELPER]],12),"")</f>
        <v>1209.9000000000001</v>
      </c>
      <c r="AJ921" s="32">
        <f>IFERROR(DaybyDay[[#This Row],[Serv-LY-RU]]+DaybyDay[[#This Row],[Ret-LY-RU]],"")</f>
        <v>0</v>
      </c>
      <c r="AK9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1" s="77"/>
      <c r="AM921" s="40" t="str">
        <f>IF(DaybyDay[[#This Row],[Admin Hours]]&gt;0,DaybyDay[[#This Row],[Admin Hours]]*$AM$2+$AM$3,"")</f>
        <v/>
      </c>
      <c r="AN921" s="40">
        <f>SUMIFS(DaybyDay[Est-Admin-Payroll],DaybyDay[Date],"&gt;="&amp;$C$5,DaybyDay[RowYear],"&gt;="&amp;$C$4,DaybyDay[Date],"&lt;="&amp;DaybyDay[[#This Row],[Date]])</f>
        <v>0</v>
      </c>
      <c r="AO921" s="41" t="str">
        <f>IF(AND(DaybyDay[[#This Row],[_Space]],ISNUMBER(DaybyDay[[#This Row],[Admin Hours]])),DaybyDay[[#This Row],[Est-Admin-Payroll]]/(DaybyDay[[#This Row],[Service-Actuals]]+DaybyDay[[#This Row],[Retail-Actuals]]),"")</f>
        <v/>
      </c>
      <c r="AP921" s="41" t="e">
        <f>DaybyDay[[#This Row],[Estimated-Payroll-Rollup]]/DaybyDay[[#This Row],[Simple-Forecast]]</f>
        <v>#DIV/0!</v>
      </c>
      <c r="AQ9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1" s="77"/>
      <c r="AS921" s="40" t="str">
        <f>IF(DaybyDay[[#This Row],[Retail Hours]]&gt;0,DaybyDay[[#This Row],[Retail Hours]]*$AS$2,"")</f>
        <v/>
      </c>
      <c r="AT921" s="40">
        <f>SUMIFS(DaybyDay[Est-Retail-Payroll],DaybyDay[Date],"&gt;="&amp;$C$5,DaybyDay[RowYear],"&gt;="&amp;$C$4,DaybyDay[Date],"&lt;="&amp;DaybyDay[[#This Row],[Date]])</f>
        <v>0</v>
      </c>
      <c r="AU921" s="82" t="str">
        <f>IF(AND(DaybyDay[[#This Row],[_Space]],ISNUMBER(DaybyDay[[#This Row],[Retail Hours]])),DaybyDay[[#This Row],[Est-Retail-Payroll]]/(DaybyDay[[#This Row],[Retail-Actuals]]),"")</f>
        <v/>
      </c>
      <c r="AV921" s="82" t="e">
        <f>DaybyDay[[#This Row],[Est-Retail-PayrollRU]]/DaybyDay[[#This Row],[Simple-Forecast-Retail]]</f>
        <v>#DIV/0!</v>
      </c>
      <c r="AW921" s="8"/>
      <c r="AX921" s="49"/>
      <c r="AY921" s="48"/>
      <c r="AZ921" s="47"/>
      <c r="BA921" s="47"/>
      <c r="BB921" s="47"/>
      <c r="BC921" s="47"/>
      <c r="BD921" s="47"/>
    </row>
    <row r="922" spans="3:56" hidden="1" x14ac:dyDescent="0.25">
      <c r="C922" s="26" t="str">
        <f>Tools!$C$1</f>
        <v>Example</v>
      </c>
      <c r="D922" s="27" t="s">
        <v>73</v>
      </c>
      <c r="E922" s="28">
        <v>2019</v>
      </c>
      <c r="F922" s="28">
        <f>MATCH(DaybyDay[[#This Row],[RowMonth]],Table3[SummaryMonth],0)</f>
        <v>6</v>
      </c>
      <c r="G922" s="29">
        <f>MATCH(DaybyDay[[#This Row],[LY-Date]],DaybyDay[Date],0)</f>
        <v>552</v>
      </c>
      <c r="H922" s="30">
        <f>WEEKDAY(DaybyDay[[#This Row],[Date]])</f>
        <v>6</v>
      </c>
      <c r="I922" s="31">
        <v>43651</v>
      </c>
      <c r="J922" s="74">
        <v>27</v>
      </c>
      <c r="K922" s="32">
        <f>SUMIFS(BudgetSeasonality[365 Seasonality],BudgetSeasonality[MonthAdjustment],DaybyDay[[#This Row],[Date]])*SUMIFS(Budgets[Service-Budget],Budgets[BudgetMonth],DaybyDay[[#This Row],[RowMonth]],Budgets[BudgetYear],DaybyDay[[#This Row],[RowYear]])</f>
        <v>4872.4620454790484</v>
      </c>
      <c r="L922" s="75">
        <v>4630.2</v>
      </c>
      <c r="M922" s="32">
        <f>INDEX(BudgetSeasonality[365 Seasonality],MATCH(DaybyDay[[#This Row],[Date]],BudgetSeasonality[MonthAdjustment],0))*SUMIFS(Budgets[Retail-Budget],Budgets[BudgetMonth],DaybyDay[[#This Row],[RowMonth]],Budgets[BudgetYear],DaybyDay[[#This Row],[RowYear]])</f>
        <v>1401.57982612363</v>
      </c>
      <c r="N922" s="75">
        <v>1543.5</v>
      </c>
      <c r="O922" s="33">
        <f>SUMIFS(DaybyDay[Service-Budgets],DaybyDay[Date],"&gt;="&amp;$C$5,DaybyDay[RowYear],"&gt;="&amp;$C$4,DaybyDay[Date],"&lt;="&amp;DaybyDay[[#This Row],[Date]])</f>
        <v>0</v>
      </c>
      <c r="P922" s="33">
        <f>SUMIFS(DaybyDay[Retail-Budgets],DaybyDay[Date],"&gt;="&amp;$C$5,DaybyDay[RowYear],"&gt;="&amp;$C$4,DaybyDay[Date],"&lt;="&amp;DaybyDay[[#This Row],[Date]])</f>
        <v>0</v>
      </c>
      <c r="Q922" s="34">
        <f>SUMIFS(DaybyDay[Service-Actuals],DaybyDay[Date],"&gt;="&amp;$C$5,DaybyDay[RowYear],"&gt;="&amp;$C$4,DaybyDay[Date],"&lt;="&amp;DaybyDay[[#This Row],[Date]])</f>
        <v>0</v>
      </c>
      <c r="R922" s="34">
        <f>SUMIFS(DaybyDay[Retail-Actuals],DaybyDay[Date],"&gt;="&amp;$C$5,DaybyDay[RowYear],"&gt;="&amp;$C$4,DaybyDay[Date],"&lt;="&amp;DaybyDay[[#This Row],[Date]])</f>
        <v>0</v>
      </c>
      <c r="S922" s="35">
        <f>SUMIFS(DaybyDay[Service-LY],DaybyDay[Date],"&gt;="&amp;$C$5,DaybyDay[RowYear],"&gt;="&amp;$C$4,DaybyDay[Date],"&lt;="&amp;DaybyDay[[#This Row],[Date]])</f>
        <v>0</v>
      </c>
      <c r="T922" s="35">
        <f>SUMIFS(DaybyDay[Retail-LY],DaybyDay[Date],"&gt;="&amp;$C$5,DaybyDay[RowYear],"&gt;="&amp;$C$4,DaybyDay[Date],"&lt;="&amp;DaybyDay[[#This Row],[Date]])</f>
        <v>0</v>
      </c>
      <c r="U922" s="32">
        <f>DaybyDay[[#This Row],[Serv-Bud-RU]]+DaybyDay[[#This Row],[Ret-Bud-RU]]</f>
        <v>0</v>
      </c>
      <c r="V922" s="32">
        <f>DaybyDay[[#This Row],[Serv-Act-RU]]+DaybyDay[[#This Row],[Ret-Act-RU]]</f>
        <v>0</v>
      </c>
      <c r="W922" s="36">
        <f>IF(DaybyDay[[#This Row],[_Space]],IFERROR(
((DaybyDay[[#This Row],[Actual-Rollup]]-DaybyDay[[#This Row],[Budget-Rollup]])/DaybyDay[[#This Row],[Budget-Rollup]]),0),"")</f>
        <v>0</v>
      </c>
      <c r="X922" t="b">
        <f>NOT(AND(ISBLANK(DaybyDay[[#This Row],[Appts]]),ISBLANK(DaybyDay[[#This Row],[Service-Actuals]]),ISBLANK(DaybyDay[[#This Row],[Retail-Actuals]])))</f>
        <v>1</v>
      </c>
      <c r="Y922" s="36">
        <f>IF(DaybyDay[[#This Row],[_Space]],IFERROR(
((DaybyDay[[#This Row],[Actual-Rollup]]-DaybyDay[[#This Row],[LY-Rollup]])/DaybyDay[[#This Row],[LY-Rollup]]),0),"")</f>
        <v>0</v>
      </c>
      <c r="Z922"/>
      <c r="AA922" s="37" t="e">
        <f>IF(DaybyDay[[#This Row],[_Space]],DaybyDay[[#This Row],[Ret-Act-RU]]/DaybyDay[[#This Row],[Serv-Act-RU]],"")</f>
        <v>#DIV/0!</v>
      </c>
      <c r="AB922" s="50" t="e">
        <f>IF(DaybyDay[[#This Row],[_Space]],DaybyDay[[#This Row],[RETPEN-Act]]/DaybyDay[[#This Row],[RETPEN-Bud]],"")</f>
        <v>#DIV/0!</v>
      </c>
      <c r="AC922" s="37" t="e">
        <f>IF(DaybyDay[[#This Row],[_Space]],DaybyDay[[#This Row],[Ret-Bud-RU]]/DaybyDay[[#This Row],[Serv-Bud-RU]],"")</f>
        <v>#DIV/0!</v>
      </c>
      <c r="AD922" s="37" t="e">
        <f>IF(DaybyDay[[#This Row],[_Space]],DaybyDay[[#This Row],[Ret-LY-RU]]/DaybyDay[[#This Row],[Serv-LY-RU]],"")</f>
        <v>#DIV/0!</v>
      </c>
      <c r="AE922" s="30">
        <f>WEEKDAY(DaybyDay[[#This Row],[LY-Date]])</f>
        <v>6</v>
      </c>
      <c r="AF922" s="38">
        <f>$E$2+_xlfn.DAYS(DaybyDay[[#This Row],[Date]],minDate)</f>
        <v>43287</v>
      </c>
      <c r="AG922" s="39" cm="1">
        <f t="array" ref="AG922">IFERROR(INDEX(DaybyDay[],DaybyDay[[#This Row],[FORM_MATCH_HELPER]],8),"")</f>
        <v>22</v>
      </c>
      <c r="AH922" s="39" cm="1">
        <f t="array" ref="AH922">IFERROR(INDEX(DaybyDay[],DaybyDay[[#This Row],[FORM_MATCH_HELPER]],10),"")</f>
        <v>4981.2</v>
      </c>
      <c r="AI922" s="39" cm="1">
        <f t="array" ref="AI922">IFERROR(INDEX(DaybyDay[],DaybyDay[[#This Row],[FORM_MATCH_HELPER]],12),"")</f>
        <v>205</v>
      </c>
      <c r="AJ922" s="32">
        <f>IFERROR(DaybyDay[[#This Row],[Serv-LY-RU]]+DaybyDay[[#This Row],[Ret-LY-RU]],"")</f>
        <v>0</v>
      </c>
      <c r="AK9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2" s="77"/>
      <c r="AM922" s="40" t="str">
        <f>IF(DaybyDay[[#This Row],[Admin Hours]]&gt;0,DaybyDay[[#This Row],[Admin Hours]]*$AM$2+$AM$3,"")</f>
        <v/>
      </c>
      <c r="AN922" s="40">
        <f>SUMIFS(DaybyDay[Est-Admin-Payroll],DaybyDay[Date],"&gt;="&amp;$C$5,DaybyDay[RowYear],"&gt;="&amp;$C$4,DaybyDay[Date],"&lt;="&amp;DaybyDay[[#This Row],[Date]])</f>
        <v>0</v>
      </c>
      <c r="AO922" s="41" t="str">
        <f>IF(AND(DaybyDay[[#This Row],[_Space]],ISNUMBER(DaybyDay[[#This Row],[Admin Hours]])),DaybyDay[[#This Row],[Est-Admin-Payroll]]/(DaybyDay[[#This Row],[Service-Actuals]]+DaybyDay[[#This Row],[Retail-Actuals]]),"")</f>
        <v/>
      </c>
      <c r="AP922" s="41" t="e">
        <f>DaybyDay[[#This Row],[Estimated-Payroll-Rollup]]/DaybyDay[[#This Row],[Simple-Forecast]]</f>
        <v>#DIV/0!</v>
      </c>
      <c r="AQ9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2" s="77"/>
      <c r="AS922" s="40" t="str">
        <f>IF(DaybyDay[[#This Row],[Retail Hours]]&gt;0,DaybyDay[[#This Row],[Retail Hours]]*$AS$2,"")</f>
        <v/>
      </c>
      <c r="AT922" s="40">
        <f>SUMIFS(DaybyDay[Est-Retail-Payroll],DaybyDay[Date],"&gt;="&amp;$C$5,DaybyDay[RowYear],"&gt;="&amp;$C$4,DaybyDay[Date],"&lt;="&amp;DaybyDay[[#This Row],[Date]])</f>
        <v>0</v>
      </c>
      <c r="AU922" s="82" t="str">
        <f>IF(AND(DaybyDay[[#This Row],[_Space]],ISNUMBER(DaybyDay[[#This Row],[Retail Hours]])),DaybyDay[[#This Row],[Est-Retail-Payroll]]/(DaybyDay[[#This Row],[Retail-Actuals]]),"")</f>
        <v/>
      </c>
      <c r="AV922" s="82" t="e">
        <f>DaybyDay[[#This Row],[Est-Retail-PayrollRU]]/DaybyDay[[#This Row],[Simple-Forecast-Retail]]</f>
        <v>#DIV/0!</v>
      </c>
      <c r="AW922" s="8"/>
      <c r="AX922" s="49"/>
      <c r="AY922" s="48"/>
      <c r="AZ922" s="47"/>
      <c r="BA922" s="47"/>
      <c r="BB922" s="47"/>
      <c r="BC922" s="47"/>
      <c r="BD922" s="47"/>
    </row>
    <row r="923" spans="3:56" hidden="1" x14ac:dyDescent="0.25">
      <c r="C923" s="26" t="str">
        <f>Tools!$C$1</f>
        <v>Example</v>
      </c>
      <c r="D923" s="27" t="s">
        <v>73</v>
      </c>
      <c r="E923" s="28">
        <v>2019</v>
      </c>
      <c r="F923" s="28">
        <f>MATCH(DaybyDay[[#This Row],[RowMonth]],Table3[SummaryMonth],0)</f>
        <v>6</v>
      </c>
      <c r="G923" s="29">
        <f>MATCH(DaybyDay[[#This Row],[LY-Date]],DaybyDay[Date],0)</f>
        <v>553</v>
      </c>
      <c r="H923" s="30">
        <f>WEEKDAY(DaybyDay[[#This Row],[Date]])</f>
        <v>7</v>
      </c>
      <c r="I923" s="31">
        <v>43652</v>
      </c>
      <c r="J923" s="74">
        <v>24</v>
      </c>
      <c r="K923" s="32">
        <f>SUMIFS(BudgetSeasonality[365 Seasonality],BudgetSeasonality[MonthAdjustment],DaybyDay[[#This Row],[Date]])*SUMIFS(Budgets[Service-Budget],Budgets[BudgetMonth],DaybyDay[[#This Row],[RowMonth]],Budgets[BudgetYear],DaybyDay[[#This Row],[RowYear]])</f>
        <v>7324.0727635441908</v>
      </c>
      <c r="L923" s="75">
        <v>4086.5699999999997</v>
      </c>
      <c r="M923" s="32">
        <f>INDEX(BudgetSeasonality[365 Seasonality],MATCH(DaybyDay[[#This Row],[Date]],BudgetSeasonality[MonthAdjustment],0))*SUMIFS(Budgets[Retail-Budget],Budgets[BudgetMonth],DaybyDay[[#This Row],[RowMonth]],Budgets[BudgetYear],DaybyDay[[#This Row],[RowYear]])</f>
        <v>2106.793759423902</v>
      </c>
      <c r="N923" s="75">
        <v>949</v>
      </c>
      <c r="O923" s="33">
        <f>SUMIFS(DaybyDay[Service-Budgets],DaybyDay[Date],"&gt;="&amp;$C$5,DaybyDay[RowYear],"&gt;="&amp;$C$4,DaybyDay[Date],"&lt;="&amp;DaybyDay[[#This Row],[Date]])</f>
        <v>0</v>
      </c>
      <c r="P923" s="33">
        <f>SUMIFS(DaybyDay[Retail-Budgets],DaybyDay[Date],"&gt;="&amp;$C$5,DaybyDay[RowYear],"&gt;="&amp;$C$4,DaybyDay[Date],"&lt;="&amp;DaybyDay[[#This Row],[Date]])</f>
        <v>0</v>
      </c>
      <c r="Q923" s="34">
        <f>SUMIFS(DaybyDay[Service-Actuals],DaybyDay[Date],"&gt;="&amp;$C$5,DaybyDay[RowYear],"&gt;="&amp;$C$4,DaybyDay[Date],"&lt;="&amp;DaybyDay[[#This Row],[Date]])</f>
        <v>0</v>
      </c>
      <c r="R923" s="34">
        <f>SUMIFS(DaybyDay[Retail-Actuals],DaybyDay[Date],"&gt;="&amp;$C$5,DaybyDay[RowYear],"&gt;="&amp;$C$4,DaybyDay[Date],"&lt;="&amp;DaybyDay[[#This Row],[Date]])</f>
        <v>0</v>
      </c>
      <c r="S923" s="35">
        <f>SUMIFS(DaybyDay[Service-LY],DaybyDay[Date],"&gt;="&amp;$C$5,DaybyDay[RowYear],"&gt;="&amp;$C$4,DaybyDay[Date],"&lt;="&amp;DaybyDay[[#This Row],[Date]])</f>
        <v>0</v>
      </c>
      <c r="T923" s="35">
        <f>SUMIFS(DaybyDay[Retail-LY],DaybyDay[Date],"&gt;="&amp;$C$5,DaybyDay[RowYear],"&gt;="&amp;$C$4,DaybyDay[Date],"&lt;="&amp;DaybyDay[[#This Row],[Date]])</f>
        <v>0</v>
      </c>
      <c r="U923" s="32">
        <f>DaybyDay[[#This Row],[Serv-Bud-RU]]+DaybyDay[[#This Row],[Ret-Bud-RU]]</f>
        <v>0</v>
      </c>
      <c r="V923" s="32">
        <f>DaybyDay[[#This Row],[Serv-Act-RU]]+DaybyDay[[#This Row],[Ret-Act-RU]]</f>
        <v>0</v>
      </c>
      <c r="W923" s="36">
        <f>IF(DaybyDay[[#This Row],[_Space]],IFERROR(
((DaybyDay[[#This Row],[Actual-Rollup]]-DaybyDay[[#This Row],[Budget-Rollup]])/DaybyDay[[#This Row],[Budget-Rollup]]),0),"")</f>
        <v>0</v>
      </c>
      <c r="X923" t="b">
        <f>NOT(AND(ISBLANK(DaybyDay[[#This Row],[Appts]]),ISBLANK(DaybyDay[[#This Row],[Service-Actuals]]),ISBLANK(DaybyDay[[#This Row],[Retail-Actuals]])))</f>
        <v>1</v>
      </c>
      <c r="Y923" s="36">
        <f>IF(DaybyDay[[#This Row],[_Space]],IFERROR(
((DaybyDay[[#This Row],[Actual-Rollup]]-DaybyDay[[#This Row],[LY-Rollup]])/DaybyDay[[#This Row],[LY-Rollup]]),0),"")</f>
        <v>0</v>
      </c>
      <c r="Z923"/>
      <c r="AA923" s="37" t="e">
        <f>IF(DaybyDay[[#This Row],[_Space]],DaybyDay[[#This Row],[Ret-Act-RU]]/DaybyDay[[#This Row],[Serv-Act-RU]],"")</f>
        <v>#DIV/0!</v>
      </c>
      <c r="AB923" s="50" t="e">
        <f>IF(DaybyDay[[#This Row],[_Space]],DaybyDay[[#This Row],[RETPEN-Act]]/DaybyDay[[#This Row],[RETPEN-Bud]],"")</f>
        <v>#DIV/0!</v>
      </c>
      <c r="AC923" s="37" t="e">
        <f>IF(DaybyDay[[#This Row],[_Space]],DaybyDay[[#This Row],[Ret-Bud-RU]]/DaybyDay[[#This Row],[Serv-Bud-RU]],"")</f>
        <v>#DIV/0!</v>
      </c>
      <c r="AD923" s="37" t="e">
        <f>IF(DaybyDay[[#This Row],[_Space]],DaybyDay[[#This Row],[Ret-LY-RU]]/DaybyDay[[#This Row],[Serv-LY-RU]],"")</f>
        <v>#DIV/0!</v>
      </c>
      <c r="AE923" s="30">
        <f>WEEKDAY(DaybyDay[[#This Row],[LY-Date]])</f>
        <v>7</v>
      </c>
      <c r="AF923" s="38">
        <f>$E$2+_xlfn.DAYS(DaybyDay[[#This Row],[Date]],minDate)</f>
        <v>43288</v>
      </c>
      <c r="AG923" s="39" cm="1">
        <f t="array" ref="AG923">IFERROR(INDEX(DaybyDay[],DaybyDay[[#This Row],[FORM_MATCH_HELPER]],8),"")</f>
        <v>0</v>
      </c>
      <c r="AH923" s="39" cm="1">
        <f t="array" ref="AH923">IFERROR(INDEX(DaybyDay[],DaybyDay[[#This Row],[FORM_MATCH_HELPER]],10),"")</f>
        <v>0</v>
      </c>
      <c r="AI923" s="39" cm="1">
        <f t="array" ref="AI923">IFERROR(INDEX(DaybyDay[],DaybyDay[[#This Row],[FORM_MATCH_HELPER]],12),"")</f>
        <v>0</v>
      </c>
      <c r="AJ923" s="32">
        <f>IFERROR(DaybyDay[[#This Row],[Serv-LY-RU]]+DaybyDay[[#This Row],[Ret-LY-RU]],"")</f>
        <v>0</v>
      </c>
      <c r="AK9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3" s="77"/>
      <c r="AM923" s="40" t="str">
        <f>IF(DaybyDay[[#This Row],[Admin Hours]]&gt;0,DaybyDay[[#This Row],[Admin Hours]]*$AM$2+$AM$3,"")</f>
        <v/>
      </c>
      <c r="AN923" s="40">
        <f>SUMIFS(DaybyDay[Est-Admin-Payroll],DaybyDay[Date],"&gt;="&amp;$C$5,DaybyDay[RowYear],"&gt;="&amp;$C$4,DaybyDay[Date],"&lt;="&amp;DaybyDay[[#This Row],[Date]])</f>
        <v>0</v>
      </c>
      <c r="AO923" s="41" t="str">
        <f>IF(AND(DaybyDay[[#This Row],[_Space]],ISNUMBER(DaybyDay[[#This Row],[Admin Hours]])),DaybyDay[[#This Row],[Est-Admin-Payroll]]/(DaybyDay[[#This Row],[Service-Actuals]]+DaybyDay[[#This Row],[Retail-Actuals]]),"")</f>
        <v/>
      </c>
      <c r="AP923" s="41" t="e">
        <f>DaybyDay[[#This Row],[Estimated-Payroll-Rollup]]/DaybyDay[[#This Row],[Simple-Forecast]]</f>
        <v>#DIV/0!</v>
      </c>
      <c r="AQ9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3" s="77"/>
      <c r="AS923" s="40" t="str">
        <f>IF(DaybyDay[[#This Row],[Retail Hours]]&gt;0,DaybyDay[[#This Row],[Retail Hours]]*$AS$2,"")</f>
        <v/>
      </c>
      <c r="AT923" s="40">
        <f>SUMIFS(DaybyDay[Est-Retail-Payroll],DaybyDay[Date],"&gt;="&amp;$C$5,DaybyDay[RowYear],"&gt;="&amp;$C$4,DaybyDay[Date],"&lt;="&amp;DaybyDay[[#This Row],[Date]])</f>
        <v>0</v>
      </c>
      <c r="AU923" s="82" t="str">
        <f>IF(AND(DaybyDay[[#This Row],[_Space]],ISNUMBER(DaybyDay[[#This Row],[Retail Hours]])),DaybyDay[[#This Row],[Est-Retail-Payroll]]/(DaybyDay[[#This Row],[Retail-Actuals]]),"")</f>
        <v/>
      </c>
      <c r="AV923" s="82" t="e">
        <f>DaybyDay[[#This Row],[Est-Retail-PayrollRU]]/DaybyDay[[#This Row],[Simple-Forecast-Retail]]</f>
        <v>#DIV/0!</v>
      </c>
      <c r="AW923" s="8"/>
      <c r="AX923" s="49"/>
      <c r="AY923" s="48"/>
      <c r="AZ923" s="47"/>
      <c r="BA923" s="47"/>
      <c r="BB923" s="47"/>
      <c r="BC923" s="47"/>
      <c r="BD923" s="47"/>
    </row>
    <row r="924" spans="3:56" hidden="1" x14ac:dyDescent="0.25">
      <c r="C924" s="26" t="str">
        <f>Tools!$C$1</f>
        <v>Example</v>
      </c>
      <c r="D924" s="27" t="s">
        <v>74</v>
      </c>
      <c r="E924" s="28">
        <v>2019</v>
      </c>
      <c r="F924" s="28">
        <f>MATCH(DaybyDay[[#This Row],[RowMonth]],Table3[SummaryMonth],0)</f>
        <v>7</v>
      </c>
      <c r="G924" s="29">
        <f>MATCH(DaybyDay[[#This Row],[LY-Date]],DaybyDay[Date],0)</f>
        <v>554</v>
      </c>
      <c r="H924" s="30">
        <f>WEEKDAY(DaybyDay[[#This Row],[Date]])</f>
        <v>1</v>
      </c>
      <c r="I924" s="31">
        <v>43653</v>
      </c>
      <c r="J924" s="74">
        <v>27</v>
      </c>
      <c r="K924" s="32">
        <f>SUMIFS(BudgetSeasonality[365 Seasonality],BudgetSeasonality[MonthAdjustment],DaybyDay[[#This Row],[Date]])*SUMIFS(Budgets[Service-Budget],Budgets[BudgetMonth],DaybyDay[[#This Row],[RowMonth]],Budgets[BudgetYear],DaybyDay[[#This Row],[RowYear]])</f>
        <v>5066.1093001975651</v>
      </c>
      <c r="L924" s="75">
        <v>4180</v>
      </c>
      <c r="M924" s="32">
        <f>INDEX(BudgetSeasonality[365 Seasonality],MATCH(DaybyDay[[#This Row],[Date]],BudgetSeasonality[MonthAdjustment],0))*SUMIFS(Budgets[Retail-Budget],Budgets[BudgetMonth],DaybyDay[[#This Row],[RowMonth]],Budgets[BudgetYear],DaybyDay[[#This Row],[RowYear]])</f>
        <v>1349.0313841844923</v>
      </c>
      <c r="N924" s="75">
        <v>348.97</v>
      </c>
      <c r="O924" s="33">
        <f>SUMIFS(DaybyDay[Service-Budgets],DaybyDay[Date],"&gt;="&amp;$C$5,DaybyDay[RowYear],"&gt;="&amp;$C$4,DaybyDay[Date],"&lt;="&amp;DaybyDay[[#This Row],[Date]])</f>
        <v>0</v>
      </c>
      <c r="P924" s="33">
        <f>SUMIFS(DaybyDay[Retail-Budgets],DaybyDay[Date],"&gt;="&amp;$C$5,DaybyDay[RowYear],"&gt;="&amp;$C$4,DaybyDay[Date],"&lt;="&amp;DaybyDay[[#This Row],[Date]])</f>
        <v>0</v>
      </c>
      <c r="Q924" s="34">
        <f>SUMIFS(DaybyDay[Service-Actuals],DaybyDay[Date],"&gt;="&amp;$C$5,DaybyDay[RowYear],"&gt;="&amp;$C$4,DaybyDay[Date],"&lt;="&amp;DaybyDay[[#This Row],[Date]])</f>
        <v>0</v>
      </c>
      <c r="R924" s="34">
        <f>SUMIFS(DaybyDay[Retail-Actuals],DaybyDay[Date],"&gt;="&amp;$C$5,DaybyDay[RowYear],"&gt;="&amp;$C$4,DaybyDay[Date],"&lt;="&amp;DaybyDay[[#This Row],[Date]])</f>
        <v>0</v>
      </c>
      <c r="S924" s="35">
        <f>SUMIFS(DaybyDay[Service-LY],DaybyDay[Date],"&gt;="&amp;$C$5,DaybyDay[RowYear],"&gt;="&amp;$C$4,DaybyDay[Date],"&lt;="&amp;DaybyDay[[#This Row],[Date]])</f>
        <v>0</v>
      </c>
      <c r="T924" s="35">
        <f>SUMIFS(DaybyDay[Retail-LY],DaybyDay[Date],"&gt;="&amp;$C$5,DaybyDay[RowYear],"&gt;="&amp;$C$4,DaybyDay[Date],"&lt;="&amp;DaybyDay[[#This Row],[Date]])</f>
        <v>0</v>
      </c>
      <c r="U924" s="32">
        <f>DaybyDay[[#This Row],[Serv-Bud-RU]]+DaybyDay[[#This Row],[Ret-Bud-RU]]</f>
        <v>0</v>
      </c>
      <c r="V924" s="32">
        <f>DaybyDay[[#This Row],[Serv-Act-RU]]+DaybyDay[[#This Row],[Ret-Act-RU]]</f>
        <v>0</v>
      </c>
      <c r="W924" s="36">
        <f>IF(DaybyDay[[#This Row],[_Space]],IFERROR(
((DaybyDay[[#This Row],[Actual-Rollup]]-DaybyDay[[#This Row],[Budget-Rollup]])/DaybyDay[[#This Row],[Budget-Rollup]]),0),"")</f>
        <v>0</v>
      </c>
      <c r="X924" t="b">
        <f>NOT(AND(ISBLANK(DaybyDay[[#This Row],[Appts]]),ISBLANK(DaybyDay[[#This Row],[Service-Actuals]]),ISBLANK(DaybyDay[[#This Row],[Retail-Actuals]])))</f>
        <v>1</v>
      </c>
      <c r="Y924" s="36">
        <f>IF(DaybyDay[[#This Row],[_Space]],IFERROR(
((DaybyDay[[#This Row],[Actual-Rollup]]-DaybyDay[[#This Row],[LY-Rollup]])/DaybyDay[[#This Row],[LY-Rollup]]),0),"")</f>
        <v>0</v>
      </c>
      <c r="Z924"/>
      <c r="AA924" s="37" t="e">
        <f>IF(DaybyDay[[#This Row],[_Space]],DaybyDay[[#This Row],[Ret-Act-RU]]/DaybyDay[[#This Row],[Serv-Act-RU]],"")</f>
        <v>#DIV/0!</v>
      </c>
      <c r="AB924" s="50" t="e">
        <f>IF(DaybyDay[[#This Row],[_Space]],DaybyDay[[#This Row],[RETPEN-Act]]/DaybyDay[[#This Row],[RETPEN-Bud]],"")</f>
        <v>#DIV/0!</v>
      </c>
      <c r="AC924" s="37" t="e">
        <f>IF(DaybyDay[[#This Row],[_Space]],DaybyDay[[#This Row],[Ret-Bud-RU]]/DaybyDay[[#This Row],[Serv-Bud-RU]],"")</f>
        <v>#DIV/0!</v>
      </c>
      <c r="AD924" s="37" t="e">
        <f>IF(DaybyDay[[#This Row],[_Space]],DaybyDay[[#This Row],[Ret-LY-RU]]/DaybyDay[[#This Row],[Serv-LY-RU]],"")</f>
        <v>#DIV/0!</v>
      </c>
      <c r="AE924" s="30">
        <f>WEEKDAY(DaybyDay[[#This Row],[LY-Date]])</f>
        <v>1</v>
      </c>
      <c r="AF924" s="38">
        <f>$E$2+_xlfn.DAYS(DaybyDay[[#This Row],[Date]],minDate)</f>
        <v>43289</v>
      </c>
      <c r="AG924" s="39" cm="1">
        <f t="array" ref="AG924">IFERROR(INDEX(DaybyDay[],DaybyDay[[#This Row],[FORM_MATCH_HELPER]],8),"")</f>
        <v>20</v>
      </c>
      <c r="AH924" s="39" cm="1">
        <f t="array" ref="AH924">IFERROR(INDEX(DaybyDay[],DaybyDay[[#This Row],[FORM_MATCH_HELPER]],10),"")</f>
        <v>4689.3999999999996</v>
      </c>
      <c r="AI924" s="39" cm="1">
        <f t="array" ref="AI924">IFERROR(INDEX(DaybyDay[],DaybyDay[[#This Row],[FORM_MATCH_HELPER]],12),"")</f>
        <v>710</v>
      </c>
      <c r="AJ924" s="32">
        <f>IFERROR(DaybyDay[[#This Row],[Serv-LY-RU]]+DaybyDay[[#This Row],[Ret-LY-RU]],"")</f>
        <v>0</v>
      </c>
      <c r="AK9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4" s="77"/>
      <c r="AM924" s="40" t="str">
        <f>IF(DaybyDay[[#This Row],[Admin Hours]]&gt;0,DaybyDay[[#This Row],[Admin Hours]]*$AM$2+$AM$3,"")</f>
        <v/>
      </c>
      <c r="AN924" s="40">
        <f>SUMIFS(DaybyDay[Est-Admin-Payroll],DaybyDay[Date],"&gt;="&amp;$C$5,DaybyDay[RowYear],"&gt;="&amp;$C$4,DaybyDay[Date],"&lt;="&amp;DaybyDay[[#This Row],[Date]])</f>
        <v>0</v>
      </c>
      <c r="AO924" s="41" t="str">
        <f>IF(AND(DaybyDay[[#This Row],[_Space]],ISNUMBER(DaybyDay[[#This Row],[Admin Hours]])),DaybyDay[[#This Row],[Est-Admin-Payroll]]/(DaybyDay[[#This Row],[Service-Actuals]]+DaybyDay[[#This Row],[Retail-Actuals]]),"")</f>
        <v/>
      </c>
      <c r="AP924" s="41" t="e">
        <f>DaybyDay[[#This Row],[Estimated-Payroll-Rollup]]/DaybyDay[[#This Row],[Simple-Forecast]]</f>
        <v>#DIV/0!</v>
      </c>
      <c r="AQ9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4" s="77"/>
      <c r="AS924" s="40" t="str">
        <f>IF(DaybyDay[[#This Row],[Retail Hours]]&gt;0,DaybyDay[[#This Row],[Retail Hours]]*$AS$2,"")</f>
        <v/>
      </c>
      <c r="AT924" s="40">
        <f>SUMIFS(DaybyDay[Est-Retail-Payroll],DaybyDay[Date],"&gt;="&amp;$C$5,DaybyDay[RowYear],"&gt;="&amp;$C$4,DaybyDay[Date],"&lt;="&amp;DaybyDay[[#This Row],[Date]])</f>
        <v>0</v>
      </c>
      <c r="AU924" s="82" t="str">
        <f>IF(AND(DaybyDay[[#This Row],[_Space]],ISNUMBER(DaybyDay[[#This Row],[Retail Hours]])),DaybyDay[[#This Row],[Est-Retail-Payroll]]/(DaybyDay[[#This Row],[Retail-Actuals]]),"")</f>
        <v/>
      </c>
      <c r="AV924" s="82" t="e">
        <f>DaybyDay[[#This Row],[Est-Retail-PayrollRU]]/DaybyDay[[#This Row],[Simple-Forecast-Retail]]</f>
        <v>#DIV/0!</v>
      </c>
      <c r="AW924" s="8"/>
      <c r="AX924" s="49"/>
      <c r="AY924" s="48"/>
      <c r="AZ924" s="47"/>
      <c r="BA924" s="47"/>
      <c r="BB924" s="47"/>
      <c r="BC924" s="47"/>
      <c r="BD924" s="47"/>
    </row>
    <row r="925" spans="3:56" hidden="1" x14ac:dyDescent="0.25">
      <c r="C925" s="26" t="str">
        <f>Tools!$C$1</f>
        <v>Example</v>
      </c>
      <c r="D925" s="27" t="s">
        <v>74</v>
      </c>
      <c r="E925" s="28">
        <v>2019</v>
      </c>
      <c r="F925" s="28">
        <f>MATCH(DaybyDay[[#This Row],[RowMonth]],Table3[SummaryMonth],0)</f>
        <v>7</v>
      </c>
      <c r="G925" s="29">
        <f>MATCH(DaybyDay[[#This Row],[LY-Date]],DaybyDay[Date],0)</f>
        <v>555</v>
      </c>
      <c r="H925" s="30">
        <f>WEEKDAY(DaybyDay[[#This Row],[Date]])</f>
        <v>2</v>
      </c>
      <c r="I925" s="31">
        <v>43654</v>
      </c>
      <c r="J925" s="74">
        <v>14</v>
      </c>
      <c r="K925" s="32">
        <f>SUMIFS(BudgetSeasonality[365 Seasonality],BudgetSeasonality[MonthAdjustment],DaybyDay[[#This Row],[Date]])*SUMIFS(Budgets[Service-Budget],Budgets[BudgetMonth],DaybyDay[[#This Row],[RowMonth]],Budgets[BudgetYear],DaybyDay[[#This Row],[RowYear]])</f>
        <v>2571.1664032826984</v>
      </c>
      <c r="L925" s="75">
        <v>2623</v>
      </c>
      <c r="M925" s="32">
        <f>INDEX(BudgetSeasonality[365 Seasonality],MATCH(DaybyDay[[#This Row],[Date]],BudgetSeasonality[MonthAdjustment],0))*SUMIFS(Budgets[Retail-Budget],Budgets[BudgetMonth],DaybyDay[[#This Row],[RowMonth]],Budgets[BudgetYear],DaybyDay[[#This Row],[RowYear]])</f>
        <v>684.66429886419053</v>
      </c>
      <c r="N925" s="75">
        <v>640</v>
      </c>
      <c r="O925" s="33">
        <f>SUMIFS(DaybyDay[Service-Budgets],DaybyDay[Date],"&gt;="&amp;$C$5,DaybyDay[RowYear],"&gt;="&amp;$C$4,DaybyDay[Date],"&lt;="&amp;DaybyDay[[#This Row],[Date]])</f>
        <v>0</v>
      </c>
      <c r="P925" s="33">
        <f>SUMIFS(DaybyDay[Retail-Budgets],DaybyDay[Date],"&gt;="&amp;$C$5,DaybyDay[RowYear],"&gt;="&amp;$C$4,DaybyDay[Date],"&lt;="&amp;DaybyDay[[#This Row],[Date]])</f>
        <v>0</v>
      </c>
      <c r="Q925" s="34">
        <f>SUMIFS(DaybyDay[Service-Actuals],DaybyDay[Date],"&gt;="&amp;$C$5,DaybyDay[RowYear],"&gt;="&amp;$C$4,DaybyDay[Date],"&lt;="&amp;DaybyDay[[#This Row],[Date]])</f>
        <v>0</v>
      </c>
      <c r="R925" s="34">
        <f>SUMIFS(DaybyDay[Retail-Actuals],DaybyDay[Date],"&gt;="&amp;$C$5,DaybyDay[RowYear],"&gt;="&amp;$C$4,DaybyDay[Date],"&lt;="&amp;DaybyDay[[#This Row],[Date]])</f>
        <v>0</v>
      </c>
      <c r="S925" s="35">
        <f>SUMIFS(DaybyDay[Service-LY],DaybyDay[Date],"&gt;="&amp;$C$5,DaybyDay[RowYear],"&gt;="&amp;$C$4,DaybyDay[Date],"&lt;="&amp;DaybyDay[[#This Row],[Date]])</f>
        <v>0</v>
      </c>
      <c r="T925" s="35">
        <f>SUMIFS(DaybyDay[Retail-LY],DaybyDay[Date],"&gt;="&amp;$C$5,DaybyDay[RowYear],"&gt;="&amp;$C$4,DaybyDay[Date],"&lt;="&amp;DaybyDay[[#This Row],[Date]])</f>
        <v>0</v>
      </c>
      <c r="U925" s="32">
        <f>DaybyDay[[#This Row],[Serv-Bud-RU]]+DaybyDay[[#This Row],[Ret-Bud-RU]]</f>
        <v>0</v>
      </c>
      <c r="V925" s="32">
        <f>DaybyDay[[#This Row],[Serv-Act-RU]]+DaybyDay[[#This Row],[Ret-Act-RU]]</f>
        <v>0</v>
      </c>
      <c r="W925" s="36">
        <f>IF(DaybyDay[[#This Row],[_Space]],IFERROR(
((DaybyDay[[#This Row],[Actual-Rollup]]-DaybyDay[[#This Row],[Budget-Rollup]])/DaybyDay[[#This Row],[Budget-Rollup]]),0),"")</f>
        <v>0</v>
      </c>
      <c r="X925" t="b">
        <f>NOT(AND(ISBLANK(DaybyDay[[#This Row],[Appts]]),ISBLANK(DaybyDay[[#This Row],[Service-Actuals]]),ISBLANK(DaybyDay[[#This Row],[Retail-Actuals]])))</f>
        <v>1</v>
      </c>
      <c r="Y925" s="36">
        <f>IF(DaybyDay[[#This Row],[_Space]],IFERROR(
((DaybyDay[[#This Row],[Actual-Rollup]]-DaybyDay[[#This Row],[LY-Rollup]])/DaybyDay[[#This Row],[LY-Rollup]]),0),"")</f>
        <v>0</v>
      </c>
      <c r="Z925"/>
      <c r="AA925" s="37" t="e">
        <f>IF(DaybyDay[[#This Row],[_Space]],DaybyDay[[#This Row],[Ret-Act-RU]]/DaybyDay[[#This Row],[Serv-Act-RU]],"")</f>
        <v>#DIV/0!</v>
      </c>
      <c r="AB925" s="50" t="e">
        <f>IF(DaybyDay[[#This Row],[_Space]],DaybyDay[[#This Row],[RETPEN-Act]]/DaybyDay[[#This Row],[RETPEN-Bud]],"")</f>
        <v>#DIV/0!</v>
      </c>
      <c r="AC925" s="37" t="e">
        <f>IF(DaybyDay[[#This Row],[_Space]],DaybyDay[[#This Row],[Ret-Bud-RU]]/DaybyDay[[#This Row],[Serv-Bud-RU]],"")</f>
        <v>#DIV/0!</v>
      </c>
      <c r="AD925" s="37" t="e">
        <f>IF(DaybyDay[[#This Row],[_Space]],DaybyDay[[#This Row],[Ret-LY-RU]]/DaybyDay[[#This Row],[Serv-LY-RU]],"")</f>
        <v>#DIV/0!</v>
      </c>
      <c r="AE925" s="30">
        <f>WEEKDAY(DaybyDay[[#This Row],[LY-Date]])</f>
        <v>2</v>
      </c>
      <c r="AF925" s="38">
        <f>$E$2+_xlfn.DAYS(DaybyDay[[#This Row],[Date]],minDate)</f>
        <v>43290</v>
      </c>
      <c r="AG925" s="39" cm="1">
        <f t="array" ref="AG925">IFERROR(INDEX(DaybyDay[],DaybyDay[[#This Row],[FORM_MATCH_HELPER]],8),"")</f>
        <v>17</v>
      </c>
      <c r="AH925" s="39" cm="1">
        <f t="array" ref="AH925">IFERROR(INDEX(DaybyDay[],DaybyDay[[#This Row],[FORM_MATCH_HELPER]],10),"")</f>
        <v>3216.7</v>
      </c>
      <c r="AI925" s="39" cm="1">
        <f t="array" ref="AI925">IFERROR(INDEX(DaybyDay[],DaybyDay[[#This Row],[FORM_MATCH_HELPER]],12),"")</f>
        <v>2880</v>
      </c>
      <c r="AJ925" s="32">
        <f>IFERROR(DaybyDay[[#This Row],[Serv-LY-RU]]+DaybyDay[[#This Row],[Ret-LY-RU]],"")</f>
        <v>0</v>
      </c>
      <c r="AK9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5" s="77"/>
      <c r="AM925" s="40" t="str">
        <f>IF(DaybyDay[[#This Row],[Admin Hours]]&gt;0,DaybyDay[[#This Row],[Admin Hours]]*$AM$2+$AM$3,"")</f>
        <v/>
      </c>
      <c r="AN925" s="40">
        <f>SUMIFS(DaybyDay[Est-Admin-Payroll],DaybyDay[Date],"&gt;="&amp;$C$5,DaybyDay[RowYear],"&gt;="&amp;$C$4,DaybyDay[Date],"&lt;="&amp;DaybyDay[[#This Row],[Date]])</f>
        <v>0</v>
      </c>
      <c r="AO925" s="41" t="str">
        <f>IF(AND(DaybyDay[[#This Row],[_Space]],ISNUMBER(DaybyDay[[#This Row],[Admin Hours]])),DaybyDay[[#This Row],[Est-Admin-Payroll]]/(DaybyDay[[#This Row],[Service-Actuals]]+DaybyDay[[#This Row],[Retail-Actuals]]),"")</f>
        <v/>
      </c>
      <c r="AP925" s="41" t="e">
        <f>DaybyDay[[#This Row],[Estimated-Payroll-Rollup]]/DaybyDay[[#This Row],[Simple-Forecast]]</f>
        <v>#DIV/0!</v>
      </c>
      <c r="AQ9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5" s="77"/>
      <c r="AS925" s="40" t="str">
        <f>IF(DaybyDay[[#This Row],[Retail Hours]]&gt;0,DaybyDay[[#This Row],[Retail Hours]]*$AS$2,"")</f>
        <v/>
      </c>
      <c r="AT925" s="40">
        <f>SUMIFS(DaybyDay[Est-Retail-Payroll],DaybyDay[Date],"&gt;="&amp;$C$5,DaybyDay[RowYear],"&gt;="&amp;$C$4,DaybyDay[Date],"&lt;="&amp;DaybyDay[[#This Row],[Date]])</f>
        <v>0</v>
      </c>
      <c r="AU925" s="82" t="str">
        <f>IF(AND(DaybyDay[[#This Row],[_Space]],ISNUMBER(DaybyDay[[#This Row],[Retail Hours]])),DaybyDay[[#This Row],[Est-Retail-Payroll]]/(DaybyDay[[#This Row],[Retail-Actuals]]),"")</f>
        <v/>
      </c>
      <c r="AV925" s="82" t="e">
        <f>DaybyDay[[#This Row],[Est-Retail-PayrollRU]]/DaybyDay[[#This Row],[Simple-Forecast-Retail]]</f>
        <v>#DIV/0!</v>
      </c>
      <c r="AW925" s="8"/>
      <c r="AX925" s="49"/>
      <c r="AY925" s="48"/>
      <c r="AZ925" s="47"/>
      <c r="BA925" s="47"/>
      <c r="BB925" s="47"/>
      <c r="BC925" s="47"/>
      <c r="BD925" s="47"/>
    </row>
    <row r="926" spans="3:56" hidden="1" x14ac:dyDescent="0.25">
      <c r="C926" s="26" t="str">
        <f>Tools!$C$1</f>
        <v>Example</v>
      </c>
      <c r="D926" s="27" t="s">
        <v>74</v>
      </c>
      <c r="E926" s="28">
        <v>2019</v>
      </c>
      <c r="F926" s="28">
        <f>MATCH(DaybyDay[[#This Row],[RowMonth]],Table3[SummaryMonth],0)</f>
        <v>7</v>
      </c>
      <c r="G926" s="29">
        <f>MATCH(DaybyDay[[#This Row],[LY-Date]],DaybyDay[Date],0)</f>
        <v>556</v>
      </c>
      <c r="H926" s="30">
        <f>WEEKDAY(DaybyDay[[#This Row],[Date]])</f>
        <v>3</v>
      </c>
      <c r="I926" s="31">
        <v>43655</v>
      </c>
      <c r="J926" s="74">
        <v>20</v>
      </c>
      <c r="K926" s="32">
        <f>SUMIFS(BudgetSeasonality[365 Seasonality],BudgetSeasonality[MonthAdjustment],DaybyDay[[#This Row],[Date]])*SUMIFS(Budgets[Service-Budget],Budgets[BudgetMonth],DaybyDay[[#This Row],[RowMonth]],Budgets[BudgetYear],DaybyDay[[#This Row],[RowYear]])</f>
        <v>2703.9972951475379</v>
      </c>
      <c r="L926" s="75">
        <v>2928.2</v>
      </c>
      <c r="M926" s="32">
        <f>INDEX(BudgetSeasonality[365 Seasonality],MATCH(DaybyDay[[#This Row],[Date]],BudgetSeasonality[MonthAdjustment],0))*SUMIFS(Budgets[Retail-Budget],Budgets[BudgetMonth],DaybyDay[[#This Row],[RowMonth]],Budgets[BudgetYear],DaybyDay[[#This Row],[RowYear]])</f>
        <v>720.03523764513955</v>
      </c>
      <c r="N926" s="75">
        <v>917</v>
      </c>
      <c r="O926" s="33">
        <f>SUMIFS(DaybyDay[Service-Budgets],DaybyDay[Date],"&gt;="&amp;$C$5,DaybyDay[RowYear],"&gt;="&amp;$C$4,DaybyDay[Date],"&lt;="&amp;DaybyDay[[#This Row],[Date]])</f>
        <v>0</v>
      </c>
      <c r="P926" s="33">
        <f>SUMIFS(DaybyDay[Retail-Budgets],DaybyDay[Date],"&gt;="&amp;$C$5,DaybyDay[RowYear],"&gt;="&amp;$C$4,DaybyDay[Date],"&lt;="&amp;DaybyDay[[#This Row],[Date]])</f>
        <v>0</v>
      </c>
      <c r="Q926" s="34">
        <f>SUMIFS(DaybyDay[Service-Actuals],DaybyDay[Date],"&gt;="&amp;$C$5,DaybyDay[RowYear],"&gt;="&amp;$C$4,DaybyDay[Date],"&lt;="&amp;DaybyDay[[#This Row],[Date]])</f>
        <v>0</v>
      </c>
      <c r="R926" s="34">
        <f>SUMIFS(DaybyDay[Retail-Actuals],DaybyDay[Date],"&gt;="&amp;$C$5,DaybyDay[RowYear],"&gt;="&amp;$C$4,DaybyDay[Date],"&lt;="&amp;DaybyDay[[#This Row],[Date]])</f>
        <v>0</v>
      </c>
      <c r="S926" s="35">
        <f>SUMIFS(DaybyDay[Service-LY],DaybyDay[Date],"&gt;="&amp;$C$5,DaybyDay[RowYear],"&gt;="&amp;$C$4,DaybyDay[Date],"&lt;="&amp;DaybyDay[[#This Row],[Date]])</f>
        <v>0</v>
      </c>
      <c r="T926" s="35">
        <f>SUMIFS(DaybyDay[Retail-LY],DaybyDay[Date],"&gt;="&amp;$C$5,DaybyDay[RowYear],"&gt;="&amp;$C$4,DaybyDay[Date],"&lt;="&amp;DaybyDay[[#This Row],[Date]])</f>
        <v>0</v>
      </c>
      <c r="U926" s="32">
        <f>DaybyDay[[#This Row],[Serv-Bud-RU]]+DaybyDay[[#This Row],[Ret-Bud-RU]]</f>
        <v>0</v>
      </c>
      <c r="V926" s="32">
        <f>DaybyDay[[#This Row],[Serv-Act-RU]]+DaybyDay[[#This Row],[Ret-Act-RU]]</f>
        <v>0</v>
      </c>
      <c r="W926" s="36">
        <f>IF(DaybyDay[[#This Row],[_Space]],IFERROR(
((DaybyDay[[#This Row],[Actual-Rollup]]-DaybyDay[[#This Row],[Budget-Rollup]])/DaybyDay[[#This Row],[Budget-Rollup]]),0),"")</f>
        <v>0</v>
      </c>
      <c r="X926" t="b">
        <f>NOT(AND(ISBLANK(DaybyDay[[#This Row],[Appts]]),ISBLANK(DaybyDay[[#This Row],[Service-Actuals]]),ISBLANK(DaybyDay[[#This Row],[Retail-Actuals]])))</f>
        <v>1</v>
      </c>
      <c r="Y926" s="36">
        <f>IF(DaybyDay[[#This Row],[_Space]],IFERROR(
((DaybyDay[[#This Row],[Actual-Rollup]]-DaybyDay[[#This Row],[LY-Rollup]])/DaybyDay[[#This Row],[LY-Rollup]]),0),"")</f>
        <v>0</v>
      </c>
      <c r="Z926"/>
      <c r="AA926" s="37" t="e">
        <f>IF(DaybyDay[[#This Row],[_Space]],DaybyDay[[#This Row],[Ret-Act-RU]]/DaybyDay[[#This Row],[Serv-Act-RU]],"")</f>
        <v>#DIV/0!</v>
      </c>
      <c r="AB926" s="50" t="e">
        <f>IF(DaybyDay[[#This Row],[_Space]],DaybyDay[[#This Row],[RETPEN-Act]]/DaybyDay[[#This Row],[RETPEN-Bud]],"")</f>
        <v>#DIV/0!</v>
      </c>
      <c r="AC926" s="37" t="e">
        <f>IF(DaybyDay[[#This Row],[_Space]],DaybyDay[[#This Row],[Ret-Bud-RU]]/DaybyDay[[#This Row],[Serv-Bud-RU]],"")</f>
        <v>#DIV/0!</v>
      </c>
      <c r="AD926" s="37" t="e">
        <f>IF(DaybyDay[[#This Row],[_Space]],DaybyDay[[#This Row],[Ret-LY-RU]]/DaybyDay[[#This Row],[Serv-LY-RU]],"")</f>
        <v>#DIV/0!</v>
      </c>
      <c r="AE926" s="30">
        <f>WEEKDAY(DaybyDay[[#This Row],[LY-Date]])</f>
        <v>3</v>
      </c>
      <c r="AF926" s="38">
        <f>$E$2+_xlfn.DAYS(DaybyDay[[#This Row],[Date]],minDate)</f>
        <v>43291</v>
      </c>
      <c r="AG926" s="39" cm="1">
        <f t="array" ref="AG926">IFERROR(INDEX(DaybyDay[],DaybyDay[[#This Row],[FORM_MATCH_HELPER]],8),"")</f>
        <v>17</v>
      </c>
      <c r="AH926" s="39" cm="1">
        <f t="array" ref="AH926">IFERROR(INDEX(DaybyDay[],DaybyDay[[#This Row],[FORM_MATCH_HELPER]],10),"")</f>
        <v>2892.4</v>
      </c>
      <c r="AI926" s="39" cm="1">
        <f t="array" ref="AI926">IFERROR(INDEX(DaybyDay[],DaybyDay[[#This Row],[FORM_MATCH_HELPER]],12),"")</f>
        <v>239</v>
      </c>
      <c r="AJ926" s="32">
        <f>IFERROR(DaybyDay[[#This Row],[Serv-LY-RU]]+DaybyDay[[#This Row],[Ret-LY-RU]],"")</f>
        <v>0</v>
      </c>
      <c r="AK9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6" s="77"/>
      <c r="AM926" s="40" t="str">
        <f>IF(DaybyDay[[#This Row],[Admin Hours]]&gt;0,DaybyDay[[#This Row],[Admin Hours]]*$AM$2+$AM$3,"")</f>
        <v/>
      </c>
      <c r="AN926" s="40">
        <f>SUMIFS(DaybyDay[Est-Admin-Payroll],DaybyDay[Date],"&gt;="&amp;$C$5,DaybyDay[RowYear],"&gt;="&amp;$C$4,DaybyDay[Date],"&lt;="&amp;DaybyDay[[#This Row],[Date]])</f>
        <v>0</v>
      </c>
      <c r="AO926" s="41" t="str">
        <f>IF(AND(DaybyDay[[#This Row],[_Space]],ISNUMBER(DaybyDay[[#This Row],[Admin Hours]])),DaybyDay[[#This Row],[Est-Admin-Payroll]]/(DaybyDay[[#This Row],[Service-Actuals]]+DaybyDay[[#This Row],[Retail-Actuals]]),"")</f>
        <v/>
      </c>
      <c r="AP926" s="41" t="e">
        <f>DaybyDay[[#This Row],[Estimated-Payroll-Rollup]]/DaybyDay[[#This Row],[Simple-Forecast]]</f>
        <v>#DIV/0!</v>
      </c>
      <c r="AQ9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6" s="77"/>
      <c r="AS926" s="40" t="str">
        <f>IF(DaybyDay[[#This Row],[Retail Hours]]&gt;0,DaybyDay[[#This Row],[Retail Hours]]*$AS$2,"")</f>
        <v/>
      </c>
      <c r="AT926" s="40">
        <f>SUMIFS(DaybyDay[Est-Retail-Payroll],DaybyDay[Date],"&gt;="&amp;$C$5,DaybyDay[RowYear],"&gt;="&amp;$C$4,DaybyDay[Date],"&lt;="&amp;DaybyDay[[#This Row],[Date]])</f>
        <v>0</v>
      </c>
      <c r="AU926" s="82" t="str">
        <f>IF(AND(DaybyDay[[#This Row],[_Space]],ISNUMBER(DaybyDay[[#This Row],[Retail Hours]])),DaybyDay[[#This Row],[Est-Retail-Payroll]]/(DaybyDay[[#This Row],[Retail-Actuals]]),"")</f>
        <v/>
      </c>
      <c r="AV926" s="82" t="e">
        <f>DaybyDay[[#This Row],[Est-Retail-PayrollRU]]/DaybyDay[[#This Row],[Simple-Forecast-Retail]]</f>
        <v>#DIV/0!</v>
      </c>
      <c r="AW926" s="8"/>
      <c r="AX926" s="49"/>
      <c r="AY926" s="48"/>
      <c r="AZ926" s="47"/>
      <c r="BA926" s="47"/>
      <c r="BB926" s="47"/>
      <c r="BC926" s="47"/>
      <c r="BD926" s="47"/>
    </row>
    <row r="927" spans="3:56" hidden="1" x14ac:dyDescent="0.25">
      <c r="C927" s="26" t="str">
        <f>Tools!$C$1</f>
        <v>Example</v>
      </c>
      <c r="D927" s="27" t="s">
        <v>74</v>
      </c>
      <c r="E927" s="28">
        <v>2019</v>
      </c>
      <c r="F927" s="28">
        <f>MATCH(DaybyDay[[#This Row],[RowMonth]],Table3[SummaryMonth],0)</f>
        <v>7</v>
      </c>
      <c r="G927" s="29">
        <f>MATCH(DaybyDay[[#This Row],[LY-Date]],DaybyDay[Date],0)</f>
        <v>557</v>
      </c>
      <c r="H927" s="30">
        <f>WEEKDAY(DaybyDay[[#This Row],[Date]])</f>
        <v>4</v>
      </c>
      <c r="I927" s="31">
        <v>43656</v>
      </c>
      <c r="J927" s="74">
        <v>19</v>
      </c>
      <c r="K927" s="32">
        <f>SUMIFS(BudgetSeasonality[365 Seasonality],BudgetSeasonality[MonthAdjustment],DaybyDay[[#This Row],[Date]])*SUMIFS(Budgets[Service-Budget],Budgets[BudgetMonth],DaybyDay[[#This Row],[RowMonth]],Budgets[BudgetYear],DaybyDay[[#This Row],[RowYear]])</f>
        <v>3305.7134778497334</v>
      </c>
      <c r="L927" s="75">
        <v>4047.4399999999996</v>
      </c>
      <c r="M927" s="32">
        <f>INDEX(BudgetSeasonality[365 Seasonality],MATCH(DaybyDay[[#This Row],[Date]],BudgetSeasonality[MonthAdjustment],0))*SUMIFS(Budgets[Retail-Budget],Budgets[BudgetMonth],DaybyDay[[#This Row],[RowMonth]],Budgets[BudgetYear],DaybyDay[[#This Row],[RowYear]])</f>
        <v>880.26352462767591</v>
      </c>
      <c r="N927" s="75">
        <v>232.5</v>
      </c>
      <c r="O927" s="33">
        <f>SUMIFS(DaybyDay[Service-Budgets],DaybyDay[Date],"&gt;="&amp;$C$5,DaybyDay[RowYear],"&gt;="&amp;$C$4,DaybyDay[Date],"&lt;="&amp;DaybyDay[[#This Row],[Date]])</f>
        <v>0</v>
      </c>
      <c r="P927" s="33">
        <f>SUMIFS(DaybyDay[Retail-Budgets],DaybyDay[Date],"&gt;="&amp;$C$5,DaybyDay[RowYear],"&gt;="&amp;$C$4,DaybyDay[Date],"&lt;="&amp;DaybyDay[[#This Row],[Date]])</f>
        <v>0</v>
      </c>
      <c r="Q927" s="34">
        <f>SUMIFS(DaybyDay[Service-Actuals],DaybyDay[Date],"&gt;="&amp;$C$5,DaybyDay[RowYear],"&gt;="&amp;$C$4,DaybyDay[Date],"&lt;="&amp;DaybyDay[[#This Row],[Date]])</f>
        <v>0</v>
      </c>
      <c r="R927" s="34">
        <f>SUMIFS(DaybyDay[Retail-Actuals],DaybyDay[Date],"&gt;="&amp;$C$5,DaybyDay[RowYear],"&gt;="&amp;$C$4,DaybyDay[Date],"&lt;="&amp;DaybyDay[[#This Row],[Date]])</f>
        <v>0</v>
      </c>
      <c r="S927" s="35">
        <f>SUMIFS(DaybyDay[Service-LY],DaybyDay[Date],"&gt;="&amp;$C$5,DaybyDay[RowYear],"&gt;="&amp;$C$4,DaybyDay[Date],"&lt;="&amp;DaybyDay[[#This Row],[Date]])</f>
        <v>0</v>
      </c>
      <c r="T927" s="35">
        <f>SUMIFS(DaybyDay[Retail-LY],DaybyDay[Date],"&gt;="&amp;$C$5,DaybyDay[RowYear],"&gt;="&amp;$C$4,DaybyDay[Date],"&lt;="&amp;DaybyDay[[#This Row],[Date]])</f>
        <v>0</v>
      </c>
      <c r="U927" s="32">
        <f>DaybyDay[[#This Row],[Serv-Bud-RU]]+DaybyDay[[#This Row],[Ret-Bud-RU]]</f>
        <v>0</v>
      </c>
      <c r="V927" s="32">
        <f>DaybyDay[[#This Row],[Serv-Act-RU]]+DaybyDay[[#This Row],[Ret-Act-RU]]</f>
        <v>0</v>
      </c>
      <c r="W927" s="36">
        <f>IF(DaybyDay[[#This Row],[_Space]],IFERROR(
((DaybyDay[[#This Row],[Actual-Rollup]]-DaybyDay[[#This Row],[Budget-Rollup]])/DaybyDay[[#This Row],[Budget-Rollup]]),0),"")</f>
        <v>0</v>
      </c>
      <c r="X927" t="b">
        <f>NOT(AND(ISBLANK(DaybyDay[[#This Row],[Appts]]),ISBLANK(DaybyDay[[#This Row],[Service-Actuals]]),ISBLANK(DaybyDay[[#This Row],[Retail-Actuals]])))</f>
        <v>1</v>
      </c>
      <c r="Y927" s="36">
        <f>IF(DaybyDay[[#This Row],[_Space]],IFERROR(
((DaybyDay[[#This Row],[Actual-Rollup]]-DaybyDay[[#This Row],[LY-Rollup]])/DaybyDay[[#This Row],[LY-Rollup]]),0),"")</f>
        <v>0</v>
      </c>
      <c r="Z927"/>
      <c r="AA927" s="37" t="e">
        <f>IF(DaybyDay[[#This Row],[_Space]],DaybyDay[[#This Row],[Ret-Act-RU]]/DaybyDay[[#This Row],[Serv-Act-RU]],"")</f>
        <v>#DIV/0!</v>
      </c>
      <c r="AB927" s="50" t="e">
        <f>IF(DaybyDay[[#This Row],[_Space]],DaybyDay[[#This Row],[RETPEN-Act]]/DaybyDay[[#This Row],[RETPEN-Bud]],"")</f>
        <v>#DIV/0!</v>
      </c>
      <c r="AC927" s="37" t="e">
        <f>IF(DaybyDay[[#This Row],[_Space]],DaybyDay[[#This Row],[Ret-Bud-RU]]/DaybyDay[[#This Row],[Serv-Bud-RU]],"")</f>
        <v>#DIV/0!</v>
      </c>
      <c r="AD927" s="37" t="e">
        <f>IF(DaybyDay[[#This Row],[_Space]],DaybyDay[[#This Row],[Ret-LY-RU]]/DaybyDay[[#This Row],[Serv-LY-RU]],"")</f>
        <v>#DIV/0!</v>
      </c>
      <c r="AE927" s="30">
        <f>WEEKDAY(DaybyDay[[#This Row],[LY-Date]])</f>
        <v>4</v>
      </c>
      <c r="AF927" s="38">
        <f>$E$2+_xlfn.DAYS(DaybyDay[[#This Row],[Date]],minDate)</f>
        <v>43292</v>
      </c>
      <c r="AG927" s="39" cm="1">
        <f t="array" ref="AG927">IFERROR(INDEX(DaybyDay[],DaybyDay[[#This Row],[FORM_MATCH_HELPER]],8),"")</f>
        <v>13</v>
      </c>
      <c r="AH927" s="39" cm="1">
        <f t="array" ref="AH927">IFERROR(INDEX(DaybyDay[],DaybyDay[[#This Row],[FORM_MATCH_HELPER]],10),"")</f>
        <v>3276</v>
      </c>
      <c r="AI927" s="39" cm="1">
        <f t="array" ref="AI927">IFERROR(INDEX(DaybyDay[],DaybyDay[[#This Row],[FORM_MATCH_HELPER]],12),"")</f>
        <v>1515.9</v>
      </c>
      <c r="AJ927" s="32">
        <f>IFERROR(DaybyDay[[#This Row],[Serv-LY-RU]]+DaybyDay[[#This Row],[Ret-LY-RU]],"")</f>
        <v>0</v>
      </c>
      <c r="AK9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7" s="77"/>
      <c r="AM927" s="40" t="str">
        <f>IF(DaybyDay[[#This Row],[Admin Hours]]&gt;0,DaybyDay[[#This Row],[Admin Hours]]*$AM$2+$AM$3,"")</f>
        <v/>
      </c>
      <c r="AN927" s="40">
        <f>SUMIFS(DaybyDay[Est-Admin-Payroll],DaybyDay[Date],"&gt;="&amp;$C$5,DaybyDay[RowYear],"&gt;="&amp;$C$4,DaybyDay[Date],"&lt;="&amp;DaybyDay[[#This Row],[Date]])</f>
        <v>0</v>
      </c>
      <c r="AO927" s="41" t="str">
        <f>IF(AND(DaybyDay[[#This Row],[_Space]],ISNUMBER(DaybyDay[[#This Row],[Admin Hours]])),DaybyDay[[#This Row],[Est-Admin-Payroll]]/(DaybyDay[[#This Row],[Service-Actuals]]+DaybyDay[[#This Row],[Retail-Actuals]]),"")</f>
        <v/>
      </c>
      <c r="AP927" s="41" t="e">
        <f>DaybyDay[[#This Row],[Estimated-Payroll-Rollup]]/DaybyDay[[#This Row],[Simple-Forecast]]</f>
        <v>#DIV/0!</v>
      </c>
      <c r="AQ9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7" s="77"/>
      <c r="AS927" s="40" t="str">
        <f>IF(DaybyDay[[#This Row],[Retail Hours]]&gt;0,DaybyDay[[#This Row],[Retail Hours]]*$AS$2,"")</f>
        <v/>
      </c>
      <c r="AT927" s="40">
        <f>SUMIFS(DaybyDay[Est-Retail-Payroll],DaybyDay[Date],"&gt;="&amp;$C$5,DaybyDay[RowYear],"&gt;="&amp;$C$4,DaybyDay[Date],"&lt;="&amp;DaybyDay[[#This Row],[Date]])</f>
        <v>0</v>
      </c>
      <c r="AU927" s="82" t="str">
        <f>IF(AND(DaybyDay[[#This Row],[_Space]],ISNUMBER(DaybyDay[[#This Row],[Retail Hours]])),DaybyDay[[#This Row],[Est-Retail-Payroll]]/(DaybyDay[[#This Row],[Retail-Actuals]]),"")</f>
        <v/>
      </c>
      <c r="AV927" s="82" t="e">
        <f>DaybyDay[[#This Row],[Est-Retail-PayrollRU]]/DaybyDay[[#This Row],[Simple-Forecast-Retail]]</f>
        <v>#DIV/0!</v>
      </c>
      <c r="AW927" s="8"/>
      <c r="AX927" s="49"/>
      <c r="AY927" s="48"/>
      <c r="AZ927" s="47"/>
      <c r="BA927" s="47"/>
      <c r="BB927" s="47"/>
      <c r="BC927" s="47"/>
      <c r="BD927" s="47"/>
    </row>
    <row r="928" spans="3:56" hidden="1" x14ac:dyDescent="0.25">
      <c r="C928" s="26" t="str">
        <f>Tools!$C$1</f>
        <v>Example</v>
      </c>
      <c r="D928" s="27" t="s">
        <v>74</v>
      </c>
      <c r="E928" s="28">
        <v>2019</v>
      </c>
      <c r="F928" s="28">
        <f>MATCH(DaybyDay[[#This Row],[RowMonth]],Table3[SummaryMonth],0)</f>
        <v>7</v>
      </c>
      <c r="G928" s="29">
        <f>MATCH(DaybyDay[[#This Row],[LY-Date]],DaybyDay[Date],0)</f>
        <v>558</v>
      </c>
      <c r="H928" s="30">
        <f>WEEKDAY(DaybyDay[[#This Row],[Date]])</f>
        <v>5</v>
      </c>
      <c r="I928" s="31">
        <v>43657</v>
      </c>
      <c r="J928" s="74">
        <v>19</v>
      </c>
      <c r="K928" s="32">
        <f>SUMIFS(BudgetSeasonality[365 Seasonality],BudgetSeasonality[MonthAdjustment],DaybyDay[[#This Row],[Date]])*SUMIFS(Budgets[Service-Budget],Budgets[BudgetMonth],DaybyDay[[#This Row],[RowMonth]],Budgets[BudgetYear],DaybyDay[[#This Row],[RowYear]])</f>
        <v>3451.0213303057931</v>
      </c>
      <c r="L928" s="75">
        <v>3646.4900000000002</v>
      </c>
      <c r="M928" s="32">
        <f>INDEX(BudgetSeasonality[365 Seasonality],MATCH(DaybyDay[[#This Row],[Date]],BudgetSeasonality[MonthAdjustment],0))*SUMIFS(Budgets[Retail-Budget],Budgets[BudgetMonth],DaybyDay[[#This Row],[RowMonth]],Budgets[BudgetYear],DaybyDay[[#This Row],[RowYear]])</f>
        <v>918.95689694082944</v>
      </c>
      <c r="N928" s="75">
        <v>197.1</v>
      </c>
      <c r="O928" s="33">
        <f>SUMIFS(DaybyDay[Service-Budgets],DaybyDay[Date],"&gt;="&amp;$C$5,DaybyDay[RowYear],"&gt;="&amp;$C$4,DaybyDay[Date],"&lt;="&amp;DaybyDay[[#This Row],[Date]])</f>
        <v>0</v>
      </c>
      <c r="P928" s="33">
        <f>SUMIFS(DaybyDay[Retail-Budgets],DaybyDay[Date],"&gt;="&amp;$C$5,DaybyDay[RowYear],"&gt;="&amp;$C$4,DaybyDay[Date],"&lt;="&amp;DaybyDay[[#This Row],[Date]])</f>
        <v>0</v>
      </c>
      <c r="Q928" s="34">
        <f>SUMIFS(DaybyDay[Service-Actuals],DaybyDay[Date],"&gt;="&amp;$C$5,DaybyDay[RowYear],"&gt;="&amp;$C$4,DaybyDay[Date],"&lt;="&amp;DaybyDay[[#This Row],[Date]])</f>
        <v>0</v>
      </c>
      <c r="R928" s="34">
        <f>SUMIFS(DaybyDay[Retail-Actuals],DaybyDay[Date],"&gt;="&amp;$C$5,DaybyDay[RowYear],"&gt;="&amp;$C$4,DaybyDay[Date],"&lt;="&amp;DaybyDay[[#This Row],[Date]])</f>
        <v>0</v>
      </c>
      <c r="S928" s="35">
        <f>SUMIFS(DaybyDay[Service-LY],DaybyDay[Date],"&gt;="&amp;$C$5,DaybyDay[RowYear],"&gt;="&amp;$C$4,DaybyDay[Date],"&lt;="&amp;DaybyDay[[#This Row],[Date]])</f>
        <v>0</v>
      </c>
      <c r="T928" s="35">
        <f>SUMIFS(DaybyDay[Retail-LY],DaybyDay[Date],"&gt;="&amp;$C$5,DaybyDay[RowYear],"&gt;="&amp;$C$4,DaybyDay[Date],"&lt;="&amp;DaybyDay[[#This Row],[Date]])</f>
        <v>0</v>
      </c>
      <c r="U928" s="32">
        <f>DaybyDay[[#This Row],[Serv-Bud-RU]]+DaybyDay[[#This Row],[Ret-Bud-RU]]</f>
        <v>0</v>
      </c>
      <c r="V928" s="32">
        <f>DaybyDay[[#This Row],[Serv-Act-RU]]+DaybyDay[[#This Row],[Ret-Act-RU]]</f>
        <v>0</v>
      </c>
      <c r="W928" s="36">
        <f>IF(DaybyDay[[#This Row],[_Space]],IFERROR(
((DaybyDay[[#This Row],[Actual-Rollup]]-DaybyDay[[#This Row],[Budget-Rollup]])/DaybyDay[[#This Row],[Budget-Rollup]]),0),"")</f>
        <v>0</v>
      </c>
      <c r="X928" t="b">
        <f>NOT(AND(ISBLANK(DaybyDay[[#This Row],[Appts]]),ISBLANK(DaybyDay[[#This Row],[Service-Actuals]]),ISBLANK(DaybyDay[[#This Row],[Retail-Actuals]])))</f>
        <v>1</v>
      </c>
      <c r="Y928" s="36">
        <f>IF(DaybyDay[[#This Row],[_Space]],IFERROR(
((DaybyDay[[#This Row],[Actual-Rollup]]-DaybyDay[[#This Row],[LY-Rollup]])/DaybyDay[[#This Row],[LY-Rollup]]),0),"")</f>
        <v>0</v>
      </c>
      <c r="Z928"/>
      <c r="AA928" s="37" t="e">
        <f>IF(DaybyDay[[#This Row],[_Space]],DaybyDay[[#This Row],[Ret-Act-RU]]/DaybyDay[[#This Row],[Serv-Act-RU]],"")</f>
        <v>#DIV/0!</v>
      </c>
      <c r="AB928" s="50" t="e">
        <f>IF(DaybyDay[[#This Row],[_Space]],DaybyDay[[#This Row],[RETPEN-Act]]/DaybyDay[[#This Row],[RETPEN-Bud]],"")</f>
        <v>#DIV/0!</v>
      </c>
      <c r="AC928" s="37" t="e">
        <f>IF(DaybyDay[[#This Row],[_Space]],DaybyDay[[#This Row],[Ret-Bud-RU]]/DaybyDay[[#This Row],[Serv-Bud-RU]],"")</f>
        <v>#DIV/0!</v>
      </c>
      <c r="AD928" s="37" t="e">
        <f>IF(DaybyDay[[#This Row],[_Space]],DaybyDay[[#This Row],[Ret-LY-RU]]/DaybyDay[[#This Row],[Serv-LY-RU]],"")</f>
        <v>#DIV/0!</v>
      </c>
      <c r="AE928" s="30">
        <f>WEEKDAY(DaybyDay[[#This Row],[LY-Date]])</f>
        <v>5</v>
      </c>
      <c r="AF928" s="38">
        <f>$E$2+_xlfn.DAYS(DaybyDay[[#This Row],[Date]],minDate)</f>
        <v>43293</v>
      </c>
      <c r="AG928" s="39" cm="1">
        <f t="array" ref="AG928">IFERROR(INDEX(DaybyDay[],DaybyDay[[#This Row],[FORM_MATCH_HELPER]],8),"")</f>
        <v>18</v>
      </c>
      <c r="AH928" s="39" cm="1">
        <f t="array" ref="AH928">IFERROR(INDEX(DaybyDay[],DaybyDay[[#This Row],[FORM_MATCH_HELPER]],10),"")</f>
        <v>3812.6</v>
      </c>
      <c r="AI928" s="39" cm="1">
        <f t="array" ref="AI928">IFERROR(INDEX(DaybyDay[],DaybyDay[[#This Row],[FORM_MATCH_HELPER]],12),"")</f>
        <v>0</v>
      </c>
      <c r="AJ928" s="32">
        <f>IFERROR(DaybyDay[[#This Row],[Serv-LY-RU]]+DaybyDay[[#This Row],[Ret-LY-RU]],"")</f>
        <v>0</v>
      </c>
      <c r="AK9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8" s="77"/>
      <c r="AM928" s="40" t="str">
        <f>IF(DaybyDay[[#This Row],[Admin Hours]]&gt;0,DaybyDay[[#This Row],[Admin Hours]]*$AM$2+$AM$3,"")</f>
        <v/>
      </c>
      <c r="AN928" s="40">
        <f>SUMIFS(DaybyDay[Est-Admin-Payroll],DaybyDay[Date],"&gt;="&amp;$C$5,DaybyDay[RowYear],"&gt;="&amp;$C$4,DaybyDay[Date],"&lt;="&amp;DaybyDay[[#This Row],[Date]])</f>
        <v>0</v>
      </c>
      <c r="AO928" s="41" t="str">
        <f>IF(AND(DaybyDay[[#This Row],[_Space]],ISNUMBER(DaybyDay[[#This Row],[Admin Hours]])),DaybyDay[[#This Row],[Est-Admin-Payroll]]/(DaybyDay[[#This Row],[Service-Actuals]]+DaybyDay[[#This Row],[Retail-Actuals]]),"")</f>
        <v/>
      </c>
      <c r="AP928" s="41" t="e">
        <f>DaybyDay[[#This Row],[Estimated-Payroll-Rollup]]/DaybyDay[[#This Row],[Simple-Forecast]]</f>
        <v>#DIV/0!</v>
      </c>
      <c r="AQ9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8" s="77"/>
      <c r="AS928" s="40" t="str">
        <f>IF(DaybyDay[[#This Row],[Retail Hours]]&gt;0,DaybyDay[[#This Row],[Retail Hours]]*$AS$2,"")</f>
        <v/>
      </c>
      <c r="AT928" s="40">
        <f>SUMIFS(DaybyDay[Est-Retail-Payroll],DaybyDay[Date],"&gt;="&amp;$C$5,DaybyDay[RowYear],"&gt;="&amp;$C$4,DaybyDay[Date],"&lt;="&amp;DaybyDay[[#This Row],[Date]])</f>
        <v>0</v>
      </c>
      <c r="AU928" s="82" t="str">
        <f>IF(AND(DaybyDay[[#This Row],[_Space]],ISNUMBER(DaybyDay[[#This Row],[Retail Hours]])),DaybyDay[[#This Row],[Est-Retail-Payroll]]/(DaybyDay[[#This Row],[Retail-Actuals]]),"")</f>
        <v/>
      </c>
      <c r="AV928" s="82" t="e">
        <f>DaybyDay[[#This Row],[Est-Retail-PayrollRU]]/DaybyDay[[#This Row],[Simple-Forecast-Retail]]</f>
        <v>#DIV/0!</v>
      </c>
      <c r="AW928" s="8"/>
      <c r="AX928" s="49"/>
      <c r="AY928" s="48"/>
      <c r="AZ928" s="47"/>
      <c r="BA928" s="47"/>
      <c r="BB928" s="47"/>
      <c r="BC928" s="47"/>
      <c r="BD928" s="47"/>
    </row>
    <row r="929" spans="3:56" hidden="1" x14ac:dyDescent="0.25">
      <c r="C929" s="26" t="str">
        <f>Tools!$C$1</f>
        <v>Example</v>
      </c>
      <c r="D929" s="27" t="s">
        <v>74</v>
      </c>
      <c r="E929" s="28">
        <v>2019</v>
      </c>
      <c r="F929" s="28">
        <f>MATCH(DaybyDay[[#This Row],[RowMonth]],Table3[SummaryMonth],0)</f>
        <v>7</v>
      </c>
      <c r="G929" s="29">
        <f>MATCH(DaybyDay[[#This Row],[LY-Date]],DaybyDay[Date],0)</f>
        <v>559</v>
      </c>
      <c r="H929" s="30">
        <f>WEEKDAY(DaybyDay[[#This Row],[Date]])</f>
        <v>6</v>
      </c>
      <c r="I929" s="31">
        <v>43658</v>
      </c>
      <c r="J929" s="74">
        <v>23</v>
      </c>
      <c r="K929" s="32">
        <f>SUMIFS(BudgetSeasonality[365 Seasonality],BudgetSeasonality[MonthAdjustment],DaybyDay[[#This Row],[Date]])*SUMIFS(Budgets[Service-Budget],Budgets[BudgetMonth],DaybyDay[[#This Row],[RowMonth]],Budgets[BudgetYear],DaybyDay[[#This Row],[RowYear]])</f>
        <v>4571.8193917929329</v>
      </c>
      <c r="L929" s="75">
        <v>4616.75</v>
      </c>
      <c r="M929" s="32">
        <f>INDEX(BudgetSeasonality[365 Seasonality],MATCH(DaybyDay[[#This Row],[Date]],BudgetSeasonality[MonthAdjustment],0))*SUMIFS(Budgets[Retail-Budget],Budgets[BudgetMonth],DaybyDay[[#This Row],[RowMonth]],Budgets[BudgetYear],DaybyDay[[#This Row],[RowYear]])</f>
        <v>1217.4091550119942</v>
      </c>
      <c r="N929" s="75">
        <v>774.5</v>
      </c>
      <c r="O929" s="33">
        <f>SUMIFS(DaybyDay[Service-Budgets],DaybyDay[Date],"&gt;="&amp;$C$5,DaybyDay[RowYear],"&gt;="&amp;$C$4,DaybyDay[Date],"&lt;="&amp;DaybyDay[[#This Row],[Date]])</f>
        <v>0</v>
      </c>
      <c r="P929" s="33">
        <f>SUMIFS(DaybyDay[Retail-Budgets],DaybyDay[Date],"&gt;="&amp;$C$5,DaybyDay[RowYear],"&gt;="&amp;$C$4,DaybyDay[Date],"&lt;="&amp;DaybyDay[[#This Row],[Date]])</f>
        <v>0</v>
      </c>
      <c r="Q929" s="34">
        <f>SUMIFS(DaybyDay[Service-Actuals],DaybyDay[Date],"&gt;="&amp;$C$5,DaybyDay[RowYear],"&gt;="&amp;$C$4,DaybyDay[Date],"&lt;="&amp;DaybyDay[[#This Row],[Date]])</f>
        <v>0</v>
      </c>
      <c r="R929" s="34">
        <f>SUMIFS(DaybyDay[Retail-Actuals],DaybyDay[Date],"&gt;="&amp;$C$5,DaybyDay[RowYear],"&gt;="&amp;$C$4,DaybyDay[Date],"&lt;="&amp;DaybyDay[[#This Row],[Date]])</f>
        <v>0</v>
      </c>
      <c r="S929" s="35">
        <f>SUMIFS(DaybyDay[Service-LY],DaybyDay[Date],"&gt;="&amp;$C$5,DaybyDay[RowYear],"&gt;="&amp;$C$4,DaybyDay[Date],"&lt;="&amp;DaybyDay[[#This Row],[Date]])</f>
        <v>0</v>
      </c>
      <c r="T929" s="35">
        <f>SUMIFS(DaybyDay[Retail-LY],DaybyDay[Date],"&gt;="&amp;$C$5,DaybyDay[RowYear],"&gt;="&amp;$C$4,DaybyDay[Date],"&lt;="&amp;DaybyDay[[#This Row],[Date]])</f>
        <v>0</v>
      </c>
      <c r="U929" s="32">
        <f>DaybyDay[[#This Row],[Serv-Bud-RU]]+DaybyDay[[#This Row],[Ret-Bud-RU]]</f>
        <v>0</v>
      </c>
      <c r="V929" s="32">
        <f>DaybyDay[[#This Row],[Serv-Act-RU]]+DaybyDay[[#This Row],[Ret-Act-RU]]</f>
        <v>0</v>
      </c>
      <c r="W929" s="36">
        <f>IF(DaybyDay[[#This Row],[_Space]],IFERROR(
((DaybyDay[[#This Row],[Actual-Rollup]]-DaybyDay[[#This Row],[Budget-Rollup]])/DaybyDay[[#This Row],[Budget-Rollup]]),0),"")</f>
        <v>0</v>
      </c>
      <c r="X929" t="b">
        <f>NOT(AND(ISBLANK(DaybyDay[[#This Row],[Appts]]),ISBLANK(DaybyDay[[#This Row],[Service-Actuals]]),ISBLANK(DaybyDay[[#This Row],[Retail-Actuals]])))</f>
        <v>1</v>
      </c>
      <c r="Y929" s="36">
        <f>IF(DaybyDay[[#This Row],[_Space]],IFERROR(
((DaybyDay[[#This Row],[Actual-Rollup]]-DaybyDay[[#This Row],[LY-Rollup]])/DaybyDay[[#This Row],[LY-Rollup]]),0),"")</f>
        <v>0</v>
      </c>
      <c r="Z929"/>
      <c r="AA929" s="37" t="e">
        <f>IF(DaybyDay[[#This Row],[_Space]],DaybyDay[[#This Row],[Ret-Act-RU]]/DaybyDay[[#This Row],[Serv-Act-RU]],"")</f>
        <v>#DIV/0!</v>
      </c>
      <c r="AB929" s="50" t="e">
        <f>IF(DaybyDay[[#This Row],[_Space]],DaybyDay[[#This Row],[RETPEN-Act]]/DaybyDay[[#This Row],[RETPEN-Bud]],"")</f>
        <v>#DIV/0!</v>
      </c>
      <c r="AC929" s="37" t="e">
        <f>IF(DaybyDay[[#This Row],[_Space]],DaybyDay[[#This Row],[Ret-Bud-RU]]/DaybyDay[[#This Row],[Serv-Bud-RU]],"")</f>
        <v>#DIV/0!</v>
      </c>
      <c r="AD929" s="37" t="e">
        <f>IF(DaybyDay[[#This Row],[_Space]],DaybyDay[[#This Row],[Ret-LY-RU]]/DaybyDay[[#This Row],[Serv-LY-RU]],"")</f>
        <v>#DIV/0!</v>
      </c>
      <c r="AE929" s="30">
        <f>WEEKDAY(DaybyDay[[#This Row],[LY-Date]])</f>
        <v>6</v>
      </c>
      <c r="AF929" s="38">
        <f>$E$2+_xlfn.DAYS(DaybyDay[[#This Row],[Date]],minDate)</f>
        <v>43294</v>
      </c>
      <c r="AG929" s="39" cm="1">
        <f t="array" ref="AG929">IFERROR(INDEX(DaybyDay[],DaybyDay[[#This Row],[FORM_MATCH_HELPER]],8),"")</f>
        <v>21</v>
      </c>
      <c r="AH929" s="39" cm="1">
        <f t="array" ref="AH929">IFERROR(INDEX(DaybyDay[],DaybyDay[[#This Row],[FORM_MATCH_HELPER]],10),"")</f>
        <v>4842.1000000000004</v>
      </c>
      <c r="AI929" s="39" cm="1">
        <f t="array" ref="AI929">IFERROR(INDEX(DaybyDay[],DaybyDay[[#This Row],[FORM_MATCH_HELPER]],12),"")</f>
        <v>229.9</v>
      </c>
      <c r="AJ929" s="32">
        <f>IFERROR(DaybyDay[[#This Row],[Serv-LY-RU]]+DaybyDay[[#This Row],[Ret-LY-RU]],"")</f>
        <v>0</v>
      </c>
      <c r="AK9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29" s="77"/>
      <c r="AM929" s="40" t="str">
        <f>IF(DaybyDay[[#This Row],[Admin Hours]]&gt;0,DaybyDay[[#This Row],[Admin Hours]]*$AM$2+$AM$3,"")</f>
        <v/>
      </c>
      <c r="AN929" s="40">
        <f>SUMIFS(DaybyDay[Est-Admin-Payroll],DaybyDay[Date],"&gt;="&amp;$C$5,DaybyDay[RowYear],"&gt;="&amp;$C$4,DaybyDay[Date],"&lt;="&amp;DaybyDay[[#This Row],[Date]])</f>
        <v>0</v>
      </c>
      <c r="AO929" s="41" t="str">
        <f>IF(AND(DaybyDay[[#This Row],[_Space]],ISNUMBER(DaybyDay[[#This Row],[Admin Hours]])),DaybyDay[[#This Row],[Est-Admin-Payroll]]/(DaybyDay[[#This Row],[Service-Actuals]]+DaybyDay[[#This Row],[Retail-Actuals]]),"")</f>
        <v/>
      </c>
      <c r="AP929" s="41" t="e">
        <f>DaybyDay[[#This Row],[Estimated-Payroll-Rollup]]/DaybyDay[[#This Row],[Simple-Forecast]]</f>
        <v>#DIV/0!</v>
      </c>
      <c r="AQ9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29" s="77"/>
      <c r="AS929" s="40" t="str">
        <f>IF(DaybyDay[[#This Row],[Retail Hours]]&gt;0,DaybyDay[[#This Row],[Retail Hours]]*$AS$2,"")</f>
        <v/>
      </c>
      <c r="AT929" s="40">
        <f>SUMIFS(DaybyDay[Est-Retail-Payroll],DaybyDay[Date],"&gt;="&amp;$C$5,DaybyDay[RowYear],"&gt;="&amp;$C$4,DaybyDay[Date],"&lt;="&amp;DaybyDay[[#This Row],[Date]])</f>
        <v>0</v>
      </c>
      <c r="AU929" s="82" t="str">
        <f>IF(AND(DaybyDay[[#This Row],[_Space]],ISNUMBER(DaybyDay[[#This Row],[Retail Hours]])),DaybyDay[[#This Row],[Est-Retail-Payroll]]/(DaybyDay[[#This Row],[Retail-Actuals]]),"")</f>
        <v/>
      </c>
      <c r="AV929" s="82" t="e">
        <f>DaybyDay[[#This Row],[Est-Retail-PayrollRU]]/DaybyDay[[#This Row],[Simple-Forecast-Retail]]</f>
        <v>#DIV/0!</v>
      </c>
      <c r="AW929" s="8"/>
      <c r="AX929" s="49"/>
      <c r="AY929" s="48"/>
      <c r="AZ929" s="47"/>
      <c r="BA929" s="47"/>
      <c r="BB929" s="47"/>
      <c r="BC929" s="47"/>
      <c r="BD929" s="47"/>
    </row>
    <row r="930" spans="3:56" hidden="1" x14ac:dyDescent="0.25">
      <c r="C930" s="26" t="str">
        <f>Tools!$C$1</f>
        <v>Example</v>
      </c>
      <c r="D930" s="27" t="s">
        <v>74</v>
      </c>
      <c r="E930" s="28">
        <v>2019</v>
      </c>
      <c r="F930" s="28">
        <f>MATCH(DaybyDay[[#This Row],[RowMonth]],Table3[SummaryMonth],0)</f>
        <v>7</v>
      </c>
      <c r="G930" s="29">
        <f>MATCH(DaybyDay[[#This Row],[LY-Date]],DaybyDay[Date],0)</f>
        <v>560</v>
      </c>
      <c r="H930" s="30">
        <f>WEEKDAY(DaybyDay[[#This Row],[Date]])</f>
        <v>7</v>
      </c>
      <c r="I930" s="31">
        <v>43659</v>
      </c>
      <c r="J930" s="74">
        <v>31</v>
      </c>
      <c r="K930" s="32">
        <f>SUMIFS(BudgetSeasonality[365 Seasonality],BudgetSeasonality[MonthAdjustment],DaybyDay[[#This Row],[Date]])*SUMIFS(Budgets[Service-Budget],Budgets[BudgetMonth],DaybyDay[[#This Row],[RowMonth]],Budgets[BudgetYear],DaybyDay[[#This Row],[RowYear]])</f>
        <v>6915.9346355402549</v>
      </c>
      <c r="L930" s="75">
        <v>5216</v>
      </c>
      <c r="M930" s="32">
        <f>INDEX(BudgetSeasonality[365 Seasonality],MATCH(DaybyDay[[#This Row],[Date]],BudgetSeasonality[MonthAdjustment],0))*SUMIFS(Budgets[Retail-Budget],Budgets[BudgetMonth],DaybyDay[[#This Row],[RowMonth]],Budgets[BudgetYear],DaybyDay[[#This Row],[RowYear]])</f>
        <v>1841.6130251963775</v>
      </c>
      <c r="N930" s="75">
        <v>504</v>
      </c>
      <c r="O930" s="33">
        <f>SUMIFS(DaybyDay[Service-Budgets],DaybyDay[Date],"&gt;="&amp;$C$5,DaybyDay[RowYear],"&gt;="&amp;$C$4,DaybyDay[Date],"&lt;="&amp;DaybyDay[[#This Row],[Date]])</f>
        <v>0</v>
      </c>
      <c r="P930" s="33">
        <f>SUMIFS(DaybyDay[Retail-Budgets],DaybyDay[Date],"&gt;="&amp;$C$5,DaybyDay[RowYear],"&gt;="&amp;$C$4,DaybyDay[Date],"&lt;="&amp;DaybyDay[[#This Row],[Date]])</f>
        <v>0</v>
      </c>
      <c r="Q930" s="34">
        <f>SUMIFS(DaybyDay[Service-Actuals],DaybyDay[Date],"&gt;="&amp;$C$5,DaybyDay[RowYear],"&gt;="&amp;$C$4,DaybyDay[Date],"&lt;="&amp;DaybyDay[[#This Row],[Date]])</f>
        <v>0</v>
      </c>
      <c r="R930" s="34">
        <f>SUMIFS(DaybyDay[Retail-Actuals],DaybyDay[Date],"&gt;="&amp;$C$5,DaybyDay[RowYear],"&gt;="&amp;$C$4,DaybyDay[Date],"&lt;="&amp;DaybyDay[[#This Row],[Date]])</f>
        <v>0</v>
      </c>
      <c r="S930" s="35">
        <f>SUMIFS(DaybyDay[Service-LY],DaybyDay[Date],"&gt;="&amp;$C$5,DaybyDay[RowYear],"&gt;="&amp;$C$4,DaybyDay[Date],"&lt;="&amp;DaybyDay[[#This Row],[Date]])</f>
        <v>0</v>
      </c>
      <c r="T930" s="35">
        <f>SUMIFS(DaybyDay[Retail-LY],DaybyDay[Date],"&gt;="&amp;$C$5,DaybyDay[RowYear],"&gt;="&amp;$C$4,DaybyDay[Date],"&lt;="&amp;DaybyDay[[#This Row],[Date]])</f>
        <v>0</v>
      </c>
      <c r="U930" s="32">
        <f>DaybyDay[[#This Row],[Serv-Bud-RU]]+DaybyDay[[#This Row],[Ret-Bud-RU]]</f>
        <v>0</v>
      </c>
      <c r="V930" s="32">
        <f>DaybyDay[[#This Row],[Serv-Act-RU]]+DaybyDay[[#This Row],[Ret-Act-RU]]</f>
        <v>0</v>
      </c>
      <c r="W930" s="36">
        <f>IF(DaybyDay[[#This Row],[_Space]],IFERROR(
((DaybyDay[[#This Row],[Actual-Rollup]]-DaybyDay[[#This Row],[Budget-Rollup]])/DaybyDay[[#This Row],[Budget-Rollup]]),0),"")</f>
        <v>0</v>
      </c>
      <c r="X930" t="b">
        <f>NOT(AND(ISBLANK(DaybyDay[[#This Row],[Appts]]),ISBLANK(DaybyDay[[#This Row],[Service-Actuals]]),ISBLANK(DaybyDay[[#This Row],[Retail-Actuals]])))</f>
        <v>1</v>
      </c>
      <c r="Y930" s="36">
        <f>IF(DaybyDay[[#This Row],[_Space]],IFERROR(
((DaybyDay[[#This Row],[Actual-Rollup]]-DaybyDay[[#This Row],[LY-Rollup]])/DaybyDay[[#This Row],[LY-Rollup]]),0),"")</f>
        <v>0</v>
      </c>
      <c r="Z930"/>
      <c r="AA930" s="37" t="e">
        <f>IF(DaybyDay[[#This Row],[_Space]],DaybyDay[[#This Row],[Ret-Act-RU]]/DaybyDay[[#This Row],[Serv-Act-RU]],"")</f>
        <v>#DIV/0!</v>
      </c>
      <c r="AB930" s="50" t="e">
        <f>IF(DaybyDay[[#This Row],[_Space]],DaybyDay[[#This Row],[RETPEN-Act]]/DaybyDay[[#This Row],[RETPEN-Bud]],"")</f>
        <v>#DIV/0!</v>
      </c>
      <c r="AC930" s="37" t="e">
        <f>IF(DaybyDay[[#This Row],[_Space]],DaybyDay[[#This Row],[Ret-Bud-RU]]/DaybyDay[[#This Row],[Serv-Bud-RU]],"")</f>
        <v>#DIV/0!</v>
      </c>
      <c r="AD930" s="37" t="e">
        <f>IF(DaybyDay[[#This Row],[_Space]],DaybyDay[[#This Row],[Ret-LY-RU]]/DaybyDay[[#This Row],[Serv-LY-RU]],"")</f>
        <v>#DIV/0!</v>
      </c>
      <c r="AE930" s="30">
        <f>WEEKDAY(DaybyDay[[#This Row],[LY-Date]])</f>
        <v>7</v>
      </c>
      <c r="AF930" s="38">
        <f>$E$2+_xlfn.DAYS(DaybyDay[[#This Row],[Date]],minDate)</f>
        <v>43295</v>
      </c>
      <c r="AG930" s="39" cm="1">
        <f t="array" ref="AG930">IFERROR(INDEX(DaybyDay[],DaybyDay[[#This Row],[FORM_MATCH_HELPER]],8),"")</f>
        <v>21</v>
      </c>
      <c r="AH930" s="39" cm="1">
        <f t="array" ref="AH930">IFERROR(INDEX(DaybyDay[],DaybyDay[[#This Row],[FORM_MATCH_HELPER]],10),"")</f>
        <v>4223</v>
      </c>
      <c r="AI930" s="39" cm="1">
        <f t="array" ref="AI930">IFERROR(INDEX(DaybyDay[],DaybyDay[[#This Row],[FORM_MATCH_HELPER]],12),"")</f>
        <v>400</v>
      </c>
      <c r="AJ930" s="32">
        <f>IFERROR(DaybyDay[[#This Row],[Serv-LY-RU]]+DaybyDay[[#This Row],[Ret-LY-RU]],"")</f>
        <v>0</v>
      </c>
      <c r="AK9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0" s="77"/>
      <c r="AM930" s="40" t="str">
        <f>IF(DaybyDay[[#This Row],[Admin Hours]]&gt;0,DaybyDay[[#This Row],[Admin Hours]]*$AM$2+$AM$3,"")</f>
        <v/>
      </c>
      <c r="AN930" s="40">
        <f>SUMIFS(DaybyDay[Est-Admin-Payroll],DaybyDay[Date],"&gt;="&amp;$C$5,DaybyDay[RowYear],"&gt;="&amp;$C$4,DaybyDay[Date],"&lt;="&amp;DaybyDay[[#This Row],[Date]])</f>
        <v>0</v>
      </c>
      <c r="AO930" s="41" t="str">
        <f>IF(AND(DaybyDay[[#This Row],[_Space]],ISNUMBER(DaybyDay[[#This Row],[Admin Hours]])),DaybyDay[[#This Row],[Est-Admin-Payroll]]/(DaybyDay[[#This Row],[Service-Actuals]]+DaybyDay[[#This Row],[Retail-Actuals]]),"")</f>
        <v/>
      </c>
      <c r="AP930" s="41" t="e">
        <f>DaybyDay[[#This Row],[Estimated-Payroll-Rollup]]/DaybyDay[[#This Row],[Simple-Forecast]]</f>
        <v>#DIV/0!</v>
      </c>
      <c r="AQ9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0" s="77"/>
      <c r="AS930" s="40" t="str">
        <f>IF(DaybyDay[[#This Row],[Retail Hours]]&gt;0,DaybyDay[[#This Row],[Retail Hours]]*$AS$2,"")</f>
        <v/>
      </c>
      <c r="AT930" s="40">
        <f>SUMIFS(DaybyDay[Est-Retail-Payroll],DaybyDay[Date],"&gt;="&amp;$C$5,DaybyDay[RowYear],"&gt;="&amp;$C$4,DaybyDay[Date],"&lt;="&amp;DaybyDay[[#This Row],[Date]])</f>
        <v>0</v>
      </c>
      <c r="AU930" s="82" t="str">
        <f>IF(AND(DaybyDay[[#This Row],[_Space]],ISNUMBER(DaybyDay[[#This Row],[Retail Hours]])),DaybyDay[[#This Row],[Est-Retail-Payroll]]/(DaybyDay[[#This Row],[Retail-Actuals]]),"")</f>
        <v/>
      </c>
      <c r="AV930" s="82" t="e">
        <f>DaybyDay[[#This Row],[Est-Retail-PayrollRU]]/DaybyDay[[#This Row],[Simple-Forecast-Retail]]</f>
        <v>#DIV/0!</v>
      </c>
      <c r="AW930" s="8"/>
      <c r="AX930" s="49"/>
      <c r="AY930" s="48"/>
      <c r="AZ930" s="47"/>
      <c r="BA930" s="47"/>
      <c r="BB930" s="47"/>
      <c r="BC930" s="47"/>
      <c r="BD930" s="47"/>
    </row>
    <row r="931" spans="3:56" hidden="1" x14ac:dyDescent="0.25">
      <c r="C931" s="26" t="str">
        <f>Tools!$C$1</f>
        <v>Example</v>
      </c>
      <c r="D931" s="27" t="s">
        <v>74</v>
      </c>
      <c r="E931" s="28">
        <v>2019</v>
      </c>
      <c r="F931" s="28">
        <f>MATCH(DaybyDay[[#This Row],[RowMonth]],Table3[SummaryMonth],0)</f>
        <v>7</v>
      </c>
      <c r="G931" s="29">
        <f>MATCH(DaybyDay[[#This Row],[LY-Date]],DaybyDay[Date],0)</f>
        <v>561</v>
      </c>
      <c r="H931" s="30">
        <f>WEEKDAY(DaybyDay[[#This Row],[Date]])</f>
        <v>1</v>
      </c>
      <c r="I931" s="31">
        <v>43660</v>
      </c>
      <c r="J931" s="74">
        <v>26</v>
      </c>
      <c r="K931" s="32">
        <f>SUMIFS(BudgetSeasonality[365 Seasonality],BudgetSeasonality[MonthAdjustment],DaybyDay[[#This Row],[Date]])*SUMIFS(Budgets[Service-Budget],Budgets[BudgetMonth],DaybyDay[[#This Row],[RowMonth]],Budgets[BudgetYear],DaybyDay[[#This Row],[RowYear]])</f>
        <v>5259.1905967341245</v>
      </c>
      <c r="L931" s="75">
        <v>4908.53</v>
      </c>
      <c r="M931" s="32">
        <f>INDEX(BudgetSeasonality[365 Seasonality],MATCH(DaybyDay[[#This Row],[Date]],BudgetSeasonality[MonthAdjustment],0))*SUMIFS(Budgets[Retail-Budget],Budgets[BudgetMonth],DaybyDay[[#This Row],[RowMonth]],Budgets[BudgetYear],DaybyDay[[#This Row],[RowYear]])</f>
        <v>1400.4461313390184</v>
      </c>
      <c r="N931" s="75">
        <v>697.8</v>
      </c>
      <c r="O931" s="33">
        <f>SUMIFS(DaybyDay[Service-Budgets],DaybyDay[Date],"&gt;="&amp;$C$5,DaybyDay[RowYear],"&gt;="&amp;$C$4,DaybyDay[Date],"&lt;="&amp;DaybyDay[[#This Row],[Date]])</f>
        <v>0</v>
      </c>
      <c r="P931" s="33">
        <f>SUMIFS(DaybyDay[Retail-Budgets],DaybyDay[Date],"&gt;="&amp;$C$5,DaybyDay[RowYear],"&gt;="&amp;$C$4,DaybyDay[Date],"&lt;="&amp;DaybyDay[[#This Row],[Date]])</f>
        <v>0</v>
      </c>
      <c r="Q931" s="34">
        <f>SUMIFS(DaybyDay[Service-Actuals],DaybyDay[Date],"&gt;="&amp;$C$5,DaybyDay[RowYear],"&gt;="&amp;$C$4,DaybyDay[Date],"&lt;="&amp;DaybyDay[[#This Row],[Date]])</f>
        <v>0</v>
      </c>
      <c r="R931" s="34">
        <f>SUMIFS(DaybyDay[Retail-Actuals],DaybyDay[Date],"&gt;="&amp;$C$5,DaybyDay[RowYear],"&gt;="&amp;$C$4,DaybyDay[Date],"&lt;="&amp;DaybyDay[[#This Row],[Date]])</f>
        <v>0</v>
      </c>
      <c r="S931" s="35">
        <f>SUMIFS(DaybyDay[Service-LY],DaybyDay[Date],"&gt;="&amp;$C$5,DaybyDay[RowYear],"&gt;="&amp;$C$4,DaybyDay[Date],"&lt;="&amp;DaybyDay[[#This Row],[Date]])</f>
        <v>0</v>
      </c>
      <c r="T931" s="35">
        <f>SUMIFS(DaybyDay[Retail-LY],DaybyDay[Date],"&gt;="&amp;$C$5,DaybyDay[RowYear],"&gt;="&amp;$C$4,DaybyDay[Date],"&lt;="&amp;DaybyDay[[#This Row],[Date]])</f>
        <v>0</v>
      </c>
      <c r="U931" s="32">
        <f>DaybyDay[[#This Row],[Serv-Bud-RU]]+DaybyDay[[#This Row],[Ret-Bud-RU]]</f>
        <v>0</v>
      </c>
      <c r="V931" s="32">
        <f>DaybyDay[[#This Row],[Serv-Act-RU]]+DaybyDay[[#This Row],[Ret-Act-RU]]</f>
        <v>0</v>
      </c>
      <c r="W931" s="36">
        <f>IF(DaybyDay[[#This Row],[_Space]],IFERROR(
((DaybyDay[[#This Row],[Actual-Rollup]]-DaybyDay[[#This Row],[Budget-Rollup]])/DaybyDay[[#This Row],[Budget-Rollup]]),0),"")</f>
        <v>0</v>
      </c>
      <c r="X931" t="b">
        <f>NOT(AND(ISBLANK(DaybyDay[[#This Row],[Appts]]),ISBLANK(DaybyDay[[#This Row],[Service-Actuals]]),ISBLANK(DaybyDay[[#This Row],[Retail-Actuals]])))</f>
        <v>1</v>
      </c>
      <c r="Y931" s="36">
        <f>IF(DaybyDay[[#This Row],[_Space]],IFERROR(
((DaybyDay[[#This Row],[Actual-Rollup]]-DaybyDay[[#This Row],[LY-Rollup]])/DaybyDay[[#This Row],[LY-Rollup]]),0),"")</f>
        <v>0</v>
      </c>
      <c r="Z931"/>
      <c r="AA931" s="37" t="e">
        <f>IF(DaybyDay[[#This Row],[_Space]],DaybyDay[[#This Row],[Ret-Act-RU]]/DaybyDay[[#This Row],[Serv-Act-RU]],"")</f>
        <v>#DIV/0!</v>
      </c>
      <c r="AB931" s="50" t="e">
        <f>IF(DaybyDay[[#This Row],[_Space]],DaybyDay[[#This Row],[RETPEN-Act]]/DaybyDay[[#This Row],[RETPEN-Bud]],"")</f>
        <v>#DIV/0!</v>
      </c>
      <c r="AC931" s="37" t="e">
        <f>IF(DaybyDay[[#This Row],[_Space]],DaybyDay[[#This Row],[Ret-Bud-RU]]/DaybyDay[[#This Row],[Serv-Bud-RU]],"")</f>
        <v>#DIV/0!</v>
      </c>
      <c r="AD931" s="37" t="e">
        <f>IF(DaybyDay[[#This Row],[_Space]],DaybyDay[[#This Row],[Ret-LY-RU]]/DaybyDay[[#This Row],[Serv-LY-RU]],"")</f>
        <v>#DIV/0!</v>
      </c>
      <c r="AE931" s="30">
        <f>WEEKDAY(DaybyDay[[#This Row],[LY-Date]])</f>
        <v>1</v>
      </c>
      <c r="AF931" s="38">
        <f>$E$2+_xlfn.DAYS(DaybyDay[[#This Row],[Date]],minDate)</f>
        <v>43296</v>
      </c>
      <c r="AG931" s="39" cm="1">
        <f t="array" ref="AG931">IFERROR(INDEX(DaybyDay[],DaybyDay[[#This Row],[FORM_MATCH_HELPER]],8),"")</f>
        <v>21</v>
      </c>
      <c r="AH931" s="39" cm="1">
        <f t="array" ref="AH931">IFERROR(INDEX(DaybyDay[],DaybyDay[[#This Row],[FORM_MATCH_HELPER]],10),"")</f>
        <v>4277.6000000000004</v>
      </c>
      <c r="AI931" s="39" cm="1">
        <f t="array" ref="AI931">IFERROR(INDEX(DaybyDay[],DaybyDay[[#This Row],[FORM_MATCH_HELPER]],12),"")</f>
        <v>911</v>
      </c>
      <c r="AJ931" s="32">
        <f>IFERROR(DaybyDay[[#This Row],[Serv-LY-RU]]+DaybyDay[[#This Row],[Ret-LY-RU]],"")</f>
        <v>0</v>
      </c>
      <c r="AK9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1" s="77"/>
      <c r="AM931" s="40" t="str">
        <f>IF(DaybyDay[[#This Row],[Admin Hours]]&gt;0,DaybyDay[[#This Row],[Admin Hours]]*$AM$2+$AM$3,"")</f>
        <v/>
      </c>
      <c r="AN931" s="40">
        <f>SUMIFS(DaybyDay[Est-Admin-Payroll],DaybyDay[Date],"&gt;="&amp;$C$5,DaybyDay[RowYear],"&gt;="&amp;$C$4,DaybyDay[Date],"&lt;="&amp;DaybyDay[[#This Row],[Date]])</f>
        <v>0</v>
      </c>
      <c r="AO931" s="41" t="str">
        <f>IF(AND(DaybyDay[[#This Row],[_Space]],ISNUMBER(DaybyDay[[#This Row],[Admin Hours]])),DaybyDay[[#This Row],[Est-Admin-Payroll]]/(DaybyDay[[#This Row],[Service-Actuals]]+DaybyDay[[#This Row],[Retail-Actuals]]),"")</f>
        <v/>
      </c>
      <c r="AP931" s="41" t="e">
        <f>DaybyDay[[#This Row],[Estimated-Payroll-Rollup]]/DaybyDay[[#This Row],[Simple-Forecast]]</f>
        <v>#DIV/0!</v>
      </c>
      <c r="AQ9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1" s="77"/>
      <c r="AS931" s="40" t="str">
        <f>IF(DaybyDay[[#This Row],[Retail Hours]]&gt;0,DaybyDay[[#This Row],[Retail Hours]]*$AS$2,"")</f>
        <v/>
      </c>
      <c r="AT931" s="40">
        <f>SUMIFS(DaybyDay[Est-Retail-Payroll],DaybyDay[Date],"&gt;="&amp;$C$5,DaybyDay[RowYear],"&gt;="&amp;$C$4,DaybyDay[Date],"&lt;="&amp;DaybyDay[[#This Row],[Date]])</f>
        <v>0</v>
      </c>
      <c r="AU931" s="82" t="str">
        <f>IF(AND(DaybyDay[[#This Row],[_Space]],ISNUMBER(DaybyDay[[#This Row],[Retail Hours]])),DaybyDay[[#This Row],[Est-Retail-Payroll]]/(DaybyDay[[#This Row],[Retail-Actuals]]),"")</f>
        <v/>
      </c>
      <c r="AV931" s="82" t="e">
        <f>DaybyDay[[#This Row],[Est-Retail-PayrollRU]]/DaybyDay[[#This Row],[Simple-Forecast-Retail]]</f>
        <v>#DIV/0!</v>
      </c>
      <c r="AW931" s="8"/>
      <c r="AX931" s="49"/>
      <c r="AY931" s="48"/>
      <c r="AZ931" s="47"/>
      <c r="BA931" s="47"/>
      <c r="BB931" s="47"/>
      <c r="BC931" s="47"/>
      <c r="BD931" s="47"/>
    </row>
    <row r="932" spans="3:56" hidden="1" x14ac:dyDescent="0.25">
      <c r="C932" s="26" t="str">
        <f>Tools!$C$1</f>
        <v>Example</v>
      </c>
      <c r="D932" s="27" t="s">
        <v>74</v>
      </c>
      <c r="E932" s="28">
        <v>2019</v>
      </c>
      <c r="F932" s="28">
        <f>MATCH(DaybyDay[[#This Row],[RowMonth]],Table3[SummaryMonth],0)</f>
        <v>7</v>
      </c>
      <c r="G932" s="29">
        <f>MATCH(DaybyDay[[#This Row],[LY-Date]],DaybyDay[Date],0)</f>
        <v>562</v>
      </c>
      <c r="H932" s="30">
        <f>WEEKDAY(DaybyDay[[#This Row],[Date]])</f>
        <v>2</v>
      </c>
      <c r="I932" s="31">
        <v>43661</v>
      </c>
      <c r="J932" s="74">
        <v>12</v>
      </c>
      <c r="K932" s="32">
        <f>SUMIFS(BudgetSeasonality[365 Seasonality],BudgetSeasonality[MonthAdjustment],DaybyDay[[#This Row],[Date]])*SUMIFS(Budgets[Service-Budget],Budgets[BudgetMonth],DaybyDay[[#This Row],[RowMonth]],Budgets[BudgetYear],DaybyDay[[#This Row],[RowYear]])</f>
        <v>2826.4113707576053</v>
      </c>
      <c r="L932" s="75">
        <v>2510.8000000000002</v>
      </c>
      <c r="M932" s="32">
        <f>INDEX(BudgetSeasonality[365 Seasonality],MATCH(DaybyDay[[#This Row],[Date]],BudgetSeasonality[MonthAdjustment],0))*SUMIFS(Budgets[Retail-Budget],Budgets[BudgetMonth],DaybyDay[[#This Row],[RowMonth]],Budgets[BudgetYear],DaybyDay[[#This Row],[RowYear]])</f>
        <v>752.63232943261323</v>
      </c>
      <c r="N932" s="75">
        <v>0</v>
      </c>
      <c r="O932" s="33">
        <f>SUMIFS(DaybyDay[Service-Budgets],DaybyDay[Date],"&gt;="&amp;$C$5,DaybyDay[RowYear],"&gt;="&amp;$C$4,DaybyDay[Date],"&lt;="&amp;DaybyDay[[#This Row],[Date]])</f>
        <v>0</v>
      </c>
      <c r="P932" s="33">
        <f>SUMIFS(DaybyDay[Retail-Budgets],DaybyDay[Date],"&gt;="&amp;$C$5,DaybyDay[RowYear],"&gt;="&amp;$C$4,DaybyDay[Date],"&lt;="&amp;DaybyDay[[#This Row],[Date]])</f>
        <v>0</v>
      </c>
      <c r="Q932" s="34">
        <f>SUMIFS(DaybyDay[Service-Actuals],DaybyDay[Date],"&gt;="&amp;$C$5,DaybyDay[RowYear],"&gt;="&amp;$C$4,DaybyDay[Date],"&lt;="&amp;DaybyDay[[#This Row],[Date]])</f>
        <v>0</v>
      </c>
      <c r="R932" s="34">
        <f>SUMIFS(DaybyDay[Retail-Actuals],DaybyDay[Date],"&gt;="&amp;$C$5,DaybyDay[RowYear],"&gt;="&amp;$C$4,DaybyDay[Date],"&lt;="&amp;DaybyDay[[#This Row],[Date]])</f>
        <v>0</v>
      </c>
      <c r="S932" s="35">
        <f>SUMIFS(DaybyDay[Service-LY],DaybyDay[Date],"&gt;="&amp;$C$5,DaybyDay[RowYear],"&gt;="&amp;$C$4,DaybyDay[Date],"&lt;="&amp;DaybyDay[[#This Row],[Date]])</f>
        <v>0</v>
      </c>
      <c r="T932" s="35">
        <f>SUMIFS(DaybyDay[Retail-LY],DaybyDay[Date],"&gt;="&amp;$C$5,DaybyDay[RowYear],"&gt;="&amp;$C$4,DaybyDay[Date],"&lt;="&amp;DaybyDay[[#This Row],[Date]])</f>
        <v>0</v>
      </c>
      <c r="U932" s="32">
        <f>DaybyDay[[#This Row],[Serv-Bud-RU]]+DaybyDay[[#This Row],[Ret-Bud-RU]]</f>
        <v>0</v>
      </c>
      <c r="V932" s="32">
        <f>DaybyDay[[#This Row],[Serv-Act-RU]]+DaybyDay[[#This Row],[Ret-Act-RU]]</f>
        <v>0</v>
      </c>
      <c r="W932" s="36">
        <f>IF(DaybyDay[[#This Row],[_Space]],IFERROR(
((DaybyDay[[#This Row],[Actual-Rollup]]-DaybyDay[[#This Row],[Budget-Rollup]])/DaybyDay[[#This Row],[Budget-Rollup]]),0),"")</f>
        <v>0</v>
      </c>
      <c r="X932" t="b">
        <f>NOT(AND(ISBLANK(DaybyDay[[#This Row],[Appts]]),ISBLANK(DaybyDay[[#This Row],[Service-Actuals]]),ISBLANK(DaybyDay[[#This Row],[Retail-Actuals]])))</f>
        <v>1</v>
      </c>
      <c r="Y932" s="36">
        <f>IF(DaybyDay[[#This Row],[_Space]],IFERROR(
((DaybyDay[[#This Row],[Actual-Rollup]]-DaybyDay[[#This Row],[LY-Rollup]])/DaybyDay[[#This Row],[LY-Rollup]]),0),"")</f>
        <v>0</v>
      </c>
      <c r="Z932"/>
      <c r="AA932" s="37" t="e">
        <f>IF(DaybyDay[[#This Row],[_Space]],DaybyDay[[#This Row],[Ret-Act-RU]]/DaybyDay[[#This Row],[Serv-Act-RU]],"")</f>
        <v>#DIV/0!</v>
      </c>
      <c r="AB932" s="50" t="e">
        <f>IF(DaybyDay[[#This Row],[_Space]],DaybyDay[[#This Row],[RETPEN-Act]]/DaybyDay[[#This Row],[RETPEN-Bud]],"")</f>
        <v>#DIV/0!</v>
      </c>
      <c r="AC932" s="37" t="e">
        <f>IF(DaybyDay[[#This Row],[_Space]],DaybyDay[[#This Row],[Ret-Bud-RU]]/DaybyDay[[#This Row],[Serv-Bud-RU]],"")</f>
        <v>#DIV/0!</v>
      </c>
      <c r="AD932" s="37" t="e">
        <f>IF(DaybyDay[[#This Row],[_Space]],DaybyDay[[#This Row],[Ret-LY-RU]]/DaybyDay[[#This Row],[Serv-LY-RU]],"")</f>
        <v>#DIV/0!</v>
      </c>
      <c r="AE932" s="30">
        <f>WEEKDAY(DaybyDay[[#This Row],[LY-Date]])</f>
        <v>2</v>
      </c>
      <c r="AF932" s="38">
        <f>$E$2+_xlfn.DAYS(DaybyDay[[#This Row],[Date]],minDate)</f>
        <v>43297</v>
      </c>
      <c r="AG932" s="39" cm="1">
        <f t="array" ref="AG932">IFERROR(INDEX(DaybyDay[],DaybyDay[[#This Row],[FORM_MATCH_HELPER]],8),"")</f>
        <v>16</v>
      </c>
      <c r="AH932" s="39" cm="1">
        <f t="array" ref="AH932">IFERROR(INDEX(DaybyDay[],DaybyDay[[#This Row],[FORM_MATCH_HELPER]],10),"")</f>
        <v>2303.6999999999998</v>
      </c>
      <c r="AI932" s="39" cm="1">
        <f t="array" ref="AI932">IFERROR(INDEX(DaybyDay[],DaybyDay[[#This Row],[FORM_MATCH_HELPER]],12),"")</f>
        <v>604</v>
      </c>
      <c r="AJ932" s="32">
        <f>IFERROR(DaybyDay[[#This Row],[Serv-LY-RU]]+DaybyDay[[#This Row],[Ret-LY-RU]],"")</f>
        <v>0</v>
      </c>
      <c r="AK9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2" s="77"/>
      <c r="AM932" s="40" t="str">
        <f>IF(DaybyDay[[#This Row],[Admin Hours]]&gt;0,DaybyDay[[#This Row],[Admin Hours]]*$AM$2+$AM$3,"")</f>
        <v/>
      </c>
      <c r="AN932" s="40">
        <f>SUMIFS(DaybyDay[Est-Admin-Payroll],DaybyDay[Date],"&gt;="&amp;$C$5,DaybyDay[RowYear],"&gt;="&amp;$C$4,DaybyDay[Date],"&lt;="&amp;DaybyDay[[#This Row],[Date]])</f>
        <v>0</v>
      </c>
      <c r="AO932" s="41" t="str">
        <f>IF(AND(DaybyDay[[#This Row],[_Space]],ISNUMBER(DaybyDay[[#This Row],[Admin Hours]])),DaybyDay[[#This Row],[Est-Admin-Payroll]]/(DaybyDay[[#This Row],[Service-Actuals]]+DaybyDay[[#This Row],[Retail-Actuals]]),"")</f>
        <v/>
      </c>
      <c r="AP932" s="41" t="e">
        <f>DaybyDay[[#This Row],[Estimated-Payroll-Rollup]]/DaybyDay[[#This Row],[Simple-Forecast]]</f>
        <v>#DIV/0!</v>
      </c>
      <c r="AQ9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2" s="77"/>
      <c r="AS932" s="40" t="str">
        <f>IF(DaybyDay[[#This Row],[Retail Hours]]&gt;0,DaybyDay[[#This Row],[Retail Hours]]*$AS$2,"")</f>
        <v/>
      </c>
      <c r="AT932" s="40">
        <f>SUMIFS(DaybyDay[Est-Retail-Payroll],DaybyDay[Date],"&gt;="&amp;$C$5,DaybyDay[RowYear],"&gt;="&amp;$C$4,DaybyDay[Date],"&lt;="&amp;DaybyDay[[#This Row],[Date]])</f>
        <v>0</v>
      </c>
      <c r="AU932" s="82" t="str">
        <f>IF(AND(DaybyDay[[#This Row],[_Space]],ISNUMBER(DaybyDay[[#This Row],[Retail Hours]])),DaybyDay[[#This Row],[Est-Retail-Payroll]]/(DaybyDay[[#This Row],[Retail-Actuals]]),"")</f>
        <v/>
      </c>
      <c r="AV932" s="82" t="e">
        <f>DaybyDay[[#This Row],[Est-Retail-PayrollRU]]/DaybyDay[[#This Row],[Simple-Forecast-Retail]]</f>
        <v>#DIV/0!</v>
      </c>
      <c r="AW932" s="8"/>
      <c r="AX932" s="49"/>
      <c r="AY932" s="48"/>
      <c r="AZ932" s="47"/>
      <c r="BA932" s="47"/>
      <c r="BB932" s="47"/>
      <c r="BC932" s="47"/>
      <c r="BD932" s="47"/>
    </row>
    <row r="933" spans="3:56" hidden="1" x14ac:dyDescent="0.25">
      <c r="C933" s="26" t="str">
        <f>Tools!$C$1</f>
        <v>Example</v>
      </c>
      <c r="D933" s="27" t="s">
        <v>74</v>
      </c>
      <c r="E933" s="28">
        <v>2019</v>
      </c>
      <c r="F933" s="28">
        <f>MATCH(DaybyDay[[#This Row],[RowMonth]],Table3[SummaryMonth],0)</f>
        <v>7</v>
      </c>
      <c r="G933" s="29">
        <f>MATCH(DaybyDay[[#This Row],[LY-Date]],DaybyDay[Date],0)</f>
        <v>563</v>
      </c>
      <c r="H933" s="30">
        <f>WEEKDAY(DaybyDay[[#This Row],[Date]])</f>
        <v>3</v>
      </c>
      <c r="I933" s="31">
        <v>43662</v>
      </c>
      <c r="J933" s="74">
        <v>10</v>
      </c>
      <c r="K933" s="32">
        <f>SUMIFS(BudgetSeasonality[365 Seasonality],BudgetSeasonality[MonthAdjustment],DaybyDay[[#This Row],[Date]])*SUMIFS(Budgets[Service-Budget],Budgets[BudgetMonth],DaybyDay[[#This Row],[RowMonth]],Budgets[BudgetYear],DaybyDay[[#This Row],[RowYear]])</f>
        <v>3014.79838821269</v>
      </c>
      <c r="L933" s="75">
        <v>2089.1999999999998</v>
      </c>
      <c r="M933" s="32">
        <f>INDEX(BudgetSeasonality[365 Seasonality],MATCH(DaybyDay[[#This Row],[Date]],BudgetSeasonality[MonthAdjustment],0))*SUMIFS(Budgets[Retail-Budget],Budgets[BudgetMonth],DaybyDay[[#This Row],[RowMonth]],Budgets[BudgetYear],DaybyDay[[#This Row],[RowYear]])</f>
        <v>802.79705819397475</v>
      </c>
      <c r="N933" s="75">
        <v>0</v>
      </c>
      <c r="O933" s="33">
        <f>SUMIFS(DaybyDay[Service-Budgets],DaybyDay[Date],"&gt;="&amp;$C$5,DaybyDay[RowYear],"&gt;="&amp;$C$4,DaybyDay[Date],"&lt;="&amp;DaybyDay[[#This Row],[Date]])</f>
        <v>0</v>
      </c>
      <c r="P933" s="33">
        <f>SUMIFS(DaybyDay[Retail-Budgets],DaybyDay[Date],"&gt;="&amp;$C$5,DaybyDay[RowYear],"&gt;="&amp;$C$4,DaybyDay[Date],"&lt;="&amp;DaybyDay[[#This Row],[Date]])</f>
        <v>0</v>
      </c>
      <c r="Q933" s="34">
        <f>SUMIFS(DaybyDay[Service-Actuals],DaybyDay[Date],"&gt;="&amp;$C$5,DaybyDay[RowYear],"&gt;="&amp;$C$4,DaybyDay[Date],"&lt;="&amp;DaybyDay[[#This Row],[Date]])</f>
        <v>0</v>
      </c>
      <c r="R933" s="34">
        <f>SUMIFS(DaybyDay[Retail-Actuals],DaybyDay[Date],"&gt;="&amp;$C$5,DaybyDay[RowYear],"&gt;="&amp;$C$4,DaybyDay[Date],"&lt;="&amp;DaybyDay[[#This Row],[Date]])</f>
        <v>0</v>
      </c>
      <c r="S933" s="35">
        <f>SUMIFS(DaybyDay[Service-LY],DaybyDay[Date],"&gt;="&amp;$C$5,DaybyDay[RowYear],"&gt;="&amp;$C$4,DaybyDay[Date],"&lt;="&amp;DaybyDay[[#This Row],[Date]])</f>
        <v>0</v>
      </c>
      <c r="T933" s="35">
        <f>SUMIFS(DaybyDay[Retail-LY],DaybyDay[Date],"&gt;="&amp;$C$5,DaybyDay[RowYear],"&gt;="&amp;$C$4,DaybyDay[Date],"&lt;="&amp;DaybyDay[[#This Row],[Date]])</f>
        <v>0</v>
      </c>
      <c r="U933" s="32">
        <f>DaybyDay[[#This Row],[Serv-Bud-RU]]+DaybyDay[[#This Row],[Ret-Bud-RU]]</f>
        <v>0</v>
      </c>
      <c r="V933" s="32">
        <f>DaybyDay[[#This Row],[Serv-Act-RU]]+DaybyDay[[#This Row],[Ret-Act-RU]]</f>
        <v>0</v>
      </c>
      <c r="W933" s="36">
        <f>IF(DaybyDay[[#This Row],[_Space]],IFERROR(
((DaybyDay[[#This Row],[Actual-Rollup]]-DaybyDay[[#This Row],[Budget-Rollup]])/DaybyDay[[#This Row],[Budget-Rollup]]),0),"")</f>
        <v>0</v>
      </c>
      <c r="X933" t="b">
        <f>NOT(AND(ISBLANK(DaybyDay[[#This Row],[Appts]]),ISBLANK(DaybyDay[[#This Row],[Service-Actuals]]),ISBLANK(DaybyDay[[#This Row],[Retail-Actuals]])))</f>
        <v>1</v>
      </c>
      <c r="Y933" s="36">
        <f>IF(DaybyDay[[#This Row],[_Space]],IFERROR(
((DaybyDay[[#This Row],[Actual-Rollup]]-DaybyDay[[#This Row],[LY-Rollup]])/DaybyDay[[#This Row],[LY-Rollup]]),0),"")</f>
        <v>0</v>
      </c>
      <c r="Z933"/>
      <c r="AA933" s="37" t="e">
        <f>IF(DaybyDay[[#This Row],[_Space]],DaybyDay[[#This Row],[Ret-Act-RU]]/DaybyDay[[#This Row],[Serv-Act-RU]],"")</f>
        <v>#DIV/0!</v>
      </c>
      <c r="AB933" s="50" t="e">
        <f>IF(DaybyDay[[#This Row],[_Space]],DaybyDay[[#This Row],[RETPEN-Act]]/DaybyDay[[#This Row],[RETPEN-Bud]],"")</f>
        <v>#DIV/0!</v>
      </c>
      <c r="AC933" s="37" t="e">
        <f>IF(DaybyDay[[#This Row],[_Space]],DaybyDay[[#This Row],[Ret-Bud-RU]]/DaybyDay[[#This Row],[Serv-Bud-RU]],"")</f>
        <v>#DIV/0!</v>
      </c>
      <c r="AD933" s="37" t="e">
        <f>IF(DaybyDay[[#This Row],[_Space]],DaybyDay[[#This Row],[Ret-LY-RU]]/DaybyDay[[#This Row],[Serv-LY-RU]],"")</f>
        <v>#DIV/0!</v>
      </c>
      <c r="AE933" s="30">
        <f>WEEKDAY(DaybyDay[[#This Row],[LY-Date]])</f>
        <v>3</v>
      </c>
      <c r="AF933" s="38">
        <f>$E$2+_xlfn.DAYS(DaybyDay[[#This Row],[Date]],minDate)</f>
        <v>43298</v>
      </c>
      <c r="AG933" s="39" cm="1">
        <f t="array" ref="AG933">IFERROR(INDEX(DaybyDay[],DaybyDay[[#This Row],[FORM_MATCH_HELPER]],8),"")</f>
        <v>16</v>
      </c>
      <c r="AH933" s="39" cm="1">
        <f t="array" ref="AH933">IFERROR(INDEX(DaybyDay[],DaybyDay[[#This Row],[FORM_MATCH_HELPER]],10),"")</f>
        <v>3022.4</v>
      </c>
      <c r="AI933" s="39" cm="1">
        <f t="array" ref="AI933">IFERROR(INDEX(DaybyDay[],DaybyDay[[#This Row],[FORM_MATCH_HELPER]],12),"")</f>
        <v>809</v>
      </c>
      <c r="AJ933" s="32">
        <f>IFERROR(DaybyDay[[#This Row],[Serv-LY-RU]]+DaybyDay[[#This Row],[Ret-LY-RU]],"")</f>
        <v>0</v>
      </c>
      <c r="AK9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3" s="77"/>
      <c r="AM933" s="40" t="str">
        <f>IF(DaybyDay[[#This Row],[Admin Hours]]&gt;0,DaybyDay[[#This Row],[Admin Hours]]*$AM$2+$AM$3,"")</f>
        <v/>
      </c>
      <c r="AN933" s="40">
        <f>SUMIFS(DaybyDay[Est-Admin-Payroll],DaybyDay[Date],"&gt;="&amp;$C$5,DaybyDay[RowYear],"&gt;="&amp;$C$4,DaybyDay[Date],"&lt;="&amp;DaybyDay[[#This Row],[Date]])</f>
        <v>0</v>
      </c>
      <c r="AO933" s="41" t="str">
        <f>IF(AND(DaybyDay[[#This Row],[_Space]],ISNUMBER(DaybyDay[[#This Row],[Admin Hours]])),DaybyDay[[#This Row],[Est-Admin-Payroll]]/(DaybyDay[[#This Row],[Service-Actuals]]+DaybyDay[[#This Row],[Retail-Actuals]]),"")</f>
        <v/>
      </c>
      <c r="AP933" s="41" t="e">
        <f>DaybyDay[[#This Row],[Estimated-Payroll-Rollup]]/DaybyDay[[#This Row],[Simple-Forecast]]</f>
        <v>#DIV/0!</v>
      </c>
      <c r="AQ9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3" s="77"/>
      <c r="AS933" s="40" t="str">
        <f>IF(DaybyDay[[#This Row],[Retail Hours]]&gt;0,DaybyDay[[#This Row],[Retail Hours]]*$AS$2,"")</f>
        <v/>
      </c>
      <c r="AT933" s="40">
        <f>SUMIFS(DaybyDay[Est-Retail-Payroll],DaybyDay[Date],"&gt;="&amp;$C$5,DaybyDay[RowYear],"&gt;="&amp;$C$4,DaybyDay[Date],"&lt;="&amp;DaybyDay[[#This Row],[Date]])</f>
        <v>0</v>
      </c>
      <c r="AU933" s="82" t="str">
        <f>IF(AND(DaybyDay[[#This Row],[_Space]],ISNUMBER(DaybyDay[[#This Row],[Retail Hours]])),DaybyDay[[#This Row],[Est-Retail-Payroll]]/(DaybyDay[[#This Row],[Retail-Actuals]]),"")</f>
        <v/>
      </c>
      <c r="AV933" s="82" t="e">
        <f>DaybyDay[[#This Row],[Est-Retail-PayrollRU]]/DaybyDay[[#This Row],[Simple-Forecast-Retail]]</f>
        <v>#DIV/0!</v>
      </c>
      <c r="AW933" s="8"/>
      <c r="AX933" s="49"/>
      <c r="AY933" s="48"/>
      <c r="AZ933" s="47"/>
      <c r="BA933" s="47"/>
      <c r="BB933" s="47"/>
      <c r="BC933" s="47"/>
      <c r="BD933" s="47"/>
    </row>
    <row r="934" spans="3:56" hidden="1" x14ac:dyDescent="0.25">
      <c r="C934" s="26" t="str">
        <f>Tools!$C$1</f>
        <v>Example</v>
      </c>
      <c r="D934" s="27" t="s">
        <v>74</v>
      </c>
      <c r="E934" s="28">
        <v>2019</v>
      </c>
      <c r="F934" s="28">
        <f>MATCH(DaybyDay[[#This Row],[RowMonth]],Table3[SummaryMonth],0)</f>
        <v>7</v>
      </c>
      <c r="G934" s="29">
        <f>MATCH(DaybyDay[[#This Row],[LY-Date]],DaybyDay[Date],0)</f>
        <v>564</v>
      </c>
      <c r="H934" s="30">
        <f>WEEKDAY(DaybyDay[[#This Row],[Date]])</f>
        <v>4</v>
      </c>
      <c r="I934" s="31">
        <v>43663</v>
      </c>
      <c r="J934" s="74">
        <v>29</v>
      </c>
      <c r="K934" s="32">
        <f>SUMIFS(BudgetSeasonality[365 Seasonality],BudgetSeasonality[MonthAdjustment],DaybyDay[[#This Row],[Date]])*SUMIFS(Budgets[Service-Budget],Budgets[BudgetMonth],DaybyDay[[#This Row],[RowMonth]],Budgets[BudgetYear],DaybyDay[[#This Row],[RowYear]])</f>
        <v>3664.2825990876618</v>
      </c>
      <c r="L934" s="75">
        <v>5710.07</v>
      </c>
      <c r="M934" s="32">
        <f>INDEX(BudgetSeasonality[365 Seasonality],MATCH(DaybyDay[[#This Row],[Date]],BudgetSeasonality[MonthAdjustment],0))*SUMIFS(Budgets[Retail-Budget],Budgets[BudgetMonth],DaybyDay[[#This Row],[RowMonth]],Budgets[BudgetYear],DaybyDay[[#This Row],[RowYear]])</f>
        <v>975.74527784025577</v>
      </c>
      <c r="N934" s="75">
        <v>1740.3</v>
      </c>
      <c r="O934" s="33">
        <f>SUMIFS(DaybyDay[Service-Budgets],DaybyDay[Date],"&gt;="&amp;$C$5,DaybyDay[RowYear],"&gt;="&amp;$C$4,DaybyDay[Date],"&lt;="&amp;DaybyDay[[#This Row],[Date]])</f>
        <v>0</v>
      </c>
      <c r="P934" s="33">
        <f>SUMIFS(DaybyDay[Retail-Budgets],DaybyDay[Date],"&gt;="&amp;$C$5,DaybyDay[RowYear],"&gt;="&amp;$C$4,DaybyDay[Date],"&lt;="&amp;DaybyDay[[#This Row],[Date]])</f>
        <v>0</v>
      </c>
      <c r="Q934" s="34">
        <f>SUMIFS(DaybyDay[Service-Actuals],DaybyDay[Date],"&gt;="&amp;$C$5,DaybyDay[RowYear],"&gt;="&amp;$C$4,DaybyDay[Date],"&lt;="&amp;DaybyDay[[#This Row],[Date]])</f>
        <v>0</v>
      </c>
      <c r="R934" s="34">
        <f>SUMIFS(DaybyDay[Retail-Actuals],DaybyDay[Date],"&gt;="&amp;$C$5,DaybyDay[RowYear],"&gt;="&amp;$C$4,DaybyDay[Date],"&lt;="&amp;DaybyDay[[#This Row],[Date]])</f>
        <v>0</v>
      </c>
      <c r="S934" s="35">
        <f>SUMIFS(DaybyDay[Service-LY],DaybyDay[Date],"&gt;="&amp;$C$5,DaybyDay[RowYear],"&gt;="&amp;$C$4,DaybyDay[Date],"&lt;="&amp;DaybyDay[[#This Row],[Date]])</f>
        <v>0</v>
      </c>
      <c r="T934" s="35">
        <f>SUMIFS(DaybyDay[Retail-LY],DaybyDay[Date],"&gt;="&amp;$C$5,DaybyDay[RowYear],"&gt;="&amp;$C$4,DaybyDay[Date],"&lt;="&amp;DaybyDay[[#This Row],[Date]])</f>
        <v>0</v>
      </c>
      <c r="U934" s="32">
        <f>DaybyDay[[#This Row],[Serv-Bud-RU]]+DaybyDay[[#This Row],[Ret-Bud-RU]]</f>
        <v>0</v>
      </c>
      <c r="V934" s="32">
        <f>DaybyDay[[#This Row],[Serv-Act-RU]]+DaybyDay[[#This Row],[Ret-Act-RU]]</f>
        <v>0</v>
      </c>
      <c r="W934" s="36">
        <f>IF(DaybyDay[[#This Row],[_Space]],IFERROR(
((DaybyDay[[#This Row],[Actual-Rollup]]-DaybyDay[[#This Row],[Budget-Rollup]])/DaybyDay[[#This Row],[Budget-Rollup]]),0),"")</f>
        <v>0</v>
      </c>
      <c r="X934" t="b">
        <f>NOT(AND(ISBLANK(DaybyDay[[#This Row],[Appts]]),ISBLANK(DaybyDay[[#This Row],[Service-Actuals]]),ISBLANK(DaybyDay[[#This Row],[Retail-Actuals]])))</f>
        <v>1</v>
      </c>
      <c r="Y934" s="36">
        <f>IF(DaybyDay[[#This Row],[_Space]],IFERROR(
((DaybyDay[[#This Row],[Actual-Rollup]]-DaybyDay[[#This Row],[LY-Rollup]])/DaybyDay[[#This Row],[LY-Rollup]]),0),"")</f>
        <v>0</v>
      </c>
      <c r="Z934"/>
      <c r="AA934" s="37" t="e">
        <f>IF(DaybyDay[[#This Row],[_Space]],DaybyDay[[#This Row],[Ret-Act-RU]]/DaybyDay[[#This Row],[Serv-Act-RU]],"")</f>
        <v>#DIV/0!</v>
      </c>
      <c r="AB934" s="50" t="e">
        <f>IF(DaybyDay[[#This Row],[_Space]],DaybyDay[[#This Row],[RETPEN-Act]]/DaybyDay[[#This Row],[RETPEN-Bud]],"")</f>
        <v>#DIV/0!</v>
      </c>
      <c r="AC934" s="37" t="e">
        <f>IF(DaybyDay[[#This Row],[_Space]],DaybyDay[[#This Row],[Ret-Bud-RU]]/DaybyDay[[#This Row],[Serv-Bud-RU]],"")</f>
        <v>#DIV/0!</v>
      </c>
      <c r="AD934" s="37" t="e">
        <f>IF(DaybyDay[[#This Row],[_Space]],DaybyDay[[#This Row],[Ret-LY-RU]]/DaybyDay[[#This Row],[Serv-LY-RU]],"")</f>
        <v>#DIV/0!</v>
      </c>
      <c r="AE934" s="30">
        <f>WEEKDAY(DaybyDay[[#This Row],[LY-Date]])</f>
        <v>4</v>
      </c>
      <c r="AF934" s="38">
        <f>$E$2+_xlfn.DAYS(DaybyDay[[#This Row],[Date]],minDate)</f>
        <v>43299</v>
      </c>
      <c r="AG934" s="39" cm="1">
        <f t="array" ref="AG934">IFERROR(INDEX(DaybyDay[],DaybyDay[[#This Row],[FORM_MATCH_HELPER]],8),"")</f>
        <v>23</v>
      </c>
      <c r="AH934" s="39" cm="1">
        <f t="array" ref="AH934">IFERROR(INDEX(DaybyDay[],DaybyDay[[#This Row],[FORM_MATCH_HELPER]],10),"")</f>
        <v>4305.3999999999996</v>
      </c>
      <c r="AI934" s="39" cm="1">
        <f t="array" ref="AI934">IFERROR(INDEX(DaybyDay[],DaybyDay[[#This Row],[FORM_MATCH_HELPER]],12),"")</f>
        <v>1312.75</v>
      </c>
      <c r="AJ934" s="32">
        <f>IFERROR(DaybyDay[[#This Row],[Serv-LY-RU]]+DaybyDay[[#This Row],[Ret-LY-RU]],"")</f>
        <v>0</v>
      </c>
      <c r="AK9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4" s="77"/>
      <c r="AM934" s="40" t="str">
        <f>IF(DaybyDay[[#This Row],[Admin Hours]]&gt;0,DaybyDay[[#This Row],[Admin Hours]]*$AM$2+$AM$3,"")</f>
        <v/>
      </c>
      <c r="AN934" s="40">
        <f>SUMIFS(DaybyDay[Est-Admin-Payroll],DaybyDay[Date],"&gt;="&amp;$C$5,DaybyDay[RowYear],"&gt;="&amp;$C$4,DaybyDay[Date],"&lt;="&amp;DaybyDay[[#This Row],[Date]])</f>
        <v>0</v>
      </c>
      <c r="AO934" s="41" t="str">
        <f>IF(AND(DaybyDay[[#This Row],[_Space]],ISNUMBER(DaybyDay[[#This Row],[Admin Hours]])),DaybyDay[[#This Row],[Est-Admin-Payroll]]/(DaybyDay[[#This Row],[Service-Actuals]]+DaybyDay[[#This Row],[Retail-Actuals]]),"")</f>
        <v/>
      </c>
      <c r="AP934" s="41" t="e">
        <f>DaybyDay[[#This Row],[Estimated-Payroll-Rollup]]/DaybyDay[[#This Row],[Simple-Forecast]]</f>
        <v>#DIV/0!</v>
      </c>
      <c r="AQ9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4" s="77"/>
      <c r="AS934" s="40" t="str">
        <f>IF(DaybyDay[[#This Row],[Retail Hours]]&gt;0,DaybyDay[[#This Row],[Retail Hours]]*$AS$2,"")</f>
        <v/>
      </c>
      <c r="AT934" s="40">
        <f>SUMIFS(DaybyDay[Est-Retail-Payroll],DaybyDay[Date],"&gt;="&amp;$C$5,DaybyDay[RowYear],"&gt;="&amp;$C$4,DaybyDay[Date],"&lt;="&amp;DaybyDay[[#This Row],[Date]])</f>
        <v>0</v>
      </c>
      <c r="AU934" s="82" t="str">
        <f>IF(AND(DaybyDay[[#This Row],[_Space]],ISNUMBER(DaybyDay[[#This Row],[Retail Hours]])),DaybyDay[[#This Row],[Est-Retail-Payroll]]/(DaybyDay[[#This Row],[Retail-Actuals]]),"")</f>
        <v/>
      </c>
      <c r="AV934" s="82" t="e">
        <f>DaybyDay[[#This Row],[Est-Retail-PayrollRU]]/DaybyDay[[#This Row],[Simple-Forecast-Retail]]</f>
        <v>#DIV/0!</v>
      </c>
      <c r="AW934" s="8"/>
      <c r="AX934" s="49"/>
      <c r="AY934" s="48"/>
      <c r="AZ934" s="47"/>
      <c r="BA934" s="47"/>
      <c r="BB934" s="47"/>
      <c r="BC934" s="47"/>
      <c r="BD934" s="47"/>
    </row>
    <row r="935" spans="3:56" hidden="1" x14ac:dyDescent="0.25">
      <c r="C935" s="26" t="str">
        <f>Tools!$C$1</f>
        <v>Example</v>
      </c>
      <c r="D935" s="27" t="s">
        <v>74</v>
      </c>
      <c r="E935" s="28">
        <v>2019</v>
      </c>
      <c r="F935" s="28">
        <f>MATCH(DaybyDay[[#This Row],[RowMonth]],Table3[SummaryMonth],0)</f>
        <v>7</v>
      </c>
      <c r="G935" s="29">
        <f>MATCH(DaybyDay[[#This Row],[LY-Date]],DaybyDay[Date],0)</f>
        <v>565</v>
      </c>
      <c r="H935" s="30">
        <f>WEEKDAY(DaybyDay[[#This Row],[Date]])</f>
        <v>5</v>
      </c>
      <c r="I935" s="31">
        <v>43664</v>
      </c>
      <c r="J935" s="74">
        <v>19</v>
      </c>
      <c r="K935" s="32">
        <f>SUMIFS(BudgetSeasonality[365 Seasonality],BudgetSeasonality[MonthAdjustment],DaybyDay[[#This Row],[Date]])*SUMIFS(Budgets[Service-Budget],Budgets[BudgetMonth],DaybyDay[[#This Row],[RowMonth]],Budgets[BudgetYear],DaybyDay[[#This Row],[RowYear]])</f>
        <v>3848.5904451801844</v>
      </c>
      <c r="L935" s="75">
        <v>3563.85</v>
      </c>
      <c r="M935" s="32">
        <f>INDEX(BudgetSeasonality[365 Seasonality],MATCH(DaybyDay[[#This Row],[Date]],BudgetSeasonality[MonthAdjustment],0))*SUMIFS(Budgets[Retail-Budget],Budgets[BudgetMonth],DaybyDay[[#This Row],[RowMonth]],Budgets[BudgetYear],DaybyDay[[#This Row],[RowYear]])</f>
        <v>1024.8237824671817</v>
      </c>
      <c r="N935" s="75">
        <v>0</v>
      </c>
      <c r="O935" s="33">
        <f>SUMIFS(DaybyDay[Service-Budgets],DaybyDay[Date],"&gt;="&amp;$C$5,DaybyDay[RowYear],"&gt;="&amp;$C$4,DaybyDay[Date],"&lt;="&amp;DaybyDay[[#This Row],[Date]])</f>
        <v>0</v>
      </c>
      <c r="P935" s="33">
        <f>SUMIFS(DaybyDay[Retail-Budgets],DaybyDay[Date],"&gt;="&amp;$C$5,DaybyDay[RowYear],"&gt;="&amp;$C$4,DaybyDay[Date],"&lt;="&amp;DaybyDay[[#This Row],[Date]])</f>
        <v>0</v>
      </c>
      <c r="Q935" s="34">
        <f>SUMIFS(DaybyDay[Service-Actuals],DaybyDay[Date],"&gt;="&amp;$C$5,DaybyDay[RowYear],"&gt;="&amp;$C$4,DaybyDay[Date],"&lt;="&amp;DaybyDay[[#This Row],[Date]])</f>
        <v>0</v>
      </c>
      <c r="R935" s="34">
        <f>SUMIFS(DaybyDay[Retail-Actuals],DaybyDay[Date],"&gt;="&amp;$C$5,DaybyDay[RowYear],"&gt;="&amp;$C$4,DaybyDay[Date],"&lt;="&amp;DaybyDay[[#This Row],[Date]])</f>
        <v>0</v>
      </c>
      <c r="S935" s="35">
        <f>SUMIFS(DaybyDay[Service-LY],DaybyDay[Date],"&gt;="&amp;$C$5,DaybyDay[RowYear],"&gt;="&amp;$C$4,DaybyDay[Date],"&lt;="&amp;DaybyDay[[#This Row],[Date]])</f>
        <v>0</v>
      </c>
      <c r="T935" s="35">
        <f>SUMIFS(DaybyDay[Retail-LY],DaybyDay[Date],"&gt;="&amp;$C$5,DaybyDay[RowYear],"&gt;="&amp;$C$4,DaybyDay[Date],"&lt;="&amp;DaybyDay[[#This Row],[Date]])</f>
        <v>0</v>
      </c>
      <c r="U935" s="32">
        <f>DaybyDay[[#This Row],[Serv-Bud-RU]]+DaybyDay[[#This Row],[Ret-Bud-RU]]</f>
        <v>0</v>
      </c>
      <c r="V935" s="32">
        <f>DaybyDay[[#This Row],[Serv-Act-RU]]+DaybyDay[[#This Row],[Ret-Act-RU]]</f>
        <v>0</v>
      </c>
      <c r="W935" s="36">
        <f>IF(DaybyDay[[#This Row],[_Space]],IFERROR(
((DaybyDay[[#This Row],[Actual-Rollup]]-DaybyDay[[#This Row],[Budget-Rollup]])/DaybyDay[[#This Row],[Budget-Rollup]]),0),"")</f>
        <v>0</v>
      </c>
      <c r="X935" t="b">
        <f>NOT(AND(ISBLANK(DaybyDay[[#This Row],[Appts]]),ISBLANK(DaybyDay[[#This Row],[Service-Actuals]]),ISBLANK(DaybyDay[[#This Row],[Retail-Actuals]])))</f>
        <v>1</v>
      </c>
      <c r="Y935" s="36">
        <f>IF(DaybyDay[[#This Row],[_Space]],IFERROR(
((DaybyDay[[#This Row],[Actual-Rollup]]-DaybyDay[[#This Row],[LY-Rollup]])/DaybyDay[[#This Row],[LY-Rollup]]),0),"")</f>
        <v>0</v>
      </c>
      <c r="Z935"/>
      <c r="AA935" s="37" t="e">
        <f>IF(DaybyDay[[#This Row],[_Space]],DaybyDay[[#This Row],[Ret-Act-RU]]/DaybyDay[[#This Row],[Serv-Act-RU]],"")</f>
        <v>#DIV/0!</v>
      </c>
      <c r="AB935" s="50" t="e">
        <f>IF(DaybyDay[[#This Row],[_Space]],DaybyDay[[#This Row],[RETPEN-Act]]/DaybyDay[[#This Row],[RETPEN-Bud]],"")</f>
        <v>#DIV/0!</v>
      </c>
      <c r="AC935" s="37" t="e">
        <f>IF(DaybyDay[[#This Row],[_Space]],DaybyDay[[#This Row],[Ret-Bud-RU]]/DaybyDay[[#This Row],[Serv-Bud-RU]],"")</f>
        <v>#DIV/0!</v>
      </c>
      <c r="AD935" s="37" t="e">
        <f>IF(DaybyDay[[#This Row],[_Space]],DaybyDay[[#This Row],[Ret-LY-RU]]/DaybyDay[[#This Row],[Serv-LY-RU]],"")</f>
        <v>#DIV/0!</v>
      </c>
      <c r="AE935" s="30">
        <f>WEEKDAY(DaybyDay[[#This Row],[LY-Date]])</f>
        <v>5</v>
      </c>
      <c r="AF935" s="38">
        <f>$E$2+_xlfn.DAYS(DaybyDay[[#This Row],[Date]],minDate)</f>
        <v>43300</v>
      </c>
      <c r="AG935" s="39" cm="1">
        <f t="array" ref="AG935">IFERROR(INDEX(DaybyDay[],DaybyDay[[#This Row],[FORM_MATCH_HELPER]],8),"")</f>
        <v>20</v>
      </c>
      <c r="AH935" s="39" cm="1">
        <f t="array" ref="AH935">IFERROR(INDEX(DaybyDay[],DaybyDay[[#This Row],[FORM_MATCH_HELPER]],10),"")</f>
        <v>4304.8999999999996</v>
      </c>
      <c r="AI935" s="39" cm="1">
        <f t="array" ref="AI935">IFERROR(INDEX(DaybyDay[],DaybyDay[[#This Row],[FORM_MATCH_HELPER]],12),"")</f>
        <v>1053.82</v>
      </c>
      <c r="AJ935" s="32">
        <f>IFERROR(DaybyDay[[#This Row],[Serv-LY-RU]]+DaybyDay[[#This Row],[Ret-LY-RU]],"")</f>
        <v>0</v>
      </c>
      <c r="AK9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5" s="77"/>
      <c r="AM935" s="40" t="str">
        <f>IF(DaybyDay[[#This Row],[Admin Hours]]&gt;0,DaybyDay[[#This Row],[Admin Hours]]*$AM$2+$AM$3,"")</f>
        <v/>
      </c>
      <c r="AN935" s="40">
        <f>SUMIFS(DaybyDay[Est-Admin-Payroll],DaybyDay[Date],"&gt;="&amp;$C$5,DaybyDay[RowYear],"&gt;="&amp;$C$4,DaybyDay[Date],"&lt;="&amp;DaybyDay[[#This Row],[Date]])</f>
        <v>0</v>
      </c>
      <c r="AO935" s="41" t="str">
        <f>IF(AND(DaybyDay[[#This Row],[_Space]],ISNUMBER(DaybyDay[[#This Row],[Admin Hours]])),DaybyDay[[#This Row],[Est-Admin-Payroll]]/(DaybyDay[[#This Row],[Service-Actuals]]+DaybyDay[[#This Row],[Retail-Actuals]]),"")</f>
        <v/>
      </c>
      <c r="AP935" s="41" t="e">
        <f>DaybyDay[[#This Row],[Estimated-Payroll-Rollup]]/DaybyDay[[#This Row],[Simple-Forecast]]</f>
        <v>#DIV/0!</v>
      </c>
      <c r="AQ9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5" s="77"/>
      <c r="AS935" s="40" t="str">
        <f>IF(DaybyDay[[#This Row],[Retail Hours]]&gt;0,DaybyDay[[#This Row],[Retail Hours]]*$AS$2,"")</f>
        <v/>
      </c>
      <c r="AT935" s="40">
        <f>SUMIFS(DaybyDay[Est-Retail-Payroll],DaybyDay[Date],"&gt;="&amp;$C$5,DaybyDay[RowYear],"&gt;="&amp;$C$4,DaybyDay[Date],"&lt;="&amp;DaybyDay[[#This Row],[Date]])</f>
        <v>0</v>
      </c>
      <c r="AU935" s="82" t="str">
        <f>IF(AND(DaybyDay[[#This Row],[_Space]],ISNUMBER(DaybyDay[[#This Row],[Retail Hours]])),DaybyDay[[#This Row],[Est-Retail-Payroll]]/(DaybyDay[[#This Row],[Retail-Actuals]]),"")</f>
        <v/>
      </c>
      <c r="AV935" s="82" t="e">
        <f>DaybyDay[[#This Row],[Est-Retail-PayrollRU]]/DaybyDay[[#This Row],[Simple-Forecast-Retail]]</f>
        <v>#DIV/0!</v>
      </c>
      <c r="AW935" s="8"/>
      <c r="AX935" s="49"/>
      <c r="AY935" s="48"/>
      <c r="AZ935" s="47"/>
      <c r="BA935" s="47"/>
      <c r="BB935" s="47"/>
      <c r="BC935" s="47"/>
      <c r="BD935" s="47"/>
    </row>
    <row r="936" spans="3:56" hidden="1" x14ac:dyDescent="0.25">
      <c r="C936" s="26" t="str">
        <f>Tools!$C$1</f>
        <v>Example</v>
      </c>
      <c r="D936" s="27" t="s">
        <v>74</v>
      </c>
      <c r="E936" s="28">
        <v>2019</v>
      </c>
      <c r="F936" s="28">
        <f>MATCH(DaybyDay[[#This Row],[RowMonth]],Table3[SummaryMonth],0)</f>
        <v>7</v>
      </c>
      <c r="G936" s="29">
        <f>MATCH(DaybyDay[[#This Row],[LY-Date]],DaybyDay[Date],0)</f>
        <v>566</v>
      </c>
      <c r="H936" s="30">
        <f>WEEKDAY(DaybyDay[[#This Row],[Date]])</f>
        <v>6</v>
      </c>
      <c r="I936" s="31">
        <v>43665</v>
      </c>
      <c r="J936" s="74">
        <v>32</v>
      </c>
      <c r="K936" s="32">
        <f>SUMIFS(BudgetSeasonality[365 Seasonality],BudgetSeasonality[MonthAdjustment],DaybyDay[[#This Row],[Date]])*SUMIFS(Budgets[Service-Budget],Budgets[BudgetMonth],DaybyDay[[#This Row],[RowMonth]],Budgets[BudgetYear],DaybyDay[[#This Row],[RowYear]])</f>
        <v>4998.8648287197184</v>
      </c>
      <c r="L936" s="75">
        <v>5743.5400000000009</v>
      </c>
      <c r="M936" s="32">
        <f>INDEX(BudgetSeasonality[365 Seasonality],MATCH(DaybyDay[[#This Row],[Date]],BudgetSeasonality[MonthAdjustment],0))*SUMIFS(Budgets[Retail-Budget],Budgets[BudgetMonth],DaybyDay[[#This Row],[RowMonth]],Budgets[BudgetYear],DaybyDay[[#This Row],[RowYear]])</f>
        <v>1331.1251573225929</v>
      </c>
      <c r="N936" s="75">
        <v>1505.35</v>
      </c>
      <c r="O936" s="33">
        <f>SUMIFS(DaybyDay[Service-Budgets],DaybyDay[Date],"&gt;="&amp;$C$5,DaybyDay[RowYear],"&gt;="&amp;$C$4,DaybyDay[Date],"&lt;="&amp;DaybyDay[[#This Row],[Date]])</f>
        <v>0</v>
      </c>
      <c r="P936" s="33">
        <f>SUMIFS(DaybyDay[Retail-Budgets],DaybyDay[Date],"&gt;="&amp;$C$5,DaybyDay[RowYear],"&gt;="&amp;$C$4,DaybyDay[Date],"&lt;="&amp;DaybyDay[[#This Row],[Date]])</f>
        <v>0</v>
      </c>
      <c r="Q936" s="34">
        <f>SUMIFS(DaybyDay[Service-Actuals],DaybyDay[Date],"&gt;="&amp;$C$5,DaybyDay[RowYear],"&gt;="&amp;$C$4,DaybyDay[Date],"&lt;="&amp;DaybyDay[[#This Row],[Date]])</f>
        <v>0</v>
      </c>
      <c r="R936" s="34">
        <f>SUMIFS(DaybyDay[Retail-Actuals],DaybyDay[Date],"&gt;="&amp;$C$5,DaybyDay[RowYear],"&gt;="&amp;$C$4,DaybyDay[Date],"&lt;="&amp;DaybyDay[[#This Row],[Date]])</f>
        <v>0</v>
      </c>
      <c r="S936" s="35">
        <f>SUMIFS(DaybyDay[Service-LY],DaybyDay[Date],"&gt;="&amp;$C$5,DaybyDay[RowYear],"&gt;="&amp;$C$4,DaybyDay[Date],"&lt;="&amp;DaybyDay[[#This Row],[Date]])</f>
        <v>0</v>
      </c>
      <c r="T936" s="35">
        <f>SUMIFS(DaybyDay[Retail-LY],DaybyDay[Date],"&gt;="&amp;$C$5,DaybyDay[RowYear],"&gt;="&amp;$C$4,DaybyDay[Date],"&lt;="&amp;DaybyDay[[#This Row],[Date]])</f>
        <v>0</v>
      </c>
      <c r="U936" s="32">
        <f>DaybyDay[[#This Row],[Serv-Bud-RU]]+DaybyDay[[#This Row],[Ret-Bud-RU]]</f>
        <v>0</v>
      </c>
      <c r="V936" s="32">
        <f>DaybyDay[[#This Row],[Serv-Act-RU]]+DaybyDay[[#This Row],[Ret-Act-RU]]</f>
        <v>0</v>
      </c>
      <c r="W936" s="36">
        <f>IF(DaybyDay[[#This Row],[_Space]],IFERROR(
((DaybyDay[[#This Row],[Actual-Rollup]]-DaybyDay[[#This Row],[Budget-Rollup]])/DaybyDay[[#This Row],[Budget-Rollup]]),0),"")</f>
        <v>0</v>
      </c>
      <c r="X936" t="b">
        <f>NOT(AND(ISBLANK(DaybyDay[[#This Row],[Appts]]),ISBLANK(DaybyDay[[#This Row],[Service-Actuals]]),ISBLANK(DaybyDay[[#This Row],[Retail-Actuals]])))</f>
        <v>1</v>
      </c>
      <c r="Y936" s="36">
        <f>IF(DaybyDay[[#This Row],[_Space]],IFERROR(
((DaybyDay[[#This Row],[Actual-Rollup]]-DaybyDay[[#This Row],[LY-Rollup]])/DaybyDay[[#This Row],[LY-Rollup]]),0),"")</f>
        <v>0</v>
      </c>
      <c r="Z936"/>
      <c r="AA936" s="37" t="e">
        <f>IF(DaybyDay[[#This Row],[_Space]],DaybyDay[[#This Row],[Ret-Act-RU]]/DaybyDay[[#This Row],[Serv-Act-RU]],"")</f>
        <v>#DIV/0!</v>
      </c>
      <c r="AB936" s="50" t="e">
        <f>IF(DaybyDay[[#This Row],[_Space]],DaybyDay[[#This Row],[RETPEN-Act]]/DaybyDay[[#This Row],[RETPEN-Bud]],"")</f>
        <v>#DIV/0!</v>
      </c>
      <c r="AC936" s="37" t="e">
        <f>IF(DaybyDay[[#This Row],[_Space]],DaybyDay[[#This Row],[Ret-Bud-RU]]/DaybyDay[[#This Row],[Serv-Bud-RU]],"")</f>
        <v>#DIV/0!</v>
      </c>
      <c r="AD936" s="37" t="e">
        <f>IF(DaybyDay[[#This Row],[_Space]],DaybyDay[[#This Row],[Ret-LY-RU]]/DaybyDay[[#This Row],[Serv-LY-RU]],"")</f>
        <v>#DIV/0!</v>
      </c>
      <c r="AE936" s="30">
        <f>WEEKDAY(DaybyDay[[#This Row],[LY-Date]])</f>
        <v>6</v>
      </c>
      <c r="AF936" s="38">
        <f>$E$2+_xlfn.DAYS(DaybyDay[[#This Row],[Date]],minDate)</f>
        <v>43301</v>
      </c>
      <c r="AG936" s="39" cm="1">
        <f t="array" ref="AG936">IFERROR(INDEX(DaybyDay[],DaybyDay[[#This Row],[FORM_MATCH_HELPER]],8),"")</f>
        <v>7</v>
      </c>
      <c r="AH936" s="39" cm="1">
        <f t="array" ref="AH936">IFERROR(INDEX(DaybyDay[],DaybyDay[[#This Row],[FORM_MATCH_HELPER]],10),"")</f>
        <v>4304.8999999999996</v>
      </c>
      <c r="AI936" s="39" cm="1">
        <f t="array" ref="AI936">IFERROR(INDEX(DaybyDay[],DaybyDay[[#This Row],[FORM_MATCH_HELPER]],12),"")</f>
        <v>1053.82</v>
      </c>
      <c r="AJ936" s="32">
        <f>IFERROR(DaybyDay[[#This Row],[Serv-LY-RU]]+DaybyDay[[#This Row],[Ret-LY-RU]],"")</f>
        <v>0</v>
      </c>
      <c r="AK9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6" s="77"/>
      <c r="AM936" s="40" t="str">
        <f>IF(DaybyDay[[#This Row],[Admin Hours]]&gt;0,DaybyDay[[#This Row],[Admin Hours]]*$AM$2+$AM$3,"")</f>
        <v/>
      </c>
      <c r="AN936" s="40">
        <f>SUMIFS(DaybyDay[Est-Admin-Payroll],DaybyDay[Date],"&gt;="&amp;$C$5,DaybyDay[RowYear],"&gt;="&amp;$C$4,DaybyDay[Date],"&lt;="&amp;DaybyDay[[#This Row],[Date]])</f>
        <v>0</v>
      </c>
      <c r="AO936" s="41" t="str">
        <f>IF(AND(DaybyDay[[#This Row],[_Space]],ISNUMBER(DaybyDay[[#This Row],[Admin Hours]])),DaybyDay[[#This Row],[Est-Admin-Payroll]]/(DaybyDay[[#This Row],[Service-Actuals]]+DaybyDay[[#This Row],[Retail-Actuals]]),"")</f>
        <v/>
      </c>
      <c r="AP936" s="41" t="e">
        <f>DaybyDay[[#This Row],[Estimated-Payroll-Rollup]]/DaybyDay[[#This Row],[Simple-Forecast]]</f>
        <v>#DIV/0!</v>
      </c>
      <c r="AQ9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6" s="77"/>
      <c r="AS936" s="40" t="str">
        <f>IF(DaybyDay[[#This Row],[Retail Hours]]&gt;0,DaybyDay[[#This Row],[Retail Hours]]*$AS$2,"")</f>
        <v/>
      </c>
      <c r="AT936" s="40">
        <f>SUMIFS(DaybyDay[Est-Retail-Payroll],DaybyDay[Date],"&gt;="&amp;$C$5,DaybyDay[RowYear],"&gt;="&amp;$C$4,DaybyDay[Date],"&lt;="&amp;DaybyDay[[#This Row],[Date]])</f>
        <v>0</v>
      </c>
      <c r="AU936" s="82" t="str">
        <f>IF(AND(DaybyDay[[#This Row],[_Space]],ISNUMBER(DaybyDay[[#This Row],[Retail Hours]])),DaybyDay[[#This Row],[Est-Retail-Payroll]]/(DaybyDay[[#This Row],[Retail-Actuals]]),"")</f>
        <v/>
      </c>
      <c r="AV936" s="82" t="e">
        <f>DaybyDay[[#This Row],[Est-Retail-PayrollRU]]/DaybyDay[[#This Row],[Simple-Forecast-Retail]]</f>
        <v>#DIV/0!</v>
      </c>
      <c r="AW936" s="8"/>
      <c r="AX936" s="49"/>
      <c r="AY936" s="48"/>
      <c r="AZ936" s="47"/>
      <c r="BA936" s="47"/>
      <c r="BB936" s="47"/>
      <c r="BC936" s="47"/>
      <c r="BD936" s="47"/>
    </row>
    <row r="937" spans="3:56" hidden="1" x14ac:dyDescent="0.25">
      <c r="C937" s="26" t="str">
        <f>Tools!$C$1</f>
        <v>Example</v>
      </c>
      <c r="D937" s="27" t="s">
        <v>74</v>
      </c>
      <c r="E937" s="28">
        <v>2019</v>
      </c>
      <c r="F937" s="28">
        <f>MATCH(DaybyDay[[#This Row],[RowMonth]],Table3[SummaryMonth],0)</f>
        <v>7</v>
      </c>
      <c r="G937" s="29">
        <f>MATCH(DaybyDay[[#This Row],[LY-Date]],DaybyDay[Date],0)</f>
        <v>567</v>
      </c>
      <c r="H937" s="30">
        <f>WEEKDAY(DaybyDay[[#This Row],[Date]])</f>
        <v>7</v>
      </c>
      <c r="I937" s="31">
        <v>43666</v>
      </c>
      <c r="J937" s="74">
        <v>32</v>
      </c>
      <c r="K937" s="32">
        <f>SUMIFS(BudgetSeasonality[365 Seasonality],BudgetSeasonality[MonthAdjustment],DaybyDay[[#This Row],[Date]])*SUMIFS(Budgets[Service-Budget],Budgets[BudgetMonth],DaybyDay[[#This Row],[RowMonth]],Budgets[BudgetYear],DaybyDay[[#This Row],[RowYear]])</f>
        <v>7362.4189992402407</v>
      </c>
      <c r="L937" s="75">
        <v>6915.59</v>
      </c>
      <c r="M937" s="32">
        <f>INDEX(BudgetSeasonality[365 Seasonality],MATCH(DaybyDay[[#This Row],[Date]],BudgetSeasonality[MonthAdjustment],0))*SUMIFS(Budgets[Retail-Budget],Budgets[BudgetMonth],DaybyDay[[#This Row],[RowMonth]],Budgets[BudgetYear],DaybyDay[[#This Row],[RowYear]])</f>
        <v>1960.5053315971566</v>
      </c>
      <c r="N937" s="75">
        <v>863</v>
      </c>
      <c r="O937" s="33">
        <f>SUMIFS(DaybyDay[Service-Budgets],DaybyDay[Date],"&gt;="&amp;$C$5,DaybyDay[RowYear],"&gt;="&amp;$C$4,DaybyDay[Date],"&lt;="&amp;DaybyDay[[#This Row],[Date]])</f>
        <v>0</v>
      </c>
      <c r="P937" s="33">
        <f>SUMIFS(DaybyDay[Retail-Budgets],DaybyDay[Date],"&gt;="&amp;$C$5,DaybyDay[RowYear],"&gt;="&amp;$C$4,DaybyDay[Date],"&lt;="&amp;DaybyDay[[#This Row],[Date]])</f>
        <v>0</v>
      </c>
      <c r="Q937" s="34">
        <f>SUMIFS(DaybyDay[Service-Actuals],DaybyDay[Date],"&gt;="&amp;$C$5,DaybyDay[RowYear],"&gt;="&amp;$C$4,DaybyDay[Date],"&lt;="&amp;DaybyDay[[#This Row],[Date]])</f>
        <v>0</v>
      </c>
      <c r="R937" s="34">
        <f>SUMIFS(DaybyDay[Retail-Actuals],DaybyDay[Date],"&gt;="&amp;$C$5,DaybyDay[RowYear],"&gt;="&amp;$C$4,DaybyDay[Date],"&lt;="&amp;DaybyDay[[#This Row],[Date]])</f>
        <v>0</v>
      </c>
      <c r="S937" s="35">
        <f>SUMIFS(DaybyDay[Service-LY],DaybyDay[Date],"&gt;="&amp;$C$5,DaybyDay[RowYear],"&gt;="&amp;$C$4,DaybyDay[Date],"&lt;="&amp;DaybyDay[[#This Row],[Date]])</f>
        <v>0</v>
      </c>
      <c r="T937" s="35">
        <f>SUMIFS(DaybyDay[Retail-LY],DaybyDay[Date],"&gt;="&amp;$C$5,DaybyDay[RowYear],"&gt;="&amp;$C$4,DaybyDay[Date],"&lt;="&amp;DaybyDay[[#This Row],[Date]])</f>
        <v>0</v>
      </c>
      <c r="U937" s="32">
        <f>DaybyDay[[#This Row],[Serv-Bud-RU]]+DaybyDay[[#This Row],[Ret-Bud-RU]]</f>
        <v>0</v>
      </c>
      <c r="V937" s="32">
        <f>DaybyDay[[#This Row],[Serv-Act-RU]]+DaybyDay[[#This Row],[Ret-Act-RU]]</f>
        <v>0</v>
      </c>
      <c r="W937" s="36">
        <f>IF(DaybyDay[[#This Row],[_Space]],IFERROR(
((DaybyDay[[#This Row],[Actual-Rollup]]-DaybyDay[[#This Row],[Budget-Rollup]])/DaybyDay[[#This Row],[Budget-Rollup]]),0),"")</f>
        <v>0</v>
      </c>
      <c r="X937" t="b">
        <f>NOT(AND(ISBLANK(DaybyDay[[#This Row],[Appts]]),ISBLANK(DaybyDay[[#This Row],[Service-Actuals]]),ISBLANK(DaybyDay[[#This Row],[Retail-Actuals]])))</f>
        <v>1</v>
      </c>
      <c r="Y937" s="36">
        <f>IF(DaybyDay[[#This Row],[_Space]],IFERROR(
((DaybyDay[[#This Row],[Actual-Rollup]]-DaybyDay[[#This Row],[LY-Rollup]])/DaybyDay[[#This Row],[LY-Rollup]]),0),"")</f>
        <v>0</v>
      </c>
      <c r="Z937"/>
      <c r="AA937" s="37" t="e">
        <f>IF(DaybyDay[[#This Row],[_Space]],DaybyDay[[#This Row],[Ret-Act-RU]]/DaybyDay[[#This Row],[Serv-Act-RU]],"")</f>
        <v>#DIV/0!</v>
      </c>
      <c r="AB937" s="50" t="e">
        <f>IF(DaybyDay[[#This Row],[_Space]],DaybyDay[[#This Row],[RETPEN-Act]]/DaybyDay[[#This Row],[RETPEN-Bud]],"")</f>
        <v>#DIV/0!</v>
      </c>
      <c r="AC937" s="37" t="e">
        <f>IF(DaybyDay[[#This Row],[_Space]],DaybyDay[[#This Row],[Ret-Bud-RU]]/DaybyDay[[#This Row],[Serv-Bud-RU]],"")</f>
        <v>#DIV/0!</v>
      </c>
      <c r="AD937" s="37" t="e">
        <f>IF(DaybyDay[[#This Row],[_Space]],DaybyDay[[#This Row],[Ret-LY-RU]]/DaybyDay[[#This Row],[Serv-LY-RU]],"")</f>
        <v>#DIV/0!</v>
      </c>
      <c r="AE937" s="30">
        <f>WEEKDAY(DaybyDay[[#This Row],[LY-Date]])</f>
        <v>7</v>
      </c>
      <c r="AF937" s="38">
        <f>$E$2+_xlfn.DAYS(DaybyDay[[#This Row],[Date]],minDate)</f>
        <v>43302</v>
      </c>
      <c r="AG937" s="39" cm="1">
        <f t="array" ref="AG937">IFERROR(INDEX(DaybyDay[],DaybyDay[[#This Row],[FORM_MATCH_HELPER]],8),"")</f>
        <v>22</v>
      </c>
      <c r="AH937" s="39" cm="1">
        <f t="array" ref="AH937">IFERROR(INDEX(DaybyDay[],DaybyDay[[#This Row],[FORM_MATCH_HELPER]],10),"")</f>
        <v>5739.5</v>
      </c>
      <c r="AI937" s="39" cm="1">
        <f t="array" ref="AI937">IFERROR(INDEX(DaybyDay[],DaybyDay[[#This Row],[FORM_MATCH_HELPER]],12),"")</f>
        <v>1057.6300000000001</v>
      </c>
      <c r="AJ937" s="32">
        <f>IFERROR(DaybyDay[[#This Row],[Serv-LY-RU]]+DaybyDay[[#This Row],[Ret-LY-RU]],"")</f>
        <v>0</v>
      </c>
      <c r="AK9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7" s="77"/>
      <c r="AM937" s="40" t="str">
        <f>IF(DaybyDay[[#This Row],[Admin Hours]]&gt;0,DaybyDay[[#This Row],[Admin Hours]]*$AM$2+$AM$3,"")</f>
        <v/>
      </c>
      <c r="AN937" s="40">
        <f>SUMIFS(DaybyDay[Est-Admin-Payroll],DaybyDay[Date],"&gt;="&amp;$C$5,DaybyDay[RowYear],"&gt;="&amp;$C$4,DaybyDay[Date],"&lt;="&amp;DaybyDay[[#This Row],[Date]])</f>
        <v>0</v>
      </c>
      <c r="AO937" s="41" t="str">
        <f>IF(AND(DaybyDay[[#This Row],[_Space]],ISNUMBER(DaybyDay[[#This Row],[Admin Hours]])),DaybyDay[[#This Row],[Est-Admin-Payroll]]/(DaybyDay[[#This Row],[Service-Actuals]]+DaybyDay[[#This Row],[Retail-Actuals]]),"")</f>
        <v/>
      </c>
      <c r="AP937" s="41" t="e">
        <f>DaybyDay[[#This Row],[Estimated-Payroll-Rollup]]/DaybyDay[[#This Row],[Simple-Forecast]]</f>
        <v>#DIV/0!</v>
      </c>
      <c r="AQ9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7" s="77"/>
      <c r="AS937" s="40" t="str">
        <f>IF(DaybyDay[[#This Row],[Retail Hours]]&gt;0,DaybyDay[[#This Row],[Retail Hours]]*$AS$2,"")</f>
        <v/>
      </c>
      <c r="AT937" s="40">
        <f>SUMIFS(DaybyDay[Est-Retail-Payroll],DaybyDay[Date],"&gt;="&amp;$C$5,DaybyDay[RowYear],"&gt;="&amp;$C$4,DaybyDay[Date],"&lt;="&amp;DaybyDay[[#This Row],[Date]])</f>
        <v>0</v>
      </c>
      <c r="AU937" s="82" t="str">
        <f>IF(AND(DaybyDay[[#This Row],[_Space]],ISNUMBER(DaybyDay[[#This Row],[Retail Hours]])),DaybyDay[[#This Row],[Est-Retail-Payroll]]/(DaybyDay[[#This Row],[Retail-Actuals]]),"")</f>
        <v/>
      </c>
      <c r="AV937" s="82" t="e">
        <f>DaybyDay[[#This Row],[Est-Retail-PayrollRU]]/DaybyDay[[#This Row],[Simple-Forecast-Retail]]</f>
        <v>#DIV/0!</v>
      </c>
      <c r="AW937" s="8"/>
      <c r="AX937" s="49"/>
      <c r="AY937" s="48"/>
      <c r="AZ937" s="47"/>
      <c r="BA937" s="47"/>
      <c r="BB937" s="47"/>
      <c r="BC937" s="47"/>
      <c r="BD937" s="47"/>
    </row>
    <row r="938" spans="3:56" hidden="1" x14ac:dyDescent="0.25">
      <c r="C938" s="26" t="str">
        <f>Tools!$C$1</f>
        <v>Example</v>
      </c>
      <c r="D938" s="27" t="s">
        <v>74</v>
      </c>
      <c r="E938" s="28">
        <v>2019</v>
      </c>
      <c r="F938" s="28">
        <f>MATCH(DaybyDay[[#This Row],[RowMonth]],Table3[SummaryMonth],0)</f>
        <v>7</v>
      </c>
      <c r="G938" s="29">
        <f>MATCH(DaybyDay[[#This Row],[LY-Date]],DaybyDay[Date],0)</f>
        <v>568</v>
      </c>
      <c r="H938" s="30">
        <f>WEEKDAY(DaybyDay[[#This Row],[Date]])</f>
        <v>1</v>
      </c>
      <c r="I938" s="31">
        <v>43667</v>
      </c>
      <c r="J938" s="74">
        <v>22</v>
      </c>
      <c r="K938" s="32">
        <f>SUMIFS(BudgetSeasonality[365 Seasonality],BudgetSeasonality[MonthAdjustment],DaybyDay[[#This Row],[Date]])*SUMIFS(Budgets[Service-Budget],Budgets[BudgetMonth],DaybyDay[[#This Row],[RowMonth]],Budgets[BudgetYear],DaybyDay[[#This Row],[RowYear]])</f>
        <v>5714.8157976730745</v>
      </c>
      <c r="L938" s="75">
        <v>4789.2</v>
      </c>
      <c r="M938" s="32">
        <f>INDEX(BudgetSeasonality[365 Seasonality],MATCH(DaybyDay[[#This Row],[Date]],BudgetSeasonality[MonthAdjustment],0))*SUMIFS(Budgets[Retail-Budget],Budgets[BudgetMonth],DaybyDay[[#This Row],[RowMonth]],Budgets[BudgetYear],DaybyDay[[#This Row],[RowYear]])</f>
        <v>1521.772510039146</v>
      </c>
      <c r="N938" s="75">
        <v>506.5</v>
      </c>
      <c r="O938" s="33">
        <f>SUMIFS(DaybyDay[Service-Budgets],DaybyDay[Date],"&gt;="&amp;$C$5,DaybyDay[RowYear],"&gt;="&amp;$C$4,DaybyDay[Date],"&lt;="&amp;DaybyDay[[#This Row],[Date]])</f>
        <v>0</v>
      </c>
      <c r="P938" s="33">
        <f>SUMIFS(DaybyDay[Retail-Budgets],DaybyDay[Date],"&gt;="&amp;$C$5,DaybyDay[RowYear],"&gt;="&amp;$C$4,DaybyDay[Date],"&lt;="&amp;DaybyDay[[#This Row],[Date]])</f>
        <v>0</v>
      </c>
      <c r="Q938" s="34">
        <f>SUMIFS(DaybyDay[Service-Actuals],DaybyDay[Date],"&gt;="&amp;$C$5,DaybyDay[RowYear],"&gt;="&amp;$C$4,DaybyDay[Date],"&lt;="&amp;DaybyDay[[#This Row],[Date]])</f>
        <v>0</v>
      </c>
      <c r="R938" s="34">
        <f>SUMIFS(DaybyDay[Retail-Actuals],DaybyDay[Date],"&gt;="&amp;$C$5,DaybyDay[RowYear],"&gt;="&amp;$C$4,DaybyDay[Date],"&lt;="&amp;DaybyDay[[#This Row],[Date]])</f>
        <v>0</v>
      </c>
      <c r="S938" s="35">
        <f>SUMIFS(DaybyDay[Service-LY],DaybyDay[Date],"&gt;="&amp;$C$5,DaybyDay[RowYear],"&gt;="&amp;$C$4,DaybyDay[Date],"&lt;="&amp;DaybyDay[[#This Row],[Date]])</f>
        <v>0</v>
      </c>
      <c r="T938" s="35">
        <f>SUMIFS(DaybyDay[Retail-LY],DaybyDay[Date],"&gt;="&amp;$C$5,DaybyDay[RowYear],"&gt;="&amp;$C$4,DaybyDay[Date],"&lt;="&amp;DaybyDay[[#This Row],[Date]])</f>
        <v>0</v>
      </c>
      <c r="U938" s="32">
        <f>DaybyDay[[#This Row],[Serv-Bud-RU]]+DaybyDay[[#This Row],[Ret-Bud-RU]]</f>
        <v>0</v>
      </c>
      <c r="V938" s="32">
        <f>DaybyDay[[#This Row],[Serv-Act-RU]]+DaybyDay[[#This Row],[Ret-Act-RU]]</f>
        <v>0</v>
      </c>
      <c r="W938" s="36">
        <f>IF(DaybyDay[[#This Row],[_Space]],IFERROR(
((DaybyDay[[#This Row],[Actual-Rollup]]-DaybyDay[[#This Row],[Budget-Rollup]])/DaybyDay[[#This Row],[Budget-Rollup]]),0),"")</f>
        <v>0</v>
      </c>
      <c r="X938" t="b">
        <f>NOT(AND(ISBLANK(DaybyDay[[#This Row],[Appts]]),ISBLANK(DaybyDay[[#This Row],[Service-Actuals]]),ISBLANK(DaybyDay[[#This Row],[Retail-Actuals]])))</f>
        <v>1</v>
      </c>
      <c r="Y938" s="36">
        <f>IF(DaybyDay[[#This Row],[_Space]],IFERROR(
((DaybyDay[[#This Row],[Actual-Rollup]]-DaybyDay[[#This Row],[LY-Rollup]])/DaybyDay[[#This Row],[LY-Rollup]]),0),"")</f>
        <v>0</v>
      </c>
      <c r="Z938"/>
      <c r="AA938" s="37" t="e">
        <f>IF(DaybyDay[[#This Row],[_Space]],DaybyDay[[#This Row],[Ret-Act-RU]]/DaybyDay[[#This Row],[Serv-Act-RU]],"")</f>
        <v>#DIV/0!</v>
      </c>
      <c r="AB938" s="50" t="e">
        <f>IF(DaybyDay[[#This Row],[_Space]],DaybyDay[[#This Row],[RETPEN-Act]]/DaybyDay[[#This Row],[RETPEN-Bud]],"")</f>
        <v>#DIV/0!</v>
      </c>
      <c r="AC938" s="37" t="e">
        <f>IF(DaybyDay[[#This Row],[_Space]],DaybyDay[[#This Row],[Ret-Bud-RU]]/DaybyDay[[#This Row],[Serv-Bud-RU]],"")</f>
        <v>#DIV/0!</v>
      </c>
      <c r="AD938" s="37" t="e">
        <f>IF(DaybyDay[[#This Row],[_Space]],DaybyDay[[#This Row],[Ret-LY-RU]]/DaybyDay[[#This Row],[Serv-LY-RU]],"")</f>
        <v>#DIV/0!</v>
      </c>
      <c r="AE938" s="30">
        <f>WEEKDAY(DaybyDay[[#This Row],[LY-Date]])</f>
        <v>1</v>
      </c>
      <c r="AF938" s="38">
        <f>$E$2+_xlfn.DAYS(DaybyDay[[#This Row],[Date]],minDate)</f>
        <v>43303</v>
      </c>
      <c r="AG938" s="39" cm="1">
        <f t="array" ref="AG938">IFERROR(INDEX(DaybyDay[],DaybyDay[[#This Row],[FORM_MATCH_HELPER]],8),"")</f>
        <v>31</v>
      </c>
      <c r="AH938" s="39" cm="1">
        <f t="array" ref="AH938">IFERROR(INDEX(DaybyDay[],DaybyDay[[#This Row],[FORM_MATCH_HELPER]],10),"")</f>
        <v>6020.4</v>
      </c>
      <c r="AI938" s="39" cm="1">
        <f t="array" ref="AI938">IFERROR(INDEX(DaybyDay[],DaybyDay[[#This Row],[FORM_MATCH_HELPER]],12),"")</f>
        <v>519.97</v>
      </c>
      <c r="AJ938" s="32">
        <f>IFERROR(DaybyDay[[#This Row],[Serv-LY-RU]]+DaybyDay[[#This Row],[Ret-LY-RU]],"")</f>
        <v>0</v>
      </c>
      <c r="AK9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8" s="77"/>
      <c r="AM938" s="40" t="str">
        <f>IF(DaybyDay[[#This Row],[Admin Hours]]&gt;0,DaybyDay[[#This Row],[Admin Hours]]*$AM$2+$AM$3,"")</f>
        <v/>
      </c>
      <c r="AN938" s="40">
        <f>SUMIFS(DaybyDay[Est-Admin-Payroll],DaybyDay[Date],"&gt;="&amp;$C$5,DaybyDay[RowYear],"&gt;="&amp;$C$4,DaybyDay[Date],"&lt;="&amp;DaybyDay[[#This Row],[Date]])</f>
        <v>0</v>
      </c>
      <c r="AO938" s="41" t="str">
        <f>IF(AND(DaybyDay[[#This Row],[_Space]],ISNUMBER(DaybyDay[[#This Row],[Admin Hours]])),DaybyDay[[#This Row],[Est-Admin-Payroll]]/(DaybyDay[[#This Row],[Service-Actuals]]+DaybyDay[[#This Row],[Retail-Actuals]]),"")</f>
        <v/>
      </c>
      <c r="AP938" s="41" t="e">
        <f>DaybyDay[[#This Row],[Estimated-Payroll-Rollup]]/DaybyDay[[#This Row],[Simple-Forecast]]</f>
        <v>#DIV/0!</v>
      </c>
      <c r="AQ9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8" s="77"/>
      <c r="AS938" s="40" t="str">
        <f>IF(DaybyDay[[#This Row],[Retail Hours]]&gt;0,DaybyDay[[#This Row],[Retail Hours]]*$AS$2,"")</f>
        <v/>
      </c>
      <c r="AT938" s="40">
        <f>SUMIFS(DaybyDay[Est-Retail-Payroll],DaybyDay[Date],"&gt;="&amp;$C$5,DaybyDay[RowYear],"&gt;="&amp;$C$4,DaybyDay[Date],"&lt;="&amp;DaybyDay[[#This Row],[Date]])</f>
        <v>0</v>
      </c>
      <c r="AU938" s="82" t="str">
        <f>IF(AND(DaybyDay[[#This Row],[_Space]],ISNUMBER(DaybyDay[[#This Row],[Retail Hours]])),DaybyDay[[#This Row],[Est-Retail-Payroll]]/(DaybyDay[[#This Row],[Retail-Actuals]]),"")</f>
        <v/>
      </c>
      <c r="AV938" s="82" t="e">
        <f>DaybyDay[[#This Row],[Est-Retail-PayrollRU]]/DaybyDay[[#This Row],[Simple-Forecast-Retail]]</f>
        <v>#DIV/0!</v>
      </c>
      <c r="AW938" s="8"/>
      <c r="AX938" s="49"/>
      <c r="AY938" s="48"/>
      <c r="AZ938" s="47"/>
      <c r="BA938" s="47"/>
      <c r="BB938" s="47"/>
      <c r="BC938" s="47"/>
      <c r="BD938" s="47"/>
    </row>
    <row r="939" spans="3:56" hidden="1" x14ac:dyDescent="0.25">
      <c r="C939" s="26" t="str">
        <f>Tools!$C$1</f>
        <v>Example</v>
      </c>
      <c r="D939" s="27" t="s">
        <v>74</v>
      </c>
      <c r="E939" s="28">
        <v>2019</v>
      </c>
      <c r="F939" s="28">
        <f>MATCH(DaybyDay[[#This Row],[RowMonth]],Table3[SummaryMonth],0)</f>
        <v>7</v>
      </c>
      <c r="G939" s="29">
        <f>MATCH(DaybyDay[[#This Row],[LY-Date]],DaybyDay[Date],0)</f>
        <v>569</v>
      </c>
      <c r="H939" s="30">
        <f>WEEKDAY(DaybyDay[[#This Row],[Date]])</f>
        <v>2</v>
      </c>
      <c r="I939" s="31">
        <v>43668</v>
      </c>
      <c r="J939" s="74">
        <v>18</v>
      </c>
      <c r="K939" s="32">
        <f>SUMIFS(BudgetSeasonality[365 Seasonality],BudgetSeasonality[MonthAdjustment],DaybyDay[[#This Row],[Date]])*SUMIFS(Budgets[Service-Budget],Budgets[BudgetMonth],DaybyDay[[#This Row],[RowMonth]],Budgets[BudgetYear],DaybyDay[[#This Row],[RowYear]])</f>
        <v>3280.8760123705342</v>
      </c>
      <c r="L939" s="75">
        <v>3477</v>
      </c>
      <c r="M939" s="32">
        <f>INDEX(BudgetSeasonality[365 Seasonality],MATCH(DaybyDay[[#This Row],[Date]],BudgetSeasonality[MonthAdjustment],0))*SUMIFS(Budgets[Retail-Budget],Budgets[BudgetMonth],DaybyDay[[#This Row],[RowMonth]],Budgets[BudgetYear],DaybyDay[[#This Row],[RowYear]])</f>
        <v>873.64966802696415</v>
      </c>
      <c r="N939" s="75">
        <v>546.5</v>
      </c>
      <c r="O939" s="33">
        <f>SUMIFS(DaybyDay[Service-Budgets],DaybyDay[Date],"&gt;="&amp;$C$5,DaybyDay[RowYear],"&gt;="&amp;$C$4,DaybyDay[Date],"&lt;="&amp;DaybyDay[[#This Row],[Date]])</f>
        <v>0</v>
      </c>
      <c r="P939" s="33">
        <f>SUMIFS(DaybyDay[Retail-Budgets],DaybyDay[Date],"&gt;="&amp;$C$5,DaybyDay[RowYear],"&gt;="&amp;$C$4,DaybyDay[Date],"&lt;="&amp;DaybyDay[[#This Row],[Date]])</f>
        <v>0</v>
      </c>
      <c r="Q939" s="34">
        <f>SUMIFS(DaybyDay[Service-Actuals],DaybyDay[Date],"&gt;="&amp;$C$5,DaybyDay[RowYear],"&gt;="&amp;$C$4,DaybyDay[Date],"&lt;="&amp;DaybyDay[[#This Row],[Date]])</f>
        <v>0</v>
      </c>
      <c r="R939" s="34">
        <f>SUMIFS(DaybyDay[Retail-Actuals],DaybyDay[Date],"&gt;="&amp;$C$5,DaybyDay[RowYear],"&gt;="&amp;$C$4,DaybyDay[Date],"&lt;="&amp;DaybyDay[[#This Row],[Date]])</f>
        <v>0</v>
      </c>
      <c r="S939" s="35">
        <f>SUMIFS(DaybyDay[Service-LY],DaybyDay[Date],"&gt;="&amp;$C$5,DaybyDay[RowYear],"&gt;="&amp;$C$4,DaybyDay[Date],"&lt;="&amp;DaybyDay[[#This Row],[Date]])</f>
        <v>0</v>
      </c>
      <c r="T939" s="35">
        <f>SUMIFS(DaybyDay[Retail-LY],DaybyDay[Date],"&gt;="&amp;$C$5,DaybyDay[RowYear],"&gt;="&amp;$C$4,DaybyDay[Date],"&lt;="&amp;DaybyDay[[#This Row],[Date]])</f>
        <v>0</v>
      </c>
      <c r="U939" s="32">
        <f>DaybyDay[[#This Row],[Serv-Bud-RU]]+DaybyDay[[#This Row],[Ret-Bud-RU]]</f>
        <v>0</v>
      </c>
      <c r="V939" s="32">
        <f>DaybyDay[[#This Row],[Serv-Act-RU]]+DaybyDay[[#This Row],[Ret-Act-RU]]</f>
        <v>0</v>
      </c>
      <c r="W939" s="36">
        <f>IF(DaybyDay[[#This Row],[_Space]],IFERROR(
((DaybyDay[[#This Row],[Actual-Rollup]]-DaybyDay[[#This Row],[Budget-Rollup]])/DaybyDay[[#This Row],[Budget-Rollup]]),0),"")</f>
        <v>0</v>
      </c>
      <c r="X939" t="b">
        <f>NOT(AND(ISBLANK(DaybyDay[[#This Row],[Appts]]),ISBLANK(DaybyDay[[#This Row],[Service-Actuals]]),ISBLANK(DaybyDay[[#This Row],[Retail-Actuals]])))</f>
        <v>1</v>
      </c>
      <c r="Y939" s="36">
        <f>IF(DaybyDay[[#This Row],[_Space]],IFERROR(
((DaybyDay[[#This Row],[Actual-Rollup]]-DaybyDay[[#This Row],[LY-Rollup]])/DaybyDay[[#This Row],[LY-Rollup]]),0),"")</f>
        <v>0</v>
      </c>
      <c r="Z939"/>
      <c r="AA939" s="37" t="e">
        <f>IF(DaybyDay[[#This Row],[_Space]],DaybyDay[[#This Row],[Ret-Act-RU]]/DaybyDay[[#This Row],[Serv-Act-RU]],"")</f>
        <v>#DIV/0!</v>
      </c>
      <c r="AB939" s="50" t="e">
        <f>IF(DaybyDay[[#This Row],[_Space]],DaybyDay[[#This Row],[RETPEN-Act]]/DaybyDay[[#This Row],[RETPEN-Bud]],"")</f>
        <v>#DIV/0!</v>
      </c>
      <c r="AC939" s="37" t="e">
        <f>IF(DaybyDay[[#This Row],[_Space]],DaybyDay[[#This Row],[Ret-Bud-RU]]/DaybyDay[[#This Row],[Serv-Bud-RU]],"")</f>
        <v>#DIV/0!</v>
      </c>
      <c r="AD939" s="37" t="e">
        <f>IF(DaybyDay[[#This Row],[_Space]],DaybyDay[[#This Row],[Ret-LY-RU]]/DaybyDay[[#This Row],[Serv-LY-RU]],"")</f>
        <v>#DIV/0!</v>
      </c>
      <c r="AE939" s="30">
        <f>WEEKDAY(DaybyDay[[#This Row],[LY-Date]])</f>
        <v>2</v>
      </c>
      <c r="AF939" s="38">
        <f>$E$2+_xlfn.DAYS(DaybyDay[[#This Row],[Date]],minDate)</f>
        <v>43304</v>
      </c>
      <c r="AG939" s="39" cm="1">
        <f t="array" ref="AG939">IFERROR(INDEX(DaybyDay[],DaybyDay[[#This Row],[FORM_MATCH_HELPER]],8),"")</f>
        <v>17</v>
      </c>
      <c r="AH939" s="39" cm="1">
        <f t="array" ref="AH939">IFERROR(INDEX(DaybyDay[],DaybyDay[[#This Row],[FORM_MATCH_HELPER]],10),"")</f>
        <v>2924.4</v>
      </c>
      <c r="AI939" s="39" cm="1">
        <f t="array" ref="AI939">IFERROR(INDEX(DaybyDay[],DaybyDay[[#This Row],[FORM_MATCH_HELPER]],12),"")</f>
        <v>1803.45</v>
      </c>
      <c r="AJ939" s="32">
        <f>IFERROR(DaybyDay[[#This Row],[Serv-LY-RU]]+DaybyDay[[#This Row],[Ret-LY-RU]],"")</f>
        <v>0</v>
      </c>
      <c r="AK9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39" s="77"/>
      <c r="AM939" s="40" t="str">
        <f>IF(DaybyDay[[#This Row],[Admin Hours]]&gt;0,DaybyDay[[#This Row],[Admin Hours]]*$AM$2+$AM$3,"")</f>
        <v/>
      </c>
      <c r="AN939" s="40">
        <f>SUMIFS(DaybyDay[Est-Admin-Payroll],DaybyDay[Date],"&gt;="&amp;$C$5,DaybyDay[RowYear],"&gt;="&amp;$C$4,DaybyDay[Date],"&lt;="&amp;DaybyDay[[#This Row],[Date]])</f>
        <v>0</v>
      </c>
      <c r="AO939" s="41" t="str">
        <f>IF(AND(DaybyDay[[#This Row],[_Space]],ISNUMBER(DaybyDay[[#This Row],[Admin Hours]])),DaybyDay[[#This Row],[Est-Admin-Payroll]]/(DaybyDay[[#This Row],[Service-Actuals]]+DaybyDay[[#This Row],[Retail-Actuals]]),"")</f>
        <v/>
      </c>
      <c r="AP939" s="41" t="e">
        <f>DaybyDay[[#This Row],[Estimated-Payroll-Rollup]]/DaybyDay[[#This Row],[Simple-Forecast]]</f>
        <v>#DIV/0!</v>
      </c>
      <c r="AQ9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39" s="77"/>
      <c r="AS939" s="40" t="str">
        <f>IF(DaybyDay[[#This Row],[Retail Hours]]&gt;0,DaybyDay[[#This Row],[Retail Hours]]*$AS$2,"")</f>
        <v/>
      </c>
      <c r="AT939" s="40">
        <f>SUMIFS(DaybyDay[Est-Retail-Payroll],DaybyDay[Date],"&gt;="&amp;$C$5,DaybyDay[RowYear],"&gt;="&amp;$C$4,DaybyDay[Date],"&lt;="&amp;DaybyDay[[#This Row],[Date]])</f>
        <v>0</v>
      </c>
      <c r="AU939" s="82" t="str">
        <f>IF(AND(DaybyDay[[#This Row],[_Space]],ISNUMBER(DaybyDay[[#This Row],[Retail Hours]])),DaybyDay[[#This Row],[Est-Retail-Payroll]]/(DaybyDay[[#This Row],[Retail-Actuals]]),"")</f>
        <v/>
      </c>
      <c r="AV939" s="82" t="e">
        <f>DaybyDay[[#This Row],[Est-Retail-PayrollRU]]/DaybyDay[[#This Row],[Simple-Forecast-Retail]]</f>
        <v>#DIV/0!</v>
      </c>
      <c r="AW939" s="8"/>
      <c r="AX939" s="49"/>
      <c r="AY939" s="48"/>
      <c r="AZ939" s="47"/>
      <c r="BA939" s="47"/>
      <c r="BB939" s="47"/>
      <c r="BC939" s="47"/>
      <c r="BD939" s="47"/>
    </row>
    <row r="940" spans="3:56" hidden="1" x14ac:dyDescent="0.25">
      <c r="C940" s="26" t="str">
        <f>Tools!$C$1</f>
        <v>Example</v>
      </c>
      <c r="D940" s="27" t="s">
        <v>74</v>
      </c>
      <c r="E940" s="28">
        <v>2019</v>
      </c>
      <c r="F940" s="28">
        <f>MATCH(DaybyDay[[#This Row],[RowMonth]],Table3[SummaryMonth],0)</f>
        <v>7</v>
      </c>
      <c r="G940" s="29">
        <f>MATCH(DaybyDay[[#This Row],[LY-Date]],DaybyDay[Date],0)</f>
        <v>570</v>
      </c>
      <c r="H940" s="30">
        <f>WEEKDAY(DaybyDay[[#This Row],[Date]])</f>
        <v>3</v>
      </c>
      <c r="I940" s="31">
        <v>43669</v>
      </c>
      <c r="J940" s="74">
        <v>6</v>
      </c>
      <c r="K940" s="32">
        <f>SUMIFS(BudgetSeasonality[365 Seasonality],BudgetSeasonality[MonthAdjustment],DaybyDay[[#This Row],[Date]])*SUMIFS(Budgets[Service-Budget],Budgets[BudgetMonth],DaybyDay[[#This Row],[RowMonth]],Budgets[BudgetYear],DaybyDay[[#This Row],[RowYear]])</f>
        <v>3458.0526914904981</v>
      </c>
      <c r="L940" s="75">
        <v>1513.5</v>
      </c>
      <c r="M940" s="32">
        <f>INDEX(BudgetSeasonality[365 Seasonality],MATCH(DaybyDay[[#This Row],[Date]],BudgetSeasonality[MonthAdjustment],0))*SUMIFS(Budgets[Retail-Budget],Budgets[BudgetMonth],DaybyDay[[#This Row],[RowMonth]],Budgets[BudgetYear],DaybyDay[[#This Row],[RowYear]])</f>
        <v>920.82924638092811</v>
      </c>
      <c r="N940" s="75">
        <v>375</v>
      </c>
      <c r="O940" s="33">
        <f>SUMIFS(DaybyDay[Service-Budgets],DaybyDay[Date],"&gt;="&amp;$C$5,DaybyDay[RowYear],"&gt;="&amp;$C$4,DaybyDay[Date],"&lt;="&amp;DaybyDay[[#This Row],[Date]])</f>
        <v>0</v>
      </c>
      <c r="P940" s="33">
        <f>SUMIFS(DaybyDay[Retail-Budgets],DaybyDay[Date],"&gt;="&amp;$C$5,DaybyDay[RowYear],"&gt;="&amp;$C$4,DaybyDay[Date],"&lt;="&amp;DaybyDay[[#This Row],[Date]])</f>
        <v>0</v>
      </c>
      <c r="Q940" s="34">
        <f>SUMIFS(DaybyDay[Service-Actuals],DaybyDay[Date],"&gt;="&amp;$C$5,DaybyDay[RowYear],"&gt;="&amp;$C$4,DaybyDay[Date],"&lt;="&amp;DaybyDay[[#This Row],[Date]])</f>
        <v>0</v>
      </c>
      <c r="R940" s="34">
        <f>SUMIFS(DaybyDay[Retail-Actuals],DaybyDay[Date],"&gt;="&amp;$C$5,DaybyDay[RowYear],"&gt;="&amp;$C$4,DaybyDay[Date],"&lt;="&amp;DaybyDay[[#This Row],[Date]])</f>
        <v>0</v>
      </c>
      <c r="S940" s="35">
        <f>SUMIFS(DaybyDay[Service-LY],DaybyDay[Date],"&gt;="&amp;$C$5,DaybyDay[RowYear],"&gt;="&amp;$C$4,DaybyDay[Date],"&lt;="&amp;DaybyDay[[#This Row],[Date]])</f>
        <v>0</v>
      </c>
      <c r="T940" s="35">
        <f>SUMIFS(DaybyDay[Retail-LY],DaybyDay[Date],"&gt;="&amp;$C$5,DaybyDay[RowYear],"&gt;="&amp;$C$4,DaybyDay[Date],"&lt;="&amp;DaybyDay[[#This Row],[Date]])</f>
        <v>0</v>
      </c>
      <c r="U940" s="32">
        <f>DaybyDay[[#This Row],[Serv-Bud-RU]]+DaybyDay[[#This Row],[Ret-Bud-RU]]</f>
        <v>0</v>
      </c>
      <c r="V940" s="32">
        <f>DaybyDay[[#This Row],[Serv-Act-RU]]+DaybyDay[[#This Row],[Ret-Act-RU]]</f>
        <v>0</v>
      </c>
      <c r="W940" s="36">
        <f>IF(DaybyDay[[#This Row],[_Space]],IFERROR(
((DaybyDay[[#This Row],[Actual-Rollup]]-DaybyDay[[#This Row],[Budget-Rollup]])/DaybyDay[[#This Row],[Budget-Rollup]]),0),"")</f>
        <v>0</v>
      </c>
      <c r="X940" t="b">
        <f>NOT(AND(ISBLANK(DaybyDay[[#This Row],[Appts]]),ISBLANK(DaybyDay[[#This Row],[Service-Actuals]]),ISBLANK(DaybyDay[[#This Row],[Retail-Actuals]])))</f>
        <v>1</v>
      </c>
      <c r="Y940" s="36">
        <f>IF(DaybyDay[[#This Row],[_Space]],IFERROR(
((DaybyDay[[#This Row],[Actual-Rollup]]-DaybyDay[[#This Row],[LY-Rollup]])/DaybyDay[[#This Row],[LY-Rollup]]),0),"")</f>
        <v>0</v>
      </c>
      <c r="Z940"/>
      <c r="AA940" s="37" t="e">
        <f>IF(DaybyDay[[#This Row],[_Space]],DaybyDay[[#This Row],[Ret-Act-RU]]/DaybyDay[[#This Row],[Serv-Act-RU]],"")</f>
        <v>#DIV/0!</v>
      </c>
      <c r="AB940" s="50" t="e">
        <f>IF(DaybyDay[[#This Row],[_Space]],DaybyDay[[#This Row],[RETPEN-Act]]/DaybyDay[[#This Row],[RETPEN-Bud]],"")</f>
        <v>#DIV/0!</v>
      </c>
      <c r="AC940" s="37" t="e">
        <f>IF(DaybyDay[[#This Row],[_Space]],DaybyDay[[#This Row],[Ret-Bud-RU]]/DaybyDay[[#This Row],[Serv-Bud-RU]],"")</f>
        <v>#DIV/0!</v>
      </c>
      <c r="AD940" s="37" t="e">
        <f>IF(DaybyDay[[#This Row],[_Space]],DaybyDay[[#This Row],[Ret-LY-RU]]/DaybyDay[[#This Row],[Serv-LY-RU]],"")</f>
        <v>#DIV/0!</v>
      </c>
      <c r="AE940" s="30">
        <f>WEEKDAY(DaybyDay[[#This Row],[LY-Date]])</f>
        <v>3</v>
      </c>
      <c r="AF940" s="38">
        <f>$E$2+_xlfn.DAYS(DaybyDay[[#This Row],[Date]],minDate)</f>
        <v>43305</v>
      </c>
      <c r="AG940" s="39" cm="1">
        <f t="array" ref="AG940">IFERROR(INDEX(DaybyDay[],DaybyDay[[#This Row],[FORM_MATCH_HELPER]],8),"")</f>
        <v>13</v>
      </c>
      <c r="AH940" s="39" cm="1">
        <f t="array" ref="AH940">IFERROR(INDEX(DaybyDay[],DaybyDay[[#This Row],[FORM_MATCH_HELPER]],10),"")</f>
        <v>2902.45</v>
      </c>
      <c r="AI940" s="39" cm="1">
        <f t="array" ref="AI940">IFERROR(INDEX(DaybyDay[],DaybyDay[[#This Row],[FORM_MATCH_HELPER]],12),"")</f>
        <v>1437.65</v>
      </c>
      <c r="AJ940" s="32">
        <f>IFERROR(DaybyDay[[#This Row],[Serv-LY-RU]]+DaybyDay[[#This Row],[Ret-LY-RU]],"")</f>
        <v>0</v>
      </c>
      <c r="AK9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0" s="77"/>
      <c r="AM940" s="40" t="str">
        <f>IF(DaybyDay[[#This Row],[Admin Hours]]&gt;0,DaybyDay[[#This Row],[Admin Hours]]*$AM$2+$AM$3,"")</f>
        <v/>
      </c>
      <c r="AN940" s="40">
        <f>SUMIFS(DaybyDay[Est-Admin-Payroll],DaybyDay[Date],"&gt;="&amp;$C$5,DaybyDay[RowYear],"&gt;="&amp;$C$4,DaybyDay[Date],"&lt;="&amp;DaybyDay[[#This Row],[Date]])</f>
        <v>0</v>
      </c>
      <c r="AO940" s="41" t="str">
        <f>IF(AND(DaybyDay[[#This Row],[_Space]],ISNUMBER(DaybyDay[[#This Row],[Admin Hours]])),DaybyDay[[#This Row],[Est-Admin-Payroll]]/(DaybyDay[[#This Row],[Service-Actuals]]+DaybyDay[[#This Row],[Retail-Actuals]]),"")</f>
        <v/>
      </c>
      <c r="AP940" s="41" t="e">
        <f>DaybyDay[[#This Row],[Estimated-Payroll-Rollup]]/DaybyDay[[#This Row],[Simple-Forecast]]</f>
        <v>#DIV/0!</v>
      </c>
      <c r="AQ9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0" s="77"/>
      <c r="AS940" s="40" t="str">
        <f>IF(DaybyDay[[#This Row],[Retail Hours]]&gt;0,DaybyDay[[#This Row],[Retail Hours]]*$AS$2,"")</f>
        <v/>
      </c>
      <c r="AT940" s="40">
        <f>SUMIFS(DaybyDay[Est-Retail-Payroll],DaybyDay[Date],"&gt;="&amp;$C$5,DaybyDay[RowYear],"&gt;="&amp;$C$4,DaybyDay[Date],"&lt;="&amp;DaybyDay[[#This Row],[Date]])</f>
        <v>0</v>
      </c>
      <c r="AU940" s="82" t="str">
        <f>IF(AND(DaybyDay[[#This Row],[_Space]],ISNUMBER(DaybyDay[[#This Row],[Retail Hours]])),DaybyDay[[#This Row],[Est-Retail-Payroll]]/(DaybyDay[[#This Row],[Retail-Actuals]]),"")</f>
        <v/>
      </c>
      <c r="AV940" s="82" t="e">
        <f>DaybyDay[[#This Row],[Est-Retail-PayrollRU]]/DaybyDay[[#This Row],[Simple-Forecast-Retail]]</f>
        <v>#DIV/0!</v>
      </c>
      <c r="AW940" s="8"/>
      <c r="AX940" s="49"/>
      <c r="AY940" s="48"/>
      <c r="AZ940" s="47"/>
      <c r="BA940" s="47"/>
      <c r="BB940" s="47"/>
      <c r="BC940" s="47"/>
      <c r="BD940" s="47"/>
    </row>
    <row r="941" spans="3:56" hidden="1" x14ac:dyDescent="0.25">
      <c r="C941" s="26" t="str">
        <f>Tools!$C$1</f>
        <v>Example</v>
      </c>
      <c r="D941" s="27" t="s">
        <v>74</v>
      </c>
      <c r="E941" s="28">
        <v>2019</v>
      </c>
      <c r="F941" s="28">
        <f>MATCH(DaybyDay[[#This Row],[RowMonth]],Table3[SummaryMonth],0)</f>
        <v>7</v>
      </c>
      <c r="G941" s="29">
        <f>MATCH(DaybyDay[[#This Row],[LY-Date]],DaybyDay[Date],0)</f>
        <v>571</v>
      </c>
      <c r="H941" s="30">
        <f>WEEKDAY(DaybyDay[[#This Row],[Date]])</f>
        <v>4</v>
      </c>
      <c r="I941" s="31">
        <v>43670</v>
      </c>
      <c r="J941" s="74">
        <v>21</v>
      </c>
      <c r="K941" s="32">
        <f>SUMIFS(BudgetSeasonality[365 Seasonality],BudgetSeasonality[MonthAdjustment],DaybyDay[[#This Row],[Date]])*SUMIFS(Budgets[Service-Budget],Budgets[BudgetMonth],DaybyDay[[#This Row],[RowMonth]],Budgets[BudgetYear],DaybyDay[[#This Row],[RowYear]])</f>
        <v>4086.7741746587421</v>
      </c>
      <c r="L941" s="75">
        <v>4363.57</v>
      </c>
      <c r="M941" s="32">
        <f>INDEX(BudgetSeasonality[365 Seasonality],MATCH(DaybyDay[[#This Row],[Date]],BudgetSeasonality[MonthAdjustment],0))*SUMIFS(Budgets[Retail-Budget],Budgets[BudgetMonth],DaybyDay[[#This Row],[RowMonth]],Budgets[BudgetYear],DaybyDay[[#This Row],[RowYear]])</f>
        <v>1088.2486529602347</v>
      </c>
      <c r="N941" s="75">
        <v>2128.62</v>
      </c>
      <c r="O941" s="33">
        <f>SUMIFS(DaybyDay[Service-Budgets],DaybyDay[Date],"&gt;="&amp;$C$5,DaybyDay[RowYear],"&gt;="&amp;$C$4,DaybyDay[Date],"&lt;="&amp;DaybyDay[[#This Row],[Date]])</f>
        <v>0</v>
      </c>
      <c r="P941" s="33">
        <f>SUMIFS(DaybyDay[Retail-Budgets],DaybyDay[Date],"&gt;="&amp;$C$5,DaybyDay[RowYear],"&gt;="&amp;$C$4,DaybyDay[Date],"&lt;="&amp;DaybyDay[[#This Row],[Date]])</f>
        <v>0</v>
      </c>
      <c r="Q941" s="34">
        <f>SUMIFS(DaybyDay[Service-Actuals],DaybyDay[Date],"&gt;="&amp;$C$5,DaybyDay[RowYear],"&gt;="&amp;$C$4,DaybyDay[Date],"&lt;="&amp;DaybyDay[[#This Row],[Date]])</f>
        <v>0</v>
      </c>
      <c r="R941" s="34">
        <f>SUMIFS(DaybyDay[Retail-Actuals],DaybyDay[Date],"&gt;="&amp;$C$5,DaybyDay[RowYear],"&gt;="&amp;$C$4,DaybyDay[Date],"&lt;="&amp;DaybyDay[[#This Row],[Date]])</f>
        <v>0</v>
      </c>
      <c r="S941" s="35">
        <f>SUMIFS(DaybyDay[Service-LY],DaybyDay[Date],"&gt;="&amp;$C$5,DaybyDay[RowYear],"&gt;="&amp;$C$4,DaybyDay[Date],"&lt;="&amp;DaybyDay[[#This Row],[Date]])</f>
        <v>0</v>
      </c>
      <c r="T941" s="35">
        <f>SUMIFS(DaybyDay[Retail-LY],DaybyDay[Date],"&gt;="&amp;$C$5,DaybyDay[RowYear],"&gt;="&amp;$C$4,DaybyDay[Date],"&lt;="&amp;DaybyDay[[#This Row],[Date]])</f>
        <v>0</v>
      </c>
      <c r="U941" s="32">
        <f>DaybyDay[[#This Row],[Serv-Bud-RU]]+DaybyDay[[#This Row],[Ret-Bud-RU]]</f>
        <v>0</v>
      </c>
      <c r="V941" s="32">
        <f>DaybyDay[[#This Row],[Serv-Act-RU]]+DaybyDay[[#This Row],[Ret-Act-RU]]</f>
        <v>0</v>
      </c>
      <c r="W941" s="36">
        <f>IF(DaybyDay[[#This Row],[_Space]],IFERROR(
((DaybyDay[[#This Row],[Actual-Rollup]]-DaybyDay[[#This Row],[Budget-Rollup]])/DaybyDay[[#This Row],[Budget-Rollup]]),0),"")</f>
        <v>0</v>
      </c>
      <c r="X941" t="b">
        <f>NOT(AND(ISBLANK(DaybyDay[[#This Row],[Appts]]),ISBLANK(DaybyDay[[#This Row],[Service-Actuals]]),ISBLANK(DaybyDay[[#This Row],[Retail-Actuals]])))</f>
        <v>1</v>
      </c>
      <c r="Y941" s="36">
        <f>IF(DaybyDay[[#This Row],[_Space]],IFERROR(
((DaybyDay[[#This Row],[Actual-Rollup]]-DaybyDay[[#This Row],[LY-Rollup]])/DaybyDay[[#This Row],[LY-Rollup]]),0),"")</f>
        <v>0</v>
      </c>
      <c r="Z941"/>
      <c r="AA941" s="37" t="e">
        <f>IF(DaybyDay[[#This Row],[_Space]],DaybyDay[[#This Row],[Ret-Act-RU]]/DaybyDay[[#This Row],[Serv-Act-RU]],"")</f>
        <v>#DIV/0!</v>
      </c>
      <c r="AB941" s="50" t="e">
        <f>IF(DaybyDay[[#This Row],[_Space]],DaybyDay[[#This Row],[RETPEN-Act]]/DaybyDay[[#This Row],[RETPEN-Bud]],"")</f>
        <v>#DIV/0!</v>
      </c>
      <c r="AC941" s="37" t="e">
        <f>IF(DaybyDay[[#This Row],[_Space]],DaybyDay[[#This Row],[Ret-Bud-RU]]/DaybyDay[[#This Row],[Serv-Bud-RU]],"")</f>
        <v>#DIV/0!</v>
      </c>
      <c r="AD941" s="37" t="e">
        <f>IF(DaybyDay[[#This Row],[_Space]],DaybyDay[[#This Row],[Ret-LY-RU]]/DaybyDay[[#This Row],[Serv-LY-RU]],"")</f>
        <v>#DIV/0!</v>
      </c>
      <c r="AE941" s="30">
        <f>WEEKDAY(DaybyDay[[#This Row],[LY-Date]])</f>
        <v>4</v>
      </c>
      <c r="AF941" s="38">
        <f>$E$2+_xlfn.DAYS(DaybyDay[[#This Row],[Date]],minDate)</f>
        <v>43306</v>
      </c>
      <c r="AG941" s="39" cm="1">
        <f t="array" ref="AG941">IFERROR(INDEX(DaybyDay[],DaybyDay[[#This Row],[FORM_MATCH_HELPER]],8),"")</f>
        <v>19</v>
      </c>
      <c r="AH941" s="39" cm="1">
        <f t="array" ref="AH941">IFERROR(INDEX(DaybyDay[],DaybyDay[[#This Row],[FORM_MATCH_HELPER]],10),"")</f>
        <v>3438.32</v>
      </c>
      <c r="AI941" s="39" cm="1">
        <f t="array" ref="AI941">IFERROR(INDEX(DaybyDay[],DaybyDay[[#This Row],[FORM_MATCH_HELPER]],12),"")</f>
        <v>62</v>
      </c>
      <c r="AJ941" s="32">
        <f>IFERROR(DaybyDay[[#This Row],[Serv-LY-RU]]+DaybyDay[[#This Row],[Ret-LY-RU]],"")</f>
        <v>0</v>
      </c>
      <c r="AK9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1" s="77"/>
      <c r="AM941" s="40" t="str">
        <f>IF(DaybyDay[[#This Row],[Admin Hours]]&gt;0,DaybyDay[[#This Row],[Admin Hours]]*$AM$2+$AM$3,"")</f>
        <v/>
      </c>
      <c r="AN941" s="40">
        <f>SUMIFS(DaybyDay[Est-Admin-Payroll],DaybyDay[Date],"&gt;="&amp;$C$5,DaybyDay[RowYear],"&gt;="&amp;$C$4,DaybyDay[Date],"&lt;="&amp;DaybyDay[[#This Row],[Date]])</f>
        <v>0</v>
      </c>
      <c r="AO941" s="41" t="str">
        <f>IF(AND(DaybyDay[[#This Row],[_Space]],ISNUMBER(DaybyDay[[#This Row],[Admin Hours]])),DaybyDay[[#This Row],[Est-Admin-Payroll]]/(DaybyDay[[#This Row],[Service-Actuals]]+DaybyDay[[#This Row],[Retail-Actuals]]),"")</f>
        <v/>
      </c>
      <c r="AP941" s="41" t="e">
        <f>DaybyDay[[#This Row],[Estimated-Payroll-Rollup]]/DaybyDay[[#This Row],[Simple-Forecast]]</f>
        <v>#DIV/0!</v>
      </c>
      <c r="AQ9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1" s="77"/>
      <c r="AS941" s="40" t="str">
        <f>IF(DaybyDay[[#This Row],[Retail Hours]]&gt;0,DaybyDay[[#This Row],[Retail Hours]]*$AS$2,"")</f>
        <v/>
      </c>
      <c r="AT941" s="40">
        <f>SUMIFS(DaybyDay[Est-Retail-Payroll],DaybyDay[Date],"&gt;="&amp;$C$5,DaybyDay[RowYear],"&gt;="&amp;$C$4,DaybyDay[Date],"&lt;="&amp;DaybyDay[[#This Row],[Date]])</f>
        <v>0</v>
      </c>
      <c r="AU941" s="82" t="str">
        <f>IF(AND(DaybyDay[[#This Row],[_Space]],ISNUMBER(DaybyDay[[#This Row],[Retail Hours]])),DaybyDay[[#This Row],[Est-Retail-Payroll]]/(DaybyDay[[#This Row],[Retail-Actuals]]),"")</f>
        <v/>
      </c>
      <c r="AV941" s="82" t="e">
        <f>DaybyDay[[#This Row],[Est-Retail-PayrollRU]]/DaybyDay[[#This Row],[Simple-Forecast-Retail]]</f>
        <v>#DIV/0!</v>
      </c>
      <c r="AW941" s="8"/>
      <c r="AX941" s="49"/>
      <c r="AY941" s="48"/>
      <c r="AZ941" s="47"/>
      <c r="BA941" s="47"/>
      <c r="BB941" s="47"/>
      <c r="BC941" s="47"/>
      <c r="BD941" s="47"/>
    </row>
    <row r="942" spans="3:56" hidden="1" x14ac:dyDescent="0.25">
      <c r="C942" s="26" t="str">
        <f>Tools!$C$1</f>
        <v>Example</v>
      </c>
      <c r="D942" s="27" t="s">
        <v>74</v>
      </c>
      <c r="E942" s="28">
        <v>2019</v>
      </c>
      <c r="F942" s="28">
        <f>MATCH(DaybyDay[[#This Row],[RowMonth]],Table3[SummaryMonth],0)</f>
        <v>7</v>
      </c>
      <c r="G942" s="29">
        <f>MATCH(DaybyDay[[#This Row],[LY-Date]],DaybyDay[Date],0)</f>
        <v>572</v>
      </c>
      <c r="H942" s="30">
        <f>WEEKDAY(DaybyDay[[#This Row],[Date]])</f>
        <v>5</v>
      </c>
      <c r="I942" s="31">
        <v>43671</v>
      </c>
      <c r="J942" s="74">
        <v>23</v>
      </c>
      <c r="K942" s="32">
        <f>SUMIFS(BudgetSeasonality[365 Seasonality],BudgetSeasonality[MonthAdjustment],DaybyDay[[#This Row],[Date]])*SUMIFS(Budgets[Service-Budget],Budgets[BudgetMonth],DaybyDay[[#This Row],[RowMonth]],Budgets[BudgetYear],DaybyDay[[#This Row],[RowYear]])</f>
        <v>4241.4945030801946</v>
      </c>
      <c r="L942" s="75">
        <v>3771.7999999999997</v>
      </c>
      <c r="M942" s="32">
        <f>INDEX(BudgetSeasonality[365 Seasonality],MATCH(DaybyDay[[#This Row],[Date]],BudgetSeasonality[MonthAdjustment],0))*SUMIFS(Budgets[Retail-Budget],Budgets[BudgetMonth],DaybyDay[[#This Row],[RowMonth]],Budgets[BudgetYear],DaybyDay[[#This Row],[RowYear]])</f>
        <v>1129.4484310233988</v>
      </c>
      <c r="N942" s="75">
        <v>2710.52</v>
      </c>
      <c r="O942" s="33">
        <f>SUMIFS(DaybyDay[Service-Budgets],DaybyDay[Date],"&gt;="&amp;$C$5,DaybyDay[RowYear],"&gt;="&amp;$C$4,DaybyDay[Date],"&lt;="&amp;DaybyDay[[#This Row],[Date]])</f>
        <v>0</v>
      </c>
      <c r="P942" s="33">
        <f>SUMIFS(DaybyDay[Retail-Budgets],DaybyDay[Date],"&gt;="&amp;$C$5,DaybyDay[RowYear],"&gt;="&amp;$C$4,DaybyDay[Date],"&lt;="&amp;DaybyDay[[#This Row],[Date]])</f>
        <v>0</v>
      </c>
      <c r="Q942" s="34">
        <f>SUMIFS(DaybyDay[Service-Actuals],DaybyDay[Date],"&gt;="&amp;$C$5,DaybyDay[RowYear],"&gt;="&amp;$C$4,DaybyDay[Date],"&lt;="&amp;DaybyDay[[#This Row],[Date]])</f>
        <v>0</v>
      </c>
      <c r="R942" s="34">
        <f>SUMIFS(DaybyDay[Retail-Actuals],DaybyDay[Date],"&gt;="&amp;$C$5,DaybyDay[RowYear],"&gt;="&amp;$C$4,DaybyDay[Date],"&lt;="&amp;DaybyDay[[#This Row],[Date]])</f>
        <v>0</v>
      </c>
      <c r="S942" s="35">
        <f>SUMIFS(DaybyDay[Service-LY],DaybyDay[Date],"&gt;="&amp;$C$5,DaybyDay[RowYear],"&gt;="&amp;$C$4,DaybyDay[Date],"&lt;="&amp;DaybyDay[[#This Row],[Date]])</f>
        <v>0</v>
      </c>
      <c r="T942" s="35">
        <f>SUMIFS(DaybyDay[Retail-LY],DaybyDay[Date],"&gt;="&amp;$C$5,DaybyDay[RowYear],"&gt;="&amp;$C$4,DaybyDay[Date],"&lt;="&amp;DaybyDay[[#This Row],[Date]])</f>
        <v>0</v>
      </c>
      <c r="U942" s="32">
        <f>DaybyDay[[#This Row],[Serv-Bud-RU]]+DaybyDay[[#This Row],[Ret-Bud-RU]]</f>
        <v>0</v>
      </c>
      <c r="V942" s="32">
        <f>DaybyDay[[#This Row],[Serv-Act-RU]]+DaybyDay[[#This Row],[Ret-Act-RU]]</f>
        <v>0</v>
      </c>
      <c r="W942" s="36">
        <f>IF(DaybyDay[[#This Row],[_Space]],IFERROR(
((DaybyDay[[#This Row],[Actual-Rollup]]-DaybyDay[[#This Row],[Budget-Rollup]])/DaybyDay[[#This Row],[Budget-Rollup]]),0),"")</f>
        <v>0</v>
      </c>
      <c r="X942" t="b">
        <f>NOT(AND(ISBLANK(DaybyDay[[#This Row],[Appts]]),ISBLANK(DaybyDay[[#This Row],[Service-Actuals]]),ISBLANK(DaybyDay[[#This Row],[Retail-Actuals]])))</f>
        <v>1</v>
      </c>
      <c r="Y942" s="36">
        <f>IF(DaybyDay[[#This Row],[_Space]],IFERROR(
((DaybyDay[[#This Row],[Actual-Rollup]]-DaybyDay[[#This Row],[LY-Rollup]])/DaybyDay[[#This Row],[LY-Rollup]]),0),"")</f>
        <v>0</v>
      </c>
      <c r="Z942"/>
      <c r="AA942" s="37" t="e">
        <f>IF(DaybyDay[[#This Row],[_Space]],DaybyDay[[#This Row],[Ret-Act-RU]]/DaybyDay[[#This Row],[Serv-Act-RU]],"")</f>
        <v>#DIV/0!</v>
      </c>
      <c r="AB942" s="50" t="e">
        <f>IF(DaybyDay[[#This Row],[_Space]],DaybyDay[[#This Row],[RETPEN-Act]]/DaybyDay[[#This Row],[RETPEN-Bud]],"")</f>
        <v>#DIV/0!</v>
      </c>
      <c r="AC942" s="37" t="e">
        <f>IF(DaybyDay[[#This Row],[_Space]],DaybyDay[[#This Row],[Ret-Bud-RU]]/DaybyDay[[#This Row],[Serv-Bud-RU]],"")</f>
        <v>#DIV/0!</v>
      </c>
      <c r="AD942" s="37" t="e">
        <f>IF(DaybyDay[[#This Row],[_Space]],DaybyDay[[#This Row],[Ret-LY-RU]]/DaybyDay[[#This Row],[Serv-LY-RU]],"")</f>
        <v>#DIV/0!</v>
      </c>
      <c r="AE942" s="30">
        <f>WEEKDAY(DaybyDay[[#This Row],[LY-Date]])</f>
        <v>5</v>
      </c>
      <c r="AF942" s="38">
        <f>$E$2+_xlfn.DAYS(DaybyDay[[#This Row],[Date]],minDate)</f>
        <v>43307</v>
      </c>
      <c r="AG942" s="39" cm="1">
        <f t="array" ref="AG942">IFERROR(INDEX(DaybyDay[],DaybyDay[[#This Row],[FORM_MATCH_HELPER]],8),"")</f>
        <v>18</v>
      </c>
      <c r="AH942" s="39" cm="1">
        <f t="array" ref="AH942">IFERROR(INDEX(DaybyDay[],DaybyDay[[#This Row],[FORM_MATCH_HELPER]],10),"")</f>
        <v>4402.75</v>
      </c>
      <c r="AI942" s="39" cm="1">
        <f t="array" ref="AI942">IFERROR(INDEX(DaybyDay[],DaybyDay[[#This Row],[FORM_MATCH_HELPER]],12),"")</f>
        <v>408</v>
      </c>
      <c r="AJ942" s="32">
        <f>IFERROR(DaybyDay[[#This Row],[Serv-LY-RU]]+DaybyDay[[#This Row],[Ret-LY-RU]],"")</f>
        <v>0</v>
      </c>
      <c r="AK9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2" s="77"/>
      <c r="AM942" s="40" t="str">
        <f>IF(DaybyDay[[#This Row],[Admin Hours]]&gt;0,DaybyDay[[#This Row],[Admin Hours]]*$AM$2+$AM$3,"")</f>
        <v/>
      </c>
      <c r="AN942" s="40">
        <f>SUMIFS(DaybyDay[Est-Admin-Payroll],DaybyDay[Date],"&gt;="&amp;$C$5,DaybyDay[RowYear],"&gt;="&amp;$C$4,DaybyDay[Date],"&lt;="&amp;DaybyDay[[#This Row],[Date]])</f>
        <v>0</v>
      </c>
      <c r="AO942" s="41" t="str">
        <f>IF(AND(DaybyDay[[#This Row],[_Space]],ISNUMBER(DaybyDay[[#This Row],[Admin Hours]])),DaybyDay[[#This Row],[Est-Admin-Payroll]]/(DaybyDay[[#This Row],[Service-Actuals]]+DaybyDay[[#This Row],[Retail-Actuals]]),"")</f>
        <v/>
      </c>
      <c r="AP942" s="41" t="e">
        <f>DaybyDay[[#This Row],[Estimated-Payroll-Rollup]]/DaybyDay[[#This Row],[Simple-Forecast]]</f>
        <v>#DIV/0!</v>
      </c>
      <c r="AQ9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2" s="77"/>
      <c r="AS942" s="40" t="str">
        <f>IF(DaybyDay[[#This Row],[Retail Hours]]&gt;0,DaybyDay[[#This Row],[Retail Hours]]*$AS$2,"")</f>
        <v/>
      </c>
      <c r="AT942" s="40">
        <f>SUMIFS(DaybyDay[Est-Retail-Payroll],DaybyDay[Date],"&gt;="&amp;$C$5,DaybyDay[RowYear],"&gt;="&amp;$C$4,DaybyDay[Date],"&lt;="&amp;DaybyDay[[#This Row],[Date]])</f>
        <v>0</v>
      </c>
      <c r="AU942" s="82" t="str">
        <f>IF(AND(DaybyDay[[#This Row],[_Space]],ISNUMBER(DaybyDay[[#This Row],[Retail Hours]])),DaybyDay[[#This Row],[Est-Retail-Payroll]]/(DaybyDay[[#This Row],[Retail-Actuals]]),"")</f>
        <v/>
      </c>
      <c r="AV942" s="82" t="e">
        <f>DaybyDay[[#This Row],[Est-Retail-PayrollRU]]/DaybyDay[[#This Row],[Simple-Forecast-Retail]]</f>
        <v>#DIV/0!</v>
      </c>
      <c r="AW942" s="8"/>
      <c r="AX942" s="49"/>
      <c r="AY942" s="48"/>
      <c r="AZ942" s="47"/>
      <c r="BA942" s="47"/>
      <c r="BB942" s="47"/>
      <c r="BC942" s="47"/>
      <c r="BD942" s="47"/>
    </row>
    <row r="943" spans="3:56" hidden="1" x14ac:dyDescent="0.25">
      <c r="C943" s="26" t="str">
        <f>Tools!$C$1</f>
        <v>Example</v>
      </c>
      <c r="D943" s="27" t="s">
        <v>74</v>
      </c>
      <c r="E943" s="28">
        <v>2019</v>
      </c>
      <c r="F943" s="28">
        <f>MATCH(DaybyDay[[#This Row],[RowMonth]],Table3[SummaryMonth],0)</f>
        <v>7</v>
      </c>
      <c r="G943" s="29">
        <f>MATCH(DaybyDay[[#This Row],[LY-Date]],DaybyDay[Date],0)</f>
        <v>573</v>
      </c>
      <c r="H943" s="30">
        <f>WEEKDAY(DaybyDay[[#This Row],[Date]])</f>
        <v>6</v>
      </c>
      <c r="I943" s="31">
        <v>43672</v>
      </c>
      <c r="J943" s="74">
        <v>30</v>
      </c>
      <c r="K943" s="32">
        <f>SUMIFS(BudgetSeasonality[365 Seasonality],BudgetSeasonality[MonthAdjustment],DaybyDay[[#This Row],[Date]])*SUMIFS(Budgets[Service-Budget],Budgets[BudgetMonth],DaybyDay[[#This Row],[RowMonth]],Budgets[BudgetYear],DaybyDay[[#This Row],[RowYear]])</f>
        <v>5354.2928982522271</v>
      </c>
      <c r="L943" s="75">
        <v>5585</v>
      </c>
      <c r="M943" s="32">
        <f>INDEX(BudgetSeasonality[365 Seasonality],MATCH(DaybyDay[[#This Row],[Date]],BudgetSeasonality[MonthAdjustment],0))*SUMIFS(Budgets[Retail-Budget],Budgets[BudgetMonth],DaybyDay[[#This Row],[RowMonth]],Budgets[BudgetYear],DaybyDay[[#This Row],[RowYear]])</f>
        <v>1425.7704940508715</v>
      </c>
      <c r="N943" s="75">
        <v>1738.1</v>
      </c>
      <c r="O943" s="33">
        <f>SUMIFS(DaybyDay[Service-Budgets],DaybyDay[Date],"&gt;="&amp;$C$5,DaybyDay[RowYear],"&gt;="&amp;$C$4,DaybyDay[Date],"&lt;="&amp;DaybyDay[[#This Row],[Date]])</f>
        <v>0</v>
      </c>
      <c r="P943" s="33">
        <f>SUMIFS(DaybyDay[Retail-Budgets],DaybyDay[Date],"&gt;="&amp;$C$5,DaybyDay[RowYear],"&gt;="&amp;$C$4,DaybyDay[Date],"&lt;="&amp;DaybyDay[[#This Row],[Date]])</f>
        <v>0</v>
      </c>
      <c r="Q943" s="34">
        <f>SUMIFS(DaybyDay[Service-Actuals],DaybyDay[Date],"&gt;="&amp;$C$5,DaybyDay[RowYear],"&gt;="&amp;$C$4,DaybyDay[Date],"&lt;="&amp;DaybyDay[[#This Row],[Date]])</f>
        <v>0</v>
      </c>
      <c r="R943" s="34">
        <f>SUMIFS(DaybyDay[Retail-Actuals],DaybyDay[Date],"&gt;="&amp;$C$5,DaybyDay[RowYear],"&gt;="&amp;$C$4,DaybyDay[Date],"&lt;="&amp;DaybyDay[[#This Row],[Date]])</f>
        <v>0</v>
      </c>
      <c r="S943" s="35">
        <f>SUMIFS(DaybyDay[Service-LY],DaybyDay[Date],"&gt;="&amp;$C$5,DaybyDay[RowYear],"&gt;="&amp;$C$4,DaybyDay[Date],"&lt;="&amp;DaybyDay[[#This Row],[Date]])</f>
        <v>0</v>
      </c>
      <c r="T943" s="35">
        <f>SUMIFS(DaybyDay[Retail-LY],DaybyDay[Date],"&gt;="&amp;$C$5,DaybyDay[RowYear],"&gt;="&amp;$C$4,DaybyDay[Date],"&lt;="&amp;DaybyDay[[#This Row],[Date]])</f>
        <v>0</v>
      </c>
      <c r="U943" s="32">
        <f>DaybyDay[[#This Row],[Serv-Bud-RU]]+DaybyDay[[#This Row],[Ret-Bud-RU]]</f>
        <v>0</v>
      </c>
      <c r="V943" s="32">
        <f>DaybyDay[[#This Row],[Serv-Act-RU]]+DaybyDay[[#This Row],[Ret-Act-RU]]</f>
        <v>0</v>
      </c>
      <c r="W943" s="36">
        <f>IF(DaybyDay[[#This Row],[_Space]],IFERROR(
((DaybyDay[[#This Row],[Actual-Rollup]]-DaybyDay[[#This Row],[Budget-Rollup]])/DaybyDay[[#This Row],[Budget-Rollup]]),0),"")</f>
        <v>0</v>
      </c>
      <c r="X943" t="b">
        <f>NOT(AND(ISBLANK(DaybyDay[[#This Row],[Appts]]),ISBLANK(DaybyDay[[#This Row],[Service-Actuals]]),ISBLANK(DaybyDay[[#This Row],[Retail-Actuals]])))</f>
        <v>1</v>
      </c>
      <c r="Y943" s="36">
        <f>IF(DaybyDay[[#This Row],[_Space]],IFERROR(
((DaybyDay[[#This Row],[Actual-Rollup]]-DaybyDay[[#This Row],[LY-Rollup]])/DaybyDay[[#This Row],[LY-Rollup]]),0),"")</f>
        <v>0</v>
      </c>
      <c r="Z943"/>
      <c r="AA943" s="37" t="e">
        <f>IF(DaybyDay[[#This Row],[_Space]],DaybyDay[[#This Row],[Ret-Act-RU]]/DaybyDay[[#This Row],[Serv-Act-RU]],"")</f>
        <v>#DIV/0!</v>
      </c>
      <c r="AB943" s="50" t="e">
        <f>IF(DaybyDay[[#This Row],[_Space]],DaybyDay[[#This Row],[RETPEN-Act]]/DaybyDay[[#This Row],[RETPEN-Bud]],"")</f>
        <v>#DIV/0!</v>
      </c>
      <c r="AC943" s="37" t="e">
        <f>IF(DaybyDay[[#This Row],[_Space]],DaybyDay[[#This Row],[Ret-Bud-RU]]/DaybyDay[[#This Row],[Serv-Bud-RU]],"")</f>
        <v>#DIV/0!</v>
      </c>
      <c r="AD943" s="37" t="e">
        <f>IF(DaybyDay[[#This Row],[_Space]],DaybyDay[[#This Row],[Ret-LY-RU]]/DaybyDay[[#This Row],[Serv-LY-RU]],"")</f>
        <v>#DIV/0!</v>
      </c>
      <c r="AE943" s="30">
        <f>WEEKDAY(DaybyDay[[#This Row],[LY-Date]])</f>
        <v>6</v>
      </c>
      <c r="AF943" s="38">
        <f>$E$2+_xlfn.DAYS(DaybyDay[[#This Row],[Date]],minDate)</f>
        <v>43308</v>
      </c>
      <c r="AG943" s="39" cm="1">
        <f t="array" ref="AG943">IFERROR(INDEX(DaybyDay[],DaybyDay[[#This Row],[FORM_MATCH_HELPER]],8),"")</f>
        <v>29</v>
      </c>
      <c r="AH943" s="39" cm="1">
        <f t="array" ref="AH943">IFERROR(INDEX(DaybyDay[],DaybyDay[[#This Row],[FORM_MATCH_HELPER]],10),"")</f>
        <v>5688.25</v>
      </c>
      <c r="AI943" s="39" cm="1">
        <f t="array" ref="AI943">IFERROR(INDEX(DaybyDay[],DaybyDay[[#This Row],[FORM_MATCH_HELPER]],12),"")</f>
        <v>853</v>
      </c>
      <c r="AJ943" s="32">
        <f>IFERROR(DaybyDay[[#This Row],[Serv-LY-RU]]+DaybyDay[[#This Row],[Ret-LY-RU]],"")</f>
        <v>0</v>
      </c>
      <c r="AK9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3" s="77"/>
      <c r="AM943" s="40" t="str">
        <f>IF(DaybyDay[[#This Row],[Admin Hours]]&gt;0,DaybyDay[[#This Row],[Admin Hours]]*$AM$2+$AM$3,"")</f>
        <v/>
      </c>
      <c r="AN943" s="40">
        <f>SUMIFS(DaybyDay[Est-Admin-Payroll],DaybyDay[Date],"&gt;="&amp;$C$5,DaybyDay[RowYear],"&gt;="&amp;$C$4,DaybyDay[Date],"&lt;="&amp;DaybyDay[[#This Row],[Date]])</f>
        <v>0</v>
      </c>
      <c r="AO943" s="41" t="str">
        <f>IF(AND(DaybyDay[[#This Row],[_Space]],ISNUMBER(DaybyDay[[#This Row],[Admin Hours]])),DaybyDay[[#This Row],[Est-Admin-Payroll]]/(DaybyDay[[#This Row],[Service-Actuals]]+DaybyDay[[#This Row],[Retail-Actuals]]),"")</f>
        <v/>
      </c>
      <c r="AP943" s="41" t="e">
        <f>DaybyDay[[#This Row],[Estimated-Payroll-Rollup]]/DaybyDay[[#This Row],[Simple-Forecast]]</f>
        <v>#DIV/0!</v>
      </c>
      <c r="AQ9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3" s="77"/>
      <c r="AS943" s="40" t="str">
        <f>IF(DaybyDay[[#This Row],[Retail Hours]]&gt;0,DaybyDay[[#This Row],[Retail Hours]]*$AS$2,"")</f>
        <v/>
      </c>
      <c r="AT943" s="40">
        <f>SUMIFS(DaybyDay[Est-Retail-Payroll],DaybyDay[Date],"&gt;="&amp;$C$5,DaybyDay[RowYear],"&gt;="&amp;$C$4,DaybyDay[Date],"&lt;="&amp;DaybyDay[[#This Row],[Date]])</f>
        <v>0</v>
      </c>
      <c r="AU943" s="82" t="str">
        <f>IF(AND(DaybyDay[[#This Row],[_Space]],ISNUMBER(DaybyDay[[#This Row],[Retail Hours]])),DaybyDay[[#This Row],[Est-Retail-Payroll]]/(DaybyDay[[#This Row],[Retail-Actuals]]),"")</f>
        <v/>
      </c>
      <c r="AV943" s="82" t="e">
        <f>DaybyDay[[#This Row],[Est-Retail-PayrollRU]]/DaybyDay[[#This Row],[Simple-Forecast-Retail]]</f>
        <v>#DIV/0!</v>
      </c>
      <c r="AW943" s="8"/>
      <c r="AX943" s="49"/>
      <c r="AY943" s="48"/>
      <c r="AZ943" s="47"/>
      <c r="BA943" s="47"/>
      <c r="BB943" s="47"/>
      <c r="BC943" s="47"/>
      <c r="BD943" s="47"/>
    </row>
    <row r="944" spans="3:56" hidden="1" x14ac:dyDescent="0.25">
      <c r="C944" s="26" t="str">
        <f>Tools!$C$1</f>
        <v>Example</v>
      </c>
      <c r="D944" s="27" t="s">
        <v>74</v>
      </c>
      <c r="E944" s="28">
        <v>2019</v>
      </c>
      <c r="F944" s="28">
        <f>MATCH(DaybyDay[[#This Row],[RowMonth]],Table3[SummaryMonth],0)</f>
        <v>7</v>
      </c>
      <c r="G944" s="29">
        <f>MATCH(DaybyDay[[#This Row],[LY-Date]],DaybyDay[Date],0)</f>
        <v>574</v>
      </c>
      <c r="H944" s="30">
        <f>WEEKDAY(DaybyDay[[#This Row],[Date]])</f>
        <v>7</v>
      </c>
      <c r="I944" s="31">
        <v>43673</v>
      </c>
      <c r="J944" s="74">
        <v>35</v>
      </c>
      <c r="K944" s="32">
        <f>SUMIFS(BudgetSeasonality[365 Seasonality],BudgetSeasonality[MonthAdjustment],DaybyDay[[#This Row],[Date]])*SUMIFS(Budgets[Service-Budget],Budgets[BudgetMonth],DaybyDay[[#This Row],[RowMonth]],Budgets[BudgetYear],DaybyDay[[#This Row],[RowYear]])</f>
        <v>7673.6008662050463</v>
      </c>
      <c r="L944" s="75">
        <v>9174</v>
      </c>
      <c r="M944" s="32">
        <f>INDEX(BudgetSeasonality[365 Seasonality],MATCH(DaybyDay[[#This Row],[Date]],BudgetSeasonality[MonthAdjustment],0))*SUMIFS(Budgets[Retail-Budget],Budgets[BudgetMonth],DaybyDay[[#This Row],[RowMonth]],Budgets[BudgetYear],DaybyDay[[#This Row],[RowYear]])</f>
        <v>2043.3685467094469</v>
      </c>
      <c r="N944" s="75">
        <v>3911.5</v>
      </c>
      <c r="O944" s="33">
        <f>SUMIFS(DaybyDay[Service-Budgets],DaybyDay[Date],"&gt;="&amp;$C$5,DaybyDay[RowYear],"&gt;="&amp;$C$4,DaybyDay[Date],"&lt;="&amp;DaybyDay[[#This Row],[Date]])</f>
        <v>0</v>
      </c>
      <c r="P944" s="33">
        <f>SUMIFS(DaybyDay[Retail-Budgets],DaybyDay[Date],"&gt;="&amp;$C$5,DaybyDay[RowYear],"&gt;="&amp;$C$4,DaybyDay[Date],"&lt;="&amp;DaybyDay[[#This Row],[Date]])</f>
        <v>0</v>
      </c>
      <c r="Q944" s="34">
        <f>SUMIFS(DaybyDay[Service-Actuals],DaybyDay[Date],"&gt;="&amp;$C$5,DaybyDay[RowYear],"&gt;="&amp;$C$4,DaybyDay[Date],"&lt;="&amp;DaybyDay[[#This Row],[Date]])</f>
        <v>0</v>
      </c>
      <c r="R944" s="34">
        <f>SUMIFS(DaybyDay[Retail-Actuals],DaybyDay[Date],"&gt;="&amp;$C$5,DaybyDay[RowYear],"&gt;="&amp;$C$4,DaybyDay[Date],"&lt;="&amp;DaybyDay[[#This Row],[Date]])</f>
        <v>0</v>
      </c>
      <c r="S944" s="35">
        <f>SUMIFS(DaybyDay[Service-LY],DaybyDay[Date],"&gt;="&amp;$C$5,DaybyDay[RowYear],"&gt;="&amp;$C$4,DaybyDay[Date],"&lt;="&amp;DaybyDay[[#This Row],[Date]])</f>
        <v>0</v>
      </c>
      <c r="T944" s="35">
        <f>SUMIFS(DaybyDay[Retail-LY],DaybyDay[Date],"&gt;="&amp;$C$5,DaybyDay[RowYear],"&gt;="&amp;$C$4,DaybyDay[Date],"&lt;="&amp;DaybyDay[[#This Row],[Date]])</f>
        <v>0</v>
      </c>
      <c r="U944" s="32">
        <f>DaybyDay[[#This Row],[Serv-Bud-RU]]+DaybyDay[[#This Row],[Ret-Bud-RU]]</f>
        <v>0</v>
      </c>
      <c r="V944" s="32">
        <f>DaybyDay[[#This Row],[Serv-Act-RU]]+DaybyDay[[#This Row],[Ret-Act-RU]]</f>
        <v>0</v>
      </c>
      <c r="W944" s="36">
        <f>IF(DaybyDay[[#This Row],[_Space]],IFERROR(
((DaybyDay[[#This Row],[Actual-Rollup]]-DaybyDay[[#This Row],[Budget-Rollup]])/DaybyDay[[#This Row],[Budget-Rollup]]),0),"")</f>
        <v>0</v>
      </c>
      <c r="X944" t="b">
        <f>NOT(AND(ISBLANK(DaybyDay[[#This Row],[Appts]]),ISBLANK(DaybyDay[[#This Row],[Service-Actuals]]),ISBLANK(DaybyDay[[#This Row],[Retail-Actuals]])))</f>
        <v>1</v>
      </c>
      <c r="Y944" s="36">
        <f>IF(DaybyDay[[#This Row],[_Space]],IFERROR(
((DaybyDay[[#This Row],[Actual-Rollup]]-DaybyDay[[#This Row],[LY-Rollup]])/DaybyDay[[#This Row],[LY-Rollup]]),0),"")</f>
        <v>0</v>
      </c>
      <c r="Z944"/>
      <c r="AA944" s="37" t="e">
        <f>IF(DaybyDay[[#This Row],[_Space]],DaybyDay[[#This Row],[Ret-Act-RU]]/DaybyDay[[#This Row],[Serv-Act-RU]],"")</f>
        <v>#DIV/0!</v>
      </c>
      <c r="AB944" s="50" t="e">
        <f>IF(DaybyDay[[#This Row],[_Space]],DaybyDay[[#This Row],[RETPEN-Act]]/DaybyDay[[#This Row],[RETPEN-Bud]],"")</f>
        <v>#DIV/0!</v>
      </c>
      <c r="AC944" s="37" t="e">
        <f>IF(DaybyDay[[#This Row],[_Space]],DaybyDay[[#This Row],[Ret-Bud-RU]]/DaybyDay[[#This Row],[Serv-Bud-RU]],"")</f>
        <v>#DIV/0!</v>
      </c>
      <c r="AD944" s="37" t="e">
        <f>IF(DaybyDay[[#This Row],[_Space]],DaybyDay[[#This Row],[Ret-LY-RU]]/DaybyDay[[#This Row],[Serv-LY-RU]],"")</f>
        <v>#DIV/0!</v>
      </c>
      <c r="AE944" s="30">
        <f>WEEKDAY(DaybyDay[[#This Row],[LY-Date]])</f>
        <v>7</v>
      </c>
      <c r="AF944" s="38">
        <f>$E$2+_xlfn.DAYS(DaybyDay[[#This Row],[Date]],minDate)</f>
        <v>43309</v>
      </c>
      <c r="AG944" s="39" cm="1">
        <f t="array" ref="AG944">IFERROR(INDEX(DaybyDay[],DaybyDay[[#This Row],[FORM_MATCH_HELPER]],8),"")</f>
        <v>22</v>
      </c>
      <c r="AH944" s="39" cm="1">
        <f t="array" ref="AH944">IFERROR(INDEX(DaybyDay[],DaybyDay[[#This Row],[FORM_MATCH_HELPER]],10),"")</f>
        <v>5346</v>
      </c>
      <c r="AI944" s="39" cm="1">
        <f t="array" ref="AI944">IFERROR(INDEX(DaybyDay[],DaybyDay[[#This Row],[FORM_MATCH_HELPER]],12),"")</f>
        <v>658.95</v>
      </c>
      <c r="AJ944" s="32">
        <f>IFERROR(DaybyDay[[#This Row],[Serv-LY-RU]]+DaybyDay[[#This Row],[Ret-LY-RU]],"")</f>
        <v>0</v>
      </c>
      <c r="AK9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4" s="77"/>
      <c r="AM944" s="40" t="str">
        <f>IF(DaybyDay[[#This Row],[Admin Hours]]&gt;0,DaybyDay[[#This Row],[Admin Hours]]*$AM$2+$AM$3,"")</f>
        <v/>
      </c>
      <c r="AN944" s="40">
        <f>SUMIFS(DaybyDay[Est-Admin-Payroll],DaybyDay[Date],"&gt;="&amp;$C$5,DaybyDay[RowYear],"&gt;="&amp;$C$4,DaybyDay[Date],"&lt;="&amp;DaybyDay[[#This Row],[Date]])</f>
        <v>0</v>
      </c>
      <c r="AO944" s="41" t="str">
        <f>IF(AND(DaybyDay[[#This Row],[_Space]],ISNUMBER(DaybyDay[[#This Row],[Admin Hours]])),DaybyDay[[#This Row],[Est-Admin-Payroll]]/(DaybyDay[[#This Row],[Service-Actuals]]+DaybyDay[[#This Row],[Retail-Actuals]]),"")</f>
        <v/>
      </c>
      <c r="AP944" s="41" t="e">
        <f>DaybyDay[[#This Row],[Estimated-Payroll-Rollup]]/DaybyDay[[#This Row],[Simple-Forecast]]</f>
        <v>#DIV/0!</v>
      </c>
      <c r="AQ9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4" s="77"/>
      <c r="AS944" s="40" t="str">
        <f>IF(DaybyDay[[#This Row],[Retail Hours]]&gt;0,DaybyDay[[#This Row],[Retail Hours]]*$AS$2,"")</f>
        <v/>
      </c>
      <c r="AT944" s="40">
        <f>SUMIFS(DaybyDay[Est-Retail-Payroll],DaybyDay[Date],"&gt;="&amp;$C$5,DaybyDay[RowYear],"&gt;="&amp;$C$4,DaybyDay[Date],"&lt;="&amp;DaybyDay[[#This Row],[Date]])</f>
        <v>0</v>
      </c>
      <c r="AU944" s="82" t="str">
        <f>IF(AND(DaybyDay[[#This Row],[_Space]],ISNUMBER(DaybyDay[[#This Row],[Retail Hours]])),DaybyDay[[#This Row],[Est-Retail-Payroll]]/(DaybyDay[[#This Row],[Retail-Actuals]]),"")</f>
        <v/>
      </c>
      <c r="AV944" s="82" t="e">
        <f>DaybyDay[[#This Row],[Est-Retail-PayrollRU]]/DaybyDay[[#This Row],[Simple-Forecast-Retail]]</f>
        <v>#DIV/0!</v>
      </c>
      <c r="AW944" s="8"/>
      <c r="AX944" s="49"/>
      <c r="AY944" s="48"/>
      <c r="AZ944" s="47"/>
      <c r="BA944" s="47"/>
      <c r="BB944" s="47"/>
      <c r="BC944" s="47"/>
      <c r="BD944" s="47"/>
    </row>
    <row r="945" spans="3:56" hidden="1" x14ac:dyDescent="0.25">
      <c r="C945" s="26" t="str">
        <f>Tools!$C$1</f>
        <v>Example</v>
      </c>
      <c r="D945" s="27" t="s">
        <v>74</v>
      </c>
      <c r="E945" s="28">
        <v>2019</v>
      </c>
      <c r="F945" s="28">
        <f>MATCH(DaybyDay[[#This Row],[RowMonth]],Table3[SummaryMonth],0)</f>
        <v>7</v>
      </c>
      <c r="G945" s="29">
        <f>MATCH(DaybyDay[[#This Row],[LY-Date]],DaybyDay[Date],0)</f>
        <v>575</v>
      </c>
      <c r="H945" s="30">
        <f>WEEKDAY(DaybyDay[[#This Row],[Date]])</f>
        <v>1</v>
      </c>
      <c r="I945" s="31">
        <v>43674</v>
      </c>
      <c r="J945" s="74">
        <v>31</v>
      </c>
      <c r="K945" s="32">
        <f>SUMIFS(BudgetSeasonality[365 Seasonality],BudgetSeasonality[MonthAdjustment],DaybyDay[[#This Row],[Date]])*SUMIFS(Budgets[Service-Budget],Budgets[BudgetMonth],DaybyDay[[#This Row],[RowMonth]],Budgets[BudgetYear],DaybyDay[[#This Row],[RowYear]])</f>
        <v>5976.2501116633102</v>
      </c>
      <c r="L945" s="75">
        <v>5830.1900000000005</v>
      </c>
      <c r="M945" s="32">
        <f>INDEX(BudgetSeasonality[365 Seasonality],MATCH(DaybyDay[[#This Row],[Date]],BudgetSeasonality[MonthAdjustment],0))*SUMIFS(Budgets[Retail-Budget],Budgets[BudgetMonth],DaybyDay[[#This Row],[RowMonth]],Budgets[BudgetYear],DaybyDay[[#This Row],[RowYear]])</f>
        <v>1591.3886737610414</v>
      </c>
      <c r="N945" s="75">
        <v>1155.49</v>
      </c>
      <c r="O945" s="33">
        <f>SUMIFS(DaybyDay[Service-Budgets],DaybyDay[Date],"&gt;="&amp;$C$5,DaybyDay[RowYear],"&gt;="&amp;$C$4,DaybyDay[Date],"&lt;="&amp;DaybyDay[[#This Row],[Date]])</f>
        <v>0</v>
      </c>
      <c r="P945" s="33">
        <f>SUMIFS(DaybyDay[Retail-Budgets],DaybyDay[Date],"&gt;="&amp;$C$5,DaybyDay[RowYear],"&gt;="&amp;$C$4,DaybyDay[Date],"&lt;="&amp;DaybyDay[[#This Row],[Date]])</f>
        <v>0</v>
      </c>
      <c r="Q945" s="34">
        <f>SUMIFS(DaybyDay[Service-Actuals],DaybyDay[Date],"&gt;="&amp;$C$5,DaybyDay[RowYear],"&gt;="&amp;$C$4,DaybyDay[Date],"&lt;="&amp;DaybyDay[[#This Row],[Date]])</f>
        <v>0</v>
      </c>
      <c r="R945" s="34">
        <f>SUMIFS(DaybyDay[Retail-Actuals],DaybyDay[Date],"&gt;="&amp;$C$5,DaybyDay[RowYear],"&gt;="&amp;$C$4,DaybyDay[Date],"&lt;="&amp;DaybyDay[[#This Row],[Date]])</f>
        <v>0</v>
      </c>
      <c r="S945" s="35">
        <f>SUMIFS(DaybyDay[Service-LY],DaybyDay[Date],"&gt;="&amp;$C$5,DaybyDay[RowYear],"&gt;="&amp;$C$4,DaybyDay[Date],"&lt;="&amp;DaybyDay[[#This Row],[Date]])</f>
        <v>0</v>
      </c>
      <c r="T945" s="35">
        <f>SUMIFS(DaybyDay[Retail-LY],DaybyDay[Date],"&gt;="&amp;$C$5,DaybyDay[RowYear],"&gt;="&amp;$C$4,DaybyDay[Date],"&lt;="&amp;DaybyDay[[#This Row],[Date]])</f>
        <v>0</v>
      </c>
      <c r="U945" s="32">
        <f>DaybyDay[[#This Row],[Serv-Bud-RU]]+DaybyDay[[#This Row],[Ret-Bud-RU]]</f>
        <v>0</v>
      </c>
      <c r="V945" s="32">
        <f>DaybyDay[[#This Row],[Serv-Act-RU]]+DaybyDay[[#This Row],[Ret-Act-RU]]</f>
        <v>0</v>
      </c>
      <c r="W945" s="36">
        <f>IF(DaybyDay[[#This Row],[_Space]],IFERROR(
((DaybyDay[[#This Row],[Actual-Rollup]]-DaybyDay[[#This Row],[Budget-Rollup]])/DaybyDay[[#This Row],[Budget-Rollup]]),0),"")</f>
        <v>0</v>
      </c>
      <c r="X945" t="b">
        <f>NOT(AND(ISBLANK(DaybyDay[[#This Row],[Appts]]),ISBLANK(DaybyDay[[#This Row],[Service-Actuals]]),ISBLANK(DaybyDay[[#This Row],[Retail-Actuals]])))</f>
        <v>1</v>
      </c>
      <c r="Y945" s="36">
        <f>IF(DaybyDay[[#This Row],[_Space]],IFERROR(
((DaybyDay[[#This Row],[Actual-Rollup]]-DaybyDay[[#This Row],[LY-Rollup]])/DaybyDay[[#This Row],[LY-Rollup]]),0),"")</f>
        <v>0</v>
      </c>
      <c r="Z945"/>
      <c r="AA945" s="37" t="e">
        <f>IF(DaybyDay[[#This Row],[_Space]],DaybyDay[[#This Row],[Ret-Act-RU]]/DaybyDay[[#This Row],[Serv-Act-RU]],"")</f>
        <v>#DIV/0!</v>
      </c>
      <c r="AB945" s="50" t="e">
        <f>IF(DaybyDay[[#This Row],[_Space]],DaybyDay[[#This Row],[RETPEN-Act]]/DaybyDay[[#This Row],[RETPEN-Bud]],"")</f>
        <v>#DIV/0!</v>
      </c>
      <c r="AC945" s="37" t="e">
        <f>IF(DaybyDay[[#This Row],[_Space]],DaybyDay[[#This Row],[Ret-Bud-RU]]/DaybyDay[[#This Row],[Serv-Bud-RU]],"")</f>
        <v>#DIV/0!</v>
      </c>
      <c r="AD945" s="37" t="e">
        <f>IF(DaybyDay[[#This Row],[_Space]],DaybyDay[[#This Row],[Ret-LY-RU]]/DaybyDay[[#This Row],[Serv-LY-RU]],"")</f>
        <v>#DIV/0!</v>
      </c>
      <c r="AE945" s="30">
        <f>WEEKDAY(DaybyDay[[#This Row],[LY-Date]])</f>
        <v>1</v>
      </c>
      <c r="AF945" s="38">
        <f>$E$2+_xlfn.DAYS(DaybyDay[[#This Row],[Date]],minDate)</f>
        <v>43310</v>
      </c>
      <c r="AG945" s="39" cm="1">
        <f t="array" ref="AG945">IFERROR(INDEX(DaybyDay[],DaybyDay[[#This Row],[FORM_MATCH_HELPER]],8),"")</f>
        <v>26</v>
      </c>
      <c r="AH945" s="39" cm="1">
        <f t="array" ref="AH945">IFERROR(INDEX(DaybyDay[],DaybyDay[[#This Row],[FORM_MATCH_HELPER]],10),"")</f>
        <v>4914.3999999999996</v>
      </c>
      <c r="AI945" s="39" cm="1">
        <f t="array" ref="AI945">IFERROR(INDEX(DaybyDay[],DaybyDay[[#This Row],[FORM_MATCH_HELPER]],12),"")</f>
        <v>909</v>
      </c>
      <c r="AJ945" s="32">
        <f>IFERROR(DaybyDay[[#This Row],[Serv-LY-RU]]+DaybyDay[[#This Row],[Ret-LY-RU]],"")</f>
        <v>0</v>
      </c>
      <c r="AK9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5" s="77"/>
      <c r="AM945" s="40" t="str">
        <f>IF(DaybyDay[[#This Row],[Admin Hours]]&gt;0,DaybyDay[[#This Row],[Admin Hours]]*$AM$2+$AM$3,"")</f>
        <v/>
      </c>
      <c r="AN945" s="40">
        <f>SUMIFS(DaybyDay[Est-Admin-Payroll],DaybyDay[Date],"&gt;="&amp;$C$5,DaybyDay[RowYear],"&gt;="&amp;$C$4,DaybyDay[Date],"&lt;="&amp;DaybyDay[[#This Row],[Date]])</f>
        <v>0</v>
      </c>
      <c r="AO945" s="41" t="str">
        <f>IF(AND(DaybyDay[[#This Row],[_Space]],ISNUMBER(DaybyDay[[#This Row],[Admin Hours]])),DaybyDay[[#This Row],[Est-Admin-Payroll]]/(DaybyDay[[#This Row],[Service-Actuals]]+DaybyDay[[#This Row],[Retail-Actuals]]),"")</f>
        <v/>
      </c>
      <c r="AP945" s="41" t="e">
        <f>DaybyDay[[#This Row],[Estimated-Payroll-Rollup]]/DaybyDay[[#This Row],[Simple-Forecast]]</f>
        <v>#DIV/0!</v>
      </c>
      <c r="AQ9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5" s="77"/>
      <c r="AS945" s="40" t="str">
        <f>IF(DaybyDay[[#This Row],[Retail Hours]]&gt;0,DaybyDay[[#This Row],[Retail Hours]]*$AS$2,"")</f>
        <v/>
      </c>
      <c r="AT945" s="40">
        <f>SUMIFS(DaybyDay[Est-Retail-Payroll],DaybyDay[Date],"&gt;="&amp;$C$5,DaybyDay[RowYear],"&gt;="&amp;$C$4,DaybyDay[Date],"&lt;="&amp;DaybyDay[[#This Row],[Date]])</f>
        <v>0</v>
      </c>
      <c r="AU945" s="82" t="str">
        <f>IF(AND(DaybyDay[[#This Row],[_Space]],ISNUMBER(DaybyDay[[#This Row],[Retail Hours]])),DaybyDay[[#This Row],[Est-Retail-Payroll]]/(DaybyDay[[#This Row],[Retail-Actuals]]),"")</f>
        <v/>
      </c>
      <c r="AV945" s="82" t="e">
        <f>DaybyDay[[#This Row],[Est-Retail-PayrollRU]]/DaybyDay[[#This Row],[Simple-Forecast-Retail]]</f>
        <v>#DIV/0!</v>
      </c>
      <c r="AW945" s="8"/>
      <c r="AX945" s="49"/>
      <c r="AY945" s="48"/>
      <c r="AZ945" s="47"/>
      <c r="BA945" s="47"/>
      <c r="BB945" s="47"/>
      <c r="BC945" s="47"/>
      <c r="BD945" s="47"/>
    </row>
    <row r="946" spans="3:56" hidden="1" x14ac:dyDescent="0.25">
      <c r="C946" s="26" t="str">
        <f>Tools!$C$1</f>
        <v>Example</v>
      </c>
      <c r="D946" s="27" t="s">
        <v>74</v>
      </c>
      <c r="E946" s="28">
        <v>2019</v>
      </c>
      <c r="F946" s="28">
        <f>MATCH(DaybyDay[[#This Row],[RowMonth]],Table3[SummaryMonth],0)</f>
        <v>7</v>
      </c>
      <c r="G946" s="29">
        <f>MATCH(DaybyDay[[#This Row],[LY-Date]],DaybyDay[Date],0)</f>
        <v>576</v>
      </c>
      <c r="H946" s="30">
        <f>WEEKDAY(DaybyDay[[#This Row],[Date]])</f>
        <v>2</v>
      </c>
      <c r="I946" s="31">
        <v>43675</v>
      </c>
      <c r="J946" s="74">
        <v>13</v>
      </c>
      <c r="K946" s="32">
        <f>SUMIFS(BudgetSeasonality[365 Seasonality],BudgetSeasonality[MonthAdjustment],DaybyDay[[#This Row],[Date]])*SUMIFS(Budgets[Service-Budget],Budgets[BudgetMonth],DaybyDay[[#This Row],[RowMonth]],Budgets[BudgetYear],DaybyDay[[#This Row],[RowYear]])</f>
        <v>3488.4459233514513</v>
      </c>
      <c r="L946" s="75">
        <v>2618.86</v>
      </c>
      <c r="M946" s="32">
        <f>INDEX(BudgetSeasonality[365 Seasonality],MATCH(DaybyDay[[#This Row],[Date]],BudgetSeasonality[MonthAdjustment],0))*SUMIFS(Budgets[Retail-Budget],Budgets[BudgetMonth],DaybyDay[[#This Row],[RowMonth]],Budgets[BudgetYear],DaybyDay[[#This Row],[RowYear]])</f>
        <v>928.92252294044158</v>
      </c>
      <c r="N946" s="75">
        <v>609</v>
      </c>
      <c r="O946" s="33">
        <f>SUMIFS(DaybyDay[Service-Budgets],DaybyDay[Date],"&gt;="&amp;$C$5,DaybyDay[RowYear],"&gt;="&amp;$C$4,DaybyDay[Date],"&lt;="&amp;DaybyDay[[#This Row],[Date]])</f>
        <v>0</v>
      </c>
      <c r="P946" s="33">
        <f>SUMIFS(DaybyDay[Retail-Budgets],DaybyDay[Date],"&gt;="&amp;$C$5,DaybyDay[RowYear],"&gt;="&amp;$C$4,DaybyDay[Date],"&lt;="&amp;DaybyDay[[#This Row],[Date]])</f>
        <v>0</v>
      </c>
      <c r="Q946" s="34">
        <f>SUMIFS(DaybyDay[Service-Actuals],DaybyDay[Date],"&gt;="&amp;$C$5,DaybyDay[RowYear],"&gt;="&amp;$C$4,DaybyDay[Date],"&lt;="&amp;DaybyDay[[#This Row],[Date]])</f>
        <v>0</v>
      </c>
      <c r="R946" s="34">
        <f>SUMIFS(DaybyDay[Retail-Actuals],DaybyDay[Date],"&gt;="&amp;$C$5,DaybyDay[RowYear],"&gt;="&amp;$C$4,DaybyDay[Date],"&lt;="&amp;DaybyDay[[#This Row],[Date]])</f>
        <v>0</v>
      </c>
      <c r="S946" s="35">
        <f>SUMIFS(DaybyDay[Service-LY],DaybyDay[Date],"&gt;="&amp;$C$5,DaybyDay[RowYear],"&gt;="&amp;$C$4,DaybyDay[Date],"&lt;="&amp;DaybyDay[[#This Row],[Date]])</f>
        <v>0</v>
      </c>
      <c r="T946" s="35">
        <f>SUMIFS(DaybyDay[Retail-LY],DaybyDay[Date],"&gt;="&amp;$C$5,DaybyDay[RowYear],"&gt;="&amp;$C$4,DaybyDay[Date],"&lt;="&amp;DaybyDay[[#This Row],[Date]])</f>
        <v>0</v>
      </c>
      <c r="U946" s="32">
        <f>DaybyDay[[#This Row],[Serv-Bud-RU]]+DaybyDay[[#This Row],[Ret-Bud-RU]]</f>
        <v>0</v>
      </c>
      <c r="V946" s="32">
        <f>DaybyDay[[#This Row],[Serv-Act-RU]]+DaybyDay[[#This Row],[Ret-Act-RU]]</f>
        <v>0</v>
      </c>
      <c r="W946" s="36">
        <f>IF(DaybyDay[[#This Row],[_Space]],IFERROR(
((DaybyDay[[#This Row],[Actual-Rollup]]-DaybyDay[[#This Row],[Budget-Rollup]])/DaybyDay[[#This Row],[Budget-Rollup]]),0),"")</f>
        <v>0</v>
      </c>
      <c r="X946" t="b">
        <f>NOT(AND(ISBLANK(DaybyDay[[#This Row],[Appts]]),ISBLANK(DaybyDay[[#This Row],[Service-Actuals]]),ISBLANK(DaybyDay[[#This Row],[Retail-Actuals]])))</f>
        <v>1</v>
      </c>
      <c r="Y946" s="36">
        <f>IF(DaybyDay[[#This Row],[_Space]],IFERROR(
((DaybyDay[[#This Row],[Actual-Rollup]]-DaybyDay[[#This Row],[LY-Rollup]])/DaybyDay[[#This Row],[LY-Rollup]]),0),"")</f>
        <v>0</v>
      </c>
      <c r="Z946"/>
      <c r="AA946" s="37" t="e">
        <f>IF(DaybyDay[[#This Row],[_Space]],DaybyDay[[#This Row],[Ret-Act-RU]]/DaybyDay[[#This Row],[Serv-Act-RU]],"")</f>
        <v>#DIV/0!</v>
      </c>
      <c r="AB946" s="50" t="e">
        <f>IF(DaybyDay[[#This Row],[_Space]],DaybyDay[[#This Row],[RETPEN-Act]]/DaybyDay[[#This Row],[RETPEN-Bud]],"")</f>
        <v>#DIV/0!</v>
      </c>
      <c r="AC946" s="37" t="e">
        <f>IF(DaybyDay[[#This Row],[_Space]],DaybyDay[[#This Row],[Ret-Bud-RU]]/DaybyDay[[#This Row],[Serv-Bud-RU]],"")</f>
        <v>#DIV/0!</v>
      </c>
      <c r="AD946" s="37" t="e">
        <f>IF(DaybyDay[[#This Row],[_Space]],DaybyDay[[#This Row],[Ret-LY-RU]]/DaybyDay[[#This Row],[Serv-LY-RU]],"")</f>
        <v>#DIV/0!</v>
      </c>
      <c r="AE946" s="30">
        <f>WEEKDAY(DaybyDay[[#This Row],[LY-Date]])</f>
        <v>2</v>
      </c>
      <c r="AF946" s="38">
        <f>$E$2+_xlfn.DAYS(DaybyDay[[#This Row],[Date]],minDate)</f>
        <v>43311</v>
      </c>
      <c r="AG946" s="39" cm="1">
        <f t="array" ref="AG946">IFERROR(INDEX(DaybyDay[],DaybyDay[[#This Row],[FORM_MATCH_HELPER]],8),"")</f>
        <v>17</v>
      </c>
      <c r="AH946" s="39" cm="1">
        <f t="array" ref="AH946">IFERROR(INDEX(DaybyDay[],DaybyDay[[#This Row],[FORM_MATCH_HELPER]],10),"")</f>
        <v>5172</v>
      </c>
      <c r="AI946" s="39" cm="1">
        <f t="array" ref="AI946">IFERROR(INDEX(DaybyDay[],DaybyDay[[#This Row],[FORM_MATCH_HELPER]],12),"")</f>
        <v>78.400000000000006</v>
      </c>
      <c r="AJ946" s="32">
        <f>IFERROR(DaybyDay[[#This Row],[Serv-LY-RU]]+DaybyDay[[#This Row],[Ret-LY-RU]],"")</f>
        <v>0</v>
      </c>
      <c r="AK9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6" s="77"/>
      <c r="AM946" s="40" t="str">
        <f>IF(DaybyDay[[#This Row],[Admin Hours]]&gt;0,DaybyDay[[#This Row],[Admin Hours]]*$AM$2+$AM$3,"")</f>
        <v/>
      </c>
      <c r="AN946" s="40">
        <f>SUMIFS(DaybyDay[Est-Admin-Payroll],DaybyDay[Date],"&gt;="&amp;$C$5,DaybyDay[RowYear],"&gt;="&amp;$C$4,DaybyDay[Date],"&lt;="&amp;DaybyDay[[#This Row],[Date]])</f>
        <v>0</v>
      </c>
      <c r="AO946" s="41" t="str">
        <f>IF(AND(DaybyDay[[#This Row],[_Space]],ISNUMBER(DaybyDay[[#This Row],[Admin Hours]])),DaybyDay[[#This Row],[Est-Admin-Payroll]]/(DaybyDay[[#This Row],[Service-Actuals]]+DaybyDay[[#This Row],[Retail-Actuals]]),"")</f>
        <v/>
      </c>
      <c r="AP946" s="41" t="e">
        <f>DaybyDay[[#This Row],[Estimated-Payroll-Rollup]]/DaybyDay[[#This Row],[Simple-Forecast]]</f>
        <v>#DIV/0!</v>
      </c>
      <c r="AQ9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6" s="77"/>
      <c r="AS946" s="40" t="str">
        <f>IF(DaybyDay[[#This Row],[Retail Hours]]&gt;0,DaybyDay[[#This Row],[Retail Hours]]*$AS$2,"")</f>
        <v/>
      </c>
      <c r="AT946" s="40">
        <f>SUMIFS(DaybyDay[Est-Retail-Payroll],DaybyDay[Date],"&gt;="&amp;$C$5,DaybyDay[RowYear],"&gt;="&amp;$C$4,DaybyDay[Date],"&lt;="&amp;DaybyDay[[#This Row],[Date]])</f>
        <v>0</v>
      </c>
      <c r="AU946" s="82" t="str">
        <f>IF(AND(DaybyDay[[#This Row],[_Space]],ISNUMBER(DaybyDay[[#This Row],[Retail Hours]])),DaybyDay[[#This Row],[Est-Retail-Payroll]]/(DaybyDay[[#This Row],[Retail-Actuals]]),"")</f>
        <v/>
      </c>
      <c r="AV946" s="82" t="e">
        <f>DaybyDay[[#This Row],[Est-Retail-PayrollRU]]/DaybyDay[[#This Row],[Simple-Forecast-Retail]]</f>
        <v>#DIV/0!</v>
      </c>
      <c r="AW946" s="8"/>
      <c r="AX946" s="49"/>
      <c r="AY946" s="48"/>
      <c r="AZ946" s="47"/>
      <c r="BA946" s="47"/>
      <c r="BB946" s="47"/>
      <c r="BC946" s="47"/>
      <c r="BD946" s="47"/>
    </row>
    <row r="947" spans="3:56" hidden="1" x14ac:dyDescent="0.25">
      <c r="C947" s="26" t="str">
        <f>Tools!$C$1</f>
        <v>Example</v>
      </c>
      <c r="D947" s="27" t="s">
        <v>74</v>
      </c>
      <c r="E947" s="28">
        <v>2019</v>
      </c>
      <c r="F947" s="28">
        <f>MATCH(DaybyDay[[#This Row],[RowMonth]],Table3[SummaryMonth],0)</f>
        <v>7</v>
      </c>
      <c r="G947" s="29">
        <f>MATCH(DaybyDay[[#This Row],[LY-Date]],DaybyDay[Date],0)</f>
        <v>577</v>
      </c>
      <c r="H947" s="30">
        <f>WEEKDAY(DaybyDay[[#This Row],[Date]])</f>
        <v>3</v>
      </c>
      <c r="I947" s="31">
        <v>43676</v>
      </c>
      <c r="J947" s="74">
        <v>15</v>
      </c>
      <c r="K947" s="32">
        <f>SUMIFS(BudgetSeasonality[365 Seasonality],BudgetSeasonality[MonthAdjustment],DaybyDay[[#This Row],[Date]])*SUMIFS(Budgets[Service-Budget],Budgets[BudgetMonth],DaybyDay[[#This Row],[RowMonth]],Budgets[BudgetYear],DaybyDay[[#This Row],[RowYear]])</f>
        <v>3609.1038266575297</v>
      </c>
      <c r="L947" s="75">
        <v>3152</v>
      </c>
      <c r="M947" s="32">
        <f>INDEX(BudgetSeasonality[365 Seasonality],MATCH(DaybyDay[[#This Row],[Date]],BudgetSeasonality[MonthAdjustment],0))*SUMIFS(Budgets[Retail-Budget],Budgets[BudgetMonth],DaybyDay[[#This Row],[RowMonth]],Budgets[BudgetYear],DaybyDay[[#This Row],[RowYear]])</f>
        <v>961.05197153000313</v>
      </c>
      <c r="N947" s="75">
        <v>595.6</v>
      </c>
      <c r="O947" s="33">
        <f>SUMIFS(DaybyDay[Service-Budgets],DaybyDay[Date],"&gt;="&amp;$C$5,DaybyDay[RowYear],"&gt;="&amp;$C$4,DaybyDay[Date],"&lt;="&amp;DaybyDay[[#This Row],[Date]])</f>
        <v>0</v>
      </c>
      <c r="P947" s="33">
        <f>SUMIFS(DaybyDay[Retail-Budgets],DaybyDay[Date],"&gt;="&amp;$C$5,DaybyDay[RowYear],"&gt;="&amp;$C$4,DaybyDay[Date],"&lt;="&amp;DaybyDay[[#This Row],[Date]])</f>
        <v>0</v>
      </c>
      <c r="Q947" s="34">
        <f>SUMIFS(DaybyDay[Service-Actuals],DaybyDay[Date],"&gt;="&amp;$C$5,DaybyDay[RowYear],"&gt;="&amp;$C$4,DaybyDay[Date],"&lt;="&amp;DaybyDay[[#This Row],[Date]])</f>
        <v>0</v>
      </c>
      <c r="R947" s="34">
        <f>SUMIFS(DaybyDay[Retail-Actuals],DaybyDay[Date],"&gt;="&amp;$C$5,DaybyDay[RowYear],"&gt;="&amp;$C$4,DaybyDay[Date],"&lt;="&amp;DaybyDay[[#This Row],[Date]])</f>
        <v>0</v>
      </c>
      <c r="S947" s="35">
        <f>SUMIFS(DaybyDay[Service-LY],DaybyDay[Date],"&gt;="&amp;$C$5,DaybyDay[RowYear],"&gt;="&amp;$C$4,DaybyDay[Date],"&lt;="&amp;DaybyDay[[#This Row],[Date]])</f>
        <v>0</v>
      </c>
      <c r="T947" s="35">
        <f>SUMIFS(DaybyDay[Retail-LY],DaybyDay[Date],"&gt;="&amp;$C$5,DaybyDay[RowYear],"&gt;="&amp;$C$4,DaybyDay[Date],"&lt;="&amp;DaybyDay[[#This Row],[Date]])</f>
        <v>0</v>
      </c>
      <c r="U947" s="32">
        <f>DaybyDay[[#This Row],[Serv-Bud-RU]]+DaybyDay[[#This Row],[Ret-Bud-RU]]</f>
        <v>0</v>
      </c>
      <c r="V947" s="32">
        <f>DaybyDay[[#This Row],[Serv-Act-RU]]+DaybyDay[[#This Row],[Ret-Act-RU]]</f>
        <v>0</v>
      </c>
      <c r="W947" s="36">
        <f>IF(DaybyDay[[#This Row],[_Space]],IFERROR(
((DaybyDay[[#This Row],[Actual-Rollup]]-DaybyDay[[#This Row],[Budget-Rollup]])/DaybyDay[[#This Row],[Budget-Rollup]]),0),"")</f>
        <v>0</v>
      </c>
      <c r="X947" t="b">
        <f>NOT(AND(ISBLANK(DaybyDay[[#This Row],[Appts]]),ISBLANK(DaybyDay[[#This Row],[Service-Actuals]]),ISBLANK(DaybyDay[[#This Row],[Retail-Actuals]])))</f>
        <v>1</v>
      </c>
      <c r="Y947" s="36">
        <f>IF(DaybyDay[[#This Row],[_Space]],IFERROR(
((DaybyDay[[#This Row],[Actual-Rollup]]-DaybyDay[[#This Row],[LY-Rollup]])/DaybyDay[[#This Row],[LY-Rollup]]),0),"")</f>
        <v>0</v>
      </c>
      <c r="Z947"/>
      <c r="AA947" s="37" t="e">
        <f>IF(DaybyDay[[#This Row],[_Space]],DaybyDay[[#This Row],[Ret-Act-RU]]/DaybyDay[[#This Row],[Serv-Act-RU]],"")</f>
        <v>#DIV/0!</v>
      </c>
      <c r="AB947" s="50" t="e">
        <f>IF(DaybyDay[[#This Row],[_Space]],DaybyDay[[#This Row],[RETPEN-Act]]/DaybyDay[[#This Row],[RETPEN-Bud]],"")</f>
        <v>#DIV/0!</v>
      </c>
      <c r="AC947" s="37" t="e">
        <f>IF(DaybyDay[[#This Row],[_Space]],DaybyDay[[#This Row],[Ret-Bud-RU]]/DaybyDay[[#This Row],[Serv-Bud-RU]],"")</f>
        <v>#DIV/0!</v>
      </c>
      <c r="AD947" s="37" t="e">
        <f>IF(DaybyDay[[#This Row],[_Space]],DaybyDay[[#This Row],[Ret-LY-RU]]/DaybyDay[[#This Row],[Serv-LY-RU]],"")</f>
        <v>#DIV/0!</v>
      </c>
      <c r="AE947" s="30">
        <f>WEEKDAY(DaybyDay[[#This Row],[LY-Date]])</f>
        <v>3</v>
      </c>
      <c r="AF947" s="38">
        <f>$E$2+_xlfn.DAYS(DaybyDay[[#This Row],[Date]],minDate)</f>
        <v>43312</v>
      </c>
      <c r="AG947" s="39" cm="1">
        <f t="array" ref="AG947">IFERROR(INDEX(DaybyDay[],DaybyDay[[#This Row],[FORM_MATCH_HELPER]],8),"")</f>
        <v>16</v>
      </c>
      <c r="AH947" s="39" cm="1">
        <f t="array" ref="AH947">IFERROR(INDEX(DaybyDay[],DaybyDay[[#This Row],[FORM_MATCH_HELPER]],10),"")</f>
        <v>3708.4</v>
      </c>
      <c r="AI947" s="39" cm="1">
        <f t="array" ref="AI947">IFERROR(INDEX(DaybyDay[],DaybyDay[[#This Row],[FORM_MATCH_HELPER]],12),"")</f>
        <v>510</v>
      </c>
      <c r="AJ947" s="32">
        <f>IFERROR(DaybyDay[[#This Row],[Serv-LY-RU]]+DaybyDay[[#This Row],[Ret-LY-RU]],"")</f>
        <v>0</v>
      </c>
      <c r="AK9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7" s="77"/>
      <c r="AM947" s="40" t="str">
        <f>IF(DaybyDay[[#This Row],[Admin Hours]]&gt;0,DaybyDay[[#This Row],[Admin Hours]]*$AM$2+$AM$3,"")</f>
        <v/>
      </c>
      <c r="AN947" s="40">
        <f>SUMIFS(DaybyDay[Est-Admin-Payroll],DaybyDay[Date],"&gt;="&amp;$C$5,DaybyDay[RowYear],"&gt;="&amp;$C$4,DaybyDay[Date],"&lt;="&amp;DaybyDay[[#This Row],[Date]])</f>
        <v>0</v>
      </c>
      <c r="AO947" s="41" t="str">
        <f>IF(AND(DaybyDay[[#This Row],[_Space]],ISNUMBER(DaybyDay[[#This Row],[Admin Hours]])),DaybyDay[[#This Row],[Est-Admin-Payroll]]/(DaybyDay[[#This Row],[Service-Actuals]]+DaybyDay[[#This Row],[Retail-Actuals]]),"")</f>
        <v/>
      </c>
      <c r="AP947" s="41" t="e">
        <f>DaybyDay[[#This Row],[Estimated-Payroll-Rollup]]/DaybyDay[[#This Row],[Simple-Forecast]]</f>
        <v>#DIV/0!</v>
      </c>
      <c r="AQ9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7" s="77"/>
      <c r="AS947" s="40" t="str">
        <f>IF(DaybyDay[[#This Row],[Retail Hours]]&gt;0,DaybyDay[[#This Row],[Retail Hours]]*$AS$2,"")</f>
        <v/>
      </c>
      <c r="AT947" s="40">
        <f>SUMIFS(DaybyDay[Est-Retail-Payroll],DaybyDay[Date],"&gt;="&amp;$C$5,DaybyDay[RowYear],"&gt;="&amp;$C$4,DaybyDay[Date],"&lt;="&amp;DaybyDay[[#This Row],[Date]])</f>
        <v>0</v>
      </c>
      <c r="AU947" s="82" t="str">
        <f>IF(AND(DaybyDay[[#This Row],[_Space]],ISNUMBER(DaybyDay[[#This Row],[Retail Hours]])),DaybyDay[[#This Row],[Est-Retail-Payroll]]/(DaybyDay[[#This Row],[Retail-Actuals]]),"")</f>
        <v/>
      </c>
      <c r="AV947" s="82" t="e">
        <f>DaybyDay[[#This Row],[Est-Retail-PayrollRU]]/DaybyDay[[#This Row],[Simple-Forecast-Retail]]</f>
        <v>#DIV/0!</v>
      </c>
      <c r="AW947" s="8"/>
      <c r="AX947" s="49"/>
      <c r="AY947" s="48"/>
      <c r="AZ947" s="47"/>
      <c r="BA947" s="47"/>
      <c r="BB947" s="47"/>
      <c r="BC947" s="47"/>
      <c r="BD947" s="47"/>
    </row>
    <row r="948" spans="3:56" hidden="1" x14ac:dyDescent="0.25">
      <c r="C948" s="26" t="str">
        <f>Tools!$C$1</f>
        <v>Example</v>
      </c>
      <c r="D948" s="27" t="s">
        <v>74</v>
      </c>
      <c r="E948" s="28">
        <v>2019</v>
      </c>
      <c r="F948" s="28">
        <f>MATCH(DaybyDay[[#This Row],[RowMonth]],Table3[SummaryMonth],0)</f>
        <v>7</v>
      </c>
      <c r="G948" s="29">
        <f>MATCH(DaybyDay[[#This Row],[LY-Date]],DaybyDay[Date],0)</f>
        <v>578</v>
      </c>
      <c r="H948" s="30">
        <f>WEEKDAY(DaybyDay[[#This Row],[Date]])</f>
        <v>4</v>
      </c>
      <c r="I948" s="31">
        <v>43677</v>
      </c>
      <c r="J948" s="74">
        <v>21</v>
      </c>
      <c r="K948" s="32">
        <f>SUMIFS(BudgetSeasonality[365 Seasonality],BudgetSeasonality[MonthAdjustment],DaybyDay[[#This Row],[Date]])*SUMIFS(Budgets[Service-Budget],Budgets[BudgetMonth],DaybyDay[[#This Row],[RowMonth]],Budgets[BudgetYear],DaybyDay[[#This Row],[RowYear]])</f>
        <v>4180.1533278545185</v>
      </c>
      <c r="L948" s="75">
        <v>4250.7699999999995</v>
      </c>
      <c r="M948" s="32">
        <f>INDEX(BudgetSeasonality[365 Seasonality],MATCH(DaybyDay[[#This Row],[Date]],BudgetSeasonality[MonthAdjustment],0))*SUMIFS(Budgets[Retail-Budget],Budgets[BudgetMonth],DaybyDay[[#This Row],[RowMonth]],Budgets[BudgetYear],DaybyDay[[#This Row],[RowYear]])</f>
        <v>1113.1141662812288</v>
      </c>
      <c r="N948" s="75">
        <v>206.26</v>
      </c>
      <c r="O948" s="33">
        <f>SUMIFS(DaybyDay[Service-Budgets],DaybyDay[Date],"&gt;="&amp;$C$5,DaybyDay[RowYear],"&gt;="&amp;$C$4,DaybyDay[Date],"&lt;="&amp;DaybyDay[[#This Row],[Date]])</f>
        <v>0</v>
      </c>
      <c r="P948" s="33">
        <f>SUMIFS(DaybyDay[Retail-Budgets],DaybyDay[Date],"&gt;="&amp;$C$5,DaybyDay[RowYear],"&gt;="&amp;$C$4,DaybyDay[Date],"&lt;="&amp;DaybyDay[[#This Row],[Date]])</f>
        <v>0</v>
      </c>
      <c r="Q948" s="34">
        <f>SUMIFS(DaybyDay[Service-Actuals],DaybyDay[Date],"&gt;="&amp;$C$5,DaybyDay[RowYear],"&gt;="&amp;$C$4,DaybyDay[Date],"&lt;="&amp;DaybyDay[[#This Row],[Date]])</f>
        <v>0</v>
      </c>
      <c r="R948" s="34">
        <f>SUMIFS(DaybyDay[Retail-Actuals],DaybyDay[Date],"&gt;="&amp;$C$5,DaybyDay[RowYear],"&gt;="&amp;$C$4,DaybyDay[Date],"&lt;="&amp;DaybyDay[[#This Row],[Date]])</f>
        <v>0</v>
      </c>
      <c r="S948" s="35">
        <f>SUMIFS(DaybyDay[Service-LY],DaybyDay[Date],"&gt;="&amp;$C$5,DaybyDay[RowYear],"&gt;="&amp;$C$4,DaybyDay[Date],"&lt;="&amp;DaybyDay[[#This Row],[Date]])</f>
        <v>0</v>
      </c>
      <c r="T948" s="35">
        <f>SUMIFS(DaybyDay[Retail-LY],DaybyDay[Date],"&gt;="&amp;$C$5,DaybyDay[RowYear],"&gt;="&amp;$C$4,DaybyDay[Date],"&lt;="&amp;DaybyDay[[#This Row],[Date]])</f>
        <v>0</v>
      </c>
      <c r="U948" s="32">
        <f>DaybyDay[[#This Row],[Serv-Bud-RU]]+DaybyDay[[#This Row],[Ret-Bud-RU]]</f>
        <v>0</v>
      </c>
      <c r="V948" s="32">
        <f>DaybyDay[[#This Row],[Serv-Act-RU]]+DaybyDay[[#This Row],[Ret-Act-RU]]</f>
        <v>0</v>
      </c>
      <c r="W948" s="36">
        <f>IF(DaybyDay[[#This Row],[_Space]],IFERROR(
((DaybyDay[[#This Row],[Actual-Rollup]]-DaybyDay[[#This Row],[Budget-Rollup]])/DaybyDay[[#This Row],[Budget-Rollup]]),0),"")</f>
        <v>0</v>
      </c>
      <c r="X948" t="b">
        <f>NOT(AND(ISBLANK(DaybyDay[[#This Row],[Appts]]),ISBLANK(DaybyDay[[#This Row],[Service-Actuals]]),ISBLANK(DaybyDay[[#This Row],[Retail-Actuals]])))</f>
        <v>1</v>
      </c>
      <c r="Y948" s="36">
        <f>IF(DaybyDay[[#This Row],[_Space]],IFERROR(
((DaybyDay[[#This Row],[Actual-Rollup]]-DaybyDay[[#This Row],[LY-Rollup]])/DaybyDay[[#This Row],[LY-Rollup]]),0),"")</f>
        <v>0</v>
      </c>
      <c r="Z948"/>
      <c r="AA948" s="37" t="e">
        <f>IF(DaybyDay[[#This Row],[_Space]],DaybyDay[[#This Row],[Ret-Act-RU]]/DaybyDay[[#This Row],[Serv-Act-RU]],"")</f>
        <v>#DIV/0!</v>
      </c>
      <c r="AB948" s="50" t="e">
        <f>IF(DaybyDay[[#This Row],[_Space]],DaybyDay[[#This Row],[RETPEN-Act]]/DaybyDay[[#This Row],[RETPEN-Bud]],"")</f>
        <v>#DIV/0!</v>
      </c>
      <c r="AC948" s="37" t="e">
        <f>IF(DaybyDay[[#This Row],[_Space]],DaybyDay[[#This Row],[Ret-Bud-RU]]/DaybyDay[[#This Row],[Serv-Bud-RU]],"")</f>
        <v>#DIV/0!</v>
      </c>
      <c r="AD948" s="37" t="e">
        <f>IF(DaybyDay[[#This Row],[_Space]],DaybyDay[[#This Row],[Ret-LY-RU]]/DaybyDay[[#This Row],[Serv-LY-RU]],"")</f>
        <v>#DIV/0!</v>
      </c>
      <c r="AE948" s="30">
        <f>WEEKDAY(DaybyDay[[#This Row],[LY-Date]])</f>
        <v>4</v>
      </c>
      <c r="AF948" s="38">
        <f>$E$2+_xlfn.DAYS(DaybyDay[[#This Row],[Date]],minDate)</f>
        <v>43313</v>
      </c>
      <c r="AG948" s="39" cm="1">
        <f t="array" ref="AG948">IFERROR(INDEX(DaybyDay[],DaybyDay[[#This Row],[FORM_MATCH_HELPER]],8),"")</f>
        <v>26</v>
      </c>
      <c r="AH948" s="39" cm="1">
        <f t="array" ref="AH948">IFERROR(INDEX(DaybyDay[],DaybyDay[[#This Row],[FORM_MATCH_HELPER]],10),"")</f>
        <v>4099.5</v>
      </c>
      <c r="AI948" s="39" cm="1">
        <f t="array" ref="AI948">IFERROR(INDEX(DaybyDay[],DaybyDay[[#This Row],[FORM_MATCH_HELPER]],12),"")</f>
        <v>895.45</v>
      </c>
      <c r="AJ948" s="32">
        <f>IFERROR(DaybyDay[[#This Row],[Serv-LY-RU]]+DaybyDay[[#This Row],[Ret-LY-RU]],"")</f>
        <v>0</v>
      </c>
      <c r="AK9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8" s="77"/>
      <c r="AM948" s="40" t="str">
        <f>IF(DaybyDay[[#This Row],[Admin Hours]]&gt;0,DaybyDay[[#This Row],[Admin Hours]]*$AM$2+$AM$3,"")</f>
        <v/>
      </c>
      <c r="AN948" s="40">
        <f>SUMIFS(DaybyDay[Est-Admin-Payroll],DaybyDay[Date],"&gt;="&amp;$C$5,DaybyDay[RowYear],"&gt;="&amp;$C$4,DaybyDay[Date],"&lt;="&amp;DaybyDay[[#This Row],[Date]])</f>
        <v>0</v>
      </c>
      <c r="AO948" s="41" t="str">
        <f>IF(AND(DaybyDay[[#This Row],[_Space]],ISNUMBER(DaybyDay[[#This Row],[Admin Hours]])),DaybyDay[[#This Row],[Est-Admin-Payroll]]/(DaybyDay[[#This Row],[Service-Actuals]]+DaybyDay[[#This Row],[Retail-Actuals]]),"")</f>
        <v/>
      </c>
      <c r="AP948" s="41" t="e">
        <f>DaybyDay[[#This Row],[Estimated-Payroll-Rollup]]/DaybyDay[[#This Row],[Simple-Forecast]]</f>
        <v>#DIV/0!</v>
      </c>
      <c r="AQ9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8" s="77"/>
      <c r="AS948" s="40" t="str">
        <f>IF(DaybyDay[[#This Row],[Retail Hours]]&gt;0,DaybyDay[[#This Row],[Retail Hours]]*$AS$2,"")</f>
        <v/>
      </c>
      <c r="AT948" s="40">
        <f>SUMIFS(DaybyDay[Est-Retail-Payroll],DaybyDay[Date],"&gt;="&amp;$C$5,DaybyDay[RowYear],"&gt;="&amp;$C$4,DaybyDay[Date],"&lt;="&amp;DaybyDay[[#This Row],[Date]])</f>
        <v>0</v>
      </c>
      <c r="AU948" s="82" t="str">
        <f>IF(AND(DaybyDay[[#This Row],[_Space]],ISNUMBER(DaybyDay[[#This Row],[Retail Hours]])),DaybyDay[[#This Row],[Est-Retail-Payroll]]/(DaybyDay[[#This Row],[Retail-Actuals]]),"")</f>
        <v/>
      </c>
      <c r="AV948" s="82" t="e">
        <f>DaybyDay[[#This Row],[Est-Retail-PayrollRU]]/DaybyDay[[#This Row],[Simple-Forecast-Retail]]</f>
        <v>#DIV/0!</v>
      </c>
      <c r="AW948" s="8"/>
      <c r="AX948" s="49"/>
      <c r="AY948" s="48"/>
      <c r="AZ948" s="47"/>
      <c r="BA948" s="47"/>
      <c r="BB948" s="47"/>
      <c r="BC948" s="47"/>
      <c r="BD948" s="47"/>
    </row>
    <row r="949" spans="3:56" hidden="1" x14ac:dyDescent="0.25">
      <c r="C949" s="26" t="str">
        <f>Tools!$C$1</f>
        <v>Example</v>
      </c>
      <c r="D949" s="27" t="s">
        <v>74</v>
      </c>
      <c r="E949" s="28">
        <v>2019</v>
      </c>
      <c r="F949" s="28">
        <f>MATCH(DaybyDay[[#This Row],[RowMonth]],Table3[SummaryMonth],0)</f>
        <v>7</v>
      </c>
      <c r="G949" s="29">
        <f>MATCH(DaybyDay[[#This Row],[LY-Date]],DaybyDay[Date],0)</f>
        <v>579</v>
      </c>
      <c r="H949" s="30">
        <f>WEEKDAY(DaybyDay[[#This Row],[Date]])</f>
        <v>5</v>
      </c>
      <c r="I949" s="31">
        <v>43678</v>
      </c>
      <c r="J949" s="74">
        <v>23</v>
      </c>
      <c r="K949" s="32">
        <f>SUMIFS(BudgetSeasonality[365 Seasonality],BudgetSeasonality[MonthAdjustment],DaybyDay[[#This Row],[Date]])*SUMIFS(Budgets[Service-Budget],Budgets[BudgetMonth],DaybyDay[[#This Row],[RowMonth]],Budgets[BudgetYear],DaybyDay[[#This Row],[RowYear]])</f>
        <v>4277.5484608565384</v>
      </c>
      <c r="L949" s="75">
        <v>4679.2</v>
      </c>
      <c r="M949" s="32">
        <f>INDEX(BudgetSeasonality[365 Seasonality],MATCH(DaybyDay[[#This Row],[Date]],BudgetSeasonality[MonthAdjustment],0))*SUMIFS(Budgets[Retail-Budget],Budgets[BudgetMonth],DaybyDay[[#This Row],[RowMonth]],Budgets[BudgetYear],DaybyDay[[#This Row],[RowYear]])</f>
        <v>1139.049076742285</v>
      </c>
      <c r="N949" s="75">
        <v>861.8</v>
      </c>
      <c r="O949" s="33">
        <f>SUMIFS(DaybyDay[Service-Budgets],DaybyDay[Date],"&gt;="&amp;$C$5,DaybyDay[RowYear],"&gt;="&amp;$C$4,DaybyDay[Date],"&lt;="&amp;DaybyDay[[#This Row],[Date]])</f>
        <v>0</v>
      </c>
      <c r="P949" s="33">
        <f>SUMIFS(DaybyDay[Retail-Budgets],DaybyDay[Date],"&gt;="&amp;$C$5,DaybyDay[RowYear],"&gt;="&amp;$C$4,DaybyDay[Date],"&lt;="&amp;DaybyDay[[#This Row],[Date]])</f>
        <v>0</v>
      </c>
      <c r="Q949" s="34">
        <f>SUMIFS(DaybyDay[Service-Actuals],DaybyDay[Date],"&gt;="&amp;$C$5,DaybyDay[RowYear],"&gt;="&amp;$C$4,DaybyDay[Date],"&lt;="&amp;DaybyDay[[#This Row],[Date]])</f>
        <v>0</v>
      </c>
      <c r="R949" s="34">
        <f>SUMIFS(DaybyDay[Retail-Actuals],DaybyDay[Date],"&gt;="&amp;$C$5,DaybyDay[RowYear],"&gt;="&amp;$C$4,DaybyDay[Date],"&lt;="&amp;DaybyDay[[#This Row],[Date]])</f>
        <v>0</v>
      </c>
      <c r="S949" s="35">
        <f>SUMIFS(DaybyDay[Service-LY],DaybyDay[Date],"&gt;="&amp;$C$5,DaybyDay[RowYear],"&gt;="&amp;$C$4,DaybyDay[Date],"&lt;="&amp;DaybyDay[[#This Row],[Date]])</f>
        <v>0</v>
      </c>
      <c r="T949" s="35">
        <f>SUMIFS(DaybyDay[Retail-LY],DaybyDay[Date],"&gt;="&amp;$C$5,DaybyDay[RowYear],"&gt;="&amp;$C$4,DaybyDay[Date],"&lt;="&amp;DaybyDay[[#This Row],[Date]])</f>
        <v>0</v>
      </c>
      <c r="U949" s="32">
        <f>DaybyDay[[#This Row],[Serv-Bud-RU]]+DaybyDay[[#This Row],[Ret-Bud-RU]]</f>
        <v>0</v>
      </c>
      <c r="V949" s="32">
        <f>DaybyDay[[#This Row],[Serv-Act-RU]]+DaybyDay[[#This Row],[Ret-Act-RU]]</f>
        <v>0</v>
      </c>
      <c r="W949" s="36">
        <f>IF(DaybyDay[[#This Row],[_Space]],IFERROR(
((DaybyDay[[#This Row],[Actual-Rollup]]-DaybyDay[[#This Row],[Budget-Rollup]])/DaybyDay[[#This Row],[Budget-Rollup]]),0),"")</f>
        <v>0</v>
      </c>
      <c r="X949" t="b">
        <f>NOT(AND(ISBLANK(DaybyDay[[#This Row],[Appts]]),ISBLANK(DaybyDay[[#This Row],[Service-Actuals]]),ISBLANK(DaybyDay[[#This Row],[Retail-Actuals]])))</f>
        <v>1</v>
      </c>
      <c r="Y949" s="36">
        <f>IF(DaybyDay[[#This Row],[_Space]],IFERROR(
((DaybyDay[[#This Row],[Actual-Rollup]]-DaybyDay[[#This Row],[LY-Rollup]])/DaybyDay[[#This Row],[LY-Rollup]]),0),"")</f>
        <v>0</v>
      </c>
      <c r="Z949"/>
      <c r="AA949" s="37" t="e">
        <f>IF(DaybyDay[[#This Row],[_Space]],DaybyDay[[#This Row],[Ret-Act-RU]]/DaybyDay[[#This Row],[Serv-Act-RU]],"")</f>
        <v>#DIV/0!</v>
      </c>
      <c r="AB949" s="50" t="e">
        <f>IF(DaybyDay[[#This Row],[_Space]],DaybyDay[[#This Row],[RETPEN-Act]]/DaybyDay[[#This Row],[RETPEN-Bud]],"")</f>
        <v>#DIV/0!</v>
      </c>
      <c r="AC949" s="37" t="e">
        <f>IF(DaybyDay[[#This Row],[_Space]],DaybyDay[[#This Row],[Ret-Bud-RU]]/DaybyDay[[#This Row],[Serv-Bud-RU]],"")</f>
        <v>#DIV/0!</v>
      </c>
      <c r="AD949" s="37" t="e">
        <f>IF(DaybyDay[[#This Row],[_Space]],DaybyDay[[#This Row],[Ret-LY-RU]]/DaybyDay[[#This Row],[Serv-LY-RU]],"")</f>
        <v>#DIV/0!</v>
      </c>
      <c r="AE949" s="30">
        <f>WEEKDAY(DaybyDay[[#This Row],[LY-Date]])</f>
        <v>5</v>
      </c>
      <c r="AF949" s="38">
        <f>$E$2+_xlfn.DAYS(DaybyDay[[#This Row],[Date]],minDate)</f>
        <v>43314</v>
      </c>
      <c r="AG949" s="39" cm="1">
        <f t="array" ref="AG949">IFERROR(INDEX(DaybyDay[],DaybyDay[[#This Row],[FORM_MATCH_HELPER]],8),"")</f>
        <v>21</v>
      </c>
      <c r="AH949" s="39" cm="1">
        <f t="array" ref="AH949">IFERROR(INDEX(DaybyDay[],DaybyDay[[#This Row],[FORM_MATCH_HELPER]],10),"")</f>
        <v>4294</v>
      </c>
      <c r="AI949" s="39" cm="1">
        <f t="array" ref="AI949">IFERROR(INDEX(DaybyDay[],DaybyDay[[#This Row],[FORM_MATCH_HELPER]],12),"")</f>
        <v>1580</v>
      </c>
      <c r="AJ949" s="32">
        <f>IFERROR(DaybyDay[[#This Row],[Serv-LY-RU]]+DaybyDay[[#This Row],[Ret-LY-RU]],"")</f>
        <v>0</v>
      </c>
      <c r="AK9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49" s="77"/>
      <c r="AM949" s="40" t="str">
        <f>IF(DaybyDay[[#This Row],[Admin Hours]]&gt;0,DaybyDay[[#This Row],[Admin Hours]]*$AM$2+$AM$3,"")</f>
        <v/>
      </c>
      <c r="AN949" s="40">
        <f>SUMIFS(DaybyDay[Est-Admin-Payroll],DaybyDay[Date],"&gt;="&amp;$C$5,DaybyDay[RowYear],"&gt;="&amp;$C$4,DaybyDay[Date],"&lt;="&amp;DaybyDay[[#This Row],[Date]])</f>
        <v>0</v>
      </c>
      <c r="AO949" s="41" t="str">
        <f>IF(AND(DaybyDay[[#This Row],[_Space]],ISNUMBER(DaybyDay[[#This Row],[Admin Hours]])),DaybyDay[[#This Row],[Est-Admin-Payroll]]/(DaybyDay[[#This Row],[Service-Actuals]]+DaybyDay[[#This Row],[Retail-Actuals]]),"")</f>
        <v/>
      </c>
      <c r="AP949" s="41" t="e">
        <f>DaybyDay[[#This Row],[Estimated-Payroll-Rollup]]/DaybyDay[[#This Row],[Simple-Forecast]]</f>
        <v>#DIV/0!</v>
      </c>
      <c r="AQ9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49" s="77"/>
      <c r="AS949" s="40" t="str">
        <f>IF(DaybyDay[[#This Row],[Retail Hours]]&gt;0,DaybyDay[[#This Row],[Retail Hours]]*$AS$2,"")</f>
        <v/>
      </c>
      <c r="AT949" s="40">
        <f>SUMIFS(DaybyDay[Est-Retail-Payroll],DaybyDay[Date],"&gt;="&amp;$C$5,DaybyDay[RowYear],"&gt;="&amp;$C$4,DaybyDay[Date],"&lt;="&amp;DaybyDay[[#This Row],[Date]])</f>
        <v>0</v>
      </c>
      <c r="AU949" s="82" t="str">
        <f>IF(AND(DaybyDay[[#This Row],[_Space]],ISNUMBER(DaybyDay[[#This Row],[Retail Hours]])),DaybyDay[[#This Row],[Est-Retail-Payroll]]/(DaybyDay[[#This Row],[Retail-Actuals]]),"")</f>
        <v/>
      </c>
      <c r="AV949" s="82" t="e">
        <f>DaybyDay[[#This Row],[Est-Retail-PayrollRU]]/DaybyDay[[#This Row],[Simple-Forecast-Retail]]</f>
        <v>#DIV/0!</v>
      </c>
      <c r="AW949" s="8"/>
      <c r="AX949" s="49"/>
      <c r="AY949" s="48"/>
      <c r="AZ949" s="47"/>
      <c r="BA949" s="47"/>
      <c r="BB949" s="47"/>
      <c r="BC949" s="47"/>
      <c r="BD949" s="47"/>
    </row>
    <row r="950" spans="3:56" hidden="1" x14ac:dyDescent="0.25">
      <c r="C950" s="26" t="str">
        <f>Tools!$C$1</f>
        <v>Example</v>
      </c>
      <c r="D950" s="27" t="s">
        <v>74</v>
      </c>
      <c r="E950" s="28">
        <v>2019</v>
      </c>
      <c r="F950" s="28">
        <f>MATCH(DaybyDay[[#This Row],[RowMonth]],Table3[SummaryMonth],0)</f>
        <v>7</v>
      </c>
      <c r="G950" s="29">
        <f>MATCH(DaybyDay[[#This Row],[LY-Date]],DaybyDay[Date],0)</f>
        <v>580</v>
      </c>
      <c r="H950" s="30">
        <f>WEEKDAY(DaybyDay[[#This Row],[Date]])</f>
        <v>6</v>
      </c>
      <c r="I950" s="31">
        <v>43679</v>
      </c>
      <c r="J950" s="74">
        <v>30</v>
      </c>
      <c r="K950" s="32">
        <f>SUMIFS(BudgetSeasonality[365 Seasonality],BudgetSeasonality[MonthAdjustment],DaybyDay[[#This Row],[Date]])*SUMIFS(Budgets[Service-Budget],Budgets[BudgetMonth],DaybyDay[[#This Row],[RowMonth]],Budgets[BudgetYear],DaybyDay[[#This Row],[RowYear]])</f>
        <v>5334.8279279538565</v>
      </c>
      <c r="L950" s="75">
        <v>5782.9009999999998</v>
      </c>
      <c r="M950" s="32">
        <f>INDEX(BudgetSeasonality[365 Seasonality],MATCH(DaybyDay[[#This Row],[Date]],BudgetSeasonality[MonthAdjustment],0))*SUMIFS(Budgets[Retail-Budget],Budgets[BudgetMonth],DaybyDay[[#This Row],[RowMonth]],Budgets[BudgetYear],DaybyDay[[#This Row],[RowYear]])</f>
        <v>1420.5872549478981</v>
      </c>
      <c r="N950" s="75">
        <v>2531.89</v>
      </c>
      <c r="O950" s="33">
        <f>SUMIFS(DaybyDay[Service-Budgets],DaybyDay[Date],"&gt;="&amp;$C$5,DaybyDay[RowYear],"&gt;="&amp;$C$4,DaybyDay[Date],"&lt;="&amp;DaybyDay[[#This Row],[Date]])</f>
        <v>0</v>
      </c>
      <c r="P950" s="33">
        <f>SUMIFS(DaybyDay[Retail-Budgets],DaybyDay[Date],"&gt;="&amp;$C$5,DaybyDay[RowYear],"&gt;="&amp;$C$4,DaybyDay[Date],"&lt;="&amp;DaybyDay[[#This Row],[Date]])</f>
        <v>0</v>
      </c>
      <c r="Q950" s="34">
        <f>SUMIFS(DaybyDay[Service-Actuals],DaybyDay[Date],"&gt;="&amp;$C$5,DaybyDay[RowYear],"&gt;="&amp;$C$4,DaybyDay[Date],"&lt;="&amp;DaybyDay[[#This Row],[Date]])</f>
        <v>0</v>
      </c>
      <c r="R950" s="34">
        <f>SUMIFS(DaybyDay[Retail-Actuals],DaybyDay[Date],"&gt;="&amp;$C$5,DaybyDay[RowYear],"&gt;="&amp;$C$4,DaybyDay[Date],"&lt;="&amp;DaybyDay[[#This Row],[Date]])</f>
        <v>0</v>
      </c>
      <c r="S950" s="35">
        <f>SUMIFS(DaybyDay[Service-LY],DaybyDay[Date],"&gt;="&amp;$C$5,DaybyDay[RowYear],"&gt;="&amp;$C$4,DaybyDay[Date],"&lt;="&amp;DaybyDay[[#This Row],[Date]])</f>
        <v>0</v>
      </c>
      <c r="T950" s="35">
        <f>SUMIFS(DaybyDay[Retail-LY],DaybyDay[Date],"&gt;="&amp;$C$5,DaybyDay[RowYear],"&gt;="&amp;$C$4,DaybyDay[Date],"&lt;="&amp;DaybyDay[[#This Row],[Date]])</f>
        <v>0</v>
      </c>
      <c r="U950" s="32">
        <f>DaybyDay[[#This Row],[Serv-Bud-RU]]+DaybyDay[[#This Row],[Ret-Bud-RU]]</f>
        <v>0</v>
      </c>
      <c r="V950" s="32">
        <f>DaybyDay[[#This Row],[Serv-Act-RU]]+DaybyDay[[#This Row],[Ret-Act-RU]]</f>
        <v>0</v>
      </c>
      <c r="W950" s="36">
        <f>IF(DaybyDay[[#This Row],[_Space]],IFERROR(
((DaybyDay[[#This Row],[Actual-Rollup]]-DaybyDay[[#This Row],[Budget-Rollup]])/DaybyDay[[#This Row],[Budget-Rollup]]),0),"")</f>
        <v>0</v>
      </c>
      <c r="X950" t="b">
        <f>NOT(AND(ISBLANK(DaybyDay[[#This Row],[Appts]]),ISBLANK(DaybyDay[[#This Row],[Service-Actuals]]),ISBLANK(DaybyDay[[#This Row],[Retail-Actuals]])))</f>
        <v>1</v>
      </c>
      <c r="Y950" s="36">
        <f>IF(DaybyDay[[#This Row],[_Space]],IFERROR(
((DaybyDay[[#This Row],[Actual-Rollup]]-DaybyDay[[#This Row],[LY-Rollup]])/DaybyDay[[#This Row],[LY-Rollup]]),0),"")</f>
        <v>0</v>
      </c>
      <c r="Z950"/>
      <c r="AA950" s="37" t="e">
        <f>IF(DaybyDay[[#This Row],[_Space]],DaybyDay[[#This Row],[Ret-Act-RU]]/DaybyDay[[#This Row],[Serv-Act-RU]],"")</f>
        <v>#DIV/0!</v>
      </c>
      <c r="AB950" s="50" t="e">
        <f>IF(DaybyDay[[#This Row],[_Space]],DaybyDay[[#This Row],[RETPEN-Act]]/DaybyDay[[#This Row],[RETPEN-Bud]],"")</f>
        <v>#DIV/0!</v>
      </c>
      <c r="AC950" s="37" t="e">
        <f>IF(DaybyDay[[#This Row],[_Space]],DaybyDay[[#This Row],[Ret-Bud-RU]]/DaybyDay[[#This Row],[Serv-Bud-RU]],"")</f>
        <v>#DIV/0!</v>
      </c>
      <c r="AD950" s="37" t="e">
        <f>IF(DaybyDay[[#This Row],[_Space]],DaybyDay[[#This Row],[Ret-LY-RU]]/DaybyDay[[#This Row],[Serv-LY-RU]],"")</f>
        <v>#DIV/0!</v>
      </c>
      <c r="AE950" s="30">
        <f>WEEKDAY(DaybyDay[[#This Row],[LY-Date]])</f>
        <v>6</v>
      </c>
      <c r="AF950" s="38">
        <f>$E$2+_xlfn.DAYS(DaybyDay[[#This Row],[Date]],minDate)</f>
        <v>43315</v>
      </c>
      <c r="AG950" s="39" cm="1">
        <f t="array" ref="AG950">IFERROR(INDEX(DaybyDay[],DaybyDay[[#This Row],[FORM_MATCH_HELPER]],8),"")</f>
        <v>22</v>
      </c>
      <c r="AH950" s="39" cm="1">
        <f t="array" ref="AH950">IFERROR(INDEX(DaybyDay[],DaybyDay[[#This Row],[FORM_MATCH_HELPER]],10),"")</f>
        <v>5027.99</v>
      </c>
      <c r="AI950" s="39" cm="1">
        <f t="array" ref="AI950">IFERROR(INDEX(DaybyDay[],DaybyDay[[#This Row],[FORM_MATCH_HELPER]],12),"")</f>
        <v>439</v>
      </c>
      <c r="AJ950" s="32">
        <f>IFERROR(DaybyDay[[#This Row],[Serv-LY-RU]]+DaybyDay[[#This Row],[Ret-LY-RU]],"")</f>
        <v>0</v>
      </c>
      <c r="AK9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0" s="77"/>
      <c r="AM950" s="40" t="str">
        <f>IF(DaybyDay[[#This Row],[Admin Hours]]&gt;0,DaybyDay[[#This Row],[Admin Hours]]*$AM$2+$AM$3,"")</f>
        <v/>
      </c>
      <c r="AN950" s="40">
        <f>SUMIFS(DaybyDay[Est-Admin-Payroll],DaybyDay[Date],"&gt;="&amp;$C$5,DaybyDay[RowYear],"&gt;="&amp;$C$4,DaybyDay[Date],"&lt;="&amp;DaybyDay[[#This Row],[Date]])</f>
        <v>0</v>
      </c>
      <c r="AO950" s="41" t="str">
        <f>IF(AND(DaybyDay[[#This Row],[_Space]],ISNUMBER(DaybyDay[[#This Row],[Admin Hours]])),DaybyDay[[#This Row],[Est-Admin-Payroll]]/(DaybyDay[[#This Row],[Service-Actuals]]+DaybyDay[[#This Row],[Retail-Actuals]]),"")</f>
        <v/>
      </c>
      <c r="AP950" s="41" t="e">
        <f>DaybyDay[[#This Row],[Estimated-Payroll-Rollup]]/DaybyDay[[#This Row],[Simple-Forecast]]</f>
        <v>#DIV/0!</v>
      </c>
      <c r="AQ9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0" s="77"/>
      <c r="AS950" s="40" t="str">
        <f>IF(DaybyDay[[#This Row],[Retail Hours]]&gt;0,DaybyDay[[#This Row],[Retail Hours]]*$AS$2,"")</f>
        <v/>
      </c>
      <c r="AT950" s="40">
        <f>SUMIFS(DaybyDay[Est-Retail-Payroll],DaybyDay[Date],"&gt;="&amp;$C$5,DaybyDay[RowYear],"&gt;="&amp;$C$4,DaybyDay[Date],"&lt;="&amp;DaybyDay[[#This Row],[Date]])</f>
        <v>0</v>
      </c>
      <c r="AU950" s="82" t="str">
        <f>IF(AND(DaybyDay[[#This Row],[_Space]],ISNUMBER(DaybyDay[[#This Row],[Retail Hours]])),DaybyDay[[#This Row],[Est-Retail-Payroll]]/(DaybyDay[[#This Row],[Retail-Actuals]]),"")</f>
        <v/>
      </c>
      <c r="AV950" s="82" t="e">
        <f>DaybyDay[[#This Row],[Est-Retail-PayrollRU]]/DaybyDay[[#This Row],[Simple-Forecast-Retail]]</f>
        <v>#DIV/0!</v>
      </c>
      <c r="AW950" s="8"/>
      <c r="AX950" s="49"/>
      <c r="AY950" s="48"/>
      <c r="AZ950" s="47"/>
      <c r="BA950" s="47"/>
      <c r="BB950" s="47"/>
      <c r="BC950" s="47"/>
      <c r="BD950" s="47"/>
    </row>
    <row r="951" spans="3:56" hidden="1" x14ac:dyDescent="0.25">
      <c r="C951" s="26" t="str">
        <f>Tools!$C$1</f>
        <v>Example</v>
      </c>
      <c r="D951" s="27" t="s">
        <v>74</v>
      </c>
      <c r="E951" s="28">
        <v>2019</v>
      </c>
      <c r="F951" s="28">
        <f>MATCH(DaybyDay[[#This Row],[RowMonth]],Table3[SummaryMonth],0)</f>
        <v>7</v>
      </c>
      <c r="G951" s="29">
        <f>MATCH(DaybyDay[[#This Row],[LY-Date]],DaybyDay[Date],0)</f>
        <v>581</v>
      </c>
      <c r="H951" s="30">
        <f>WEEKDAY(DaybyDay[[#This Row],[Date]])</f>
        <v>7</v>
      </c>
      <c r="I951" s="31">
        <v>43680</v>
      </c>
      <c r="J951" s="74">
        <v>29</v>
      </c>
      <c r="K951" s="32">
        <f>SUMIFS(BudgetSeasonality[365 Seasonality],BudgetSeasonality[MonthAdjustment],DaybyDay[[#This Row],[Date]])*SUMIFS(Budgets[Service-Budget],Budgets[BudgetMonth],DaybyDay[[#This Row],[RowMonth]],Budgets[BudgetYear],DaybyDay[[#This Row],[RowYear]])</f>
        <v>7601.8044158837438</v>
      </c>
      <c r="L951" s="75">
        <v>8431.19</v>
      </c>
      <c r="M951" s="32">
        <f>INDEX(BudgetSeasonality[365 Seasonality],MATCH(DaybyDay[[#This Row],[Date]],BudgetSeasonality[MonthAdjustment],0))*SUMIFS(Budgets[Retail-Budget],Budgets[BudgetMonth],DaybyDay[[#This Row],[RowMonth]],Budgets[BudgetYear],DaybyDay[[#This Row],[RowYear]])</f>
        <v>2024.2501939426199</v>
      </c>
      <c r="N951" s="75">
        <v>616</v>
      </c>
      <c r="O951" s="33">
        <f>SUMIFS(DaybyDay[Service-Budgets],DaybyDay[Date],"&gt;="&amp;$C$5,DaybyDay[RowYear],"&gt;="&amp;$C$4,DaybyDay[Date],"&lt;="&amp;DaybyDay[[#This Row],[Date]])</f>
        <v>0</v>
      </c>
      <c r="P951" s="33">
        <f>SUMIFS(DaybyDay[Retail-Budgets],DaybyDay[Date],"&gt;="&amp;$C$5,DaybyDay[RowYear],"&gt;="&amp;$C$4,DaybyDay[Date],"&lt;="&amp;DaybyDay[[#This Row],[Date]])</f>
        <v>0</v>
      </c>
      <c r="Q951" s="34">
        <f>SUMIFS(DaybyDay[Service-Actuals],DaybyDay[Date],"&gt;="&amp;$C$5,DaybyDay[RowYear],"&gt;="&amp;$C$4,DaybyDay[Date],"&lt;="&amp;DaybyDay[[#This Row],[Date]])</f>
        <v>0</v>
      </c>
      <c r="R951" s="34">
        <f>SUMIFS(DaybyDay[Retail-Actuals],DaybyDay[Date],"&gt;="&amp;$C$5,DaybyDay[RowYear],"&gt;="&amp;$C$4,DaybyDay[Date],"&lt;="&amp;DaybyDay[[#This Row],[Date]])</f>
        <v>0</v>
      </c>
      <c r="S951" s="35">
        <f>SUMIFS(DaybyDay[Service-LY],DaybyDay[Date],"&gt;="&amp;$C$5,DaybyDay[RowYear],"&gt;="&amp;$C$4,DaybyDay[Date],"&lt;="&amp;DaybyDay[[#This Row],[Date]])</f>
        <v>0</v>
      </c>
      <c r="T951" s="35">
        <f>SUMIFS(DaybyDay[Retail-LY],DaybyDay[Date],"&gt;="&amp;$C$5,DaybyDay[RowYear],"&gt;="&amp;$C$4,DaybyDay[Date],"&lt;="&amp;DaybyDay[[#This Row],[Date]])</f>
        <v>0</v>
      </c>
      <c r="U951" s="32">
        <f>DaybyDay[[#This Row],[Serv-Bud-RU]]+DaybyDay[[#This Row],[Ret-Bud-RU]]</f>
        <v>0</v>
      </c>
      <c r="V951" s="32">
        <f>DaybyDay[[#This Row],[Serv-Act-RU]]+DaybyDay[[#This Row],[Ret-Act-RU]]</f>
        <v>0</v>
      </c>
      <c r="W951" s="36">
        <f>IF(DaybyDay[[#This Row],[_Space]],IFERROR(
((DaybyDay[[#This Row],[Actual-Rollup]]-DaybyDay[[#This Row],[Budget-Rollup]])/DaybyDay[[#This Row],[Budget-Rollup]]),0),"")</f>
        <v>0</v>
      </c>
      <c r="X951" t="b">
        <f>NOT(AND(ISBLANK(DaybyDay[[#This Row],[Appts]]),ISBLANK(DaybyDay[[#This Row],[Service-Actuals]]),ISBLANK(DaybyDay[[#This Row],[Retail-Actuals]])))</f>
        <v>1</v>
      </c>
      <c r="Y951" s="36">
        <f>IF(DaybyDay[[#This Row],[_Space]],IFERROR(
((DaybyDay[[#This Row],[Actual-Rollup]]-DaybyDay[[#This Row],[LY-Rollup]])/DaybyDay[[#This Row],[LY-Rollup]]),0),"")</f>
        <v>0</v>
      </c>
      <c r="Z951"/>
      <c r="AA951" s="37" t="e">
        <f>IF(DaybyDay[[#This Row],[_Space]],DaybyDay[[#This Row],[Ret-Act-RU]]/DaybyDay[[#This Row],[Serv-Act-RU]],"")</f>
        <v>#DIV/0!</v>
      </c>
      <c r="AB951" s="50" t="e">
        <f>IF(DaybyDay[[#This Row],[_Space]],DaybyDay[[#This Row],[RETPEN-Act]]/DaybyDay[[#This Row],[RETPEN-Bud]],"")</f>
        <v>#DIV/0!</v>
      </c>
      <c r="AC951" s="37" t="e">
        <f>IF(DaybyDay[[#This Row],[_Space]],DaybyDay[[#This Row],[Ret-Bud-RU]]/DaybyDay[[#This Row],[Serv-Bud-RU]],"")</f>
        <v>#DIV/0!</v>
      </c>
      <c r="AD951" s="37" t="e">
        <f>IF(DaybyDay[[#This Row],[_Space]],DaybyDay[[#This Row],[Ret-LY-RU]]/DaybyDay[[#This Row],[Serv-LY-RU]],"")</f>
        <v>#DIV/0!</v>
      </c>
      <c r="AE951" s="30">
        <f>WEEKDAY(DaybyDay[[#This Row],[LY-Date]])</f>
        <v>7</v>
      </c>
      <c r="AF951" s="38">
        <f>$E$2+_xlfn.DAYS(DaybyDay[[#This Row],[Date]],minDate)</f>
        <v>43316</v>
      </c>
      <c r="AG951" s="39" cm="1">
        <f t="array" ref="AG951">IFERROR(INDEX(DaybyDay[],DaybyDay[[#This Row],[FORM_MATCH_HELPER]],8),"")</f>
        <v>38</v>
      </c>
      <c r="AH951" s="39" cm="1">
        <f t="array" ref="AH951">IFERROR(INDEX(DaybyDay[],DaybyDay[[#This Row],[FORM_MATCH_HELPER]],10),"")</f>
        <v>7345.99</v>
      </c>
      <c r="AI951" s="39" cm="1">
        <f t="array" ref="AI951">IFERROR(INDEX(DaybyDay[],DaybyDay[[#This Row],[FORM_MATCH_HELPER]],12),"")</f>
        <v>3906</v>
      </c>
      <c r="AJ951" s="32">
        <f>IFERROR(DaybyDay[[#This Row],[Serv-LY-RU]]+DaybyDay[[#This Row],[Ret-LY-RU]],"")</f>
        <v>0</v>
      </c>
      <c r="AK9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1" s="77"/>
      <c r="AM951" s="40" t="str">
        <f>IF(DaybyDay[[#This Row],[Admin Hours]]&gt;0,DaybyDay[[#This Row],[Admin Hours]]*$AM$2+$AM$3,"")</f>
        <v/>
      </c>
      <c r="AN951" s="40">
        <f>SUMIFS(DaybyDay[Est-Admin-Payroll],DaybyDay[Date],"&gt;="&amp;$C$5,DaybyDay[RowYear],"&gt;="&amp;$C$4,DaybyDay[Date],"&lt;="&amp;DaybyDay[[#This Row],[Date]])</f>
        <v>0</v>
      </c>
      <c r="AO951" s="41" t="str">
        <f>IF(AND(DaybyDay[[#This Row],[_Space]],ISNUMBER(DaybyDay[[#This Row],[Admin Hours]])),DaybyDay[[#This Row],[Est-Admin-Payroll]]/(DaybyDay[[#This Row],[Service-Actuals]]+DaybyDay[[#This Row],[Retail-Actuals]]),"")</f>
        <v/>
      </c>
      <c r="AP951" s="41" t="e">
        <f>DaybyDay[[#This Row],[Estimated-Payroll-Rollup]]/DaybyDay[[#This Row],[Simple-Forecast]]</f>
        <v>#DIV/0!</v>
      </c>
      <c r="AQ9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1" s="77"/>
      <c r="AS951" s="40" t="str">
        <f>IF(DaybyDay[[#This Row],[Retail Hours]]&gt;0,DaybyDay[[#This Row],[Retail Hours]]*$AS$2,"")</f>
        <v/>
      </c>
      <c r="AT951" s="40">
        <f>SUMIFS(DaybyDay[Est-Retail-Payroll],DaybyDay[Date],"&gt;="&amp;$C$5,DaybyDay[RowYear],"&gt;="&amp;$C$4,DaybyDay[Date],"&lt;="&amp;DaybyDay[[#This Row],[Date]])</f>
        <v>0</v>
      </c>
      <c r="AU951" s="82" t="str">
        <f>IF(AND(DaybyDay[[#This Row],[_Space]],ISNUMBER(DaybyDay[[#This Row],[Retail Hours]])),DaybyDay[[#This Row],[Est-Retail-Payroll]]/(DaybyDay[[#This Row],[Retail-Actuals]]),"")</f>
        <v/>
      </c>
      <c r="AV951" s="82" t="e">
        <f>DaybyDay[[#This Row],[Est-Retail-PayrollRU]]/DaybyDay[[#This Row],[Simple-Forecast-Retail]]</f>
        <v>#DIV/0!</v>
      </c>
      <c r="AW951" s="8"/>
      <c r="AX951" s="49"/>
      <c r="AY951" s="48"/>
      <c r="AZ951" s="47"/>
      <c r="BA951" s="47"/>
      <c r="BB951" s="47"/>
      <c r="BC951" s="47"/>
      <c r="BD951" s="47"/>
    </row>
    <row r="952" spans="3:56" hidden="1" x14ac:dyDescent="0.25">
      <c r="C952" s="26" t="str">
        <f>Tools!$C$1</f>
        <v>Example</v>
      </c>
      <c r="D952" s="27" t="s">
        <v>75</v>
      </c>
      <c r="E952" s="28">
        <v>2019</v>
      </c>
      <c r="F952" s="28">
        <f>MATCH(DaybyDay[[#This Row],[RowMonth]],Table3[SummaryMonth],0)</f>
        <v>8</v>
      </c>
      <c r="G952" s="29">
        <f>MATCH(DaybyDay[[#This Row],[LY-Date]],DaybyDay[Date],0)</f>
        <v>582</v>
      </c>
      <c r="H952" s="30">
        <f>WEEKDAY(DaybyDay[[#This Row],[Date]])</f>
        <v>1</v>
      </c>
      <c r="I952" s="31">
        <v>43681</v>
      </c>
      <c r="J952" s="74">
        <v>27</v>
      </c>
      <c r="K952" s="32">
        <f>SUMIFS(BudgetSeasonality[365 Seasonality],BudgetSeasonality[MonthAdjustment],DaybyDay[[#This Row],[Date]])*SUMIFS(Budgets[Service-Budget],Budgets[BudgetMonth],DaybyDay[[#This Row],[RowMonth]],Budgets[BudgetYear],DaybyDay[[#This Row],[RowYear]])</f>
        <v>6470.2612915110876</v>
      </c>
      <c r="L952" s="75">
        <v>6478.13</v>
      </c>
      <c r="M952" s="32">
        <f>INDEX(BudgetSeasonality[365 Seasonality],MATCH(DaybyDay[[#This Row],[Date]],BudgetSeasonality[MonthAdjustment],0))*SUMIFS(Budgets[Retail-Budget],Budgets[BudgetMonth],DaybyDay[[#This Row],[RowMonth]],Budgets[BudgetYear],DaybyDay[[#This Row],[RowYear]])</f>
        <v>2414.8732167551725</v>
      </c>
      <c r="N952" s="75">
        <v>1207</v>
      </c>
      <c r="O952" s="33">
        <f>SUMIFS(DaybyDay[Service-Budgets],DaybyDay[Date],"&gt;="&amp;$C$5,DaybyDay[RowYear],"&gt;="&amp;$C$4,DaybyDay[Date],"&lt;="&amp;DaybyDay[[#This Row],[Date]])</f>
        <v>0</v>
      </c>
      <c r="P952" s="33">
        <f>SUMIFS(DaybyDay[Retail-Budgets],DaybyDay[Date],"&gt;="&amp;$C$5,DaybyDay[RowYear],"&gt;="&amp;$C$4,DaybyDay[Date],"&lt;="&amp;DaybyDay[[#This Row],[Date]])</f>
        <v>0</v>
      </c>
      <c r="Q952" s="34">
        <f>SUMIFS(DaybyDay[Service-Actuals],DaybyDay[Date],"&gt;="&amp;$C$5,DaybyDay[RowYear],"&gt;="&amp;$C$4,DaybyDay[Date],"&lt;="&amp;DaybyDay[[#This Row],[Date]])</f>
        <v>0</v>
      </c>
      <c r="R952" s="34">
        <f>SUMIFS(DaybyDay[Retail-Actuals],DaybyDay[Date],"&gt;="&amp;$C$5,DaybyDay[RowYear],"&gt;="&amp;$C$4,DaybyDay[Date],"&lt;="&amp;DaybyDay[[#This Row],[Date]])</f>
        <v>0</v>
      </c>
      <c r="S952" s="35">
        <f>SUMIFS(DaybyDay[Service-LY],DaybyDay[Date],"&gt;="&amp;$C$5,DaybyDay[RowYear],"&gt;="&amp;$C$4,DaybyDay[Date],"&lt;="&amp;DaybyDay[[#This Row],[Date]])</f>
        <v>0</v>
      </c>
      <c r="T952" s="35">
        <f>SUMIFS(DaybyDay[Retail-LY],DaybyDay[Date],"&gt;="&amp;$C$5,DaybyDay[RowYear],"&gt;="&amp;$C$4,DaybyDay[Date],"&lt;="&amp;DaybyDay[[#This Row],[Date]])</f>
        <v>0</v>
      </c>
      <c r="U952" s="32">
        <f>DaybyDay[[#This Row],[Serv-Bud-RU]]+DaybyDay[[#This Row],[Ret-Bud-RU]]</f>
        <v>0</v>
      </c>
      <c r="V952" s="32">
        <f>DaybyDay[[#This Row],[Serv-Act-RU]]+DaybyDay[[#This Row],[Ret-Act-RU]]</f>
        <v>0</v>
      </c>
      <c r="W952" s="36">
        <f>IF(DaybyDay[[#This Row],[_Space]],IFERROR(
((DaybyDay[[#This Row],[Actual-Rollup]]-DaybyDay[[#This Row],[Budget-Rollup]])/DaybyDay[[#This Row],[Budget-Rollup]]),0),"")</f>
        <v>0</v>
      </c>
      <c r="X952" t="b">
        <f>NOT(AND(ISBLANK(DaybyDay[[#This Row],[Appts]]),ISBLANK(DaybyDay[[#This Row],[Service-Actuals]]),ISBLANK(DaybyDay[[#This Row],[Retail-Actuals]])))</f>
        <v>1</v>
      </c>
      <c r="Y952" s="36">
        <f>IF(DaybyDay[[#This Row],[_Space]],IFERROR(
((DaybyDay[[#This Row],[Actual-Rollup]]-DaybyDay[[#This Row],[LY-Rollup]])/DaybyDay[[#This Row],[LY-Rollup]]),0),"")</f>
        <v>0</v>
      </c>
      <c r="Z952"/>
      <c r="AA952" s="37" t="e">
        <f>IF(DaybyDay[[#This Row],[_Space]],DaybyDay[[#This Row],[Ret-Act-RU]]/DaybyDay[[#This Row],[Serv-Act-RU]],"")</f>
        <v>#DIV/0!</v>
      </c>
      <c r="AB952" s="50" t="e">
        <f>IF(DaybyDay[[#This Row],[_Space]],DaybyDay[[#This Row],[RETPEN-Act]]/DaybyDay[[#This Row],[RETPEN-Bud]],"")</f>
        <v>#DIV/0!</v>
      </c>
      <c r="AC952" s="37" t="e">
        <f>IF(DaybyDay[[#This Row],[_Space]],DaybyDay[[#This Row],[Ret-Bud-RU]]/DaybyDay[[#This Row],[Serv-Bud-RU]],"")</f>
        <v>#DIV/0!</v>
      </c>
      <c r="AD952" s="37" t="e">
        <f>IF(DaybyDay[[#This Row],[_Space]],DaybyDay[[#This Row],[Ret-LY-RU]]/DaybyDay[[#This Row],[Serv-LY-RU]],"")</f>
        <v>#DIV/0!</v>
      </c>
      <c r="AE952" s="30">
        <f>WEEKDAY(DaybyDay[[#This Row],[LY-Date]])</f>
        <v>1</v>
      </c>
      <c r="AF952" s="38">
        <f>$E$2+_xlfn.DAYS(DaybyDay[[#This Row],[Date]],minDate)</f>
        <v>43317</v>
      </c>
      <c r="AG952" s="39" cm="1">
        <f t="array" ref="AG952">IFERROR(INDEX(DaybyDay[],DaybyDay[[#This Row],[FORM_MATCH_HELPER]],8),"")</f>
        <v>31</v>
      </c>
      <c r="AH952" s="39" cm="1">
        <f t="array" ref="AH952">IFERROR(INDEX(DaybyDay[],DaybyDay[[#This Row],[FORM_MATCH_HELPER]],10),"")</f>
        <v>7174.35</v>
      </c>
      <c r="AI952" s="39" cm="1">
        <f t="array" ref="AI952">IFERROR(INDEX(DaybyDay[],DaybyDay[[#This Row],[FORM_MATCH_HELPER]],12),"")</f>
        <v>1890</v>
      </c>
      <c r="AJ952" s="32">
        <f>IFERROR(DaybyDay[[#This Row],[Serv-LY-RU]]+DaybyDay[[#This Row],[Ret-LY-RU]],"")</f>
        <v>0</v>
      </c>
      <c r="AK9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2" s="77"/>
      <c r="AM952" s="40" t="str">
        <f>IF(DaybyDay[[#This Row],[Admin Hours]]&gt;0,DaybyDay[[#This Row],[Admin Hours]]*$AM$2+$AM$3,"")</f>
        <v/>
      </c>
      <c r="AN952" s="40">
        <f>SUMIFS(DaybyDay[Est-Admin-Payroll],DaybyDay[Date],"&gt;="&amp;$C$5,DaybyDay[RowYear],"&gt;="&amp;$C$4,DaybyDay[Date],"&lt;="&amp;DaybyDay[[#This Row],[Date]])</f>
        <v>0</v>
      </c>
      <c r="AO952" s="41" t="str">
        <f>IF(AND(DaybyDay[[#This Row],[_Space]],ISNUMBER(DaybyDay[[#This Row],[Admin Hours]])),DaybyDay[[#This Row],[Est-Admin-Payroll]]/(DaybyDay[[#This Row],[Service-Actuals]]+DaybyDay[[#This Row],[Retail-Actuals]]),"")</f>
        <v/>
      </c>
      <c r="AP952" s="41" t="e">
        <f>DaybyDay[[#This Row],[Estimated-Payroll-Rollup]]/DaybyDay[[#This Row],[Simple-Forecast]]</f>
        <v>#DIV/0!</v>
      </c>
      <c r="AQ9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2" s="77"/>
      <c r="AS952" s="40" t="str">
        <f>IF(DaybyDay[[#This Row],[Retail Hours]]&gt;0,DaybyDay[[#This Row],[Retail Hours]]*$AS$2,"")</f>
        <v/>
      </c>
      <c r="AT952" s="40">
        <f>SUMIFS(DaybyDay[Est-Retail-Payroll],DaybyDay[Date],"&gt;="&amp;$C$5,DaybyDay[RowYear],"&gt;="&amp;$C$4,DaybyDay[Date],"&lt;="&amp;DaybyDay[[#This Row],[Date]])</f>
        <v>0</v>
      </c>
      <c r="AU952" s="82" t="str">
        <f>IF(AND(DaybyDay[[#This Row],[_Space]],ISNUMBER(DaybyDay[[#This Row],[Retail Hours]])),DaybyDay[[#This Row],[Est-Retail-Payroll]]/(DaybyDay[[#This Row],[Retail-Actuals]]),"")</f>
        <v/>
      </c>
      <c r="AV952" s="82" t="e">
        <f>DaybyDay[[#This Row],[Est-Retail-PayrollRU]]/DaybyDay[[#This Row],[Simple-Forecast-Retail]]</f>
        <v>#DIV/0!</v>
      </c>
      <c r="AW952" s="8"/>
      <c r="AX952" s="49"/>
      <c r="AY952" s="48"/>
      <c r="AZ952" s="47"/>
      <c r="BA952" s="47"/>
      <c r="BB952" s="47"/>
      <c r="BC952" s="47"/>
      <c r="BD952" s="47"/>
    </row>
    <row r="953" spans="3:56" hidden="1" x14ac:dyDescent="0.25">
      <c r="C953" s="26" t="str">
        <f>Tools!$C$1</f>
        <v>Example</v>
      </c>
      <c r="D953" s="27" t="s">
        <v>75</v>
      </c>
      <c r="E953" s="28">
        <v>2019</v>
      </c>
      <c r="F953" s="28">
        <f>MATCH(DaybyDay[[#This Row],[RowMonth]],Table3[SummaryMonth],0)</f>
        <v>8</v>
      </c>
      <c r="G953" s="29">
        <f>MATCH(DaybyDay[[#This Row],[LY-Date]],DaybyDay[Date],0)</f>
        <v>583</v>
      </c>
      <c r="H953" s="30">
        <f>WEEKDAY(DaybyDay[[#This Row],[Date]])</f>
        <v>2</v>
      </c>
      <c r="I953" s="31">
        <v>43682</v>
      </c>
      <c r="J953" s="74">
        <v>13</v>
      </c>
      <c r="K953" s="32">
        <f>SUMIFS(BudgetSeasonality[365 Seasonality],BudgetSeasonality[MonthAdjustment],DaybyDay[[#This Row],[Date]])*SUMIFS(Budgets[Service-Budget],Budgets[BudgetMonth],DaybyDay[[#This Row],[RowMonth]],Budgets[BudgetYear],DaybyDay[[#This Row],[RowYear]])</f>
        <v>3675.0404363898492</v>
      </c>
      <c r="L953" s="75">
        <v>3460.2</v>
      </c>
      <c r="M953" s="32">
        <f>INDEX(BudgetSeasonality[365 Seasonality],MATCH(DaybyDay[[#This Row],[Date]],BudgetSeasonality[MonthAdjustment],0))*SUMIFS(Budgets[Retail-Budget],Budgets[BudgetMonth],DaybyDay[[#This Row],[RowMonth]],Budgets[BudgetYear],DaybyDay[[#This Row],[RowYear]])</f>
        <v>1371.6226162262835</v>
      </c>
      <c r="N953" s="75">
        <v>1459.5</v>
      </c>
      <c r="O953" s="33">
        <f>SUMIFS(DaybyDay[Service-Budgets],DaybyDay[Date],"&gt;="&amp;$C$5,DaybyDay[RowYear],"&gt;="&amp;$C$4,DaybyDay[Date],"&lt;="&amp;DaybyDay[[#This Row],[Date]])</f>
        <v>0</v>
      </c>
      <c r="P953" s="33">
        <f>SUMIFS(DaybyDay[Retail-Budgets],DaybyDay[Date],"&gt;="&amp;$C$5,DaybyDay[RowYear],"&gt;="&amp;$C$4,DaybyDay[Date],"&lt;="&amp;DaybyDay[[#This Row],[Date]])</f>
        <v>0</v>
      </c>
      <c r="Q953" s="34">
        <f>SUMIFS(DaybyDay[Service-Actuals],DaybyDay[Date],"&gt;="&amp;$C$5,DaybyDay[RowYear],"&gt;="&amp;$C$4,DaybyDay[Date],"&lt;="&amp;DaybyDay[[#This Row],[Date]])</f>
        <v>0</v>
      </c>
      <c r="R953" s="34">
        <f>SUMIFS(DaybyDay[Retail-Actuals],DaybyDay[Date],"&gt;="&amp;$C$5,DaybyDay[RowYear],"&gt;="&amp;$C$4,DaybyDay[Date],"&lt;="&amp;DaybyDay[[#This Row],[Date]])</f>
        <v>0</v>
      </c>
      <c r="S953" s="35">
        <f>SUMIFS(DaybyDay[Service-LY],DaybyDay[Date],"&gt;="&amp;$C$5,DaybyDay[RowYear],"&gt;="&amp;$C$4,DaybyDay[Date],"&lt;="&amp;DaybyDay[[#This Row],[Date]])</f>
        <v>0</v>
      </c>
      <c r="T953" s="35">
        <f>SUMIFS(DaybyDay[Retail-LY],DaybyDay[Date],"&gt;="&amp;$C$5,DaybyDay[RowYear],"&gt;="&amp;$C$4,DaybyDay[Date],"&lt;="&amp;DaybyDay[[#This Row],[Date]])</f>
        <v>0</v>
      </c>
      <c r="U953" s="32">
        <f>DaybyDay[[#This Row],[Serv-Bud-RU]]+DaybyDay[[#This Row],[Ret-Bud-RU]]</f>
        <v>0</v>
      </c>
      <c r="V953" s="32">
        <f>DaybyDay[[#This Row],[Serv-Act-RU]]+DaybyDay[[#This Row],[Ret-Act-RU]]</f>
        <v>0</v>
      </c>
      <c r="W953" s="36">
        <f>IF(DaybyDay[[#This Row],[_Space]],IFERROR(
((DaybyDay[[#This Row],[Actual-Rollup]]-DaybyDay[[#This Row],[Budget-Rollup]])/DaybyDay[[#This Row],[Budget-Rollup]]),0),"")</f>
        <v>0</v>
      </c>
      <c r="X953" t="b">
        <f>NOT(AND(ISBLANK(DaybyDay[[#This Row],[Appts]]),ISBLANK(DaybyDay[[#This Row],[Service-Actuals]]),ISBLANK(DaybyDay[[#This Row],[Retail-Actuals]])))</f>
        <v>1</v>
      </c>
      <c r="Y953" s="36">
        <f>IF(DaybyDay[[#This Row],[_Space]],IFERROR(
((DaybyDay[[#This Row],[Actual-Rollup]]-DaybyDay[[#This Row],[LY-Rollup]])/DaybyDay[[#This Row],[LY-Rollup]]),0),"")</f>
        <v>0</v>
      </c>
      <c r="Z953"/>
      <c r="AA953" s="37" t="e">
        <f>IF(DaybyDay[[#This Row],[_Space]],DaybyDay[[#This Row],[Ret-Act-RU]]/DaybyDay[[#This Row],[Serv-Act-RU]],"")</f>
        <v>#DIV/0!</v>
      </c>
      <c r="AB953" s="50" t="e">
        <f>IF(DaybyDay[[#This Row],[_Space]],DaybyDay[[#This Row],[RETPEN-Act]]/DaybyDay[[#This Row],[RETPEN-Bud]],"")</f>
        <v>#DIV/0!</v>
      </c>
      <c r="AC953" s="37" t="e">
        <f>IF(DaybyDay[[#This Row],[_Space]],DaybyDay[[#This Row],[Ret-Bud-RU]]/DaybyDay[[#This Row],[Serv-Bud-RU]],"")</f>
        <v>#DIV/0!</v>
      </c>
      <c r="AD953" s="37" t="e">
        <f>IF(DaybyDay[[#This Row],[_Space]],DaybyDay[[#This Row],[Ret-LY-RU]]/DaybyDay[[#This Row],[Serv-LY-RU]],"")</f>
        <v>#DIV/0!</v>
      </c>
      <c r="AE953" s="30">
        <f>WEEKDAY(DaybyDay[[#This Row],[LY-Date]])</f>
        <v>2</v>
      </c>
      <c r="AF953" s="38">
        <f>$E$2+_xlfn.DAYS(DaybyDay[[#This Row],[Date]],minDate)</f>
        <v>43318</v>
      </c>
      <c r="AG953" s="39" cm="1">
        <f t="array" ref="AG953">IFERROR(INDEX(DaybyDay[],DaybyDay[[#This Row],[FORM_MATCH_HELPER]],8),"")</f>
        <v>18</v>
      </c>
      <c r="AH953" s="39" cm="1">
        <f t="array" ref="AH953">IFERROR(INDEX(DaybyDay[],DaybyDay[[#This Row],[FORM_MATCH_HELPER]],10),"")</f>
        <v>4231.2</v>
      </c>
      <c r="AI953" s="39" cm="1">
        <f t="array" ref="AI953">IFERROR(INDEX(DaybyDay[],DaybyDay[[#This Row],[FORM_MATCH_HELPER]],12),"")</f>
        <v>437.5</v>
      </c>
      <c r="AJ953" s="32">
        <f>IFERROR(DaybyDay[[#This Row],[Serv-LY-RU]]+DaybyDay[[#This Row],[Ret-LY-RU]],"")</f>
        <v>0</v>
      </c>
      <c r="AK9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3" s="77"/>
      <c r="AM953" s="40" t="str">
        <f>IF(DaybyDay[[#This Row],[Admin Hours]]&gt;0,DaybyDay[[#This Row],[Admin Hours]]*$AM$2+$AM$3,"")</f>
        <v/>
      </c>
      <c r="AN953" s="40">
        <f>SUMIFS(DaybyDay[Est-Admin-Payroll],DaybyDay[Date],"&gt;="&amp;$C$5,DaybyDay[RowYear],"&gt;="&amp;$C$4,DaybyDay[Date],"&lt;="&amp;DaybyDay[[#This Row],[Date]])</f>
        <v>0</v>
      </c>
      <c r="AO953" s="41" t="str">
        <f>IF(AND(DaybyDay[[#This Row],[_Space]],ISNUMBER(DaybyDay[[#This Row],[Admin Hours]])),DaybyDay[[#This Row],[Est-Admin-Payroll]]/(DaybyDay[[#This Row],[Service-Actuals]]+DaybyDay[[#This Row],[Retail-Actuals]]),"")</f>
        <v/>
      </c>
      <c r="AP953" s="41" t="e">
        <f>DaybyDay[[#This Row],[Estimated-Payroll-Rollup]]/DaybyDay[[#This Row],[Simple-Forecast]]</f>
        <v>#DIV/0!</v>
      </c>
      <c r="AQ9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3" s="77"/>
      <c r="AS953" s="40" t="str">
        <f>IF(DaybyDay[[#This Row],[Retail Hours]]&gt;0,DaybyDay[[#This Row],[Retail Hours]]*$AS$2,"")</f>
        <v/>
      </c>
      <c r="AT953" s="40">
        <f>SUMIFS(DaybyDay[Est-Retail-Payroll],DaybyDay[Date],"&gt;="&amp;$C$5,DaybyDay[RowYear],"&gt;="&amp;$C$4,DaybyDay[Date],"&lt;="&amp;DaybyDay[[#This Row],[Date]])</f>
        <v>0</v>
      </c>
      <c r="AU953" s="82" t="str">
        <f>IF(AND(DaybyDay[[#This Row],[_Space]],ISNUMBER(DaybyDay[[#This Row],[Retail Hours]])),DaybyDay[[#This Row],[Est-Retail-Payroll]]/(DaybyDay[[#This Row],[Retail-Actuals]]),"")</f>
        <v/>
      </c>
      <c r="AV953" s="82" t="e">
        <f>DaybyDay[[#This Row],[Est-Retail-PayrollRU]]/DaybyDay[[#This Row],[Simple-Forecast-Retail]]</f>
        <v>#DIV/0!</v>
      </c>
      <c r="AW953" s="8"/>
      <c r="AX953" s="49"/>
      <c r="AY953" s="48"/>
      <c r="AZ953" s="47"/>
      <c r="BA953" s="47"/>
      <c r="BB953" s="47"/>
      <c r="BC953" s="47"/>
      <c r="BD953" s="47"/>
    </row>
    <row r="954" spans="3:56" hidden="1" x14ac:dyDescent="0.25">
      <c r="C954" s="26" t="str">
        <f>Tools!$C$1</f>
        <v>Example</v>
      </c>
      <c r="D954" s="27" t="s">
        <v>75</v>
      </c>
      <c r="E954" s="28">
        <v>2019</v>
      </c>
      <c r="F954" s="28">
        <f>MATCH(DaybyDay[[#This Row],[RowMonth]],Table3[SummaryMonth],0)</f>
        <v>8</v>
      </c>
      <c r="G954" s="29">
        <f>MATCH(DaybyDay[[#This Row],[LY-Date]],DaybyDay[Date],0)</f>
        <v>584</v>
      </c>
      <c r="H954" s="30">
        <f>WEEKDAY(DaybyDay[[#This Row],[Date]])</f>
        <v>3</v>
      </c>
      <c r="I954" s="31">
        <v>43683</v>
      </c>
      <c r="J954" s="74">
        <v>8</v>
      </c>
      <c r="K954" s="32">
        <f>SUMIFS(BudgetSeasonality[365 Seasonality],BudgetSeasonality[MonthAdjustment],DaybyDay[[#This Row],[Date]])*SUMIFS(Budgets[Service-Budget],Budgets[BudgetMonth],DaybyDay[[#This Row],[RowMonth]],Budgets[BudgetYear],DaybyDay[[#This Row],[RowYear]])</f>
        <v>3768.8219447684696</v>
      </c>
      <c r="L954" s="75">
        <v>2023</v>
      </c>
      <c r="M954" s="32">
        <f>INDEX(BudgetSeasonality[365 Seasonality],MATCH(DaybyDay[[#This Row],[Date]],BudgetSeasonality[MonthAdjustment],0))*SUMIFS(Budgets[Retail-Budget],Budgets[BudgetMonth],DaybyDay[[#This Row],[RowMonth]],Budgets[BudgetYear],DaybyDay[[#This Row],[RowYear]])</f>
        <v>1406.6243638539345</v>
      </c>
      <c r="N954" s="75">
        <v>968.6</v>
      </c>
      <c r="O954" s="33">
        <f>SUMIFS(DaybyDay[Service-Budgets],DaybyDay[Date],"&gt;="&amp;$C$5,DaybyDay[RowYear],"&gt;="&amp;$C$4,DaybyDay[Date],"&lt;="&amp;DaybyDay[[#This Row],[Date]])</f>
        <v>0</v>
      </c>
      <c r="P954" s="33">
        <f>SUMIFS(DaybyDay[Retail-Budgets],DaybyDay[Date],"&gt;="&amp;$C$5,DaybyDay[RowYear],"&gt;="&amp;$C$4,DaybyDay[Date],"&lt;="&amp;DaybyDay[[#This Row],[Date]])</f>
        <v>0</v>
      </c>
      <c r="Q954" s="34">
        <f>SUMIFS(DaybyDay[Service-Actuals],DaybyDay[Date],"&gt;="&amp;$C$5,DaybyDay[RowYear],"&gt;="&amp;$C$4,DaybyDay[Date],"&lt;="&amp;DaybyDay[[#This Row],[Date]])</f>
        <v>0</v>
      </c>
      <c r="R954" s="34">
        <f>SUMIFS(DaybyDay[Retail-Actuals],DaybyDay[Date],"&gt;="&amp;$C$5,DaybyDay[RowYear],"&gt;="&amp;$C$4,DaybyDay[Date],"&lt;="&amp;DaybyDay[[#This Row],[Date]])</f>
        <v>0</v>
      </c>
      <c r="S954" s="35">
        <f>SUMIFS(DaybyDay[Service-LY],DaybyDay[Date],"&gt;="&amp;$C$5,DaybyDay[RowYear],"&gt;="&amp;$C$4,DaybyDay[Date],"&lt;="&amp;DaybyDay[[#This Row],[Date]])</f>
        <v>0</v>
      </c>
      <c r="T954" s="35">
        <f>SUMIFS(DaybyDay[Retail-LY],DaybyDay[Date],"&gt;="&amp;$C$5,DaybyDay[RowYear],"&gt;="&amp;$C$4,DaybyDay[Date],"&lt;="&amp;DaybyDay[[#This Row],[Date]])</f>
        <v>0</v>
      </c>
      <c r="U954" s="32">
        <f>DaybyDay[[#This Row],[Serv-Bud-RU]]+DaybyDay[[#This Row],[Ret-Bud-RU]]</f>
        <v>0</v>
      </c>
      <c r="V954" s="32">
        <f>DaybyDay[[#This Row],[Serv-Act-RU]]+DaybyDay[[#This Row],[Ret-Act-RU]]</f>
        <v>0</v>
      </c>
      <c r="W954" s="36">
        <f>IF(DaybyDay[[#This Row],[_Space]],IFERROR(
((DaybyDay[[#This Row],[Actual-Rollup]]-DaybyDay[[#This Row],[Budget-Rollup]])/DaybyDay[[#This Row],[Budget-Rollup]]),0),"")</f>
        <v>0</v>
      </c>
      <c r="X954" t="b">
        <f>NOT(AND(ISBLANK(DaybyDay[[#This Row],[Appts]]),ISBLANK(DaybyDay[[#This Row],[Service-Actuals]]),ISBLANK(DaybyDay[[#This Row],[Retail-Actuals]])))</f>
        <v>1</v>
      </c>
      <c r="Y954" s="36">
        <f>IF(DaybyDay[[#This Row],[_Space]],IFERROR(
((DaybyDay[[#This Row],[Actual-Rollup]]-DaybyDay[[#This Row],[LY-Rollup]])/DaybyDay[[#This Row],[LY-Rollup]]),0),"")</f>
        <v>0</v>
      </c>
      <c r="Z954"/>
      <c r="AA954" s="37" t="e">
        <f>IF(DaybyDay[[#This Row],[_Space]],DaybyDay[[#This Row],[Ret-Act-RU]]/DaybyDay[[#This Row],[Serv-Act-RU]],"")</f>
        <v>#DIV/0!</v>
      </c>
      <c r="AB954" s="50" t="e">
        <f>IF(DaybyDay[[#This Row],[_Space]],DaybyDay[[#This Row],[RETPEN-Act]]/DaybyDay[[#This Row],[RETPEN-Bud]],"")</f>
        <v>#DIV/0!</v>
      </c>
      <c r="AC954" s="37" t="e">
        <f>IF(DaybyDay[[#This Row],[_Space]],DaybyDay[[#This Row],[Ret-Bud-RU]]/DaybyDay[[#This Row],[Serv-Bud-RU]],"")</f>
        <v>#DIV/0!</v>
      </c>
      <c r="AD954" s="37" t="e">
        <f>IF(DaybyDay[[#This Row],[_Space]],DaybyDay[[#This Row],[Ret-LY-RU]]/DaybyDay[[#This Row],[Serv-LY-RU]],"")</f>
        <v>#DIV/0!</v>
      </c>
      <c r="AE954" s="30">
        <f>WEEKDAY(DaybyDay[[#This Row],[LY-Date]])</f>
        <v>3</v>
      </c>
      <c r="AF954" s="38">
        <f>$E$2+_xlfn.DAYS(DaybyDay[[#This Row],[Date]],minDate)</f>
        <v>43319</v>
      </c>
      <c r="AG954" s="39" cm="1">
        <f t="array" ref="AG954">IFERROR(INDEX(DaybyDay[],DaybyDay[[#This Row],[FORM_MATCH_HELPER]],8),"")</f>
        <v>15</v>
      </c>
      <c r="AH954" s="39" cm="1">
        <f t="array" ref="AH954">IFERROR(INDEX(DaybyDay[],DaybyDay[[#This Row],[FORM_MATCH_HELPER]],10),"")</f>
        <v>4060.4</v>
      </c>
      <c r="AI954" s="39" cm="1">
        <f t="array" ref="AI954">IFERROR(INDEX(DaybyDay[],DaybyDay[[#This Row],[FORM_MATCH_HELPER]],12),"")</f>
        <v>420</v>
      </c>
      <c r="AJ954" s="32">
        <f>IFERROR(DaybyDay[[#This Row],[Serv-LY-RU]]+DaybyDay[[#This Row],[Ret-LY-RU]],"")</f>
        <v>0</v>
      </c>
      <c r="AK9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4" s="77"/>
      <c r="AM954" s="40" t="str">
        <f>IF(DaybyDay[[#This Row],[Admin Hours]]&gt;0,DaybyDay[[#This Row],[Admin Hours]]*$AM$2+$AM$3,"")</f>
        <v/>
      </c>
      <c r="AN954" s="40">
        <f>SUMIFS(DaybyDay[Est-Admin-Payroll],DaybyDay[Date],"&gt;="&amp;$C$5,DaybyDay[RowYear],"&gt;="&amp;$C$4,DaybyDay[Date],"&lt;="&amp;DaybyDay[[#This Row],[Date]])</f>
        <v>0</v>
      </c>
      <c r="AO954" s="41" t="str">
        <f>IF(AND(DaybyDay[[#This Row],[_Space]],ISNUMBER(DaybyDay[[#This Row],[Admin Hours]])),DaybyDay[[#This Row],[Est-Admin-Payroll]]/(DaybyDay[[#This Row],[Service-Actuals]]+DaybyDay[[#This Row],[Retail-Actuals]]),"")</f>
        <v/>
      </c>
      <c r="AP954" s="41" t="e">
        <f>DaybyDay[[#This Row],[Estimated-Payroll-Rollup]]/DaybyDay[[#This Row],[Simple-Forecast]]</f>
        <v>#DIV/0!</v>
      </c>
      <c r="AQ9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4" s="77"/>
      <c r="AS954" s="40" t="str">
        <f>IF(DaybyDay[[#This Row],[Retail Hours]]&gt;0,DaybyDay[[#This Row],[Retail Hours]]*$AS$2,"")</f>
        <v/>
      </c>
      <c r="AT954" s="40">
        <f>SUMIFS(DaybyDay[Est-Retail-Payroll],DaybyDay[Date],"&gt;="&amp;$C$5,DaybyDay[RowYear],"&gt;="&amp;$C$4,DaybyDay[Date],"&lt;="&amp;DaybyDay[[#This Row],[Date]])</f>
        <v>0</v>
      </c>
      <c r="AU954" s="82" t="str">
        <f>IF(AND(DaybyDay[[#This Row],[_Space]],ISNUMBER(DaybyDay[[#This Row],[Retail Hours]])),DaybyDay[[#This Row],[Est-Retail-Payroll]]/(DaybyDay[[#This Row],[Retail-Actuals]]),"")</f>
        <v/>
      </c>
      <c r="AV954" s="82" t="e">
        <f>DaybyDay[[#This Row],[Est-Retail-PayrollRU]]/DaybyDay[[#This Row],[Simple-Forecast-Retail]]</f>
        <v>#DIV/0!</v>
      </c>
      <c r="AW954" s="8"/>
      <c r="AX954" s="49"/>
      <c r="AY954" s="48"/>
      <c r="AZ954" s="47"/>
      <c r="BA954" s="47"/>
      <c r="BB954" s="47"/>
      <c r="BC954" s="47"/>
      <c r="BD954" s="47"/>
    </row>
    <row r="955" spans="3:56" hidden="1" x14ac:dyDescent="0.25">
      <c r="C955" s="26" t="str">
        <f>Tools!$C$1</f>
        <v>Example</v>
      </c>
      <c r="D955" s="27" t="s">
        <v>75</v>
      </c>
      <c r="E955" s="28">
        <v>2019</v>
      </c>
      <c r="F955" s="28">
        <f>MATCH(DaybyDay[[#This Row],[RowMonth]],Table3[SummaryMonth],0)</f>
        <v>8</v>
      </c>
      <c r="G955" s="29">
        <f>MATCH(DaybyDay[[#This Row],[LY-Date]],DaybyDay[Date],0)</f>
        <v>585</v>
      </c>
      <c r="H955" s="30">
        <f>WEEKDAY(DaybyDay[[#This Row],[Date]])</f>
        <v>4</v>
      </c>
      <c r="I955" s="31">
        <v>43684</v>
      </c>
      <c r="J955" s="74">
        <v>23</v>
      </c>
      <c r="K955" s="32">
        <f>SUMIFS(BudgetSeasonality[365 Seasonality],BudgetSeasonality[MonthAdjustment],DaybyDay[[#This Row],[Date]])*SUMIFS(Budgets[Service-Budget],Budgets[BudgetMonth],DaybyDay[[#This Row],[RowMonth]],Budgets[BudgetYear],DaybyDay[[#This Row],[RowYear]])</f>
        <v>4368.2349176356138</v>
      </c>
      <c r="L955" s="75">
        <v>3668.7999999999997</v>
      </c>
      <c r="M955" s="32">
        <f>INDEX(BudgetSeasonality[365 Seasonality],MATCH(DaybyDay[[#This Row],[Date]],BudgetSeasonality[MonthAdjustment],0))*SUMIFS(Budgets[Retail-Budget],Budgets[BudgetMonth],DaybyDay[[#This Row],[RowMonth]],Budgets[BudgetYear],DaybyDay[[#This Row],[RowYear]])</f>
        <v>1630.3411920833562</v>
      </c>
      <c r="N955" s="75">
        <v>412.3</v>
      </c>
      <c r="O955" s="33">
        <f>SUMIFS(DaybyDay[Service-Budgets],DaybyDay[Date],"&gt;="&amp;$C$5,DaybyDay[RowYear],"&gt;="&amp;$C$4,DaybyDay[Date],"&lt;="&amp;DaybyDay[[#This Row],[Date]])</f>
        <v>0</v>
      </c>
      <c r="P955" s="33">
        <f>SUMIFS(DaybyDay[Retail-Budgets],DaybyDay[Date],"&gt;="&amp;$C$5,DaybyDay[RowYear],"&gt;="&amp;$C$4,DaybyDay[Date],"&lt;="&amp;DaybyDay[[#This Row],[Date]])</f>
        <v>0</v>
      </c>
      <c r="Q955" s="34">
        <f>SUMIFS(DaybyDay[Service-Actuals],DaybyDay[Date],"&gt;="&amp;$C$5,DaybyDay[RowYear],"&gt;="&amp;$C$4,DaybyDay[Date],"&lt;="&amp;DaybyDay[[#This Row],[Date]])</f>
        <v>0</v>
      </c>
      <c r="R955" s="34">
        <f>SUMIFS(DaybyDay[Retail-Actuals],DaybyDay[Date],"&gt;="&amp;$C$5,DaybyDay[RowYear],"&gt;="&amp;$C$4,DaybyDay[Date],"&lt;="&amp;DaybyDay[[#This Row],[Date]])</f>
        <v>0</v>
      </c>
      <c r="S955" s="35">
        <f>SUMIFS(DaybyDay[Service-LY],DaybyDay[Date],"&gt;="&amp;$C$5,DaybyDay[RowYear],"&gt;="&amp;$C$4,DaybyDay[Date],"&lt;="&amp;DaybyDay[[#This Row],[Date]])</f>
        <v>0</v>
      </c>
      <c r="T955" s="35">
        <f>SUMIFS(DaybyDay[Retail-LY],DaybyDay[Date],"&gt;="&amp;$C$5,DaybyDay[RowYear],"&gt;="&amp;$C$4,DaybyDay[Date],"&lt;="&amp;DaybyDay[[#This Row],[Date]])</f>
        <v>0</v>
      </c>
      <c r="U955" s="32">
        <f>DaybyDay[[#This Row],[Serv-Bud-RU]]+DaybyDay[[#This Row],[Ret-Bud-RU]]</f>
        <v>0</v>
      </c>
      <c r="V955" s="32">
        <f>DaybyDay[[#This Row],[Serv-Act-RU]]+DaybyDay[[#This Row],[Ret-Act-RU]]</f>
        <v>0</v>
      </c>
      <c r="W955" s="36">
        <f>IF(DaybyDay[[#This Row],[_Space]],IFERROR(
((DaybyDay[[#This Row],[Actual-Rollup]]-DaybyDay[[#This Row],[Budget-Rollup]])/DaybyDay[[#This Row],[Budget-Rollup]]),0),"")</f>
        <v>0</v>
      </c>
      <c r="X955" t="b">
        <f>NOT(AND(ISBLANK(DaybyDay[[#This Row],[Appts]]),ISBLANK(DaybyDay[[#This Row],[Service-Actuals]]),ISBLANK(DaybyDay[[#This Row],[Retail-Actuals]])))</f>
        <v>1</v>
      </c>
      <c r="Y955" s="36">
        <f>IF(DaybyDay[[#This Row],[_Space]],IFERROR(
((DaybyDay[[#This Row],[Actual-Rollup]]-DaybyDay[[#This Row],[LY-Rollup]])/DaybyDay[[#This Row],[LY-Rollup]]),0),"")</f>
        <v>0</v>
      </c>
      <c r="Z955"/>
      <c r="AA955" s="37" t="e">
        <f>IF(DaybyDay[[#This Row],[_Space]],DaybyDay[[#This Row],[Ret-Act-RU]]/DaybyDay[[#This Row],[Serv-Act-RU]],"")</f>
        <v>#DIV/0!</v>
      </c>
      <c r="AB955" s="50" t="e">
        <f>IF(DaybyDay[[#This Row],[_Space]],DaybyDay[[#This Row],[RETPEN-Act]]/DaybyDay[[#This Row],[RETPEN-Bud]],"")</f>
        <v>#DIV/0!</v>
      </c>
      <c r="AC955" s="37" t="e">
        <f>IF(DaybyDay[[#This Row],[_Space]],DaybyDay[[#This Row],[Ret-Bud-RU]]/DaybyDay[[#This Row],[Serv-Bud-RU]],"")</f>
        <v>#DIV/0!</v>
      </c>
      <c r="AD955" s="37" t="e">
        <f>IF(DaybyDay[[#This Row],[_Space]],DaybyDay[[#This Row],[Ret-LY-RU]]/DaybyDay[[#This Row],[Serv-LY-RU]],"")</f>
        <v>#DIV/0!</v>
      </c>
      <c r="AE955" s="30">
        <f>WEEKDAY(DaybyDay[[#This Row],[LY-Date]])</f>
        <v>4</v>
      </c>
      <c r="AF955" s="38">
        <f>$E$2+_xlfn.DAYS(DaybyDay[[#This Row],[Date]],minDate)</f>
        <v>43320</v>
      </c>
      <c r="AG955" s="39" cm="1">
        <f t="array" ref="AG955">IFERROR(INDEX(DaybyDay[],DaybyDay[[#This Row],[FORM_MATCH_HELPER]],8),"")</f>
        <v>14</v>
      </c>
      <c r="AH955" s="39" cm="1">
        <f t="array" ref="AH955">IFERROR(INDEX(DaybyDay[],DaybyDay[[#This Row],[FORM_MATCH_HELPER]],10),"")</f>
        <v>2456.6</v>
      </c>
      <c r="AI955" s="39" cm="1">
        <f t="array" ref="AI955">IFERROR(INDEX(DaybyDay[],DaybyDay[[#This Row],[FORM_MATCH_HELPER]],12),"")</f>
        <v>3539.65</v>
      </c>
      <c r="AJ955" s="32">
        <f>IFERROR(DaybyDay[[#This Row],[Serv-LY-RU]]+DaybyDay[[#This Row],[Ret-LY-RU]],"")</f>
        <v>0</v>
      </c>
      <c r="AK9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5" s="77"/>
      <c r="AM955" s="40" t="str">
        <f>IF(DaybyDay[[#This Row],[Admin Hours]]&gt;0,DaybyDay[[#This Row],[Admin Hours]]*$AM$2+$AM$3,"")</f>
        <v/>
      </c>
      <c r="AN955" s="40">
        <f>SUMIFS(DaybyDay[Est-Admin-Payroll],DaybyDay[Date],"&gt;="&amp;$C$5,DaybyDay[RowYear],"&gt;="&amp;$C$4,DaybyDay[Date],"&lt;="&amp;DaybyDay[[#This Row],[Date]])</f>
        <v>0</v>
      </c>
      <c r="AO955" s="41" t="str">
        <f>IF(AND(DaybyDay[[#This Row],[_Space]],ISNUMBER(DaybyDay[[#This Row],[Admin Hours]])),DaybyDay[[#This Row],[Est-Admin-Payroll]]/(DaybyDay[[#This Row],[Service-Actuals]]+DaybyDay[[#This Row],[Retail-Actuals]]),"")</f>
        <v/>
      </c>
      <c r="AP955" s="41" t="e">
        <f>DaybyDay[[#This Row],[Estimated-Payroll-Rollup]]/DaybyDay[[#This Row],[Simple-Forecast]]</f>
        <v>#DIV/0!</v>
      </c>
      <c r="AQ9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5" s="77"/>
      <c r="AS955" s="40" t="str">
        <f>IF(DaybyDay[[#This Row],[Retail Hours]]&gt;0,DaybyDay[[#This Row],[Retail Hours]]*$AS$2,"")</f>
        <v/>
      </c>
      <c r="AT955" s="40">
        <f>SUMIFS(DaybyDay[Est-Retail-Payroll],DaybyDay[Date],"&gt;="&amp;$C$5,DaybyDay[RowYear],"&gt;="&amp;$C$4,DaybyDay[Date],"&lt;="&amp;DaybyDay[[#This Row],[Date]])</f>
        <v>0</v>
      </c>
      <c r="AU955" s="82" t="str">
        <f>IF(AND(DaybyDay[[#This Row],[_Space]],ISNUMBER(DaybyDay[[#This Row],[Retail Hours]])),DaybyDay[[#This Row],[Est-Retail-Payroll]]/(DaybyDay[[#This Row],[Retail-Actuals]]),"")</f>
        <v/>
      </c>
      <c r="AV955" s="82" t="e">
        <f>DaybyDay[[#This Row],[Est-Retail-PayrollRU]]/DaybyDay[[#This Row],[Simple-Forecast-Retail]]</f>
        <v>#DIV/0!</v>
      </c>
      <c r="AW955" s="8"/>
      <c r="AX955" s="49"/>
      <c r="AY955" s="48"/>
      <c r="AZ955" s="47"/>
      <c r="BA955" s="47"/>
      <c r="BB955" s="47"/>
      <c r="BC955" s="47"/>
      <c r="BD955" s="47"/>
    </row>
    <row r="956" spans="3:56" hidden="1" x14ac:dyDescent="0.25">
      <c r="C956" s="26" t="str">
        <f>Tools!$C$1</f>
        <v>Example</v>
      </c>
      <c r="D956" s="27" t="s">
        <v>75</v>
      </c>
      <c r="E956" s="28">
        <v>2019</v>
      </c>
      <c r="F956" s="28">
        <f>MATCH(DaybyDay[[#This Row],[RowMonth]],Table3[SummaryMonth],0)</f>
        <v>8</v>
      </c>
      <c r="G956" s="29">
        <f>MATCH(DaybyDay[[#This Row],[LY-Date]],DaybyDay[Date],0)</f>
        <v>586</v>
      </c>
      <c r="H956" s="30">
        <f>WEEKDAY(DaybyDay[[#This Row],[Date]])</f>
        <v>5</v>
      </c>
      <c r="I956" s="31">
        <v>43685</v>
      </c>
      <c r="J956" s="74">
        <v>24</v>
      </c>
      <c r="K956" s="32">
        <f>SUMIFS(BudgetSeasonality[365 Seasonality],BudgetSeasonality[MonthAdjustment],DaybyDay[[#This Row],[Date]])*SUMIFS(Budgets[Service-Budget],Budgets[BudgetMonth],DaybyDay[[#This Row],[RowMonth]],Budgets[BudgetYear],DaybyDay[[#This Row],[RowYear]])</f>
        <v>4453.0067171573337</v>
      </c>
      <c r="L956" s="75">
        <v>4103.3</v>
      </c>
      <c r="M956" s="32">
        <f>INDEX(BudgetSeasonality[365 Seasonality],MATCH(DaybyDay[[#This Row],[Date]],BudgetSeasonality[MonthAdjustment],0))*SUMIFS(Budgets[Retail-Budget],Budgets[BudgetMonth],DaybyDay[[#This Row],[RowMonth]],Budgets[BudgetYear],DaybyDay[[#This Row],[RowYear]])</f>
        <v>1661.9802772729636</v>
      </c>
      <c r="N956" s="75">
        <v>341</v>
      </c>
      <c r="O956" s="33">
        <f>SUMIFS(DaybyDay[Service-Budgets],DaybyDay[Date],"&gt;="&amp;$C$5,DaybyDay[RowYear],"&gt;="&amp;$C$4,DaybyDay[Date],"&lt;="&amp;DaybyDay[[#This Row],[Date]])</f>
        <v>0</v>
      </c>
      <c r="P956" s="33">
        <f>SUMIFS(DaybyDay[Retail-Budgets],DaybyDay[Date],"&gt;="&amp;$C$5,DaybyDay[RowYear],"&gt;="&amp;$C$4,DaybyDay[Date],"&lt;="&amp;DaybyDay[[#This Row],[Date]])</f>
        <v>0</v>
      </c>
      <c r="Q956" s="34">
        <f>SUMIFS(DaybyDay[Service-Actuals],DaybyDay[Date],"&gt;="&amp;$C$5,DaybyDay[RowYear],"&gt;="&amp;$C$4,DaybyDay[Date],"&lt;="&amp;DaybyDay[[#This Row],[Date]])</f>
        <v>0</v>
      </c>
      <c r="R956" s="34">
        <f>SUMIFS(DaybyDay[Retail-Actuals],DaybyDay[Date],"&gt;="&amp;$C$5,DaybyDay[RowYear],"&gt;="&amp;$C$4,DaybyDay[Date],"&lt;="&amp;DaybyDay[[#This Row],[Date]])</f>
        <v>0</v>
      </c>
      <c r="S956" s="35">
        <f>SUMIFS(DaybyDay[Service-LY],DaybyDay[Date],"&gt;="&amp;$C$5,DaybyDay[RowYear],"&gt;="&amp;$C$4,DaybyDay[Date],"&lt;="&amp;DaybyDay[[#This Row],[Date]])</f>
        <v>0</v>
      </c>
      <c r="T956" s="35">
        <f>SUMIFS(DaybyDay[Retail-LY],DaybyDay[Date],"&gt;="&amp;$C$5,DaybyDay[RowYear],"&gt;="&amp;$C$4,DaybyDay[Date],"&lt;="&amp;DaybyDay[[#This Row],[Date]])</f>
        <v>0</v>
      </c>
      <c r="U956" s="32">
        <f>DaybyDay[[#This Row],[Serv-Bud-RU]]+DaybyDay[[#This Row],[Ret-Bud-RU]]</f>
        <v>0</v>
      </c>
      <c r="V956" s="32">
        <f>DaybyDay[[#This Row],[Serv-Act-RU]]+DaybyDay[[#This Row],[Ret-Act-RU]]</f>
        <v>0</v>
      </c>
      <c r="W956" s="36">
        <f>IF(DaybyDay[[#This Row],[_Space]],IFERROR(
((DaybyDay[[#This Row],[Actual-Rollup]]-DaybyDay[[#This Row],[Budget-Rollup]])/DaybyDay[[#This Row],[Budget-Rollup]]),0),"")</f>
        <v>0</v>
      </c>
      <c r="X956" t="b">
        <f>NOT(AND(ISBLANK(DaybyDay[[#This Row],[Appts]]),ISBLANK(DaybyDay[[#This Row],[Service-Actuals]]),ISBLANK(DaybyDay[[#This Row],[Retail-Actuals]])))</f>
        <v>1</v>
      </c>
      <c r="Y956" s="36">
        <f>IF(DaybyDay[[#This Row],[_Space]],IFERROR(
((DaybyDay[[#This Row],[Actual-Rollup]]-DaybyDay[[#This Row],[LY-Rollup]])/DaybyDay[[#This Row],[LY-Rollup]]),0),"")</f>
        <v>0</v>
      </c>
      <c r="Z956"/>
      <c r="AA956" s="37" t="e">
        <f>IF(DaybyDay[[#This Row],[_Space]],DaybyDay[[#This Row],[Ret-Act-RU]]/DaybyDay[[#This Row],[Serv-Act-RU]],"")</f>
        <v>#DIV/0!</v>
      </c>
      <c r="AB956" s="50" t="e">
        <f>IF(DaybyDay[[#This Row],[_Space]],DaybyDay[[#This Row],[RETPEN-Act]]/DaybyDay[[#This Row],[RETPEN-Bud]],"")</f>
        <v>#DIV/0!</v>
      </c>
      <c r="AC956" s="37" t="e">
        <f>IF(DaybyDay[[#This Row],[_Space]],DaybyDay[[#This Row],[Ret-Bud-RU]]/DaybyDay[[#This Row],[Serv-Bud-RU]],"")</f>
        <v>#DIV/0!</v>
      </c>
      <c r="AD956" s="37" t="e">
        <f>IF(DaybyDay[[#This Row],[_Space]],DaybyDay[[#This Row],[Ret-LY-RU]]/DaybyDay[[#This Row],[Serv-LY-RU]],"")</f>
        <v>#DIV/0!</v>
      </c>
      <c r="AE956" s="30">
        <f>WEEKDAY(DaybyDay[[#This Row],[LY-Date]])</f>
        <v>5</v>
      </c>
      <c r="AF956" s="38">
        <f>$E$2+_xlfn.DAYS(DaybyDay[[#This Row],[Date]],minDate)</f>
        <v>43321</v>
      </c>
      <c r="AG956" s="39" cm="1">
        <f t="array" ref="AG956">IFERROR(INDEX(DaybyDay[],DaybyDay[[#This Row],[FORM_MATCH_HELPER]],8),"")</f>
        <v>18</v>
      </c>
      <c r="AH956" s="39" cm="1">
        <f t="array" ref="AH956">IFERROR(INDEX(DaybyDay[],DaybyDay[[#This Row],[FORM_MATCH_HELPER]],10),"")</f>
        <v>3914.4</v>
      </c>
      <c r="AI956" s="39" cm="1">
        <f t="array" ref="AI956">IFERROR(INDEX(DaybyDay[],DaybyDay[[#This Row],[FORM_MATCH_HELPER]],12),"")</f>
        <v>2859.5</v>
      </c>
      <c r="AJ956" s="32">
        <f>IFERROR(DaybyDay[[#This Row],[Serv-LY-RU]]+DaybyDay[[#This Row],[Ret-LY-RU]],"")</f>
        <v>0</v>
      </c>
      <c r="AK9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6" s="77"/>
      <c r="AM956" s="40" t="str">
        <f>IF(DaybyDay[[#This Row],[Admin Hours]]&gt;0,DaybyDay[[#This Row],[Admin Hours]]*$AM$2+$AM$3,"")</f>
        <v/>
      </c>
      <c r="AN956" s="40">
        <f>SUMIFS(DaybyDay[Est-Admin-Payroll],DaybyDay[Date],"&gt;="&amp;$C$5,DaybyDay[RowYear],"&gt;="&amp;$C$4,DaybyDay[Date],"&lt;="&amp;DaybyDay[[#This Row],[Date]])</f>
        <v>0</v>
      </c>
      <c r="AO956" s="41" t="str">
        <f>IF(AND(DaybyDay[[#This Row],[_Space]],ISNUMBER(DaybyDay[[#This Row],[Admin Hours]])),DaybyDay[[#This Row],[Est-Admin-Payroll]]/(DaybyDay[[#This Row],[Service-Actuals]]+DaybyDay[[#This Row],[Retail-Actuals]]),"")</f>
        <v/>
      </c>
      <c r="AP956" s="41" t="e">
        <f>DaybyDay[[#This Row],[Estimated-Payroll-Rollup]]/DaybyDay[[#This Row],[Simple-Forecast]]</f>
        <v>#DIV/0!</v>
      </c>
      <c r="AQ9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6" s="77"/>
      <c r="AS956" s="40" t="str">
        <f>IF(DaybyDay[[#This Row],[Retail Hours]]&gt;0,DaybyDay[[#This Row],[Retail Hours]]*$AS$2,"")</f>
        <v/>
      </c>
      <c r="AT956" s="40">
        <f>SUMIFS(DaybyDay[Est-Retail-Payroll],DaybyDay[Date],"&gt;="&amp;$C$5,DaybyDay[RowYear],"&gt;="&amp;$C$4,DaybyDay[Date],"&lt;="&amp;DaybyDay[[#This Row],[Date]])</f>
        <v>0</v>
      </c>
      <c r="AU956" s="82" t="str">
        <f>IF(AND(DaybyDay[[#This Row],[_Space]],ISNUMBER(DaybyDay[[#This Row],[Retail Hours]])),DaybyDay[[#This Row],[Est-Retail-Payroll]]/(DaybyDay[[#This Row],[Retail-Actuals]]),"")</f>
        <v/>
      </c>
      <c r="AV956" s="82" t="e">
        <f>DaybyDay[[#This Row],[Est-Retail-PayrollRU]]/DaybyDay[[#This Row],[Simple-Forecast-Retail]]</f>
        <v>#DIV/0!</v>
      </c>
      <c r="AW956" s="8"/>
      <c r="AX956" s="49"/>
      <c r="AY956" s="48"/>
      <c r="AZ956" s="47"/>
      <c r="BA956" s="47"/>
      <c r="BB956" s="47"/>
      <c r="BC956" s="47"/>
      <c r="BD956" s="47"/>
    </row>
    <row r="957" spans="3:56" hidden="1" x14ac:dyDescent="0.25">
      <c r="C957" s="26" t="str">
        <f>Tools!$C$1</f>
        <v>Example</v>
      </c>
      <c r="D957" s="27" t="s">
        <v>75</v>
      </c>
      <c r="E957" s="28">
        <v>2019</v>
      </c>
      <c r="F957" s="28">
        <f>MATCH(DaybyDay[[#This Row],[RowMonth]],Table3[SummaryMonth],0)</f>
        <v>8</v>
      </c>
      <c r="G957" s="29">
        <f>MATCH(DaybyDay[[#This Row],[LY-Date]],DaybyDay[Date],0)</f>
        <v>587</v>
      </c>
      <c r="H957" s="30">
        <f>WEEKDAY(DaybyDay[[#This Row],[Date]])</f>
        <v>6</v>
      </c>
      <c r="I957" s="31">
        <v>43686</v>
      </c>
      <c r="J957" s="74">
        <v>21</v>
      </c>
      <c r="K957" s="32">
        <f>SUMIFS(BudgetSeasonality[365 Seasonality],BudgetSeasonality[MonthAdjustment],DaybyDay[[#This Row],[Date]])*SUMIFS(Budgets[Service-Budget],Budgets[BudgetMonth],DaybyDay[[#This Row],[RowMonth]],Budgets[BudgetYear],DaybyDay[[#This Row],[RowYear]])</f>
        <v>5607.2437912803998</v>
      </c>
      <c r="L957" s="75">
        <v>5703.4400000000005</v>
      </c>
      <c r="M957" s="32">
        <f>INDEX(BudgetSeasonality[365 Seasonality],MATCH(DaybyDay[[#This Row],[Date]],BudgetSeasonality[MonthAdjustment],0))*SUMIFS(Budgets[Retail-Budget],Budgets[BudgetMonth],DaybyDay[[#This Row],[RowMonth]],Budgets[BudgetYear],DaybyDay[[#This Row],[RowYear]])</f>
        <v>2092.7721835816938</v>
      </c>
      <c r="N957" s="75">
        <v>1479.12</v>
      </c>
      <c r="O957" s="33">
        <f>SUMIFS(DaybyDay[Service-Budgets],DaybyDay[Date],"&gt;="&amp;$C$5,DaybyDay[RowYear],"&gt;="&amp;$C$4,DaybyDay[Date],"&lt;="&amp;DaybyDay[[#This Row],[Date]])</f>
        <v>0</v>
      </c>
      <c r="P957" s="33">
        <f>SUMIFS(DaybyDay[Retail-Budgets],DaybyDay[Date],"&gt;="&amp;$C$5,DaybyDay[RowYear],"&gt;="&amp;$C$4,DaybyDay[Date],"&lt;="&amp;DaybyDay[[#This Row],[Date]])</f>
        <v>0</v>
      </c>
      <c r="Q957" s="34">
        <f>SUMIFS(DaybyDay[Service-Actuals],DaybyDay[Date],"&gt;="&amp;$C$5,DaybyDay[RowYear],"&gt;="&amp;$C$4,DaybyDay[Date],"&lt;="&amp;DaybyDay[[#This Row],[Date]])</f>
        <v>0</v>
      </c>
      <c r="R957" s="34">
        <f>SUMIFS(DaybyDay[Retail-Actuals],DaybyDay[Date],"&gt;="&amp;$C$5,DaybyDay[RowYear],"&gt;="&amp;$C$4,DaybyDay[Date],"&lt;="&amp;DaybyDay[[#This Row],[Date]])</f>
        <v>0</v>
      </c>
      <c r="S957" s="35">
        <f>SUMIFS(DaybyDay[Service-LY],DaybyDay[Date],"&gt;="&amp;$C$5,DaybyDay[RowYear],"&gt;="&amp;$C$4,DaybyDay[Date],"&lt;="&amp;DaybyDay[[#This Row],[Date]])</f>
        <v>0</v>
      </c>
      <c r="T957" s="35">
        <f>SUMIFS(DaybyDay[Retail-LY],DaybyDay[Date],"&gt;="&amp;$C$5,DaybyDay[RowYear],"&gt;="&amp;$C$4,DaybyDay[Date],"&lt;="&amp;DaybyDay[[#This Row],[Date]])</f>
        <v>0</v>
      </c>
      <c r="U957" s="32">
        <f>DaybyDay[[#This Row],[Serv-Bud-RU]]+DaybyDay[[#This Row],[Ret-Bud-RU]]</f>
        <v>0</v>
      </c>
      <c r="V957" s="32">
        <f>DaybyDay[[#This Row],[Serv-Act-RU]]+DaybyDay[[#This Row],[Ret-Act-RU]]</f>
        <v>0</v>
      </c>
      <c r="W957" s="36">
        <f>IF(DaybyDay[[#This Row],[_Space]],IFERROR(
((DaybyDay[[#This Row],[Actual-Rollup]]-DaybyDay[[#This Row],[Budget-Rollup]])/DaybyDay[[#This Row],[Budget-Rollup]]),0),"")</f>
        <v>0</v>
      </c>
      <c r="X957" t="b">
        <f>NOT(AND(ISBLANK(DaybyDay[[#This Row],[Appts]]),ISBLANK(DaybyDay[[#This Row],[Service-Actuals]]),ISBLANK(DaybyDay[[#This Row],[Retail-Actuals]])))</f>
        <v>1</v>
      </c>
      <c r="Y957" s="36">
        <f>IF(DaybyDay[[#This Row],[_Space]],IFERROR(
((DaybyDay[[#This Row],[Actual-Rollup]]-DaybyDay[[#This Row],[LY-Rollup]])/DaybyDay[[#This Row],[LY-Rollup]]),0),"")</f>
        <v>0</v>
      </c>
      <c r="Z957"/>
      <c r="AA957" s="37" t="e">
        <f>IF(DaybyDay[[#This Row],[_Space]],DaybyDay[[#This Row],[Ret-Act-RU]]/DaybyDay[[#This Row],[Serv-Act-RU]],"")</f>
        <v>#DIV/0!</v>
      </c>
      <c r="AB957" s="50" t="e">
        <f>IF(DaybyDay[[#This Row],[_Space]],DaybyDay[[#This Row],[RETPEN-Act]]/DaybyDay[[#This Row],[RETPEN-Bud]],"")</f>
        <v>#DIV/0!</v>
      </c>
      <c r="AC957" s="37" t="e">
        <f>IF(DaybyDay[[#This Row],[_Space]],DaybyDay[[#This Row],[Ret-Bud-RU]]/DaybyDay[[#This Row],[Serv-Bud-RU]],"")</f>
        <v>#DIV/0!</v>
      </c>
      <c r="AD957" s="37" t="e">
        <f>IF(DaybyDay[[#This Row],[_Space]],DaybyDay[[#This Row],[Ret-LY-RU]]/DaybyDay[[#This Row],[Serv-LY-RU]],"")</f>
        <v>#DIV/0!</v>
      </c>
      <c r="AE957" s="30">
        <f>WEEKDAY(DaybyDay[[#This Row],[LY-Date]])</f>
        <v>6</v>
      </c>
      <c r="AF957" s="38">
        <f>$E$2+_xlfn.DAYS(DaybyDay[[#This Row],[Date]],minDate)</f>
        <v>43322</v>
      </c>
      <c r="AG957" s="39" cm="1">
        <f t="array" ref="AG957">IFERROR(INDEX(DaybyDay[],DaybyDay[[#This Row],[FORM_MATCH_HELPER]],8),"")</f>
        <v>12</v>
      </c>
      <c r="AH957" s="39" cm="1">
        <f t="array" ref="AH957">IFERROR(INDEX(DaybyDay[],DaybyDay[[#This Row],[FORM_MATCH_HELPER]],10),"")</f>
        <v>3696</v>
      </c>
      <c r="AI957" s="39" cm="1">
        <f t="array" ref="AI957">IFERROR(INDEX(DaybyDay[],DaybyDay[[#This Row],[FORM_MATCH_HELPER]],12),"")</f>
        <v>1533</v>
      </c>
      <c r="AJ957" s="32">
        <f>IFERROR(DaybyDay[[#This Row],[Serv-LY-RU]]+DaybyDay[[#This Row],[Ret-LY-RU]],"")</f>
        <v>0</v>
      </c>
      <c r="AK9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7" s="77"/>
      <c r="AM957" s="40" t="str">
        <f>IF(DaybyDay[[#This Row],[Admin Hours]]&gt;0,DaybyDay[[#This Row],[Admin Hours]]*$AM$2+$AM$3,"")</f>
        <v/>
      </c>
      <c r="AN957" s="40">
        <f>SUMIFS(DaybyDay[Est-Admin-Payroll],DaybyDay[Date],"&gt;="&amp;$C$5,DaybyDay[RowYear],"&gt;="&amp;$C$4,DaybyDay[Date],"&lt;="&amp;DaybyDay[[#This Row],[Date]])</f>
        <v>0</v>
      </c>
      <c r="AO957" s="41" t="str">
        <f>IF(AND(DaybyDay[[#This Row],[_Space]],ISNUMBER(DaybyDay[[#This Row],[Admin Hours]])),DaybyDay[[#This Row],[Est-Admin-Payroll]]/(DaybyDay[[#This Row],[Service-Actuals]]+DaybyDay[[#This Row],[Retail-Actuals]]),"")</f>
        <v/>
      </c>
      <c r="AP957" s="41" t="e">
        <f>DaybyDay[[#This Row],[Estimated-Payroll-Rollup]]/DaybyDay[[#This Row],[Simple-Forecast]]</f>
        <v>#DIV/0!</v>
      </c>
      <c r="AQ9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7" s="77"/>
      <c r="AS957" s="40" t="str">
        <f>IF(DaybyDay[[#This Row],[Retail Hours]]&gt;0,DaybyDay[[#This Row],[Retail Hours]]*$AS$2,"")</f>
        <v/>
      </c>
      <c r="AT957" s="40">
        <f>SUMIFS(DaybyDay[Est-Retail-Payroll],DaybyDay[Date],"&gt;="&amp;$C$5,DaybyDay[RowYear],"&gt;="&amp;$C$4,DaybyDay[Date],"&lt;="&amp;DaybyDay[[#This Row],[Date]])</f>
        <v>0</v>
      </c>
      <c r="AU957" s="82" t="str">
        <f>IF(AND(DaybyDay[[#This Row],[_Space]],ISNUMBER(DaybyDay[[#This Row],[Retail Hours]])),DaybyDay[[#This Row],[Est-Retail-Payroll]]/(DaybyDay[[#This Row],[Retail-Actuals]]),"")</f>
        <v/>
      </c>
      <c r="AV957" s="82" t="e">
        <f>DaybyDay[[#This Row],[Est-Retail-PayrollRU]]/DaybyDay[[#This Row],[Simple-Forecast-Retail]]</f>
        <v>#DIV/0!</v>
      </c>
      <c r="AW957" s="8"/>
      <c r="AX957" s="49"/>
      <c r="AY957" s="48"/>
      <c r="AZ957" s="47"/>
      <c r="BA957" s="47"/>
      <c r="BB957" s="47"/>
      <c r="BC957" s="47"/>
      <c r="BD957" s="47"/>
    </row>
    <row r="958" spans="3:56" hidden="1" x14ac:dyDescent="0.25">
      <c r="C958" s="26" t="str">
        <f>Tools!$C$1</f>
        <v>Example</v>
      </c>
      <c r="D958" s="27" t="s">
        <v>75</v>
      </c>
      <c r="E958" s="28">
        <v>2019</v>
      </c>
      <c r="F958" s="28">
        <f>MATCH(DaybyDay[[#This Row],[RowMonth]],Table3[SummaryMonth],0)</f>
        <v>8</v>
      </c>
      <c r="G958" s="29">
        <f>MATCH(DaybyDay[[#This Row],[LY-Date]],DaybyDay[Date],0)</f>
        <v>588</v>
      </c>
      <c r="H958" s="30">
        <f>WEEKDAY(DaybyDay[[#This Row],[Date]])</f>
        <v>7</v>
      </c>
      <c r="I958" s="31">
        <v>43687</v>
      </c>
      <c r="J958" s="74">
        <v>27</v>
      </c>
      <c r="K958" s="32">
        <f>SUMIFS(BudgetSeasonality[365 Seasonality],BudgetSeasonality[MonthAdjustment],DaybyDay[[#This Row],[Date]])*SUMIFS(Budgets[Service-Budget],Budgets[BudgetMonth],DaybyDay[[#This Row],[RowMonth]],Budgets[BudgetYear],DaybyDay[[#This Row],[RowYear]])</f>
        <v>8107.0379901500346</v>
      </c>
      <c r="L958" s="75">
        <v>7205.4</v>
      </c>
      <c r="M958" s="32">
        <f>INDEX(BudgetSeasonality[365 Seasonality],MATCH(DaybyDay[[#This Row],[Date]],BudgetSeasonality[MonthAdjustment],0))*SUMIFS(Budgets[Retail-Budget],Budgets[BudgetMonth],DaybyDay[[#This Row],[RowMonth]],Budgets[BudgetYear],DaybyDay[[#This Row],[RowYear]])</f>
        <v>3025.7617161945891</v>
      </c>
      <c r="N958" s="75">
        <v>958</v>
      </c>
      <c r="O958" s="33">
        <f>SUMIFS(DaybyDay[Service-Budgets],DaybyDay[Date],"&gt;="&amp;$C$5,DaybyDay[RowYear],"&gt;="&amp;$C$4,DaybyDay[Date],"&lt;="&amp;DaybyDay[[#This Row],[Date]])</f>
        <v>0</v>
      </c>
      <c r="P958" s="33">
        <f>SUMIFS(DaybyDay[Retail-Budgets],DaybyDay[Date],"&gt;="&amp;$C$5,DaybyDay[RowYear],"&gt;="&amp;$C$4,DaybyDay[Date],"&lt;="&amp;DaybyDay[[#This Row],[Date]])</f>
        <v>0</v>
      </c>
      <c r="Q958" s="34">
        <f>SUMIFS(DaybyDay[Service-Actuals],DaybyDay[Date],"&gt;="&amp;$C$5,DaybyDay[RowYear],"&gt;="&amp;$C$4,DaybyDay[Date],"&lt;="&amp;DaybyDay[[#This Row],[Date]])</f>
        <v>0</v>
      </c>
      <c r="R958" s="34">
        <f>SUMIFS(DaybyDay[Retail-Actuals],DaybyDay[Date],"&gt;="&amp;$C$5,DaybyDay[RowYear],"&gt;="&amp;$C$4,DaybyDay[Date],"&lt;="&amp;DaybyDay[[#This Row],[Date]])</f>
        <v>0</v>
      </c>
      <c r="S958" s="35">
        <f>SUMIFS(DaybyDay[Service-LY],DaybyDay[Date],"&gt;="&amp;$C$5,DaybyDay[RowYear],"&gt;="&amp;$C$4,DaybyDay[Date],"&lt;="&amp;DaybyDay[[#This Row],[Date]])</f>
        <v>0</v>
      </c>
      <c r="T958" s="35">
        <f>SUMIFS(DaybyDay[Retail-LY],DaybyDay[Date],"&gt;="&amp;$C$5,DaybyDay[RowYear],"&gt;="&amp;$C$4,DaybyDay[Date],"&lt;="&amp;DaybyDay[[#This Row],[Date]])</f>
        <v>0</v>
      </c>
      <c r="U958" s="32">
        <f>DaybyDay[[#This Row],[Serv-Bud-RU]]+DaybyDay[[#This Row],[Ret-Bud-RU]]</f>
        <v>0</v>
      </c>
      <c r="V958" s="32">
        <f>DaybyDay[[#This Row],[Serv-Act-RU]]+DaybyDay[[#This Row],[Ret-Act-RU]]</f>
        <v>0</v>
      </c>
      <c r="W958" s="36">
        <f>IF(DaybyDay[[#This Row],[_Space]],IFERROR(
((DaybyDay[[#This Row],[Actual-Rollup]]-DaybyDay[[#This Row],[Budget-Rollup]])/DaybyDay[[#This Row],[Budget-Rollup]]),0),"")</f>
        <v>0</v>
      </c>
      <c r="X958" t="b">
        <f>NOT(AND(ISBLANK(DaybyDay[[#This Row],[Appts]]),ISBLANK(DaybyDay[[#This Row],[Service-Actuals]]),ISBLANK(DaybyDay[[#This Row],[Retail-Actuals]])))</f>
        <v>1</v>
      </c>
      <c r="Y958" s="36">
        <f>IF(DaybyDay[[#This Row],[_Space]],IFERROR(
((DaybyDay[[#This Row],[Actual-Rollup]]-DaybyDay[[#This Row],[LY-Rollup]])/DaybyDay[[#This Row],[LY-Rollup]]),0),"")</f>
        <v>0</v>
      </c>
      <c r="Z958"/>
      <c r="AA958" s="37" t="e">
        <f>IF(DaybyDay[[#This Row],[_Space]],DaybyDay[[#This Row],[Ret-Act-RU]]/DaybyDay[[#This Row],[Serv-Act-RU]],"")</f>
        <v>#DIV/0!</v>
      </c>
      <c r="AB958" s="50" t="e">
        <f>IF(DaybyDay[[#This Row],[_Space]],DaybyDay[[#This Row],[RETPEN-Act]]/DaybyDay[[#This Row],[RETPEN-Bud]],"")</f>
        <v>#DIV/0!</v>
      </c>
      <c r="AC958" s="37" t="e">
        <f>IF(DaybyDay[[#This Row],[_Space]],DaybyDay[[#This Row],[Ret-Bud-RU]]/DaybyDay[[#This Row],[Serv-Bud-RU]],"")</f>
        <v>#DIV/0!</v>
      </c>
      <c r="AD958" s="37" t="e">
        <f>IF(DaybyDay[[#This Row],[_Space]],DaybyDay[[#This Row],[Ret-LY-RU]]/DaybyDay[[#This Row],[Serv-LY-RU]],"")</f>
        <v>#DIV/0!</v>
      </c>
      <c r="AE958" s="30">
        <f>WEEKDAY(DaybyDay[[#This Row],[LY-Date]])</f>
        <v>7</v>
      </c>
      <c r="AF958" s="38">
        <f>$E$2+_xlfn.DAYS(DaybyDay[[#This Row],[Date]],minDate)</f>
        <v>43323</v>
      </c>
      <c r="AG958" s="39" cm="1">
        <f t="array" ref="AG958">IFERROR(INDEX(DaybyDay[],DaybyDay[[#This Row],[FORM_MATCH_HELPER]],8),"")</f>
        <v>28</v>
      </c>
      <c r="AH958" s="39" cm="1">
        <f t="array" ref="AH958">IFERROR(INDEX(DaybyDay[],DaybyDay[[#This Row],[FORM_MATCH_HELPER]],10),"")</f>
        <v>6769.25</v>
      </c>
      <c r="AI958" s="39" cm="1">
        <f t="array" ref="AI958">IFERROR(INDEX(DaybyDay[],DaybyDay[[#This Row],[FORM_MATCH_HELPER]],12),"")</f>
        <v>1704</v>
      </c>
      <c r="AJ958" s="32">
        <f>IFERROR(DaybyDay[[#This Row],[Serv-LY-RU]]+DaybyDay[[#This Row],[Ret-LY-RU]],"")</f>
        <v>0</v>
      </c>
      <c r="AK9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8" s="77"/>
      <c r="AM958" s="40" t="str">
        <f>IF(DaybyDay[[#This Row],[Admin Hours]]&gt;0,DaybyDay[[#This Row],[Admin Hours]]*$AM$2+$AM$3,"")</f>
        <v/>
      </c>
      <c r="AN958" s="40">
        <f>SUMIFS(DaybyDay[Est-Admin-Payroll],DaybyDay[Date],"&gt;="&amp;$C$5,DaybyDay[RowYear],"&gt;="&amp;$C$4,DaybyDay[Date],"&lt;="&amp;DaybyDay[[#This Row],[Date]])</f>
        <v>0</v>
      </c>
      <c r="AO958" s="41" t="str">
        <f>IF(AND(DaybyDay[[#This Row],[_Space]],ISNUMBER(DaybyDay[[#This Row],[Admin Hours]])),DaybyDay[[#This Row],[Est-Admin-Payroll]]/(DaybyDay[[#This Row],[Service-Actuals]]+DaybyDay[[#This Row],[Retail-Actuals]]),"")</f>
        <v/>
      </c>
      <c r="AP958" s="41" t="e">
        <f>DaybyDay[[#This Row],[Estimated-Payroll-Rollup]]/DaybyDay[[#This Row],[Simple-Forecast]]</f>
        <v>#DIV/0!</v>
      </c>
      <c r="AQ9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8" s="77"/>
      <c r="AS958" s="40" t="str">
        <f>IF(DaybyDay[[#This Row],[Retail Hours]]&gt;0,DaybyDay[[#This Row],[Retail Hours]]*$AS$2,"")</f>
        <v/>
      </c>
      <c r="AT958" s="40">
        <f>SUMIFS(DaybyDay[Est-Retail-Payroll],DaybyDay[Date],"&gt;="&amp;$C$5,DaybyDay[RowYear],"&gt;="&amp;$C$4,DaybyDay[Date],"&lt;="&amp;DaybyDay[[#This Row],[Date]])</f>
        <v>0</v>
      </c>
      <c r="AU958" s="82" t="str">
        <f>IF(AND(DaybyDay[[#This Row],[_Space]],ISNUMBER(DaybyDay[[#This Row],[Retail Hours]])),DaybyDay[[#This Row],[Est-Retail-Payroll]]/(DaybyDay[[#This Row],[Retail-Actuals]]),"")</f>
        <v/>
      </c>
      <c r="AV958" s="82" t="e">
        <f>DaybyDay[[#This Row],[Est-Retail-PayrollRU]]/DaybyDay[[#This Row],[Simple-Forecast-Retail]]</f>
        <v>#DIV/0!</v>
      </c>
      <c r="AW958" s="8"/>
      <c r="AX958" s="49"/>
      <c r="AY958" s="48"/>
      <c r="AZ958" s="47"/>
      <c r="BA958" s="47"/>
      <c r="BB958" s="47"/>
      <c r="BC958" s="47"/>
      <c r="BD958" s="47"/>
    </row>
    <row r="959" spans="3:56" hidden="1" x14ac:dyDescent="0.25">
      <c r="C959" s="26" t="str">
        <f>Tools!$C$1</f>
        <v>Example</v>
      </c>
      <c r="D959" s="27" t="s">
        <v>75</v>
      </c>
      <c r="E959" s="28">
        <v>2019</v>
      </c>
      <c r="F959" s="28">
        <f>MATCH(DaybyDay[[#This Row],[RowMonth]],Table3[SummaryMonth],0)</f>
        <v>8</v>
      </c>
      <c r="G959" s="29">
        <f>MATCH(DaybyDay[[#This Row],[LY-Date]],DaybyDay[Date],0)</f>
        <v>589</v>
      </c>
      <c r="H959" s="30">
        <f>WEEKDAY(DaybyDay[[#This Row],[Date]])</f>
        <v>1</v>
      </c>
      <c r="I959" s="31">
        <v>43688</v>
      </c>
      <c r="J959" s="74">
        <v>18</v>
      </c>
      <c r="K959" s="32">
        <f>SUMIFS(BudgetSeasonality[365 Seasonality],BudgetSeasonality[MonthAdjustment],DaybyDay[[#This Row],[Date]])*SUMIFS(Budgets[Service-Budget],Budgets[BudgetMonth],DaybyDay[[#This Row],[RowMonth]],Budgets[BudgetYear],DaybyDay[[#This Row],[RowYear]])</f>
        <v>6183.1623289161944</v>
      </c>
      <c r="L959" s="75">
        <v>4079.3999999999996</v>
      </c>
      <c r="M959" s="32">
        <f>INDEX(BudgetSeasonality[365 Seasonality],MATCH(DaybyDay[[#This Row],[Date]],BudgetSeasonality[MonthAdjustment],0))*SUMIFS(Budgets[Retail-Budget],Budgets[BudgetMonth],DaybyDay[[#This Row],[RowMonth]],Budgets[BudgetYear],DaybyDay[[#This Row],[RowYear]])</f>
        <v>2307.7202651057219</v>
      </c>
      <c r="N959" s="75">
        <v>2048.5500000000002</v>
      </c>
      <c r="O959" s="33">
        <f>SUMIFS(DaybyDay[Service-Budgets],DaybyDay[Date],"&gt;="&amp;$C$5,DaybyDay[RowYear],"&gt;="&amp;$C$4,DaybyDay[Date],"&lt;="&amp;DaybyDay[[#This Row],[Date]])</f>
        <v>0</v>
      </c>
      <c r="P959" s="33">
        <f>SUMIFS(DaybyDay[Retail-Budgets],DaybyDay[Date],"&gt;="&amp;$C$5,DaybyDay[RowYear],"&gt;="&amp;$C$4,DaybyDay[Date],"&lt;="&amp;DaybyDay[[#This Row],[Date]])</f>
        <v>0</v>
      </c>
      <c r="Q959" s="34">
        <f>SUMIFS(DaybyDay[Service-Actuals],DaybyDay[Date],"&gt;="&amp;$C$5,DaybyDay[RowYear],"&gt;="&amp;$C$4,DaybyDay[Date],"&lt;="&amp;DaybyDay[[#This Row],[Date]])</f>
        <v>0</v>
      </c>
      <c r="R959" s="34">
        <f>SUMIFS(DaybyDay[Retail-Actuals],DaybyDay[Date],"&gt;="&amp;$C$5,DaybyDay[RowYear],"&gt;="&amp;$C$4,DaybyDay[Date],"&lt;="&amp;DaybyDay[[#This Row],[Date]])</f>
        <v>0</v>
      </c>
      <c r="S959" s="35">
        <f>SUMIFS(DaybyDay[Service-LY],DaybyDay[Date],"&gt;="&amp;$C$5,DaybyDay[RowYear],"&gt;="&amp;$C$4,DaybyDay[Date],"&lt;="&amp;DaybyDay[[#This Row],[Date]])</f>
        <v>0</v>
      </c>
      <c r="T959" s="35">
        <f>SUMIFS(DaybyDay[Retail-LY],DaybyDay[Date],"&gt;="&amp;$C$5,DaybyDay[RowYear],"&gt;="&amp;$C$4,DaybyDay[Date],"&lt;="&amp;DaybyDay[[#This Row],[Date]])</f>
        <v>0</v>
      </c>
      <c r="U959" s="32">
        <f>DaybyDay[[#This Row],[Serv-Bud-RU]]+DaybyDay[[#This Row],[Ret-Bud-RU]]</f>
        <v>0</v>
      </c>
      <c r="V959" s="32">
        <f>DaybyDay[[#This Row],[Serv-Act-RU]]+DaybyDay[[#This Row],[Ret-Act-RU]]</f>
        <v>0</v>
      </c>
      <c r="W959" s="36">
        <f>IF(DaybyDay[[#This Row],[_Space]],IFERROR(
((DaybyDay[[#This Row],[Actual-Rollup]]-DaybyDay[[#This Row],[Budget-Rollup]])/DaybyDay[[#This Row],[Budget-Rollup]]),0),"")</f>
        <v>0</v>
      </c>
      <c r="X959" t="b">
        <f>NOT(AND(ISBLANK(DaybyDay[[#This Row],[Appts]]),ISBLANK(DaybyDay[[#This Row],[Service-Actuals]]),ISBLANK(DaybyDay[[#This Row],[Retail-Actuals]])))</f>
        <v>1</v>
      </c>
      <c r="Y959" s="36">
        <f>IF(DaybyDay[[#This Row],[_Space]],IFERROR(
((DaybyDay[[#This Row],[Actual-Rollup]]-DaybyDay[[#This Row],[LY-Rollup]])/DaybyDay[[#This Row],[LY-Rollup]]),0),"")</f>
        <v>0</v>
      </c>
      <c r="Z959"/>
      <c r="AA959" s="37" t="e">
        <f>IF(DaybyDay[[#This Row],[_Space]],DaybyDay[[#This Row],[Ret-Act-RU]]/DaybyDay[[#This Row],[Serv-Act-RU]],"")</f>
        <v>#DIV/0!</v>
      </c>
      <c r="AB959" s="50" t="e">
        <f>IF(DaybyDay[[#This Row],[_Space]],DaybyDay[[#This Row],[RETPEN-Act]]/DaybyDay[[#This Row],[RETPEN-Bud]],"")</f>
        <v>#DIV/0!</v>
      </c>
      <c r="AC959" s="37" t="e">
        <f>IF(DaybyDay[[#This Row],[_Space]],DaybyDay[[#This Row],[Ret-Bud-RU]]/DaybyDay[[#This Row],[Serv-Bud-RU]],"")</f>
        <v>#DIV/0!</v>
      </c>
      <c r="AD959" s="37" t="e">
        <f>IF(DaybyDay[[#This Row],[_Space]],DaybyDay[[#This Row],[Ret-LY-RU]]/DaybyDay[[#This Row],[Serv-LY-RU]],"")</f>
        <v>#DIV/0!</v>
      </c>
      <c r="AE959" s="30">
        <f>WEEKDAY(DaybyDay[[#This Row],[LY-Date]])</f>
        <v>1</v>
      </c>
      <c r="AF959" s="38">
        <f>$E$2+_xlfn.DAYS(DaybyDay[[#This Row],[Date]],minDate)</f>
        <v>43324</v>
      </c>
      <c r="AG959" s="39" cm="1">
        <f t="array" ref="AG959">IFERROR(INDEX(DaybyDay[],DaybyDay[[#This Row],[FORM_MATCH_HELPER]],8),"")</f>
        <v>33</v>
      </c>
      <c r="AH959" s="39" cm="1">
        <f t="array" ref="AH959">IFERROR(INDEX(DaybyDay[],DaybyDay[[#This Row],[FORM_MATCH_HELPER]],10),"")</f>
        <v>6262.4</v>
      </c>
      <c r="AI959" s="39" cm="1">
        <f t="array" ref="AI959">IFERROR(INDEX(DaybyDay[],DaybyDay[[#This Row],[FORM_MATCH_HELPER]],12),"")</f>
        <v>53</v>
      </c>
      <c r="AJ959" s="32">
        <f>IFERROR(DaybyDay[[#This Row],[Serv-LY-RU]]+DaybyDay[[#This Row],[Ret-LY-RU]],"")</f>
        <v>0</v>
      </c>
      <c r="AK9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59" s="77"/>
      <c r="AM959" s="40" t="str">
        <f>IF(DaybyDay[[#This Row],[Admin Hours]]&gt;0,DaybyDay[[#This Row],[Admin Hours]]*$AM$2+$AM$3,"")</f>
        <v/>
      </c>
      <c r="AN959" s="40">
        <f>SUMIFS(DaybyDay[Est-Admin-Payroll],DaybyDay[Date],"&gt;="&amp;$C$5,DaybyDay[RowYear],"&gt;="&amp;$C$4,DaybyDay[Date],"&lt;="&amp;DaybyDay[[#This Row],[Date]])</f>
        <v>0</v>
      </c>
      <c r="AO959" s="41" t="str">
        <f>IF(AND(DaybyDay[[#This Row],[_Space]],ISNUMBER(DaybyDay[[#This Row],[Admin Hours]])),DaybyDay[[#This Row],[Est-Admin-Payroll]]/(DaybyDay[[#This Row],[Service-Actuals]]+DaybyDay[[#This Row],[Retail-Actuals]]),"")</f>
        <v/>
      </c>
      <c r="AP959" s="41" t="e">
        <f>DaybyDay[[#This Row],[Estimated-Payroll-Rollup]]/DaybyDay[[#This Row],[Simple-Forecast]]</f>
        <v>#DIV/0!</v>
      </c>
      <c r="AQ9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59" s="77"/>
      <c r="AS959" s="40" t="str">
        <f>IF(DaybyDay[[#This Row],[Retail Hours]]&gt;0,DaybyDay[[#This Row],[Retail Hours]]*$AS$2,"")</f>
        <v/>
      </c>
      <c r="AT959" s="40">
        <f>SUMIFS(DaybyDay[Est-Retail-Payroll],DaybyDay[Date],"&gt;="&amp;$C$5,DaybyDay[RowYear],"&gt;="&amp;$C$4,DaybyDay[Date],"&lt;="&amp;DaybyDay[[#This Row],[Date]])</f>
        <v>0</v>
      </c>
      <c r="AU959" s="82" t="str">
        <f>IF(AND(DaybyDay[[#This Row],[_Space]],ISNUMBER(DaybyDay[[#This Row],[Retail Hours]])),DaybyDay[[#This Row],[Est-Retail-Payroll]]/(DaybyDay[[#This Row],[Retail-Actuals]]),"")</f>
        <v/>
      </c>
      <c r="AV959" s="82" t="e">
        <f>DaybyDay[[#This Row],[Est-Retail-PayrollRU]]/DaybyDay[[#This Row],[Simple-Forecast-Retail]]</f>
        <v>#DIV/0!</v>
      </c>
      <c r="AW959" s="8"/>
      <c r="AX959" s="49"/>
      <c r="AY959" s="48"/>
      <c r="AZ959" s="47"/>
      <c r="BA959" s="47"/>
      <c r="BB959" s="47"/>
      <c r="BC959" s="47"/>
      <c r="BD959" s="47"/>
    </row>
    <row r="960" spans="3:56" hidden="1" x14ac:dyDescent="0.25">
      <c r="C960" s="26" t="str">
        <f>Tools!$C$1</f>
        <v>Example</v>
      </c>
      <c r="D960" s="27" t="s">
        <v>75</v>
      </c>
      <c r="E960" s="28">
        <v>2019</v>
      </c>
      <c r="F960" s="28">
        <f>MATCH(DaybyDay[[#This Row],[RowMonth]],Table3[SummaryMonth],0)</f>
        <v>8</v>
      </c>
      <c r="G960" s="29">
        <f>MATCH(DaybyDay[[#This Row],[LY-Date]],DaybyDay[Date],0)</f>
        <v>590</v>
      </c>
      <c r="H960" s="30">
        <f>WEEKDAY(DaybyDay[[#This Row],[Date]])</f>
        <v>2</v>
      </c>
      <c r="I960" s="31">
        <v>43689</v>
      </c>
      <c r="J960" s="74">
        <v>10</v>
      </c>
      <c r="K960" s="32">
        <f>SUMIFS(BudgetSeasonality[365 Seasonality],BudgetSeasonality[MonthAdjustment],DaybyDay[[#This Row],[Date]])*SUMIFS(Budgets[Service-Budget],Budgets[BudgetMonth],DaybyDay[[#This Row],[RowMonth]],Budgets[BudgetYear],DaybyDay[[#This Row],[RowYear]])</f>
        <v>3400.7328981089026</v>
      </c>
      <c r="L960" s="75">
        <v>2520.4</v>
      </c>
      <c r="M960" s="32">
        <f>INDEX(BudgetSeasonality[365 Seasonality],MATCH(DaybyDay[[#This Row],[Date]],BudgetSeasonality[MonthAdjustment],0))*SUMIFS(Budgets[Retail-Budget],Budgets[BudgetMonth],DaybyDay[[#This Row],[RowMonth]],Budgets[BudgetYear],DaybyDay[[#This Row],[RowYear]])</f>
        <v>1269.2437635796696</v>
      </c>
      <c r="N960" s="75">
        <v>584.25</v>
      </c>
      <c r="O960" s="33">
        <f>SUMIFS(DaybyDay[Service-Budgets],DaybyDay[Date],"&gt;="&amp;$C$5,DaybyDay[RowYear],"&gt;="&amp;$C$4,DaybyDay[Date],"&lt;="&amp;DaybyDay[[#This Row],[Date]])</f>
        <v>0</v>
      </c>
      <c r="P960" s="33">
        <f>SUMIFS(DaybyDay[Retail-Budgets],DaybyDay[Date],"&gt;="&amp;$C$5,DaybyDay[RowYear],"&gt;="&amp;$C$4,DaybyDay[Date],"&lt;="&amp;DaybyDay[[#This Row],[Date]])</f>
        <v>0</v>
      </c>
      <c r="Q960" s="34">
        <f>SUMIFS(DaybyDay[Service-Actuals],DaybyDay[Date],"&gt;="&amp;$C$5,DaybyDay[RowYear],"&gt;="&amp;$C$4,DaybyDay[Date],"&lt;="&amp;DaybyDay[[#This Row],[Date]])</f>
        <v>0</v>
      </c>
      <c r="R960" s="34">
        <f>SUMIFS(DaybyDay[Retail-Actuals],DaybyDay[Date],"&gt;="&amp;$C$5,DaybyDay[RowYear],"&gt;="&amp;$C$4,DaybyDay[Date],"&lt;="&amp;DaybyDay[[#This Row],[Date]])</f>
        <v>0</v>
      </c>
      <c r="S960" s="35">
        <f>SUMIFS(DaybyDay[Service-LY],DaybyDay[Date],"&gt;="&amp;$C$5,DaybyDay[RowYear],"&gt;="&amp;$C$4,DaybyDay[Date],"&lt;="&amp;DaybyDay[[#This Row],[Date]])</f>
        <v>0</v>
      </c>
      <c r="T960" s="35">
        <f>SUMIFS(DaybyDay[Retail-LY],DaybyDay[Date],"&gt;="&amp;$C$5,DaybyDay[RowYear],"&gt;="&amp;$C$4,DaybyDay[Date],"&lt;="&amp;DaybyDay[[#This Row],[Date]])</f>
        <v>0</v>
      </c>
      <c r="U960" s="32">
        <f>DaybyDay[[#This Row],[Serv-Bud-RU]]+DaybyDay[[#This Row],[Ret-Bud-RU]]</f>
        <v>0</v>
      </c>
      <c r="V960" s="32">
        <f>DaybyDay[[#This Row],[Serv-Act-RU]]+DaybyDay[[#This Row],[Ret-Act-RU]]</f>
        <v>0</v>
      </c>
      <c r="W960" s="36">
        <f>IF(DaybyDay[[#This Row],[_Space]],IFERROR(
((DaybyDay[[#This Row],[Actual-Rollup]]-DaybyDay[[#This Row],[Budget-Rollup]])/DaybyDay[[#This Row],[Budget-Rollup]]),0),"")</f>
        <v>0</v>
      </c>
      <c r="X960" t="b">
        <f>NOT(AND(ISBLANK(DaybyDay[[#This Row],[Appts]]),ISBLANK(DaybyDay[[#This Row],[Service-Actuals]]),ISBLANK(DaybyDay[[#This Row],[Retail-Actuals]])))</f>
        <v>1</v>
      </c>
      <c r="Y960" s="36">
        <f>IF(DaybyDay[[#This Row],[_Space]],IFERROR(
((DaybyDay[[#This Row],[Actual-Rollup]]-DaybyDay[[#This Row],[LY-Rollup]])/DaybyDay[[#This Row],[LY-Rollup]]),0),"")</f>
        <v>0</v>
      </c>
      <c r="Z960"/>
      <c r="AA960" s="37" t="e">
        <f>IF(DaybyDay[[#This Row],[_Space]],DaybyDay[[#This Row],[Ret-Act-RU]]/DaybyDay[[#This Row],[Serv-Act-RU]],"")</f>
        <v>#DIV/0!</v>
      </c>
      <c r="AB960" s="50" t="e">
        <f>IF(DaybyDay[[#This Row],[_Space]],DaybyDay[[#This Row],[RETPEN-Act]]/DaybyDay[[#This Row],[RETPEN-Bud]],"")</f>
        <v>#DIV/0!</v>
      </c>
      <c r="AC960" s="37" t="e">
        <f>IF(DaybyDay[[#This Row],[_Space]],DaybyDay[[#This Row],[Ret-Bud-RU]]/DaybyDay[[#This Row],[Serv-Bud-RU]],"")</f>
        <v>#DIV/0!</v>
      </c>
      <c r="AD960" s="37" t="e">
        <f>IF(DaybyDay[[#This Row],[_Space]],DaybyDay[[#This Row],[Ret-LY-RU]]/DaybyDay[[#This Row],[Serv-LY-RU]],"")</f>
        <v>#DIV/0!</v>
      </c>
      <c r="AE960" s="30">
        <f>WEEKDAY(DaybyDay[[#This Row],[LY-Date]])</f>
        <v>2</v>
      </c>
      <c r="AF960" s="38">
        <f>$E$2+_xlfn.DAYS(DaybyDay[[#This Row],[Date]],minDate)</f>
        <v>43325</v>
      </c>
      <c r="AG960" s="39" cm="1">
        <f t="array" ref="AG960">IFERROR(INDEX(DaybyDay[],DaybyDay[[#This Row],[FORM_MATCH_HELPER]],8),"")</f>
        <v>15</v>
      </c>
      <c r="AH960" s="39" cm="1">
        <f t="array" ref="AH960">IFERROR(INDEX(DaybyDay[],DaybyDay[[#This Row],[FORM_MATCH_HELPER]],10),"")</f>
        <v>2559.5500000000002</v>
      </c>
      <c r="AI960" s="39" cm="1">
        <f t="array" ref="AI960">IFERROR(INDEX(DaybyDay[],DaybyDay[[#This Row],[FORM_MATCH_HELPER]],12),"")</f>
        <v>851.9</v>
      </c>
      <c r="AJ960" s="32">
        <f>IFERROR(DaybyDay[[#This Row],[Serv-LY-RU]]+DaybyDay[[#This Row],[Ret-LY-RU]],"")</f>
        <v>0</v>
      </c>
      <c r="AK9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0" s="77"/>
      <c r="AM960" s="40" t="str">
        <f>IF(DaybyDay[[#This Row],[Admin Hours]]&gt;0,DaybyDay[[#This Row],[Admin Hours]]*$AM$2+$AM$3,"")</f>
        <v/>
      </c>
      <c r="AN960" s="40">
        <f>SUMIFS(DaybyDay[Est-Admin-Payroll],DaybyDay[Date],"&gt;="&amp;$C$5,DaybyDay[RowYear],"&gt;="&amp;$C$4,DaybyDay[Date],"&lt;="&amp;DaybyDay[[#This Row],[Date]])</f>
        <v>0</v>
      </c>
      <c r="AO960" s="41" t="str">
        <f>IF(AND(DaybyDay[[#This Row],[_Space]],ISNUMBER(DaybyDay[[#This Row],[Admin Hours]])),DaybyDay[[#This Row],[Est-Admin-Payroll]]/(DaybyDay[[#This Row],[Service-Actuals]]+DaybyDay[[#This Row],[Retail-Actuals]]),"")</f>
        <v/>
      </c>
      <c r="AP960" s="41" t="e">
        <f>DaybyDay[[#This Row],[Estimated-Payroll-Rollup]]/DaybyDay[[#This Row],[Simple-Forecast]]</f>
        <v>#DIV/0!</v>
      </c>
      <c r="AQ9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0" s="77"/>
      <c r="AS960" s="40" t="str">
        <f>IF(DaybyDay[[#This Row],[Retail Hours]]&gt;0,DaybyDay[[#This Row],[Retail Hours]]*$AS$2,"")</f>
        <v/>
      </c>
      <c r="AT960" s="40">
        <f>SUMIFS(DaybyDay[Est-Retail-Payroll],DaybyDay[Date],"&gt;="&amp;$C$5,DaybyDay[RowYear],"&gt;="&amp;$C$4,DaybyDay[Date],"&lt;="&amp;DaybyDay[[#This Row],[Date]])</f>
        <v>0</v>
      </c>
      <c r="AU960" s="82" t="str">
        <f>IF(AND(DaybyDay[[#This Row],[_Space]],ISNUMBER(DaybyDay[[#This Row],[Retail Hours]])),DaybyDay[[#This Row],[Est-Retail-Payroll]]/(DaybyDay[[#This Row],[Retail-Actuals]]),"")</f>
        <v/>
      </c>
      <c r="AV960" s="82" t="e">
        <f>DaybyDay[[#This Row],[Est-Retail-PayrollRU]]/DaybyDay[[#This Row],[Simple-Forecast-Retail]]</f>
        <v>#DIV/0!</v>
      </c>
      <c r="AW960" s="8"/>
      <c r="AX960" s="49"/>
      <c r="AY960" s="48"/>
      <c r="AZ960" s="47"/>
      <c r="BA960" s="47"/>
      <c r="BB960" s="47"/>
      <c r="BC960" s="47"/>
      <c r="BD960" s="47"/>
    </row>
    <row r="961" spans="3:56" hidden="1" x14ac:dyDescent="0.25">
      <c r="C961" s="26" t="str">
        <f>Tools!$C$1</f>
        <v>Example</v>
      </c>
      <c r="D961" s="27" t="s">
        <v>75</v>
      </c>
      <c r="E961" s="28">
        <v>2019</v>
      </c>
      <c r="F961" s="28">
        <f>MATCH(DaybyDay[[#This Row],[RowMonth]],Table3[SummaryMonth],0)</f>
        <v>8</v>
      </c>
      <c r="G961" s="29">
        <f>MATCH(DaybyDay[[#This Row],[LY-Date]],DaybyDay[Date],0)</f>
        <v>591</v>
      </c>
      <c r="H961" s="30">
        <f>WEEKDAY(DaybyDay[[#This Row],[Date]])</f>
        <v>3</v>
      </c>
      <c r="I961" s="31">
        <v>43690</v>
      </c>
      <c r="J961" s="74">
        <v>9</v>
      </c>
      <c r="K961" s="32">
        <f>SUMIFS(BudgetSeasonality[365 Seasonality],BudgetSeasonality[MonthAdjustment],DaybyDay[[#This Row],[Date]])*SUMIFS(Budgets[Service-Budget],Budgets[BudgetMonth],DaybyDay[[#This Row],[RowMonth]],Budgets[BudgetYear],DaybyDay[[#This Row],[RowYear]])</f>
        <v>3515.2563214953793</v>
      </c>
      <c r="L961" s="75">
        <v>1213</v>
      </c>
      <c r="M961" s="32">
        <f>INDEX(BudgetSeasonality[365 Seasonality],MATCH(DaybyDay[[#This Row],[Date]],BudgetSeasonality[MonthAdjustment],0))*SUMIFS(Budgets[Retail-Budget],Budgets[BudgetMonth],DaybyDay[[#This Row],[RowMonth]],Budgets[BudgetYear],DaybyDay[[#This Row],[RowYear]])</f>
        <v>1311.9869443210655</v>
      </c>
      <c r="N961" s="75">
        <v>279</v>
      </c>
      <c r="O961" s="33">
        <f>SUMIFS(DaybyDay[Service-Budgets],DaybyDay[Date],"&gt;="&amp;$C$5,DaybyDay[RowYear],"&gt;="&amp;$C$4,DaybyDay[Date],"&lt;="&amp;DaybyDay[[#This Row],[Date]])</f>
        <v>0</v>
      </c>
      <c r="P961" s="33">
        <f>SUMIFS(DaybyDay[Retail-Budgets],DaybyDay[Date],"&gt;="&amp;$C$5,DaybyDay[RowYear],"&gt;="&amp;$C$4,DaybyDay[Date],"&lt;="&amp;DaybyDay[[#This Row],[Date]])</f>
        <v>0</v>
      </c>
      <c r="Q961" s="34">
        <f>SUMIFS(DaybyDay[Service-Actuals],DaybyDay[Date],"&gt;="&amp;$C$5,DaybyDay[RowYear],"&gt;="&amp;$C$4,DaybyDay[Date],"&lt;="&amp;DaybyDay[[#This Row],[Date]])</f>
        <v>0</v>
      </c>
      <c r="R961" s="34">
        <f>SUMIFS(DaybyDay[Retail-Actuals],DaybyDay[Date],"&gt;="&amp;$C$5,DaybyDay[RowYear],"&gt;="&amp;$C$4,DaybyDay[Date],"&lt;="&amp;DaybyDay[[#This Row],[Date]])</f>
        <v>0</v>
      </c>
      <c r="S961" s="35">
        <f>SUMIFS(DaybyDay[Service-LY],DaybyDay[Date],"&gt;="&amp;$C$5,DaybyDay[RowYear],"&gt;="&amp;$C$4,DaybyDay[Date],"&lt;="&amp;DaybyDay[[#This Row],[Date]])</f>
        <v>0</v>
      </c>
      <c r="T961" s="35">
        <f>SUMIFS(DaybyDay[Retail-LY],DaybyDay[Date],"&gt;="&amp;$C$5,DaybyDay[RowYear],"&gt;="&amp;$C$4,DaybyDay[Date],"&lt;="&amp;DaybyDay[[#This Row],[Date]])</f>
        <v>0</v>
      </c>
      <c r="U961" s="32">
        <f>DaybyDay[[#This Row],[Serv-Bud-RU]]+DaybyDay[[#This Row],[Ret-Bud-RU]]</f>
        <v>0</v>
      </c>
      <c r="V961" s="32">
        <f>DaybyDay[[#This Row],[Serv-Act-RU]]+DaybyDay[[#This Row],[Ret-Act-RU]]</f>
        <v>0</v>
      </c>
      <c r="W961" s="36">
        <f>IF(DaybyDay[[#This Row],[_Space]],IFERROR(
((DaybyDay[[#This Row],[Actual-Rollup]]-DaybyDay[[#This Row],[Budget-Rollup]])/DaybyDay[[#This Row],[Budget-Rollup]]),0),"")</f>
        <v>0</v>
      </c>
      <c r="X961" t="b">
        <f>NOT(AND(ISBLANK(DaybyDay[[#This Row],[Appts]]),ISBLANK(DaybyDay[[#This Row],[Service-Actuals]]),ISBLANK(DaybyDay[[#This Row],[Retail-Actuals]])))</f>
        <v>1</v>
      </c>
      <c r="Y961" s="36">
        <f>IF(DaybyDay[[#This Row],[_Space]],IFERROR(
((DaybyDay[[#This Row],[Actual-Rollup]]-DaybyDay[[#This Row],[LY-Rollup]])/DaybyDay[[#This Row],[LY-Rollup]]),0),"")</f>
        <v>0</v>
      </c>
      <c r="Z961"/>
      <c r="AA961" s="37" t="e">
        <f>IF(DaybyDay[[#This Row],[_Space]],DaybyDay[[#This Row],[Ret-Act-RU]]/DaybyDay[[#This Row],[Serv-Act-RU]],"")</f>
        <v>#DIV/0!</v>
      </c>
      <c r="AB961" s="50" t="e">
        <f>IF(DaybyDay[[#This Row],[_Space]],DaybyDay[[#This Row],[RETPEN-Act]]/DaybyDay[[#This Row],[RETPEN-Bud]],"")</f>
        <v>#DIV/0!</v>
      </c>
      <c r="AC961" s="37" t="e">
        <f>IF(DaybyDay[[#This Row],[_Space]],DaybyDay[[#This Row],[Ret-Bud-RU]]/DaybyDay[[#This Row],[Serv-Bud-RU]],"")</f>
        <v>#DIV/0!</v>
      </c>
      <c r="AD961" s="37" t="e">
        <f>IF(DaybyDay[[#This Row],[_Space]],DaybyDay[[#This Row],[Ret-LY-RU]]/DaybyDay[[#This Row],[Serv-LY-RU]],"")</f>
        <v>#DIV/0!</v>
      </c>
      <c r="AE961" s="30">
        <f>WEEKDAY(DaybyDay[[#This Row],[LY-Date]])</f>
        <v>3</v>
      </c>
      <c r="AF961" s="38">
        <f>$E$2+_xlfn.DAYS(DaybyDay[[#This Row],[Date]],minDate)</f>
        <v>43326</v>
      </c>
      <c r="AG961" s="39" cm="1">
        <f t="array" ref="AG961">IFERROR(INDEX(DaybyDay[],DaybyDay[[#This Row],[FORM_MATCH_HELPER]],8),"")</f>
        <v>10</v>
      </c>
      <c r="AH961" s="39" cm="1">
        <f t="array" ref="AH961">IFERROR(INDEX(DaybyDay[],DaybyDay[[#This Row],[FORM_MATCH_HELPER]],10),"")</f>
        <v>1487.5</v>
      </c>
      <c r="AI961" s="39" cm="1">
        <f t="array" ref="AI961">IFERROR(INDEX(DaybyDay[],DaybyDay[[#This Row],[FORM_MATCH_HELPER]],12),"")</f>
        <v>154</v>
      </c>
      <c r="AJ961" s="32">
        <f>IFERROR(DaybyDay[[#This Row],[Serv-LY-RU]]+DaybyDay[[#This Row],[Ret-LY-RU]],"")</f>
        <v>0</v>
      </c>
      <c r="AK9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1" s="77"/>
      <c r="AM961" s="40" t="str">
        <f>IF(DaybyDay[[#This Row],[Admin Hours]]&gt;0,DaybyDay[[#This Row],[Admin Hours]]*$AM$2+$AM$3,"")</f>
        <v/>
      </c>
      <c r="AN961" s="40">
        <f>SUMIFS(DaybyDay[Est-Admin-Payroll],DaybyDay[Date],"&gt;="&amp;$C$5,DaybyDay[RowYear],"&gt;="&amp;$C$4,DaybyDay[Date],"&lt;="&amp;DaybyDay[[#This Row],[Date]])</f>
        <v>0</v>
      </c>
      <c r="AO961" s="41" t="str">
        <f>IF(AND(DaybyDay[[#This Row],[_Space]],ISNUMBER(DaybyDay[[#This Row],[Admin Hours]])),DaybyDay[[#This Row],[Est-Admin-Payroll]]/(DaybyDay[[#This Row],[Service-Actuals]]+DaybyDay[[#This Row],[Retail-Actuals]]),"")</f>
        <v/>
      </c>
      <c r="AP961" s="41" t="e">
        <f>DaybyDay[[#This Row],[Estimated-Payroll-Rollup]]/DaybyDay[[#This Row],[Simple-Forecast]]</f>
        <v>#DIV/0!</v>
      </c>
      <c r="AQ9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1" s="77"/>
      <c r="AS961" s="40" t="str">
        <f>IF(DaybyDay[[#This Row],[Retail Hours]]&gt;0,DaybyDay[[#This Row],[Retail Hours]]*$AS$2,"")</f>
        <v/>
      </c>
      <c r="AT961" s="40">
        <f>SUMIFS(DaybyDay[Est-Retail-Payroll],DaybyDay[Date],"&gt;="&amp;$C$5,DaybyDay[RowYear],"&gt;="&amp;$C$4,DaybyDay[Date],"&lt;="&amp;DaybyDay[[#This Row],[Date]])</f>
        <v>0</v>
      </c>
      <c r="AU961" s="82" t="str">
        <f>IF(AND(DaybyDay[[#This Row],[_Space]],ISNUMBER(DaybyDay[[#This Row],[Retail Hours]])),DaybyDay[[#This Row],[Est-Retail-Payroll]]/(DaybyDay[[#This Row],[Retail-Actuals]]),"")</f>
        <v/>
      </c>
      <c r="AV961" s="82" t="e">
        <f>DaybyDay[[#This Row],[Est-Retail-PayrollRU]]/DaybyDay[[#This Row],[Simple-Forecast-Retail]]</f>
        <v>#DIV/0!</v>
      </c>
      <c r="AW961" s="8"/>
      <c r="AX961" s="49"/>
      <c r="AY961" s="48"/>
      <c r="AZ961" s="47"/>
      <c r="BA961" s="47"/>
      <c r="BB961" s="47"/>
      <c r="BC961" s="47"/>
      <c r="BD961" s="47"/>
    </row>
    <row r="962" spans="3:56" hidden="1" x14ac:dyDescent="0.25">
      <c r="C962" s="26" t="str">
        <f>Tools!$C$1</f>
        <v>Example</v>
      </c>
      <c r="D962" s="27" t="s">
        <v>75</v>
      </c>
      <c r="E962" s="28">
        <v>2019</v>
      </c>
      <c r="F962" s="28">
        <f>MATCH(DaybyDay[[#This Row],[RowMonth]],Table3[SummaryMonth],0)</f>
        <v>8</v>
      </c>
      <c r="G962" s="29">
        <f>MATCH(DaybyDay[[#This Row],[LY-Date]],DaybyDay[Date],0)</f>
        <v>592</v>
      </c>
      <c r="H962" s="30">
        <f>WEEKDAY(DaybyDay[[#This Row],[Date]])</f>
        <v>4</v>
      </c>
      <c r="I962" s="31">
        <v>43691</v>
      </c>
      <c r="J962" s="74">
        <v>21</v>
      </c>
      <c r="K962" s="32">
        <f>SUMIFS(BudgetSeasonality[365 Seasonality],BudgetSeasonality[MonthAdjustment],DaybyDay[[#This Row],[Date]])*SUMIFS(Budgets[Service-Budget],Budgets[BudgetMonth],DaybyDay[[#This Row],[RowMonth]],Budgets[BudgetYear],DaybyDay[[#This Row],[RowYear]])</f>
        <v>4142.5408088959321</v>
      </c>
      <c r="L962" s="75">
        <v>5230.3999999999996</v>
      </c>
      <c r="M962" s="32">
        <f>INDEX(BudgetSeasonality[365 Seasonality],MATCH(DaybyDay[[#This Row],[Date]],BudgetSeasonality[MonthAdjustment],0))*SUMIFS(Budgets[Retail-Budget],Budgets[BudgetMonth],DaybyDay[[#This Row],[RowMonth]],Budgets[BudgetYear],DaybyDay[[#This Row],[RowYear]])</f>
        <v>1546.1061614069365</v>
      </c>
      <c r="N962" s="75">
        <v>1273.4000000000001</v>
      </c>
      <c r="O962" s="33">
        <f>SUMIFS(DaybyDay[Service-Budgets],DaybyDay[Date],"&gt;="&amp;$C$5,DaybyDay[RowYear],"&gt;="&amp;$C$4,DaybyDay[Date],"&lt;="&amp;DaybyDay[[#This Row],[Date]])</f>
        <v>0</v>
      </c>
      <c r="P962" s="33">
        <f>SUMIFS(DaybyDay[Retail-Budgets],DaybyDay[Date],"&gt;="&amp;$C$5,DaybyDay[RowYear],"&gt;="&amp;$C$4,DaybyDay[Date],"&lt;="&amp;DaybyDay[[#This Row],[Date]])</f>
        <v>0</v>
      </c>
      <c r="Q962" s="34">
        <f>SUMIFS(DaybyDay[Service-Actuals],DaybyDay[Date],"&gt;="&amp;$C$5,DaybyDay[RowYear],"&gt;="&amp;$C$4,DaybyDay[Date],"&lt;="&amp;DaybyDay[[#This Row],[Date]])</f>
        <v>0</v>
      </c>
      <c r="R962" s="34">
        <f>SUMIFS(DaybyDay[Retail-Actuals],DaybyDay[Date],"&gt;="&amp;$C$5,DaybyDay[RowYear],"&gt;="&amp;$C$4,DaybyDay[Date],"&lt;="&amp;DaybyDay[[#This Row],[Date]])</f>
        <v>0</v>
      </c>
      <c r="S962" s="35">
        <f>SUMIFS(DaybyDay[Service-LY],DaybyDay[Date],"&gt;="&amp;$C$5,DaybyDay[RowYear],"&gt;="&amp;$C$4,DaybyDay[Date],"&lt;="&amp;DaybyDay[[#This Row],[Date]])</f>
        <v>0</v>
      </c>
      <c r="T962" s="35">
        <f>SUMIFS(DaybyDay[Retail-LY],DaybyDay[Date],"&gt;="&amp;$C$5,DaybyDay[RowYear],"&gt;="&amp;$C$4,DaybyDay[Date],"&lt;="&amp;DaybyDay[[#This Row],[Date]])</f>
        <v>0</v>
      </c>
      <c r="U962" s="32">
        <f>DaybyDay[[#This Row],[Serv-Bud-RU]]+DaybyDay[[#This Row],[Ret-Bud-RU]]</f>
        <v>0</v>
      </c>
      <c r="V962" s="32">
        <f>DaybyDay[[#This Row],[Serv-Act-RU]]+DaybyDay[[#This Row],[Ret-Act-RU]]</f>
        <v>0</v>
      </c>
      <c r="W962" s="36">
        <f>IF(DaybyDay[[#This Row],[_Space]],IFERROR(
((DaybyDay[[#This Row],[Actual-Rollup]]-DaybyDay[[#This Row],[Budget-Rollup]])/DaybyDay[[#This Row],[Budget-Rollup]]),0),"")</f>
        <v>0</v>
      </c>
      <c r="X962" t="b">
        <f>NOT(AND(ISBLANK(DaybyDay[[#This Row],[Appts]]),ISBLANK(DaybyDay[[#This Row],[Service-Actuals]]),ISBLANK(DaybyDay[[#This Row],[Retail-Actuals]])))</f>
        <v>1</v>
      </c>
      <c r="Y962" s="36">
        <f>IF(DaybyDay[[#This Row],[_Space]],IFERROR(
((DaybyDay[[#This Row],[Actual-Rollup]]-DaybyDay[[#This Row],[LY-Rollup]])/DaybyDay[[#This Row],[LY-Rollup]]),0),"")</f>
        <v>0</v>
      </c>
      <c r="Z962"/>
      <c r="AA962" s="37" t="e">
        <f>IF(DaybyDay[[#This Row],[_Space]],DaybyDay[[#This Row],[Ret-Act-RU]]/DaybyDay[[#This Row],[Serv-Act-RU]],"")</f>
        <v>#DIV/0!</v>
      </c>
      <c r="AB962" s="50" t="e">
        <f>IF(DaybyDay[[#This Row],[_Space]],DaybyDay[[#This Row],[RETPEN-Act]]/DaybyDay[[#This Row],[RETPEN-Bud]],"")</f>
        <v>#DIV/0!</v>
      </c>
      <c r="AC962" s="37" t="e">
        <f>IF(DaybyDay[[#This Row],[_Space]],DaybyDay[[#This Row],[Ret-Bud-RU]]/DaybyDay[[#This Row],[Serv-Bud-RU]],"")</f>
        <v>#DIV/0!</v>
      </c>
      <c r="AD962" s="37" t="e">
        <f>IF(DaybyDay[[#This Row],[_Space]],DaybyDay[[#This Row],[Ret-LY-RU]]/DaybyDay[[#This Row],[Serv-LY-RU]],"")</f>
        <v>#DIV/0!</v>
      </c>
      <c r="AE962" s="30">
        <f>WEEKDAY(DaybyDay[[#This Row],[LY-Date]])</f>
        <v>4</v>
      </c>
      <c r="AF962" s="38">
        <f>$E$2+_xlfn.DAYS(DaybyDay[[#This Row],[Date]],minDate)</f>
        <v>43327</v>
      </c>
      <c r="AG962" s="39" cm="1">
        <f t="array" ref="AG962">IFERROR(INDEX(DaybyDay[],DaybyDay[[#This Row],[FORM_MATCH_HELPER]],8),"")</f>
        <v>13</v>
      </c>
      <c r="AH962" s="39" cm="1">
        <f t="array" ref="AH962">IFERROR(INDEX(DaybyDay[],DaybyDay[[#This Row],[FORM_MATCH_HELPER]],10),"")</f>
        <v>2141.6</v>
      </c>
      <c r="AI962" s="39" cm="1">
        <f t="array" ref="AI962">IFERROR(INDEX(DaybyDay[],DaybyDay[[#This Row],[FORM_MATCH_HELPER]],12),"")</f>
        <v>634.4</v>
      </c>
      <c r="AJ962" s="32">
        <f>IFERROR(DaybyDay[[#This Row],[Serv-LY-RU]]+DaybyDay[[#This Row],[Ret-LY-RU]],"")</f>
        <v>0</v>
      </c>
      <c r="AK9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2" s="77"/>
      <c r="AM962" s="40" t="str">
        <f>IF(DaybyDay[[#This Row],[Admin Hours]]&gt;0,DaybyDay[[#This Row],[Admin Hours]]*$AM$2+$AM$3,"")</f>
        <v/>
      </c>
      <c r="AN962" s="40">
        <f>SUMIFS(DaybyDay[Est-Admin-Payroll],DaybyDay[Date],"&gt;="&amp;$C$5,DaybyDay[RowYear],"&gt;="&amp;$C$4,DaybyDay[Date],"&lt;="&amp;DaybyDay[[#This Row],[Date]])</f>
        <v>0</v>
      </c>
      <c r="AO962" s="41" t="str">
        <f>IF(AND(DaybyDay[[#This Row],[_Space]],ISNUMBER(DaybyDay[[#This Row],[Admin Hours]])),DaybyDay[[#This Row],[Est-Admin-Payroll]]/(DaybyDay[[#This Row],[Service-Actuals]]+DaybyDay[[#This Row],[Retail-Actuals]]),"")</f>
        <v/>
      </c>
      <c r="AP962" s="41" t="e">
        <f>DaybyDay[[#This Row],[Estimated-Payroll-Rollup]]/DaybyDay[[#This Row],[Simple-Forecast]]</f>
        <v>#DIV/0!</v>
      </c>
      <c r="AQ9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2" s="77"/>
      <c r="AS962" s="40" t="str">
        <f>IF(DaybyDay[[#This Row],[Retail Hours]]&gt;0,DaybyDay[[#This Row],[Retail Hours]]*$AS$2,"")</f>
        <v/>
      </c>
      <c r="AT962" s="40">
        <f>SUMIFS(DaybyDay[Est-Retail-Payroll],DaybyDay[Date],"&gt;="&amp;$C$5,DaybyDay[RowYear],"&gt;="&amp;$C$4,DaybyDay[Date],"&lt;="&amp;DaybyDay[[#This Row],[Date]])</f>
        <v>0</v>
      </c>
      <c r="AU962" s="82" t="str">
        <f>IF(AND(DaybyDay[[#This Row],[_Space]],ISNUMBER(DaybyDay[[#This Row],[Retail Hours]])),DaybyDay[[#This Row],[Est-Retail-Payroll]]/(DaybyDay[[#This Row],[Retail-Actuals]]),"")</f>
        <v/>
      </c>
      <c r="AV962" s="82" t="e">
        <f>DaybyDay[[#This Row],[Est-Retail-PayrollRU]]/DaybyDay[[#This Row],[Simple-Forecast-Retail]]</f>
        <v>#DIV/0!</v>
      </c>
      <c r="AW962" s="8"/>
      <c r="AX962" s="49"/>
      <c r="AY962" s="48"/>
      <c r="AZ962" s="47"/>
      <c r="BA962" s="47"/>
      <c r="BB962" s="47"/>
      <c r="BC962" s="47"/>
      <c r="BD962" s="47"/>
    </row>
    <row r="963" spans="3:56" hidden="1" x14ac:dyDescent="0.25">
      <c r="C963" s="26" t="str">
        <f>Tools!$C$1</f>
        <v>Example</v>
      </c>
      <c r="D963" s="27" t="s">
        <v>75</v>
      </c>
      <c r="E963" s="28">
        <v>2019</v>
      </c>
      <c r="F963" s="28">
        <f>MATCH(DaybyDay[[#This Row],[RowMonth]],Table3[SummaryMonth],0)</f>
        <v>8</v>
      </c>
      <c r="G963" s="29">
        <f>MATCH(DaybyDay[[#This Row],[LY-Date]],DaybyDay[Date],0)</f>
        <v>593</v>
      </c>
      <c r="H963" s="30">
        <f>WEEKDAY(DaybyDay[[#This Row],[Date]])</f>
        <v>5</v>
      </c>
      <c r="I963" s="31">
        <v>43692</v>
      </c>
      <c r="J963" s="74">
        <v>7</v>
      </c>
      <c r="K963" s="32">
        <f>SUMIFS(BudgetSeasonality[365 Seasonality],BudgetSeasonality[MonthAdjustment],DaybyDay[[#This Row],[Date]])*SUMIFS(Budgets[Service-Budget],Budgets[BudgetMonth],DaybyDay[[#This Row],[RowMonth]],Budgets[BudgetYear],DaybyDay[[#This Row],[RowYear]])</f>
        <v>4261.3131031722178</v>
      </c>
      <c r="L963" s="75">
        <v>999.82999999999993</v>
      </c>
      <c r="M963" s="32">
        <f>INDEX(BudgetSeasonality[365 Seasonality],MATCH(DaybyDay[[#This Row],[Date]],BudgetSeasonality[MonthAdjustment],0))*SUMIFS(Budgets[Retail-Budget],Budgets[BudgetMonth],DaybyDay[[#This Row],[RowMonth]],Budgets[BudgetYear],DaybyDay[[#This Row],[RowYear]])</f>
        <v>1590.4351335176411</v>
      </c>
      <c r="N963" s="75">
        <v>490</v>
      </c>
      <c r="O963" s="33">
        <f>SUMIFS(DaybyDay[Service-Budgets],DaybyDay[Date],"&gt;="&amp;$C$5,DaybyDay[RowYear],"&gt;="&amp;$C$4,DaybyDay[Date],"&lt;="&amp;DaybyDay[[#This Row],[Date]])</f>
        <v>0</v>
      </c>
      <c r="P963" s="33">
        <f>SUMIFS(DaybyDay[Retail-Budgets],DaybyDay[Date],"&gt;="&amp;$C$5,DaybyDay[RowYear],"&gt;="&amp;$C$4,DaybyDay[Date],"&lt;="&amp;DaybyDay[[#This Row],[Date]])</f>
        <v>0</v>
      </c>
      <c r="Q963" s="34">
        <f>SUMIFS(DaybyDay[Service-Actuals],DaybyDay[Date],"&gt;="&amp;$C$5,DaybyDay[RowYear],"&gt;="&amp;$C$4,DaybyDay[Date],"&lt;="&amp;DaybyDay[[#This Row],[Date]])</f>
        <v>0</v>
      </c>
      <c r="R963" s="34">
        <f>SUMIFS(DaybyDay[Retail-Actuals],DaybyDay[Date],"&gt;="&amp;$C$5,DaybyDay[RowYear],"&gt;="&amp;$C$4,DaybyDay[Date],"&lt;="&amp;DaybyDay[[#This Row],[Date]])</f>
        <v>0</v>
      </c>
      <c r="S963" s="35">
        <f>SUMIFS(DaybyDay[Service-LY],DaybyDay[Date],"&gt;="&amp;$C$5,DaybyDay[RowYear],"&gt;="&amp;$C$4,DaybyDay[Date],"&lt;="&amp;DaybyDay[[#This Row],[Date]])</f>
        <v>0</v>
      </c>
      <c r="T963" s="35">
        <f>SUMIFS(DaybyDay[Retail-LY],DaybyDay[Date],"&gt;="&amp;$C$5,DaybyDay[RowYear],"&gt;="&amp;$C$4,DaybyDay[Date],"&lt;="&amp;DaybyDay[[#This Row],[Date]])</f>
        <v>0</v>
      </c>
      <c r="U963" s="32">
        <f>DaybyDay[[#This Row],[Serv-Bud-RU]]+DaybyDay[[#This Row],[Ret-Bud-RU]]</f>
        <v>0</v>
      </c>
      <c r="V963" s="32">
        <f>DaybyDay[[#This Row],[Serv-Act-RU]]+DaybyDay[[#This Row],[Ret-Act-RU]]</f>
        <v>0</v>
      </c>
      <c r="W963" s="36">
        <f>IF(DaybyDay[[#This Row],[_Space]],IFERROR(
((DaybyDay[[#This Row],[Actual-Rollup]]-DaybyDay[[#This Row],[Budget-Rollup]])/DaybyDay[[#This Row],[Budget-Rollup]]),0),"")</f>
        <v>0</v>
      </c>
      <c r="X963" t="b">
        <f>NOT(AND(ISBLANK(DaybyDay[[#This Row],[Appts]]),ISBLANK(DaybyDay[[#This Row],[Service-Actuals]]),ISBLANK(DaybyDay[[#This Row],[Retail-Actuals]])))</f>
        <v>1</v>
      </c>
      <c r="Y963" s="36">
        <f>IF(DaybyDay[[#This Row],[_Space]],IFERROR(
((DaybyDay[[#This Row],[Actual-Rollup]]-DaybyDay[[#This Row],[LY-Rollup]])/DaybyDay[[#This Row],[LY-Rollup]]),0),"")</f>
        <v>0</v>
      </c>
      <c r="Z963"/>
      <c r="AA963" s="37" t="e">
        <f>IF(DaybyDay[[#This Row],[_Space]],DaybyDay[[#This Row],[Ret-Act-RU]]/DaybyDay[[#This Row],[Serv-Act-RU]],"")</f>
        <v>#DIV/0!</v>
      </c>
      <c r="AB963" s="50" t="e">
        <f>IF(DaybyDay[[#This Row],[_Space]],DaybyDay[[#This Row],[RETPEN-Act]]/DaybyDay[[#This Row],[RETPEN-Bud]],"")</f>
        <v>#DIV/0!</v>
      </c>
      <c r="AC963" s="37" t="e">
        <f>IF(DaybyDay[[#This Row],[_Space]],DaybyDay[[#This Row],[Ret-Bud-RU]]/DaybyDay[[#This Row],[Serv-Bud-RU]],"")</f>
        <v>#DIV/0!</v>
      </c>
      <c r="AD963" s="37" t="e">
        <f>IF(DaybyDay[[#This Row],[_Space]],DaybyDay[[#This Row],[Ret-LY-RU]]/DaybyDay[[#This Row],[Serv-LY-RU]],"")</f>
        <v>#DIV/0!</v>
      </c>
      <c r="AE963" s="30">
        <f>WEEKDAY(DaybyDay[[#This Row],[LY-Date]])</f>
        <v>5</v>
      </c>
      <c r="AF963" s="38">
        <f>$E$2+_xlfn.DAYS(DaybyDay[[#This Row],[Date]],minDate)</f>
        <v>43328</v>
      </c>
      <c r="AG963" s="39" cm="1">
        <f t="array" ref="AG963">IFERROR(INDEX(DaybyDay[],DaybyDay[[#This Row],[FORM_MATCH_HELPER]],8),"")</f>
        <v>19</v>
      </c>
      <c r="AH963" s="39" cm="1">
        <f t="array" ref="AH963">IFERROR(INDEX(DaybyDay[],DaybyDay[[#This Row],[FORM_MATCH_HELPER]],10),"")</f>
        <v>3924.2</v>
      </c>
      <c r="AI963" s="39" cm="1">
        <f t="array" ref="AI963">IFERROR(INDEX(DaybyDay[],DaybyDay[[#This Row],[FORM_MATCH_HELPER]],12),"")</f>
        <v>0</v>
      </c>
      <c r="AJ963" s="32">
        <f>IFERROR(DaybyDay[[#This Row],[Serv-LY-RU]]+DaybyDay[[#This Row],[Ret-LY-RU]],"")</f>
        <v>0</v>
      </c>
      <c r="AK9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3" s="77"/>
      <c r="AM963" s="40" t="str">
        <f>IF(DaybyDay[[#This Row],[Admin Hours]]&gt;0,DaybyDay[[#This Row],[Admin Hours]]*$AM$2+$AM$3,"")</f>
        <v/>
      </c>
      <c r="AN963" s="40">
        <f>SUMIFS(DaybyDay[Est-Admin-Payroll],DaybyDay[Date],"&gt;="&amp;$C$5,DaybyDay[RowYear],"&gt;="&amp;$C$4,DaybyDay[Date],"&lt;="&amp;DaybyDay[[#This Row],[Date]])</f>
        <v>0</v>
      </c>
      <c r="AO963" s="41" t="str">
        <f>IF(AND(DaybyDay[[#This Row],[_Space]],ISNUMBER(DaybyDay[[#This Row],[Admin Hours]])),DaybyDay[[#This Row],[Est-Admin-Payroll]]/(DaybyDay[[#This Row],[Service-Actuals]]+DaybyDay[[#This Row],[Retail-Actuals]]),"")</f>
        <v/>
      </c>
      <c r="AP963" s="41" t="e">
        <f>DaybyDay[[#This Row],[Estimated-Payroll-Rollup]]/DaybyDay[[#This Row],[Simple-Forecast]]</f>
        <v>#DIV/0!</v>
      </c>
      <c r="AQ9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3" s="77"/>
      <c r="AS963" s="40" t="str">
        <f>IF(DaybyDay[[#This Row],[Retail Hours]]&gt;0,DaybyDay[[#This Row],[Retail Hours]]*$AS$2,"")</f>
        <v/>
      </c>
      <c r="AT963" s="40">
        <f>SUMIFS(DaybyDay[Est-Retail-Payroll],DaybyDay[Date],"&gt;="&amp;$C$5,DaybyDay[RowYear],"&gt;="&amp;$C$4,DaybyDay[Date],"&lt;="&amp;DaybyDay[[#This Row],[Date]])</f>
        <v>0</v>
      </c>
      <c r="AU963" s="82" t="str">
        <f>IF(AND(DaybyDay[[#This Row],[_Space]],ISNUMBER(DaybyDay[[#This Row],[Retail Hours]])),DaybyDay[[#This Row],[Est-Retail-Payroll]]/(DaybyDay[[#This Row],[Retail-Actuals]]),"")</f>
        <v/>
      </c>
      <c r="AV963" s="82" t="e">
        <f>DaybyDay[[#This Row],[Est-Retail-PayrollRU]]/DaybyDay[[#This Row],[Simple-Forecast-Retail]]</f>
        <v>#DIV/0!</v>
      </c>
      <c r="AW963" s="8"/>
      <c r="AX963" s="49"/>
      <c r="AY963" s="48"/>
      <c r="AZ963" s="47"/>
      <c r="BA963" s="47"/>
      <c r="BB963" s="47"/>
      <c r="BC963" s="47"/>
      <c r="BD963" s="47"/>
    </row>
    <row r="964" spans="3:56" hidden="1" x14ac:dyDescent="0.25">
      <c r="C964" s="26" t="str">
        <f>Tools!$C$1</f>
        <v>Example</v>
      </c>
      <c r="D964" s="27" t="s">
        <v>75</v>
      </c>
      <c r="E964" s="28">
        <v>2019</v>
      </c>
      <c r="F964" s="28">
        <f>MATCH(DaybyDay[[#This Row],[RowMonth]],Table3[SummaryMonth],0)</f>
        <v>8</v>
      </c>
      <c r="G964" s="29">
        <f>MATCH(DaybyDay[[#This Row],[LY-Date]],DaybyDay[Date],0)</f>
        <v>594</v>
      </c>
      <c r="H964" s="30">
        <f>WEEKDAY(DaybyDay[[#This Row],[Date]])</f>
        <v>6</v>
      </c>
      <c r="I964" s="31">
        <v>43693</v>
      </c>
      <c r="J964" s="74">
        <v>29</v>
      </c>
      <c r="K964" s="32">
        <f>SUMIFS(BudgetSeasonality[365 Seasonality],BudgetSeasonality[MonthAdjustment],DaybyDay[[#This Row],[Date]])*SUMIFS(Budgets[Service-Budget],Budgets[BudgetMonth],DaybyDay[[#This Row],[RowMonth]],Budgets[BudgetYear],DaybyDay[[#This Row],[RowYear]])</f>
        <v>5454.5298686403494</v>
      </c>
      <c r="L964" s="75">
        <v>6024.77</v>
      </c>
      <c r="M964" s="32">
        <f>INDEX(BudgetSeasonality[365 Seasonality],MATCH(DaybyDay[[#This Row],[Date]],BudgetSeasonality[MonthAdjustment],0))*SUMIFS(Budgets[Retail-Budget],Budgets[BudgetMonth],DaybyDay[[#This Row],[RowMonth]],Budgets[BudgetYear],DaybyDay[[#This Row],[RowYear]])</f>
        <v>2035.7752950490899</v>
      </c>
      <c r="N964" s="75">
        <v>2136.4899999999998</v>
      </c>
      <c r="O964" s="33">
        <f>SUMIFS(DaybyDay[Service-Budgets],DaybyDay[Date],"&gt;="&amp;$C$5,DaybyDay[RowYear],"&gt;="&amp;$C$4,DaybyDay[Date],"&lt;="&amp;DaybyDay[[#This Row],[Date]])</f>
        <v>0</v>
      </c>
      <c r="P964" s="33">
        <f>SUMIFS(DaybyDay[Retail-Budgets],DaybyDay[Date],"&gt;="&amp;$C$5,DaybyDay[RowYear],"&gt;="&amp;$C$4,DaybyDay[Date],"&lt;="&amp;DaybyDay[[#This Row],[Date]])</f>
        <v>0</v>
      </c>
      <c r="Q964" s="34">
        <f>SUMIFS(DaybyDay[Service-Actuals],DaybyDay[Date],"&gt;="&amp;$C$5,DaybyDay[RowYear],"&gt;="&amp;$C$4,DaybyDay[Date],"&lt;="&amp;DaybyDay[[#This Row],[Date]])</f>
        <v>0</v>
      </c>
      <c r="R964" s="34">
        <f>SUMIFS(DaybyDay[Retail-Actuals],DaybyDay[Date],"&gt;="&amp;$C$5,DaybyDay[RowYear],"&gt;="&amp;$C$4,DaybyDay[Date],"&lt;="&amp;DaybyDay[[#This Row],[Date]])</f>
        <v>0</v>
      </c>
      <c r="S964" s="35">
        <f>SUMIFS(DaybyDay[Service-LY],DaybyDay[Date],"&gt;="&amp;$C$5,DaybyDay[RowYear],"&gt;="&amp;$C$4,DaybyDay[Date],"&lt;="&amp;DaybyDay[[#This Row],[Date]])</f>
        <v>0</v>
      </c>
      <c r="T964" s="35">
        <f>SUMIFS(DaybyDay[Retail-LY],DaybyDay[Date],"&gt;="&amp;$C$5,DaybyDay[RowYear],"&gt;="&amp;$C$4,DaybyDay[Date],"&lt;="&amp;DaybyDay[[#This Row],[Date]])</f>
        <v>0</v>
      </c>
      <c r="U964" s="32">
        <f>DaybyDay[[#This Row],[Serv-Bud-RU]]+DaybyDay[[#This Row],[Ret-Bud-RU]]</f>
        <v>0</v>
      </c>
      <c r="V964" s="32">
        <f>DaybyDay[[#This Row],[Serv-Act-RU]]+DaybyDay[[#This Row],[Ret-Act-RU]]</f>
        <v>0</v>
      </c>
      <c r="W964" s="36">
        <f>IF(DaybyDay[[#This Row],[_Space]],IFERROR(
((DaybyDay[[#This Row],[Actual-Rollup]]-DaybyDay[[#This Row],[Budget-Rollup]])/DaybyDay[[#This Row],[Budget-Rollup]]),0),"")</f>
        <v>0</v>
      </c>
      <c r="X964" t="b">
        <f>NOT(AND(ISBLANK(DaybyDay[[#This Row],[Appts]]),ISBLANK(DaybyDay[[#This Row],[Service-Actuals]]),ISBLANK(DaybyDay[[#This Row],[Retail-Actuals]])))</f>
        <v>1</v>
      </c>
      <c r="Y964" s="36">
        <f>IF(DaybyDay[[#This Row],[_Space]],IFERROR(
((DaybyDay[[#This Row],[Actual-Rollup]]-DaybyDay[[#This Row],[LY-Rollup]])/DaybyDay[[#This Row],[LY-Rollup]]),0),"")</f>
        <v>0</v>
      </c>
      <c r="Z964"/>
      <c r="AA964" s="37" t="e">
        <f>IF(DaybyDay[[#This Row],[_Space]],DaybyDay[[#This Row],[Ret-Act-RU]]/DaybyDay[[#This Row],[Serv-Act-RU]],"")</f>
        <v>#DIV/0!</v>
      </c>
      <c r="AB964" s="50" t="e">
        <f>IF(DaybyDay[[#This Row],[_Space]],DaybyDay[[#This Row],[RETPEN-Act]]/DaybyDay[[#This Row],[RETPEN-Bud]],"")</f>
        <v>#DIV/0!</v>
      </c>
      <c r="AC964" s="37" t="e">
        <f>IF(DaybyDay[[#This Row],[_Space]],DaybyDay[[#This Row],[Ret-Bud-RU]]/DaybyDay[[#This Row],[Serv-Bud-RU]],"")</f>
        <v>#DIV/0!</v>
      </c>
      <c r="AD964" s="37" t="e">
        <f>IF(DaybyDay[[#This Row],[_Space]],DaybyDay[[#This Row],[Ret-LY-RU]]/DaybyDay[[#This Row],[Serv-LY-RU]],"")</f>
        <v>#DIV/0!</v>
      </c>
      <c r="AE964" s="30">
        <f>WEEKDAY(DaybyDay[[#This Row],[LY-Date]])</f>
        <v>6</v>
      </c>
      <c r="AF964" s="38">
        <f>$E$2+_xlfn.DAYS(DaybyDay[[#This Row],[Date]],minDate)</f>
        <v>43329</v>
      </c>
      <c r="AG964" s="39" cm="1">
        <f t="array" ref="AG964">IFERROR(INDEX(DaybyDay[],DaybyDay[[#This Row],[FORM_MATCH_HELPER]],8),"")</f>
        <v>10</v>
      </c>
      <c r="AH964" s="39" cm="1">
        <f t="array" ref="AH964">IFERROR(INDEX(DaybyDay[],DaybyDay[[#This Row],[FORM_MATCH_HELPER]],10),"")</f>
        <v>2490.1999999999998</v>
      </c>
      <c r="AI964" s="39" cm="1">
        <f t="array" ref="AI964">IFERROR(INDEX(DaybyDay[],DaybyDay[[#This Row],[FORM_MATCH_HELPER]],12),"")</f>
        <v>335</v>
      </c>
      <c r="AJ964" s="32">
        <f>IFERROR(DaybyDay[[#This Row],[Serv-LY-RU]]+DaybyDay[[#This Row],[Ret-LY-RU]],"")</f>
        <v>0</v>
      </c>
      <c r="AK9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4" s="77"/>
      <c r="AM964" s="40" t="str">
        <f>IF(DaybyDay[[#This Row],[Admin Hours]]&gt;0,DaybyDay[[#This Row],[Admin Hours]]*$AM$2+$AM$3,"")</f>
        <v/>
      </c>
      <c r="AN964" s="40">
        <f>SUMIFS(DaybyDay[Est-Admin-Payroll],DaybyDay[Date],"&gt;="&amp;$C$5,DaybyDay[RowYear],"&gt;="&amp;$C$4,DaybyDay[Date],"&lt;="&amp;DaybyDay[[#This Row],[Date]])</f>
        <v>0</v>
      </c>
      <c r="AO964" s="41" t="str">
        <f>IF(AND(DaybyDay[[#This Row],[_Space]],ISNUMBER(DaybyDay[[#This Row],[Admin Hours]])),DaybyDay[[#This Row],[Est-Admin-Payroll]]/(DaybyDay[[#This Row],[Service-Actuals]]+DaybyDay[[#This Row],[Retail-Actuals]]),"")</f>
        <v/>
      </c>
      <c r="AP964" s="41" t="e">
        <f>DaybyDay[[#This Row],[Estimated-Payroll-Rollup]]/DaybyDay[[#This Row],[Simple-Forecast]]</f>
        <v>#DIV/0!</v>
      </c>
      <c r="AQ9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4" s="77"/>
      <c r="AS964" s="40" t="str">
        <f>IF(DaybyDay[[#This Row],[Retail Hours]]&gt;0,DaybyDay[[#This Row],[Retail Hours]]*$AS$2,"")</f>
        <v/>
      </c>
      <c r="AT964" s="40">
        <f>SUMIFS(DaybyDay[Est-Retail-Payroll],DaybyDay[Date],"&gt;="&amp;$C$5,DaybyDay[RowYear],"&gt;="&amp;$C$4,DaybyDay[Date],"&lt;="&amp;DaybyDay[[#This Row],[Date]])</f>
        <v>0</v>
      </c>
      <c r="AU964" s="82" t="str">
        <f>IF(AND(DaybyDay[[#This Row],[_Space]],ISNUMBER(DaybyDay[[#This Row],[Retail Hours]])),DaybyDay[[#This Row],[Est-Retail-Payroll]]/(DaybyDay[[#This Row],[Retail-Actuals]]),"")</f>
        <v/>
      </c>
      <c r="AV964" s="82" t="e">
        <f>DaybyDay[[#This Row],[Est-Retail-PayrollRU]]/DaybyDay[[#This Row],[Simple-Forecast-Retail]]</f>
        <v>#DIV/0!</v>
      </c>
      <c r="AW964" s="8"/>
      <c r="AX964" s="49"/>
      <c r="AY964" s="48"/>
      <c r="AZ964" s="47"/>
      <c r="BA964" s="47"/>
      <c r="BB964" s="47"/>
      <c r="BC964" s="47"/>
      <c r="BD964" s="47"/>
    </row>
    <row r="965" spans="3:56" hidden="1" x14ac:dyDescent="0.25">
      <c r="C965" s="26" t="str">
        <f>Tools!$C$1</f>
        <v>Example</v>
      </c>
      <c r="D965" s="27" t="s">
        <v>75</v>
      </c>
      <c r="E965" s="28">
        <v>2019</v>
      </c>
      <c r="F965" s="28">
        <f>MATCH(DaybyDay[[#This Row],[RowMonth]],Table3[SummaryMonth],0)</f>
        <v>8</v>
      </c>
      <c r="G965" s="29">
        <f>MATCH(DaybyDay[[#This Row],[LY-Date]],DaybyDay[Date],0)</f>
        <v>595</v>
      </c>
      <c r="H965" s="30">
        <f>WEEKDAY(DaybyDay[[#This Row],[Date]])</f>
        <v>7</v>
      </c>
      <c r="I965" s="31">
        <v>43694</v>
      </c>
      <c r="J965" s="74">
        <v>26</v>
      </c>
      <c r="K965" s="32">
        <f>SUMIFS(BudgetSeasonality[365 Seasonality],BudgetSeasonality[MonthAdjustment],DaybyDay[[#This Row],[Date]])*SUMIFS(Budgets[Service-Budget],Budgets[BudgetMonth],DaybyDay[[#This Row],[RowMonth]],Budgets[BudgetYear],DaybyDay[[#This Row],[RowYear]])</f>
        <v>7997.0181922886368</v>
      </c>
      <c r="L965" s="75">
        <v>6029.5</v>
      </c>
      <c r="M965" s="32">
        <f>INDEX(BudgetSeasonality[365 Seasonality],MATCH(DaybyDay[[#This Row],[Date]],BudgetSeasonality[MonthAdjustment],0))*SUMIFS(Budgets[Retail-Budget],Budgets[BudgetMonth],DaybyDay[[#This Row],[RowMonth]],Budgets[BudgetYear],DaybyDay[[#This Row],[RowYear]])</f>
        <v>2984.6994080128648</v>
      </c>
      <c r="N965" s="75">
        <v>483.55</v>
      </c>
      <c r="O965" s="33">
        <f>SUMIFS(DaybyDay[Service-Budgets],DaybyDay[Date],"&gt;="&amp;$C$5,DaybyDay[RowYear],"&gt;="&amp;$C$4,DaybyDay[Date],"&lt;="&amp;DaybyDay[[#This Row],[Date]])</f>
        <v>0</v>
      </c>
      <c r="P965" s="33">
        <f>SUMIFS(DaybyDay[Retail-Budgets],DaybyDay[Date],"&gt;="&amp;$C$5,DaybyDay[RowYear],"&gt;="&amp;$C$4,DaybyDay[Date],"&lt;="&amp;DaybyDay[[#This Row],[Date]])</f>
        <v>0</v>
      </c>
      <c r="Q965" s="34">
        <f>SUMIFS(DaybyDay[Service-Actuals],DaybyDay[Date],"&gt;="&amp;$C$5,DaybyDay[RowYear],"&gt;="&amp;$C$4,DaybyDay[Date],"&lt;="&amp;DaybyDay[[#This Row],[Date]])</f>
        <v>0</v>
      </c>
      <c r="R965" s="34">
        <f>SUMIFS(DaybyDay[Retail-Actuals],DaybyDay[Date],"&gt;="&amp;$C$5,DaybyDay[RowYear],"&gt;="&amp;$C$4,DaybyDay[Date],"&lt;="&amp;DaybyDay[[#This Row],[Date]])</f>
        <v>0</v>
      </c>
      <c r="S965" s="35">
        <f>SUMIFS(DaybyDay[Service-LY],DaybyDay[Date],"&gt;="&amp;$C$5,DaybyDay[RowYear],"&gt;="&amp;$C$4,DaybyDay[Date],"&lt;="&amp;DaybyDay[[#This Row],[Date]])</f>
        <v>0</v>
      </c>
      <c r="T965" s="35">
        <f>SUMIFS(DaybyDay[Retail-LY],DaybyDay[Date],"&gt;="&amp;$C$5,DaybyDay[RowYear],"&gt;="&amp;$C$4,DaybyDay[Date],"&lt;="&amp;DaybyDay[[#This Row],[Date]])</f>
        <v>0</v>
      </c>
      <c r="U965" s="32">
        <f>DaybyDay[[#This Row],[Serv-Bud-RU]]+DaybyDay[[#This Row],[Ret-Bud-RU]]</f>
        <v>0</v>
      </c>
      <c r="V965" s="32">
        <f>DaybyDay[[#This Row],[Serv-Act-RU]]+DaybyDay[[#This Row],[Ret-Act-RU]]</f>
        <v>0</v>
      </c>
      <c r="W965" s="36">
        <f>IF(DaybyDay[[#This Row],[_Space]],IFERROR(
((DaybyDay[[#This Row],[Actual-Rollup]]-DaybyDay[[#This Row],[Budget-Rollup]])/DaybyDay[[#This Row],[Budget-Rollup]]),0),"")</f>
        <v>0</v>
      </c>
      <c r="X965" t="b">
        <f>NOT(AND(ISBLANK(DaybyDay[[#This Row],[Appts]]),ISBLANK(DaybyDay[[#This Row],[Service-Actuals]]),ISBLANK(DaybyDay[[#This Row],[Retail-Actuals]])))</f>
        <v>1</v>
      </c>
      <c r="Y965" s="36">
        <f>IF(DaybyDay[[#This Row],[_Space]],IFERROR(
((DaybyDay[[#This Row],[Actual-Rollup]]-DaybyDay[[#This Row],[LY-Rollup]])/DaybyDay[[#This Row],[LY-Rollup]]),0),"")</f>
        <v>0</v>
      </c>
      <c r="Z965"/>
      <c r="AA965" s="37" t="e">
        <f>IF(DaybyDay[[#This Row],[_Space]],DaybyDay[[#This Row],[Ret-Act-RU]]/DaybyDay[[#This Row],[Serv-Act-RU]],"")</f>
        <v>#DIV/0!</v>
      </c>
      <c r="AB965" s="50" t="e">
        <f>IF(DaybyDay[[#This Row],[_Space]],DaybyDay[[#This Row],[RETPEN-Act]]/DaybyDay[[#This Row],[RETPEN-Bud]],"")</f>
        <v>#DIV/0!</v>
      </c>
      <c r="AC965" s="37" t="e">
        <f>IF(DaybyDay[[#This Row],[_Space]],DaybyDay[[#This Row],[Ret-Bud-RU]]/DaybyDay[[#This Row],[Serv-Bud-RU]],"")</f>
        <v>#DIV/0!</v>
      </c>
      <c r="AD965" s="37" t="e">
        <f>IF(DaybyDay[[#This Row],[_Space]],DaybyDay[[#This Row],[Ret-LY-RU]]/DaybyDay[[#This Row],[Serv-LY-RU]],"")</f>
        <v>#DIV/0!</v>
      </c>
      <c r="AE965" s="30">
        <f>WEEKDAY(DaybyDay[[#This Row],[LY-Date]])</f>
        <v>7</v>
      </c>
      <c r="AF965" s="38">
        <f>$E$2+_xlfn.DAYS(DaybyDay[[#This Row],[Date]],minDate)</f>
        <v>43330</v>
      </c>
      <c r="AG965" s="39" cm="1">
        <f t="array" ref="AG965">IFERROR(INDEX(DaybyDay[],DaybyDay[[#This Row],[FORM_MATCH_HELPER]],8),"")</f>
        <v>24</v>
      </c>
      <c r="AH965" s="39" cm="1">
        <f t="array" ref="AH965">IFERROR(INDEX(DaybyDay[],DaybyDay[[#This Row],[FORM_MATCH_HELPER]],10),"")</f>
        <v>5610.5</v>
      </c>
      <c r="AI965" s="39" cm="1">
        <f t="array" ref="AI965">IFERROR(INDEX(DaybyDay[],DaybyDay[[#This Row],[FORM_MATCH_HELPER]],12),"")</f>
        <v>1280.3</v>
      </c>
      <c r="AJ965" s="32">
        <f>IFERROR(DaybyDay[[#This Row],[Serv-LY-RU]]+DaybyDay[[#This Row],[Ret-LY-RU]],"")</f>
        <v>0</v>
      </c>
      <c r="AK9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5" s="77"/>
      <c r="AM965" s="40" t="str">
        <f>IF(DaybyDay[[#This Row],[Admin Hours]]&gt;0,DaybyDay[[#This Row],[Admin Hours]]*$AM$2+$AM$3,"")</f>
        <v/>
      </c>
      <c r="AN965" s="40">
        <f>SUMIFS(DaybyDay[Est-Admin-Payroll],DaybyDay[Date],"&gt;="&amp;$C$5,DaybyDay[RowYear],"&gt;="&amp;$C$4,DaybyDay[Date],"&lt;="&amp;DaybyDay[[#This Row],[Date]])</f>
        <v>0</v>
      </c>
      <c r="AO965" s="41" t="str">
        <f>IF(AND(DaybyDay[[#This Row],[_Space]],ISNUMBER(DaybyDay[[#This Row],[Admin Hours]])),DaybyDay[[#This Row],[Est-Admin-Payroll]]/(DaybyDay[[#This Row],[Service-Actuals]]+DaybyDay[[#This Row],[Retail-Actuals]]),"")</f>
        <v/>
      </c>
      <c r="AP965" s="41" t="e">
        <f>DaybyDay[[#This Row],[Estimated-Payroll-Rollup]]/DaybyDay[[#This Row],[Simple-Forecast]]</f>
        <v>#DIV/0!</v>
      </c>
      <c r="AQ9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5" s="77"/>
      <c r="AS965" s="40" t="str">
        <f>IF(DaybyDay[[#This Row],[Retail Hours]]&gt;0,DaybyDay[[#This Row],[Retail Hours]]*$AS$2,"")</f>
        <v/>
      </c>
      <c r="AT965" s="40">
        <f>SUMIFS(DaybyDay[Est-Retail-Payroll],DaybyDay[Date],"&gt;="&amp;$C$5,DaybyDay[RowYear],"&gt;="&amp;$C$4,DaybyDay[Date],"&lt;="&amp;DaybyDay[[#This Row],[Date]])</f>
        <v>0</v>
      </c>
      <c r="AU965" s="82" t="str">
        <f>IF(AND(DaybyDay[[#This Row],[_Space]],ISNUMBER(DaybyDay[[#This Row],[Retail Hours]])),DaybyDay[[#This Row],[Est-Retail-Payroll]]/(DaybyDay[[#This Row],[Retail-Actuals]]),"")</f>
        <v/>
      </c>
      <c r="AV965" s="82" t="e">
        <f>DaybyDay[[#This Row],[Est-Retail-PayrollRU]]/DaybyDay[[#This Row],[Simple-Forecast-Retail]]</f>
        <v>#DIV/0!</v>
      </c>
      <c r="AW965" s="8"/>
      <c r="AX965" s="49"/>
      <c r="AY965" s="48"/>
      <c r="AZ965" s="47"/>
      <c r="BA965" s="47"/>
      <c r="BB965" s="47"/>
      <c r="BC965" s="47"/>
      <c r="BD965" s="47"/>
    </row>
    <row r="966" spans="3:56" hidden="1" x14ac:dyDescent="0.25">
      <c r="C966" s="26" t="str">
        <f>Tools!$C$1</f>
        <v>Example</v>
      </c>
      <c r="D966" s="27" t="s">
        <v>75</v>
      </c>
      <c r="E966" s="28">
        <v>2019</v>
      </c>
      <c r="F966" s="28">
        <f>MATCH(DaybyDay[[#This Row],[RowMonth]],Table3[SummaryMonth],0)</f>
        <v>8</v>
      </c>
      <c r="G966" s="29">
        <f>MATCH(DaybyDay[[#This Row],[LY-Date]],DaybyDay[Date],0)</f>
        <v>596</v>
      </c>
      <c r="H966" s="30">
        <f>WEEKDAY(DaybyDay[[#This Row],[Date]])</f>
        <v>1</v>
      </c>
      <c r="I966" s="31">
        <v>43695</v>
      </c>
      <c r="J966" s="74">
        <v>23</v>
      </c>
      <c r="K966" s="32">
        <f>SUMIFS(BudgetSeasonality[365 Seasonality],BudgetSeasonality[MonthAdjustment],DaybyDay[[#This Row],[Date]])*SUMIFS(Budgets[Service-Budget],Budgets[BudgetMonth],DaybyDay[[#This Row],[RowMonth]],Budgets[BudgetYear],DaybyDay[[#This Row],[RowYear]])</f>
        <v>6118.2081613417977</v>
      </c>
      <c r="L966" s="75">
        <v>4069.83</v>
      </c>
      <c r="M966" s="32">
        <f>INDEX(BudgetSeasonality[365 Seasonality],MATCH(DaybyDay[[#This Row],[Date]],BudgetSeasonality[MonthAdjustment],0))*SUMIFS(Budgets[Retail-Budget],Budgets[BudgetMonth],DaybyDay[[#This Row],[RowMonth]],Budgets[BudgetYear],DaybyDay[[#This Row],[RowYear]])</f>
        <v>2283.4776460637622</v>
      </c>
      <c r="N966" s="75">
        <v>45</v>
      </c>
      <c r="O966" s="33">
        <f>SUMIFS(DaybyDay[Service-Budgets],DaybyDay[Date],"&gt;="&amp;$C$5,DaybyDay[RowYear],"&gt;="&amp;$C$4,DaybyDay[Date],"&lt;="&amp;DaybyDay[[#This Row],[Date]])</f>
        <v>0</v>
      </c>
      <c r="P966" s="33">
        <f>SUMIFS(DaybyDay[Retail-Budgets],DaybyDay[Date],"&gt;="&amp;$C$5,DaybyDay[RowYear],"&gt;="&amp;$C$4,DaybyDay[Date],"&lt;="&amp;DaybyDay[[#This Row],[Date]])</f>
        <v>0</v>
      </c>
      <c r="Q966" s="34">
        <f>SUMIFS(DaybyDay[Service-Actuals],DaybyDay[Date],"&gt;="&amp;$C$5,DaybyDay[RowYear],"&gt;="&amp;$C$4,DaybyDay[Date],"&lt;="&amp;DaybyDay[[#This Row],[Date]])</f>
        <v>0</v>
      </c>
      <c r="R966" s="34">
        <f>SUMIFS(DaybyDay[Retail-Actuals],DaybyDay[Date],"&gt;="&amp;$C$5,DaybyDay[RowYear],"&gt;="&amp;$C$4,DaybyDay[Date],"&lt;="&amp;DaybyDay[[#This Row],[Date]])</f>
        <v>0</v>
      </c>
      <c r="S966" s="35">
        <f>SUMIFS(DaybyDay[Service-LY],DaybyDay[Date],"&gt;="&amp;$C$5,DaybyDay[RowYear],"&gt;="&amp;$C$4,DaybyDay[Date],"&lt;="&amp;DaybyDay[[#This Row],[Date]])</f>
        <v>0</v>
      </c>
      <c r="T966" s="35">
        <f>SUMIFS(DaybyDay[Retail-LY],DaybyDay[Date],"&gt;="&amp;$C$5,DaybyDay[RowYear],"&gt;="&amp;$C$4,DaybyDay[Date],"&lt;="&amp;DaybyDay[[#This Row],[Date]])</f>
        <v>0</v>
      </c>
      <c r="U966" s="32">
        <f>DaybyDay[[#This Row],[Serv-Bud-RU]]+DaybyDay[[#This Row],[Ret-Bud-RU]]</f>
        <v>0</v>
      </c>
      <c r="V966" s="32">
        <f>DaybyDay[[#This Row],[Serv-Act-RU]]+DaybyDay[[#This Row],[Ret-Act-RU]]</f>
        <v>0</v>
      </c>
      <c r="W966" s="36">
        <f>IF(DaybyDay[[#This Row],[_Space]],IFERROR(
((DaybyDay[[#This Row],[Actual-Rollup]]-DaybyDay[[#This Row],[Budget-Rollup]])/DaybyDay[[#This Row],[Budget-Rollup]]),0),"")</f>
        <v>0</v>
      </c>
      <c r="X966" t="b">
        <f>NOT(AND(ISBLANK(DaybyDay[[#This Row],[Appts]]),ISBLANK(DaybyDay[[#This Row],[Service-Actuals]]),ISBLANK(DaybyDay[[#This Row],[Retail-Actuals]])))</f>
        <v>1</v>
      </c>
      <c r="Y966" s="36">
        <f>IF(DaybyDay[[#This Row],[_Space]],IFERROR(
((DaybyDay[[#This Row],[Actual-Rollup]]-DaybyDay[[#This Row],[LY-Rollup]])/DaybyDay[[#This Row],[LY-Rollup]]),0),"")</f>
        <v>0</v>
      </c>
      <c r="Z966"/>
      <c r="AA966" s="37" t="e">
        <f>IF(DaybyDay[[#This Row],[_Space]],DaybyDay[[#This Row],[Ret-Act-RU]]/DaybyDay[[#This Row],[Serv-Act-RU]],"")</f>
        <v>#DIV/0!</v>
      </c>
      <c r="AB966" s="50" t="e">
        <f>IF(DaybyDay[[#This Row],[_Space]],DaybyDay[[#This Row],[RETPEN-Act]]/DaybyDay[[#This Row],[RETPEN-Bud]],"")</f>
        <v>#DIV/0!</v>
      </c>
      <c r="AC966" s="37" t="e">
        <f>IF(DaybyDay[[#This Row],[_Space]],DaybyDay[[#This Row],[Ret-Bud-RU]]/DaybyDay[[#This Row],[Serv-Bud-RU]],"")</f>
        <v>#DIV/0!</v>
      </c>
      <c r="AD966" s="37" t="e">
        <f>IF(DaybyDay[[#This Row],[_Space]],DaybyDay[[#This Row],[Ret-LY-RU]]/DaybyDay[[#This Row],[Serv-LY-RU]],"")</f>
        <v>#DIV/0!</v>
      </c>
      <c r="AE966" s="30">
        <f>WEEKDAY(DaybyDay[[#This Row],[LY-Date]])</f>
        <v>1</v>
      </c>
      <c r="AF966" s="38">
        <f>$E$2+_xlfn.DAYS(DaybyDay[[#This Row],[Date]],minDate)</f>
        <v>43331</v>
      </c>
      <c r="AG966" s="39" cm="1">
        <f t="array" ref="AG966">IFERROR(INDEX(DaybyDay[],DaybyDay[[#This Row],[FORM_MATCH_HELPER]],8),"")</f>
        <v>30</v>
      </c>
      <c r="AH966" s="39" cm="1">
        <f t="array" ref="AH966">IFERROR(INDEX(DaybyDay[],DaybyDay[[#This Row],[FORM_MATCH_HELPER]],10),"")</f>
        <v>6493.6</v>
      </c>
      <c r="AI966" s="39" cm="1">
        <f t="array" ref="AI966">IFERROR(INDEX(DaybyDay[],DaybyDay[[#This Row],[FORM_MATCH_HELPER]],12),"")</f>
        <v>831</v>
      </c>
      <c r="AJ966" s="32">
        <f>IFERROR(DaybyDay[[#This Row],[Serv-LY-RU]]+DaybyDay[[#This Row],[Ret-LY-RU]],"")</f>
        <v>0</v>
      </c>
      <c r="AK9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6" s="77"/>
      <c r="AM966" s="40" t="str">
        <f>IF(DaybyDay[[#This Row],[Admin Hours]]&gt;0,DaybyDay[[#This Row],[Admin Hours]]*$AM$2+$AM$3,"")</f>
        <v/>
      </c>
      <c r="AN966" s="40">
        <f>SUMIFS(DaybyDay[Est-Admin-Payroll],DaybyDay[Date],"&gt;="&amp;$C$5,DaybyDay[RowYear],"&gt;="&amp;$C$4,DaybyDay[Date],"&lt;="&amp;DaybyDay[[#This Row],[Date]])</f>
        <v>0</v>
      </c>
      <c r="AO966" s="41" t="str">
        <f>IF(AND(DaybyDay[[#This Row],[_Space]],ISNUMBER(DaybyDay[[#This Row],[Admin Hours]])),DaybyDay[[#This Row],[Est-Admin-Payroll]]/(DaybyDay[[#This Row],[Service-Actuals]]+DaybyDay[[#This Row],[Retail-Actuals]]),"")</f>
        <v/>
      </c>
      <c r="AP966" s="41" t="e">
        <f>DaybyDay[[#This Row],[Estimated-Payroll-Rollup]]/DaybyDay[[#This Row],[Simple-Forecast]]</f>
        <v>#DIV/0!</v>
      </c>
      <c r="AQ9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6" s="77"/>
      <c r="AS966" s="40" t="str">
        <f>IF(DaybyDay[[#This Row],[Retail Hours]]&gt;0,DaybyDay[[#This Row],[Retail Hours]]*$AS$2,"")</f>
        <v/>
      </c>
      <c r="AT966" s="40">
        <f>SUMIFS(DaybyDay[Est-Retail-Payroll],DaybyDay[Date],"&gt;="&amp;$C$5,DaybyDay[RowYear],"&gt;="&amp;$C$4,DaybyDay[Date],"&lt;="&amp;DaybyDay[[#This Row],[Date]])</f>
        <v>0</v>
      </c>
      <c r="AU966" s="82" t="str">
        <f>IF(AND(DaybyDay[[#This Row],[_Space]],ISNUMBER(DaybyDay[[#This Row],[Retail Hours]])),DaybyDay[[#This Row],[Est-Retail-Payroll]]/(DaybyDay[[#This Row],[Retail-Actuals]]),"")</f>
        <v/>
      </c>
      <c r="AV966" s="82" t="e">
        <f>DaybyDay[[#This Row],[Est-Retail-PayrollRU]]/DaybyDay[[#This Row],[Simple-Forecast-Retail]]</f>
        <v>#DIV/0!</v>
      </c>
      <c r="AW966" s="8"/>
      <c r="AX966" s="49"/>
      <c r="AY966" s="48"/>
      <c r="AZ966" s="47"/>
      <c r="BA966" s="47"/>
      <c r="BB966" s="47"/>
      <c r="BC966" s="47"/>
      <c r="BD966" s="47"/>
    </row>
    <row r="967" spans="3:56" hidden="1" x14ac:dyDescent="0.25">
      <c r="C967" s="26" t="str">
        <f>Tools!$C$1</f>
        <v>Example</v>
      </c>
      <c r="D967" s="27" t="s">
        <v>75</v>
      </c>
      <c r="E967" s="28">
        <v>2019</v>
      </c>
      <c r="F967" s="28">
        <f>MATCH(DaybyDay[[#This Row],[RowMonth]],Table3[SummaryMonth],0)</f>
        <v>8</v>
      </c>
      <c r="G967" s="29">
        <f>MATCH(DaybyDay[[#This Row],[LY-Date]],DaybyDay[Date],0)</f>
        <v>597</v>
      </c>
      <c r="H967" s="30">
        <f>WEEKDAY(DaybyDay[[#This Row],[Date]])</f>
        <v>2</v>
      </c>
      <c r="I967" s="31">
        <v>43696</v>
      </c>
      <c r="J967" s="74">
        <v>14</v>
      </c>
      <c r="K967" s="32">
        <f>SUMIFS(BudgetSeasonality[365 Seasonality],BudgetSeasonality[MonthAdjustment],DaybyDay[[#This Row],[Date]])*SUMIFS(Budgets[Service-Budget],Budgets[BudgetMonth],DaybyDay[[#This Row],[RowMonth]],Budgets[BudgetYear],DaybyDay[[#This Row],[RowYear]])</f>
        <v>3381.8331831187952</v>
      </c>
      <c r="L967" s="75">
        <v>2531</v>
      </c>
      <c r="M967" s="32">
        <f>INDEX(BudgetSeasonality[365 Seasonality],MATCH(DaybyDay[[#This Row],[Date]],BudgetSeasonality[MonthAdjustment],0))*SUMIFS(Budgets[Retail-Budget],Budgets[BudgetMonth],DaybyDay[[#This Row],[RowMonth]],Budgets[BudgetYear],DaybyDay[[#This Row],[RowYear]])</f>
        <v>1262.1898883994206</v>
      </c>
      <c r="N967" s="75">
        <v>2012.5</v>
      </c>
      <c r="O967" s="33">
        <f>SUMIFS(DaybyDay[Service-Budgets],DaybyDay[Date],"&gt;="&amp;$C$5,DaybyDay[RowYear],"&gt;="&amp;$C$4,DaybyDay[Date],"&lt;="&amp;DaybyDay[[#This Row],[Date]])</f>
        <v>0</v>
      </c>
      <c r="P967" s="33">
        <f>SUMIFS(DaybyDay[Retail-Budgets],DaybyDay[Date],"&gt;="&amp;$C$5,DaybyDay[RowYear],"&gt;="&amp;$C$4,DaybyDay[Date],"&lt;="&amp;DaybyDay[[#This Row],[Date]])</f>
        <v>0</v>
      </c>
      <c r="Q967" s="34">
        <f>SUMIFS(DaybyDay[Service-Actuals],DaybyDay[Date],"&gt;="&amp;$C$5,DaybyDay[RowYear],"&gt;="&amp;$C$4,DaybyDay[Date],"&lt;="&amp;DaybyDay[[#This Row],[Date]])</f>
        <v>0</v>
      </c>
      <c r="R967" s="34">
        <f>SUMIFS(DaybyDay[Retail-Actuals],DaybyDay[Date],"&gt;="&amp;$C$5,DaybyDay[RowYear],"&gt;="&amp;$C$4,DaybyDay[Date],"&lt;="&amp;DaybyDay[[#This Row],[Date]])</f>
        <v>0</v>
      </c>
      <c r="S967" s="35">
        <f>SUMIFS(DaybyDay[Service-LY],DaybyDay[Date],"&gt;="&amp;$C$5,DaybyDay[RowYear],"&gt;="&amp;$C$4,DaybyDay[Date],"&lt;="&amp;DaybyDay[[#This Row],[Date]])</f>
        <v>0</v>
      </c>
      <c r="T967" s="35">
        <f>SUMIFS(DaybyDay[Retail-LY],DaybyDay[Date],"&gt;="&amp;$C$5,DaybyDay[RowYear],"&gt;="&amp;$C$4,DaybyDay[Date],"&lt;="&amp;DaybyDay[[#This Row],[Date]])</f>
        <v>0</v>
      </c>
      <c r="U967" s="32">
        <f>DaybyDay[[#This Row],[Serv-Bud-RU]]+DaybyDay[[#This Row],[Ret-Bud-RU]]</f>
        <v>0</v>
      </c>
      <c r="V967" s="32">
        <f>DaybyDay[[#This Row],[Serv-Act-RU]]+DaybyDay[[#This Row],[Ret-Act-RU]]</f>
        <v>0</v>
      </c>
      <c r="W967" s="36">
        <f>IF(DaybyDay[[#This Row],[_Space]],IFERROR(
((DaybyDay[[#This Row],[Actual-Rollup]]-DaybyDay[[#This Row],[Budget-Rollup]])/DaybyDay[[#This Row],[Budget-Rollup]]),0),"")</f>
        <v>0</v>
      </c>
      <c r="X967" t="b">
        <f>NOT(AND(ISBLANK(DaybyDay[[#This Row],[Appts]]),ISBLANK(DaybyDay[[#This Row],[Service-Actuals]]),ISBLANK(DaybyDay[[#This Row],[Retail-Actuals]])))</f>
        <v>1</v>
      </c>
      <c r="Y967" s="36">
        <f>IF(DaybyDay[[#This Row],[_Space]],IFERROR(
((DaybyDay[[#This Row],[Actual-Rollup]]-DaybyDay[[#This Row],[LY-Rollup]])/DaybyDay[[#This Row],[LY-Rollup]]),0),"")</f>
        <v>0</v>
      </c>
      <c r="Z967"/>
      <c r="AA967" s="37" t="e">
        <f>IF(DaybyDay[[#This Row],[_Space]],DaybyDay[[#This Row],[Ret-Act-RU]]/DaybyDay[[#This Row],[Serv-Act-RU]],"")</f>
        <v>#DIV/0!</v>
      </c>
      <c r="AB967" s="50" t="e">
        <f>IF(DaybyDay[[#This Row],[_Space]],DaybyDay[[#This Row],[RETPEN-Act]]/DaybyDay[[#This Row],[RETPEN-Bud]],"")</f>
        <v>#DIV/0!</v>
      </c>
      <c r="AC967" s="37" t="e">
        <f>IF(DaybyDay[[#This Row],[_Space]],DaybyDay[[#This Row],[Ret-Bud-RU]]/DaybyDay[[#This Row],[Serv-Bud-RU]],"")</f>
        <v>#DIV/0!</v>
      </c>
      <c r="AD967" s="37" t="e">
        <f>IF(DaybyDay[[#This Row],[_Space]],DaybyDay[[#This Row],[Ret-LY-RU]]/DaybyDay[[#This Row],[Serv-LY-RU]],"")</f>
        <v>#DIV/0!</v>
      </c>
      <c r="AE967" s="30">
        <f>WEEKDAY(DaybyDay[[#This Row],[LY-Date]])</f>
        <v>2</v>
      </c>
      <c r="AF967" s="38">
        <f>$E$2+_xlfn.DAYS(DaybyDay[[#This Row],[Date]],minDate)</f>
        <v>43332</v>
      </c>
      <c r="AG967" s="39" cm="1">
        <f t="array" ref="AG967">IFERROR(INDEX(DaybyDay[],DaybyDay[[#This Row],[FORM_MATCH_HELPER]],8),"")</f>
        <v>14</v>
      </c>
      <c r="AH967" s="39" cm="1">
        <f t="array" ref="AH967">IFERROR(INDEX(DaybyDay[],DaybyDay[[#This Row],[FORM_MATCH_HELPER]],10),"")</f>
        <v>3001.2</v>
      </c>
      <c r="AI967" s="39" cm="1">
        <f t="array" ref="AI967">IFERROR(INDEX(DaybyDay[],DaybyDay[[#This Row],[FORM_MATCH_HELPER]],12),"")</f>
        <v>686</v>
      </c>
      <c r="AJ967" s="32">
        <f>IFERROR(DaybyDay[[#This Row],[Serv-LY-RU]]+DaybyDay[[#This Row],[Ret-LY-RU]],"")</f>
        <v>0</v>
      </c>
      <c r="AK9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7" s="77"/>
      <c r="AM967" s="40" t="str">
        <f>IF(DaybyDay[[#This Row],[Admin Hours]]&gt;0,DaybyDay[[#This Row],[Admin Hours]]*$AM$2+$AM$3,"")</f>
        <v/>
      </c>
      <c r="AN967" s="40">
        <f>SUMIFS(DaybyDay[Est-Admin-Payroll],DaybyDay[Date],"&gt;="&amp;$C$5,DaybyDay[RowYear],"&gt;="&amp;$C$4,DaybyDay[Date],"&lt;="&amp;DaybyDay[[#This Row],[Date]])</f>
        <v>0</v>
      </c>
      <c r="AO967" s="41" t="str">
        <f>IF(AND(DaybyDay[[#This Row],[_Space]],ISNUMBER(DaybyDay[[#This Row],[Admin Hours]])),DaybyDay[[#This Row],[Est-Admin-Payroll]]/(DaybyDay[[#This Row],[Service-Actuals]]+DaybyDay[[#This Row],[Retail-Actuals]]),"")</f>
        <v/>
      </c>
      <c r="AP967" s="41" t="e">
        <f>DaybyDay[[#This Row],[Estimated-Payroll-Rollup]]/DaybyDay[[#This Row],[Simple-Forecast]]</f>
        <v>#DIV/0!</v>
      </c>
      <c r="AQ9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7" s="77"/>
      <c r="AS967" s="40" t="str">
        <f>IF(DaybyDay[[#This Row],[Retail Hours]]&gt;0,DaybyDay[[#This Row],[Retail Hours]]*$AS$2,"")</f>
        <v/>
      </c>
      <c r="AT967" s="40">
        <f>SUMIFS(DaybyDay[Est-Retail-Payroll],DaybyDay[Date],"&gt;="&amp;$C$5,DaybyDay[RowYear],"&gt;="&amp;$C$4,DaybyDay[Date],"&lt;="&amp;DaybyDay[[#This Row],[Date]])</f>
        <v>0</v>
      </c>
      <c r="AU967" s="82" t="str">
        <f>IF(AND(DaybyDay[[#This Row],[_Space]],ISNUMBER(DaybyDay[[#This Row],[Retail Hours]])),DaybyDay[[#This Row],[Est-Retail-Payroll]]/(DaybyDay[[#This Row],[Retail-Actuals]]),"")</f>
        <v/>
      </c>
      <c r="AV967" s="82" t="e">
        <f>DaybyDay[[#This Row],[Est-Retail-PayrollRU]]/DaybyDay[[#This Row],[Simple-Forecast-Retail]]</f>
        <v>#DIV/0!</v>
      </c>
      <c r="AW967" s="8"/>
      <c r="AX967" s="49"/>
      <c r="AY967" s="48"/>
      <c r="AZ967" s="47"/>
      <c r="BA967" s="47"/>
      <c r="BB967" s="47"/>
      <c r="BC967" s="47"/>
      <c r="BD967" s="47"/>
    </row>
    <row r="968" spans="3:56" hidden="1" x14ac:dyDescent="0.25">
      <c r="C968" s="26" t="str">
        <f>Tools!$C$1</f>
        <v>Example</v>
      </c>
      <c r="D968" s="27" t="s">
        <v>75</v>
      </c>
      <c r="E968" s="28">
        <v>2019</v>
      </c>
      <c r="F968" s="28">
        <f>MATCH(DaybyDay[[#This Row],[RowMonth]],Table3[SummaryMonth],0)</f>
        <v>8</v>
      </c>
      <c r="G968" s="29">
        <f>MATCH(DaybyDay[[#This Row],[LY-Date]],DaybyDay[Date],0)</f>
        <v>598</v>
      </c>
      <c r="H968" s="30">
        <f>WEEKDAY(DaybyDay[[#This Row],[Date]])</f>
        <v>3</v>
      </c>
      <c r="I968" s="31">
        <v>43697</v>
      </c>
      <c r="J968" s="74">
        <v>13</v>
      </c>
      <c r="K968" s="32">
        <f>SUMIFS(BudgetSeasonality[365 Seasonality],BudgetSeasonality[MonthAdjustment],DaybyDay[[#This Row],[Date]])*SUMIFS(Budgets[Service-Budget],Budgets[BudgetMonth],DaybyDay[[#This Row],[RowMonth]],Budgets[BudgetYear],DaybyDay[[#This Row],[RowYear]])</f>
        <v>3542.0163606836686</v>
      </c>
      <c r="L968" s="75">
        <v>2242.4</v>
      </c>
      <c r="M968" s="32">
        <f>INDEX(BudgetSeasonality[365 Seasonality],MATCH(DaybyDay[[#This Row],[Date]],BudgetSeasonality[MonthAdjustment],0))*SUMIFS(Budgets[Retail-Budget],Budgets[BudgetMonth],DaybyDay[[#This Row],[RowMonth]],Budgets[BudgetYear],DaybyDay[[#This Row],[RowYear]])</f>
        <v>1321.9745010832478</v>
      </c>
      <c r="N968" s="75">
        <v>732.4</v>
      </c>
      <c r="O968" s="33">
        <f>SUMIFS(DaybyDay[Service-Budgets],DaybyDay[Date],"&gt;="&amp;$C$5,DaybyDay[RowYear],"&gt;="&amp;$C$4,DaybyDay[Date],"&lt;="&amp;DaybyDay[[#This Row],[Date]])</f>
        <v>0</v>
      </c>
      <c r="P968" s="33">
        <f>SUMIFS(DaybyDay[Retail-Budgets],DaybyDay[Date],"&gt;="&amp;$C$5,DaybyDay[RowYear],"&gt;="&amp;$C$4,DaybyDay[Date],"&lt;="&amp;DaybyDay[[#This Row],[Date]])</f>
        <v>0</v>
      </c>
      <c r="Q968" s="34">
        <f>SUMIFS(DaybyDay[Service-Actuals],DaybyDay[Date],"&gt;="&amp;$C$5,DaybyDay[RowYear],"&gt;="&amp;$C$4,DaybyDay[Date],"&lt;="&amp;DaybyDay[[#This Row],[Date]])</f>
        <v>0</v>
      </c>
      <c r="R968" s="34">
        <f>SUMIFS(DaybyDay[Retail-Actuals],DaybyDay[Date],"&gt;="&amp;$C$5,DaybyDay[RowYear],"&gt;="&amp;$C$4,DaybyDay[Date],"&lt;="&amp;DaybyDay[[#This Row],[Date]])</f>
        <v>0</v>
      </c>
      <c r="S968" s="35">
        <f>SUMIFS(DaybyDay[Service-LY],DaybyDay[Date],"&gt;="&amp;$C$5,DaybyDay[RowYear],"&gt;="&amp;$C$4,DaybyDay[Date],"&lt;="&amp;DaybyDay[[#This Row],[Date]])</f>
        <v>0</v>
      </c>
      <c r="T968" s="35">
        <f>SUMIFS(DaybyDay[Retail-LY],DaybyDay[Date],"&gt;="&amp;$C$5,DaybyDay[RowYear],"&gt;="&amp;$C$4,DaybyDay[Date],"&lt;="&amp;DaybyDay[[#This Row],[Date]])</f>
        <v>0</v>
      </c>
      <c r="U968" s="32">
        <f>DaybyDay[[#This Row],[Serv-Bud-RU]]+DaybyDay[[#This Row],[Ret-Bud-RU]]</f>
        <v>0</v>
      </c>
      <c r="V968" s="32">
        <f>DaybyDay[[#This Row],[Serv-Act-RU]]+DaybyDay[[#This Row],[Ret-Act-RU]]</f>
        <v>0</v>
      </c>
      <c r="W968" s="36">
        <f>IF(DaybyDay[[#This Row],[_Space]],IFERROR(
((DaybyDay[[#This Row],[Actual-Rollup]]-DaybyDay[[#This Row],[Budget-Rollup]])/DaybyDay[[#This Row],[Budget-Rollup]]),0),"")</f>
        <v>0</v>
      </c>
      <c r="X968" t="b">
        <f>NOT(AND(ISBLANK(DaybyDay[[#This Row],[Appts]]),ISBLANK(DaybyDay[[#This Row],[Service-Actuals]]),ISBLANK(DaybyDay[[#This Row],[Retail-Actuals]])))</f>
        <v>1</v>
      </c>
      <c r="Y968" s="36">
        <f>IF(DaybyDay[[#This Row],[_Space]],IFERROR(
((DaybyDay[[#This Row],[Actual-Rollup]]-DaybyDay[[#This Row],[LY-Rollup]])/DaybyDay[[#This Row],[LY-Rollup]]),0),"")</f>
        <v>0</v>
      </c>
      <c r="Z968"/>
      <c r="AA968" s="37" t="e">
        <f>IF(DaybyDay[[#This Row],[_Space]],DaybyDay[[#This Row],[Ret-Act-RU]]/DaybyDay[[#This Row],[Serv-Act-RU]],"")</f>
        <v>#DIV/0!</v>
      </c>
      <c r="AB968" s="50" t="e">
        <f>IF(DaybyDay[[#This Row],[_Space]],DaybyDay[[#This Row],[RETPEN-Act]]/DaybyDay[[#This Row],[RETPEN-Bud]],"")</f>
        <v>#DIV/0!</v>
      </c>
      <c r="AC968" s="37" t="e">
        <f>IF(DaybyDay[[#This Row],[_Space]],DaybyDay[[#This Row],[Ret-Bud-RU]]/DaybyDay[[#This Row],[Serv-Bud-RU]],"")</f>
        <v>#DIV/0!</v>
      </c>
      <c r="AD968" s="37" t="e">
        <f>IF(DaybyDay[[#This Row],[_Space]],DaybyDay[[#This Row],[Ret-LY-RU]]/DaybyDay[[#This Row],[Serv-LY-RU]],"")</f>
        <v>#DIV/0!</v>
      </c>
      <c r="AE968" s="30">
        <f>WEEKDAY(DaybyDay[[#This Row],[LY-Date]])</f>
        <v>3</v>
      </c>
      <c r="AF968" s="38">
        <f>$E$2+_xlfn.DAYS(DaybyDay[[#This Row],[Date]],minDate)</f>
        <v>43333</v>
      </c>
      <c r="AG968" s="39" cm="1">
        <f t="array" ref="AG968">IFERROR(INDEX(DaybyDay[],DaybyDay[[#This Row],[FORM_MATCH_HELPER]],8),"")</f>
        <v>17</v>
      </c>
      <c r="AH968" s="39" cm="1">
        <f t="array" ref="AH968">IFERROR(INDEX(DaybyDay[],DaybyDay[[#This Row],[FORM_MATCH_HELPER]],10),"")</f>
        <v>3362.4</v>
      </c>
      <c r="AI968" s="39" cm="1">
        <f t="array" ref="AI968">IFERROR(INDEX(DaybyDay[],DaybyDay[[#This Row],[FORM_MATCH_HELPER]],12),"")</f>
        <v>2197.54</v>
      </c>
      <c r="AJ968" s="32">
        <f>IFERROR(DaybyDay[[#This Row],[Serv-LY-RU]]+DaybyDay[[#This Row],[Ret-LY-RU]],"")</f>
        <v>0</v>
      </c>
      <c r="AK9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8" s="77"/>
      <c r="AM968" s="40" t="str">
        <f>IF(DaybyDay[[#This Row],[Admin Hours]]&gt;0,DaybyDay[[#This Row],[Admin Hours]]*$AM$2+$AM$3,"")</f>
        <v/>
      </c>
      <c r="AN968" s="40">
        <f>SUMIFS(DaybyDay[Est-Admin-Payroll],DaybyDay[Date],"&gt;="&amp;$C$5,DaybyDay[RowYear],"&gt;="&amp;$C$4,DaybyDay[Date],"&lt;="&amp;DaybyDay[[#This Row],[Date]])</f>
        <v>0</v>
      </c>
      <c r="AO968" s="41" t="str">
        <f>IF(AND(DaybyDay[[#This Row],[_Space]],ISNUMBER(DaybyDay[[#This Row],[Admin Hours]])),DaybyDay[[#This Row],[Est-Admin-Payroll]]/(DaybyDay[[#This Row],[Service-Actuals]]+DaybyDay[[#This Row],[Retail-Actuals]]),"")</f>
        <v/>
      </c>
      <c r="AP968" s="41" t="e">
        <f>DaybyDay[[#This Row],[Estimated-Payroll-Rollup]]/DaybyDay[[#This Row],[Simple-Forecast]]</f>
        <v>#DIV/0!</v>
      </c>
      <c r="AQ9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8" s="77"/>
      <c r="AS968" s="40" t="str">
        <f>IF(DaybyDay[[#This Row],[Retail Hours]]&gt;0,DaybyDay[[#This Row],[Retail Hours]]*$AS$2,"")</f>
        <v/>
      </c>
      <c r="AT968" s="40">
        <f>SUMIFS(DaybyDay[Est-Retail-Payroll],DaybyDay[Date],"&gt;="&amp;$C$5,DaybyDay[RowYear],"&gt;="&amp;$C$4,DaybyDay[Date],"&lt;="&amp;DaybyDay[[#This Row],[Date]])</f>
        <v>0</v>
      </c>
      <c r="AU968" s="82" t="str">
        <f>IF(AND(DaybyDay[[#This Row],[_Space]],ISNUMBER(DaybyDay[[#This Row],[Retail Hours]])),DaybyDay[[#This Row],[Est-Retail-Payroll]]/(DaybyDay[[#This Row],[Retail-Actuals]]),"")</f>
        <v/>
      </c>
      <c r="AV968" s="82" t="e">
        <f>DaybyDay[[#This Row],[Est-Retail-PayrollRU]]/DaybyDay[[#This Row],[Simple-Forecast-Retail]]</f>
        <v>#DIV/0!</v>
      </c>
      <c r="AW968" s="8"/>
      <c r="AX968" s="49"/>
      <c r="AY968" s="48"/>
      <c r="AZ968" s="47"/>
      <c r="BA968" s="47"/>
      <c r="BB968" s="47"/>
      <c r="BC968" s="47"/>
      <c r="BD968" s="47"/>
    </row>
    <row r="969" spans="3:56" hidden="1" x14ac:dyDescent="0.25">
      <c r="C969" s="26" t="str">
        <f>Tools!$C$1</f>
        <v>Example</v>
      </c>
      <c r="D969" s="27" t="s">
        <v>75</v>
      </c>
      <c r="E969" s="28">
        <v>2019</v>
      </c>
      <c r="F969" s="28">
        <f>MATCH(DaybyDay[[#This Row],[RowMonth]],Table3[SummaryMonth],0)</f>
        <v>8</v>
      </c>
      <c r="G969" s="29">
        <f>MATCH(DaybyDay[[#This Row],[LY-Date]],DaybyDay[Date],0)</f>
        <v>599</v>
      </c>
      <c r="H969" s="30">
        <f>WEEKDAY(DaybyDay[[#This Row],[Date]])</f>
        <v>4</v>
      </c>
      <c r="I969" s="31">
        <v>43698</v>
      </c>
      <c r="J969" s="74">
        <v>28</v>
      </c>
      <c r="K969" s="32">
        <f>SUMIFS(BudgetSeasonality[365 Seasonality],BudgetSeasonality[MonthAdjustment],DaybyDay[[#This Row],[Date]])*SUMIFS(Budgets[Service-Budget],Budgets[BudgetMonth],DaybyDay[[#This Row],[RowMonth]],Budgets[BudgetYear],DaybyDay[[#This Row],[RowYear]])</f>
        <v>4213.2199028006671</v>
      </c>
      <c r="L969" s="75">
        <v>4620</v>
      </c>
      <c r="M969" s="32">
        <f>INDEX(BudgetSeasonality[365 Seasonality],MATCH(DaybyDay[[#This Row],[Date]],BudgetSeasonality[MonthAdjustment],0))*SUMIFS(Budgets[Retail-Budget],Budgets[BudgetMonth],DaybyDay[[#This Row],[RowMonth]],Budgets[BudgetYear],DaybyDay[[#This Row],[RowYear]])</f>
        <v>1572.4854748790217</v>
      </c>
      <c r="N969" s="75">
        <v>78.400000000000006</v>
      </c>
      <c r="O969" s="33">
        <f>SUMIFS(DaybyDay[Service-Budgets],DaybyDay[Date],"&gt;="&amp;$C$5,DaybyDay[RowYear],"&gt;="&amp;$C$4,DaybyDay[Date],"&lt;="&amp;DaybyDay[[#This Row],[Date]])</f>
        <v>0</v>
      </c>
      <c r="P969" s="33">
        <f>SUMIFS(DaybyDay[Retail-Budgets],DaybyDay[Date],"&gt;="&amp;$C$5,DaybyDay[RowYear],"&gt;="&amp;$C$4,DaybyDay[Date],"&lt;="&amp;DaybyDay[[#This Row],[Date]])</f>
        <v>0</v>
      </c>
      <c r="Q969" s="34">
        <f>SUMIFS(DaybyDay[Service-Actuals],DaybyDay[Date],"&gt;="&amp;$C$5,DaybyDay[RowYear],"&gt;="&amp;$C$4,DaybyDay[Date],"&lt;="&amp;DaybyDay[[#This Row],[Date]])</f>
        <v>0</v>
      </c>
      <c r="R969" s="34">
        <f>SUMIFS(DaybyDay[Retail-Actuals],DaybyDay[Date],"&gt;="&amp;$C$5,DaybyDay[RowYear],"&gt;="&amp;$C$4,DaybyDay[Date],"&lt;="&amp;DaybyDay[[#This Row],[Date]])</f>
        <v>0</v>
      </c>
      <c r="S969" s="35">
        <f>SUMIFS(DaybyDay[Service-LY],DaybyDay[Date],"&gt;="&amp;$C$5,DaybyDay[RowYear],"&gt;="&amp;$C$4,DaybyDay[Date],"&lt;="&amp;DaybyDay[[#This Row],[Date]])</f>
        <v>0</v>
      </c>
      <c r="T969" s="35">
        <f>SUMIFS(DaybyDay[Retail-LY],DaybyDay[Date],"&gt;="&amp;$C$5,DaybyDay[RowYear],"&gt;="&amp;$C$4,DaybyDay[Date],"&lt;="&amp;DaybyDay[[#This Row],[Date]])</f>
        <v>0</v>
      </c>
      <c r="U969" s="32">
        <f>DaybyDay[[#This Row],[Serv-Bud-RU]]+DaybyDay[[#This Row],[Ret-Bud-RU]]</f>
        <v>0</v>
      </c>
      <c r="V969" s="32">
        <f>DaybyDay[[#This Row],[Serv-Act-RU]]+DaybyDay[[#This Row],[Ret-Act-RU]]</f>
        <v>0</v>
      </c>
      <c r="W969" s="36">
        <f>IF(DaybyDay[[#This Row],[_Space]],IFERROR(
((DaybyDay[[#This Row],[Actual-Rollup]]-DaybyDay[[#This Row],[Budget-Rollup]])/DaybyDay[[#This Row],[Budget-Rollup]]),0),"")</f>
        <v>0</v>
      </c>
      <c r="X969" t="b">
        <f>NOT(AND(ISBLANK(DaybyDay[[#This Row],[Appts]]),ISBLANK(DaybyDay[[#This Row],[Service-Actuals]]),ISBLANK(DaybyDay[[#This Row],[Retail-Actuals]])))</f>
        <v>1</v>
      </c>
      <c r="Y969" s="36">
        <f>IF(DaybyDay[[#This Row],[_Space]],IFERROR(
((DaybyDay[[#This Row],[Actual-Rollup]]-DaybyDay[[#This Row],[LY-Rollup]])/DaybyDay[[#This Row],[LY-Rollup]]),0),"")</f>
        <v>0</v>
      </c>
      <c r="Z969"/>
      <c r="AA969" s="37" t="e">
        <f>IF(DaybyDay[[#This Row],[_Space]],DaybyDay[[#This Row],[Ret-Act-RU]]/DaybyDay[[#This Row],[Serv-Act-RU]],"")</f>
        <v>#DIV/0!</v>
      </c>
      <c r="AB969" s="50" t="e">
        <f>IF(DaybyDay[[#This Row],[_Space]],DaybyDay[[#This Row],[RETPEN-Act]]/DaybyDay[[#This Row],[RETPEN-Bud]],"")</f>
        <v>#DIV/0!</v>
      </c>
      <c r="AC969" s="37" t="e">
        <f>IF(DaybyDay[[#This Row],[_Space]],DaybyDay[[#This Row],[Ret-Bud-RU]]/DaybyDay[[#This Row],[Serv-Bud-RU]],"")</f>
        <v>#DIV/0!</v>
      </c>
      <c r="AD969" s="37" t="e">
        <f>IF(DaybyDay[[#This Row],[_Space]],DaybyDay[[#This Row],[Ret-LY-RU]]/DaybyDay[[#This Row],[Serv-LY-RU]],"")</f>
        <v>#DIV/0!</v>
      </c>
      <c r="AE969" s="30">
        <f>WEEKDAY(DaybyDay[[#This Row],[LY-Date]])</f>
        <v>4</v>
      </c>
      <c r="AF969" s="38">
        <f>$E$2+_xlfn.DAYS(DaybyDay[[#This Row],[Date]],minDate)</f>
        <v>43334</v>
      </c>
      <c r="AG969" s="39" cm="1">
        <f t="array" ref="AG969">IFERROR(INDEX(DaybyDay[],DaybyDay[[#This Row],[FORM_MATCH_HELPER]],8),"")</f>
        <v>25</v>
      </c>
      <c r="AH969" s="39" cm="1">
        <f t="array" ref="AH969">IFERROR(INDEX(DaybyDay[],DaybyDay[[#This Row],[FORM_MATCH_HELPER]],10),"")</f>
        <v>5202.05</v>
      </c>
      <c r="AI969" s="39" cm="1">
        <f t="array" ref="AI969">IFERROR(INDEX(DaybyDay[],DaybyDay[[#This Row],[FORM_MATCH_HELPER]],12),"")</f>
        <v>1163</v>
      </c>
      <c r="AJ969" s="32">
        <f>IFERROR(DaybyDay[[#This Row],[Serv-LY-RU]]+DaybyDay[[#This Row],[Ret-LY-RU]],"")</f>
        <v>0</v>
      </c>
      <c r="AK9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69" s="77"/>
      <c r="AM969" s="40" t="str">
        <f>IF(DaybyDay[[#This Row],[Admin Hours]]&gt;0,DaybyDay[[#This Row],[Admin Hours]]*$AM$2+$AM$3,"")</f>
        <v/>
      </c>
      <c r="AN969" s="40">
        <f>SUMIFS(DaybyDay[Est-Admin-Payroll],DaybyDay[Date],"&gt;="&amp;$C$5,DaybyDay[RowYear],"&gt;="&amp;$C$4,DaybyDay[Date],"&lt;="&amp;DaybyDay[[#This Row],[Date]])</f>
        <v>0</v>
      </c>
      <c r="AO969" s="41" t="str">
        <f>IF(AND(DaybyDay[[#This Row],[_Space]],ISNUMBER(DaybyDay[[#This Row],[Admin Hours]])),DaybyDay[[#This Row],[Est-Admin-Payroll]]/(DaybyDay[[#This Row],[Service-Actuals]]+DaybyDay[[#This Row],[Retail-Actuals]]),"")</f>
        <v/>
      </c>
      <c r="AP969" s="41" t="e">
        <f>DaybyDay[[#This Row],[Estimated-Payroll-Rollup]]/DaybyDay[[#This Row],[Simple-Forecast]]</f>
        <v>#DIV/0!</v>
      </c>
      <c r="AQ9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69" s="77"/>
      <c r="AS969" s="40" t="str">
        <f>IF(DaybyDay[[#This Row],[Retail Hours]]&gt;0,DaybyDay[[#This Row],[Retail Hours]]*$AS$2,"")</f>
        <v/>
      </c>
      <c r="AT969" s="40">
        <f>SUMIFS(DaybyDay[Est-Retail-Payroll],DaybyDay[Date],"&gt;="&amp;$C$5,DaybyDay[RowYear],"&gt;="&amp;$C$4,DaybyDay[Date],"&lt;="&amp;DaybyDay[[#This Row],[Date]])</f>
        <v>0</v>
      </c>
      <c r="AU969" s="82" t="str">
        <f>IF(AND(DaybyDay[[#This Row],[_Space]],ISNUMBER(DaybyDay[[#This Row],[Retail Hours]])),DaybyDay[[#This Row],[Est-Retail-Payroll]]/(DaybyDay[[#This Row],[Retail-Actuals]]),"")</f>
        <v/>
      </c>
      <c r="AV969" s="82" t="e">
        <f>DaybyDay[[#This Row],[Est-Retail-PayrollRU]]/DaybyDay[[#This Row],[Simple-Forecast-Retail]]</f>
        <v>#DIV/0!</v>
      </c>
      <c r="AW969" s="8"/>
      <c r="AX969" s="49"/>
      <c r="AY969" s="48"/>
      <c r="AZ969" s="47"/>
      <c r="BA969" s="47"/>
      <c r="BB969" s="47"/>
      <c r="BC969" s="47"/>
      <c r="BD969" s="47"/>
    </row>
    <row r="970" spans="3:56" hidden="1" x14ac:dyDescent="0.25">
      <c r="C970" s="26" t="str">
        <f>Tools!$C$1</f>
        <v>Example</v>
      </c>
      <c r="D970" s="27" t="s">
        <v>75</v>
      </c>
      <c r="E970" s="28">
        <v>2019</v>
      </c>
      <c r="F970" s="28">
        <f>MATCH(DaybyDay[[#This Row],[RowMonth]],Table3[SummaryMonth],0)</f>
        <v>8</v>
      </c>
      <c r="G970" s="29">
        <f>MATCH(DaybyDay[[#This Row],[LY-Date]],DaybyDay[Date],0)</f>
        <v>600</v>
      </c>
      <c r="H970" s="30">
        <f>WEEKDAY(DaybyDay[[#This Row],[Date]])</f>
        <v>5</v>
      </c>
      <c r="I970" s="31">
        <v>43699</v>
      </c>
      <c r="J970" s="74">
        <v>16</v>
      </c>
      <c r="K970" s="32">
        <f>SUMIFS(BudgetSeasonality[365 Seasonality],BudgetSeasonality[MonthAdjustment],DaybyDay[[#This Row],[Date]])*SUMIFS(Budgets[Service-Budget],Budgets[BudgetMonth],DaybyDay[[#This Row],[RowMonth]],Budgets[BudgetYear],DaybyDay[[#This Row],[RowYear]])</f>
        <v>4372.8988077471431</v>
      </c>
      <c r="L970" s="75">
        <v>2913.07</v>
      </c>
      <c r="M970" s="32">
        <f>INDEX(BudgetSeasonality[365 Seasonality],MATCH(DaybyDay[[#This Row],[Date]],BudgetSeasonality[MonthAdjustment],0))*SUMIFS(Budgets[Retail-Budget],Budgets[BudgetMonth],DaybyDay[[#This Row],[RowMonth]],Budgets[BudgetYear],DaybyDay[[#This Row],[RowYear]])</f>
        <v>1632.0818796396684</v>
      </c>
      <c r="N970" s="75">
        <v>442</v>
      </c>
      <c r="O970" s="33">
        <f>SUMIFS(DaybyDay[Service-Budgets],DaybyDay[Date],"&gt;="&amp;$C$5,DaybyDay[RowYear],"&gt;="&amp;$C$4,DaybyDay[Date],"&lt;="&amp;DaybyDay[[#This Row],[Date]])</f>
        <v>0</v>
      </c>
      <c r="P970" s="33">
        <f>SUMIFS(DaybyDay[Retail-Budgets],DaybyDay[Date],"&gt;="&amp;$C$5,DaybyDay[RowYear],"&gt;="&amp;$C$4,DaybyDay[Date],"&lt;="&amp;DaybyDay[[#This Row],[Date]])</f>
        <v>0</v>
      </c>
      <c r="Q970" s="34">
        <f>SUMIFS(DaybyDay[Service-Actuals],DaybyDay[Date],"&gt;="&amp;$C$5,DaybyDay[RowYear],"&gt;="&amp;$C$4,DaybyDay[Date],"&lt;="&amp;DaybyDay[[#This Row],[Date]])</f>
        <v>0</v>
      </c>
      <c r="R970" s="34">
        <f>SUMIFS(DaybyDay[Retail-Actuals],DaybyDay[Date],"&gt;="&amp;$C$5,DaybyDay[RowYear],"&gt;="&amp;$C$4,DaybyDay[Date],"&lt;="&amp;DaybyDay[[#This Row],[Date]])</f>
        <v>0</v>
      </c>
      <c r="S970" s="35">
        <f>SUMIFS(DaybyDay[Service-LY],DaybyDay[Date],"&gt;="&amp;$C$5,DaybyDay[RowYear],"&gt;="&amp;$C$4,DaybyDay[Date],"&lt;="&amp;DaybyDay[[#This Row],[Date]])</f>
        <v>0</v>
      </c>
      <c r="T970" s="35">
        <f>SUMIFS(DaybyDay[Retail-LY],DaybyDay[Date],"&gt;="&amp;$C$5,DaybyDay[RowYear],"&gt;="&amp;$C$4,DaybyDay[Date],"&lt;="&amp;DaybyDay[[#This Row],[Date]])</f>
        <v>0</v>
      </c>
      <c r="U970" s="32">
        <f>DaybyDay[[#This Row],[Serv-Bud-RU]]+DaybyDay[[#This Row],[Ret-Bud-RU]]</f>
        <v>0</v>
      </c>
      <c r="V970" s="32">
        <f>DaybyDay[[#This Row],[Serv-Act-RU]]+DaybyDay[[#This Row],[Ret-Act-RU]]</f>
        <v>0</v>
      </c>
      <c r="W970" s="36">
        <f>IF(DaybyDay[[#This Row],[_Space]],IFERROR(
((DaybyDay[[#This Row],[Actual-Rollup]]-DaybyDay[[#This Row],[Budget-Rollup]])/DaybyDay[[#This Row],[Budget-Rollup]]),0),"")</f>
        <v>0</v>
      </c>
      <c r="X970" t="b">
        <f>NOT(AND(ISBLANK(DaybyDay[[#This Row],[Appts]]),ISBLANK(DaybyDay[[#This Row],[Service-Actuals]]),ISBLANK(DaybyDay[[#This Row],[Retail-Actuals]])))</f>
        <v>1</v>
      </c>
      <c r="Y970" s="36">
        <f>IF(DaybyDay[[#This Row],[_Space]],IFERROR(
((DaybyDay[[#This Row],[Actual-Rollup]]-DaybyDay[[#This Row],[LY-Rollup]])/DaybyDay[[#This Row],[LY-Rollup]]),0),"")</f>
        <v>0</v>
      </c>
      <c r="Z970"/>
      <c r="AA970" s="37" t="e">
        <f>IF(DaybyDay[[#This Row],[_Space]],DaybyDay[[#This Row],[Ret-Act-RU]]/DaybyDay[[#This Row],[Serv-Act-RU]],"")</f>
        <v>#DIV/0!</v>
      </c>
      <c r="AB970" s="50" t="e">
        <f>IF(DaybyDay[[#This Row],[_Space]],DaybyDay[[#This Row],[RETPEN-Act]]/DaybyDay[[#This Row],[RETPEN-Bud]],"")</f>
        <v>#DIV/0!</v>
      </c>
      <c r="AC970" s="37" t="e">
        <f>IF(DaybyDay[[#This Row],[_Space]],DaybyDay[[#This Row],[Ret-Bud-RU]]/DaybyDay[[#This Row],[Serv-Bud-RU]],"")</f>
        <v>#DIV/0!</v>
      </c>
      <c r="AD970" s="37" t="e">
        <f>IF(DaybyDay[[#This Row],[_Space]],DaybyDay[[#This Row],[Ret-LY-RU]]/DaybyDay[[#This Row],[Serv-LY-RU]],"")</f>
        <v>#DIV/0!</v>
      </c>
      <c r="AE970" s="30">
        <f>WEEKDAY(DaybyDay[[#This Row],[LY-Date]])</f>
        <v>5</v>
      </c>
      <c r="AF970" s="38">
        <f>$E$2+_xlfn.DAYS(DaybyDay[[#This Row],[Date]],minDate)</f>
        <v>43335</v>
      </c>
      <c r="AG970" s="39" cm="1">
        <f t="array" ref="AG970">IFERROR(INDEX(DaybyDay[],DaybyDay[[#This Row],[FORM_MATCH_HELPER]],8),"")</f>
        <v>17</v>
      </c>
      <c r="AH970" s="39" cm="1">
        <f t="array" ref="AH970">IFERROR(INDEX(DaybyDay[],DaybyDay[[#This Row],[FORM_MATCH_HELPER]],10),"")</f>
        <v>3422.7</v>
      </c>
      <c r="AI970" s="39" cm="1">
        <f t="array" ref="AI970">IFERROR(INDEX(DaybyDay[],DaybyDay[[#This Row],[FORM_MATCH_HELPER]],12),"")</f>
        <v>709.99</v>
      </c>
      <c r="AJ970" s="32">
        <f>IFERROR(DaybyDay[[#This Row],[Serv-LY-RU]]+DaybyDay[[#This Row],[Ret-LY-RU]],"")</f>
        <v>0</v>
      </c>
      <c r="AK9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0" s="77"/>
      <c r="AM970" s="40" t="str">
        <f>IF(DaybyDay[[#This Row],[Admin Hours]]&gt;0,DaybyDay[[#This Row],[Admin Hours]]*$AM$2+$AM$3,"")</f>
        <v/>
      </c>
      <c r="AN970" s="40">
        <f>SUMIFS(DaybyDay[Est-Admin-Payroll],DaybyDay[Date],"&gt;="&amp;$C$5,DaybyDay[RowYear],"&gt;="&amp;$C$4,DaybyDay[Date],"&lt;="&amp;DaybyDay[[#This Row],[Date]])</f>
        <v>0</v>
      </c>
      <c r="AO970" s="41" t="str">
        <f>IF(AND(DaybyDay[[#This Row],[_Space]],ISNUMBER(DaybyDay[[#This Row],[Admin Hours]])),DaybyDay[[#This Row],[Est-Admin-Payroll]]/(DaybyDay[[#This Row],[Service-Actuals]]+DaybyDay[[#This Row],[Retail-Actuals]]),"")</f>
        <v/>
      </c>
      <c r="AP970" s="41" t="e">
        <f>DaybyDay[[#This Row],[Estimated-Payroll-Rollup]]/DaybyDay[[#This Row],[Simple-Forecast]]</f>
        <v>#DIV/0!</v>
      </c>
      <c r="AQ9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0" s="77"/>
      <c r="AS970" s="40" t="str">
        <f>IF(DaybyDay[[#This Row],[Retail Hours]]&gt;0,DaybyDay[[#This Row],[Retail Hours]]*$AS$2,"")</f>
        <v/>
      </c>
      <c r="AT970" s="40">
        <f>SUMIFS(DaybyDay[Est-Retail-Payroll],DaybyDay[Date],"&gt;="&amp;$C$5,DaybyDay[RowYear],"&gt;="&amp;$C$4,DaybyDay[Date],"&lt;="&amp;DaybyDay[[#This Row],[Date]])</f>
        <v>0</v>
      </c>
      <c r="AU970" s="82" t="str">
        <f>IF(AND(DaybyDay[[#This Row],[_Space]],ISNUMBER(DaybyDay[[#This Row],[Retail Hours]])),DaybyDay[[#This Row],[Est-Retail-Payroll]]/(DaybyDay[[#This Row],[Retail-Actuals]]),"")</f>
        <v/>
      </c>
      <c r="AV970" s="82" t="e">
        <f>DaybyDay[[#This Row],[Est-Retail-PayrollRU]]/DaybyDay[[#This Row],[Simple-Forecast-Retail]]</f>
        <v>#DIV/0!</v>
      </c>
      <c r="AW970" s="8"/>
      <c r="AX970" s="49"/>
      <c r="AY970" s="48"/>
      <c r="AZ970" s="47"/>
      <c r="BA970" s="47"/>
      <c r="BB970" s="47"/>
      <c r="BC970" s="47"/>
      <c r="BD970" s="47"/>
    </row>
    <row r="971" spans="3:56" hidden="1" x14ac:dyDescent="0.25">
      <c r="C971" s="26" t="str">
        <f>Tools!$C$1</f>
        <v>Example</v>
      </c>
      <c r="D971" s="27" t="s">
        <v>75</v>
      </c>
      <c r="E971" s="28">
        <v>2019</v>
      </c>
      <c r="F971" s="28">
        <f>MATCH(DaybyDay[[#This Row],[RowMonth]],Table3[SummaryMonth],0)</f>
        <v>8</v>
      </c>
      <c r="G971" s="29">
        <f>MATCH(DaybyDay[[#This Row],[LY-Date]],DaybyDay[Date],0)</f>
        <v>601</v>
      </c>
      <c r="H971" s="30">
        <f>WEEKDAY(DaybyDay[[#This Row],[Date]])</f>
        <v>6</v>
      </c>
      <c r="I971" s="31">
        <v>43700</v>
      </c>
      <c r="J971" s="74">
        <v>21</v>
      </c>
      <c r="K971" s="32">
        <f>SUMIFS(BudgetSeasonality[365 Seasonality],BudgetSeasonality[MonthAdjustment],DaybyDay[[#This Row],[Date]])*SUMIFS(Budgets[Service-Budget],Budgets[BudgetMonth],DaybyDay[[#This Row],[RowMonth]],Budgets[BudgetYear],DaybyDay[[#This Row],[RowYear]])</f>
        <v>5602.8463923257004</v>
      </c>
      <c r="L971" s="75">
        <v>4607.8</v>
      </c>
      <c r="M971" s="32">
        <f>INDEX(BudgetSeasonality[365 Seasonality],MATCH(DaybyDay[[#This Row],[Date]],BudgetSeasonality[MonthAdjustment],0))*SUMIFS(Budgets[Retail-Budget],Budgets[BudgetMonth],DaybyDay[[#This Row],[RowMonth]],Budgets[BudgetYear],DaybyDay[[#This Row],[RowYear]])</f>
        <v>2091.1309575970458</v>
      </c>
      <c r="N971" s="75">
        <v>814.25</v>
      </c>
      <c r="O971" s="33">
        <f>SUMIFS(DaybyDay[Service-Budgets],DaybyDay[Date],"&gt;="&amp;$C$5,DaybyDay[RowYear],"&gt;="&amp;$C$4,DaybyDay[Date],"&lt;="&amp;DaybyDay[[#This Row],[Date]])</f>
        <v>0</v>
      </c>
      <c r="P971" s="33">
        <f>SUMIFS(DaybyDay[Retail-Budgets],DaybyDay[Date],"&gt;="&amp;$C$5,DaybyDay[RowYear],"&gt;="&amp;$C$4,DaybyDay[Date],"&lt;="&amp;DaybyDay[[#This Row],[Date]])</f>
        <v>0</v>
      </c>
      <c r="Q971" s="34">
        <f>SUMIFS(DaybyDay[Service-Actuals],DaybyDay[Date],"&gt;="&amp;$C$5,DaybyDay[RowYear],"&gt;="&amp;$C$4,DaybyDay[Date],"&lt;="&amp;DaybyDay[[#This Row],[Date]])</f>
        <v>0</v>
      </c>
      <c r="R971" s="34">
        <f>SUMIFS(DaybyDay[Retail-Actuals],DaybyDay[Date],"&gt;="&amp;$C$5,DaybyDay[RowYear],"&gt;="&amp;$C$4,DaybyDay[Date],"&lt;="&amp;DaybyDay[[#This Row],[Date]])</f>
        <v>0</v>
      </c>
      <c r="S971" s="35">
        <f>SUMIFS(DaybyDay[Service-LY],DaybyDay[Date],"&gt;="&amp;$C$5,DaybyDay[RowYear],"&gt;="&amp;$C$4,DaybyDay[Date],"&lt;="&amp;DaybyDay[[#This Row],[Date]])</f>
        <v>0</v>
      </c>
      <c r="T971" s="35">
        <f>SUMIFS(DaybyDay[Retail-LY],DaybyDay[Date],"&gt;="&amp;$C$5,DaybyDay[RowYear],"&gt;="&amp;$C$4,DaybyDay[Date],"&lt;="&amp;DaybyDay[[#This Row],[Date]])</f>
        <v>0</v>
      </c>
      <c r="U971" s="32">
        <f>DaybyDay[[#This Row],[Serv-Bud-RU]]+DaybyDay[[#This Row],[Ret-Bud-RU]]</f>
        <v>0</v>
      </c>
      <c r="V971" s="32">
        <f>DaybyDay[[#This Row],[Serv-Act-RU]]+DaybyDay[[#This Row],[Ret-Act-RU]]</f>
        <v>0</v>
      </c>
      <c r="W971" s="36">
        <f>IF(DaybyDay[[#This Row],[_Space]],IFERROR(
((DaybyDay[[#This Row],[Actual-Rollup]]-DaybyDay[[#This Row],[Budget-Rollup]])/DaybyDay[[#This Row],[Budget-Rollup]]),0),"")</f>
        <v>0</v>
      </c>
      <c r="X971" t="b">
        <f>NOT(AND(ISBLANK(DaybyDay[[#This Row],[Appts]]),ISBLANK(DaybyDay[[#This Row],[Service-Actuals]]),ISBLANK(DaybyDay[[#This Row],[Retail-Actuals]])))</f>
        <v>1</v>
      </c>
      <c r="Y971" s="36">
        <f>IF(DaybyDay[[#This Row],[_Space]],IFERROR(
((DaybyDay[[#This Row],[Actual-Rollup]]-DaybyDay[[#This Row],[LY-Rollup]])/DaybyDay[[#This Row],[LY-Rollup]]),0),"")</f>
        <v>0</v>
      </c>
      <c r="Z971"/>
      <c r="AA971" s="37" t="e">
        <f>IF(DaybyDay[[#This Row],[_Space]],DaybyDay[[#This Row],[Ret-Act-RU]]/DaybyDay[[#This Row],[Serv-Act-RU]],"")</f>
        <v>#DIV/0!</v>
      </c>
      <c r="AB971" s="50" t="e">
        <f>IF(DaybyDay[[#This Row],[_Space]],DaybyDay[[#This Row],[RETPEN-Act]]/DaybyDay[[#This Row],[RETPEN-Bud]],"")</f>
        <v>#DIV/0!</v>
      </c>
      <c r="AC971" s="37" t="e">
        <f>IF(DaybyDay[[#This Row],[_Space]],DaybyDay[[#This Row],[Ret-Bud-RU]]/DaybyDay[[#This Row],[Serv-Bud-RU]],"")</f>
        <v>#DIV/0!</v>
      </c>
      <c r="AD971" s="37" t="e">
        <f>IF(DaybyDay[[#This Row],[_Space]],DaybyDay[[#This Row],[Ret-LY-RU]]/DaybyDay[[#This Row],[Serv-LY-RU]],"")</f>
        <v>#DIV/0!</v>
      </c>
      <c r="AE971" s="30">
        <f>WEEKDAY(DaybyDay[[#This Row],[LY-Date]])</f>
        <v>6</v>
      </c>
      <c r="AF971" s="38">
        <f>$E$2+_xlfn.DAYS(DaybyDay[[#This Row],[Date]],minDate)</f>
        <v>43336</v>
      </c>
      <c r="AG971" s="39" cm="1">
        <f t="array" ref="AG971">IFERROR(INDEX(DaybyDay[],DaybyDay[[#This Row],[FORM_MATCH_HELPER]],8),"")</f>
        <v>24</v>
      </c>
      <c r="AH971" s="39" cm="1">
        <f t="array" ref="AH971">IFERROR(INDEX(DaybyDay[],DaybyDay[[#This Row],[FORM_MATCH_HELPER]],10),"")</f>
        <v>5568</v>
      </c>
      <c r="AI971" s="39" cm="1">
        <f t="array" ref="AI971">IFERROR(INDEX(DaybyDay[],DaybyDay[[#This Row],[FORM_MATCH_HELPER]],12),"")</f>
        <v>3595.5</v>
      </c>
      <c r="AJ971" s="32">
        <f>IFERROR(DaybyDay[[#This Row],[Serv-LY-RU]]+DaybyDay[[#This Row],[Ret-LY-RU]],"")</f>
        <v>0</v>
      </c>
      <c r="AK9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1" s="77"/>
      <c r="AM971" s="40" t="str">
        <f>IF(DaybyDay[[#This Row],[Admin Hours]]&gt;0,DaybyDay[[#This Row],[Admin Hours]]*$AM$2+$AM$3,"")</f>
        <v/>
      </c>
      <c r="AN971" s="40">
        <f>SUMIFS(DaybyDay[Est-Admin-Payroll],DaybyDay[Date],"&gt;="&amp;$C$5,DaybyDay[RowYear],"&gt;="&amp;$C$4,DaybyDay[Date],"&lt;="&amp;DaybyDay[[#This Row],[Date]])</f>
        <v>0</v>
      </c>
      <c r="AO971" s="41" t="str">
        <f>IF(AND(DaybyDay[[#This Row],[_Space]],ISNUMBER(DaybyDay[[#This Row],[Admin Hours]])),DaybyDay[[#This Row],[Est-Admin-Payroll]]/(DaybyDay[[#This Row],[Service-Actuals]]+DaybyDay[[#This Row],[Retail-Actuals]]),"")</f>
        <v/>
      </c>
      <c r="AP971" s="41" t="e">
        <f>DaybyDay[[#This Row],[Estimated-Payroll-Rollup]]/DaybyDay[[#This Row],[Simple-Forecast]]</f>
        <v>#DIV/0!</v>
      </c>
      <c r="AQ9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1" s="77"/>
      <c r="AS971" s="40" t="str">
        <f>IF(DaybyDay[[#This Row],[Retail Hours]]&gt;0,DaybyDay[[#This Row],[Retail Hours]]*$AS$2,"")</f>
        <v/>
      </c>
      <c r="AT971" s="40">
        <f>SUMIFS(DaybyDay[Est-Retail-Payroll],DaybyDay[Date],"&gt;="&amp;$C$5,DaybyDay[RowYear],"&gt;="&amp;$C$4,DaybyDay[Date],"&lt;="&amp;DaybyDay[[#This Row],[Date]])</f>
        <v>0</v>
      </c>
      <c r="AU971" s="82" t="str">
        <f>IF(AND(DaybyDay[[#This Row],[_Space]],ISNUMBER(DaybyDay[[#This Row],[Retail Hours]])),DaybyDay[[#This Row],[Est-Retail-Payroll]]/(DaybyDay[[#This Row],[Retail-Actuals]]),"")</f>
        <v/>
      </c>
      <c r="AV971" s="82" t="e">
        <f>DaybyDay[[#This Row],[Est-Retail-PayrollRU]]/DaybyDay[[#This Row],[Simple-Forecast-Retail]]</f>
        <v>#DIV/0!</v>
      </c>
      <c r="AW971" s="8"/>
      <c r="AX971" s="49"/>
      <c r="AY971" s="48"/>
      <c r="AZ971" s="47"/>
      <c r="BA971" s="47"/>
      <c r="BB971" s="47"/>
      <c r="BC971" s="47"/>
      <c r="BD971" s="47"/>
    </row>
    <row r="972" spans="3:56" hidden="1" x14ac:dyDescent="0.25">
      <c r="C972" s="26" t="str">
        <f>Tools!$C$1</f>
        <v>Example</v>
      </c>
      <c r="D972" s="27" t="s">
        <v>75</v>
      </c>
      <c r="E972" s="28">
        <v>2019</v>
      </c>
      <c r="F972" s="28">
        <f>MATCH(DaybyDay[[#This Row],[RowMonth]],Table3[SummaryMonth],0)</f>
        <v>8</v>
      </c>
      <c r="G972" s="29">
        <f>MATCH(DaybyDay[[#This Row],[LY-Date]],DaybyDay[Date],0)</f>
        <v>602</v>
      </c>
      <c r="H972" s="30">
        <f>WEEKDAY(DaybyDay[[#This Row],[Date]])</f>
        <v>7</v>
      </c>
      <c r="I972" s="31">
        <v>43701</v>
      </c>
      <c r="J972" s="74">
        <v>23</v>
      </c>
      <c r="K972" s="32">
        <f>SUMIFS(BudgetSeasonality[365 Seasonality],BudgetSeasonality[MonthAdjustment],DaybyDay[[#This Row],[Date]])*SUMIFS(Budgets[Service-Budget],Budgets[BudgetMonth],DaybyDay[[#This Row],[RowMonth]],Budgets[BudgetYear],DaybyDay[[#This Row],[RowYear]])</f>
        <v>8176.8654220299804</v>
      </c>
      <c r="L972" s="75">
        <v>5250.35</v>
      </c>
      <c r="M972" s="32">
        <f>INDEX(BudgetSeasonality[365 Seasonality],MATCH(DaybyDay[[#This Row],[Date]],BudgetSeasonality[MonthAdjustment],0))*SUMIFS(Budgets[Retail-Budget],Budgets[BudgetMonth],DaybyDay[[#This Row],[RowMonth]],Budgets[BudgetYear],DaybyDay[[#This Row],[RowYear]])</f>
        <v>3051.8231667982777</v>
      </c>
      <c r="N972" s="75">
        <v>240.2</v>
      </c>
      <c r="O972" s="33">
        <f>SUMIFS(DaybyDay[Service-Budgets],DaybyDay[Date],"&gt;="&amp;$C$5,DaybyDay[RowYear],"&gt;="&amp;$C$4,DaybyDay[Date],"&lt;="&amp;DaybyDay[[#This Row],[Date]])</f>
        <v>0</v>
      </c>
      <c r="P972" s="33">
        <f>SUMIFS(DaybyDay[Retail-Budgets],DaybyDay[Date],"&gt;="&amp;$C$5,DaybyDay[RowYear],"&gt;="&amp;$C$4,DaybyDay[Date],"&lt;="&amp;DaybyDay[[#This Row],[Date]])</f>
        <v>0</v>
      </c>
      <c r="Q972" s="34">
        <f>SUMIFS(DaybyDay[Service-Actuals],DaybyDay[Date],"&gt;="&amp;$C$5,DaybyDay[RowYear],"&gt;="&amp;$C$4,DaybyDay[Date],"&lt;="&amp;DaybyDay[[#This Row],[Date]])</f>
        <v>0</v>
      </c>
      <c r="R972" s="34">
        <f>SUMIFS(DaybyDay[Retail-Actuals],DaybyDay[Date],"&gt;="&amp;$C$5,DaybyDay[RowYear],"&gt;="&amp;$C$4,DaybyDay[Date],"&lt;="&amp;DaybyDay[[#This Row],[Date]])</f>
        <v>0</v>
      </c>
      <c r="S972" s="35">
        <f>SUMIFS(DaybyDay[Service-LY],DaybyDay[Date],"&gt;="&amp;$C$5,DaybyDay[RowYear],"&gt;="&amp;$C$4,DaybyDay[Date],"&lt;="&amp;DaybyDay[[#This Row],[Date]])</f>
        <v>0</v>
      </c>
      <c r="T972" s="35">
        <f>SUMIFS(DaybyDay[Retail-LY],DaybyDay[Date],"&gt;="&amp;$C$5,DaybyDay[RowYear],"&gt;="&amp;$C$4,DaybyDay[Date],"&lt;="&amp;DaybyDay[[#This Row],[Date]])</f>
        <v>0</v>
      </c>
      <c r="U972" s="32">
        <f>DaybyDay[[#This Row],[Serv-Bud-RU]]+DaybyDay[[#This Row],[Ret-Bud-RU]]</f>
        <v>0</v>
      </c>
      <c r="V972" s="32">
        <f>DaybyDay[[#This Row],[Serv-Act-RU]]+DaybyDay[[#This Row],[Ret-Act-RU]]</f>
        <v>0</v>
      </c>
      <c r="W972" s="36">
        <f>IF(DaybyDay[[#This Row],[_Space]],IFERROR(
((DaybyDay[[#This Row],[Actual-Rollup]]-DaybyDay[[#This Row],[Budget-Rollup]])/DaybyDay[[#This Row],[Budget-Rollup]]),0),"")</f>
        <v>0</v>
      </c>
      <c r="X972" t="b">
        <f>NOT(AND(ISBLANK(DaybyDay[[#This Row],[Appts]]),ISBLANK(DaybyDay[[#This Row],[Service-Actuals]]),ISBLANK(DaybyDay[[#This Row],[Retail-Actuals]])))</f>
        <v>1</v>
      </c>
      <c r="Y972" s="36">
        <f>IF(DaybyDay[[#This Row],[_Space]],IFERROR(
((DaybyDay[[#This Row],[Actual-Rollup]]-DaybyDay[[#This Row],[LY-Rollup]])/DaybyDay[[#This Row],[LY-Rollup]]),0),"")</f>
        <v>0</v>
      </c>
      <c r="Z972"/>
      <c r="AA972" s="37" t="e">
        <f>IF(DaybyDay[[#This Row],[_Space]],DaybyDay[[#This Row],[Ret-Act-RU]]/DaybyDay[[#This Row],[Serv-Act-RU]],"")</f>
        <v>#DIV/0!</v>
      </c>
      <c r="AB972" s="50" t="e">
        <f>IF(DaybyDay[[#This Row],[_Space]],DaybyDay[[#This Row],[RETPEN-Act]]/DaybyDay[[#This Row],[RETPEN-Bud]],"")</f>
        <v>#DIV/0!</v>
      </c>
      <c r="AC972" s="37" t="e">
        <f>IF(DaybyDay[[#This Row],[_Space]],DaybyDay[[#This Row],[Ret-Bud-RU]]/DaybyDay[[#This Row],[Serv-Bud-RU]],"")</f>
        <v>#DIV/0!</v>
      </c>
      <c r="AD972" s="37" t="e">
        <f>IF(DaybyDay[[#This Row],[_Space]],DaybyDay[[#This Row],[Ret-LY-RU]]/DaybyDay[[#This Row],[Serv-LY-RU]],"")</f>
        <v>#DIV/0!</v>
      </c>
      <c r="AE972" s="30">
        <f>WEEKDAY(DaybyDay[[#This Row],[LY-Date]])</f>
        <v>7</v>
      </c>
      <c r="AF972" s="38">
        <f>$E$2+_xlfn.DAYS(DaybyDay[[#This Row],[Date]],minDate)</f>
        <v>43337</v>
      </c>
      <c r="AG972" s="39" cm="1">
        <f t="array" ref="AG972">IFERROR(INDEX(DaybyDay[],DaybyDay[[#This Row],[FORM_MATCH_HELPER]],8),"")</f>
        <v>41</v>
      </c>
      <c r="AH972" s="39" cm="1">
        <f t="array" ref="AH972">IFERROR(INDEX(DaybyDay[],DaybyDay[[#This Row],[FORM_MATCH_HELPER]],10),"")</f>
        <v>6532.5</v>
      </c>
      <c r="AI972" s="39" cm="1">
        <f t="array" ref="AI972">IFERROR(INDEX(DaybyDay[],DaybyDay[[#This Row],[FORM_MATCH_HELPER]],12),"")</f>
        <v>5101</v>
      </c>
      <c r="AJ972" s="32">
        <f>IFERROR(DaybyDay[[#This Row],[Serv-LY-RU]]+DaybyDay[[#This Row],[Ret-LY-RU]],"")</f>
        <v>0</v>
      </c>
      <c r="AK9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2" s="77"/>
      <c r="AM972" s="40" t="str">
        <f>IF(DaybyDay[[#This Row],[Admin Hours]]&gt;0,DaybyDay[[#This Row],[Admin Hours]]*$AM$2+$AM$3,"")</f>
        <v/>
      </c>
      <c r="AN972" s="40">
        <f>SUMIFS(DaybyDay[Est-Admin-Payroll],DaybyDay[Date],"&gt;="&amp;$C$5,DaybyDay[RowYear],"&gt;="&amp;$C$4,DaybyDay[Date],"&lt;="&amp;DaybyDay[[#This Row],[Date]])</f>
        <v>0</v>
      </c>
      <c r="AO972" s="41" t="str">
        <f>IF(AND(DaybyDay[[#This Row],[_Space]],ISNUMBER(DaybyDay[[#This Row],[Admin Hours]])),DaybyDay[[#This Row],[Est-Admin-Payroll]]/(DaybyDay[[#This Row],[Service-Actuals]]+DaybyDay[[#This Row],[Retail-Actuals]]),"")</f>
        <v/>
      </c>
      <c r="AP972" s="41" t="e">
        <f>DaybyDay[[#This Row],[Estimated-Payroll-Rollup]]/DaybyDay[[#This Row],[Simple-Forecast]]</f>
        <v>#DIV/0!</v>
      </c>
      <c r="AQ9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2" s="77"/>
      <c r="AS972" s="40" t="str">
        <f>IF(DaybyDay[[#This Row],[Retail Hours]]&gt;0,DaybyDay[[#This Row],[Retail Hours]]*$AS$2,"")</f>
        <v/>
      </c>
      <c r="AT972" s="40">
        <f>SUMIFS(DaybyDay[Est-Retail-Payroll],DaybyDay[Date],"&gt;="&amp;$C$5,DaybyDay[RowYear],"&gt;="&amp;$C$4,DaybyDay[Date],"&lt;="&amp;DaybyDay[[#This Row],[Date]])</f>
        <v>0</v>
      </c>
      <c r="AU972" s="82" t="str">
        <f>IF(AND(DaybyDay[[#This Row],[_Space]],ISNUMBER(DaybyDay[[#This Row],[Retail Hours]])),DaybyDay[[#This Row],[Est-Retail-Payroll]]/(DaybyDay[[#This Row],[Retail-Actuals]]),"")</f>
        <v/>
      </c>
      <c r="AV972" s="82" t="e">
        <f>DaybyDay[[#This Row],[Est-Retail-PayrollRU]]/DaybyDay[[#This Row],[Simple-Forecast-Retail]]</f>
        <v>#DIV/0!</v>
      </c>
      <c r="AW972" s="8"/>
      <c r="AX972" s="49"/>
      <c r="AY972" s="48"/>
      <c r="AZ972" s="47"/>
      <c r="BA972" s="47"/>
      <c r="BB972" s="47"/>
      <c r="BC972" s="47"/>
      <c r="BD972" s="47"/>
    </row>
    <row r="973" spans="3:56" hidden="1" x14ac:dyDescent="0.25">
      <c r="C973" s="26" t="str">
        <f>Tools!$C$1</f>
        <v>Example</v>
      </c>
      <c r="D973" s="27" t="s">
        <v>75</v>
      </c>
      <c r="E973" s="28">
        <v>2019</v>
      </c>
      <c r="F973" s="28">
        <f>MATCH(DaybyDay[[#This Row],[RowMonth]],Table3[SummaryMonth],0)</f>
        <v>8</v>
      </c>
      <c r="G973" s="29">
        <f>MATCH(DaybyDay[[#This Row],[LY-Date]],DaybyDay[Date],0)</f>
        <v>603</v>
      </c>
      <c r="H973" s="30">
        <f>WEEKDAY(DaybyDay[[#This Row],[Date]])</f>
        <v>1</v>
      </c>
      <c r="I973" s="31">
        <v>43702</v>
      </c>
      <c r="J973" s="74">
        <v>26</v>
      </c>
      <c r="K973" s="32">
        <f>SUMIFS(BudgetSeasonality[365 Seasonality],BudgetSeasonality[MonthAdjustment],DaybyDay[[#This Row],[Date]])*SUMIFS(Budgets[Service-Budget],Budgets[BudgetMonth],DaybyDay[[#This Row],[RowMonth]],Budgets[BudgetYear],DaybyDay[[#This Row],[RowYear]])</f>
        <v>6323.5270207570529</v>
      </c>
      <c r="L973" s="75">
        <v>5820</v>
      </c>
      <c r="M973" s="32">
        <f>INDEX(BudgetSeasonality[365 Seasonality],MATCH(DaybyDay[[#This Row],[Date]],BudgetSeasonality[MonthAdjustment],0))*SUMIFS(Budgets[Retail-Budget],Budgets[BudgetMonth],DaybyDay[[#This Row],[RowMonth]],Budgets[BudgetYear],DaybyDay[[#This Row],[RowYear]])</f>
        <v>2360.1080929897826</v>
      </c>
      <c r="N973" s="75">
        <v>3415</v>
      </c>
      <c r="O973" s="33">
        <f>SUMIFS(DaybyDay[Service-Budgets],DaybyDay[Date],"&gt;="&amp;$C$5,DaybyDay[RowYear],"&gt;="&amp;$C$4,DaybyDay[Date],"&lt;="&amp;DaybyDay[[#This Row],[Date]])</f>
        <v>0</v>
      </c>
      <c r="P973" s="33">
        <f>SUMIFS(DaybyDay[Retail-Budgets],DaybyDay[Date],"&gt;="&amp;$C$5,DaybyDay[RowYear],"&gt;="&amp;$C$4,DaybyDay[Date],"&lt;="&amp;DaybyDay[[#This Row],[Date]])</f>
        <v>0</v>
      </c>
      <c r="Q973" s="34">
        <f>SUMIFS(DaybyDay[Service-Actuals],DaybyDay[Date],"&gt;="&amp;$C$5,DaybyDay[RowYear],"&gt;="&amp;$C$4,DaybyDay[Date],"&lt;="&amp;DaybyDay[[#This Row],[Date]])</f>
        <v>0</v>
      </c>
      <c r="R973" s="34">
        <f>SUMIFS(DaybyDay[Retail-Actuals],DaybyDay[Date],"&gt;="&amp;$C$5,DaybyDay[RowYear],"&gt;="&amp;$C$4,DaybyDay[Date],"&lt;="&amp;DaybyDay[[#This Row],[Date]])</f>
        <v>0</v>
      </c>
      <c r="S973" s="35">
        <f>SUMIFS(DaybyDay[Service-LY],DaybyDay[Date],"&gt;="&amp;$C$5,DaybyDay[RowYear],"&gt;="&amp;$C$4,DaybyDay[Date],"&lt;="&amp;DaybyDay[[#This Row],[Date]])</f>
        <v>0</v>
      </c>
      <c r="T973" s="35">
        <f>SUMIFS(DaybyDay[Retail-LY],DaybyDay[Date],"&gt;="&amp;$C$5,DaybyDay[RowYear],"&gt;="&amp;$C$4,DaybyDay[Date],"&lt;="&amp;DaybyDay[[#This Row],[Date]])</f>
        <v>0</v>
      </c>
      <c r="U973" s="32">
        <f>DaybyDay[[#This Row],[Serv-Bud-RU]]+DaybyDay[[#This Row],[Ret-Bud-RU]]</f>
        <v>0</v>
      </c>
      <c r="V973" s="32">
        <f>DaybyDay[[#This Row],[Serv-Act-RU]]+DaybyDay[[#This Row],[Ret-Act-RU]]</f>
        <v>0</v>
      </c>
      <c r="W973" s="36">
        <f>IF(DaybyDay[[#This Row],[_Space]],IFERROR(
((DaybyDay[[#This Row],[Actual-Rollup]]-DaybyDay[[#This Row],[Budget-Rollup]])/DaybyDay[[#This Row],[Budget-Rollup]]),0),"")</f>
        <v>0</v>
      </c>
      <c r="X973" t="b">
        <f>NOT(AND(ISBLANK(DaybyDay[[#This Row],[Appts]]),ISBLANK(DaybyDay[[#This Row],[Service-Actuals]]),ISBLANK(DaybyDay[[#This Row],[Retail-Actuals]])))</f>
        <v>1</v>
      </c>
      <c r="Y973" s="36">
        <f>IF(DaybyDay[[#This Row],[_Space]],IFERROR(
((DaybyDay[[#This Row],[Actual-Rollup]]-DaybyDay[[#This Row],[LY-Rollup]])/DaybyDay[[#This Row],[LY-Rollup]]),0),"")</f>
        <v>0</v>
      </c>
      <c r="Z973"/>
      <c r="AA973" s="37" t="e">
        <f>IF(DaybyDay[[#This Row],[_Space]],DaybyDay[[#This Row],[Ret-Act-RU]]/DaybyDay[[#This Row],[Serv-Act-RU]],"")</f>
        <v>#DIV/0!</v>
      </c>
      <c r="AB973" s="50" t="e">
        <f>IF(DaybyDay[[#This Row],[_Space]],DaybyDay[[#This Row],[RETPEN-Act]]/DaybyDay[[#This Row],[RETPEN-Bud]],"")</f>
        <v>#DIV/0!</v>
      </c>
      <c r="AC973" s="37" t="e">
        <f>IF(DaybyDay[[#This Row],[_Space]],DaybyDay[[#This Row],[Ret-Bud-RU]]/DaybyDay[[#This Row],[Serv-Bud-RU]],"")</f>
        <v>#DIV/0!</v>
      </c>
      <c r="AD973" s="37" t="e">
        <f>IF(DaybyDay[[#This Row],[_Space]],DaybyDay[[#This Row],[Ret-LY-RU]]/DaybyDay[[#This Row],[Serv-LY-RU]],"")</f>
        <v>#DIV/0!</v>
      </c>
      <c r="AE973" s="30">
        <f>WEEKDAY(DaybyDay[[#This Row],[LY-Date]])</f>
        <v>1</v>
      </c>
      <c r="AF973" s="38">
        <f>$E$2+_xlfn.DAYS(DaybyDay[[#This Row],[Date]],minDate)</f>
        <v>43338</v>
      </c>
      <c r="AG973" s="39" cm="1">
        <f t="array" ref="AG973">IFERROR(INDEX(DaybyDay[],DaybyDay[[#This Row],[FORM_MATCH_HELPER]],8),"")</f>
        <v>26</v>
      </c>
      <c r="AH973" s="39" cm="1">
        <f t="array" ref="AH973">IFERROR(INDEX(DaybyDay[],DaybyDay[[#This Row],[FORM_MATCH_HELPER]],10),"")</f>
        <v>4653.5</v>
      </c>
      <c r="AI973" s="39" cm="1">
        <f t="array" ref="AI973">IFERROR(INDEX(DaybyDay[],DaybyDay[[#This Row],[FORM_MATCH_HELPER]],12),"")</f>
        <v>1946.6</v>
      </c>
      <c r="AJ973" s="32">
        <f>IFERROR(DaybyDay[[#This Row],[Serv-LY-RU]]+DaybyDay[[#This Row],[Ret-LY-RU]],"")</f>
        <v>0</v>
      </c>
      <c r="AK9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3" s="77"/>
      <c r="AM973" s="40" t="str">
        <f>IF(DaybyDay[[#This Row],[Admin Hours]]&gt;0,DaybyDay[[#This Row],[Admin Hours]]*$AM$2+$AM$3,"")</f>
        <v/>
      </c>
      <c r="AN973" s="40">
        <f>SUMIFS(DaybyDay[Est-Admin-Payroll],DaybyDay[Date],"&gt;="&amp;$C$5,DaybyDay[RowYear],"&gt;="&amp;$C$4,DaybyDay[Date],"&lt;="&amp;DaybyDay[[#This Row],[Date]])</f>
        <v>0</v>
      </c>
      <c r="AO973" s="41" t="str">
        <f>IF(AND(DaybyDay[[#This Row],[_Space]],ISNUMBER(DaybyDay[[#This Row],[Admin Hours]])),DaybyDay[[#This Row],[Est-Admin-Payroll]]/(DaybyDay[[#This Row],[Service-Actuals]]+DaybyDay[[#This Row],[Retail-Actuals]]),"")</f>
        <v/>
      </c>
      <c r="AP973" s="41" t="e">
        <f>DaybyDay[[#This Row],[Estimated-Payroll-Rollup]]/DaybyDay[[#This Row],[Simple-Forecast]]</f>
        <v>#DIV/0!</v>
      </c>
      <c r="AQ9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3" s="77"/>
      <c r="AS973" s="40" t="str">
        <f>IF(DaybyDay[[#This Row],[Retail Hours]]&gt;0,DaybyDay[[#This Row],[Retail Hours]]*$AS$2,"")</f>
        <v/>
      </c>
      <c r="AT973" s="40">
        <f>SUMIFS(DaybyDay[Est-Retail-Payroll],DaybyDay[Date],"&gt;="&amp;$C$5,DaybyDay[RowYear],"&gt;="&amp;$C$4,DaybyDay[Date],"&lt;="&amp;DaybyDay[[#This Row],[Date]])</f>
        <v>0</v>
      </c>
      <c r="AU973" s="82" t="str">
        <f>IF(AND(DaybyDay[[#This Row],[_Space]],ISNUMBER(DaybyDay[[#This Row],[Retail Hours]])),DaybyDay[[#This Row],[Est-Retail-Payroll]]/(DaybyDay[[#This Row],[Retail-Actuals]]),"")</f>
        <v/>
      </c>
      <c r="AV973" s="82" t="e">
        <f>DaybyDay[[#This Row],[Est-Retail-PayrollRU]]/DaybyDay[[#This Row],[Simple-Forecast-Retail]]</f>
        <v>#DIV/0!</v>
      </c>
      <c r="AW973" s="8"/>
      <c r="AX973" s="49"/>
      <c r="AY973" s="48"/>
      <c r="AZ973" s="47"/>
      <c r="BA973" s="47"/>
      <c r="BB973" s="47"/>
      <c r="BC973" s="47"/>
      <c r="BD973" s="47"/>
    </row>
    <row r="974" spans="3:56" hidden="1" x14ac:dyDescent="0.25">
      <c r="C974" s="26" t="str">
        <f>Tools!$C$1</f>
        <v>Example</v>
      </c>
      <c r="D974" s="27" t="s">
        <v>75</v>
      </c>
      <c r="E974" s="28">
        <v>2019</v>
      </c>
      <c r="F974" s="28">
        <f>MATCH(DaybyDay[[#This Row],[RowMonth]],Table3[SummaryMonth],0)</f>
        <v>8</v>
      </c>
      <c r="G974" s="29">
        <f>MATCH(DaybyDay[[#This Row],[LY-Date]],DaybyDay[Date],0)</f>
        <v>604</v>
      </c>
      <c r="H974" s="30">
        <f>WEEKDAY(DaybyDay[[#This Row],[Date]])</f>
        <v>2</v>
      </c>
      <c r="I974" s="31">
        <v>43703</v>
      </c>
      <c r="J974" s="74">
        <v>16</v>
      </c>
      <c r="K974" s="32">
        <f>SUMIFS(BudgetSeasonality[365 Seasonality],BudgetSeasonality[MonthAdjustment],DaybyDay[[#This Row],[Date]])*SUMIFS(Budgets[Service-Budget],Budgets[BudgetMonth],DaybyDay[[#This Row],[RowMonth]],Budgets[BudgetYear],DaybyDay[[#This Row],[RowYear]])</f>
        <v>3605.8923385721155</v>
      </c>
      <c r="L974" s="75">
        <v>3601.0600000000004</v>
      </c>
      <c r="M974" s="32">
        <f>INDEX(BudgetSeasonality[365 Seasonality],MATCH(DaybyDay[[#This Row],[Date]],BudgetSeasonality[MonthAdjustment],0))*SUMIFS(Budgets[Retail-Budget],Budgets[BudgetMonth],DaybyDay[[#This Row],[RowMonth]],Budgets[BudgetYear],DaybyDay[[#This Row],[RowYear]])</f>
        <v>1345.8147111222511</v>
      </c>
      <c r="N974" s="75">
        <v>547</v>
      </c>
      <c r="O974" s="33">
        <f>SUMIFS(DaybyDay[Service-Budgets],DaybyDay[Date],"&gt;="&amp;$C$5,DaybyDay[RowYear],"&gt;="&amp;$C$4,DaybyDay[Date],"&lt;="&amp;DaybyDay[[#This Row],[Date]])</f>
        <v>0</v>
      </c>
      <c r="P974" s="33">
        <f>SUMIFS(DaybyDay[Retail-Budgets],DaybyDay[Date],"&gt;="&amp;$C$5,DaybyDay[RowYear],"&gt;="&amp;$C$4,DaybyDay[Date],"&lt;="&amp;DaybyDay[[#This Row],[Date]])</f>
        <v>0</v>
      </c>
      <c r="Q974" s="34">
        <f>SUMIFS(DaybyDay[Service-Actuals],DaybyDay[Date],"&gt;="&amp;$C$5,DaybyDay[RowYear],"&gt;="&amp;$C$4,DaybyDay[Date],"&lt;="&amp;DaybyDay[[#This Row],[Date]])</f>
        <v>0</v>
      </c>
      <c r="R974" s="34">
        <f>SUMIFS(DaybyDay[Retail-Actuals],DaybyDay[Date],"&gt;="&amp;$C$5,DaybyDay[RowYear],"&gt;="&amp;$C$4,DaybyDay[Date],"&lt;="&amp;DaybyDay[[#This Row],[Date]])</f>
        <v>0</v>
      </c>
      <c r="S974" s="35">
        <f>SUMIFS(DaybyDay[Service-LY],DaybyDay[Date],"&gt;="&amp;$C$5,DaybyDay[RowYear],"&gt;="&amp;$C$4,DaybyDay[Date],"&lt;="&amp;DaybyDay[[#This Row],[Date]])</f>
        <v>0</v>
      </c>
      <c r="T974" s="35">
        <f>SUMIFS(DaybyDay[Retail-LY],DaybyDay[Date],"&gt;="&amp;$C$5,DaybyDay[RowYear],"&gt;="&amp;$C$4,DaybyDay[Date],"&lt;="&amp;DaybyDay[[#This Row],[Date]])</f>
        <v>0</v>
      </c>
      <c r="U974" s="32">
        <f>DaybyDay[[#This Row],[Serv-Bud-RU]]+DaybyDay[[#This Row],[Ret-Bud-RU]]</f>
        <v>0</v>
      </c>
      <c r="V974" s="32">
        <f>DaybyDay[[#This Row],[Serv-Act-RU]]+DaybyDay[[#This Row],[Ret-Act-RU]]</f>
        <v>0</v>
      </c>
      <c r="W974" s="36">
        <f>IF(DaybyDay[[#This Row],[_Space]],IFERROR(
((DaybyDay[[#This Row],[Actual-Rollup]]-DaybyDay[[#This Row],[Budget-Rollup]])/DaybyDay[[#This Row],[Budget-Rollup]]),0),"")</f>
        <v>0</v>
      </c>
      <c r="X974" t="b">
        <f>NOT(AND(ISBLANK(DaybyDay[[#This Row],[Appts]]),ISBLANK(DaybyDay[[#This Row],[Service-Actuals]]),ISBLANK(DaybyDay[[#This Row],[Retail-Actuals]])))</f>
        <v>1</v>
      </c>
      <c r="Y974" s="36">
        <f>IF(DaybyDay[[#This Row],[_Space]],IFERROR(
((DaybyDay[[#This Row],[Actual-Rollup]]-DaybyDay[[#This Row],[LY-Rollup]])/DaybyDay[[#This Row],[LY-Rollup]]),0),"")</f>
        <v>0</v>
      </c>
      <c r="Z974"/>
      <c r="AA974" s="37" t="e">
        <f>IF(DaybyDay[[#This Row],[_Space]],DaybyDay[[#This Row],[Ret-Act-RU]]/DaybyDay[[#This Row],[Serv-Act-RU]],"")</f>
        <v>#DIV/0!</v>
      </c>
      <c r="AB974" s="50" t="e">
        <f>IF(DaybyDay[[#This Row],[_Space]],DaybyDay[[#This Row],[RETPEN-Act]]/DaybyDay[[#This Row],[RETPEN-Bud]],"")</f>
        <v>#DIV/0!</v>
      </c>
      <c r="AC974" s="37" t="e">
        <f>IF(DaybyDay[[#This Row],[_Space]],DaybyDay[[#This Row],[Ret-Bud-RU]]/DaybyDay[[#This Row],[Serv-Bud-RU]],"")</f>
        <v>#DIV/0!</v>
      </c>
      <c r="AD974" s="37" t="e">
        <f>IF(DaybyDay[[#This Row],[_Space]],DaybyDay[[#This Row],[Ret-LY-RU]]/DaybyDay[[#This Row],[Serv-LY-RU]],"")</f>
        <v>#DIV/0!</v>
      </c>
      <c r="AE974" s="30">
        <f>WEEKDAY(DaybyDay[[#This Row],[LY-Date]])</f>
        <v>2</v>
      </c>
      <c r="AF974" s="38">
        <f>$E$2+_xlfn.DAYS(DaybyDay[[#This Row],[Date]],minDate)</f>
        <v>43339</v>
      </c>
      <c r="AG974" s="39" cm="1">
        <f t="array" ref="AG974">IFERROR(INDEX(DaybyDay[],DaybyDay[[#This Row],[FORM_MATCH_HELPER]],8),"")</f>
        <v>11</v>
      </c>
      <c r="AH974" s="39" cm="1">
        <f t="array" ref="AH974">IFERROR(INDEX(DaybyDay[],DaybyDay[[#This Row],[FORM_MATCH_HELPER]],10),"")</f>
        <v>1894.8</v>
      </c>
      <c r="AI974" s="39" cm="1">
        <f t="array" ref="AI974">IFERROR(INDEX(DaybyDay[],DaybyDay[[#This Row],[FORM_MATCH_HELPER]],12),"")</f>
        <v>250</v>
      </c>
      <c r="AJ974" s="32">
        <f>IFERROR(DaybyDay[[#This Row],[Serv-LY-RU]]+DaybyDay[[#This Row],[Ret-LY-RU]],"")</f>
        <v>0</v>
      </c>
      <c r="AK9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4" s="77"/>
      <c r="AM974" s="40" t="str">
        <f>IF(DaybyDay[[#This Row],[Admin Hours]]&gt;0,DaybyDay[[#This Row],[Admin Hours]]*$AM$2+$AM$3,"")</f>
        <v/>
      </c>
      <c r="AN974" s="40">
        <f>SUMIFS(DaybyDay[Est-Admin-Payroll],DaybyDay[Date],"&gt;="&amp;$C$5,DaybyDay[RowYear],"&gt;="&amp;$C$4,DaybyDay[Date],"&lt;="&amp;DaybyDay[[#This Row],[Date]])</f>
        <v>0</v>
      </c>
      <c r="AO974" s="41" t="str">
        <f>IF(AND(DaybyDay[[#This Row],[_Space]],ISNUMBER(DaybyDay[[#This Row],[Admin Hours]])),DaybyDay[[#This Row],[Est-Admin-Payroll]]/(DaybyDay[[#This Row],[Service-Actuals]]+DaybyDay[[#This Row],[Retail-Actuals]]),"")</f>
        <v/>
      </c>
      <c r="AP974" s="41" t="e">
        <f>DaybyDay[[#This Row],[Estimated-Payroll-Rollup]]/DaybyDay[[#This Row],[Simple-Forecast]]</f>
        <v>#DIV/0!</v>
      </c>
      <c r="AQ9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4" s="77"/>
      <c r="AS974" s="40" t="str">
        <f>IF(DaybyDay[[#This Row],[Retail Hours]]&gt;0,DaybyDay[[#This Row],[Retail Hours]]*$AS$2,"")</f>
        <v/>
      </c>
      <c r="AT974" s="40">
        <f>SUMIFS(DaybyDay[Est-Retail-Payroll],DaybyDay[Date],"&gt;="&amp;$C$5,DaybyDay[RowYear],"&gt;="&amp;$C$4,DaybyDay[Date],"&lt;="&amp;DaybyDay[[#This Row],[Date]])</f>
        <v>0</v>
      </c>
      <c r="AU974" s="82" t="str">
        <f>IF(AND(DaybyDay[[#This Row],[_Space]],ISNUMBER(DaybyDay[[#This Row],[Retail Hours]])),DaybyDay[[#This Row],[Est-Retail-Payroll]]/(DaybyDay[[#This Row],[Retail-Actuals]]),"")</f>
        <v/>
      </c>
      <c r="AV974" s="82" t="e">
        <f>DaybyDay[[#This Row],[Est-Retail-PayrollRU]]/DaybyDay[[#This Row],[Simple-Forecast-Retail]]</f>
        <v>#DIV/0!</v>
      </c>
      <c r="AW974" s="8"/>
      <c r="AX974" s="49"/>
      <c r="AY974" s="48"/>
      <c r="AZ974" s="47"/>
      <c r="BA974" s="47"/>
      <c r="BB974" s="47"/>
      <c r="BC974" s="47"/>
      <c r="BD974" s="47"/>
    </row>
    <row r="975" spans="3:56" hidden="1" x14ac:dyDescent="0.25">
      <c r="C975" s="26" t="str">
        <f>Tools!$C$1</f>
        <v>Example</v>
      </c>
      <c r="D975" s="27" t="s">
        <v>75</v>
      </c>
      <c r="E975" s="28">
        <v>2019</v>
      </c>
      <c r="F975" s="28">
        <f>MATCH(DaybyDay[[#This Row],[RowMonth]],Table3[SummaryMonth],0)</f>
        <v>8</v>
      </c>
      <c r="G975" s="29">
        <f>MATCH(DaybyDay[[#This Row],[LY-Date]],DaybyDay[Date],0)</f>
        <v>605</v>
      </c>
      <c r="H975" s="30">
        <f>WEEKDAY(DaybyDay[[#This Row],[Date]])</f>
        <v>3</v>
      </c>
      <c r="I975" s="31">
        <v>43704</v>
      </c>
      <c r="J975" s="74">
        <v>16</v>
      </c>
      <c r="K975" s="32">
        <f>SUMIFS(BudgetSeasonality[365 Seasonality],BudgetSeasonality[MonthAdjustment],DaybyDay[[#This Row],[Date]])*SUMIFS(Budgets[Service-Budget],Budgets[BudgetMonth],DaybyDay[[#This Row],[RowMonth]],Budgets[BudgetYear],DaybyDay[[#This Row],[RowYear]])</f>
        <v>3777.6148048141504</v>
      </c>
      <c r="L975" s="75">
        <v>2929</v>
      </c>
      <c r="M975" s="32">
        <f>INDEX(BudgetSeasonality[365 Seasonality],MATCH(DaybyDay[[#This Row],[Date]],BudgetSeasonality[MonthAdjustment],0))*SUMIFS(Budgets[Retail-Budget],Budgets[BudgetMonth],DaybyDay[[#This Row],[RowMonth]],Budgets[BudgetYear],DaybyDay[[#This Row],[RowYear]])</f>
        <v>1409.9060925610656</v>
      </c>
      <c r="N975" s="75">
        <v>2691.5</v>
      </c>
      <c r="O975" s="33">
        <f>SUMIFS(DaybyDay[Service-Budgets],DaybyDay[Date],"&gt;="&amp;$C$5,DaybyDay[RowYear],"&gt;="&amp;$C$4,DaybyDay[Date],"&lt;="&amp;DaybyDay[[#This Row],[Date]])</f>
        <v>0</v>
      </c>
      <c r="P975" s="33">
        <f>SUMIFS(DaybyDay[Retail-Budgets],DaybyDay[Date],"&gt;="&amp;$C$5,DaybyDay[RowYear],"&gt;="&amp;$C$4,DaybyDay[Date],"&lt;="&amp;DaybyDay[[#This Row],[Date]])</f>
        <v>0</v>
      </c>
      <c r="Q975" s="34">
        <f>SUMIFS(DaybyDay[Service-Actuals],DaybyDay[Date],"&gt;="&amp;$C$5,DaybyDay[RowYear],"&gt;="&amp;$C$4,DaybyDay[Date],"&lt;="&amp;DaybyDay[[#This Row],[Date]])</f>
        <v>0</v>
      </c>
      <c r="R975" s="34">
        <f>SUMIFS(DaybyDay[Retail-Actuals],DaybyDay[Date],"&gt;="&amp;$C$5,DaybyDay[RowYear],"&gt;="&amp;$C$4,DaybyDay[Date],"&lt;="&amp;DaybyDay[[#This Row],[Date]])</f>
        <v>0</v>
      </c>
      <c r="S975" s="35">
        <f>SUMIFS(DaybyDay[Service-LY],DaybyDay[Date],"&gt;="&amp;$C$5,DaybyDay[RowYear],"&gt;="&amp;$C$4,DaybyDay[Date],"&lt;="&amp;DaybyDay[[#This Row],[Date]])</f>
        <v>0</v>
      </c>
      <c r="T975" s="35">
        <f>SUMIFS(DaybyDay[Retail-LY],DaybyDay[Date],"&gt;="&amp;$C$5,DaybyDay[RowYear],"&gt;="&amp;$C$4,DaybyDay[Date],"&lt;="&amp;DaybyDay[[#This Row],[Date]])</f>
        <v>0</v>
      </c>
      <c r="U975" s="32">
        <f>DaybyDay[[#This Row],[Serv-Bud-RU]]+DaybyDay[[#This Row],[Ret-Bud-RU]]</f>
        <v>0</v>
      </c>
      <c r="V975" s="32">
        <f>DaybyDay[[#This Row],[Serv-Act-RU]]+DaybyDay[[#This Row],[Ret-Act-RU]]</f>
        <v>0</v>
      </c>
      <c r="W975" s="36">
        <f>IF(DaybyDay[[#This Row],[_Space]],IFERROR(
((DaybyDay[[#This Row],[Actual-Rollup]]-DaybyDay[[#This Row],[Budget-Rollup]])/DaybyDay[[#This Row],[Budget-Rollup]]),0),"")</f>
        <v>0</v>
      </c>
      <c r="X975" t="b">
        <f>NOT(AND(ISBLANK(DaybyDay[[#This Row],[Appts]]),ISBLANK(DaybyDay[[#This Row],[Service-Actuals]]),ISBLANK(DaybyDay[[#This Row],[Retail-Actuals]])))</f>
        <v>1</v>
      </c>
      <c r="Y975" s="36">
        <f>IF(DaybyDay[[#This Row],[_Space]],IFERROR(
((DaybyDay[[#This Row],[Actual-Rollup]]-DaybyDay[[#This Row],[LY-Rollup]])/DaybyDay[[#This Row],[LY-Rollup]]),0),"")</f>
        <v>0</v>
      </c>
      <c r="Z975"/>
      <c r="AA975" s="37" t="e">
        <f>IF(DaybyDay[[#This Row],[_Space]],DaybyDay[[#This Row],[Ret-Act-RU]]/DaybyDay[[#This Row],[Serv-Act-RU]],"")</f>
        <v>#DIV/0!</v>
      </c>
      <c r="AB975" s="50" t="e">
        <f>IF(DaybyDay[[#This Row],[_Space]],DaybyDay[[#This Row],[RETPEN-Act]]/DaybyDay[[#This Row],[RETPEN-Bud]],"")</f>
        <v>#DIV/0!</v>
      </c>
      <c r="AC975" s="37" t="e">
        <f>IF(DaybyDay[[#This Row],[_Space]],DaybyDay[[#This Row],[Ret-Bud-RU]]/DaybyDay[[#This Row],[Serv-Bud-RU]],"")</f>
        <v>#DIV/0!</v>
      </c>
      <c r="AD975" s="37" t="e">
        <f>IF(DaybyDay[[#This Row],[_Space]],DaybyDay[[#This Row],[Ret-LY-RU]]/DaybyDay[[#This Row],[Serv-LY-RU]],"")</f>
        <v>#DIV/0!</v>
      </c>
      <c r="AE975" s="30">
        <f>WEEKDAY(DaybyDay[[#This Row],[LY-Date]])</f>
        <v>3</v>
      </c>
      <c r="AF975" s="38">
        <f>$E$2+_xlfn.DAYS(DaybyDay[[#This Row],[Date]],minDate)</f>
        <v>43340</v>
      </c>
      <c r="AG975" s="39" cm="1">
        <f t="array" ref="AG975">IFERROR(INDEX(DaybyDay[],DaybyDay[[#This Row],[FORM_MATCH_HELPER]],8),"")</f>
        <v>16</v>
      </c>
      <c r="AH975" s="39" cm="1">
        <f t="array" ref="AH975">IFERROR(INDEX(DaybyDay[],DaybyDay[[#This Row],[FORM_MATCH_HELPER]],10),"")</f>
        <v>2276.8200000000002</v>
      </c>
      <c r="AI975" s="39" cm="1">
        <f t="array" ref="AI975">IFERROR(INDEX(DaybyDay[],DaybyDay[[#This Row],[FORM_MATCH_HELPER]],12),"")</f>
        <v>278</v>
      </c>
      <c r="AJ975" s="32">
        <f>IFERROR(DaybyDay[[#This Row],[Serv-LY-RU]]+DaybyDay[[#This Row],[Ret-LY-RU]],"")</f>
        <v>0</v>
      </c>
      <c r="AK9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5" s="77"/>
      <c r="AM975" s="40" t="str">
        <f>IF(DaybyDay[[#This Row],[Admin Hours]]&gt;0,DaybyDay[[#This Row],[Admin Hours]]*$AM$2+$AM$3,"")</f>
        <v/>
      </c>
      <c r="AN975" s="40">
        <f>SUMIFS(DaybyDay[Est-Admin-Payroll],DaybyDay[Date],"&gt;="&amp;$C$5,DaybyDay[RowYear],"&gt;="&amp;$C$4,DaybyDay[Date],"&lt;="&amp;DaybyDay[[#This Row],[Date]])</f>
        <v>0</v>
      </c>
      <c r="AO975" s="41" t="str">
        <f>IF(AND(DaybyDay[[#This Row],[_Space]],ISNUMBER(DaybyDay[[#This Row],[Admin Hours]])),DaybyDay[[#This Row],[Est-Admin-Payroll]]/(DaybyDay[[#This Row],[Service-Actuals]]+DaybyDay[[#This Row],[Retail-Actuals]]),"")</f>
        <v/>
      </c>
      <c r="AP975" s="41" t="e">
        <f>DaybyDay[[#This Row],[Estimated-Payroll-Rollup]]/DaybyDay[[#This Row],[Simple-Forecast]]</f>
        <v>#DIV/0!</v>
      </c>
      <c r="AQ9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5" s="77"/>
      <c r="AS975" s="40" t="str">
        <f>IF(DaybyDay[[#This Row],[Retail Hours]]&gt;0,DaybyDay[[#This Row],[Retail Hours]]*$AS$2,"")</f>
        <v/>
      </c>
      <c r="AT975" s="40">
        <f>SUMIFS(DaybyDay[Est-Retail-Payroll],DaybyDay[Date],"&gt;="&amp;$C$5,DaybyDay[RowYear],"&gt;="&amp;$C$4,DaybyDay[Date],"&lt;="&amp;DaybyDay[[#This Row],[Date]])</f>
        <v>0</v>
      </c>
      <c r="AU975" s="82" t="str">
        <f>IF(AND(DaybyDay[[#This Row],[_Space]],ISNUMBER(DaybyDay[[#This Row],[Retail Hours]])),DaybyDay[[#This Row],[Est-Retail-Payroll]]/(DaybyDay[[#This Row],[Retail-Actuals]]),"")</f>
        <v/>
      </c>
      <c r="AV975" s="82" t="e">
        <f>DaybyDay[[#This Row],[Est-Retail-PayrollRU]]/DaybyDay[[#This Row],[Simple-Forecast-Retail]]</f>
        <v>#DIV/0!</v>
      </c>
      <c r="AW975" s="8"/>
      <c r="AX975" s="49"/>
      <c r="AY975" s="48"/>
      <c r="AZ975" s="47"/>
      <c r="BA975" s="47"/>
      <c r="BB975" s="47"/>
      <c r="BC975" s="47"/>
      <c r="BD975" s="47"/>
    </row>
    <row r="976" spans="3:56" hidden="1" x14ac:dyDescent="0.25">
      <c r="C976" s="26" t="str">
        <f>Tools!$C$1</f>
        <v>Example</v>
      </c>
      <c r="D976" s="27" t="s">
        <v>75</v>
      </c>
      <c r="E976" s="28">
        <v>2019</v>
      </c>
      <c r="F976" s="28">
        <f>MATCH(DaybyDay[[#This Row],[RowMonth]],Table3[SummaryMonth],0)</f>
        <v>8</v>
      </c>
      <c r="G976" s="29">
        <f>MATCH(DaybyDay[[#This Row],[LY-Date]],DaybyDay[Date],0)</f>
        <v>606</v>
      </c>
      <c r="H976" s="30">
        <f>WEEKDAY(DaybyDay[[#This Row],[Date]])</f>
        <v>4</v>
      </c>
      <c r="I976" s="31">
        <v>43705</v>
      </c>
      <c r="J976" s="74">
        <v>28</v>
      </c>
      <c r="K976" s="32">
        <f>SUMIFS(BudgetSeasonality[365 Seasonality],BudgetSeasonality[MonthAdjustment],DaybyDay[[#This Row],[Date]])*SUMIFS(Budgets[Service-Budget],Budgets[BudgetMonth],DaybyDay[[#This Row],[RowMonth]],Budgets[BudgetYear],DaybyDay[[#This Row],[RowYear]])</f>
        <v>4452.8995484083171</v>
      </c>
      <c r="L976" s="75">
        <v>4238.3999999999996</v>
      </c>
      <c r="M976" s="32">
        <f>INDEX(BudgetSeasonality[365 Seasonality],MATCH(DaybyDay[[#This Row],[Date]],BudgetSeasonality[MonthAdjustment],0))*SUMIFS(Budgets[Retail-Budget],Budgets[BudgetMonth],DaybyDay[[#This Row],[RowMonth]],Budgets[BudgetYear],DaybyDay[[#This Row],[RowYear]])</f>
        <v>1661.94027905187</v>
      </c>
      <c r="N976" s="75">
        <v>173.4</v>
      </c>
      <c r="O976" s="33">
        <f>SUMIFS(DaybyDay[Service-Budgets],DaybyDay[Date],"&gt;="&amp;$C$5,DaybyDay[RowYear],"&gt;="&amp;$C$4,DaybyDay[Date],"&lt;="&amp;DaybyDay[[#This Row],[Date]])</f>
        <v>0</v>
      </c>
      <c r="P976" s="33">
        <f>SUMIFS(DaybyDay[Retail-Budgets],DaybyDay[Date],"&gt;="&amp;$C$5,DaybyDay[RowYear],"&gt;="&amp;$C$4,DaybyDay[Date],"&lt;="&amp;DaybyDay[[#This Row],[Date]])</f>
        <v>0</v>
      </c>
      <c r="Q976" s="34">
        <f>SUMIFS(DaybyDay[Service-Actuals],DaybyDay[Date],"&gt;="&amp;$C$5,DaybyDay[RowYear],"&gt;="&amp;$C$4,DaybyDay[Date],"&lt;="&amp;DaybyDay[[#This Row],[Date]])</f>
        <v>0</v>
      </c>
      <c r="R976" s="34">
        <f>SUMIFS(DaybyDay[Retail-Actuals],DaybyDay[Date],"&gt;="&amp;$C$5,DaybyDay[RowYear],"&gt;="&amp;$C$4,DaybyDay[Date],"&lt;="&amp;DaybyDay[[#This Row],[Date]])</f>
        <v>0</v>
      </c>
      <c r="S976" s="35">
        <f>SUMIFS(DaybyDay[Service-LY],DaybyDay[Date],"&gt;="&amp;$C$5,DaybyDay[RowYear],"&gt;="&amp;$C$4,DaybyDay[Date],"&lt;="&amp;DaybyDay[[#This Row],[Date]])</f>
        <v>0</v>
      </c>
      <c r="T976" s="35">
        <f>SUMIFS(DaybyDay[Retail-LY],DaybyDay[Date],"&gt;="&amp;$C$5,DaybyDay[RowYear],"&gt;="&amp;$C$4,DaybyDay[Date],"&lt;="&amp;DaybyDay[[#This Row],[Date]])</f>
        <v>0</v>
      </c>
      <c r="U976" s="32">
        <f>DaybyDay[[#This Row],[Serv-Bud-RU]]+DaybyDay[[#This Row],[Ret-Bud-RU]]</f>
        <v>0</v>
      </c>
      <c r="V976" s="32">
        <f>DaybyDay[[#This Row],[Serv-Act-RU]]+DaybyDay[[#This Row],[Ret-Act-RU]]</f>
        <v>0</v>
      </c>
      <c r="W976" s="36">
        <f>IF(DaybyDay[[#This Row],[_Space]],IFERROR(
((DaybyDay[[#This Row],[Actual-Rollup]]-DaybyDay[[#This Row],[Budget-Rollup]])/DaybyDay[[#This Row],[Budget-Rollup]]),0),"")</f>
        <v>0</v>
      </c>
      <c r="X976" t="b">
        <f>NOT(AND(ISBLANK(DaybyDay[[#This Row],[Appts]]),ISBLANK(DaybyDay[[#This Row],[Service-Actuals]]),ISBLANK(DaybyDay[[#This Row],[Retail-Actuals]])))</f>
        <v>1</v>
      </c>
      <c r="Y976" s="36">
        <f>IF(DaybyDay[[#This Row],[_Space]],IFERROR(
((DaybyDay[[#This Row],[Actual-Rollup]]-DaybyDay[[#This Row],[LY-Rollup]])/DaybyDay[[#This Row],[LY-Rollup]]),0),"")</f>
        <v>0</v>
      </c>
      <c r="Z976"/>
      <c r="AA976" s="37" t="e">
        <f>IF(DaybyDay[[#This Row],[_Space]],DaybyDay[[#This Row],[Ret-Act-RU]]/DaybyDay[[#This Row],[Serv-Act-RU]],"")</f>
        <v>#DIV/0!</v>
      </c>
      <c r="AB976" s="50" t="e">
        <f>IF(DaybyDay[[#This Row],[_Space]],DaybyDay[[#This Row],[RETPEN-Act]]/DaybyDay[[#This Row],[RETPEN-Bud]],"")</f>
        <v>#DIV/0!</v>
      </c>
      <c r="AC976" s="37" t="e">
        <f>IF(DaybyDay[[#This Row],[_Space]],DaybyDay[[#This Row],[Ret-Bud-RU]]/DaybyDay[[#This Row],[Serv-Bud-RU]],"")</f>
        <v>#DIV/0!</v>
      </c>
      <c r="AD976" s="37" t="e">
        <f>IF(DaybyDay[[#This Row],[_Space]],DaybyDay[[#This Row],[Ret-LY-RU]]/DaybyDay[[#This Row],[Serv-LY-RU]],"")</f>
        <v>#DIV/0!</v>
      </c>
      <c r="AE976" s="30">
        <f>WEEKDAY(DaybyDay[[#This Row],[LY-Date]])</f>
        <v>4</v>
      </c>
      <c r="AF976" s="38">
        <f>$E$2+_xlfn.DAYS(DaybyDay[[#This Row],[Date]],minDate)</f>
        <v>43341</v>
      </c>
      <c r="AG976" s="39" cm="1">
        <f t="array" ref="AG976">IFERROR(INDEX(DaybyDay[],DaybyDay[[#This Row],[FORM_MATCH_HELPER]],8),"")</f>
        <v>13</v>
      </c>
      <c r="AH976" s="39" cm="1">
        <f t="array" ref="AH976">IFERROR(INDEX(DaybyDay[],DaybyDay[[#This Row],[FORM_MATCH_HELPER]],10),"")</f>
        <v>2894.2</v>
      </c>
      <c r="AI976" s="39" cm="1">
        <f t="array" ref="AI976">IFERROR(INDEX(DaybyDay[],DaybyDay[[#This Row],[FORM_MATCH_HELPER]],12),"")</f>
        <v>200</v>
      </c>
      <c r="AJ976" s="32">
        <f>IFERROR(DaybyDay[[#This Row],[Serv-LY-RU]]+DaybyDay[[#This Row],[Ret-LY-RU]],"")</f>
        <v>0</v>
      </c>
      <c r="AK9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6" s="77"/>
      <c r="AM976" s="40" t="str">
        <f>IF(DaybyDay[[#This Row],[Admin Hours]]&gt;0,DaybyDay[[#This Row],[Admin Hours]]*$AM$2+$AM$3,"")</f>
        <v/>
      </c>
      <c r="AN976" s="40">
        <f>SUMIFS(DaybyDay[Est-Admin-Payroll],DaybyDay[Date],"&gt;="&amp;$C$5,DaybyDay[RowYear],"&gt;="&amp;$C$4,DaybyDay[Date],"&lt;="&amp;DaybyDay[[#This Row],[Date]])</f>
        <v>0</v>
      </c>
      <c r="AO976" s="41" t="str">
        <f>IF(AND(DaybyDay[[#This Row],[_Space]],ISNUMBER(DaybyDay[[#This Row],[Admin Hours]])),DaybyDay[[#This Row],[Est-Admin-Payroll]]/(DaybyDay[[#This Row],[Service-Actuals]]+DaybyDay[[#This Row],[Retail-Actuals]]),"")</f>
        <v/>
      </c>
      <c r="AP976" s="41" t="e">
        <f>DaybyDay[[#This Row],[Estimated-Payroll-Rollup]]/DaybyDay[[#This Row],[Simple-Forecast]]</f>
        <v>#DIV/0!</v>
      </c>
      <c r="AQ9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6" s="77"/>
      <c r="AS976" s="40" t="str">
        <f>IF(DaybyDay[[#This Row],[Retail Hours]]&gt;0,DaybyDay[[#This Row],[Retail Hours]]*$AS$2,"")</f>
        <v/>
      </c>
      <c r="AT976" s="40">
        <f>SUMIFS(DaybyDay[Est-Retail-Payroll],DaybyDay[Date],"&gt;="&amp;$C$5,DaybyDay[RowYear],"&gt;="&amp;$C$4,DaybyDay[Date],"&lt;="&amp;DaybyDay[[#This Row],[Date]])</f>
        <v>0</v>
      </c>
      <c r="AU976" s="82" t="str">
        <f>IF(AND(DaybyDay[[#This Row],[_Space]],ISNUMBER(DaybyDay[[#This Row],[Retail Hours]])),DaybyDay[[#This Row],[Est-Retail-Payroll]]/(DaybyDay[[#This Row],[Retail-Actuals]]),"")</f>
        <v/>
      </c>
      <c r="AV976" s="82" t="e">
        <f>DaybyDay[[#This Row],[Est-Retail-PayrollRU]]/DaybyDay[[#This Row],[Simple-Forecast-Retail]]</f>
        <v>#DIV/0!</v>
      </c>
      <c r="AW976" s="8"/>
      <c r="AX976" s="49"/>
      <c r="AY976" s="48"/>
      <c r="AZ976" s="47"/>
      <c r="BA976" s="47"/>
      <c r="BB976" s="47"/>
      <c r="BC976" s="47"/>
      <c r="BD976" s="47"/>
    </row>
    <row r="977" spans="3:56" hidden="1" x14ac:dyDescent="0.25">
      <c r="C977" s="26" t="str">
        <f>Tools!$C$1</f>
        <v>Example</v>
      </c>
      <c r="D977" s="27" t="s">
        <v>75</v>
      </c>
      <c r="E977" s="28">
        <v>2019</v>
      </c>
      <c r="F977" s="28">
        <f>MATCH(DaybyDay[[#This Row],[RowMonth]],Table3[SummaryMonth],0)</f>
        <v>8</v>
      </c>
      <c r="G977" s="29">
        <f>MATCH(DaybyDay[[#This Row],[LY-Date]],DaybyDay[Date],0)</f>
        <v>607</v>
      </c>
      <c r="H977" s="30">
        <f>WEEKDAY(DaybyDay[[#This Row],[Date]])</f>
        <v>5</v>
      </c>
      <c r="I977" s="31">
        <v>43706</v>
      </c>
      <c r="J977" s="74">
        <v>23</v>
      </c>
      <c r="K977" s="32">
        <f>SUMIFS(BudgetSeasonality[365 Seasonality],BudgetSeasonality[MonthAdjustment],DaybyDay[[#This Row],[Date]])*SUMIFS(Budgets[Service-Budget],Budgets[BudgetMonth],DaybyDay[[#This Row],[RowMonth]],Budgets[BudgetYear],DaybyDay[[#This Row],[RowYear]])</f>
        <v>4609.1610713982527</v>
      </c>
      <c r="L977" s="75">
        <v>3913.7000000000003</v>
      </c>
      <c r="M977" s="32">
        <f>INDEX(BudgetSeasonality[365 Seasonality],MATCH(DaybyDay[[#This Row],[Date]],BudgetSeasonality[MonthAdjustment],0))*SUMIFS(Budgets[Retail-Budget],Budgets[BudgetMonth],DaybyDay[[#This Row],[RowMonth]],Budgets[BudgetYear],DaybyDay[[#This Row],[RowYear]])</f>
        <v>1720.2612261785105</v>
      </c>
      <c r="N977" s="75">
        <v>237.1</v>
      </c>
      <c r="O977" s="33">
        <f>SUMIFS(DaybyDay[Service-Budgets],DaybyDay[Date],"&gt;="&amp;$C$5,DaybyDay[RowYear],"&gt;="&amp;$C$4,DaybyDay[Date],"&lt;="&amp;DaybyDay[[#This Row],[Date]])</f>
        <v>0</v>
      </c>
      <c r="P977" s="33">
        <f>SUMIFS(DaybyDay[Retail-Budgets],DaybyDay[Date],"&gt;="&amp;$C$5,DaybyDay[RowYear],"&gt;="&amp;$C$4,DaybyDay[Date],"&lt;="&amp;DaybyDay[[#This Row],[Date]])</f>
        <v>0</v>
      </c>
      <c r="Q977" s="34">
        <f>SUMIFS(DaybyDay[Service-Actuals],DaybyDay[Date],"&gt;="&amp;$C$5,DaybyDay[RowYear],"&gt;="&amp;$C$4,DaybyDay[Date],"&lt;="&amp;DaybyDay[[#This Row],[Date]])</f>
        <v>0</v>
      </c>
      <c r="R977" s="34">
        <f>SUMIFS(DaybyDay[Retail-Actuals],DaybyDay[Date],"&gt;="&amp;$C$5,DaybyDay[RowYear],"&gt;="&amp;$C$4,DaybyDay[Date],"&lt;="&amp;DaybyDay[[#This Row],[Date]])</f>
        <v>0</v>
      </c>
      <c r="S977" s="35">
        <f>SUMIFS(DaybyDay[Service-LY],DaybyDay[Date],"&gt;="&amp;$C$5,DaybyDay[RowYear],"&gt;="&amp;$C$4,DaybyDay[Date],"&lt;="&amp;DaybyDay[[#This Row],[Date]])</f>
        <v>0</v>
      </c>
      <c r="T977" s="35">
        <f>SUMIFS(DaybyDay[Retail-LY],DaybyDay[Date],"&gt;="&amp;$C$5,DaybyDay[RowYear],"&gt;="&amp;$C$4,DaybyDay[Date],"&lt;="&amp;DaybyDay[[#This Row],[Date]])</f>
        <v>0</v>
      </c>
      <c r="U977" s="32">
        <f>DaybyDay[[#This Row],[Serv-Bud-RU]]+DaybyDay[[#This Row],[Ret-Bud-RU]]</f>
        <v>0</v>
      </c>
      <c r="V977" s="32">
        <f>DaybyDay[[#This Row],[Serv-Act-RU]]+DaybyDay[[#This Row],[Ret-Act-RU]]</f>
        <v>0</v>
      </c>
      <c r="W977" s="36">
        <f>IF(DaybyDay[[#This Row],[_Space]],IFERROR(
((DaybyDay[[#This Row],[Actual-Rollup]]-DaybyDay[[#This Row],[Budget-Rollup]])/DaybyDay[[#This Row],[Budget-Rollup]]),0),"")</f>
        <v>0</v>
      </c>
      <c r="X977" t="b">
        <f>NOT(AND(ISBLANK(DaybyDay[[#This Row],[Appts]]),ISBLANK(DaybyDay[[#This Row],[Service-Actuals]]),ISBLANK(DaybyDay[[#This Row],[Retail-Actuals]])))</f>
        <v>1</v>
      </c>
      <c r="Y977" s="36">
        <f>IF(DaybyDay[[#This Row],[_Space]],IFERROR(
((DaybyDay[[#This Row],[Actual-Rollup]]-DaybyDay[[#This Row],[LY-Rollup]])/DaybyDay[[#This Row],[LY-Rollup]]),0),"")</f>
        <v>0</v>
      </c>
      <c r="Z977"/>
      <c r="AA977" s="37" t="e">
        <f>IF(DaybyDay[[#This Row],[_Space]],DaybyDay[[#This Row],[Ret-Act-RU]]/DaybyDay[[#This Row],[Serv-Act-RU]],"")</f>
        <v>#DIV/0!</v>
      </c>
      <c r="AB977" s="50" t="e">
        <f>IF(DaybyDay[[#This Row],[_Space]],DaybyDay[[#This Row],[RETPEN-Act]]/DaybyDay[[#This Row],[RETPEN-Bud]],"")</f>
        <v>#DIV/0!</v>
      </c>
      <c r="AC977" s="37" t="e">
        <f>IF(DaybyDay[[#This Row],[_Space]],DaybyDay[[#This Row],[Ret-Bud-RU]]/DaybyDay[[#This Row],[Serv-Bud-RU]],"")</f>
        <v>#DIV/0!</v>
      </c>
      <c r="AD977" s="37" t="e">
        <f>IF(DaybyDay[[#This Row],[_Space]],DaybyDay[[#This Row],[Ret-LY-RU]]/DaybyDay[[#This Row],[Serv-LY-RU]],"")</f>
        <v>#DIV/0!</v>
      </c>
      <c r="AE977" s="30">
        <f>WEEKDAY(DaybyDay[[#This Row],[LY-Date]])</f>
        <v>5</v>
      </c>
      <c r="AF977" s="38">
        <f>$E$2+_xlfn.DAYS(DaybyDay[[#This Row],[Date]],minDate)</f>
        <v>43342</v>
      </c>
      <c r="AG977" s="39" cm="1">
        <f t="array" ref="AG977">IFERROR(INDEX(DaybyDay[],DaybyDay[[#This Row],[FORM_MATCH_HELPER]],8),"")</f>
        <v>24</v>
      </c>
      <c r="AH977" s="39" cm="1">
        <f t="array" ref="AH977">IFERROR(INDEX(DaybyDay[],DaybyDay[[#This Row],[FORM_MATCH_HELPER]],10),"")</f>
        <v>3954.95</v>
      </c>
      <c r="AI977" s="39" cm="1">
        <f t="array" ref="AI977">IFERROR(INDEX(DaybyDay[],DaybyDay[[#This Row],[FORM_MATCH_HELPER]],12),"")</f>
        <v>1023.05</v>
      </c>
      <c r="AJ977" s="32">
        <f>IFERROR(DaybyDay[[#This Row],[Serv-LY-RU]]+DaybyDay[[#This Row],[Ret-LY-RU]],"")</f>
        <v>0</v>
      </c>
      <c r="AK9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7" s="77"/>
      <c r="AM977" s="40" t="str">
        <f>IF(DaybyDay[[#This Row],[Admin Hours]]&gt;0,DaybyDay[[#This Row],[Admin Hours]]*$AM$2+$AM$3,"")</f>
        <v/>
      </c>
      <c r="AN977" s="40">
        <f>SUMIFS(DaybyDay[Est-Admin-Payroll],DaybyDay[Date],"&gt;="&amp;$C$5,DaybyDay[RowYear],"&gt;="&amp;$C$4,DaybyDay[Date],"&lt;="&amp;DaybyDay[[#This Row],[Date]])</f>
        <v>0</v>
      </c>
      <c r="AO977" s="41" t="str">
        <f>IF(AND(DaybyDay[[#This Row],[_Space]],ISNUMBER(DaybyDay[[#This Row],[Admin Hours]])),DaybyDay[[#This Row],[Est-Admin-Payroll]]/(DaybyDay[[#This Row],[Service-Actuals]]+DaybyDay[[#This Row],[Retail-Actuals]]),"")</f>
        <v/>
      </c>
      <c r="AP977" s="41" t="e">
        <f>DaybyDay[[#This Row],[Estimated-Payroll-Rollup]]/DaybyDay[[#This Row],[Simple-Forecast]]</f>
        <v>#DIV/0!</v>
      </c>
      <c r="AQ9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7" s="77"/>
      <c r="AS977" s="40" t="str">
        <f>IF(DaybyDay[[#This Row],[Retail Hours]]&gt;0,DaybyDay[[#This Row],[Retail Hours]]*$AS$2,"")</f>
        <v/>
      </c>
      <c r="AT977" s="40">
        <f>SUMIFS(DaybyDay[Est-Retail-Payroll],DaybyDay[Date],"&gt;="&amp;$C$5,DaybyDay[RowYear],"&gt;="&amp;$C$4,DaybyDay[Date],"&lt;="&amp;DaybyDay[[#This Row],[Date]])</f>
        <v>0</v>
      </c>
      <c r="AU977" s="82" t="str">
        <f>IF(AND(DaybyDay[[#This Row],[_Space]],ISNUMBER(DaybyDay[[#This Row],[Retail Hours]])),DaybyDay[[#This Row],[Est-Retail-Payroll]]/(DaybyDay[[#This Row],[Retail-Actuals]]),"")</f>
        <v/>
      </c>
      <c r="AV977" s="82" t="e">
        <f>DaybyDay[[#This Row],[Est-Retail-PayrollRU]]/DaybyDay[[#This Row],[Simple-Forecast-Retail]]</f>
        <v>#DIV/0!</v>
      </c>
      <c r="AW977" s="8"/>
      <c r="AX977" s="49"/>
      <c r="AY977" s="48"/>
      <c r="AZ977" s="47"/>
      <c r="BA977" s="47"/>
      <c r="BB977" s="47"/>
      <c r="BC977" s="47"/>
      <c r="BD977" s="47"/>
    </row>
    <row r="978" spans="3:56" hidden="1" x14ac:dyDescent="0.25">
      <c r="C978" s="26" t="str">
        <f>Tools!$C$1</f>
        <v>Example</v>
      </c>
      <c r="D978" s="27" t="s">
        <v>75</v>
      </c>
      <c r="E978" s="28">
        <v>2019</v>
      </c>
      <c r="F978" s="28">
        <f>MATCH(DaybyDay[[#This Row],[RowMonth]],Table3[SummaryMonth],0)</f>
        <v>8</v>
      </c>
      <c r="G978" s="29">
        <f>MATCH(DaybyDay[[#This Row],[LY-Date]],DaybyDay[Date],0)</f>
        <v>608</v>
      </c>
      <c r="H978" s="30">
        <f>WEEKDAY(DaybyDay[[#This Row],[Date]])</f>
        <v>6</v>
      </c>
      <c r="I978" s="31">
        <v>43707</v>
      </c>
      <c r="J978" s="74">
        <v>32</v>
      </c>
      <c r="K978" s="32">
        <f>SUMIFS(BudgetSeasonality[365 Seasonality],BudgetSeasonality[MonthAdjustment],DaybyDay[[#This Row],[Date]])*SUMIFS(Budgets[Service-Budget],Budgets[BudgetMonth],DaybyDay[[#This Row],[RowMonth]],Budgets[BudgetYear],DaybyDay[[#This Row],[RowYear]])</f>
        <v>5828.3666912070184</v>
      </c>
      <c r="L978" s="75">
        <v>5368.9299999999994</v>
      </c>
      <c r="M978" s="32">
        <f>INDEX(BudgetSeasonality[365 Seasonality],MATCH(DaybyDay[[#This Row],[Date]],BudgetSeasonality[MonthAdjustment],0))*SUMIFS(Budgets[Retail-Budget],Budgets[BudgetMonth],DaybyDay[[#This Row],[RowMonth]],Budgets[BudgetYear],DaybyDay[[#This Row],[RowYear]])</f>
        <v>2175.3011178218931</v>
      </c>
      <c r="N978" s="75">
        <v>1678.55</v>
      </c>
      <c r="O978" s="33">
        <f>SUMIFS(DaybyDay[Service-Budgets],DaybyDay[Date],"&gt;="&amp;$C$5,DaybyDay[RowYear],"&gt;="&amp;$C$4,DaybyDay[Date],"&lt;="&amp;DaybyDay[[#This Row],[Date]])</f>
        <v>0</v>
      </c>
      <c r="P978" s="33">
        <f>SUMIFS(DaybyDay[Retail-Budgets],DaybyDay[Date],"&gt;="&amp;$C$5,DaybyDay[RowYear],"&gt;="&amp;$C$4,DaybyDay[Date],"&lt;="&amp;DaybyDay[[#This Row],[Date]])</f>
        <v>0</v>
      </c>
      <c r="Q978" s="34">
        <f>SUMIFS(DaybyDay[Service-Actuals],DaybyDay[Date],"&gt;="&amp;$C$5,DaybyDay[RowYear],"&gt;="&amp;$C$4,DaybyDay[Date],"&lt;="&amp;DaybyDay[[#This Row],[Date]])</f>
        <v>0</v>
      </c>
      <c r="R978" s="34">
        <f>SUMIFS(DaybyDay[Retail-Actuals],DaybyDay[Date],"&gt;="&amp;$C$5,DaybyDay[RowYear],"&gt;="&amp;$C$4,DaybyDay[Date],"&lt;="&amp;DaybyDay[[#This Row],[Date]])</f>
        <v>0</v>
      </c>
      <c r="S978" s="35">
        <f>SUMIFS(DaybyDay[Service-LY],DaybyDay[Date],"&gt;="&amp;$C$5,DaybyDay[RowYear],"&gt;="&amp;$C$4,DaybyDay[Date],"&lt;="&amp;DaybyDay[[#This Row],[Date]])</f>
        <v>0</v>
      </c>
      <c r="T978" s="35">
        <f>SUMIFS(DaybyDay[Retail-LY],DaybyDay[Date],"&gt;="&amp;$C$5,DaybyDay[RowYear],"&gt;="&amp;$C$4,DaybyDay[Date],"&lt;="&amp;DaybyDay[[#This Row],[Date]])</f>
        <v>0</v>
      </c>
      <c r="U978" s="32">
        <f>DaybyDay[[#This Row],[Serv-Bud-RU]]+DaybyDay[[#This Row],[Ret-Bud-RU]]</f>
        <v>0</v>
      </c>
      <c r="V978" s="32">
        <f>DaybyDay[[#This Row],[Serv-Act-RU]]+DaybyDay[[#This Row],[Ret-Act-RU]]</f>
        <v>0</v>
      </c>
      <c r="W978" s="36">
        <f>IF(DaybyDay[[#This Row],[_Space]],IFERROR(
((DaybyDay[[#This Row],[Actual-Rollup]]-DaybyDay[[#This Row],[Budget-Rollup]])/DaybyDay[[#This Row],[Budget-Rollup]]),0),"")</f>
        <v>0</v>
      </c>
      <c r="X978" t="b">
        <f>NOT(AND(ISBLANK(DaybyDay[[#This Row],[Appts]]),ISBLANK(DaybyDay[[#This Row],[Service-Actuals]]),ISBLANK(DaybyDay[[#This Row],[Retail-Actuals]])))</f>
        <v>1</v>
      </c>
      <c r="Y978" s="36">
        <f>IF(DaybyDay[[#This Row],[_Space]],IFERROR(
((DaybyDay[[#This Row],[Actual-Rollup]]-DaybyDay[[#This Row],[LY-Rollup]])/DaybyDay[[#This Row],[LY-Rollup]]),0),"")</f>
        <v>0</v>
      </c>
      <c r="Z978"/>
      <c r="AA978" s="37" t="e">
        <f>IF(DaybyDay[[#This Row],[_Space]],DaybyDay[[#This Row],[Ret-Act-RU]]/DaybyDay[[#This Row],[Serv-Act-RU]],"")</f>
        <v>#DIV/0!</v>
      </c>
      <c r="AB978" s="50" t="e">
        <f>IF(DaybyDay[[#This Row],[_Space]],DaybyDay[[#This Row],[RETPEN-Act]]/DaybyDay[[#This Row],[RETPEN-Bud]],"")</f>
        <v>#DIV/0!</v>
      </c>
      <c r="AC978" s="37" t="e">
        <f>IF(DaybyDay[[#This Row],[_Space]],DaybyDay[[#This Row],[Ret-Bud-RU]]/DaybyDay[[#This Row],[Serv-Bud-RU]],"")</f>
        <v>#DIV/0!</v>
      </c>
      <c r="AD978" s="37" t="e">
        <f>IF(DaybyDay[[#This Row],[_Space]],DaybyDay[[#This Row],[Ret-LY-RU]]/DaybyDay[[#This Row],[Serv-LY-RU]],"")</f>
        <v>#DIV/0!</v>
      </c>
      <c r="AE978" s="30">
        <f>WEEKDAY(DaybyDay[[#This Row],[LY-Date]])</f>
        <v>6</v>
      </c>
      <c r="AF978" s="38">
        <f>$E$2+_xlfn.DAYS(DaybyDay[[#This Row],[Date]],minDate)</f>
        <v>43343</v>
      </c>
      <c r="AG978" s="39" cm="1">
        <f t="array" ref="AG978">IFERROR(INDEX(DaybyDay[],DaybyDay[[#This Row],[FORM_MATCH_HELPER]],8),"")</f>
        <v>21</v>
      </c>
      <c r="AH978" s="39" cm="1">
        <f t="array" ref="AH978">IFERROR(INDEX(DaybyDay[],DaybyDay[[#This Row],[FORM_MATCH_HELPER]],10),"")</f>
        <v>4669</v>
      </c>
      <c r="AI978" s="39" cm="1">
        <f t="array" ref="AI978">IFERROR(INDEX(DaybyDay[],DaybyDay[[#This Row],[FORM_MATCH_HELPER]],12),"")</f>
        <v>3792.3</v>
      </c>
      <c r="AJ978" s="32">
        <f>IFERROR(DaybyDay[[#This Row],[Serv-LY-RU]]+DaybyDay[[#This Row],[Ret-LY-RU]],"")</f>
        <v>0</v>
      </c>
      <c r="AK9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8" s="77"/>
      <c r="AM978" s="40" t="str">
        <f>IF(DaybyDay[[#This Row],[Admin Hours]]&gt;0,DaybyDay[[#This Row],[Admin Hours]]*$AM$2+$AM$3,"")</f>
        <v/>
      </c>
      <c r="AN978" s="40">
        <f>SUMIFS(DaybyDay[Est-Admin-Payroll],DaybyDay[Date],"&gt;="&amp;$C$5,DaybyDay[RowYear],"&gt;="&amp;$C$4,DaybyDay[Date],"&lt;="&amp;DaybyDay[[#This Row],[Date]])</f>
        <v>0</v>
      </c>
      <c r="AO978" s="41" t="str">
        <f>IF(AND(DaybyDay[[#This Row],[_Space]],ISNUMBER(DaybyDay[[#This Row],[Admin Hours]])),DaybyDay[[#This Row],[Est-Admin-Payroll]]/(DaybyDay[[#This Row],[Service-Actuals]]+DaybyDay[[#This Row],[Retail-Actuals]]),"")</f>
        <v/>
      </c>
      <c r="AP978" s="41" t="e">
        <f>DaybyDay[[#This Row],[Estimated-Payroll-Rollup]]/DaybyDay[[#This Row],[Simple-Forecast]]</f>
        <v>#DIV/0!</v>
      </c>
      <c r="AQ9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8" s="77"/>
      <c r="AS978" s="40" t="str">
        <f>IF(DaybyDay[[#This Row],[Retail Hours]]&gt;0,DaybyDay[[#This Row],[Retail Hours]]*$AS$2,"")</f>
        <v/>
      </c>
      <c r="AT978" s="40">
        <f>SUMIFS(DaybyDay[Est-Retail-Payroll],DaybyDay[Date],"&gt;="&amp;$C$5,DaybyDay[RowYear],"&gt;="&amp;$C$4,DaybyDay[Date],"&lt;="&amp;DaybyDay[[#This Row],[Date]])</f>
        <v>0</v>
      </c>
      <c r="AU978" s="82" t="str">
        <f>IF(AND(DaybyDay[[#This Row],[_Space]],ISNUMBER(DaybyDay[[#This Row],[Retail Hours]])),DaybyDay[[#This Row],[Est-Retail-Payroll]]/(DaybyDay[[#This Row],[Retail-Actuals]]),"")</f>
        <v/>
      </c>
      <c r="AV978" s="82" t="e">
        <f>DaybyDay[[#This Row],[Est-Retail-PayrollRU]]/DaybyDay[[#This Row],[Simple-Forecast-Retail]]</f>
        <v>#DIV/0!</v>
      </c>
      <c r="AW978" s="8"/>
      <c r="AX978" s="49"/>
      <c r="AY978" s="48"/>
      <c r="AZ978" s="47"/>
      <c r="BA978" s="47"/>
      <c r="BB978" s="47"/>
      <c r="BC978" s="47"/>
      <c r="BD978" s="47"/>
    </row>
    <row r="979" spans="3:56" hidden="1" x14ac:dyDescent="0.25">
      <c r="C979" s="26" t="str">
        <f>Tools!$C$1</f>
        <v>Example</v>
      </c>
      <c r="D979" s="27" t="s">
        <v>75</v>
      </c>
      <c r="E979" s="28">
        <v>2019</v>
      </c>
      <c r="F979" s="28">
        <f>MATCH(DaybyDay[[#This Row],[RowMonth]],Table3[SummaryMonth],0)</f>
        <v>8</v>
      </c>
      <c r="G979" s="29">
        <f>MATCH(DaybyDay[[#This Row],[LY-Date]],DaybyDay[Date],0)</f>
        <v>609</v>
      </c>
      <c r="H979" s="30">
        <f>WEEKDAY(DaybyDay[[#This Row],[Date]])</f>
        <v>7</v>
      </c>
      <c r="I979" s="31">
        <v>43708</v>
      </c>
      <c r="J979" s="74">
        <v>37</v>
      </c>
      <c r="K979" s="32">
        <f>SUMIFS(BudgetSeasonality[365 Seasonality],BudgetSeasonality[MonthAdjustment],DaybyDay[[#This Row],[Date]])*SUMIFS(Budgets[Service-Budget],Budgets[BudgetMonth],DaybyDay[[#This Row],[RowMonth]],Budgets[BudgetYear],DaybyDay[[#This Row],[RowYear]])</f>
        <v>8384.6996843849447</v>
      </c>
      <c r="L979" s="75">
        <v>8644.4</v>
      </c>
      <c r="M979" s="32">
        <f>INDEX(BudgetSeasonality[365 Seasonality],MATCH(DaybyDay[[#This Row],[Date]],BudgetSeasonality[MonthAdjustment],0))*SUMIFS(Budgets[Retail-Budget],Budgets[BudgetMonth],DaybyDay[[#This Row],[RowMonth]],Budgets[BudgetYear],DaybyDay[[#This Row],[RowYear]])</f>
        <v>3129.3924288532039</v>
      </c>
      <c r="N979" s="75">
        <v>1405</v>
      </c>
      <c r="O979" s="33">
        <f>SUMIFS(DaybyDay[Service-Budgets],DaybyDay[Date],"&gt;="&amp;$C$5,DaybyDay[RowYear],"&gt;="&amp;$C$4,DaybyDay[Date],"&lt;="&amp;DaybyDay[[#This Row],[Date]])</f>
        <v>0</v>
      </c>
      <c r="P979" s="33">
        <f>SUMIFS(DaybyDay[Retail-Budgets],DaybyDay[Date],"&gt;="&amp;$C$5,DaybyDay[RowYear],"&gt;="&amp;$C$4,DaybyDay[Date],"&lt;="&amp;DaybyDay[[#This Row],[Date]])</f>
        <v>0</v>
      </c>
      <c r="Q979" s="34">
        <f>SUMIFS(DaybyDay[Service-Actuals],DaybyDay[Date],"&gt;="&amp;$C$5,DaybyDay[RowYear],"&gt;="&amp;$C$4,DaybyDay[Date],"&lt;="&amp;DaybyDay[[#This Row],[Date]])</f>
        <v>0</v>
      </c>
      <c r="R979" s="34">
        <f>SUMIFS(DaybyDay[Retail-Actuals],DaybyDay[Date],"&gt;="&amp;$C$5,DaybyDay[RowYear],"&gt;="&amp;$C$4,DaybyDay[Date],"&lt;="&amp;DaybyDay[[#This Row],[Date]])</f>
        <v>0</v>
      </c>
      <c r="S979" s="35">
        <f>SUMIFS(DaybyDay[Service-LY],DaybyDay[Date],"&gt;="&amp;$C$5,DaybyDay[RowYear],"&gt;="&amp;$C$4,DaybyDay[Date],"&lt;="&amp;DaybyDay[[#This Row],[Date]])</f>
        <v>0</v>
      </c>
      <c r="T979" s="35">
        <f>SUMIFS(DaybyDay[Retail-LY],DaybyDay[Date],"&gt;="&amp;$C$5,DaybyDay[RowYear],"&gt;="&amp;$C$4,DaybyDay[Date],"&lt;="&amp;DaybyDay[[#This Row],[Date]])</f>
        <v>0</v>
      </c>
      <c r="U979" s="32">
        <f>DaybyDay[[#This Row],[Serv-Bud-RU]]+DaybyDay[[#This Row],[Ret-Bud-RU]]</f>
        <v>0</v>
      </c>
      <c r="V979" s="32">
        <f>DaybyDay[[#This Row],[Serv-Act-RU]]+DaybyDay[[#This Row],[Ret-Act-RU]]</f>
        <v>0</v>
      </c>
      <c r="W979" s="36">
        <f>IF(DaybyDay[[#This Row],[_Space]],IFERROR(
((DaybyDay[[#This Row],[Actual-Rollup]]-DaybyDay[[#This Row],[Budget-Rollup]])/DaybyDay[[#This Row],[Budget-Rollup]]),0),"")</f>
        <v>0</v>
      </c>
      <c r="X979" t="b">
        <f>NOT(AND(ISBLANK(DaybyDay[[#This Row],[Appts]]),ISBLANK(DaybyDay[[#This Row],[Service-Actuals]]),ISBLANK(DaybyDay[[#This Row],[Retail-Actuals]])))</f>
        <v>1</v>
      </c>
      <c r="Y979" s="36">
        <f>IF(DaybyDay[[#This Row],[_Space]],IFERROR(
((DaybyDay[[#This Row],[Actual-Rollup]]-DaybyDay[[#This Row],[LY-Rollup]])/DaybyDay[[#This Row],[LY-Rollup]]),0),"")</f>
        <v>0</v>
      </c>
      <c r="Z979"/>
      <c r="AA979" s="37" t="e">
        <f>IF(DaybyDay[[#This Row],[_Space]],DaybyDay[[#This Row],[Ret-Act-RU]]/DaybyDay[[#This Row],[Serv-Act-RU]],"")</f>
        <v>#DIV/0!</v>
      </c>
      <c r="AB979" s="50" t="e">
        <f>IF(DaybyDay[[#This Row],[_Space]],DaybyDay[[#This Row],[RETPEN-Act]]/DaybyDay[[#This Row],[RETPEN-Bud]],"")</f>
        <v>#DIV/0!</v>
      </c>
      <c r="AC979" s="37" t="e">
        <f>IF(DaybyDay[[#This Row],[_Space]],DaybyDay[[#This Row],[Ret-Bud-RU]]/DaybyDay[[#This Row],[Serv-Bud-RU]],"")</f>
        <v>#DIV/0!</v>
      </c>
      <c r="AD979" s="37" t="e">
        <f>IF(DaybyDay[[#This Row],[_Space]],DaybyDay[[#This Row],[Ret-LY-RU]]/DaybyDay[[#This Row],[Serv-LY-RU]],"")</f>
        <v>#DIV/0!</v>
      </c>
      <c r="AE979" s="30">
        <f>WEEKDAY(DaybyDay[[#This Row],[LY-Date]])</f>
        <v>7</v>
      </c>
      <c r="AF979" s="38">
        <f>$E$2+_xlfn.DAYS(DaybyDay[[#This Row],[Date]],minDate)</f>
        <v>43344</v>
      </c>
      <c r="AG979" s="39" cm="1">
        <f t="array" ref="AG979">IFERROR(INDEX(DaybyDay[],DaybyDay[[#This Row],[FORM_MATCH_HELPER]],8),"")</f>
        <v>37</v>
      </c>
      <c r="AH979" s="39" cm="1">
        <f t="array" ref="AH979">IFERROR(INDEX(DaybyDay[],DaybyDay[[#This Row],[FORM_MATCH_HELPER]],10),"")</f>
        <v>7346.5</v>
      </c>
      <c r="AI979" s="39" cm="1">
        <f t="array" ref="AI979">IFERROR(INDEX(DaybyDay[],DaybyDay[[#This Row],[FORM_MATCH_HELPER]],12),"")</f>
        <v>113</v>
      </c>
      <c r="AJ979" s="32">
        <f>IFERROR(DaybyDay[[#This Row],[Serv-LY-RU]]+DaybyDay[[#This Row],[Ret-LY-RU]],"")</f>
        <v>0</v>
      </c>
      <c r="AK9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79" s="77"/>
      <c r="AM979" s="40" t="str">
        <f>IF(DaybyDay[[#This Row],[Admin Hours]]&gt;0,DaybyDay[[#This Row],[Admin Hours]]*$AM$2+$AM$3,"")</f>
        <v/>
      </c>
      <c r="AN979" s="40">
        <f>SUMIFS(DaybyDay[Est-Admin-Payroll],DaybyDay[Date],"&gt;="&amp;$C$5,DaybyDay[RowYear],"&gt;="&amp;$C$4,DaybyDay[Date],"&lt;="&amp;DaybyDay[[#This Row],[Date]])</f>
        <v>0</v>
      </c>
      <c r="AO979" s="41" t="str">
        <f>IF(AND(DaybyDay[[#This Row],[_Space]],ISNUMBER(DaybyDay[[#This Row],[Admin Hours]])),DaybyDay[[#This Row],[Est-Admin-Payroll]]/(DaybyDay[[#This Row],[Service-Actuals]]+DaybyDay[[#This Row],[Retail-Actuals]]),"")</f>
        <v/>
      </c>
      <c r="AP979" s="41" t="e">
        <f>DaybyDay[[#This Row],[Estimated-Payroll-Rollup]]/DaybyDay[[#This Row],[Simple-Forecast]]</f>
        <v>#DIV/0!</v>
      </c>
      <c r="AQ9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79" s="77"/>
      <c r="AS979" s="40" t="str">
        <f>IF(DaybyDay[[#This Row],[Retail Hours]]&gt;0,DaybyDay[[#This Row],[Retail Hours]]*$AS$2,"")</f>
        <v/>
      </c>
      <c r="AT979" s="40">
        <f>SUMIFS(DaybyDay[Est-Retail-Payroll],DaybyDay[Date],"&gt;="&amp;$C$5,DaybyDay[RowYear],"&gt;="&amp;$C$4,DaybyDay[Date],"&lt;="&amp;DaybyDay[[#This Row],[Date]])</f>
        <v>0</v>
      </c>
      <c r="AU979" s="82" t="str">
        <f>IF(AND(DaybyDay[[#This Row],[_Space]],ISNUMBER(DaybyDay[[#This Row],[Retail Hours]])),DaybyDay[[#This Row],[Est-Retail-Payroll]]/(DaybyDay[[#This Row],[Retail-Actuals]]),"")</f>
        <v/>
      </c>
      <c r="AV979" s="82" t="e">
        <f>DaybyDay[[#This Row],[Est-Retail-PayrollRU]]/DaybyDay[[#This Row],[Simple-Forecast-Retail]]</f>
        <v>#DIV/0!</v>
      </c>
      <c r="AW979" s="8"/>
      <c r="AX979" s="49"/>
      <c r="AY979" s="48"/>
      <c r="AZ979" s="47"/>
      <c r="BA979" s="47"/>
      <c r="BB979" s="47"/>
      <c r="BC979" s="47"/>
      <c r="BD979" s="47"/>
    </row>
    <row r="980" spans="3:56" hidden="1" x14ac:dyDescent="0.25">
      <c r="C980" s="26" t="str">
        <f>Tools!$C$1</f>
        <v>Example</v>
      </c>
      <c r="D980" s="27" t="s">
        <v>76</v>
      </c>
      <c r="E980" s="28">
        <v>2019</v>
      </c>
      <c r="F980" s="28">
        <f>MATCH(DaybyDay[[#This Row],[RowMonth]],Table3[SummaryMonth],0)</f>
        <v>9</v>
      </c>
      <c r="G980" s="29">
        <f>MATCH(DaybyDay[[#This Row],[LY-Date]],DaybyDay[Date],0)</f>
        <v>610</v>
      </c>
      <c r="H980" s="30">
        <f>WEEKDAY(DaybyDay[[#This Row],[Date]])</f>
        <v>1</v>
      </c>
      <c r="I980" s="31">
        <v>43709</v>
      </c>
      <c r="J980" s="74">
        <v>25</v>
      </c>
      <c r="K980" s="32">
        <f>SUMIFS(BudgetSeasonality[365 Seasonality],BudgetSeasonality[MonthAdjustment],DaybyDay[[#This Row],[Date]])*SUMIFS(Budgets[Service-Budget],Budgets[BudgetMonth],DaybyDay[[#This Row],[RowMonth]],Budgets[BudgetYear],DaybyDay[[#This Row],[RowYear]])</f>
        <v>7076.5646240861734</v>
      </c>
      <c r="L980" s="75">
        <v>6078.2</v>
      </c>
      <c r="M980" s="32">
        <f>INDEX(BudgetSeasonality[365 Seasonality],MATCH(DaybyDay[[#This Row],[Date]],BudgetSeasonality[MonthAdjustment],0))*SUMIFS(Budgets[Retail-Budget],Budgets[BudgetMonth],DaybyDay[[#This Row],[RowMonth]],Budgets[BudgetYear],DaybyDay[[#This Row],[RowYear]])</f>
        <v>1681.5607645163661</v>
      </c>
      <c r="N980" s="75">
        <v>292</v>
      </c>
      <c r="O980" s="33">
        <f>SUMIFS(DaybyDay[Service-Budgets],DaybyDay[Date],"&gt;="&amp;$C$5,DaybyDay[RowYear],"&gt;="&amp;$C$4,DaybyDay[Date],"&lt;="&amp;DaybyDay[[#This Row],[Date]])</f>
        <v>0</v>
      </c>
      <c r="P980" s="33">
        <f>SUMIFS(DaybyDay[Retail-Budgets],DaybyDay[Date],"&gt;="&amp;$C$5,DaybyDay[RowYear],"&gt;="&amp;$C$4,DaybyDay[Date],"&lt;="&amp;DaybyDay[[#This Row],[Date]])</f>
        <v>0</v>
      </c>
      <c r="Q980" s="34">
        <f>SUMIFS(DaybyDay[Service-Actuals],DaybyDay[Date],"&gt;="&amp;$C$5,DaybyDay[RowYear],"&gt;="&amp;$C$4,DaybyDay[Date],"&lt;="&amp;DaybyDay[[#This Row],[Date]])</f>
        <v>0</v>
      </c>
      <c r="R980" s="34">
        <f>SUMIFS(DaybyDay[Retail-Actuals],DaybyDay[Date],"&gt;="&amp;$C$5,DaybyDay[RowYear],"&gt;="&amp;$C$4,DaybyDay[Date],"&lt;="&amp;DaybyDay[[#This Row],[Date]])</f>
        <v>0</v>
      </c>
      <c r="S980" s="35">
        <f>SUMIFS(DaybyDay[Service-LY],DaybyDay[Date],"&gt;="&amp;$C$5,DaybyDay[RowYear],"&gt;="&amp;$C$4,DaybyDay[Date],"&lt;="&amp;DaybyDay[[#This Row],[Date]])</f>
        <v>0</v>
      </c>
      <c r="T980" s="35">
        <f>SUMIFS(DaybyDay[Retail-LY],DaybyDay[Date],"&gt;="&amp;$C$5,DaybyDay[RowYear],"&gt;="&amp;$C$4,DaybyDay[Date],"&lt;="&amp;DaybyDay[[#This Row],[Date]])</f>
        <v>0</v>
      </c>
      <c r="U980" s="32">
        <f>DaybyDay[[#This Row],[Serv-Bud-RU]]+DaybyDay[[#This Row],[Ret-Bud-RU]]</f>
        <v>0</v>
      </c>
      <c r="V980" s="32">
        <f>DaybyDay[[#This Row],[Serv-Act-RU]]+DaybyDay[[#This Row],[Ret-Act-RU]]</f>
        <v>0</v>
      </c>
      <c r="W980" s="36">
        <f>IF(DaybyDay[[#This Row],[_Space]],IFERROR(
((DaybyDay[[#This Row],[Actual-Rollup]]-DaybyDay[[#This Row],[Budget-Rollup]])/DaybyDay[[#This Row],[Budget-Rollup]]),0),"")</f>
        <v>0</v>
      </c>
      <c r="X980" t="b">
        <f>NOT(AND(ISBLANK(DaybyDay[[#This Row],[Appts]]),ISBLANK(DaybyDay[[#This Row],[Service-Actuals]]),ISBLANK(DaybyDay[[#This Row],[Retail-Actuals]])))</f>
        <v>1</v>
      </c>
      <c r="Y980" s="36">
        <f>IF(DaybyDay[[#This Row],[_Space]],IFERROR(
((DaybyDay[[#This Row],[Actual-Rollup]]-DaybyDay[[#This Row],[LY-Rollup]])/DaybyDay[[#This Row],[LY-Rollup]]),0),"")</f>
        <v>0</v>
      </c>
      <c r="Z980"/>
      <c r="AA980" s="37" t="e">
        <f>IF(DaybyDay[[#This Row],[_Space]],DaybyDay[[#This Row],[Ret-Act-RU]]/DaybyDay[[#This Row],[Serv-Act-RU]],"")</f>
        <v>#DIV/0!</v>
      </c>
      <c r="AB980" s="50" t="e">
        <f>IF(DaybyDay[[#This Row],[_Space]],DaybyDay[[#This Row],[RETPEN-Act]]/DaybyDay[[#This Row],[RETPEN-Bud]],"")</f>
        <v>#DIV/0!</v>
      </c>
      <c r="AC980" s="37" t="e">
        <f>IF(DaybyDay[[#This Row],[_Space]],DaybyDay[[#This Row],[Ret-Bud-RU]]/DaybyDay[[#This Row],[Serv-Bud-RU]],"")</f>
        <v>#DIV/0!</v>
      </c>
      <c r="AD980" s="37" t="e">
        <f>IF(DaybyDay[[#This Row],[_Space]],DaybyDay[[#This Row],[Ret-LY-RU]]/DaybyDay[[#This Row],[Serv-LY-RU]],"")</f>
        <v>#DIV/0!</v>
      </c>
      <c r="AE980" s="30">
        <f>WEEKDAY(DaybyDay[[#This Row],[LY-Date]])</f>
        <v>1</v>
      </c>
      <c r="AF980" s="38">
        <f>$E$2+_xlfn.DAYS(DaybyDay[[#This Row],[Date]],minDate)</f>
        <v>43345</v>
      </c>
      <c r="AG980" s="39" cm="1">
        <f t="array" ref="AG980">IFERROR(INDEX(DaybyDay[],DaybyDay[[#This Row],[FORM_MATCH_HELPER]],8),"")</f>
        <v>17</v>
      </c>
      <c r="AH980" s="39" cm="1">
        <f t="array" ref="AH980">IFERROR(INDEX(DaybyDay[],DaybyDay[[#This Row],[FORM_MATCH_HELPER]],10),"")</f>
        <v>4333</v>
      </c>
      <c r="AI980" s="39" cm="1">
        <f t="array" ref="AI980">IFERROR(INDEX(DaybyDay[],DaybyDay[[#This Row],[FORM_MATCH_HELPER]],12),"")</f>
        <v>424</v>
      </c>
      <c r="AJ980" s="32">
        <f>IFERROR(DaybyDay[[#This Row],[Serv-LY-RU]]+DaybyDay[[#This Row],[Ret-LY-RU]],"")</f>
        <v>0</v>
      </c>
      <c r="AK9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0" s="77"/>
      <c r="AM980" s="40" t="str">
        <f>IF(DaybyDay[[#This Row],[Admin Hours]]&gt;0,DaybyDay[[#This Row],[Admin Hours]]*$AM$2+$AM$3,"")</f>
        <v/>
      </c>
      <c r="AN980" s="40">
        <f>SUMIFS(DaybyDay[Est-Admin-Payroll],DaybyDay[Date],"&gt;="&amp;$C$5,DaybyDay[RowYear],"&gt;="&amp;$C$4,DaybyDay[Date],"&lt;="&amp;DaybyDay[[#This Row],[Date]])</f>
        <v>0</v>
      </c>
      <c r="AO980" s="41" t="str">
        <f>IF(AND(DaybyDay[[#This Row],[_Space]],ISNUMBER(DaybyDay[[#This Row],[Admin Hours]])),DaybyDay[[#This Row],[Est-Admin-Payroll]]/(DaybyDay[[#This Row],[Service-Actuals]]+DaybyDay[[#This Row],[Retail-Actuals]]),"")</f>
        <v/>
      </c>
      <c r="AP980" s="41" t="e">
        <f>DaybyDay[[#This Row],[Estimated-Payroll-Rollup]]/DaybyDay[[#This Row],[Simple-Forecast]]</f>
        <v>#DIV/0!</v>
      </c>
      <c r="AQ9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0" s="77"/>
      <c r="AS980" s="40" t="str">
        <f>IF(DaybyDay[[#This Row],[Retail Hours]]&gt;0,DaybyDay[[#This Row],[Retail Hours]]*$AS$2,"")</f>
        <v/>
      </c>
      <c r="AT980" s="40">
        <f>SUMIFS(DaybyDay[Est-Retail-Payroll],DaybyDay[Date],"&gt;="&amp;$C$5,DaybyDay[RowYear],"&gt;="&amp;$C$4,DaybyDay[Date],"&lt;="&amp;DaybyDay[[#This Row],[Date]])</f>
        <v>0</v>
      </c>
      <c r="AU980" s="82" t="str">
        <f>IF(AND(DaybyDay[[#This Row],[_Space]],ISNUMBER(DaybyDay[[#This Row],[Retail Hours]])),DaybyDay[[#This Row],[Est-Retail-Payroll]]/(DaybyDay[[#This Row],[Retail-Actuals]]),"")</f>
        <v/>
      </c>
      <c r="AV980" s="82" t="e">
        <f>DaybyDay[[#This Row],[Est-Retail-PayrollRU]]/DaybyDay[[#This Row],[Simple-Forecast-Retail]]</f>
        <v>#DIV/0!</v>
      </c>
      <c r="AW980" s="8"/>
      <c r="AX980" s="49"/>
      <c r="AY980" s="48"/>
      <c r="AZ980" s="47"/>
      <c r="BA980" s="47"/>
      <c r="BB980" s="47"/>
      <c r="BC980" s="47"/>
      <c r="BD980" s="47"/>
    </row>
    <row r="981" spans="3:56" hidden="1" x14ac:dyDescent="0.25">
      <c r="C981" s="26" t="str">
        <f>Tools!$C$1</f>
        <v>Example</v>
      </c>
      <c r="D981" s="27" t="s">
        <v>76</v>
      </c>
      <c r="E981" s="28">
        <v>2019</v>
      </c>
      <c r="F981" s="28">
        <f>MATCH(DaybyDay[[#This Row],[RowMonth]],Table3[SummaryMonth],0)</f>
        <v>9</v>
      </c>
      <c r="G981" s="29">
        <f>MATCH(DaybyDay[[#This Row],[LY-Date]],DaybyDay[Date],0)</f>
        <v>611</v>
      </c>
      <c r="H981" s="30">
        <f>WEEKDAY(DaybyDay[[#This Row],[Date]])</f>
        <v>2</v>
      </c>
      <c r="I981" s="31">
        <v>43710</v>
      </c>
      <c r="J981" s="74">
        <v>18</v>
      </c>
      <c r="K981" s="32">
        <f>SUMIFS(BudgetSeasonality[365 Seasonality],BudgetSeasonality[MonthAdjustment],DaybyDay[[#This Row],[Date]])*SUMIFS(Budgets[Service-Budget],Budgets[BudgetMonth],DaybyDay[[#This Row],[RowMonth]],Budgets[BudgetYear],DaybyDay[[#This Row],[RowYear]])</f>
        <v>4088.9147111429061</v>
      </c>
      <c r="L981" s="75">
        <v>4415</v>
      </c>
      <c r="M981" s="32">
        <f>INDEX(BudgetSeasonality[365 Seasonality],MATCH(DaybyDay[[#This Row],[Date]],BudgetSeasonality[MonthAdjustment],0))*SUMIFS(Budgets[Retail-Budget],Budgets[BudgetMonth],DaybyDay[[#This Row],[RowMonth]],Budgets[BudgetYear],DaybyDay[[#This Row],[RowYear]])</f>
        <v>971.62379105660716</v>
      </c>
      <c r="N981" s="75">
        <v>851</v>
      </c>
      <c r="O981" s="33">
        <f>SUMIFS(DaybyDay[Service-Budgets],DaybyDay[Date],"&gt;="&amp;$C$5,DaybyDay[RowYear],"&gt;="&amp;$C$4,DaybyDay[Date],"&lt;="&amp;DaybyDay[[#This Row],[Date]])</f>
        <v>0</v>
      </c>
      <c r="P981" s="33">
        <f>SUMIFS(DaybyDay[Retail-Budgets],DaybyDay[Date],"&gt;="&amp;$C$5,DaybyDay[RowYear],"&gt;="&amp;$C$4,DaybyDay[Date],"&lt;="&amp;DaybyDay[[#This Row],[Date]])</f>
        <v>0</v>
      </c>
      <c r="Q981" s="34">
        <f>SUMIFS(DaybyDay[Service-Actuals],DaybyDay[Date],"&gt;="&amp;$C$5,DaybyDay[RowYear],"&gt;="&amp;$C$4,DaybyDay[Date],"&lt;="&amp;DaybyDay[[#This Row],[Date]])</f>
        <v>0</v>
      </c>
      <c r="R981" s="34">
        <f>SUMIFS(DaybyDay[Retail-Actuals],DaybyDay[Date],"&gt;="&amp;$C$5,DaybyDay[RowYear],"&gt;="&amp;$C$4,DaybyDay[Date],"&lt;="&amp;DaybyDay[[#This Row],[Date]])</f>
        <v>0</v>
      </c>
      <c r="S981" s="35">
        <f>SUMIFS(DaybyDay[Service-LY],DaybyDay[Date],"&gt;="&amp;$C$5,DaybyDay[RowYear],"&gt;="&amp;$C$4,DaybyDay[Date],"&lt;="&amp;DaybyDay[[#This Row],[Date]])</f>
        <v>0</v>
      </c>
      <c r="T981" s="35">
        <f>SUMIFS(DaybyDay[Retail-LY],DaybyDay[Date],"&gt;="&amp;$C$5,DaybyDay[RowYear],"&gt;="&amp;$C$4,DaybyDay[Date],"&lt;="&amp;DaybyDay[[#This Row],[Date]])</f>
        <v>0</v>
      </c>
      <c r="U981" s="32">
        <f>DaybyDay[[#This Row],[Serv-Bud-RU]]+DaybyDay[[#This Row],[Ret-Bud-RU]]</f>
        <v>0</v>
      </c>
      <c r="V981" s="32">
        <f>DaybyDay[[#This Row],[Serv-Act-RU]]+DaybyDay[[#This Row],[Ret-Act-RU]]</f>
        <v>0</v>
      </c>
      <c r="W981" s="36">
        <f>IF(DaybyDay[[#This Row],[_Space]],IFERROR(
((DaybyDay[[#This Row],[Actual-Rollup]]-DaybyDay[[#This Row],[Budget-Rollup]])/DaybyDay[[#This Row],[Budget-Rollup]]),0),"")</f>
        <v>0</v>
      </c>
      <c r="X981" t="b">
        <f>NOT(AND(ISBLANK(DaybyDay[[#This Row],[Appts]]),ISBLANK(DaybyDay[[#This Row],[Service-Actuals]]),ISBLANK(DaybyDay[[#This Row],[Retail-Actuals]])))</f>
        <v>1</v>
      </c>
      <c r="Y981" s="36">
        <f>IF(DaybyDay[[#This Row],[_Space]],IFERROR(
((DaybyDay[[#This Row],[Actual-Rollup]]-DaybyDay[[#This Row],[LY-Rollup]])/DaybyDay[[#This Row],[LY-Rollup]]),0),"")</f>
        <v>0</v>
      </c>
      <c r="Z981"/>
      <c r="AA981" s="37" t="e">
        <f>IF(DaybyDay[[#This Row],[_Space]],DaybyDay[[#This Row],[Ret-Act-RU]]/DaybyDay[[#This Row],[Serv-Act-RU]],"")</f>
        <v>#DIV/0!</v>
      </c>
      <c r="AB981" s="50" t="e">
        <f>IF(DaybyDay[[#This Row],[_Space]],DaybyDay[[#This Row],[RETPEN-Act]]/DaybyDay[[#This Row],[RETPEN-Bud]],"")</f>
        <v>#DIV/0!</v>
      </c>
      <c r="AC981" s="37" t="e">
        <f>IF(DaybyDay[[#This Row],[_Space]],DaybyDay[[#This Row],[Ret-Bud-RU]]/DaybyDay[[#This Row],[Serv-Bud-RU]],"")</f>
        <v>#DIV/0!</v>
      </c>
      <c r="AD981" s="37" t="e">
        <f>IF(DaybyDay[[#This Row],[_Space]],DaybyDay[[#This Row],[Ret-LY-RU]]/DaybyDay[[#This Row],[Serv-LY-RU]],"")</f>
        <v>#DIV/0!</v>
      </c>
      <c r="AE981" s="30">
        <f>WEEKDAY(DaybyDay[[#This Row],[LY-Date]])</f>
        <v>2</v>
      </c>
      <c r="AF981" s="38">
        <f>$E$2+_xlfn.DAYS(DaybyDay[[#This Row],[Date]],minDate)</f>
        <v>43346</v>
      </c>
      <c r="AG981" s="39" cm="1">
        <f t="array" ref="AG981">IFERROR(INDEX(DaybyDay[],DaybyDay[[#This Row],[FORM_MATCH_HELPER]],8),"")</f>
        <v>16</v>
      </c>
      <c r="AH981" s="39" cm="1">
        <f t="array" ref="AH981">IFERROR(INDEX(DaybyDay[],DaybyDay[[#This Row],[FORM_MATCH_HELPER]],10),"")</f>
        <v>6122</v>
      </c>
      <c r="AI981" s="39" cm="1">
        <f t="array" ref="AI981">IFERROR(INDEX(DaybyDay[],DaybyDay[[#This Row],[FORM_MATCH_HELPER]],12),"")</f>
        <v>5996.4</v>
      </c>
      <c r="AJ981" s="32">
        <f>IFERROR(DaybyDay[[#This Row],[Serv-LY-RU]]+DaybyDay[[#This Row],[Ret-LY-RU]],"")</f>
        <v>0</v>
      </c>
      <c r="AK9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1" s="77"/>
      <c r="AM981" s="40" t="str">
        <f>IF(DaybyDay[[#This Row],[Admin Hours]]&gt;0,DaybyDay[[#This Row],[Admin Hours]]*$AM$2+$AM$3,"")</f>
        <v/>
      </c>
      <c r="AN981" s="40">
        <f>SUMIFS(DaybyDay[Est-Admin-Payroll],DaybyDay[Date],"&gt;="&amp;$C$5,DaybyDay[RowYear],"&gt;="&amp;$C$4,DaybyDay[Date],"&lt;="&amp;DaybyDay[[#This Row],[Date]])</f>
        <v>0</v>
      </c>
      <c r="AO981" s="41" t="str">
        <f>IF(AND(DaybyDay[[#This Row],[_Space]],ISNUMBER(DaybyDay[[#This Row],[Admin Hours]])),DaybyDay[[#This Row],[Est-Admin-Payroll]]/(DaybyDay[[#This Row],[Service-Actuals]]+DaybyDay[[#This Row],[Retail-Actuals]]),"")</f>
        <v/>
      </c>
      <c r="AP981" s="41" t="e">
        <f>DaybyDay[[#This Row],[Estimated-Payroll-Rollup]]/DaybyDay[[#This Row],[Simple-Forecast]]</f>
        <v>#DIV/0!</v>
      </c>
      <c r="AQ9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1" s="77"/>
      <c r="AS981" s="40" t="str">
        <f>IF(DaybyDay[[#This Row],[Retail Hours]]&gt;0,DaybyDay[[#This Row],[Retail Hours]]*$AS$2,"")</f>
        <v/>
      </c>
      <c r="AT981" s="40">
        <f>SUMIFS(DaybyDay[Est-Retail-Payroll],DaybyDay[Date],"&gt;="&amp;$C$5,DaybyDay[RowYear],"&gt;="&amp;$C$4,DaybyDay[Date],"&lt;="&amp;DaybyDay[[#This Row],[Date]])</f>
        <v>0</v>
      </c>
      <c r="AU981" s="82" t="str">
        <f>IF(AND(DaybyDay[[#This Row],[_Space]],ISNUMBER(DaybyDay[[#This Row],[Retail Hours]])),DaybyDay[[#This Row],[Est-Retail-Payroll]]/(DaybyDay[[#This Row],[Retail-Actuals]]),"")</f>
        <v/>
      </c>
      <c r="AV981" s="82" t="e">
        <f>DaybyDay[[#This Row],[Est-Retail-PayrollRU]]/DaybyDay[[#This Row],[Simple-Forecast-Retail]]</f>
        <v>#DIV/0!</v>
      </c>
      <c r="AW981" s="8"/>
      <c r="AX981" s="15"/>
      <c r="AY981" s="8"/>
    </row>
    <row r="982" spans="3:56" hidden="1" x14ac:dyDescent="0.25">
      <c r="C982" s="26" t="str">
        <f>Tools!$C$1</f>
        <v>Example</v>
      </c>
      <c r="D982" s="27" t="s">
        <v>76</v>
      </c>
      <c r="E982" s="28">
        <v>2019</v>
      </c>
      <c r="F982" s="28">
        <f>MATCH(DaybyDay[[#This Row],[RowMonth]],Table3[SummaryMonth],0)</f>
        <v>9</v>
      </c>
      <c r="G982" s="29">
        <f>MATCH(DaybyDay[[#This Row],[LY-Date]],DaybyDay[Date],0)</f>
        <v>612</v>
      </c>
      <c r="H982" s="30">
        <f>WEEKDAY(DaybyDay[[#This Row],[Date]])</f>
        <v>3</v>
      </c>
      <c r="I982" s="31">
        <v>43711</v>
      </c>
      <c r="J982" s="74">
        <v>10</v>
      </c>
      <c r="K982" s="32">
        <f>SUMIFS(BudgetSeasonality[365 Seasonality],BudgetSeasonality[MonthAdjustment],DaybyDay[[#This Row],[Date]])*SUMIFS(Budgets[Service-Budget],Budgets[BudgetMonth],DaybyDay[[#This Row],[RowMonth]],Budgets[BudgetYear],DaybyDay[[#This Row],[RowYear]])</f>
        <v>4238.2455392822058</v>
      </c>
      <c r="L982" s="75">
        <v>2413.1999999999998</v>
      </c>
      <c r="M982" s="32">
        <f>INDEX(BudgetSeasonality[365 Seasonality],MATCH(DaybyDay[[#This Row],[Date]],BudgetSeasonality[MonthAdjustment],0))*SUMIFS(Budgets[Retail-Budget],Budgets[BudgetMonth],DaybyDay[[#This Row],[RowMonth]],Budgets[BudgetYear],DaybyDay[[#This Row],[RowYear]])</f>
        <v>1007.1083622957498</v>
      </c>
      <c r="N982" s="75">
        <v>2565.25</v>
      </c>
      <c r="O982" s="33">
        <f>SUMIFS(DaybyDay[Service-Budgets],DaybyDay[Date],"&gt;="&amp;$C$5,DaybyDay[RowYear],"&gt;="&amp;$C$4,DaybyDay[Date],"&lt;="&amp;DaybyDay[[#This Row],[Date]])</f>
        <v>0</v>
      </c>
      <c r="P982" s="33">
        <f>SUMIFS(DaybyDay[Retail-Budgets],DaybyDay[Date],"&gt;="&amp;$C$5,DaybyDay[RowYear],"&gt;="&amp;$C$4,DaybyDay[Date],"&lt;="&amp;DaybyDay[[#This Row],[Date]])</f>
        <v>0</v>
      </c>
      <c r="Q982" s="34">
        <f>SUMIFS(DaybyDay[Service-Actuals],DaybyDay[Date],"&gt;="&amp;$C$5,DaybyDay[RowYear],"&gt;="&amp;$C$4,DaybyDay[Date],"&lt;="&amp;DaybyDay[[#This Row],[Date]])</f>
        <v>0</v>
      </c>
      <c r="R982" s="34">
        <f>SUMIFS(DaybyDay[Retail-Actuals],DaybyDay[Date],"&gt;="&amp;$C$5,DaybyDay[RowYear],"&gt;="&amp;$C$4,DaybyDay[Date],"&lt;="&amp;DaybyDay[[#This Row],[Date]])</f>
        <v>0</v>
      </c>
      <c r="S982" s="35">
        <f>SUMIFS(DaybyDay[Service-LY],DaybyDay[Date],"&gt;="&amp;$C$5,DaybyDay[RowYear],"&gt;="&amp;$C$4,DaybyDay[Date],"&lt;="&amp;DaybyDay[[#This Row],[Date]])</f>
        <v>0</v>
      </c>
      <c r="T982" s="35">
        <f>SUMIFS(DaybyDay[Retail-LY],DaybyDay[Date],"&gt;="&amp;$C$5,DaybyDay[RowYear],"&gt;="&amp;$C$4,DaybyDay[Date],"&lt;="&amp;DaybyDay[[#This Row],[Date]])</f>
        <v>0</v>
      </c>
      <c r="U982" s="32">
        <f>DaybyDay[[#This Row],[Serv-Bud-RU]]+DaybyDay[[#This Row],[Ret-Bud-RU]]</f>
        <v>0</v>
      </c>
      <c r="V982" s="32">
        <f>DaybyDay[[#This Row],[Serv-Act-RU]]+DaybyDay[[#This Row],[Ret-Act-RU]]</f>
        <v>0</v>
      </c>
      <c r="W982" s="36">
        <f>IF(DaybyDay[[#This Row],[_Space]],IFERROR(
((DaybyDay[[#This Row],[Actual-Rollup]]-DaybyDay[[#This Row],[Budget-Rollup]])/DaybyDay[[#This Row],[Budget-Rollup]]),0),"")</f>
        <v>0</v>
      </c>
      <c r="X982" t="b">
        <f>NOT(AND(ISBLANK(DaybyDay[[#This Row],[Appts]]),ISBLANK(DaybyDay[[#This Row],[Service-Actuals]]),ISBLANK(DaybyDay[[#This Row],[Retail-Actuals]])))</f>
        <v>1</v>
      </c>
      <c r="Y982" s="36">
        <f>IF(DaybyDay[[#This Row],[_Space]],IFERROR(
((DaybyDay[[#This Row],[Actual-Rollup]]-DaybyDay[[#This Row],[LY-Rollup]])/DaybyDay[[#This Row],[LY-Rollup]]),0),"")</f>
        <v>0</v>
      </c>
      <c r="Z982"/>
      <c r="AA982" s="37" t="e">
        <f>IF(DaybyDay[[#This Row],[_Space]],DaybyDay[[#This Row],[Ret-Act-RU]]/DaybyDay[[#This Row],[Serv-Act-RU]],"")</f>
        <v>#DIV/0!</v>
      </c>
      <c r="AB982" s="50" t="e">
        <f>IF(DaybyDay[[#This Row],[_Space]],DaybyDay[[#This Row],[RETPEN-Act]]/DaybyDay[[#This Row],[RETPEN-Bud]],"")</f>
        <v>#DIV/0!</v>
      </c>
      <c r="AC982" s="37" t="e">
        <f>IF(DaybyDay[[#This Row],[_Space]],DaybyDay[[#This Row],[Ret-Bud-RU]]/DaybyDay[[#This Row],[Serv-Bud-RU]],"")</f>
        <v>#DIV/0!</v>
      </c>
      <c r="AD982" s="37" t="e">
        <f>IF(DaybyDay[[#This Row],[_Space]],DaybyDay[[#This Row],[Ret-LY-RU]]/DaybyDay[[#This Row],[Serv-LY-RU]],"")</f>
        <v>#DIV/0!</v>
      </c>
      <c r="AE982" s="30">
        <f>WEEKDAY(DaybyDay[[#This Row],[LY-Date]])</f>
        <v>3</v>
      </c>
      <c r="AF982" s="38">
        <f>$E$2+_xlfn.DAYS(DaybyDay[[#This Row],[Date]],minDate)</f>
        <v>43347</v>
      </c>
      <c r="AG982" s="39" cm="1">
        <f t="array" ref="AG982">IFERROR(INDEX(DaybyDay[],DaybyDay[[#This Row],[FORM_MATCH_HELPER]],8),"")</f>
        <v>15</v>
      </c>
      <c r="AH982" s="39" cm="1">
        <f t="array" ref="AH982">IFERROR(INDEX(DaybyDay[],DaybyDay[[#This Row],[FORM_MATCH_HELPER]],10),"")</f>
        <v>2480</v>
      </c>
      <c r="AI982" s="39" cm="1">
        <f t="array" ref="AI982">IFERROR(INDEX(DaybyDay[],DaybyDay[[#This Row],[FORM_MATCH_HELPER]],12),"")</f>
        <v>950.5</v>
      </c>
      <c r="AJ982" s="32">
        <f>IFERROR(DaybyDay[[#This Row],[Serv-LY-RU]]+DaybyDay[[#This Row],[Ret-LY-RU]],"")</f>
        <v>0</v>
      </c>
      <c r="AK9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2" s="77"/>
      <c r="AM982" s="40" t="str">
        <f>IF(DaybyDay[[#This Row],[Admin Hours]]&gt;0,DaybyDay[[#This Row],[Admin Hours]]*$AM$2+$AM$3,"")</f>
        <v/>
      </c>
      <c r="AN982" s="40">
        <f>SUMIFS(DaybyDay[Est-Admin-Payroll],DaybyDay[Date],"&gt;="&amp;$C$5,DaybyDay[RowYear],"&gt;="&amp;$C$4,DaybyDay[Date],"&lt;="&amp;DaybyDay[[#This Row],[Date]])</f>
        <v>0</v>
      </c>
      <c r="AO982" s="41" t="str">
        <f>IF(AND(DaybyDay[[#This Row],[_Space]],ISNUMBER(DaybyDay[[#This Row],[Admin Hours]])),DaybyDay[[#This Row],[Est-Admin-Payroll]]/(DaybyDay[[#This Row],[Service-Actuals]]+DaybyDay[[#This Row],[Retail-Actuals]]),"")</f>
        <v/>
      </c>
      <c r="AP982" s="41" t="e">
        <f>DaybyDay[[#This Row],[Estimated-Payroll-Rollup]]/DaybyDay[[#This Row],[Simple-Forecast]]</f>
        <v>#DIV/0!</v>
      </c>
      <c r="AQ9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2" s="77"/>
      <c r="AS982" s="40" t="str">
        <f>IF(DaybyDay[[#This Row],[Retail Hours]]&gt;0,DaybyDay[[#This Row],[Retail Hours]]*$AS$2,"")</f>
        <v/>
      </c>
      <c r="AT982" s="40">
        <f>SUMIFS(DaybyDay[Est-Retail-Payroll],DaybyDay[Date],"&gt;="&amp;$C$5,DaybyDay[RowYear],"&gt;="&amp;$C$4,DaybyDay[Date],"&lt;="&amp;DaybyDay[[#This Row],[Date]])</f>
        <v>0</v>
      </c>
      <c r="AU982" s="82" t="str">
        <f>IF(AND(DaybyDay[[#This Row],[_Space]],ISNUMBER(DaybyDay[[#This Row],[Retail Hours]])),DaybyDay[[#This Row],[Est-Retail-Payroll]]/(DaybyDay[[#This Row],[Retail-Actuals]]),"")</f>
        <v/>
      </c>
      <c r="AV982" s="82" t="e">
        <f>DaybyDay[[#This Row],[Est-Retail-PayrollRU]]/DaybyDay[[#This Row],[Simple-Forecast-Retail]]</f>
        <v>#DIV/0!</v>
      </c>
      <c r="AW982" s="8"/>
      <c r="AX982" s="15"/>
      <c r="AY982" s="8"/>
    </row>
    <row r="983" spans="3:56" hidden="1" x14ac:dyDescent="0.25">
      <c r="C983" s="26" t="str">
        <f>Tools!$C$1</f>
        <v>Example</v>
      </c>
      <c r="D983" s="27" t="s">
        <v>76</v>
      </c>
      <c r="E983" s="28">
        <v>2019</v>
      </c>
      <c r="F983" s="28">
        <f>MATCH(DaybyDay[[#This Row],[RowMonth]],Table3[SummaryMonth],0)</f>
        <v>9</v>
      </c>
      <c r="G983" s="29">
        <f>MATCH(DaybyDay[[#This Row],[LY-Date]],DaybyDay[Date],0)</f>
        <v>613</v>
      </c>
      <c r="H983" s="30">
        <f>WEEKDAY(DaybyDay[[#This Row],[Date]])</f>
        <v>4</v>
      </c>
      <c r="I983" s="31">
        <v>43712</v>
      </c>
      <c r="J983" s="74">
        <v>28</v>
      </c>
      <c r="K983" s="32">
        <f>SUMIFS(BudgetSeasonality[365 Seasonality],BudgetSeasonality[MonthAdjustment],DaybyDay[[#This Row],[Date]])*SUMIFS(Budgets[Service-Budget],Budgets[BudgetMonth],DaybyDay[[#This Row],[RowMonth]],Budgets[BudgetYear],DaybyDay[[#This Row],[RowYear]])</f>
        <v>4931.1643105859039</v>
      </c>
      <c r="L983" s="75">
        <v>5977.6</v>
      </c>
      <c r="M983" s="32">
        <f>INDEX(BudgetSeasonality[365 Seasonality],MATCH(DaybyDay[[#This Row],[Date]],BudgetSeasonality[MonthAdjustment],0))*SUMIFS(Budgets[Retail-Budget],Budgets[BudgetMonth],DaybyDay[[#This Row],[RowMonth]],Budgets[BudgetYear],DaybyDay[[#This Row],[RowYear]])</f>
        <v>1171.76241136008</v>
      </c>
      <c r="N983" s="75">
        <v>1114</v>
      </c>
      <c r="O983" s="33">
        <f>SUMIFS(DaybyDay[Service-Budgets],DaybyDay[Date],"&gt;="&amp;$C$5,DaybyDay[RowYear],"&gt;="&amp;$C$4,DaybyDay[Date],"&lt;="&amp;DaybyDay[[#This Row],[Date]])</f>
        <v>0</v>
      </c>
      <c r="P983" s="33">
        <f>SUMIFS(DaybyDay[Retail-Budgets],DaybyDay[Date],"&gt;="&amp;$C$5,DaybyDay[RowYear],"&gt;="&amp;$C$4,DaybyDay[Date],"&lt;="&amp;DaybyDay[[#This Row],[Date]])</f>
        <v>0</v>
      </c>
      <c r="Q983" s="34">
        <f>SUMIFS(DaybyDay[Service-Actuals],DaybyDay[Date],"&gt;="&amp;$C$5,DaybyDay[RowYear],"&gt;="&amp;$C$4,DaybyDay[Date],"&lt;="&amp;DaybyDay[[#This Row],[Date]])</f>
        <v>0</v>
      </c>
      <c r="R983" s="34">
        <f>SUMIFS(DaybyDay[Retail-Actuals],DaybyDay[Date],"&gt;="&amp;$C$5,DaybyDay[RowYear],"&gt;="&amp;$C$4,DaybyDay[Date],"&lt;="&amp;DaybyDay[[#This Row],[Date]])</f>
        <v>0</v>
      </c>
      <c r="S983" s="35">
        <f>SUMIFS(DaybyDay[Service-LY],DaybyDay[Date],"&gt;="&amp;$C$5,DaybyDay[RowYear],"&gt;="&amp;$C$4,DaybyDay[Date],"&lt;="&amp;DaybyDay[[#This Row],[Date]])</f>
        <v>0</v>
      </c>
      <c r="T983" s="35">
        <f>SUMIFS(DaybyDay[Retail-LY],DaybyDay[Date],"&gt;="&amp;$C$5,DaybyDay[RowYear],"&gt;="&amp;$C$4,DaybyDay[Date],"&lt;="&amp;DaybyDay[[#This Row],[Date]])</f>
        <v>0</v>
      </c>
      <c r="U983" s="32">
        <f>DaybyDay[[#This Row],[Serv-Bud-RU]]+DaybyDay[[#This Row],[Ret-Bud-RU]]</f>
        <v>0</v>
      </c>
      <c r="V983" s="32">
        <f>DaybyDay[[#This Row],[Serv-Act-RU]]+DaybyDay[[#This Row],[Ret-Act-RU]]</f>
        <v>0</v>
      </c>
      <c r="W983" s="36">
        <f>IF(DaybyDay[[#This Row],[_Space]],IFERROR(
((DaybyDay[[#This Row],[Actual-Rollup]]-DaybyDay[[#This Row],[Budget-Rollup]])/DaybyDay[[#This Row],[Budget-Rollup]]),0),"")</f>
        <v>0</v>
      </c>
      <c r="X983" t="b">
        <f>NOT(AND(ISBLANK(DaybyDay[[#This Row],[Appts]]),ISBLANK(DaybyDay[[#This Row],[Service-Actuals]]),ISBLANK(DaybyDay[[#This Row],[Retail-Actuals]])))</f>
        <v>1</v>
      </c>
      <c r="Y983" s="36">
        <f>IF(DaybyDay[[#This Row],[_Space]],IFERROR(
((DaybyDay[[#This Row],[Actual-Rollup]]-DaybyDay[[#This Row],[LY-Rollup]])/DaybyDay[[#This Row],[LY-Rollup]]),0),"")</f>
        <v>0</v>
      </c>
      <c r="Z983"/>
      <c r="AA983" s="37" t="e">
        <f>IF(DaybyDay[[#This Row],[_Space]],DaybyDay[[#This Row],[Ret-Act-RU]]/DaybyDay[[#This Row],[Serv-Act-RU]],"")</f>
        <v>#DIV/0!</v>
      </c>
      <c r="AB983" s="50" t="e">
        <f>IF(DaybyDay[[#This Row],[_Space]],DaybyDay[[#This Row],[RETPEN-Act]]/DaybyDay[[#This Row],[RETPEN-Bud]],"")</f>
        <v>#DIV/0!</v>
      </c>
      <c r="AC983" s="37" t="e">
        <f>IF(DaybyDay[[#This Row],[_Space]],DaybyDay[[#This Row],[Ret-Bud-RU]]/DaybyDay[[#This Row],[Serv-Bud-RU]],"")</f>
        <v>#DIV/0!</v>
      </c>
      <c r="AD983" s="37" t="e">
        <f>IF(DaybyDay[[#This Row],[_Space]],DaybyDay[[#This Row],[Ret-LY-RU]]/DaybyDay[[#This Row],[Serv-LY-RU]],"")</f>
        <v>#DIV/0!</v>
      </c>
      <c r="AE983" s="30">
        <f>WEEKDAY(DaybyDay[[#This Row],[LY-Date]])</f>
        <v>4</v>
      </c>
      <c r="AF983" s="38">
        <f>$E$2+_xlfn.DAYS(DaybyDay[[#This Row],[Date]],minDate)</f>
        <v>43348</v>
      </c>
      <c r="AG983" s="39" cm="1">
        <f t="array" ref="AG983">IFERROR(INDEX(DaybyDay[],DaybyDay[[#This Row],[FORM_MATCH_HELPER]],8),"")</f>
        <v>19</v>
      </c>
      <c r="AH983" s="39" cm="1">
        <f t="array" ref="AH983">IFERROR(INDEX(DaybyDay[],DaybyDay[[#This Row],[FORM_MATCH_HELPER]],10),"")</f>
        <v>4262</v>
      </c>
      <c r="AI983" s="39" cm="1">
        <f t="array" ref="AI983">IFERROR(INDEX(DaybyDay[],DaybyDay[[#This Row],[FORM_MATCH_HELPER]],12),"")</f>
        <v>579</v>
      </c>
      <c r="AJ983" s="32">
        <f>IFERROR(DaybyDay[[#This Row],[Serv-LY-RU]]+DaybyDay[[#This Row],[Ret-LY-RU]],"")</f>
        <v>0</v>
      </c>
      <c r="AK9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3" s="77"/>
      <c r="AM983" s="40" t="str">
        <f>IF(DaybyDay[[#This Row],[Admin Hours]]&gt;0,DaybyDay[[#This Row],[Admin Hours]]*$AM$2+$AM$3,"")</f>
        <v/>
      </c>
      <c r="AN983" s="40">
        <f>SUMIFS(DaybyDay[Est-Admin-Payroll],DaybyDay[Date],"&gt;="&amp;$C$5,DaybyDay[RowYear],"&gt;="&amp;$C$4,DaybyDay[Date],"&lt;="&amp;DaybyDay[[#This Row],[Date]])</f>
        <v>0</v>
      </c>
      <c r="AO983" s="41" t="str">
        <f>IF(AND(DaybyDay[[#This Row],[_Space]],ISNUMBER(DaybyDay[[#This Row],[Admin Hours]])),DaybyDay[[#This Row],[Est-Admin-Payroll]]/(DaybyDay[[#This Row],[Service-Actuals]]+DaybyDay[[#This Row],[Retail-Actuals]]),"")</f>
        <v/>
      </c>
      <c r="AP983" s="41" t="e">
        <f>DaybyDay[[#This Row],[Estimated-Payroll-Rollup]]/DaybyDay[[#This Row],[Simple-Forecast]]</f>
        <v>#DIV/0!</v>
      </c>
      <c r="AQ9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3" s="77"/>
      <c r="AS983" s="40" t="str">
        <f>IF(DaybyDay[[#This Row],[Retail Hours]]&gt;0,DaybyDay[[#This Row],[Retail Hours]]*$AS$2,"")</f>
        <v/>
      </c>
      <c r="AT983" s="40">
        <f>SUMIFS(DaybyDay[Est-Retail-Payroll],DaybyDay[Date],"&gt;="&amp;$C$5,DaybyDay[RowYear],"&gt;="&amp;$C$4,DaybyDay[Date],"&lt;="&amp;DaybyDay[[#This Row],[Date]])</f>
        <v>0</v>
      </c>
      <c r="AU983" s="82" t="str">
        <f>IF(AND(DaybyDay[[#This Row],[_Space]],ISNUMBER(DaybyDay[[#This Row],[Retail Hours]])),DaybyDay[[#This Row],[Est-Retail-Payroll]]/(DaybyDay[[#This Row],[Retail-Actuals]]),"")</f>
        <v/>
      </c>
      <c r="AV983" s="82" t="e">
        <f>DaybyDay[[#This Row],[Est-Retail-PayrollRU]]/DaybyDay[[#This Row],[Simple-Forecast-Retail]]</f>
        <v>#DIV/0!</v>
      </c>
      <c r="AW983" s="8"/>
      <c r="AX983" s="15"/>
      <c r="AY983" s="8"/>
    </row>
    <row r="984" spans="3:56" hidden="1" x14ac:dyDescent="0.25">
      <c r="C984" s="26" t="str">
        <f>Tools!$C$1</f>
        <v>Example</v>
      </c>
      <c r="D984" s="27" t="s">
        <v>76</v>
      </c>
      <c r="E984" s="28">
        <v>2019</v>
      </c>
      <c r="F984" s="28">
        <f>MATCH(DaybyDay[[#This Row],[RowMonth]],Table3[SummaryMonth],0)</f>
        <v>9</v>
      </c>
      <c r="G984" s="29">
        <f>MATCH(DaybyDay[[#This Row],[LY-Date]],DaybyDay[Date],0)</f>
        <v>614</v>
      </c>
      <c r="H984" s="30">
        <f>WEEKDAY(DaybyDay[[#This Row],[Date]])</f>
        <v>5</v>
      </c>
      <c r="I984" s="31">
        <v>43713</v>
      </c>
      <c r="J984" s="74">
        <v>17</v>
      </c>
      <c r="K984" s="32">
        <f>SUMIFS(BudgetSeasonality[365 Seasonality],BudgetSeasonality[MonthAdjustment],DaybyDay[[#This Row],[Date]])*SUMIFS(Budgets[Service-Budget],Budgets[BudgetMonth],DaybyDay[[#This Row],[RowMonth]],Budgets[BudgetYear],DaybyDay[[#This Row],[RowYear]])</f>
        <v>5056.8433134591578</v>
      </c>
      <c r="L984" s="75">
        <v>3026.17</v>
      </c>
      <c r="M984" s="32">
        <f>INDEX(BudgetSeasonality[365 Seasonality],MATCH(DaybyDay[[#This Row],[Date]],BudgetSeasonality[MonthAdjustment],0))*SUMIFS(Budgets[Retail-Budget],Budgets[BudgetMonth],DaybyDay[[#This Row],[RowMonth]],Budgets[BudgetYear],DaybyDay[[#This Row],[RowYear]])</f>
        <v>1201.6267440386632</v>
      </c>
      <c r="N984" s="75">
        <v>1823.3</v>
      </c>
      <c r="O984" s="33">
        <f>SUMIFS(DaybyDay[Service-Budgets],DaybyDay[Date],"&gt;="&amp;$C$5,DaybyDay[RowYear],"&gt;="&amp;$C$4,DaybyDay[Date],"&lt;="&amp;DaybyDay[[#This Row],[Date]])</f>
        <v>0</v>
      </c>
      <c r="P984" s="33">
        <f>SUMIFS(DaybyDay[Retail-Budgets],DaybyDay[Date],"&gt;="&amp;$C$5,DaybyDay[RowYear],"&gt;="&amp;$C$4,DaybyDay[Date],"&lt;="&amp;DaybyDay[[#This Row],[Date]])</f>
        <v>0</v>
      </c>
      <c r="Q984" s="34">
        <f>SUMIFS(DaybyDay[Service-Actuals],DaybyDay[Date],"&gt;="&amp;$C$5,DaybyDay[RowYear],"&gt;="&amp;$C$4,DaybyDay[Date],"&lt;="&amp;DaybyDay[[#This Row],[Date]])</f>
        <v>0</v>
      </c>
      <c r="R984" s="34">
        <f>SUMIFS(DaybyDay[Retail-Actuals],DaybyDay[Date],"&gt;="&amp;$C$5,DaybyDay[RowYear],"&gt;="&amp;$C$4,DaybyDay[Date],"&lt;="&amp;DaybyDay[[#This Row],[Date]])</f>
        <v>0</v>
      </c>
      <c r="S984" s="35">
        <f>SUMIFS(DaybyDay[Service-LY],DaybyDay[Date],"&gt;="&amp;$C$5,DaybyDay[RowYear],"&gt;="&amp;$C$4,DaybyDay[Date],"&lt;="&amp;DaybyDay[[#This Row],[Date]])</f>
        <v>0</v>
      </c>
      <c r="T984" s="35">
        <f>SUMIFS(DaybyDay[Retail-LY],DaybyDay[Date],"&gt;="&amp;$C$5,DaybyDay[RowYear],"&gt;="&amp;$C$4,DaybyDay[Date],"&lt;="&amp;DaybyDay[[#This Row],[Date]])</f>
        <v>0</v>
      </c>
      <c r="U984" s="32">
        <f>DaybyDay[[#This Row],[Serv-Bud-RU]]+DaybyDay[[#This Row],[Ret-Bud-RU]]</f>
        <v>0</v>
      </c>
      <c r="V984" s="32">
        <f>DaybyDay[[#This Row],[Serv-Act-RU]]+DaybyDay[[#This Row],[Ret-Act-RU]]</f>
        <v>0</v>
      </c>
      <c r="W984" s="36">
        <f>IF(DaybyDay[[#This Row],[_Space]],IFERROR(
((DaybyDay[[#This Row],[Actual-Rollup]]-DaybyDay[[#This Row],[Budget-Rollup]])/DaybyDay[[#This Row],[Budget-Rollup]]),0),"")</f>
        <v>0</v>
      </c>
      <c r="X984" t="b">
        <f>NOT(AND(ISBLANK(DaybyDay[[#This Row],[Appts]]),ISBLANK(DaybyDay[[#This Row],[Service-Actuals]]),ISBLANK(DaybyDay[[#This Row],[Retail-Actuals]])))</f>
        <v>1</v>
      </c>
      <c r="Y984" s="36">
        <f>IF(DaybyDay[[#This Row],[_Space]],IFERROR(
((DaybyDay[[#This Row],[Actual-Rollup]]-DaybyDay[[#This Row],[LY-Rollup]])/DaybyDay[[#This Row],[LY-Rollup]]),0),"")</f>
        <v>0</v>
      </c>
      <c r="Z984"/>
      <c r="AA984" s="37" t="e">
        <f>IF(DaybyDay[[#This Row],[_Space]],DaybyDay[[#This Row],[Ret-Act-RU]]/DaybyDay[[#This Row],[Serv-Act-RU]],"")</f>
        <v>#DIV/0!</v>
      </c>
      <c r="AB984" s="50" t="e">
        <f>IF(DaybyDay[[#This Row],[_Space]],DaybyDay[[#This Row],[RETPEN-Act]]/DaybyDay[[#This Row],[RETPEN-Bud]],"")</f>
        <v>#DIV/0!</v>
      </c>
      <c r="AC984" s="37" t="e">
        <f>IF(DaybyDay[[#This Row],[_Space]],DaybyDay[[#This Row],[Ret-Bud-RU]]/DaybyDay[[#This Row],[Serv-Bud-RU]],"")</f>
        <v>#DIV/0!</v>
      </c>
      <c r="AD984" s="37" t="e">
        <f>IF(DaybyDay[[#This Row],[_Space]],DaybyDay[[#This Row],[Ret-LY-RU]]/DaybyDay[[#This Row],[Serv-LY-RU]],"")</f>
        <v>#DIV/0!</v>
      </c>
      <c r="AE984" s="30">
        <f>WEEKDAY(DaybyDay[[#This Row],[LY-Date]])</f>
        <v>5</v>
      </c>
      <c r="AF984" s="38">
        <f>$E$2+_xlfn.DAYS(DaybyDay[[#This Row],[Date]],minDate)</f>
        <v>43349</v>
      </c>
      <c r="AG984" s="39" cm="1">
        <f t="array" ref="AG984">IFERROR(INDEX(DaybyDay[],DaybyDay[[#This Row],[FORM_MATCH_HELPER]],8),"")</f>
        <v>21</v>
      </c>
      <c r="AH984" s="39" cm="1">
        <f t="array" ref="AH984">IFERROR(INDEX(DaybyDay[],DaybyDay[[#This Row],[FORM_MATCH_HELPER]],10),"")</f>
        <v>4270</v>
      </c>
      <c r="AI984" s="39" cm="1">
        <f t="array" ref="AI984">IFERROR(INDEX(DaybyDay[],DaybyDay[[#This Row],[FORM_MATCH_HELPER]],12),"")</f>
        <v>629.9</v>
      </c>
      <c r="AJ984" s="32">
        <f>IFERROR(DaybyDay[[#This Row],[Serv-LY-RU]]+DaybyDay[[#This Row],[Ret-LY-RU]],"")</f>
        <v>0</v>
      </c>
      <c r="AK9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4" s="77"/>
      <c r="AM984" s="40" t="str">
        <f>IF(DaybyDay[[#This Row],[Admin Hours]]&gt;0,DaybyDay[[#This Row],[Admin Hours]]*$AM$2+$AM$3,"")</f>
        <v/>
      </c>
      <c r="AN984" s="40">
        <f>SUMIFS(DaybyDay[Est-Admin-Payroll],DaybyDay[Date],"&gt;="&amp;$C$5,DaybyDay[RowYear],"&gt;="&amp;$C$4,DaybyDay[Date],"&lt;="&amp;DaybyDay[[#This Row],[Date]])</f>
        <v>0</v>
      </c>
      <c r="AO984" s="41" t="str">
        <f>IF(AND(DaybyDay[[#This Row],[_Space]],ISNUMBER(DaybyDay[[#This Row],[Admin Hours]])),DaybyDay[[#This Row],[Est-Admin-Payroll]]/(DaybyDay[[#This Row],[Service-Actuals]]+DaybyDay[[#This Row],[Retail-Actuals]]),"")</f>
        <v/>
      </c>
      <c r="AP984" s="41" t="e">
        <f>DaybyDay[[#This Row],[Estimated-Payroll-Rollup]]/DaybyDay[[#This Row],[Simple-Forecast]]</f>
        <v>#DIV/0!</v>
      </c>
      <c r="AQ9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4" s="77"/>
      <c r="AS984" s="40" t="str">
        <f>IF(DaybyDay[[#This Row],[Retail Hours]]&gt;0,DaybyDay[[#This Row],[Retail Hours]]*$AS$2,"")</f>
        <v/>
      </c>
      <c r="AT984" s="40">
        <f>SUMIFS(DaybyDay[Est-Retail-Payroll],DaybyDay[Date],"&gt;="&amp;$C$5,DaybyDay[RowYear],"&gt;="&amp;$C$4,DaybyDay[Date],"&lt;="&amp;DaybyDay[[#This Row],[Date]])</f>
        <v>0</v>
      </c>
      <c r="AU984" s="82" t="str">
        <f>IF(AND(DaybyDay[[#This Row],[_Space]],ISNUMBER(DaybyDay[[#This Row],[Retail Hours]])),DaybyDay[[#This Row],[Est-Retail-Payroll]]/(DaybyDay[[#This Row],[Retail-Actuals]]),"")</f>
        <v/>
      </c>
      <c r="AV984" s="82" t="e">
        <f>DaybyDay[[#This Row],[Est-Retail-PayrollRU]]/DaybyDay[[#This Row],[Simple-Forecast-Retail]]</f>
        <v>#DIV/0!</v>
      </c>
      <c r="AW984" s="8"/>
      <c r="AX984" s="15"/>
      <c r="AY984" s="8"/>
    </row>
    <row r="985" spans="3:56" hidden="1" x14ac:dyDescent="0.25">
      <c r="C985" s="26" t="str">
        <f>Tools!$C$1</f>
        <v>Example</v>
      </c>
      <c r="D985" s="27" t="s">
        <v>76</v>
      </c>
      <c r="E985" s="28">
        <v>2019</v>
      </c>
      <c r="F985" s="28">
        <f>MATCH(DaybyDay[[#This Row],[RowMonth]],Table3[SummaryMonth],0)</f>
        <v>9</v>
      </c>
      <c r="G985" s="29">
        <f>MATCH(DaybyDay[[#This Row],[LY-Date]],DaybyDay[Date],0)</f>
        <v>615</v>
      </c>
      <c r="H985" s="30">
        <f>WEEKDAY(DaybyDay[[#This Row],[Date]])</f>
        <v>6</v>
      </c>
      <c r="I985" s="31">
        <v>43714</v>
      </c>
      <c r="J985" s="74">
        <v>25</v>
      </c>
      <c r="K985" s="32">
        <f>SUMIFS(BudgetSeasonality[365 Seasonality],BudgetSeasonality[MonthAdjustment],DaybyDay[[#This Row],[Date]])*SUMIFS(Budgets[Service-Budget],Budgets[BudgetMonth],DaybyDay[[#This Row],[RowMonth]],Budgets[BudgetYear],DaybyDay[[#This Row],[RowYear]])</f>
        <v>6336.9212584273282</v>
      </c>
      <c r="L985" s="75">
        <v>4850.6000000000004</v>
      </c>
      <c r="M985" s="32">
        <f>INDEX(BudgetSeasonality[365 Seasonality],MATCH(DaybyDay[[#This Row],[Date]],BudgetSeasonality[MonthAdjustment],0))*SUMIFS(Budgets[Retail-Budget],Budgets[BudgetMonth],DaybyDay[[#This Row],[RowMonth]],Budgets[BudgetYear],DaybyDay[[#This Row],[RowYear]])</f>
        <v>1505.8038359081777</v>
      </c>
      <c r="N985" s="75">
        <v>433.9</v>
      </c>
      <c r="O985" s="33">
        <f>SUMIFS(DaybyDay[Service-Budgets],DaybyDay[Date],"&gt;="&amp;$C$5,DaybyDay[RowYear],"&gt;="&amp;$C$4,DaybyDay[Date],"&lt;="&amp;DaybyDay[[#This Row],[Date]])</f>
        <v>0</v>
      </c>
      <c r="P985" s="33">
        <f>SUMIFS(DaybyDay[Retail-Budgets],DaybyDay[Date],"&gt;="&amp;$C$5,DaybyDay[RowYear],"&gt;="&amp;$C$4,DaybyDay[Date],"&lt;="&amp;DaybyDay[[#This Row],[Date]])</f>
        <v>0</v>
      </c>
      <c r="Q985" s="34">
        <f>SUMIFS(DaybyDay[Service-Actuals],DaybyDay[Date],"&gt;="&amp;$C$5,DaybyDay[RowYear],"&gt;="&amp;$C$4,DaybyDay[Date],"&lt;="&amp;DaybyDay[[#This Row],[Date]])</f>
        <v>0</v>
      </c>
      <c r="R985" s="34">
        <f>SUMIFS(DaybyDay[Retail-Actuals],DaybyDay[Date],"&gt;="&amp;$C$5,DaybyDay[RowYear],"&gt;="&amp;$C$4,DaybyDay[Date],"&lt;="&amp;DaybyDay[[#This Row],[Date]])</f>
        <v>0</v>
      </c>
      <c r="S985" s="35">
        <f>SUMIFS(DaybyDay[Service-LY],DaybyDay[Date],"&gt;="&amp;$C$5,DaybyDay[RowYear],"&gt;="&amp;$C$4,DaybyDay[Date],"&lt;="&amp;DaybyDay[[#This Row],[Date]])</f>
        <v>0</v>
      </c>
      <c r="T985" s="35">
        <f>SUMIFS(DaybyDay[Retail-LY],DaybyDay[Date],"&gt;="&amp;$C$5,DaybyDay[RowYear],"&gt;="&amp;$C$4,DaybyDay[Date],"&lt;="&amp;DaybyDay[[#This Row],[Date]])</f>
        <v>0</v>
      </c>
      <c r="U985" s="32">
        <f>DaybyDay[[#This Row],[Serv-Bud-RU]]+DaybyDay[[#This Row],[Ret-Bud-RU]]</f>
        <v>0</v>
      </c>
      <c r="V985" s="32">
        <f>DaybyDay[[#This Row],[Serv-Act-RU]]+DaybyDay[[#This Row],[Ret-Act-RU]]</f>
        <v>0</v>
      </c>
      <c r="W985" s="36">
        <f>IF(DaybyDay[[#This Row],[_Space]],IFERROR(
((DaybyDay[[#This Row],[Actual-Rollup]]-DaybyDay[[#This Row],[Budget-Rollup]])/DaybyDay[[#This Row],[Budget-Rollup]]),0),"")</f>
        <v>0</v>
      </c>
      <c r="X985" t="b">
        <f>NOT(AND(ISBLANK(DaybyDay[[#This Row],[Appts]]),ISBLANK(DaybyDay[[#This Row],[Service-Actuals]]),ISBLANK(DaybyDay[[#This Row],[Retail-Actuals]])))</f>
        <v>1</v>
      </c>
      <c r="Y985" s="36">
        <f>IF(DaybyDay[[#This Row],[_Space]],IFERROR(
((DaybyDay[[#This Row],[Actual-Rollup]]-DaybyDay[[#This Row],[LY-Rollup]])/DaybyDay[[#This Row],[LY-Rollup]]),0),"")</f>
        <v>0</v>
      </c>
      <c r="Z985"/>
      <c r="AA985" s="37" t="e">
        <f>IF(DaybyDay[[#This Row],[_Space]],DaybyDay[[#This Row],[Ret-Act-RU]]/DaybyDay[[#This Row],[Serv-Act-RU]],"")</f>
        <v>#DIV/0!</v>
      </c>
      <c r="AB985" s="50" t="e">
        <f>IF(DaybyDay[[#This Row],[_Space]],DaybyDay[[#This Row],[RETPEN-Act]]/DaybyDay[[#This Row],[RETPEN-Bud]],"")</f>
        <v>#DIV/0!</v>
      </c>
      <c r="AC985" s="37" t="e">
        <f>IF(DaybyDay[[#This Row],[_Space]],DaybyDay[[#This Row],[Ret-Bud-RU]]/DaybyDay[[#This Row],[Serv-Bud-RU]],"")</f>
        <v>#DIV/0!</v>
      </c>
      <c r="AD985" s="37" t="e">
        <f>IF(DaybyDay[[#This Row],[_Space]],DaybyDay[[#This Row],[Ret-LY-RU]]/DaybyDay[[#This Row],[Serv-LY-RU]],"")</f>
        <v>#DIV/0!</v>
      </c>
      <c r="AE985" s="30">
        <f>WEEKDAY(DaybyDay[[#This Row],[LY-Date]])</f>
        <v>6</v>
      </c>
      <c r="AF985" s="38">
        <f>$E$2+_xlfn.DAYS(DaybyDay[[#This Row],[Date]],minDate)</f>
        <v>43350</v>
      </c>
      <c r="AG985" s="39" cm="1">
        <f t="array" ref="AG985">IFERROR(INDEX(DaybyDay[],DaybyDay[[#This Row],[FORM_MATCH_HELPER]],8),"")</f>
        <v>17</v>
      </c>
      <c r="AH985" s="39" cm="1">
        <f t="array" ref="AH985">IFERROR(INDEX(DaybyDay[],DaybyDay[[#This Row],[FORM_MATCH_HELPER]],10),"")</f>
        <v>3580</v>
      </c>
      <c r="AI985" s="39" cm="1">
        <f t="array" ref="AI985">IFERROR(INDEX(DaybyDay[],DaybyDay[[#This Row],[FORM_MATCH_HELPER]],12),"")</f>
        <v>625.9</v>
      </c>
      <c r="AJ985" s="32">
        <f>IFERROR(DaybyDay[[#This Row],[Serv-LY-RU]]+DaybyDay[[#This Row],[Ret-LY-RU]],"")</f>
        <v>0</v>
      </c>
      <c r="AK9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5" s="77"/>
      <c r="AM985" s="40" t="str">
        <f>IF(DaybyDay[[#This Row],[Admin Hours]]&gt;0,DaybyDay[[#This Row],[Admin Hours]]*$AM$2+$AM$3,"")</f>
        <v/>
      </c>
      <c r="AN985" s="40">
        <f>SUMIFS(DaybyDay[Est-Admin-Payroll],DaybyDay[Date],"&gt;="&amp;$C$5,DaybyDay[RowYear],"&gt;="&amp;$C$4,DaybyDay[Date],"&lt;="&amp;DaybyDay[[#This Row],[Date]])</f>
        <v>0</v>
      </c>
      <c r="AO985" s="41" t="str">
        <f>IF(AND(DaybyDay[[#This Row],[_Space]],ISNUMBER(DaybyDay[[#This Row],[Admin Hours]])),DaybyDay[[#This Row],[Est-Admin-Payroll]]/(DaybyDay[[#This Row],[Service-Actuals]]+DaybyDay[[#This Row],[Retail-Actuals]]),"")</f>
        <v/>
      </c>
      <c r="AP985" s="41" t="e">
        <f>DaybyDay[[#This Row],[Estimated-Payroll-Rollup]]/DaybyDay[[#This Row],[Simple-Forecast]]</f>
        <v>#DIV/0!</v>
      </c>
      <c r="AQ9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5" s="77"/>
      <c r="AS985" s="40" t="str">
        <f>IF(DaybyDay[[#This Row],[Retail Hours]]&gt;0,DaybyDay[[#This Row],[Retail Hours]]*$AS$2,"")</f>
        <v/>
      </c>
      <c r="AT985" s="40">
        <f>SUMIFS(DaybyDay[Est-Retail-Payroll],DaybyDay[Date],"&gt;="&amp;$C$5,DaybyDay[RowYear],"&gt;="&amp;$C$4,DaybyDay[Date],"&lt;="&amp;DaybyDay[[#This Row],[Date]])</f>
        <v>0</v>
      </c>
      <c r="AU985" s="82" t="str">
        <f>IF(AND(DaybyDay[[#This Row],[_Space]],ISNUMBER(DaybyDay[[#This Row],[Retail Hours]])),DaybyDay[[#This Row],[Est-Retail-Payroll]]/(DaybyDay[[#This Row],[Retail-Actuals]]),"")</f>
        <v/>
      </c>
      <c r="AV985" s="82" t="e">
        <f>DaybyDay[[#This Row],[Est-Retail-PayrollRU]]/DaybyDay[[#This Row],[Simple-Forecast-Retail]]</f>
        <v>#DIV/0!</v>
      </c>
      <c r="AW985" s="8"/>
      <c r="AX985" s="15"/>
      <c r="AY985" s="8"/>
    </row>
    <row r="986" spans="3:56" hidden="1" x14ac:dyDescent="0.25">
      <c r="C986" s="26" t="str">
        <f>Tools!$C$1</f>
        <v>Example</v>
      </c>
      <c r="D986" s="27" t="s">
        <v>76</v>
      </c>
      <c r="E986" s="28">
        <v>2019</v>
      </c>
      <c r="F986" s="28">
        <f>MATCH(DaybyDay[[#This Row],[RowMonth]],Table3[SummaryMonth],0)</f>
        <v>9</v>
      </c>
      <c r="G986" s="29">
        <f>MATCH(DaybyDay[[#This Row],[LY-Date]],DaybyDay[Date],0)</f>
        <v>616</v>
      </c>
      <c r="H986" s="30">
        <f>WEEKDAY(DaybyDay[[#This Row],[Date]])</f>
        <v>7</v>
      </c>
      <c r="I986" s="31">
        <v>43715</v>
      </c>
      <c r="J986" s="74">
        <v>29</v>
      </c>
      <c r="K986" s="32">
        <f>SUMIFS(BudgetSeasonality[365 Seasonality],BudgetSeasonality[MonthAdjustment],DaybyDay[[#This Row],[Date]])*SUMIFS(Budgets[Service-Budget],Budgets[BudgetMonth],DaybyDay[[#This Row],[RowMonth]],Budgets[BudgetYear],DaybyDay[[#This Row],[RowYear]])</f>
        <v>9070.8782678870775</v>
      </c>
      <c r="L986" s="75">
        <v>6998.14</v>
      </c>
      <c r="M986" s="32">
        <f>INDEX(BudgetSeasonality[365 Seasonality],MATCH(DaybyDay[[#This Row],[Date]],BudgetSeasonality[MonthAdjustment],0))*SUMIFS(Budgets[Retail-Budget],Budgets[BudgetMonth],DaybyDay[[#This Row],[RowMonth]],Budgets[BudgetYear],DaybyDay[[#This Row],[RowYear]])</f>
        <v>2155.4573165440147</v>
      </c>
      <c r="N986" s="75">
        <v>745.25</v>
      </c>
      <c r="O986" s="33">
        <f>SUMIFS(DaybyDay[Service-Budgets],DaybyDay[Date],"&gt;="&amp;$C$5,DaybyDay[RowYear],"&gt;="&amp;$C$4,DaybyDay[Date],"&lt;="&amp;DaybyDay[[#This Row],[Date]])</f>
        <v>0</v>
      </c>
      <c r="P986" s="33">
        <f>SUMIFS(DaybyDay[Retail-Budgets],DaybyDay[Date],"&gt;="&amp;$C$5,DaybyDay[RowYear],"&gt;="&amp;$C$4,DaybyDay[Date],"&lt;="&amp;DaybyDay[[#This Row],[Date]])</f>
        <v>0</v>
      </c>
      <c r="Q986" s="34">
        <f>SUMIFS(DaybyDay[Service-Actuals],DaybyDay[Date],"&gt;="&amp;$C$5,DaybyDay[RowYear],"&gt;="&amp;$C$4,DaybyDay[Date],"&lt;="&amp;DaybyDay[[#This Row],[Date]])</f>
        <v>0</v>
      </c>
      <c r="R986" s="34">
        <f>SUMIFS(DaybyDay[Retail-Actuals],DaybyDay[Date],"&gt;="&amp;$C$5,DaybyDay[RowYear],"&gt;="&amp;$C$4,DaybyDay[Date],"&lt;="&amp;DaybyDay[[#This Row],[Date]])</f>
        <v>0</v>
      </c>
      <c r="S986" s="35">
        <f>SUMIFS(DaybyDay[Service-LY],DaybyDay[Date],"&gt;="&amp;$C$5,DaybyDay[RowYear],"&gt;="&amp;$C$4,DaybyDay[Date],"&lt;="&amp;DaybyDay[[#This Row],[Date]])</f>
        <v>0</v>
      </c>
      <c r="T986" s="35">
        <f>SUMIFS(DaybyDay[Retail-LY],DaybyDay[Date],"&gt;="&amp;$C$5,DaybyDay[RowYear],"&gt;="&amp;$C$4,DaybyDay[Date],"&lt;="&amp;DaybyDay[[#This Row],[Date]])</f>
        <v>0</v>
      </c>
      <c r="U986" s="32">
        <f>DaybyDay[[#This Row],[Serv-Bud-RU]]+DaybyDay[[#This Row],[Ret-Bud-RU]]</f>
        <v>0</v>
      </c>
      <c r="V986" s="32">
        <f>DaybyDay[[#This Row],[Serv-Act-RU]]+DaybyDay[[#This Row],[Ret-Act-RU]]</f>
        <v>0</v>
      </c>
      <c r="W986" s="36">
        <f>IF(DaybyDay[[#This Row],[_Space]],IFERROR(
((DaybyDay[[#This Row],[Actual-Rollup]]-DaybyDay[[#This Row],[Budget-Rollup]])/DaybyDay[[#This Row],[Budget-Rollup]]),0),"")</f>
        <v>0</v>
      </c>
      <c r="X986" t="b">
        <f>NOT(AND(ISBLANK(DaybyDay[[#This Row],[Appts]]),ISBLANK(DaybyDay[[#This Row],[Service-Actuals]]),ISBLANK(DaybyDay[[#This Row],[Retail-Actuals]])))</f>
        <v>1</v>
      </c>
      <c r="Y986" s="36">
        <f>IF(DaybyDay[[#This Row],[_Space]],IFERROR(
((DaybyDay[[#This Row],[Actual-Rollup]]-DaybyDay[[#This Row],[LY-Rollup]])/DaybyDay[[#This Row],[LY-Rollup]]),0),"")</f>
        <v>0</v>
      </c>
      <c r="Z986"/>
      <c r="AA986" s="37" t="e">
        <f>IF(DaybyDay[[#This Row],[_Space]],DaybyDay[[#This Row],[Ret-Act-RU]]/DaybyDay[[#This Row],[Serv-Act-RU]],"")</f>
        <v>#DIV/0!</v>
      </c>
      <c r="AB986" s="50" t="e">
        <f>IF(DaybyDay[[#This Row],[_Space]],DaybyDay[[#This Row],[RETPEN-Act]]/DaybyDay[[#This Row],[RETPEN-Bud]],"")</f>
        <v>#DIV/0!</v>
      </c>
      <c r="AC986" s="37" t="e">
        <f>IF(DaybyDay[[#This Row],[_Space]],DaybyDay[[#This Row],[Ret-Bud-RU]]/DaybyDay[[#This Row],[Serv-Bud-RU]],"")</f>
        <v>#DIV/0!</v>
      </c>
      <c r="AD986" s="37" t="e">
        <f>IF(DaybyDay[[#This Row],[_Space]],DaybyDay[[#This Row],[Ret-LY-RU]]/DaybyDay[[#This Row],[Serv-LY-RU]],"")</f>
        <v>#DIV/0!</v>
      </c>
      <c r="AE986" s="30">
        <f>WEEKDAY(DaybyDay[[#This Row],[LY-Date]])</f>
        <v>7</v>
      </c>
      <c r="AF986" s="38">
        <f>$E$2+_xlfn.DAYS(DaybyDay[[#This Row],[Date]],minDate)</f>
        <v>43351</v>
      </c>
      <c r="AG986" s="39" cm="1">
        <f t="array" ref="AG986">IFERROR(INDEX(DaybyDay[],DaybyDay[[#This Row],[FORM_MATCH_HELPER]],8),"")</f>
        <v>27</v>
      </c>
      <c r="AH986" s="39" cm="1">
        <f t="array" ref="AH986">IFERROR(INDEX(DaybyDay[],DaybyDay[[#This Row],[FORM_MATCH_HELPER]],10),"")</f>
        <v>6744.5</v>
      </c>
      <c r="AI986" s="39" cm="1">
        <f t="array" ref="AI986">IFERROR(INDEX(DaybyDay[],DaybyDay[[#This Row],[FORM_MATCH_HELPER]],12),"")</f>
        <v>1400.5</v>
      </c>
      <c r="AJ986" s="32">
        <f>IFERROR(DaybyDay[[#This Row],[Serv-LY-RU]]+DaybyDay[[#This Row],[Ret-LY-RU]],"")</f>
        <v>0</v>
      </c>
      <c r="AK9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6" s="77"/>
      <c r="AM986" s="40" t="str">
        <f>IF(DaybyDay[[#This Row],[Admin Hours]]&gt;0,DaybyDay[[#This Row],[Admin Hours]]*$AM$2+$AM$3,"")</f>
        <v/>
      </c>
      <c r="AN986" s="40">
        <f>SUMIFS(DaybyDay[Est-Admin-Payroll],DaybyDay[Date],"&gt;="&amp;$C$5,DaybyDay[RowYear],"&gt;="&amp;$C$4,DaybyDay[Date],"&lt;="&amp;DaybyDay[[#This Row],[Date]])</f>
        <v>0</v>
      </c>
      <c r="AO986" s="41" t="str">
        <f>IF(AND(DaybyDay[[#This Row],[_Space]],ISNUMBER(DaybyDay[[#This Row],[Admin Hours]])),DaybyDay[[#This Row],[Est-Admin-Payroll]]/(DaybyDay[[#This Row],[Service-Actuals]]+DaybyDay[[#This Row],[Retail-Actuals]]),"")</f>
        <v/>
      </c>
      <c r="AP986" s="41" t="e">
        <f>DaybyDay[[#This Row],[Estimated-Payroll-Rollup]]/DaybyDay[[#This Row],[Simple-Forecast]]</f>
        <v>#DIV/0!</v>
      </c>
      <c r="AQ9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6" s="77"/>
      <c r="AS986" s="40" t="str">
        <f>IF(DaybyDay[[#This Row],[Retail Hours]]&gt;0,DaybyDay[[#This Row],[Retail Hours]]*$AS$2,"")</f>
        <v/>
      </c>
      <c r="AT986" s="40">
        <f>SUMIFS(DaybyDay[Est-Retail-Payroll],DaybyDay[Date],"&gt;="&amp;$C$5,DaybyDay[RowYear],"&gt;="&amp;$C$4,DaybyDay[Date],"&lt;="&amp;DaybyDay[[#This Row],[Date]])</f>
        <v>0</v>
      </c>
      <c r="AU986" s="82" t="str">
        <f>IF(AND(DaybyDay[[#This Row],[_Space]],ISNUMBER(DaybyDay[[#This Row],[Retail Hours]])),DaybyDay[[#This Row],[Est-Retail-Payroll]]/(DaybyDay[[#This Row],[Retail-Actuals]]),"")</f>
        <v/>
      </c>
      <c r="AV986" s="82" t="e">
        <f>DaybyDay[[#This Row],[Est-Retail-PayrollRU]]/DaybyDay[[#This Row],[Simple-Forecast-Retail]]</f>
        <v>#DIV/0!</v>
      </c>
      <c r="AW986" s="8"/>
      <c r="AX986" s="15"/>
      <c r="AY986" s="8"/>
    </row>
    <row r="987" spans="3:56" hidden="1" x14ac:dyDescent="0.25">
      <c r="C987" s="26" t="str">
        <f>Tools!$C$1</f>
        <v>Example</v>
      </c>
      <c r="D987" s="27" t="s">
        <v>76</v>
      </c>
      <c r="E987" s="28">
        <v>2019</v>
      </c>
      <c r="F987" s="28">
        <f>MATCH(DaybyDay[[#This Row],[RowMonth]],Table3[SummaryMonth],0)</f>
        <v>9</v>
      </c>
      <c r="G987" s="29">
        <f>MATCH(DaybyDay[[#This Row],[LY-Date]],DaybyDay[Date],0)</f>
        <v>617</v>
      </c>
      <c r="H987" s="30">
        <f>WEEKDAY(DaybyDay[[#This Row],[Date]])</f>
        <v>1</v>
      </c>
      <c r="I987" s="31">
        <v>43716</v>
      </c>
      <c r="J987" s="74">
        <v>21</v>
      </c>
      <c r="K987" s="32">
        <f>SUMIFS(BudgetSeasonality[365 Seasonality],BudgetSeasonality[MonthAdjustment],DaybyDay[[#This Row],[Date]])*SUMIFS(Budgets[Service-Budget],Budgets[BudgetMonth],DaybyDay[[#This Row],[RowMonth]],Budgets[BudgetYear],DaybyDay[[#This Row],[RowYear]])</f>
        <v>6984.3288382126157</v>
      </c>
      <c r="L987" s="75">
        <v>4835.66</v>
      </c>
      <c r="M987" s="32">
        <f>INDEX(BudgetSeasonality[365 Seasonality],MATCH(DaybyDay[[#This Row],[Date]],BudgetSeasonality[MonthAdjustment],0))*SUMIFS(Budgets[Retail-Budget],Budgets[BudgetMonth],DaybyDay[[#This Row],[RowMonth]],Budgets[BudgetYear],DaybyDay[[#This Row],[RowYear]])</f>
        <v>1659.6433389223994</v>
      </c>
      <c r="N987" s="75">
        <v>324</v>
      </c>
      <c r="O987" s="33">
        <f>SUMIFS(DaybyDay[Service-Budgets],DaybyDay[Date],"&gt;="&amp;$C$5,DaybyDay[RowYear],"&gt;="&amp;$C$4,DaybyDay[Date],"&lt;="&amp;DaybyDay[[#This Row],[Date]])</f>
        <v>0</v>
      </c>
      <c r="P987" s="33">
        <f>SUMIFS(DaybyDay[Retail-Budgets],DaybyDay[Date],"&gt;="&amp;$C$5,DaybyDay[RowYear],"&gt;="&amp;$C$4,DaybyDay[Date],"&lt;="&amp;DaybyDay[[#This Row],[Date]])</f>
        <v>0</v>
      </c>
      <c r="Q987" s="34">
        <f>SUMIFS(DaybyDay[Service-Actuals],DaybyDay[Date],"&gt;="&amp;$C$5,DaybyDay[RowYear],"&gt;="&amp;$C$4,DaybyDay[Date],"&lt;="&amp;DaybyDay[[#This Row],[Date]])</f>
        <v>0</v>
      </c>
      <c r="R987" s="34">
        <f>SUMIFS(DaybyDay[Retail-Actuals],DaybyDay[Date],"&gt;="&amp;$C$5,DaybyDay[RowYear],"&gt;="&amp;$C$4,DaybyDay[Date],"&lt;="&amp;DaybyDay[[#This Row],[Date]])</f>
        <v>0</v>
      </c>
      <c r="S987" s="35">
        <f>SUMIFS(DaybyDay[Service-LY],DaybyDay[Date],"&gt;="&amp;$C$5,DaybyDay[RowYear],"&gt;="&amp;$C$4,DaybyDay[Date],"&lt;="&amp;DaybyDay[[#This Row],[Date]])</f>
        <v>0</v>
      </c>
      <c r="T987" s="35">
        <f>SUMIFS(DaybyDay[Retail-LY],DaybyDay[Date],"&gt;="&amp;$C$5,DaybyDay[RowYear],"&gt;="&amp;$C$4,DaybyDay[Date],"&lt;="&amp;DaybyDay[[#This Row],[Date]])</f>
        <v>0</v>
      </c>
      <c r="U987" s="32">
        <f>DaybyDay[[#This Row],[Serv-Bud-RU]]+DaybyDay[[#This Row],[Ret-Bud-RU]]</f>
        <v>0</v>
      </c>
      <c r="V987" s="32">
        <f>DaybyDay[[#This Row],[Serv-Act-RU]]+DaybyDay[[#This Row],[Ret-Act-RU]]</f>
        <v>0</v>
      </c>
      <c r="W987" s="36">
        <f>IF(DaybyDay[[#This Row],[_Space]],IFERROR(
((DaybyDay[[#This Row],[Actual-Rollup]]-DaybyDay[[#This Row],[Budget-Rollup]])/DaybyDay[[#This Row],[Budget-Rollup]]),0),"")</f>
        <v>0</v>
      </c>
      <c r="X987" t="b">
        <f>NOT(AND(ISBLANK(DaybyDay[[#This Row],[Appts]]),ISBLANK(DaybyDay[[#This Row],[Service-Actuals]]),ISBLANK(DaybyDay[[#This Row],[Retail-Actuals]])))</f>
        <v>1</v>
      </c>
      <c r="Y987" s="36">
        <f>IF(DaybyDay[[#This Row],[_Space]],IFERROR(
((DaybyDay[[#This Row],[Actual-Rollup]]-DaybyDay[[#This Row],[LY-Rollup]])/DaybyDay[[#This Row],[LY-Rollup]]),0),"")</f>
        <v>0</v>
      </c>
      <c r="Z987"/>
      <c r="AA987" s="37" t="e">
        <f>IF(DaybyDay[[#This Row],[_Space]],DaybyDay[[#This Row],[Ret-Act-RU]]/DaybyDay[[#This Row],[Serv-Act-RU]],"")</f>
        <v>#DIV/0!</v>
      </c>
      <c r="AB987" s="50" t="e">
        <f>IF(DaybyDay[[#This Row],[_Space]],DaybyDay[[#This Row],[RETPEN-Act]]/DaybyDay[[#This Row],[RETPEN-Bud]],"")</f>
        <v>#DIV/0!</v>
      </c>
      <c r="AC987" s="37" t="e">
        <f>IF(DaybyDay[[#This Row],[_Space]],DaybyDay[[#This Row],[Ret-Bud-RU]]/DaybyDay[[#This Row],[Serv-Bud-RU]],"")</f>
        <v>#DIV/0!</v>
      </c>
      <c r="AD987" s="37" t="e">
        <f>IF(DaybyDay[[#This Row],[_Space]],DaybyDay[[#This Row],[Ret-LY-RU]]/DaybyDay[[#This Row],[Serv-LY-RU]],"")</f>
        <v>#DIV/0!</v>
      </c>
      <c r="AE987" s="30">
        <f>WEEKDAY(DaybyDay[[#This Row],[LY-Date]])</f>
        <v>1</v>
      </c>
      <c r="AF987" s="38">
        <f>$E$2+_xlfn.DAYS(DaybyDay[[#This Row],[Date]],minDate)</f>
        <v>43352</v>
      </c>
      <c r="AG987" s="39" cm="1">
        <f t="array" ref="AG987">IFERROR(INDEX(DaybyDay[],DaybyDay[[#This Row],[FORM_MATCH_HELPER]],8),"")</f>
        <v>20</v>
      </c>
      <c r="AH987" s="39" cm="1">
        <f t="array" ref="AH987">IFERROR(INDEX(DaybyDay[],DaybyDay[[#This Row],[FORM_MATCH_HELPER]],10),"")</f>
        <v>6450.5</v>
      </c>
      <c r="AI987" s="39" cm="1">
        <f t="array" ref="AI987">IFERROR(INDEX(DaybyDay[],DaybyDay[[#This Row],[FORM_MATCH_HELPER]],12),"")</f>
        <v>791.5</v>
      </c>
      <c r="AJ987" s="32">
        <f>IFERROR(DaybyDay[[#This Row],[Serv-LY-RU]]+DaybyDay[[#This Row],[Ret-LY-RU]],"")</f>
        <v>0</v>
      </c>
      <c r="AK9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7" s="77"/>
      <c r="AM987" s="40" t="str">
        <f>IF(DaybyDay[[#This Row],[Admin Hours]]&gt;0,DaybyDay[[#This Row],[Admin Hours]]*$AM$2+$AM$3,"")</f>
        <v/>
      </c>
      <c r="AN987" s="40">
        <f>SUMIFS(DaybyDay[Est-Admin-Payroll],DaybyDay[Date],"&gt;="&amp;$C$5,DaybyDay[RowYear],"&gt;="&amp;$C$4,DaybyDay[Date],"&lt;="&amp;DaybyDay[[#This Row],[Date]])</f>
        <v>0</v>
      </c>
      <c r="AO987" s="41" t="str">
        <f>IF(AND(DaybyDay[[#This Row],[_Space]],ISNUMBER(DaybyDay[[#This Row],[Admin Hours]])),DaybyDay[[#This Row],[Est-Admin-Payroll]]/(DaybyDay[[#This Row],[Service-Actuals]]+DaybyDay[[#This Row],[Retail-Actuals]]),"")</f>
        <v/>
      </c>
      <c r="AP987" s="41" t="e">
        <f>DaybyDay[[#This Row],[Estimated-Payroll-Rollup]]/DaybyDay[[#This Row],[Simple-Forecast]]</f>
        <v>#DIV/0!</v>
      </c>
      <c r="AQ9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7" s="77"/>
      <c r="AS987" s="40" t="str">
        <f>IF(DaybyDay[[#This Row],[Retail Hours]]&gt;0,DaybyDay[[#This Row],[Retail Hours]]*$AS$2,"")</f>
        <v/>
      </c>
      <c r="AT987" s="40">
        <f>SUMIFS(DaybyDay[Est-Retail-Payroll],DaybyDay[Date],"&gt;="&amp;$C$5,DaybyDay[RowYear],"&gt;="&amp;$C$4,DaybyDay[Date],"&lt;="&amp;DaybyDay[[#This Row],[Date]])</f>
        <v>0</v>
      </c>
      <c r="AU987" s="82" t="str">
        <f>IF(AND(DaybyDay[[#This Row],[_Space]],ISNUMBER(DaybyDay[[#This Row],[Retail Hours]])),DaybyDay[[#This Row],[Est-Retail-Payroll]]/(DaybyDay[[#This Row],[Retail-Actuals]]),"")</f>
        <v/>
      </c>
      <c r="AV987" s="82" t="e">
        <f>DaybyDay[[#This Row],[Est-Retail-PayrollRU]]/DaybyDay[[#This Row],[Simple-Forecast-Retail]]</f>
        <v>#DIV/0!</v>
      </c>
      <c r="AW987" s="8"/>
      <c r="AX987" s="15"/>
      <c r="AY987" s="8"/>
    </row>
    <row r="988" spans="3:56" hidden="1" x14ac:dyDescent="0.25">
      <c r="C988" s="26" t="str">
        <f>Tools!$C$1</f>
        <v>Example</v>
      </c>
      <c r="D988" s="27" t="s">
        <v>76</v>
      </c>
      <c r="E988" s="28">
        <v>2019</v>
      </c>
      <c r="F988" s="28">
        <f>MATCH(DaybyDay[[#This Row],[RowMonth]],Table3[SummaryMonth],0)</f>
        <v>9</v>
      </c>
      <c r="G988" s="29">
        <f>MATCH(DaybyDay[[#This Row],[LY-Date]],DaybyDay[Date],0)</f>
        <v>618</v>
      </c>
      <c r="H988" s="30">
        <f>WEEKDAY(DaybyDay[[#This Row],[Date]])</f>
        <v>2</v>
      </c>
      <c r="I988" s="31">
        <v>43717</v>
      </c>
      <c r="J988" s="74">
        <v>6</v>
      </c>
      <c r="K988" s="32">
        <f>SUMIFS(BudgetSeasonality[365 Seasonality],BudgetSeasonality[MonthAdjustment],DaybyDay[[#This Row],[Date]])*SUMIFS(Budgets[Service-Budget],Budgets[BudgetMonth],DaybyDay[[#This Row],[RowMonth]],Budgets[BudgetYear],DaybyDay[[#This Row],[RowYear]])</f>
        <v>3954.1078352185637</v>
      </c>
      <c r="L988" s="75">
        <v>1900</v>
      </c>
      <c r="M988" s="32">
        <f>INDEX(BudgetSeasonality[365 Seasonality],MATCH(DaybyDay[[#This Row],[Date]],BudgetSeasonality[MonthAdjustment],0))*SUMIFS(Budgets[Retail-Budget],Budgets[BudgetMonth],DaybyDay[[#This Row],[RowMonth]],Budgets[BudgetYear],DaybyDay[[#This Row],[RowYear]])</f>
        <v>939.59045773978278</v>
      </c>
      <c r="N988" s="75">
        <v>464.5</v>
      </c>
      <c r="O988" s="33">
        <f>SUMIFS(DaybyDay[Service-Budgets],DaybyDay[Date],"&gt;="&amp;$C$5,DaybyDay[RowYear],"&gt;="&amp;$C$4,DaybyDay[Date],"&lt;="&amp;DaybyDay[[#This Row],[Date]])</f>
        <v>0</v>
      </c>
      <c r="P988" s="33">
        <f>SUMIFS(DaybyDay[Retail-Budgets],DaybyDay[Date],"&gt;="&amp;$C$5,DaybyDay[RowYear],"&gt;="&amp;$C$4,DaybyDay[Date],"&lt;="&amp;DaybyDay[[#This Row],[Date]])</f>
        <v>0</v>
      </c>
      <c r="Q988" s="34">
        <f>SUMIFS(DaybyDay[Service-Actuals],DaybyDay[Date],"&gt;="&amp;$C$5,DaybyDay[RowYear],"&gt;="&amp;$C$4,DaybyDay[Date],"&lt;="&amp;DaybyDay[[#This Row],[Date]])</f>
        <v>0</v>
      </c>
      <c r="R988" s="34">
        <f>SUMIFS(DaybyDay[Retail-Actuals],DaybyDay[Date],"&gt;="&amp;$C$5,DaybyDay[RowYear],"&gt;="&amp;$C$4,DaybyDay[Date],"&lt;="&amp;DaybyDay[[#This Row],[Date]])</f>
        <v>0</v>
      </c>
      <c r="S988" s="35">
        <f>SUMIFS(DaybyDay[Service-LY],DaybyDay[Date],"&gt;="&amp;$C$5,DaybyDay[RowYear],"&gt;="&amp;$C$4,DaybyDay[Date],"&lt;="&amp;DaybyDay[[#This Row],[Date]])</f>
        <v>0</v>
      </c>
      <c r="T988" s="35">
        <f>SUMIFS(DaybyDay[Retail-LY],DaybyDay[Date],"&gt;="&amp;$C$5,DaybyDay[RowYear],"&gt;="&amp;$C$4,DaybyDay[Date],"&lt;="&amp;DaybyDay[[#This Row],[Date]])</f>
        <v>0</v>
      </c>
      <c r="U988" s="32">
        <f>DaybyDay[[#This Row],[Serv-Bud-RU]]+DaybyDay[[#This Row],[Ret-Bud-RU]]</f>
        <v>0</v>
      </c>
      <c r="V988" s="32">
        <f>DaybyDay[[#This Row],[Serv-Act-RU]]+DaybyDay[[#This Row],[Ret-Act-RU]]</f>
        <v>0</v>
      </c>
      <c r="W988" s="36">
        <f>IF(DaybyDay[[#This Row],[_Space]],IFERROR(
((DaybyDay[[#This Row],[Actual-Rollup]]-DaybyDay[[#This Row],[Budget-Rollup]])/DaybyDay[[#This Row],[Budget-Rollup]]),0),"")</f>
        <v>0</v>
      </c>
      <c r="X988" t="b">
        <f>NOT(AND(ISBLANK(DaybyDay[[#This Row],[Appts]]),ISBLANK(DaybyDay[[#This Row],[Service-Actuals]]),ISBLANK(DaybyDay[[#This Row],[Retail-Actuals]])))</f>
        <v>1</v>
      </c>
      <c r="Y988" s="36">
        <f>IF(DaybyDay[[#This Row],[_Space]],IFERROR(
((DaybyDay[[#This Row],[Actual-Rollup]]-DaybyDay[[#This Row],[LY-Rollup]])/DaybyDay[[#This Row],[LY-Rollup]]),0),"")</f>
        <v>0</v>
      </c>
      <c r="Z988"/>
      <c r="AA988" s="37" t="e">
        <f>IF(DaybyDay[[#This Row],[_Space]],DaybyDay[[#This Row],[Ret-Act-RU]]/DaybyDay[[#This Row],[Serv-Act-RU]],"")</f>
        <v>#DIV/0!</v>
      </c>
      <c r="AB988" s="50" t="e">
        <f>IF(DaybyDay[[#This Row],[_Space]],DaybyDay[[#This Row],[RETPEN-Act]]/DaybyDay[[#This Row],[RETPEN-Bud]],"")</f>
        <v>#DIV/0!</v>
      </c>
      <c r="AC988" s="37" t="e">
        <f>IF(DaybyDay[[#This Row],[_Space]],DaybyDay[[#This Row],[Ret-Bud-RU]]/DaybyDay[[#This Row],[Serv-Bud-RU]],"")</f>
        <v>#DIV/0!</v>
      </c>
      <c r="AD988" s="37" t="e">
        <f>IF(DaybyDay[[#This Row],[_Space]],DaybyDay[[#This Row],[Ret-LY-RU]]/DaybyDay[[#This Row],[Serv-LY-RU]],"")</f>
        <v>#DIV/0!</v>
      </c>
      <c r="AE988" s="30">
        <f>WEEKDAY(DaybyDay[[#This Row],[LY-Date]])</f>
        <v>2</v>
      </c>
      <c r="AF988" s="38">
        <f>$E$2+_xlfn.DAYS(DaybyDay[[#This Row],[Date]],minDate)</f>
        <v>43353</v>
      </c>
      <c r="AG988" s="39" cm="1">
        <f t="array" ref="AG988">IFERROR(INDEX(DaybyDay[],DaybyDay[[#This Row],[FORM_MATCH_HELPER]],8),"")</f>
        <v>14</v>
      </c>
      <c r="AH988" s="39" cm="1">
        <f t="array" ref="AH988">IFERROR(INDEX(DaybyDay[],DaybyDay[[#This Row],[FORM_MATCH_HELPER]],10),"")</f>
        <v>4020</v>
      </c>
      <c r="AI988" s="39" cm="1">
        <f t="array" ref="AI988">IFERROR(INDEX(DaybyDay[],DaybyDay[[#This Row],[FORM_MATCH_HELPER]],12),"")</f>
        <v>0</v>
      </c>
      <c r="AJ988" s="32">
        <f>IFERROR(DaybyDay[[#This Row],[Serv-LY-RU]]+DaybyDay[[#This Row],[Ret-LY-RU]],"")</f>
        <v>0</v>
      </c>
      <c r="AK9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8" s="77"/>
      <c r="AM988" s="40" t="str">
        <f>IF(DaybyDay[[#This Row],[Admin Hours]]&gt;0,DaybyDay[[#This Row],[Admin Hours]]*$AM$2+$AM$3,"")</f>
        <v/>
      </c>
      <c r="AN988" s="40">
        <f>SUMIFS(DaybyDay[Est-Admin-Payroll],DaybyDay[Date],"&gt;="&amp;$C$5,DaybyDay[RowYear],"&gt;="&amp;$C$4,DaybyDay[Date],"&lt;="&amp;DaybyDay[[#This Row],[Date]])</f>
        <v>0</v>
      </c>
      <c r="AO988" s="41" t="str">
        <f>IF(AND(DaybyDay[[#This Row],[_Space]],ISNUMBER(DaybyDay[[#This Row],[Admin Hours]])),DaybyDay[[#This Row],[Est-Admin-Payroll]]/(DaybyDay[[#This Row],[Service-Actuals]]+DaybyDay[[#This Row],[Retail-Actuals]]),"")</f>
        <v/>
      </c>
      <c r="AP988" s="41" t="e">
        <f>DaybyDay[[#This Row],[Estimated-Payroll-Rollup]]/DaybyDay[[#This Row],[Simple-Forecast]]</f>
        <v>#DIV/0!</v>
      </c>
      <c r="AQ9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8" s="77"/>
      <c r="AS988" s="40" t="str">
        <f>IF(DaybyDay[[#This Row],[Retail Hours]]&gt;0,DaybyDay[[#This Row],[Retail Hours]]*$AS$2,"")</f>
        <v/>
      </c>
      <c r="AT988" s="40">
        <f>SUMIFS(DaybyDay[Est-Retail-Payroll],DaybyDay[Date],"&gt;="&amp;$C$5,DaybyDay[RowYear],"&gt;="&amp;$C$4,DaybyDay[Date],"&lt;="&amp;DaybyDay[[#This Row],[Date]])</f>
        <v>0</v>
      </c>
      <c r="AU988" s="82" t="str">
        <f>IF(AND(DaybyDay[[#This Row],[_Space]],ISNUMBER(DaybyDay[[#This Row],[Retail Hours]])),DaybyDay[[#This Row],[Est-Retail-Payroll]]/(DaybyDay[[#This Row],[Retail-Actuals]]),"")</f>
        <v/>
      </c>
      <c r="AV988" s="82" t="e">
        <f>DaybyDay[[#This Row],[Est-Retail-PayrollRU]]/DaybyDay[[#This Row],[Simple-Forecast-Retail]]</f>
        <v>#DIV/0!</v>
      </c>
      <c r="AW988" s="8"/>
      <c r="AX988" s="15"/>
      <c r="AY988" s="8"/>
    </row>
    <row r="989" spans="3:56" hidden="1" x14ac:dyDescent="0.25">
      <c r="C989" s="26" t="str">
        <f>Tools!$C$1</f>
        <v>Example</v>
      </c>
      <c r="D989" s="27" t="s">
        <v>76</v>
      </c>
      <c r="E989" s="28">
        <v>2019</v>
      </c>
      <c r="F989" s="28">
        <f>MATCH(DaybyDay[[#This Row],[RowMonth]],Table3[SummaryMonth],0)</f>
        <v>9</v>
      </c>
      <c r="G989" s="29">
        <f>MATCH(DaybyDay[[#This Row],[LY-Date]],DaybyDay[Date],0)</f>
        <v>619</v>
      </c>
      <c r="H989" s="30">
        <f>WEEKDAY(DaybyDay[[#This Row],[Date]])</f>
        <v>3</v>
      </c>
      <c r="I989" s="31">
        <v>43718</v>
      </c>
      <c r="J989" s="74">
        <v>9</v>
      </c>
      <c r="K989" s="32">
        <f>SUMIFS(BudgetSeasonality[365 Seasonality],BudgetSeasonality[MonthAdjustment],DaybyDay[[#This Row],[Date]])*SUMIFS(Budgets[Service-Budget],Budgets[BudgetMonth],DaybyDay[[#This Row],[RowMonth]],Budgets[BudgetYear],DaybyDay[[#This Row],[RowYear]])</f>
        <v>4064.4038050980066</v>
      </c>
      <c r="L989" s="75">
        <v>1631.17</v>
      </c>
      <c r="M989" s="32">
        <f>INDEX(BudgetSeasonality[365 Seasonality],MATCH(DaybyDay[[#This Row],[Date]],BudgetSeasonality[MonthAdjustment],0))*SUMIFS(Budgets[Retail-Budget],Budgets[BudgetMonth],DaybyDay[[#This Row],[RowMonth]],Budgets[BudgetYear],DaybyDay[[#This Row],[RowYear]])</f>
        <v>965.79941438553669</v>
      </c>
      <c r="N989" s="75">
        <v>16.5</v>
      </c>
      <c r="O989" s="33">
        <f>SUMIFS(DaybyDay[Service-Budgets],DaybyDay[Date],"&gt;="&amp;$C$5,DaybyDay[RowYear],"&gt;="&amp;$C$4,DaybyDay[Date],"&lt;="&amp;DaybyDay[[#This Row],[Date]])</f>
        <v>0</v>
      </c>
      <c r="P989" s="33">
        <f>SUMIFS(DaybyDay[Retail-Budgets],DaybyDay[Date],"&gt;="&amp;$C$5,DaybyDay[RowYear],"&gt;="&amp;$C$4,DaybyDay[Date],"&lt;="&amp;DaybyDay[[#This Row],[Date]])</f>
        <v>0</v>
      </c>
      <c r="Q989" s="34">
        <f>SUMIFS(DaybyDay[Service-Actuals],DaybyDay[Date],"&gt;="&amp;$C$5,DaybyDay[RowYear],"&gt;="&amp;$C$4,DaybyDay[Date],"&lt;="&amp;DaybyDay[[#This Row],[Date]])</f>
        <v>0</v>
      </c>
      <c r="R989" s="34">
        <f>SUMIFS(DaybyDay[Retail-Actuals],DaybyDay[Date],"&gt;="&amp;$C$5,DaybyDay[RowYear],"&gt;="&amp;$C$4,DaybyDay[Date],"&lt;="&amp;DaybyDay[[#This Row],[Date]])</f>
        <v>0</v>
      </c>
      <c r="S989" s="35">
        <f>SUMIFS(DaybyDay[Service-LY],DaybyDay[Date],"&gt;="&amp;$C$5,DaybyDay[RowYear],"&gt;="&amp;$C$4,DaybyDay[Date],"&lt;="&amp;DaybyDay[[#This Row],[Date]])</f>
        <v>0</v>
      </c>
      <c r="T989" s="35">
        <f>SUMIFS(DaybyDay[Retail-LY],DaybyDay[Date],"&gt;="&amp;$C$5,DaybyDay[RowYear],"&gt;="&amp;$C$4,DaybyDay[Date],"&lt;="&amp;DaybyDay[[#This Row],[Date]])</f>
        <v>0</v>
      </c>
      <c r="U989" s="32">
        <f>DaybyDay[[#This Row],[Serv-Bud-RU]]+DaybyDay[[#This Row],[Ret-Bud-RU]]</f>
        <v>0</v>
      </c>
      <c r="V989" s="32">
        <f>DaybyDay[[#This Row],[Serv-Act-RU]]+DaybyDay[[#This Row],[Ret-Act-RU]]</f>
        <v>0</v>
      </c>
      <c r="W989" s="36">
        <f>IF(DaybyDay[[#This Row],[_Space]],IFERROR(
((DaybyDay[[#This Row],[Actual-Rollup]]-DaybyDay[[#This Row],[Budget-Rollup]])/DaybyDay[[#This Row],[Budget-Rollup]]),0),"")</f>
        <v>0</v>
      </c>
      <c r="X989" t="b">
        <f>NOT(AND(ISBLANK(DaybyDay[[#This Row],[Appts]]),ISBLANK(DaybyDay[[#This Row],[Service-Actuals]]),ISBLANK(DaybyDay[[#This Row],[Retail-Actuals]])))</f>
        <v>1</v>
      </c>
      <c r="Y989" s="36">
        <f>IF(DaybyDay[[#This Row],[_Space]],IFERROR(
((DaybyDay[[#This Row],[Actual-Rollup]]-DaybyDay[[#This Row],[LY-Rollup]])/DaybyDay[[#This Row],[LY-Rollup]]),0),"")</f>
        <v>0</v>
      </c>
      <c r="Z989"/>
      <c r="AA989" s="37" t="e">
        <f>IF(DaybyDay[[#This Row],[_Space]],DaybyDay[[#This Row],[Ret-Act-RU]]/DaybyDay[[#This Row],[Serv-Act-RU]],"")</f>
        <v>#DIV/0!</v>
      </c>
      <c r="AB989" s="50" t="e">
        <f>IF(DaybyDay[[#This Row],[_Space]],DaybyDay[[#This Row],[RETPEN-Act]]/DaybyDay[[#This Row],[RETPEN-Bud]],"")</f>
        <v>#DIV/0!</v>
      </c>
      <c r="AC989" s="37" t="e">
        <f>IF(DaybyDay[[#This Row],[_Space]],DaybyDay[[#This Row],[Ret-Bud-RU]]/DaybyDay[[#This Row],[Serv-Bud-RU]],"")</f>
        <v>#DIV/0!</v>
      </c>
      <c r="AD989" s="37" t="e">
        <f>IF(DaybyDay[[#This Row],[_Space]],DaybyDay[[#This Row],[Ret-LY-RU]]/DaybyDay[[#This Row],[Serv-LY-RU]],"")</f>
        <v>#DIV/0!</v>
      </c>
      <c r="AE989" s="30">
        <f>WEEKDAY(DaybyDay[[#This Row],[LY-Date]])</f>
        <v>3</v>
      </c>
      <c r="AF989" s="38">
        <f>$E$2+_xlfn.DAYS(DaybyDay[[#This Row],[Date]],minDate)</f>
        <v>43354</v>
      </c>
      <c r="AG989" s="39" cm="1">
        <f t="array" ref="AG989">IFERROR(INDEX(DaybyDay[],DaybyDay[[#This Row],[FORM_MATCH_HELPER]],8),"")</f>
        <v>15</v>
      </c>
      <c r="AH989" s="39" cm="1">
        <f t="array" ref="AH989">IFERROR(INDEX(DaybyDay[],DaybyDay[[#This Row],[FORM_MATCH_HELPER]],10),"")</f>
        <v>3140</v>
      </c>
      <c r="AI989" s="39" cm="1">
        <f t="array" ref="AI989">IFERROR(INDEX(DaybyDay[],DaybyDay[[#This Row],[FORM_MATCH_HELPER]],12),"")</f>
        <v>59</v>
      </c>
      <c r="AJ989" s="32">
        <f>IFERROR(DaybyDay[[#This Row],[Serv-LY-RU]]+DaybyDay[[#This Row],[Ret-LY-RU]],"")</f>
        <v>0</v>
      </c>
      <c r="AK9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89" s="77"/>
      <c r="AM989" s="40" t="str">
        <f>IF(DaybyDay[[#This Row],[Admin Hours]]&gt;0,DaybyDay[[#This Row],[Admin Hours]]*$AM$2+$AM$3,"")</f>
        <v/>
      </c>
      <c r="AN989" s="40">
        <f>SUMIFS(DaybyDay[Est-Admin-Payroll],DaybyDay[Date],"&gt;="&amp;$C$5,DaybyDay[RowYear],"&gt;="&amp;$C$4,DaybyDay[Date],"&lt;="&amp;DaybyDay[[#This Row],[Date]])</f>
        <v>0</v>
      </c>
      <c r="AO989" s="41" t="str">
        <f>IF(AND(DaybyDay[[#This Row],[_Space]],ISNUMBER(DaybyDay[[#This Row],[Admin Hours]])),DaybyDay[[#This Row],[Est-Admin-Payroll]]/(DaybyDay[[#This Row],[Service-Actuals]]+DaybyDay[[#This Row],[Retail-Actuals]]),"")</f>
        <v/>
      </c>
      <c r="AP989" s="41" t="e">
        <f>DaybyDay[[#This Row],[Estimated-Payroll-Rollup]]/DaybyDay[[#This Row],[Simple-Forecast]]</f>
        <v>#DIV/0!</v>
      </c>
      <c r="AQ9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89" s="77"/>
      <c r="AS989" s="40" t="str">
        <f>IF(DaybyDay[[#This Row],[Retail Hours]]&gt;0,DaybyDay[[#This Row],[Retail Hours]]*$AS$2,"")</f>
        <v/>
      </c>
      <c r="AT989" s="40">
        <f>SUMIFS(DaybyDay[Est-Retail-Payroll],DaybyDay[Date],"&gt;="&amp;$C$5,DaybyDay[RowYear],"&gt;="&amp;$C$4,DaybyDay[Date],"&lt;="&amp;DaybyDay[[#This Row],[Date]])</f>
        <v>0</v>
      </c>
      <c r="AU989" s="82" t="str">
        <f>IF(AND(DaybyDay[[#This Row],[_Space]],ISNUMBER(DaybyDay[[#This Row],[Retail Hours]])),DaybyDay[[#This Row],[Est-Retail-Payroll]]/(DaybyDay[[#This Row],[Retail-Actuals]]),"")</f>
        <v/>
      </c>
      <c r="AV989" s="82" t="e">
        <f>DaybyDay[[#This Row],[Est-Retail-PayrollRU]]/DaybyDay[[#This Row],[Simple-Forecast-Retail]]</f>
        <v>#DIV/0!</v>
      </c>
      <c r="AW989" s="8"/>
      <c r="AX989" s="15"/>
      <c r="AY989" s="8"/>
    </row>
    <row r="990" spans="3:56" hidden="1" x14ac:dyDescent="0.25">
      <c r="C990" s="26" t="str">
        <f>Tools!$C$1</f>
        <v>Example</v>
      </c>
      <c r="D990" s="27" t="s">
        <v>76</v>
      </c>
      <c r="E990" s="28">
        <v>2019</v>
      </c>
      <c r="F990" s="28">
        <f>MATCH(DaybyDay[[#This Row],[RowMonth]],Table3[SummaryMonth],0)</f>
        <v>9</v>
      </c>
      <c r="G990" s="29">
        <f>MATCH(DaybyDay[[#This Row],[LY-Date]],DaybyDay[Date],0)</f>
        <v>620</v>
      </c>
      <c r="H990" s="30">
        <f>WEEKDAY(DaybyDay[[#This Row],[Date]])</f>
        <v>4</v>
      </c>
      <c r="I990" s="31">
        <v>43719</v>
      </c>
      <c r="J990" s="74">
        <v>28</v>
      </c>
      <c r="K990" s="32">
        <f>SUMIFS(BudgetSeasonality[365 Seasonality],BudgetSeasonality[MonthAdjustment],DaybyDay[[#This Row],[Date]])*SUMIFS(Budgets[Service-Budget],Budgets[BudgetMonth],DaybyDay[[#This Row],[RowMonth]],Budgets[BudgetYear],DaybyDay[[#This Row],[RowYear]])</f>
        <v>4722.9046619353794</v>
      </c>
      <c r="L990" s="75">
        <v>4682.5200000000004</v>
      </c>
      <c r="M990" s="32">
        <f>INDEX(BudgetSeasonality[365 Seasonality],MATCH(DaybyDay[[#This Row],[Date]],BudgetSeasonality[MonthAdjustment],0))*SUMIFS(Budgets[Retail-Budget],Budgets[BudgetMonth],DaybyDay[[#This Row],[RowMonth]],Budgets[BudgetYear],DaybyDay[[#This Row],[RowYear]])</f>
        <v>1122.2749449684466</v>
      </c>
      <c r="N990" s="75">
        <v>986.08</v>
      </c>
      <c r="O990" s="33">
        <f>SUMIFS(DaybyDay[Service-Budgets],DaybyDay[Date],"&gt;="&amp;$C$5,DaybyDay[RowYear],"&gt;="&amp;$C$4,DaybyDay[Date],"&lt;="&amp;DaybyDay[[#This Row],[Date]])</f>
        <v>0</v>
      </c>
      <c r="P990" s="33">
        <f>SUMIFS(DaybyDay[Retail-Budgets],DaybyDay[Date],"&gt;="&amp;$C$5,DaybyDay[RowYear],"&gt;="&amp;$C$4,DaybyDay[Date],"&lt;="&amp;DaybyDay[[#This Row],[Date]])</f>
        <v>0</v>
      </c>
      <c r="Q990" s="34">
        <f>SUMIFS(DaybyDay[Service-Actuals],DaybyDay[Date],"&gt;="&amp;$C$5,DaybyDay[RowYear],"&gt;="&amp;$C$4,DaybyDay[Date],"&lt;="&amp;DaybyDay[[#This Row],[Date]])</f>
        <v>0</v>
      </c>
      <c r="R990" s="34">
        <f>SUMIFS(DaybyDay[Retail-Actuals],DaybyDay[Date],"&gt;="&amp;$C$5,DaybyDay[RowYear],"&gt;="&amp;$C$4,DaybyDay[Date],"&lt;="&amp;DaybyDay[[#This Row],[Date]])</f>
        <v>0</v>
      </c>
      <c r="S990" s="35">
        <f>SUMIFS(DaybyDay[Service-LY],DaybyDay[Date],"&gt;="&amp;$C$5,DaybyDay[RowYear],"&gt;="&amp;$C$4,DaybyDay[Date],"&lt;="&amp;DaybyDay[[#This Row],[Date]])</f>
        <v>0</v>
      </c>
      <c r="T990" s="35">
        <f>SUMIFS(DaybyDay[Retail-LY],DaybyDay[Date],"&gt;="&amp;$C$5,DaybyDay[RowYear],"&gt;="&amp;$C$4,DaybyDay[Date],"&lt;="&amp;DaybyDay[[#This Row],[Date]])</f>
        <v>0</v>
      </c>
      <c r="U990" s="32">
        <f>DaybyDay[[#This Row],[Serv-Bud-RU]]+DaybyDay[[#This Row],[Ret-Bud-RU]]</f>
        <v>0</v>
      </c>
      <c r="V990" s="32">
        <f>DaybyDay[[#This Row],[Serv-Act-RU]]+DaybyDay[[#This Row],[Ret-Act-RU]]</f>
        <v>0</v>
      </c>
      <c r="W990" s="36">
        <f>IF(DaybyDay[[#This Row],[_Space]],IFERROR(
((DaybyDay[[#This Row],[Actual-Rollup]]-DaybyDay[[#This Row],[Budget-Rollup]])/DaybyDay[[#This Row],[Budget-Rollup]]),0),"")</f>
        <v>0</v>
      </c>
      <c r="X990" t="b">
        <f>NOT(AND(ISBLANK(DaybyDay[[#This Row],[Appts]]),ISBLANK(DaybyDay[[#This Row],[Service-Actuals]]),ISBLANK(DaybyDay[[#This Row],[Retail-Actuals]])))</f>
        <v>1</v>
      </c>
      <c r="Y990" s="36">
        <f>IF(DaybyDay[[#This Row],[_Space]],IFERROR(
((DaybyDay[[#This Row],[Actual-Rollup]]-DaybyDay[[#This Row],[LY-Rollup]])/DaybyDay[[#This Row],[LY-Rollup]]),0),"")</f>
        <v>0</v>
      </c>
      <c r="Z990"/>
      <c r="AA990" s="37" t="e">
        <f>IF(DaybyDay[[#This Row],[_Space]],DaybyDay[[#This Row],[Ret-Act-RU]]/DaybyDay[[#This Row],[Serv-Act-RU]],"")</f>
        <v>#DIV/0!</v>
      </c>
      <c r="AB990" s="50" t="e">
        <f>IF(DaybyDay[[#This Row],[_Space]],DaybyDay[[#This Row],[RETPEN-Act]]/DaybyDay[[#This Row],[RETPEN-Bud]],"")</f>
        <v>#DIV/0!</v>
      </c>
      <c r="AC990" s="37" t="e">
        <f>IF(DaybyDay[[#This Row],[_Space]],DaybyDay[[#This Row],[Ret-Bud-RU]]/DaybyDay[[#This Row],[Serv-Bud-RU]],"")</f>
        <v>#DIV/0!</v>
      </c>
      <c r="AD990" s="37" t="e">
        <f>IF(DaybyDay[[#This Row],[_Space]],DaybyDay[[#This Row],[Ret-LY-RU]]/DaybyDay[[#This Row],[Serv-LY-RU]],"")</f>
        <v>#DIV/0!</v>
      </c>
      <c r="AE990" s="30">
        <f>WEEKDAY(DaybyDay[[#This Row],[LY-Date]])</f>
        <v>4</v>
      </c>
      <c r="AF990" s="38">
        <f>$E$2+_xlfn.DAYS(DaybyDay[[#This Row],[Date]],minDate)</f>
        <v>43355</v>
      </c>
      <c r="AG990" s="39" cm="1">
        <f t="array" ref="AG990">IFERROR(INDEX(DaybyDay[],DaybyDay[[#This Row],[FORM_MATCH_HELPER]],8),"")</f>
        <v>19</v>
      </c>
      <c r="AH990" s="39" cm="1">
        <f t="array" ref="AH990">IFERROR(INDEX(DaybyDay[],DaybyDay[[#This Row],[FORM_MATCH_HELPER]],10),"")</f>
        <v>3754.3</v>
      </c>
      <c r="AI990" s="39" cm="1">
        <f t="array" ref="AI990">IFERROR(INDEX(DaybyDay[],DaybyDay[[#This Row],[FORM_MATCH_HELPER]],12),"")</f>
        <v>1465.95</v>
      </c>
      <c r="AJ990" s="32">
        <f>IFERROR(DaybyDay[[#This Row],[Serv-LY-RU]]+DaybyDay[[#This Row],[Ret-LY-RU]],"")</f>
        <v>0</v>
      </c>
      <c r="AK9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0" s="77"/>
      <c r="AM990" s="40" t="str">
        <f>IF(DaybyDay[[#This Row],[Admin Hours]]&gt;0,DaybyDay[[#This Row],[Admin Hours]]*$AM$2+$AM$3,"")</f>
        <v/>
      </c>
      <c r="AN990" s="40">
        <f>SUMIFS(DaybyDay[Est-Admin-Payroll],DaybyDay[Date],"&gt;="&amp;$C$5,DaybyDay[RowYear],"&gt;="&amp;$C$4,DaybyDay[Date],"&lt;="&amp;DaybyDay[[#This Row],[Date]])</f>
        <v>0</v>
      </c>
      <c r="AO990" s="41" t="str">
        <f>IF(AND(DaybyDay[[#This Row],[_Space]],ISNUMBER(DaybyDay[[#This Row],[Admin Hours]])),DaybyDay[[#This Row],[Est-Admin-Payroll]]/(DaybyDay[[#This Row],[Service-Actuals]]+DaybyDay[[#This Row],[Retail-Actuals]]),"")</f>
        <v/>
      </c>
      <c r="AP990" s="41" t="e">
        <f>DaybyDay[[#This Row],[Estimated-Payroll-Rollup]]/DaybyDay[[#This Row],[Simple-Forecast]]</f>
        <v>#DIV/0!</v>
      </c>
      <c r="AQ9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0" s="77"/>
      <c r="AS990" s="40" t="str">
        <f>IF(DaybyDay[[#This Row],[Retail Hours]]&gt;0,DaybyDay[[#This Row],[Retail Hours]]*$AS$2,"")</f>
        <v/>
      </c>
      <c r="AT990" s="40">
        <f>SUMIFS(DaybyDay[Est-Retail-Payroll],DaybyDay[Date],"&gt;="&amp;$C$5,DaybyDay[RowYear],"&gt;="&amp;$C$4,DaybyDay[Date],"&lt;="&amp;DaybyDay[[#This Row],[Date]])</f>
        <v>0</v>
      </c>
      <c r="AU990" s="82" t="str">
        <f>IF(AND(DaybyDay[[#This Row],[_Space]],ISNUMBER(DaybyDay[[#This Row],[Retail Hours]])),DaybyDay[[#This Row],[Est-Retail-Payroll]]/(DaybyDay[[#This Row],[Retail-Actuals]]),"")</f>
        <v/>
      </c>
      <c r="AV990" s="82" t="e">
        <f>DaybyDay[[#This Row],[Est-Retail-PayrollRU]]/DaybyDay[[#This Row],[Simple-Forecast-Retail]]</f>
        <v>#DIV/0!</v>
      </c>
      <c r="AW990" s="8"/>
      <c r="AX990" s="15"/>
      <c r="AY990" s="8"/>
    </row>
    <row r="991" spans="3:56" hidden="1" x14ac:dyDescent="0.25">
      <c r="C991" s="26" t="str">
        <f>Tools!$C$1</f>
        <v>Example</v>
      </c>
      <c r="D991" s="27" t="s">
        <v>76</v>
      </c>
      <c r="E991" s="28">
        <v>2019</v>
      </c>
      <c r="F991" s="28">
        <f>MATCH(DaybyDay[[#This Row],[RowMonth]],Table3[SummaryMonth],0)</f>
        <v>9</v>
      </c>
      <c r="G991" s="29">
        <f>MATCH(DaybyDay[[#This Row],[LY-Date]],DaybyDay[Date],0)</f>
        <v>621</v>
      </c>
      <c r="H991" s="30">
        <f>WEEKDAY(DaybyDay[[#This Row],[Date]])</f>
        <v>5</v>
      </c>
      <c r="I991" s="31">
        <v>43720</v>
      </c>
      <c r="J991" s="74">
        <v>20</v>
      </c>
      <c r="K991" s="32">
        <f>SUMIFS(BudgetSeasonality[365 Seasonality],BudgetSeasonality[MonthAdjustment],DaybyDay[[#This Row],[Date]])*SUMIFS(Budgets[Service-Budget],Budgets[BudgetMonth],DaybyDay[[#This Row],[RowMonth]],Budgets[BudgetYear],DaybyDay[[#This Row],[RowYear]])</f>
        <v>4819.7285105156598</v>
      </c>
      <c r="L991" s="75">
        <v>4631.9900000000007</v>
      </c>
      <c r="M991" s="32">
        <f>INDEX(BudgetSeasonality[365 Seasonality],MATCH(DaybyDay[[#This Row],[Date]],BudgetSeasonality[MonthAdjustment],0))*SUMIFS(Budgets[Retail-Budget],Budgets[BudgetMonth],DaybyDay[[#This Row],[RowMonth]],Budgets[BudgetYear],DaybyDay[[#This Row],[RowYear]])</f>
        <v>1145.2826038383885</v>
      </c>
      <c r="N991" s="75">
        <v>476.15</v>
      </c>
      <c r="O991" s="33">
        <f>SUMIFS(DaybyDay[Service-Budgets],DaybyDay[Date],"&gt;="&amp;$C$5,DaybyDay[RowYear],"&gt;="&amp;$C$4,DaybyDay[Date],"&lt;="&amp;DaybyDay[[#This Row],[Date]])</f>
        <v>0</v>
      </c>
      <c r="P991" s="33">
        <f>SUMIFS(DaybyDay[Retail-Budgets],DaybyDay[Date],"&gt;="&amp;$C$5,DaybyDay[RowYear],"&gt;="&amp;$C$4,DaybyDay[Date],"&lt;="&amp;DaybyDay[[#This Row],[Date]])</f>
        <v>0</v>
      </c>
      <c r="Q991" s="34">
        <f>SUMIFS(DaybyDay[Service-Actuals],DaybyDay[Date],"&gt;="&amp;$C$5,DaybyDay[RowYear],"&gt;="&amp;$C$4,DaybyDay[Date],"&lt;="&amp;DaybyDay[[#This Row],[Date]])</f>
        <v>0</v>
      </c>
      <c r="R991" s="34">
        <f>SUMIFS(DaybyDay[Retail-Actuals],DaybyDay[Date],"&gt;="&amp;$C$5,DaybyDay[RowYear],"&gt;="&amp;$C$4,DaybyDay[Date],"&lt;="&amp;DaybyDay[[#This Row],[Date]])</f>
        <v>0</v>
      </c>
      <c r="S991" s="35">
        <f>SUMIFS(DaybyDay[Service-LY],DaybyDay[Date],"&gt;="&amp;$C$5,DaybyDay[RowYear],"&gt;="&amp;$C$4,DaybyDay[Date],"&lt;="&amp;DaybyDay[[#This Row],[Date]])</f>
        <v>0</v>
      </c>
      <c r="T991" s="35">
        <f>SUMIFS(DaybyDay[Retail-LY],DaybyDay[Date],"&gt;="&amp;$C$5,DaybyDay[RowYear],"&gt;="&amp;$C$4,DaybyDay[Date],"&lt;="&amp;DaybyDay[[#This Row],[Date]])</f>
        <v>0</v>
      </c>
      <c r="U991" s="32">
        <f>DaybyDay[[#This Row],[Serv-Bud-RU]]+DaybyDay[[#This Row],[Ret-Bud-RU]]</f>
        <v>0</v>
      </c>
      <c r="V991" s="32">
        <f>DaybyDay[[#This Row],[Serv-Act-RU]]+DaybyDay[[#This Row],[Ret-Act-RU]]</f>
        <v>0</v>
      </c>
      <c r="W991" s="36">
        <f>IF(DaybyDay[[#This Row],[_Space]],IFERROR(
((DaybyDay[[#This Row],[Actual-Rollup]]-DaybyDay[[#This Row],[Budget-Rollup]])/DaybyDay[[#This Row],[Budget-Rollup]]),0),"")</f>
        <v>0</v>
      </c>
      <c r="X991" t="b">
        <f>NOT(AND(ISBLANK(DaybyDay[[#This Row],[Appts]]),ISBLANK(DaybyDay[[#This Row],[Service-Actuals]]),ISBLANK(DaybyDay[[#This Row],[Retail-Actuals]])))</f>
        <v>1</v>
      </c>
      <c r="Y991" s="36">
        <f>IF(DaybyDay[[#This Row],[_Space]],IFERROR(
((DaybyDay[[#This Row],[Actual-Rollup]]-DaybyDay[[#This Row],[LY-Rollup]])/DaybyDay[[#This Row],[LY-Rollup]]),0),"")</f>
        <v>0</v>
      </c>
      <c r="Z991"/>
      <c r="AA991" s="37" t="e">
        <f>IF(DaybyDay[[#This Row],[_Space]],DaybyDay[[#This Row],[Ret-Act-RU]]/DaybyDay[[#This Row],[Serv-Act-RU]],"")</f>
        <v>#DIV/0!</v>
      </c>
      <c r="AB991" s="50" t="e">
        <f>IF(DaybyDay[[#This Row],[_Space]],DaybyDay[[#This Row],[RETPEN-Act]]/DaybyDay[[#This Row],[RETPEN-Bud]],"")</f>
        <v>#DIV/0!</v>
      </c>
      <c r="AC991" s="37" t="e">
        <f>IF(DaybyDay[[#This Row],[_Space]],DaybyDay[[#This Row],[Ret-Bud-RU]]/DaybyDay[[#This Row],[Serv-Bud-RU]],"")</f>
        <v>#DIV/0!</v>
      </c>
      <c r="AD991" s="37" t="e">
        <f>IF(DaybyDay[[#This Row],[_Space]],DaybyDay[[#This Row],[Ret-LY-RU]]/DaybyDay[[#This Row],[Serv-LY-RU]],"")</f>
        <v>#DIV/0!</v>
      </c>
      <c r="AE991" s="30">
        <f>WEEKDAY(DaybyDay[[#This Row],[LY-Date]])</f>
        <v>5</v>
      </c>
      <c r="AF991" s="38">
        <f>$E$2+_xlfn.DAYS(DaybyDay[[#This Row],[Date]],minDate)</f>
        <v>43356</v>
      </c>
      <c r="AG991" s="39" cm="1">
        <f t="array" ref="AG991">IFERROR(INDEX(DaybyDay[],DaybyDay[[#This Row],[FORM_MATCH_HELPER]],8),"")</f>
        <v>21</v>
      </c>
      <c r="AH991" s="39" cm="1">
        <f t="array" ref="AH991">IFERROR(INDEX(DaybyDay[],DaybyDay[[#This Row],[FORM_MATCH_HELPER]],10),"")</f>
        <v>4846.8900000000003</v>
      </c>
      <c r="AI991" s="39" cm="1">
        <f t="array" ref="AI991">IFERROR(INDEX(DaybyDay[],DaybyDay[[#This Row],[FORM_MATCH_HELPER]],12),"")</f>
        <v>625.5</v>
      </c>
      <c r="AJ991" s="32">
        <f>IFERROR(DaybyDay[[#This Row],[Serv-LY-RU]]+DaybyDay[[#This Row],[Ret-LY-RU]],"")</f>
        <v>0</v>
      </c>
      <c r="AK9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1" s="77"/>
      <c r="AM991" s="40" t="str">
        <f>IF(DaybyDay[[#This Row],[Admin Hours]]&gt;0,DaybyDay[[#This Row],[Admin Hours]]*$AM$2+$AM$3,"")</f>
        <v/>
      </c>
      <c r="AN991" s="40">
        <f>SUMIFS(DaybyDay[Est-Admin-Payroll],DaybyDay[Date],"&gt;="&amp;$C$5,DaybyDay[RowYear],"&gt;="&amp;$C$4,DaybyDay[Date],"&lt;="&amp;DaybyDay[[#This Row],[Date]])</f>
        <v>0</v>
      </c>
      <c r="AO991" s="41" t="str">
        <f>IF(AND(DaybyDay[[#This Row],[_Space]],ISNUMBER(DaybyDay[[#This Row],[Admin Hours]])),DaybyDay[[#This Row],[Est-Admin-Payroll]]/(DaybyDay[[#This Row],[Service-Actuals]]+DaybyDay[[#This Row],[Retail-Actuals]]),"")</f>
        <v/>
      </c>
      <c r="AP991" s="41" t="e">
        <f>DaybyDay[[#This Row],[Estimated-Payroll-Rollup]]/DaybyDay[[#This Row],[Simple-Forecast]]</f>
        <v>#DIV/0!</v>
      </c>
      <c r="AQ9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1" s="77"/>
      <c r="AS991" s="40" t="str">
        <f>IF(DaybyDay[[#This Row],[Retail Hours]]&gt;0,DaybyDay[[#This Row],[Retail Hours]]*$AS$2,"")</f>
        <v/>
      </c>
      <c r="AT991" s="40">
        <f>SUMIFS(DaybyDay[Est-Retail-Payroll],DaybyDay[Date],"&gt;="&amp;$C$5,DaybyDay[RowYear],"&gt;="&amp;$C$4,DaybyDay[Date],"&lt;="&amp;DaybyDay[[#This Row],[Date]])</f>
        <v>0</v>
      </c>
      <c r="AU991" s="82" t="str">
        <f>IF(AND(DaybyDay[[#This Row],[_Space]],ISNUMBER(DaybyDay[[#This Row],[Retail Hours]])),DaybyDay[[#This Row],[Est-Retail-Payroll]]/(DaybyDay[[#This Row],[Retail-Actuals]]),"")</f>
        <v/>
      </c>
      <c r="AV991" s="82" t="e">
        <f>DaybyDay[[#This Row],[Est-Retail-PayrollRU]]/DaybyDay[[#This Row],[Simple-Forecast-Retail]]</f>
        <v>#DIV/0!</v>
      </c>
      <c r="AW991" s="8"/>
      <c r="AX991" s="15"/>
      <c r="AY991" s="8"/>
    </row>
    <row r="992" spans="3:56" hidden="1" x14ac:dyDescent="0.25">
      <c r="C992" s="26" t="str">
        <f>Tools!$C$1</f>
        <v>Example</v>
      </c>
      <c r="D992" s="27" t="s">
        <v>76</v>
      </c>
      <c r="E992" s="28">
        <v>2019</v>
      </c>
      <c r="F992" s="28">
        <f>MATCH(DaybyDay[[#This Row],[RowMonth]],Table3[SummaryMonth],0)</f>
        <v>9</v>
      </c>
      <c r="G992" s="29">
        <f>MATCH(DaybyDay[[#This Row],[LY-Date]],DaybyDay[Date],0)</f>
        <v>622</v>
      </c>
      <c r="H992" s="30">
        <f>WEEKDAY(DaybyDay[[#This Row],[Date]])</f>
        <v>6</v>
      </c>
      <c r="I992" s="31">
        <v>43721</v>
      </c>
      <c r="J992" s="74">
        <v>28</v>
      </c>
      <c r="K992" s="32">
        <f>SUMIFS(BudgetSeasonality[365 Seasonality],BudgetSeasonality[MonthAdjustment],DaybyDay[[#This Row],[Date]])*SUMIFS(Budgets[Service-Budget],Budgets[BudgetMonth],DaybyDay[[#This Row],[RowMonth]],Budgets[BudgetYear],DaybyDay[[#This Row],[RowYear]])</f>
        <v>6077.3014061885287</v>
      </c>
      <c r="L992" s="75">
        <v>8022</v>
      </c>
      <c r="M992" s="32">
        <f>INDEX(BudgetSeasonality[365 Seasonality],MATCH(DaybyDay[[#This Row],[Date]],BudgetSeasonality[MonthAdjustment],0))*SUMIFS(Budgets[Retail-Budget],Budgets[BudgetMonth],DaybyDay[[#This Row],[RowMonth]],Budgets[BudgetYear],DaybyDay[[#This Row],[RowYear]])</f>
        <v>1444.1119585064819</v>
      </c>
      <c r="N992" s="75">
        <v>972.8</v>
      </c>
      <c r="O992" s="33">
        <f>SUMIFS(DaybyDay[Service-Budgets],DaybyDay[Date],"&gt;="&amp;$C$5,DaybyDay[RowYear],"&gt;="&amp;$C$4,DaybyDay[Date],"&lt;="&amp;DaybyDay[[#This Row],[Date]])</f>
        <v>0</v>
      </c>
      <c r="P992" s="33">
        <f>SUMIFS(DaybyDay[Retail-Budgets],DaybyDay[Date],"&gt;="&amp;$C$5,DaybyDay[RowYear],"&gt;="&amp;$C$4,DaybyDay[Date],"&lt;="&amp;DaybyDay[[#This Row],[Date]])</f>
        <v>0</v>
      </c>
      <c r="Q992" s="34">
        <f>SUMIFS(DaybyDay[Service-Actuals],DaybyDay[Date],"&gt;="&amp;$C$5,DaybyDay[RowYear],"&gt;="&amp;$C$4,DaybyDay[Date],"&lt;="&amp;DaybyDay[[#This Row],[Date]])</f>
        <v>0</v>
      </c>
      <c r="R992" s="34">
        <f>SUMIFS(DaybyDay[Retail-Actuals],DaybyDay[Date],"&gt;="&amp;$C$5,DaybyDay[RowYear],"&gt;="&amp;$C$4,DaybyDay[Date],"&lt;="&amp;DaybyDay[[#This Row],[Date]])</f>
        <v>0</v>
      </c>
      <c r="S992" s="35">
        <f>SUMIFS(DaybyDay[Service-LY],DaybyDay[Date],"&gt;="&amp;$C$5,DaybyDay[RowYear],"&gt;="&amp;$C$4,DaybyDay[Date],"&lt;="&amp;DaybyDay[[#This Row],[Date]])</f>
        <v>0</v>
      </c>
      <c r="T992" s="35">
        <f>SUMIFS(DaybyDay[Retail-LY],DaybyDay[Date],"&gt;="&amp;$C$5,DaybyDay[RowYear],"&gt;="&amp;$C$4,DaybyDay[Date],"&lt;="&amp;DaybyDay[[#This Row],[Date]])</f>
        <v>0</v>
      </c>
      <c r="U992" s="32">
        <f>DaybyDay[[#This Row],[Serv-Bud-RU]]+DaybyDay[[#This Row],[Ret-Bud-RU]]</f>
        <v>0</v>
      </c>
      <c r="V992" s="32">
        <f>DaybyDay[[#This Row],[Serv-Act-RU]]+DaybyDay[[#This Row],[Ret-Act-RU]]</f>
        <v>0</v>
      </c>
      <c r="W992" s="36">
        <f>IF(DaybyDay[[#This Row],[_Space]],IFERROR(
((DaybyDay[[#This Row],[Actual-Rollup]]-DaybyDay[[#This Row],[Budget-Rollup]])/DaybyDay[[#This Row],[Budget-Rollup]]),0),"")</f>
        <v>0</v>
      </c>
      <c r="X992" t="b">
        <f>NOT(AND(ISBLANK(DaybyDay[[#This Row],[Appts]]),ISBLANK(DaybyDay[[#This Row],[Service-Actuals]]),ISBLANK(DaybyDay[[#This Row],[Retail-Actuals]])))</f>
        <v>1</v>
      </c>
      <c r="Y992" s="36">
        <f>IF(DaybyDay[[#This Row],[_Space]],IFERROR(
((DaybyDay[[#This Row],[Actual-Rollup]]-DaybyDay[[#This Row],[LY-Rollup]])/DaybyDay[[#This Row],[LY-Rollup]]),0),"")</f>
        <v>0</v>
      </c>
      <c r="Z992"/>
      <c r="AA992" s="37" t="e">
        <f>IF(DaybyDay[[#This Row],[_Space]],DaybyDay[[#This Row],[Ret-Act-RU]]/DaybyDay[[#This Row],[Serv-Act-RU]],"")</f>
        <v>#DIV/0!</v>
      </c>
      <c r="AB992" s="50" t="e">
        <f>IF(DaybyDay[[#This Row],[_Space]],DaybyDay[[#This Row],[RETPEN-Act]]/DaybyDay[[#This Row],[RETPEN-Bud]],"")</f>
        <v>#DIV/0!</v>
      </c>
      <c r="AC992" s="37" t="e">
        <f>IF(DaybyDay[[#This Row],[_Space]],DaybyDay[[#This Row],[Ret-Bud-RU]]/DaybyDay[[#This Row],[Serv-Bud-RU]],"")</f>
        <v>#DIV/0!</v>
      </c>
      <c r="AD992" s="37" t="e">
        <f>IF(DaybyDay[[#This Row],[_Space]],DaybyDay[[#This Row],[Ret-LY-RU]]/DaybyDay[[#This Row],[Serv-LY-RU]],"")</f>
        <v>#DIV/0!</v>
      </c>
      <c r="AE992" s="30">
        <f>WEEKDAY(DaybyDay[[#This Row],[LY-Date]])</f>
        <v>6</v>
      </c>
      <c r="AF992" s="38">
        <f>$E$2+_xlfn.DAYS(DaybyDay[[#This Row],[Date]],minDate)</f>
        <v>43357</v>
      </c>
      <c r="AG992" s="39" cm="1">
        <f t="array" ref="AG992">IFERROR(INDEX(DaybyDay[],DaybyDay[[#This Row],[FORM_MATCH_HELPER]],8),"")</f>
        <v>27</v>
      </c>
      <c r="AH992" s="39" cm="1">
        <f t="array" ref="AH992">IFERROR(INDEX(DaybyDay[],DaybyDay[[#This Row],[FORM_MATCH_HELPER]],10),"")</f>
        <v>5672.72</v>
      </c>
      <c r="AI992" s="39" cm="1">
        <f t="array" ref="AI992">IFERROR(INDEX(DaybyDay[],DaybyDay[[#This Row],[FORM_MATCH_HELPER]],12),"")</f>
        <v>301.10000000000002</v>
      </c>
      <c r="AJ992" s="32">
        <f>IFERROR(DaybyDay[[#This Row],[Serv-LY-RU]]+DaybyDay[[#This Row],[Ret-LY-RU]],"")</f>
        <v>0</v>
      </c>
      <c r="AK9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2" s="77"/>
      <c r="AM992" s="40" t="str">
        <f>IF(DaybyDay[[#This Row],[Admin Hours]]&gt;0,DaybyDay[[#This Row],[Admin Hours]]*$AM$2+$AM$3,"")</f>
        <v/>
      </c>
      <c r="AN992" s="40">
        <f>SUMIFS(DaybyDay[Est-Admin-Payroll],DaybyDay[Date],"&gt;="&amp;$C$5,DaybyDay[RowYear],"&gt;="&amp;$C$4,DaybyDay[Date],"&lt;="&amp;DaybyDay[[#This Row],[Date]])</f>
        <v>0</v>
      </c>
      <c r="AO992" s="41" t="str">
        <f>IF(AND(DaybyDay[[#This Row],[_Space]],ISNUMBER(DaybyDay[[#This Row],[Admin Hours]])),DaybyDay[[#This Row],[Est-Admin-Payroll]]/(DaybyDay[[#This Row],[Service-Actuals]]+DaybyDay[[#This Row],[Retail-Actuals]]),"")</f>
        <v/>
      </c>
      <c r="AP992" s="41" t="e">
        <f>DaybyDay[[#This Row],[Estimated-Payroll-Rollup]]/DaybyDay[[#This Row],[Simple-Forecast]]</f>
        <v>#DIV/0!</v>
      </c>
      <c r="AQ9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2" s="77"/>
      <c r="AS992" s="40" t="str">
        <f>IF(DaybyDay[[#This Row],[Retail Hours]]&gt;0,DaybyDay[[#This Row],[Retail Hours]]*$AS$2,"")</f>
        <v/>
      </c>
      <c r="AT992" s="40">
        <f>SUMIFS(DaybyDay[Est-Retail-Payroll],DaybyDay[Date],"&gt;="&amp;$C$5,DaybyDay[RowYear],"&gt;="&amp;$C$4,DaybyDay[Date],"&lt;="&amp;DaybyDay[[#This Row],[Date]])</f>
        <v>0</v>
      </c>
      <c r="AU992" s="82" t="str">
        <f>IF(AND(DaybyDay[[#This Row],[_Space]],ISNUMBER(DaybyDay[[#This Row],[Retail Hours]])),DaybyDay[[#This Row],[Est-Retail-Payroll]]/(DaybyDay[[#This Row],[Retail-Actuals]]),"")</f>
        <v/>
      </c>
      <c r="AV992" s="82" t="e">
        <f>DaybyDay[[#This Row],[Est-Retail-PayrollRU]]/DaybyDay[[#This Row],[Simple-Forecast-Retail]]</f>
        <v>#DIV/0!</v>
      </c>
      <c r="AW992" s="8"/>
      <c r="AX992" s="15"/>
      <c r="AY992" s="8"/>
    </row>
    <row r="993" spans="3:51" hidden="1" x14ac:dyDescent="0.25">
      <c r="C993" s="26" t="str">
        <f>Tools!$C$1</f>
        <v>Example</v>
      </c>
      <c r="D993" s="27" t="s">
        <v>76</v>
      </c>
      <c r="E993" s="28">
        <v>2019</v>
      </c>
      <c r="F993" s="28">
        <f>MATCH(DaybyDay[[#This Row],[RowMonth]],Table3[SummaryMonth],0)</f>
        <v>9</v>
      </c>
      <c r="G993" s="29">
        <f>MATCH(DaybyDay[[#This Row],[LY-Date]],DaybyDay[Date],0)</f>
        <v>623</v>
      </c>
      <c r="H993" s="30">
        <f>WEEKDAY(DaybyDay[[#This Row],[Date]])</f>
        <v>7</v>
      </c>
      <c r="I993" s="31">
        <v>43722</v>
      </c>
      <c r="J993" s="74">
        <v>36</v>
      </c>
      <c r="K993" s="32">
        <f>SUMIFS(BudgetSeasonality[365 Seasonality],BudgetSeasonality[MonthAdjustment],DaybyDay[[#This Row],[Date]])*SUMIFS(Budgets[Service-Budget],Budgets[BudgetMonth],DaybyDay[[#This Row],[RowMonth]],Budgets[BudgetYear],DaybyDay[[#This Row],[RowYear]])</f>
        <v>8795.7136184627998</v>
      </c>
      <c r="L993" s="75">
        <v>8350.25</v>
      </c>
      <c r="M993" s="32">
        <f>INDEX(BudgetSeasonality[365 Seasonality],MATCH(DaybyDay[[#This Row],[Date]],BudgetSeasonality[MonthAdjustment],0))*SUMIFS(Budgets[Retail-Budget],Budgets[BudgetMonth],DaybyDay[[#This Row],[RowMonth]],Budgets[BudgetYear],DaybyDay[[#This Row],[RowYear]])</f>
        <v>2090.0716240741294</v>
      </c>
      <c r="N993" s="75">
        <v>2549.8000000000002</v>
      </c>
      <c r="O993" s="33">
        <f>SUMIFS(DaybyDay[Service-Budgets],DaybyDay[Date],"&gt;="&amp;$C$5,DaybyDay[RowYear],"&gt;="&amp;$C$4,DaybyDay[Date],"&lt;="&amp;DaybyDay[[#This Row],[Date]])</f>
        <v>0</v>
      </c>
      <c r="P993" s="33">
        <f>SUMIFS(DaybyDay[Retail-Budgets],DaybyDay[Date],"&gt;="&amp;$C$5,DaybyDay[RowYear],"&gt;="&amp;$C$4,DaybyDay[Date],"&lt;="&amp;DaybyDay[[#This Row],[Date]])</f>
        <v>0</v>
      </c>
      <c r="Q993" s="34">
        <f>SUMIFS(DaybyDay[Service-Actuals],DaybyDay[Date],"&gt;="&amp;$C$5,DaybyDay[RowYear],"&gt;="&amp;$C$4,DaybyDay[Date],"&lt;="&amp;DaybyDay[[#This Row],[Date]])</f>
        <v>0</v>
      </c>
      <c r="R993" s="34">
        <f>SUMIFS(DaybyDay[Retail-Actuals],DaybyDay[Date],"&gt;="&amp;$C$5,DaybyDay[RowYear],"&gt;="&amp;$C$4,DaybyDay[Date],"&lt;="&amp;DaybyDay[[#This Row],[Date]])</f>
        <v>0</v>
      </c>
      <c r="S993" s="35">
        <f>SUMIFS(DaybyDay[Service-LY],DaybyDay[Date],"&gt;="&amp;$C$5,DaybyDay[RowYear],"&gt;="&amp;$C$4,DaybyDay[Date],"&lt;="&amp;DaybyDay[[#This Row],[Date]])</f>
        <v>0</v>
      </c>
      <c r="T993" s="35">
        <f>SUMIFS(DaybyDay[Retail-LY],DaybyDay[Date],"&gt;="&amp;$C$5,DaybyDay[RowYear],"&gt;="&amp;$C$4,DaybyDay[Date],"&lt;="&amp;DaybyDay[[#This Row],[Date]])</f>
        <v>0</v>
      </c>
      <c r="U993" s="32">
        <f>DaybyDay[[#This Row],[Serv-Bud-RU]]+DaybyDay[[#This Row],[Ret-Bud-RU]]</f>
        <v>0</v>
      </c>
      <c r="V993" s="32">
        <f>DaybyDay[[#This Row],[Serv-Act-RU]]+DaybyDay[[#This Row],[Ret-Act-RU]]</f>
        <v>0</v>
      </c>
      <c r="W993" s="36">
        <f>IF(DaybyDay[[#This Row],[_Space]],IFERROR(
((DaybyDay[[#This Row],[Actual-Rollup]]-DaybyDay[[#This Row],[Budget-Rollup]])/DaybyDay[[#This Row],[Budget-Rollup]]),0),"")</f>
        <v>0</v>
      </c>
      <c r="X993" t="b">
        <f>NOT(AND(ISBLANK(DaybyDay[[#This Row],[Appts]]),ISBLANK(DaybyDay[[#This Row],[Service-Actuals]]),ISBLANK(DaybyDay[[#This Row],[Retail-Actuals]])))</f>
        <v>1</v>
      </c>
      <c r="Y993" s="36">
        <f>IF(DaybyDay[[#This Row],[_Space]],IFERROR(
((DaybyDay[[#This Row],[Actual-Rollup]]-DaybyDay[[#This Row],[LY-Rollup]])/DaybyDay[[#This Row],[LY-Rollup]]),0),"")</f>
        <v>0</v>
      </c>
      <c r="Z993"/>
      <c r="AA993" s="37" t="e">
        <f>IF(DaybyDay[[#This Row],[_Space]],DaybyDay[[#This Row],[Ret-Act-RU]]/DaybyDay[[#This Row],[Serv-Act-RU]],"")</f>
        <v>#DIV/0!</v>
      </c>
      <c r="AB993" s="50" t="e">
        <f>IF(DaybyDay[[#This Row],[_Space]],DaybyDay[[#This Row],[RETPEN-Act]]/DaybyDay[[#This Row],[RETPEN-Bud]],"")</f>
        <v>#DIV/0!</v>
      </c>
      <c r="AC993" s="37" t="e">
        <f>IF(DaybyDay[[#This Row],[_Space]],DaybyDay[[#This Row],[Ret-Bud-RU]]/DaybyDay[[#This Row],[Serv-Bud-RU]],"")</f>
        <v>#DIV/0!</v>
      </c>
      <c r="AD993" s="37" t="e">
        <f>IF(DaybyDay[[#This Row],[_Space]],DaybyDay[[#This Row],[Ret-LY-RU]]/DaybyDay[[#This Row],[Serv-LY-RU]],"")</f>
        <v>#DIV/0!</v>
      </c>
      <c r="AE993" s="30">
        <f>WEEKDAY(DaybyDay[[#This Row],[LY-Date]])</f>
        <v>7</v>
      </c>
      <c r="AF993" s="38">
        <f>$E$2+_xlfn.DAYS(DaybyDay[[#This Row],[Date]],minDate)</f>
        <v>43358</v>
      </c>
      <c r="AG993" s="39" cm="1">
        <f t="array" ref="AG993">IFERROR(INDEX(DaybyDay[],DaybyDay[[#This Row],[FORM_MATCH_HELPER]],8),"")</f>
        <v>32</v>
      </c>
      <c r="AH993" s="39" cm="1">
        <f t="array" ref="AH993">IFERROR(INDEX(DaybyDay[],DaybyDay[[#This Row],[FORM_MATCH_HELPER]],10),"")</f>
        <v>6987.4</v>
      </c>
      <c r="AI993" s="39" cm="1">
        <f t="array" ref="AI993">IFERROR(INDEX(DaybyDay[],DaybyDay[[#This Row],[FORM_MATCH_HELPER]],12),"")</f>
        <v>1221</v>
      </c>
      <c r="AJ993" s="32">
        <f>IFERROR(DaybyDay[[#This Row],[Serv-LY-RU]]+DaybyDay[[#This Row],[Ret-LY-RU]],"")</f>
        <v>0</v>
      </c>
      <c r="AK9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3" s="77"/>
      <c r="AM993" s="40" t="str">
        <f>IF(DaybyDay[[#This Row],[Admin Hours]]&gt;0,DaybyDay[[#This Row],[Admin Hours]]*$AM$2+$AM$3,"")</f>
        <v/>
      </c>
      <c r="AN993" s="40">
        <f>SUMIFS(DaybyDay[Est-Admin-Payroll],DaybyDay[Date],"&gt;="&amp;$C$5,DaybyDay[RowYear],"&gt;="&amp;$C$4,DaybyDay[Date],"&lt;="&amp;DaybyDay[[#This Row],[Date]])</f>
        <v>0</v>
      </c>
      <c r="AO993" s="41" t="str">
        <f>IF(AND(DaybyDay[[#This Row],[_Space]],ISNUMBER(DaybyDay[[#This Row],[Admin Hours]])),DaybyDay[[#This Row],[Est-Admin-Payroll]]/(DaybyDay[[#This Row],[Service-Actuals]]+DaybyDay[[#This Row],[Retail-Actuals]]),"")</f>
        <v/>
      </c>
      <c r="AP993" s="41" t="e">
        <f>DaybyDay[[#This Row],[Estimated-Payroll-Rollup]]/DaybyDay[[#This Row],[Simple-Forecast]]</f>
        <v>#DIV/0!</v>
      </c>
      <c r="AQ9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3" s="77"/>
      <c r="AS993" s="40" t="str">
        <f>IF(DaybyDay[[#This Row],[Retail Hours]]&gt;0,DaybyDay[[#This Row],[Retail Hours]]*$AS$2,"")</f>
        <v/>
      </c>
      <c r="AT993" s="40">
        <f>SUMIFS(DaybyDay[Est-Retail-Payroll],DaybyDay[Date],"&gt;="&amp;$C$5,DaybyDay[RowYear],"&gt;="&amp;$C$4,DaybyDay[Date],"&lt;="&amp;DaybyDay[[#This Row],[Date]])</f>
        <v>0</v>
      </c>
      <c r="AU993" s="82" t="str">
        <f>IF(AND(DaybyDay[[#This Row],[_Space]],ISNUMBER(DaybyDay[[#This Row],[Retail Hours]])),DaybyDay[[#This Row],[Est-Retail-Payroll]]/(DaybyDay[[#This Row],[Retail-Actuals]]),"")</f>
        <v/>
      </c>
      <c r="AV993" s="82" t="e">
        <f>DaybyDay[[#This Row],[Est-Retail-PayrollRU]]/DaybyDay[[#This Row],[Simple-Forecast-Retail]]</f>
        <v>#DIV/0!</v>
      </c>
      <c r="AW993" s="8"/>
      <c r="AX993" s="15"/>
      <c r="AY993" s="8"/>
    </row>
    <row r="994" spans="3:51" hidden="1" x14ac:dyDescent="0.25">
      <c r="C994" s="26" t="str">
        <f>Tools!$C$1</f>
        <v>Example</v>
      </c>
      <c r="D994" s="27" t="s">
        <v>76</v>
      </c>
      <c r="E994" s="28">
        <v>2019</v>
      </c>
      <c r="F994" s="28">
        <f>MATCH(DaybyDay[[#This Row],[RowMonth]],Table3[SummaryMonth],0)</f>
        <v>9</v>
      </c>
      <c r="G994" s="29">
        <f>MATCH(DaybyDay[[#This Row],[LY-Date]],DaybyDay[Date],0)</f>
        <v>624</v>
      </c>
      <c r="H994" s="30">
        <f>WEEKDAY(DaybyDay[[#This Row],[Date]])</f>
        <v>1</v>
      </c>
      <c r="I994" s="31">
        <v>43723</v>
      </c>
      <c r="J994" s="74">
        <v>28</v>
      </c>
      <c r="K994" s="32">
        <f>SUMIFS(BudgetSeasonality[365 Seasonality],BudgetSeasonality[MonthAdjustment],DaybyDay[[#This Row],[Date]])*SUMIFS(Budgets[Service-Budget],Budgets[BudgetMonth],DaybyDay[[#This Row],[RowMonth]],Budgets[BudgetYear],DaybyDay[[#This Row],[RowYear]])</f>
        <v>6700.9991177177035</v>
      </c>
      <c r="L994" s="75">
        <v>4394</v>
      </c>
      <c r="M994" s="32">
        <f>INDEX(BudgetSeasonality[365 Seasonality],MATCH(DaybyDay[[#This Row],[Date]],BudgetSeasonality[MonthAdjustment],0))*SUMIFS(Budgets[Retail-Budget],Budgets[BudgetMonth],DaybyDay[[#This Row],[RowMonth]],Budgets[BudgetYear],DaybyDay[[#This Row],[RowYear]])</f>
        <v>1592.3174305594614</v>
      </c>
      <c r="N994" s="75">
        <v>2613</v>
      </c>
      <c r="O994" s="33">
        <f>SUMIFS(DaybyDay[Service-Budgets],DaybyDay[Date],"&gt;="&amp;$C$5,DaybyDay[RowYear],"&gt;="&amp;$C$4,DaybyDay[Date],"&lt;="&amp;DaybyDay[[#This Row],[Date]])</f>
        <v>0</v>
      </c>
      <c r="P994" s="33">
        <f>SUMIFS(DaybyDay[Retail-Budgets],DaybyDay[Date],"&gt;="&amp;$C$5,DaybyDay[RowYear],"&gt;="&amp;$C$4,DaybyDay[Date],"&lt;="&amp;DaybyDay[[#This Row],[Date]])</f>
        <v>0</v>
      </c>
      <c r="Q994" s="34">
        <f>SUMIFS(DaybyDay[Service-Actuals],DaybyDay[Date],"&gt;="&amp;$C$5,DaybyDay[RowYear],"&gt;="&amp;$C$4,DaybyDay[Date],"&lt;="&amp;DaybyDay[[#This Row],[Date]])</f>
        <v>0</v>
      </c>
      <c r="R994" s="34">
        <f>SUMIFS(DaybyDay[Retail-Actuals],DaybyDay[Date],"&gt;="&amp;$C$5,DaybyDay[RowYear],"&gt;="&amp;$C$4,DaybyDay[Date],"&lt;="&amp;DaybyDay[[#This Row],[Date]])</f>
        <v>0</v>
      </c>
      <c r="S994" s="35">
        <f>SUMIFS(DaybyDay[Service-LY],DaybyDay[Date],"&gt;="&amp;$C$5,DaybyDay[RowYear],"&gt;="&amp;$C$4,DaybyDay[Date],"&lt;="&amp;DaybyDay[[#This Row],[Date]])</f>
        <v>0</v>
      </c>
      <c r="T994" s="35">
        <f>SUMIFS(DaybyDay[Retail-LY],DaybyDay[Date],"&gt;="&amp;$C$5,DaybyDay[RowYear],"&gt;="&amp;$C$4,DaybyDay[Date],"&lt;="&amp;DaybyDay[[#This Row],[Date]])</f>
        <v>0</v>
      </c>
      <c r="U994" s="32">
        <f>DaybyDay[[#This Row],[Serv-Bud-RU]]+DaybyDay[[#This Row],[Ret-Bud-RU]]</f>
        <v>0</v>
      </c>
      <c r="V994" s="32">
        <f>DaybyDay[[#This Row],[Serv-Act-RU]]+DaybyDay[[#This Row],[Ret-Act-RU]]</f>
        <v>0</v>
      </c>
      <c r="W994" s="36">
        <f>IF(DaybyDay[[#This Row],[_Space]],IFERROR(
((DaybyDay[[#This Row],[Actual-Rollup]]-DaybyDay[[#This Row],[Budget-Rollup]])/DaybyDay[[#This Row],[Budget-Rollup]]),0),"")</f>
        <v>0</v>
      </c>
      <c r="X994" t="b">
        <f>NOT(AND(ISBLANK(DaybyDay[[#This Row],[Appts]]),ISBLANK(DaybyDay[[#This Row],[Service-Actuals]]),ISBLANK(DaybyDay[[#This Row],[Retail-Actuals]])))</f>
        <v>1</v>
      </c>
      <c r="Y994" s="36">
        <f>IF(DaybyDay[[#This Row],[_Space]],IFERROR(
((DaybyDay[[#This Row],[Actual-Rollup]]-DaybyDay[[#This Row],[LY-Rollup]])/DaybyDay[[#This Row],[LY-Rollup]]),0),"")</f>
        <v>0</v>
      </c>
      <c r="Z994"/>
      <c r="AA994" s="37" t="e">
        <f>IF(DaybyDay[[#This Row],[_Space]],DaybyDay[[#This Row],[Ret-Act-RU]]/DaybyDay[[#This Row],[Serv-Act-RU]],"")</f>
        <v>#DIV/0!</v>
      </c>
      <c r="AB994" s="50" t="e">
        <f>IF(DaybyDay[[#This Row],[_Space]],DaybyDay[[#This Row],[RETPEN-Act]]/DaybyDay[[#This Row],[RETPEN-Bud]],"")</f>
        <v>#DIV/0!</v>
      </c>
      <c r="AC994" s="37" t="e">
        <f>IF(DaybyDay[[#This Row],[_Space]],DaybyDay[[#This Row],[Ret-Bud-RU]]/DaybyDay[[#This Row],[Serv-Bud-RU]],"")</f>
        <v>#DIV/0!</v>
      </c>
      <c r="AD994" s="37" t="e">
        <f>IF(DaybyDay[[#This Row],[_Space]],DaybyDay[[#This Row],[Ret-LY-RU]]/DaybyDay[[#This Row],[Serv-LY-RU]],"")</f>
        <v>#DIV/0!</v>
      </c>
      <c r="AE994" s="30">
        <f>WEEKDAY(DaybyDay[[#This Row],[LY-Date]])</f>
        <v>1</v>
      </c>
      <c r="AF994" s="38">
        <f>$E$2+_xlfn.DAYS(DaybyDay[[#This Row],[Date]],minDate)</f>
        <v>43359</v>
      </c>
      <c r="AG994" s="39" cm="1">
        <f t="array" ref="AG994">IFERROR(INDEX(DaybyDay[],DaybyDay[[#This Row],[FORM_MATCH_HELPER]],8),"")</f>
        <v>22</v>
      </c>
      <c r="AH994" s="39" cm="1">
        <f t="array" ref="AH994">IFERROR(INDEX(DaybyDay[],DaybyDay[[#This Row],[FORM_MATCH_HELPER]],10),"")</f>
        <v>5805</v>
      </c>
      <c r="AI994" s="39" cm="1">
        <f t="array" ref="AI994">IFERROR(INDEX(DaybyDay[],DaybyDay[[#This Row],[FORM_MATCH_HELPER]],12),"")</f>
        <v>163.75</v>
      </c>
      <c r="AJ994" s="32">
        <f>IFERROR(DaybyDay[[#This Row],[Serv-LY-RU]]+DaybyDay[[#This Row],[Ret-LY-RU]],"")</f>
        <v>0</v>
      </c>
      <c r="AK9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4" s="77"/>
      <c r="AM994" s="40" t="str">
        <f>IF(DaybyDay[[#This Row],[Admin Hours]]&gt;0,DaybyDay[[#This Row],[Admin Hours]]*$AM$2+$AM$3,"")</f>
        <v/>
      </c>
      <c r="AN994" s="40">
        <f>SUMIFS(DaybyDay[Est-Admin-Payroll],DaybyDay[Date],"&gt;="&amp;$C$5,DaybyDay[RowYear],"&gt;="&amp;$C$4,DaybyDay[Date],"&lt;="&amp;DaybyDay[[#This Row],[Date]])</f>
        <v>0</v>
      </c>
      <c r="AO994" s="41" t="str">
        <f>IF(AND(DaybyDay[[#This Row],[_Space]],ISNUMBER(DaybyDay[[#This Row],[Admin Hours]])),DaybyDay[[#This Row],[Est-Admin-Payroll]]/(DaybyDay[[#This Row],[Service-Actuals]]+DaybyDay[[#This Row],[Retail-Actuals]]),"")</f>
        <v/>
      </c>
      <c r="AP994" s="41" t="e">
        <f>DaybyDay[[#This Row],[Estimated-Payroll-Rollup]]/DaybyDay[[#This Row],[Simple-Forecast]]</f>
        <v>#DIV/0!</v>
      </c>
      <c r="AQ9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4" s="77"/>
      <c r="AS994" s="40" t="str">
        <f>IF(DaybyDay[[#This Row],[Retail Hours]]&gt;0,DaybyDay[[#This Row],[Retail Hours]]*$AS$2,"")</f>
        <v/>
      </c>
      <c r="AT994" s="40">
        <f>SUMIFS(DaybyDay[Est-Retail-Payroll],DaybyDay[Date],"&gt;="&amp;$C$5,DaybyDay[RowYear],"&gt;="&amp;$C$4,DaybyDay[Date],"&lt;="&amp;DaybyDay[[#This Row],[Date]])</f>
        <v>0</v>
      </c>
      <c r="AU994" s="82" t="str">
        <f>IF(AND(DaybyDay[[#This Row],[_Space]],ISNUMBER(DaybyDay[[#This Row],[Retail Hours]])),DaybyDay[[#This Row],[Est-Retail-Payroll]]/(DaybyDay[[#This Row],[Retail-Actuals]]),"")</f>
        <v/>
      </c>
      <c r="AV994" s="82" t="e">
        <f>DaybyDay[[#This Row],[Est-Retail-PayrollRU]]/DaybyDay[[#This Row],[Simple-Forecast-Retail]]</f>
        <v>#DIV/0!</v>
      </c>
      <c r="AW994" s="8"/>
      <c r="AX994" s="15"/>
      <c r="AY994" s="8"/>
    </row>
    <row r="995" spans="3:51" hidden="1" x14ac:dyDescent="0.25">
      <c r="C995" s="26" t="str">
        <f>Tools!$C$1</f>
        <v>Example</v>
      </c>
      <c r="D995" s="27" t="s">
        <v>76</v>
      </c>
      <c r="E995" s="28">
        <v>2019</v>
      </c>
      <c r="F995" s="28">
        <f>MATCH(DaybyDay[[#This Row],[RowMonth]],Table3[SummaryMonth],0)</f>
        <v>9</v>
      </c>
      <c r="G995" s="29">
        <f>MATCH(DaybyDay[[#This Row],[LY-Date]],DaybyDay[Date],0)</f>
        <v>625</v>
      </c>
      <c r="H995" s="30">
        <f>WEEKDAY(DaybyDay[[#This Row],[Date]])</f>
        <v>2</v>
      </c>
      <c r="I995" s="31">
        <v>43724</v>
      </c>
      <c r="J995" s="74">
        <v>19</v>
      </c>
      <c r="K995" s="32">
        <f>SUMIFS(BudgetSeasonality[365 Seasonality],BudgetSeasonality[MonthAdjustment],DaybyDay[[#This Row],[Date]])*SUMIFS(Budgets[Service-Budget],Budgets[BudgetMonth],DaybyDay[[#This Row],[RowMonth]],Budgets[BudgetYear],DaybyDay[[#This Row],[RowYear]])</f>
        <v>3670.2136622672383</v>
      </c>
      <c r="L995" s="75">
        <v>3401.7700000000004</v>
      </c>
      <c r="M995" s="32">
        <f>INDEX(BudgetSeasonality[365 Seasonality],MATCH(DaybyDay[[#This Row],[Date]],BudgetSeasonality[MonthAdjustment],0))*SUMIFS(Budgets[Retail-Budget],Budgets[BudgetMonth],DaybyDay[[#This Row],[RowMonth]],Budgets[BudgetYear],DaybyDay[[#This Row],[RowYear]])</f>
        <v>872.13042199236406</v>
      </c>
      <c r="N995" s="75">
        <v>1617</v>
      </c>
      <c r="O995" s="33">
        <f>SUMIFS(DaybyDay[Service-Budgets],DaybyDay[Date],"&gt;="&amp;$C$5,DaybyDay[RowYear],"&gt;="&amp;$C$4,DaybyDay[Date],"&lt;="&amp;DaybyDay[[#This Row],[Date]])</f>
        <v>0</v>
      </c>
      <c r="P995" s="33">
        <f>SUMIFS(DaybyDay[Retail-Budgets],DaybyDay[Date],"&gt;="&amp;$C$5,DaybyDay[RowYear],"&gt;="&amp;$C$4,DaybyDay[Date],"&lt;="&amp;DaybyDay[[#This Row],[Date]])</f>
        <v>0</v>
      </c>
      <c r="Q995" s="34">
        <f>SUMIFS(DaybyDay[Service-Actuals],DaybyDay[Date],"&gt;="&amp;$C$5,DaybyDay[RowYear],"&gt;="&amp;$C$4,DaybyDay[Date],"&lt;="&amp;DaybyDay[[#This Row],[Date]])</f>
        <v>0</v>
      </c>
      <c r="R995" s="34">
        <f>SUMIFS(DaybyDay[Retail-Actuals],DaybyDay[Date],"&gt;="&amp;$C$5,DaybyDay[RowYear],"&gt;="&amp;$C$4,DaybyDay[Date],"&lt;="&amp;DaybyDay[[#This Row],[Date]])</f>
        <v>0</v>
      </c>
      <c r="S995" s="35">
        <f>SUMIFS(DaybyDay[Service-LY],DaybyDay[Date],"&gt;="&amp;$C$5,DaybyDay[RowYear],"&gt;="&amp;$C$4,DaybyDay[Date],"&lt;="&amp;DaybyDay[[#This Row],[Date]])</f>
        <v>0</v>
      </c>
      <c r="T995" s="35">
        <f>SUMIFS(DaybyDay[Retail-LY],DaybyDay[Date],"&gt;="&amp;$C$5,DaybyDay[RowYear],"&gt;="&amp;$C$4,DaybyDay[Date],"&lt;="&amp;DaybyDay[[#This Row],[Date]])</f>
        <v>0</v>
      </c>
      <c r="U995" s="32">
        <f>DaybyDay[[#This Row],[Serv-Bud-RU]]+DaybyDay[[#This Row],[Ret-Bud-RU]]</f>
        <v>0</v>
      </c>
      <c r="V995" s="32">
        <f>DaybyDay[[#This Row],[Serv-Act-RU]]+DaybyDay[[#This Row],[Ret-Act-RU]]</f>
        <v>0</v>
      </c>
      <c r="W995" s="36">
        <f>IF(DaybyDay[[#This Row],[_Space]],IFERROR(
((DaybyDay[[#This Row],[Actual-Rollup]]-DaybyDay[[#This Row],[Budget-Rollup]])/DaybyDay[[#This Row],[Budget-Rollup]]),0),"")</f>
        <v>0</v>
      </c>
      <c r="X995" t="b">
        <f>NOT(AND(ISBLANK(DaybyDay[[#This Row],[Appts]]),ISBLANK(DaybyDay[[#This Row],[Service-Actuals]]),ISBLANK(DaybyDay[[#This Row],[Retail-Actuals]])))</f>
        <v>1</v>
      </c>
      <c r="Y995" s="36">
        <f>IF(DaybyDay[[#This Row],[_Space]],IFERROR(
((DaybyDay[[#This Row],[Actual-Rollup]]-DaybyDay[[#This Row],[LY-Rollup]])/DaybyDay[[#This Row],[LY-Rollup]]),0),"")</f>
        <v>0</v>
      </c>
      <c r="Z995"/>
      <c r="AA995" s="37" t="e">
        <f>IF(DaybyDay[[#This Row],[_Space]],DaybyDay[[#This Row],[Ret-Act-RU]]/DaybyDay[[#This Row],[Serv-Act-RU]],"")</f>
        <v>#DIV/0!</v>
      </c>
      <c r="AB995" s="50" t="e">
        <f>IF(DaybyDay[[#This Row],[_Space]],DaybyDay[[#This Row],[RETPEN-Act]]/DaybyDay[[#This Row],[RETPEN-Bud]],"")</f>
        <v>#DIV/0!</v>
      </c>
      <c r="AC995" s="37" t="e">
        <f>IF(DaybyDay[[#This Row],[_Space]],DaybyDay[[#This Row],[Ret-Bud-RU]]/DaybyDay[[#This Row],[Serv-Bud-RU]],"")</f>
        <v>#DIV/0!</v>
      </c>
      <c r="AD995" s="37" t="e">
        <f>IF(DaybyDay[[#This Row],[_Space]],DaybyDay[[#This Row],[Ret-LY-RU]]/DaybyDay[[#This Row],[Serv-LY-RU]],"")</f>
        <v>#DIV/0!</v>
      </c>
      <c r="AE995" s="30">
        <f>WEEKDAY(DaybyDay[[#This Row],[LY-Date]])</f>
        <v>2</v>
      </c>
      <c r="AF995" s="38">
        <f>$E$2+_xlfn.DAYS(DaybyDay[[#This Row],[Date]],minDate)</f>
        <v>43360</v>
      </c>
      <c r="AG995" s="39" cm="1">
        <f t="array" ref="AG995">IFERROR(INDEX(DaybyDay[],DaybyDay[[#This Row],[FORM_MATCH_HELPER]],8),"")</f>
        <v>6</v>
      </c>
      <c r="AH995" s="39" cm="1">
        <f t="array" ref="AH995">IFERROR(INDEX(DaybyDay[],DaybyDay[[#This Row],[FORM_MATCH_HELPER]],10),"")</f>
        <v>1298.3499999999999</v>
      </c>
      <c r="AI995" s="39" cm="1">
        <f t="array" ref="AI995">IFERROR(INDEX(DaybyDay[],DaybyDay[[#This Row],[FORM_MATCH_HELPER]],12),"")</f>
        <v>155</v>
      </c>
      <c r="AJ995" s="32">
        <f>IFERROR(DaybyDay[[#This Row],[Serv-LY-RU]]+DaybyDay[[#This Row],[Ret-LY-RU]],"")</f>
        <v>0</v>
      </c>
      <c r="AK9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5" s="77"/>
      <c r="AM995" s="40" t="str">
        <f>IF(DaybyDay[[#This Row],[Admin Hours]]&gt;0,DaybyDay[[#This Row],[Admin Hours]]*$AM$2+$AM$3,"")</f>
        <v/>
      </c>
      <c r="AN995" s="40">
        <f>SUMIFS(DaybyDay[Est-Admin-Payroll],DaybyDay[Date],"&gt;="&amp;$C$5,DaybyDay[RowYear],"&gt;="&amp;$C$4,DaybyDay[Date],"&lt;="&amp;DaybyDay[[#This Row],[Date]])</f>
        <v>0</v>
      </c>
      <c r="AO995" s="41" t="str">
        <f>IF(AND(DaybyDay[[#This Row],[_Space]],ISNUMBER(DaybyDay[[#This Row],[Admin Hours]])),DaybyDay[[#This Row],[Est-Admin-Payroll]]/(DaybyDay[[#This Row],[Service-Actuals]]+DaybyDay[[#This Row],[Retail-Actuals]]),"")</f>
        <v/>
      </c>
      <c r="AP995" s="41" t="e">
        <f>DaybyDay[[#This Row],[Estimated-Payroll-Rollup]]/DaybyDay[[#This Row],[Simple-Forecast]]</f>
        <v>#DIV/0!</v>
      </c>
      <c r="AQ9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5" s="77"/>
      <c r="AS995" s="40" t="str">
        <f>IF(DaybyDay[[#This Row],[Retail Hours]]&gt;0,DaybyDay[[#This Row],[Retail Hours]]*$AS$2,"")</f>
        <v/>
      </c>
      <c r="AT995" s="40">
        <f>SUMIFS(DaybyDay[Est-Retail-Payroll],DaybyDay[Date],"&gt;="&amp;$C$5,DaybyDay[RowYear],"&gt;="&amp;$C$4,DaybyDay[Date],"&lt;="&amp;DaybyDay[[#This Row],[Date]])</f>
        <v>0</v>
      </c>
      <c r="AU995" s="82" t="str">
        <f>IF(AND(DaybyDay[[#This Row],[_Space]],ISNUMBER(DaybyDay[[#This Row],[Retail Hours]])),DaybyDay[[#This Row],[Est-Retail-Payroll]]/(DaybyDay[[#This Row],[Retail-Actuals]]),"")</f>
        <v/>
      </c>
      <c r="AV995" s="82" t="e">
        <f>DaybyDay[[#This Row],[Est-Retail-PayrollRU]]/DaybyDay[[#This Row],[Simple-Forecast-Retail]]</f>
        <v>#DIV/0!</v>
      </c>
      <c r="AW995" s="8"/>
      <c r="AX995" s="15"/>
      <c r="AY995" s="8"/>
    </row>
    <row r="996" spans="3:51" hidden="1" x14ac:dyDescent="0.25">
      <c r="C996" s="26" t="str">
        <f>Tools!$C$1</f>
        <v>Example</v>
      </c>
      <c r="D996" s="27" t="s">
        <v>76</v>
      </c>
      <c r="E996" s="28">
        <v>2019</v>
      </c>
      <c r="F996" s="28">
        <f>MATCH(DaybyDay[[#This Row],[RowMonth]],Table3[SummaryMonth],0)</f>
        <v>9</v>
      </c>
      <c r="G996" s="29">
        <f>MATCH(DaybyDay[[#This Row],[LY-Date]],DaybyDay[Date],0)</f>
        <v>626</v>
      </c>
      <c r="H996" s="30">
        <f>WEEKDAY(DaybyDay[[#This Row],[Date]])</f>
        <v>3</v>
      </c>
      <c r="I996" s="31">
        <v>43725</v>
      </c>
      <c r="J996" s="74">
        <v>13</v>
      </c>
      <c r="K996" s="32">
        <f>SUMIFS(BudgetSeasonality[365 Seasonality],BudgetSeasonality[MonthAdjustment],DaybyDay[[#This Row],[Date]])*SUMIFS(Budgets[Service-Budget],Budgets[BudgetMonth],DaybyDay[[#This Row],[RowMonth]],Budgets[BudgetYear],DaybyDay[[#This Row],[RowYear]])</f>
        <v>3787.5658754159936</v>
      </c>
      <c r="L996" s="75">
        <v>2794.22</v>
      </c>
      <c r="M996" s="32">
        <f>INDEX(BudgetSeasonality[365 Seasonality],MATCH(DaybyDay[[#This Row],[Date]],BudgetSeasonality[MonthAdjustment],0))*SUMIFS(Budgets[Retail-Budget],Budgets[BudgetMonth],DaybyDay[[#This Row],[RowMonth]],Budgets[BudgetYear],DaybyDay[[#This Row],[RowYear]])</f>
        <v>900.01611056340448</v>
      </c>
      <c r="N996" s="75">
        <v>1805.35</v>
      </c>
      <c r="O996" s="33">
        <f>SUMIFS(DaybyDay[Service-Budgets],DaybyDay[Date],"&gt;="&amp;$C$5,DaybyDay[RowYear],"&gt;="&amp;$C$4,DaybyDay[Date],"&lt;="&amp;DaybyDay[[#This Row],[Date]])</f>
        <v>0</v>
      </c>
      <c r="P996" s="33">
        <f>SUMIFS(DaybyDay[Retail-Budgets],DaybyDay[Date],"&gt;="&amp;$C$5,DaybyDay[RowYear],"&gt;="&amp;$C$4,DaybyDay[Date],"&lt;="&amp;DaybyDay[[#This Row],[Date]])</f>
        <v>0</v>
      </c>
      <c r="Q996" s="34">
        <f>SUMIFS(DaybyDay[Service-Actuals],DaybyDay[Date],"&gt;="&amp;$C$5,DaybyDay[RowYear],"&gt;="&amp;$C$4,DaybyDay[Date],"&lt;="&amp;DaybyDay[[#This Row],[Date]])</f>
        <v>0</v>
      </c>
      <c r="R996" s="34">
        <f>SUMIFS(DaybyDay[Retail-Actuals],DaybyDay[Date],"&gt;="&amp;$C$5,DaybyDay[RowYear],"&gt;="&amp;$C$4,DaybyDay[Date],"&lt;="&amp;DaybyDay[[#This Row],[Date]])</f>
        <v>0</v>
      </c>
      <c r="S996" s="35">
        <f>SUMIFS(DaybyDay[Service-LY],DaybyDay[Date],"&gt;="&amp;$C$5,DaybyDay[RowYear],"&gt;="&amp;$C$4,DaybyDay[Date],"&lt;="&amp;DaybyDay[[#This Row],[Date]])</f>
        <v>0</v>
      </c>
      <c r="T996" s="35">
        <f>SUMIFS(DaybyDay[Retail-LY],DaybyDay[Date],"&gt;="&amp;$C$5,DaybyDay[RowYear],"&gt;="&amp;$C$4,DaybyDay[Date],"&lt;="&amp;DaybyDay[[#This Row],[Date]])</f>
        <v>0</v>
      </c>
      <c r="U996" s="32">
        <f>DaybyDay[[#This Row],[Serv-Bud-RU]]+DaybyDay[[#This Row],[Ret-Bud-RU]]</f>
        <v>0</v>
      </c>
      <c r="V996" s="32">
        <f>DaybyDay[[#This Row],[Serv-Act-RU]]+DaybyDay[[#This Row],[Ret-Act-RU]]</f>
        <v>0</v>
      </c>
      <c r="W996" s="36">
        <f>IF(DaybyDay[[#This Row],[_Space]],IFERROR(
((DaybyDay[[#This Row],[Actual-Rollup]]-DaybyDay[[#This Row],[Budget-Rollup]])/DaybyDay[[#This Row],[Budget-Rollup]]),0),"")</f>
        <v>0</v>
      </c>
      <c r="X996" t="b">
        <f>NOT(AND(ISBLANK(DaybyDay[[#This Row],[Appts]]),ISBLANK(DaybyDay[[#This Row],[Service-Actuals]]),ISBLANK(DaybyDay[[#This Row],[Retail-Actuals]])))</f>
        <v>1</v>
      </c>
      <c r="Y996" s="36">
        <f>IF(DaybyDay[[#This Row],[_Space]],IFERROR(
((DaybyDay[[#This Row],[Actual-Rollup]]-DaybyDay[[#This Row],[LY-Rollup]])/DaybyDay[[#This Row],[LY-Rollup]]),0),"")</f>
        <v>0</v>
      </c>
      <c r="Z996"/>
      <c r="AA996" s="37" t="e">
        <f>IF(DaybyDay[[#This Row],[_Space]],DaybyDay[[#This Row],[Ret-Act-RU]]/DaybyDay[[#This Row],[Serv-Act-RU]],"")</f>
        <v>#DIV/0!</v>
      </c>
      <c r="AB996" s="50" t="e">
        <f>IF(DaybyDay[[#This Row],[_Space]],DaybyDay[[#This Row],[RETPEN-Act]]/DaybyDay[[#This Row],[RETPEN-Bud]],"")</f>
        <v>#DIV/0!</v>
      </c>
      <c r="AC996" s="37" t="e">
        <f>IF(DaybyDay[[#This Row],[_Space]],DaybyDay[[#This Row],[Ret-Bud-RU]]/DaybyDay[[#This Row],[Serv-Bud-RU]],"")</f>
        <v>#DIV/0!</v>
      </c>
      <c r="AD996" s="37" t="e">
        <f>IF(DaybyDay[[#This Row],[_Space]],DaybyDay[[#This Row],[Ret-LY-RU]]/DaybyDay[[#This Row],[Serv-LY-RU]],"")</f>
        <v>#DIV/0!</v>
      </c>
      <c r="AE996" s="30">
        <f>WEEKDAY(DaybyDay[[#This Row],[LY-Date]])</f>
        <v>3</v>
      </c>
      <c r="AF996" s="38">
        <f>$E$2+_xlfn.DAYS(DaybyDay[[#This Row],[Date]],minDate)</f>
        <v>43361</v>
      </c>
      <c r="AG996" s="39" cm="1">
        <f t="array" ref="AG996">IFERROR(INDEX(DaybyDay[],DaybyDay[[#This Row],[FORM_MATCH_HELPER]],8),"")</f>
        <v>11</v>
      </c>
      <c r="AH996" s="39" cm="1">
        <f t="array" ref="AH996">IFERROR(INDEX(DaybyDay[],DaybyDay[[#This Row],[FORM_MATCH_HELPER]],10),"")</f>
        <v>2174</v>
      </c>
      <c r="AI996" s="39" cm="1">
        <f t="array" ref="AI996">IFERROR(INDEX(DaybyDay[],DaybyDay[[#This Row],[FORM_MATCH_HELPER]],12),"")</f>
        <v>274</v>
      </c>
      <c r="AJ996" s="32">
        <f>IFERROR(DaybyDay[[#This Row],[Serv-LY-RU]]+DaybyDay[[#This Row],[Ret-LY-RU]],"")</f>
        <v>0</v>
      </c>
      <c r="AK9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6" s="77"/>
      <c r="AM996" s="40" t="str">
        <f>IF(DaybyDay[[#This Row],[Admin Hours]]&gt;0,DaybyDay[[#This Row],[Admin Hours]]*$AM$2+$AM$3,"")</f>
        <v/>
      </c>
      <c r="AN996" s="40">
        <f>SUMIFS(DaybyDay[Est-Admin-Payroll],DaybyDay[Date],"&gt;="&amp;$C$5,DaybyDay[RowYear],"&gt;="&amp;$C$4,DaybyDay[Date],"&lt;="&amp;DaybyDay[[#This Row],[Date]])</f>
        <v>0</v>
      </c>
      <c r="AO996" s="41" t="str">
        <f>IF(AND(DaybyDay[[#This Row],[_Space]],ISNUMBER(DaybyDay[[#This Row],[Admin Hours]])),DaybyDay[[#This Row],[Est-Admin-Payroll]]/(DaybyDay[[#This Row],[Service-Actuals]]+DaybyDay[[#This Row],[Retail-Actuals]]),"")</f>
        <v/>
      </c>
      <c r="AP996" s="41" t="e">
        <f>DaybyDay[[#This Row],[Estimated-Payroll-Rollup]]/DaybyDay[[#This Row],[Simple-Forecast]]</f>
        <v>#DIV/0!</v>
      </c>
      <c r="AQ9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6" s="77"/>
      <c r="AS996" s="40" t="str">
        <f>IF(DaybyDay[[#This Row],[Retail Hours]]&gt;0,DaybyDay[[#This Row],[Retail Hours]]*$AS$2,"")</f>
        <v/>
      </c>
      <c r="AT996" s="40">
        <f>SUMIFS(DaybyDay[Est-Retail-Payroll],DaybyDay[Date],"&gt;="&amp;$C$5,DaybyDay[RowYear],"&gt;="&amp;$C$4,DaybyDay[Date],"&lt;="&amp;DaybyDay[[#This Row],[Date]])</f>
        <v>0</v>
      </c>
      <c r="AU996" s="82" t="str">
        <f>IF(AND(DaybyDay[[#This Row],[_Space]],ISNUMBER(DaybyDay[[#This Row],[Retail Hours]])),DaybyDay[[#This Row],[Est-Retail-Payroll]]/(DaybyDay[[#This Row],[Retail-Actuals]]),"")</f>
        <v/>
      </c>
      <c r="AV996" s="82" t="e">
        <f>DaybyDay[[#This Row],[Est-Retail-PayrollRU]]/DaybyDay[[#This Row],[Simple-Forecast-Retail]]</f>
        <v>#DIV/0!</v>
      </c>
      <c r="AW996" s="8"/>
      <c r="AX996" s="15"/>
      <c r="AY996" s="8"/>
    </row>
    <row r="997" spans="3:51" hidden="1" x14ac:dyDescent="0.25">
      <c r="C997" s="26" t="str">
        <f>Tools!$C$1</f>
        <v>Example</v>
      </c>
      <c r="D997" s="27" t="s">
        <v>76</v>
      </c>
      <c r="E997" s="28">
        <v>2019</v>
      </c>
      <c r="F997" s="28">
        <f>MATCH(DaybyDay[[#This Row],[RowMonth]],Table3[SummaryMonth],0)</f>
        <v>9</v>
      </c>
      <c r="G997" s="29">
        <f>MATCH(DaybyDay[[#This Row],[LY-Date]],DaybyDay[Date],0)</f>
        <v>627</v>
      </c>
      <c r="H997" s="30">
        <f>WEEKDAY(DaybyDay[[#This Row],[Date]])</f>
        <v>4</v>
      </c>
      <c r="I997" s="31">
        <v>43726</v>
      </c>
      <c r="J997" s="74">
        <v>16</v>
      </c>
      <c r="K997" s="32">
        <f>SUMIFS(BudgetSeasonality[365 Seasonality],BudgetSeasonality[MonthAdjustment],DaybyDay[[#This Row],[Date]])*SUMIFS(Budgets[Service-Budget],Budgets[BudgetMonth],DaybyDay[[#This Row],[RowMonth]],Budgets[BudgetYear],DaybyDay[[#This Row],[RowYear]])</f>
        <v>4460.5663318630659</v>
      </c>
      <c r="L997" s="75">
        <v>3435</v>
      </c>
      <c r="M997" s="32">
        <f>INDEX(BudgetSeasonality[365 Seasonality],MATCH(DaybyDay[[#This Row],[Date]],BudgetSeasonality[MonthAdjustment],0))*SUMIFS(Budgets[Retail-Budget],Budgets[BudgetMonth],DaybyDay[[#This Row],[RowMonth]],Budgets[BudgetYear],DaybyDay[[#This Row],[RowYear]])</f>
        <v>1059.9370923080096</v>
      </c>
      <c r="N997" s="75">
        <v>1256.79</v>
      </c>
      <c r="O997" s="33">
        <f>SUMIFS(DaybyDay[Service-Budgets],DaybyDay[Date],"&gt;="&amp;$C$5,DaybyDay[RowYear],"&gt;="&amp;$C$4,DaybyDay[Date],"&lt;="&amp;DaybyDay[[#This Row],[Date]])</f>
        <v>0</v>
      </c>
      <c r="P997" s="33">
        <f>SUMIFS(DaybyDay[Retail-Budgets],DaybyDay[Date],"&gt;="&amp;$C$5,DaybyDay[RowYear],"&gt;="&amp;$C$4,DaybyDay[Date],"&lt;="&amp;DaybyDay[[#This Row],[Date]])</f>
        <v>0</v>
      </c>
      <c r="Q997" s="34">
        <f>SUMIFS(DaybyDay[Service-Actuals],DaybyDay[Date],"&gt;="&amp;$C$5,DaybyDay[RowYear],"&gt;="&amp;$C$4,DaybyDay[Date],"&lt;="&amp;DaybyDay[[#This Row],[Date]])</f>
        <v>0</v>
      </c>
      <c r="R997" s="34">
        <f>SUMIFS(DaybyDay[Retail-Actuals],DaybyDay[Date],"&gt;="&amp;$C$5,DaybyDay[RowYear],"&gt;="&amp;$C$4,DaybyDay[Date],"&lt;="&amp;DaybyDay[[#This Row],[Date]])</f>
        <v>0</v>
      </c>
      <c r="S997" s="35">
        <f>SUMIFS(DaybyDay[Service-LY],DaybyDay[Date],"&gt;="&amp;$C$5,DaybyDay[RowYear],"&gt;="&amp;$C$4,DaybyDay[Date],"&lt;="&amp;DaybyDay[[#This Row],[Date]])</f>
        <v>0</v>
      </c>
      <c r="T997" s="35">
        <f>SUMIFS(DaybyDay[Retail-LY],DaybyDay[Date],"&gt;="&amp;$C$5,DaybyDay[RowYear],"&gt;="&amp;$C$4,DaybyDay[Date],"&lt;="&amp;DaybyDay[[#This Row],[Date]])</f>
        <v>0</v>
      </c>
      <c r="U997" s="32">
        <f>DaybyDay[[#This Row],[Serv-Bud-RU]]+DaybyDay[[#This Row],[Ret-Bud-RU]]</f>
        <v>0</v>
      </c>
      <c r="V997" s="32">
        <f>DaybyDay[[#This Row],[Serv-Act-RU]]+DaybyDay[[#This Row],[Ret-Act-RU]]</f>
        <v>0</v>
      </c>
      <c r="W997" s="36">
        <f>IF(DaybyDay[[#This Row],[_Space]],IFERROR(
((DaybyDay[[#This Row],[Actual-Rollup]]-DaybyDay[[#This Row],[Budget-Rollup]])/DaybyDay[[#This Row],[Budget-Rollup]]),0),"")</f>
        <v>0</v>
      </c>
      <c r="X997" t="b">
        <f>NOT(AND(ISBLANK(DaybyDay[[#This Row],[Appts]]),ISBLANK(DaybyDay[[#This Row],[Service-Actuals]]),ISBLANK(DaybyDay[[#This Row],[Retail-Actuals]])))</f>
        <v>1</v>
      </c>
      <c r="Y997" s="36">
        <f>IF(DaybyDay[[#This Row],[_Space]],IFERROR(
((DaybyDay[[#This Row],[Actual-Rollup]]-DaybyDay[[#This Row],[LY-Rollup]])/DaybyDay[[#This Row],[LY-Rollup]]),0),"")</f>
        <v>0</v>
      </c>
      <c r="Z997"/>
      <c r="AA997" s="37" t="e">
        <f>IF(DaybyDay[[#This Row],[_Space]],DaybyDay[[#This Row],[Ret-Act-RU]]/DaybyDay[[#This Row],[Serv-Act-RU]],"")</f>
        <v>#DIV/0!</v>
      </c>
      <c r="AB997" s="50" t="e">
        <f>IF(DaybyDay[[#This Row],[_Space]],DaybyDay[[#This Row],[RETPEN-Act]]/DaybyDay[[#This Row],[RETPEN-Bud]],"")</f>
        <v>#DIV/0!</v>
      </c>
      <c r="AC997" s="37" t="e">
        <f>IF(DaybyDay[[#This Row],[_Space]],DaybyDay[[#This Row],[Ret-Bud-RU]]/DaybyDay[[#This Row],[Serv-Bud-RU]],"")</f>
        <v>#DIV/0!</v>
      </c>
      <c r="AD997" s="37" t="e">
        <f>IF(DaybyDay[[#This Row],[_Space]],DaybyDay[[#This Row],[Ret-LY-RU]]/DaybyDay[[#This Row],[Serv-LY-RU]],"")</f>
        <v>#DIV/0!</v>
      </c>
      <c r="AE997" s="30">
        <f>WEEKDAY(DaybyDay[[#This Row],[LY-Date]])</f>
        <v>4</v>
      </c>
      <c r="AF997" s="38">
        <f>$E$2+_xlfn.DAYS(DaybyDay[[#This Row],[Date]],minDate)</f>
        <v>43362</v>
      </c>
      <c r="AG997" s="39" cm="1">
        <f t="array" ref="AG997">IFERROR(INDEX(DaybyDay[],DaybyDay[[#This Row],[FORM_MATCH_HELPER]],8),"")</f>
        <v>13</v>
      </c>
      <c r="AH997" s="39" cm="1">
        <f t="array" ref="AH997">IFERROR(INDEX(DaybyDay[],DaybyDay[[#This Row],[FORM_MATCH_HELPER]],10),"")</f>
        <v>3335</v>
      </c>
      <c r="AI997" s="39" cm="1">
        <f t="array" ref="AI997">IFERROR(INDEX(DaybyDay[],DaybyDay[[#This Row],[FORM_MATCH_HELPER]],12),"")</f>
        <v>287</v>
      </c>
      <c r="AJ997" s="32">
        <f>IFERROR(DaybyDay[[#This Row],[Serv-LY-RU]]+DaybyDay[[#This Row],[Ret-LY-RU]],"")</f>
        <v>0</v>
      </c>
      <c r="AK9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7" s="77"/>
      <c r="AM997" s="40" t="str">
        <f>IF(DaybyDay[[#This Row],[Admin Hours]]&gt;0,DaybyDay[[#This Row],[Admin Hours]]*$AM$2+$AM$3,"")</f>
        <v/>
      </c>
      <c r="AN997" s="40">
        <f>SUMIFS(DaybyDay[Est-Admin-Payroll],DaybyDay[Date],"&gt;="&amp;$C$5,DaybyDay[RowYear],"&gt;="&amp;$C$4,DaybyDay[Date],"&lt;="&amp;DaybyDay[[#This Row],[Date]])</f>
        <v>0</v>
      </c>
      <c r="AO997" s="41" t="str">
        <f>IF(AND(DaybyDay[[#This Row],[_Space]],ISNUMBER(DaybyDay[[#This Row],[Admin Hours]])),DaybyDay[[#This Row],[Est-Admin-Payroll]]/(DaybyDay[[#This Row],[Service-Actuals]]+DaybyDay[[#This Row],[Retail-Actuals]]),"")</f>
        <v/>
      </c>
      <c r="AP997" s="41" t="e">
        <f>DaybyDay[[#This Row],[Estimated-Payroll-Rollup]]/DaybyDay[[#This Row],[Simple-Forecast]]</f>
        <v>#DIV/0!</v>
      </c>
      <c r="AQ9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7" s="77"/>
      <c r="AS997" s="40" t="str">
        <f>IF(DaybyDay[[#This Row],[Retail Hours]]&gt;0,DaybyDay[[#This Row],[Retail Hours]]*$AS$2,"")</f>
        <v/>
      </c>
      <c r="AT997" s="40">
        <f>SUMIFS(DaybyDay[Est-Retail-Payroll],DaybyDay[Date],"&gt;="&amp;$C$5,DaybyDay[RowYear],"&gt;="&amp;$C$4,DaybyDay[Date],"&lt;="&amp;DaybyDay[[#This Row],[Date]])</f>
        <v>0</v>
      </c>
      <c r="AU997" s="82" t="str">
        <f>IF(AND(DaybyDay[[#This Row],[_Space]],ISNUMBER(DaybyDay[[#This Row],[Retail Hours]])),DaybyDay[[#This Row],[Est-Retail-Payroll]]/(DaybyDay[[#This Row],[Retail-Actuals]]),"")</f>
        <v/>
      </c>
      <c r="AV997" s="82" t="e">
        <f>DaybyDay[[#This Row],[Est-Retail-PayrollRU]]/DaybyDay[[#This Row],[Simple-Forecast-Retail]]</f>
        <v>#DIV/0!</v>
      </c>
      <c r="AW997" s="8"/>
      <c r="AX997" s="15"/>
      <c r="AY997" s="8"/>
    </row>
    <row r="998" spans="3:51" hidden="1" x14ac:dyDescent="0.25">
      <c r="C998" s="26" t="str">
        <f>Tools!$C$1</f>
        <v>Example</v>
      </c>
      <c r="D998" s="27" t="s">
        <v>76</v>
      </c>
      <c r="E998" s="28">
        <v>2019</v>
      </c>
      <c r="F998" s="28">
        <f>MATCH(DaybyDay[[#This Row],[RowMonth]],Table3[SummaryMonth],0)</f>
        <v>9</v>
      </c>
      <c r="G998" s="29">
        <f>MATCH(DaybyDay[[#This Row],[LY-Date]],DaybyDay[Date],0)</f>
        <v>628</v>
      </c>
      <c r="H998" s="30">
        <f>WEEKDAY(DaybyDay[[#This Row],[Date]])</f>
        <v>5</v>
      </c>
      <c r="I998" s="31">
        <v>43727</v>
      </c>
      <c r="J998" s="74">
        <v>11</v>
      </c>
      <c r="K998" s="32">
        <f>SUMIFS(BudgetSeasonality[365 Seasonality],BudgetSeasonality[MonthAdjustment],DaybyDay[[#This Row],[Date]])*SUMIFS(Budgets[Service-Budget],Budgets[BudgetMonth],DaybyDay[[#This Row],[RowMonth]],Budgets[BudgetYear],DaybyDay[[#This Row],[RowYear]])</f>
        <v>4578.9672021957113</v>
      </c>
      <c r="L998" s="75">
        <v>2256.1999999999998</v>
      </c>
      <c r="M998" s="32">
        <f>INDEX(BudgetSeasonality[365 Seasonality],MATCH(DaybyDay[[#This Row],[Date]],BudgetSeasonality[MonthAdjustment],0))*SUMIFS(Budgets[Retail-Budget],Budgets[BudgetMonth],DaybyDay[[#This Row],[RowMonth]],Budgets[BudgetYear],DaybyDay[[#This Row],[RowYear]])</f>
        <v>1088.0719668710574</v>
      </c>
      <c r="N998" s="75">
        <v>492.8</v>
      </c>
      <c r="O998" s="33">
        <f>SUMIFS(DaybyDay[Service-Budgets],DaybyDay[Date],"&gt;="&amp;$C$5,DaybyDay[RowYear],"&gt;="&amp;$C$4,DaybyDay[Date],"&lt;="&amp;DaybyDay[[#This Row],[Date]])</f>
        <v>0</v>
      </c>
      <c r="P998" s="33">
        <f>SUMIFS(DaybyDay[Retail-Budgets],DaybyDay[Date],"&gt;="&amp;$C$5,DaybyDay[RowYear],"&gt;="&amp;$C$4,DaybyDay[Date],"&lt;="&amp;DaybyDay[[#This Row],[Date]])</f>
        <v>0</v>
      </c>
      <c r="Q998" s="34">
        <f>SUMIFS(DaybyDay[Service-Actuals],DaybyDay[Date],"&gt;="&amp;$C$5,DaybyDay[RowYear],"&gt;="&amp;$C$4,DaybyDay[Date],"&lt;="&amp;DaybyDay[[#This Row],[Date]])</f>
        <v>0</v>
      </c>
      <c r="R998" s="34">
        <f>SUMIFS(DaybyDay[Retail-Actuals],DaybyDay[Date],"&gt;="&amp;$C$5,DaybyDay[RowYear],"&gt;="&amp;$C$4,DaybyDay[Date],"&lt;="&amp;DaybyDay[[#This Row],[Date]])</f>
        <v>0</v>
      </c>
      <c r="S998" s="35">
        <f>SUMIFS(DaybyDay[Service-LY],DaybyDay[Date],"&gt;="&amp;$C$5,DaybyDay[RowYear],"&gt;="&amp;$C$4,DaybyDay[Date],"&lt;="&amp;DaybyDay[[#This Row],[Date]])</f>
        <v>0</v>
      </c>
      <c r="T998" s="35">
        <f>SUMIFS(DaybyDay[Retail-LY],DaybyDay[Date],"&gt;="&amp;$C$5,DaybyDay[RowYear],"&gt;="&amp;$C$4,DaybyDay[Date],"&lt;="&amp;DaybyDay[[#This Row],[Date]])</f>
        <v>0</v>
      </c>
      <c r="U998" s="32">
        <f>DaybyDay[[#This Row],[Serv-Bud-RU]]+DaybyDay[[#This Row],[Ret-Bud-RU]]</f>
        <v>0</v>
      </c>
      <c r="V998" s="32">
        <f>DaybyDay[[#This Row],[Serv-Act-RU]]+DaybyDay[[#This Row],[Ret-Act-RU]]</f>
        <v>0</v>
      </c>
      <c r="W998" s="36">
        <f>IF(DaybyDay[[#This Row],[_Space]],IFERROR(
((DaybyDay[[#This Row],[Actual-Rollup]]-DaybyDay[[#This Row],[Budget-Rollup]])/DaybyDay[[#This Row],[Budget-Rollup]]),0),"")</f>
        <v>0</v>
      </c>
      <c r="X998" t="b">
        <f>NOT(AND(ISBLANK(DaybyDay[[#This Row],[Appts]]),ISBLANK(DaybyDay[[#This Row],[Service-Actuals]]),ISBLANK(DaybyDay[[#This Row],[Retail-Actuals]])))</f>
        <v>1</v>
      </c>
      <c r="Y998" s="36">
        <f>IF(DaybyDay[[#This Row],[_Space]],IFERROR(
((DaybyDay[[#This Row],[Actual-Rollup]]-DaybyDay[[#This Row],[LY-Rollup]])/DaybyDay[[#This Row],[LY-Rollup]]),0),"")</f>
        <v>0</v>
      </c>
      <c r="Z998"/>
      <c r="AA998" s="37" t="e">
        <f>IF(DaybyDay[[#This Row],[_Space]],DaybyDay[[#This Row],[Ret-Act-RU]]/DaybyDay[[#This Row],[Serv-Act-RU]],"")</f>
        <v>#DIV/0!</v>
      </c>
      <c r="AB998" s="50" t="e">
        <f>IF(DaybyDay[[#This Row],[_Space]],DaybyDay[[#This Row],[RETPEN-Act]]/DaybyDay[[#This Row],[RETPEN-Bud]],"")</f>
        <v>#DIV/0!</v>
      </c>
      <c r="AC998" s="37" t="e">
        <f>IF(DaybyDay[[#This Row],[_Space]],DaybyDay[[#This Row],[Ret-Bud-RU]]/DaybyDay[[#This Row],[Serv-Bud-RU]],"")</f>
        <v>#DIV/0!</v>
      </c>
      <c r="AD998" s="37" t="e">
        <f>IF(DaybyDay[[#This Row],[_Space]],DaybyDay[[#This Row],[Ret-LY-RU]]/DaybyDay[[#This Row],[Serv-LY-RU]],"")</f>
        <v>#DIV/0!</v>
      </c>
      <c r="AE998" s="30">
        <f>WEEKDAY(DaybyDay[[#This Row],[LY-Date]])</f>
        <v>5</v>
      </c>
      <c r="AF998" s="38">
        <f>$E$2+_xlfn.DAYS(DaybyDay[[#This Row],[Date]],minDate)</f>
        <v>43363</v>
      </c>
      <c r="AG998" s="39" cm="1">
        <f t="array" ref="AG998">IFERROR(INDEX(DaybyDay[],DaybyDay[[#This Row],[FORM_MATCH_HELPER]],8),"")</f>
        <v>11</v>
      </c>
      <c r="AH998" s="39" cm="1">
        <f t="array" ref="AH998">IFERROR(INDEX(DaybyDay[],DaybyDay[[#This Row],[FORM_MATCH_HELPER]],10),"")</f>
        <v>2174</v>
      </c>
      <c r="AI998" s="39" cm="1">
        <f t="array" ref="AI998">IFERROR(INDEX(DaybyDay[],DaybyDay[[#This Row],[FORM_MATCH_HELPER]],12),"")</f>
        <v>274</v>
      </c>
      <c r="AJ998" s="32">
        <f>IFERROR(DaybyDay[[#This Row],[Serv-LY-RU]]+DaybyDay[[#This Row],[Ret-LY-RU]],"")</f>
        <v>0</v>
      </c>
      <c r="AK9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8" s="77"/>
      <c r="AM998" s="40" t="str">
        <f>IF(DaybyDay[[#This Row],[Admin Hours]]&gt;0,DaybyDay[[#This Row],[Admin Hours]]*$AM$2+$AM$3,"")</f>
        <v/>
      </c>
      <c r="AN998" s="40">
        <f>SUMIFS(DaybyDay[Est-Admin-Payroll],DaybyDay[Date],"&gt;="&amp;$C$5,DaybyDay[RowYear],"&gt;="&amp;$C$4,DaybyDay[Date],"&lt;="&amp;DaybyDay[[#This Row],[Date]])</f>
        <v>0</v>
      </c>
      <c r="AO998" s="41" t="str">
        <f>IF(AND(DaybyDay[[#This Row],[_Space]],ISNUMBER(DaybyDay[[#This Row],[Admin Hours]])),DaybyDay[[#This Row],[Est-Admin-Payroll]]/(DaybyDay[[#This Row],[Service-Actuals]]+DaybyDay[[#This Row],[Retail-Actuals]]),"")</f>
        <v/>
      </c>
      <c r="AP998" s="41" t="e">
        <f>DaybyDay[[#This Row],[Estimated-Payroll-Rollup]]/DaybyDay[[#This Row],[Simple-Forecast]]</f>
        <v>#DIV/0!</v>
      </c>
      <c r="AQ9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8" s="77"/>
      <c r="AS998" s="40" t="str">
        <f>IF(DaybyDay[[#This Row],[Retail Hours]]&gt;0,DaybyDay[[#This Row],[Retail Hours]]*$AS$2,"")</f>
        <v/>
      </c>
      <c r="AT998" s="40">
        <f>SUMIFS(DaybyDay[Est-Retail-Payroll],DaybyDay[Date],"&gt;="&amp;$C$5,DaybyDay[RowYear],"&gt;="&amp;$C$4,DaybyDay[Date],"&lt;="&amp;DaybyDay[[#This Row],[Date]])</f>
        <v>0</v>
      </c>
      <c r="AU998" s="82" t="str">
        <f>IF(AND(DaybyDay[[#This Row],[_Space]],ISNUMBER(DaybyDay[[#This Row],[Retail Hours]])),DaybyDay[[#This Row],[Est-Retail-Payroll]]/(DaybyDay[[#This Row],[Retail-Actuals]]),"")</f>
        <v/>
      </c>
      <c r="AV998" s="82" t="e">
        <f>DaybyDay[[#This Row],[Est-Retail-PayrollRU]]/DaybyDay[[#This Row],[Simple-Forecast-Retail]]</f>
        <v>#DIV/0!</v>
      </c>
      <c r="AW998" s="8"/>
      <c r="AX998" s="15"/>
      <c r="AY998" s="8"/>
    </row>
    <row r="999" spans="3:51" hidden="1" x14ac:dyDescent="0.25">
      <c r="C999" s="26" t="str">
        <f>Tools!$C$1</f>
        <v>Example</v>
      </c>
      <c r="D999" s="27" t="s">
        <v>76</v>
      </c>
      <c r="E999" s="28">
        <v>2019</v>
      </c>
      <c r="F999" s="28">
        <f>MATCH(DaybyDay[[#This Row],[RowMonth]],Table3[SummaryMonth],0)</f>
        <v>9</v>
      </c>
      <c r="G999" s="29">
        <f>MATCH(DaybyDay[[#This Row],[LY-Date]],DaybyDay[Date],0)</f>
        <v>629</v>
      </c>
      <c r="H999" s="30">
        <f>WEEKDAY(DaybyDay[[#This Row],[Date]])</f>
        <v>6</v>
      </c>
      <c r="I999" s="31">
        <v>43728</v>
      </c>
      <c r="J999" s="74">
        <v>20</v>
      </c>
      <c r="K999" s="32">
        <f>SUMIFS(BudgetSeasonality[365 Seasonality],BudgetSeasonality[MonthAdjustment],DaybyDay[[#This Row],[Date]])*SUMIFS(Budgets[Service-Budget],Budgets[BudgetMonth],DaybyDay[[#This Row],[RowMonth]],Budgets[BudgetYear],DaybyDay[[#This Row],[RowYear]])</f>
        <v>5864.6539359368626</v>
      </c>
      <c r="L999" s="75">
        <v>4759.3500000000004</v>
      </c>
      <c r="M999" s="32">
        <f>INDEX(BudgetSeasonality[365 Seasonality],MATCH(DaybyDay[[#This Row],[Date]],BudgetSeasonality[MonthAdjustment],0))*SUMIFS(Budgets[Retail-Budget],Budgets[BudgetMonth],DaybyDay[[#This Row],[RowMonth]],Budgets[BudgetYear],DaybyDay[[#This Row],[RowYear]])</f>
        <v>1393.5818409079247</v>
      </c>
      <c r="N999" s="75">
        <v>758.7</v>
      </c>
      <c r="O999" s="33">
        <f>SUMIFS(DaybyDay[Service-Budgets],DaybyDay[Date],"&gt;="&amp;$C$5,DaybyDay[RowYear],"&gt;="&amp;$C$4,DaybyDay[Date],"&lt;="&amp;DaybyDay[[#This Row],[Date]])</f>
        <v>0</v>
      </c>
      <c r="P999" s="33">
        <f>SUMIFS(DaybyDay[Retail-Budgets],DaybyDay[Date],"&gt;="&amp;$C$5,DaybyDay[RowYear],"&gt;="&amp;$C$4,DaybyDay[Date],"&lt;="&amp;DaybyDay[[#This Row],[Date]])</f>
        <v>0</v>
      </c>
      <c r="Q999" s="34">
        <f>SUMIFS(DaybyDay[Service-Actuals],DaybyDay[Date],"&gt;="&amp;$C$5,DaybyDay[RowYear],"&gt;="&amp;$C$4,DaybyDay[Date],"&lt;="&amp;DaybyDay[[#This Row],[Date]])</f>
        <v>0</v>
      </c>
      <c r="R999" s="34">
        <f>SUMIFS(DaybyDay[Retail-Actuals],DaybyDay[Date],"&gt;="&amp;$C$5,DaybyDay[RowYear],"&gt;="&amp;$C$4,DaybyDay[Date],"&lt;="&amp;DaybyDay[[#This Row],[Date]])</f>
        <v>0</v>
      </c>
      <c r="S999" s="35">
        <f>SUMIFS(DaybyDay[Service-LY],DaybyDay[Date],"&gt;="&amp;$C$5,DaybyDay[RowYear],"&gt;="&amp;$C$4,DaybyDay[Date],"&lt;="&amp;DaybyDay[[#This Row],[Date]])</f>
        <v>0</v>
      </c>
      <c r="T999" s="35">
        <f>SUMIFS(DaybyDay[Retail-LY],DaybyDay[Date],"&gt;="&amp;$C$5,DaybyDay[RowYear],"&gt;="&amp;$C$4,DaybyDay[Date],"&lt;="&amp;DaybyDay[[#This Row],[Date]])</f>
        <v>0</v>
      </c>
      <c r="U999" s="32">
        <f>DaybyDay[[#This Row],[Serv-Bud-RU]]+DaybyDay[[#This Row],[Ret-Bud-RU]]</f>
        <v>0</v>
      </c>
      <c r="V999" s="32">
        <f>DaybyDay[[#This Row],[Serv-Act-RU]]+DaybyDay[[#This Row],[Ret-Act-RU]]</f>
        <v>0</v>
      </c>
      <c r="W999" s="36">
        <f>IF(DaybyDay[[#This Row],[_Space]],IFERROR(
((DaybyDay[[#This Row],[Actual-Rollup]]-DaybyDay[[#This Row],[Budget-Rollup]])/DaybyDay[[#This Row],[Budget-Rollup]]),0),"")</f>
        <v>0</v>
      </c>
      <c r="X999" t="b">
        <f>NOT(AND(ISBLANK(DaybyDay[[#This Row],[Appts]]),ISBLANK(DaybyDay[[#This Row],[Service-Actuals]]),ISBLANK(DaybyDay[[#This Row],[Retail-Actuals]])))</f>
        <v>1</v>
      </c>
      <c r="Y999" s="36">
        <f>IF(DaybyDay[[#This Row],[_Space]],IFERROR(
((DaybyDay[[#This Row],[Actual-Rollup]]-DaybyDay[[#This Row],[LY-Rollup]])/DaybyDay[[#This Row],[LY-Rollup]]),0),"")</f>
        <v>0</v>
      </c>
      <c r="Z999"/>
      <c r="AA999" s="37" t="e">
        <f>IF(DaybyDay[[#This Row],[_Space]],DaybyDay[[#This Row],[Ret-Act-RU]]/DaybyDay[[#This Row],[Serv-Act-RU]],"")</f>
        <v>#DIV/0!</v>
      </c>
      <c r="AB999" s="50" t="e">
        <f>IF(DaybyDay[[#This Row],[_Space]],DaybyDay[[#This Row],[RETPEN-Act]]/DaybyDay[[#This Row],[RETPEN-Bud]],"")</f>
        <v>#DIV/0!</v>
      </c>
      <c r="AC999" s="37" t="e">
        <f>IF(DaybyDay[[#This Row],[_Space]],DaybyDay[[#This Row],[Ret-Bud-RU]]/DaybyDay[[#This Row],[Serv-Bud-RU]],"")</f>
        <v>#DIV/0!</v>
      </c>
      <c r="AD999" s="37" t="e">
        <f>IF(DaybyDay[[#This Row],[_Space]],DaybyDay[[#This Row],[Ret-LY-RU]]/DaybyDay[[#This Row],[Serv-LY-RU]],"")</f>
        <v>#DIV/0!</v>
      </c>
      <c r="AE999" s="30">
        <f>WEEKDAY(DaybyDay[[#This Row],[LY-Date]])</f>
        <v>6</v>
      </c>
      <c r="AF999" s="38">
        <f>$E$2+_xlfn.DAYS(DaybyDay[[#This Row],[Date]],minDate)</f>
        <v>43364</v>
      </c>
      <c r="AG999" s="39" cm="1">
        <f t="array" ref="AG999">IFERROR(INDEX(DaybyDay[],DaybyDay[[#This Row],[FORM_MATCH_HELPER]],8),"")</f>
        <v>20</v>
      </c>
      <c r="AH999" s="39" cm="1">
        <f t="array" ref="AH999">IFERROR(INDEX(DaybyDay[],DaybyDay[[#This Row],[FORM_MATCH_HELPER]],10),"")</f>
        <v>3088.37</v>
      </c>
      <c r="AI999" s="39" cm="1">
        <f t="array" ref="AI999">IFERROR(INDEX(DaybyDay[],DaybyDay[[#This Row],[FORM_MATCH_HELPER]],12),"")</f>
        <v>113.9</v>
      </c>
      <c r="AJ999" s="32">
        <f>IFERROR(DaybyDay[[#This Row],[Serv-LY-RU]]+DaybyDay[[#This Row],[Ret-LY-RU]],"")</f>
        <v>0</v>
      </c>
      <c r="AK9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999" s="77"/>
      <c r="AM999" s="40" t="str">
        <f>IF(DaybyDay[[#This Row],[Admin Hours]]&gt;0,DaybyDay[[#This Row],[Admin Hours]]*$AM$2+$AM$3,"")</f>
        <v/>
      </c>
      <c r="AN999" s="40">
        <f>SUMIFS(DaybyDay[Est-Admin-Payroll],DaybyDay[Date],"&gt;="&amp;$C$5,DaybyDay[RowYear],"&gt;="&amp;$C$4,DaybyDay[Date],"&lt;="&amp;DaybyDay[[#This Row],[Date]])</f>
        <v>0</v>
      </c>
      <c r="AO999" s="41" t="str">
        <f>IF(AND(DaybyDay[[#This Row],[_Space]],ISNUMBER(DaybyDay[[#This Row],[Admin Hours]])),DaybyDay[[#This Row],[Est-Admin-Payroll]]/(DaybyDay[[#This Row],[Service-Actuals]]+DaybyDay[[#This Row],[Retail-Actuals]]),"")</f>
        <v/>
      </c>
      <c r="AP999" s="41" t="e">
        <f>DaybyDay[[#This Row],[Estimated-Payroll-Rollup]]/DaybyDay[[#This Row],[Simple-Forecast]]</f>
        <v>#DIV/0!</v>
      </c>
      <c r="AQ9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999" s="77"/>
      <c r="AS999" s="40" t="str">
        <f>IF(DaybyDay[[#This Row],[Retail Hours]]&gt;0,DaybyDay[[#This Row],[Retail Hours]]*$AS$2,"")</f>
        <v/>
      </c>
      <c r="AT999" s="40">
        <f>SUMIFS(DaybyDay[Est-Retail-Payroll],DaybyDay[Date],"&gt;="&amp;$C$5,DaybyDay[RowYear],"&gt;="&amp;$C$4,DaybyDay[Date],"&lt;="&amp;DaybyDay[[#This Row],[Date]])</f>
        <v>0</v>
      </c>
      <c r="AU999" s="82" t="str">
        <f>IF(AND(DaybyDay[[#This Row],[_Space]],ISNUMBER(DaybyDay[[#This Row],[Retail Hours]])),DaybyDay[[#This Row],[Est-Retail-Payroll]]/(DaybyDay[[#This Row],[Retail-Actuals]]),"")</f>
        <v/>
      </c>
      <c r="AV999" s="82" t="e">
        <f>DaybyDay[[#This Row],[Est-Retail-PayrollRU]]/DaybyDay[[#This Row],[Simple-Forecast-Retail]]</f>
        <v>#DIV/0!</v>
      </c>
      <c r="AW999" s="8"/>
      <c r="AX999" s="15"/>
      <c r="AY999" s="8"/>
    </row>
    <row r="1000" spans="3:51" hidden="1" x14ac:dyDescent="0.25">
      <c r="C1000" s="26" t="str">
        <f>Tools!$C$1</f>
        <v>Example</v>
      </c>
      <c r="D1000" s="27" t="s">
        <v>76</v>
      </c>
      <c r="E1000" s="28">
        <v>2019</v>
      </c>
      <c r="F1000" s="28">
        <f>MATCH(DaybyDay[[#This Row],[RowMonth]],Table3[SummaryMonth],0)</f>
        <v>9</v>
      </c>
      <c r="G1000" s="29">
        <f>MATCH(DaybyDay[[#This Row],[LY-Date]],DaybyDay[Date],0)</f>
        <v>630</v>
      </c>
      <c r="H1000" s="30">
        <f>WEEKDAY(DaybyDay[[#This Row],[Date]])</f>
        <v>7</v>
      </c>
      <c r="I1000" s="31">
        <v>43729</v>
      </c>
      <c r="J1000" s="74">
        <v>28</v>
      </c>
      <c r="K1000" s="32">
        <f>SUMIFS(BudgetSeasonality[365 Seasonality],BudgetSeasonality[MonthAdjustment],DaybyDay[[#This Row],[Date]])*SUMIFS(Budgets[Service-Budget],Budgets[BudgetMonth],DaybyDay[[#This Row],[RowMonth]],Budgets[BudgetYear],DaybyDay[[#This Row],[RowYear]])</f>
        <v>8617.0199932486757</v>
      </c>
      <c r="L1000" s="75">
        <v>7233.75</v>
      </c>
      <c r="M1000" s="32">
        <f>INDEX(BudgetSeasonality[365 Seasonality],MATCH(DaybyDay[[#This Row],[Date]],BudgetSeasonality[MonthAdjustment],0))*SUMIFS(Budgets[Retail-Budget],Budgets[BudgetMonth],DaybyDay[[#This Row],[RowMonth]],Budgets[BudgetYear],DaybyDay[[#This Row],[RowYear]])</f>
        <v>2047.6097509773276</v>
      </c>
      <c r="N1000" s="75">
        <v>1270.49</v>
      </c>
      <c r="O1000" s="33">
        <f>SUMIFS(DaybyDay[Service-Budgets],DaybyDay[Date],"&gt;="&amp;$C$5,DaybyDay[RowYear],"&gt;="&amp;$C$4,DaybyDay[Date],"&lt;="&amp;DaybyDay[[#This Row],[Date]])</f>
        <v>0</v>
      </c>
      <c r="P1000" s="33">
        <f>SUMIFS(DaybyDay[Retail-Budgets],DaybyDay[Date],"&gt;="&amp;$C$5,DaybyDay[RowYear],"&gt;="&amp;$C$4,DaybyDay[Date],"&lt;="&amp;DaybyDay[[#This Row],[Date]])</f>
        <v>0</v>
      </c>
      <c r="Q1000" s="34">
        <f>SUMIFS(DaybyDay[Service-Actuals],DaybyDay[Date],"&gt;="&amp;$C$5,DaybyDay[RowYear],"&gt;="&amp;$C$4,DaybyDay[Date],"&lt;="&amp;DaybyDay[[#This Row],[Date]])</f>
        <v>0</v>
      </c>
      <c r="R1000" s="34">
        <f>SUMIFS(DaybyDay[Retail-Actuals],DaybyDay[Date],"&gt;="&amp;$C$5,DaybyDay[RowYear],"&gt;="&amp;$C$4,DaybyDay[Date],"&lt;="&amp;DaybyDay[[#This Row],[Date]])</f>
        <v>0</v>
      </c>
      <c r="S1000" s="35">
        <f>SUMIFS(DaybyDay[Service-LY],DaybyDay[Date],"&gt;="&amp;$C$5,DaybyDay[RowYear],"&gt;="&amp;$C$4,DaybyDay[Date],"&lt;="&amp;DaybyDay[[#This Row],[Date]])</f>
        <v>0</v>
      </c>
      <c r="T1000" s="35">
        <f>SUMIFS(DaybyDay[Retail-LY],DaybyDay[Date],"&gt;="&amp;$C$5,DaybyDay[RowYear],"&gt;="&amp;$C$4,DaybyDay[Date],"&lt;="&amp;DaybyDay[[#This Row],[Date]])</f>
        <v>0</v>
      </c>
      <c r="U1000" s="32">
        <f>DaybyDay[[#This Row],[Serv-Bud-RU]]+DaybyDay[[#This Row],[Ret-Bud-RU]]</f>
        <v>0</v>
      </c>
      <c r="V1000" s="32">
        <f>DaybyDay[[#This Row],[Serv-Act-RU]]+DaybyDay[[#This Row],[Ret-Act-RU]]</f>
        <v>0</v>
      </c>
      <c r="W1000" s="36">
        <f>IF(DaybyDay[[#This Row],[_Space]],IFERROR(
((DaybyDay[[#This Row],[Actual-Rollup]]-DaybyDay[[#This Row],[Budget-Rollup]])/DaybyDay[[#This Row],[Budget-Rollup]]),0),"")</f>
        <v>0</v>
      </c>
      <c r="X1000" t="b">
        <f>NOT(AND(ISBLANK(DaybyDay[[#This Row],[Appts]]),ISBLANK(DaybyDay[[#This Row],[Service-Actuals]]),ISBLANK(DaybyDay[[#This Row],[Retail-Actuals]])))</f>
        <v>1</v>
      </c>
      <c r="Y1000" s="36">
        <f>IF(DaybyDay[[#This Row],[_Space]],IFERROR(
((DaybyDay[[#This Row],[Actual-Rollup]]-DaybyDay[[#This Row],[LY-Rollup]])/DaybyDay[[#This Row],[LY-Rollup]]),0),"")</f>
        <v>0</v>
      </c>
      <c r="Z1000"/>
      <c r="AA1000" s="37" t="e">
        <f>IF(DaybyDay[[#This Row],[_Space]],DaybyDay[[#This Row],[Ret-Act-RU]]/DaybyDay[[#This Row],[Serv-Act-RU]],"")</f>
        <v>#DIV/0!</v>
      </c>
      <c r="AB1000" s="50" t="e">
        <f>IF(DaybyDay[[#This Row],[_Space]],DaybyDay[[#This Row],[RETPEN-Act]]/DaybyDay[[#This Row],[RETPEN-Bud]],"")</f>
        <v>#DIV/0!</v>
      </c>
      <c r="AC1000" s="37" t="e">
        <f>IF(DaybyDay[[#This Row],[_Space]],DaybyDay[[#This Row],[Ret-Bud-RU]]/DaybyDay[[#This Row],[Serv-Bud-RU]],"")</f>
        <v>#DIV/0!</v>
      </c>
      <c r="AD1000" s="37" t="e">
        <f>IF(DaybyDay[[#This Row],[_Space]],DaybyDay[[#This Row],[Ret-LY-RU]]/DaybyDay[[#This Row],[Serv-LY-RU]],"")</f>
        <v>#DIV/0!</v>
      </c>
      <c r="AE1000" s="30">
        <f>WEEKDAY(DaybyDay[[#This Row],[LY-Date]])</f>
        <v>7</v>
      </c>
      <c r="AF1000" s="38">
        <f>$E$2+_xlfn.DAYS(DaybyDay[[#This Row],[Date]],minDate)</f>
        <v>43365</v>
      </c>
      <c r="AG1000" s="39" cm="1">
        <f t="array" ref="AG1000">IFERROR(INDEX(DaybyDay[],DaybyDay[[#This Row],[FORM_MATCH_HELPER]],8),"")</f>
        <v>39</v>
      </c>
      <c r="AH1000" s="39" cm="1">
        <f t="array" ref="AH1000">IFERROR(INDEX(DaybyDay[],DaybyDay[[#This Row],[FORM_MATCH_HELPER]],10),"")</f>
        <v>8168.59</v>
      </c>
      <c r="AI1000" s="39" cm="1">
        <f t="array" ref="AI1000">IFERROR(INDEX(DaybyDay[],DaybyDay[[#This Row],[FORM_MATCH_HELPER]],12),"")</f>
        <v>772</v>
      </c>
      <c r="AJ1000" s="32">
        <f>IFERROR(DaybyDay[[#This Row],[Serv-LY-RU]]+DaybyDay[[#This Row],[Ret-LY-RU]],"")</f>
        <v>0</v>
      </c>
      <c r="AK10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0" s="77"/>
      <c r="AM1000" s="40" t="str">
        <f>IF(DaybyDay[[#This Row],[Admin Hours]]&gt;0,DaybyDay[[#This Row],[Admin Hours]]*$AM$2+$AM$3,"")</f>
        <v/>
      </c>
      <c r="AN1000" s="40">
        <f>SUMIFS(DaybyDay[Est-Admin-Payroll],DaybyDay[Date],"&gt;="&amp;$C$5,DaybyDay[RowYear],"&gt;="&amp;$C$4,DaybyDay[Date],"&lt;="&amp;DaybyDay[[#This Row],[Date]])</f>
        <v>0</v>
      </c>
      <c r="AO1000" s="41" t="str">
        <f>IF(AND(DaybyDay[[#This Row],[_Space]],ISNUMBER(DaybyDay[[#This Row],[Admin Hours]])),DaybyDay[[#This Row],[Est-Admin-Payroll]]/(DaybyDay[[#This Row],[Service-Actuals]]+DaybyDay[[#This Row],[Retail-Actuals]]),"")</f>
        <v/>
      </c>
      <c r="AP1000" s="41" t="e">
        <f>DaybyDay[[#This Row],[Estimated-Payroll-Rollup]]/DaybyDay[[#This Row],[Simple-Forecast]]</f>
        <v>#DIV/0!</v>
      </c>
      <c r="AQ10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0" s="77"/>
      <c r="AS1000" s="40" t="str">
        <f>IF(DaybyDay[[#This Row],[Retail Hours]]&gt;0,DaybyDay[[#This Row],[Retail Hours]]*$AS$2,"")</f>
        <v/>
      </c>
      <c r="AT1000" s="40">
        <f>SUMIFS(DaybyDay[Est-Retail-Payroll],DaybyDay[Date],"&gt;="&amp;$C$5,DaybyDay[RowYear],"&gt;="&amp;$C$4,DaybyDay[Date],"&lt;="&amp;DaybyDay[[#This Row],[Date]])</f>
        <v>0</v>
      </c>
      <c r="AU1000" s="82" t="str">
        <f>IF(AND(DaybyDay[[#This Row],[_Space]],ISNUMBER(DaybyDay[[#This Row],[Retail Hours]])),DaybyDay[[#This Row],[Est-Retail-Payroll]]/(DaybyDay[[#This Row],[Retail-Actuals]]),"")</f>
        <v/>
      </c>
      <c r="AV1000" s="82" t="e">
        <f>DaybyDay[[#This Row],[Est-Retail-PayrollRU]]/DaybyDay[[#This Row],[Simple-Forecast-Retail]]</f>
        <v>#DIV/0!</v>
      </c>
      <c r="AW1000" s="8"/>
      <c r="AX1000" s="15"/>
      <c r="AY1000" s="8"/>
    </row>
    <row r="1001" spans="3:51" hidden="1" x14ac:dyDescent="0.25">
      <c r="C1001" s="26" t="str">
        <f>Tools!$C$1</f>
        <v>Example</v>
      </c>
      <c r="D1001" s="27" t="s">
        <v>76</v>
      </c>
      <c r="E1001" s="28">
        <v>2019</v>
      </c>
      <c r="F1001" s="28">
        <f>MATCH(DaybyDay[[#This Row],[RowMonth]],Table3[SummaryMonth],0)</f>
        <v>9</v>
      </c>
      <c r="G1001" s="29">
        <f>MATCH(DaybyDay[[#This Row],[LY-Date]],DaybyDay[Date],0)</f>
        <v>631</v>
      </c>
      <c r="H1001" s="30">
        <f>WEEKDAY(DaybyDay[[#This Row],[Date]])</f>
        <v>1</v>
      </c>
      <c r="I1001" s="31">
        <v>43730</v>
      </c>
      <c r="J1001" s="74">
        <v>21</v>
      </c>
      <c r="K1001" s="32">
        <f>SUMIFS(BudgetSeasonality[365 Seasonality],BudgetSeasonality[MonthAdjustment],DaybyDay[[#This Row],[Date]])*SUMIFS(Budgets[Service-Budget],Budgets[BudgetMonth],DaybyDay[[#This Row],[RowMonth]],Budgets[BudgetYear],DaybyDay[[#This Row],[RowYear]])</f>
        <v>6561.2687969601157</v>
      </c>
      <c r="L1001" s="75">
        <v>3768.65</v>
      </c>
      <c r="M1001" s="32">
        <f>INDEX(BudgetSeasonality[365 Seasonality],MATCH(DaybyDay[[#This Row],[Date]],BudgetSeasonality[MonthAdjustment],0))*SUMIFS(Budgets[Retail-Budget],Budgets[BudgetMonth],DaybyDay[[#This Row],[RowMonth]],Budgets[BudgetYear],DaybyDay[[#This Row],[RowYear]])</f>
        <v>1559.1141691634577</v>
      </c>
      <c r="N1001" s="75">
        <v>212.2</v>
      </c>
      <c r="O1001" s="33">
        <f>SUMIFS(DaybyDay[Service-Budgets],DaybyDay[Date],"&gt;="&amp;$C$5,DaybyDay[RowYear],"&gt;="&amp;$C$4,DaybyDay[Date],"&lt;="&amp;DaybyDay[[#This Row],[Date]])</f>
        <v>0</v>
      </c>
      <c r="P1001" s="33">
        <f>SUMIFS(DaybyDay[Retail-Budgets],DaybyDay[Date],"&gt;="&amp;$C$5,DaybyDay[RowYear],"&gt;="&amp;$C$4,DaybyDay[Date],"&lt;="&amp;DaybyDay[[#This Row],[Date]])</f>
        <v>0</v>
      </c>
      <c r="Q1001" s="34">
        <f>SUMIFS(DaybyDay[Service-Actuals],DaybyDay[Date],"&gt;="&amp;$C$5,DaybyDay[RowYear],"&gt;="&amp;$C$4,DaybyDay[Date],"&lt;="&amp;DaybyDay[[#This Row],[Date]])</f>
        <v>0</v>
      </c>
      <c r="R1001" s="34">
        <f>SUMIFS(DaybyDay[Retail-Actuals],DaybyDay[Date],"&gt;="&amp;$C$5,DaybyDay[RowYear],"&gt;="&amp;$C$4,DaybyDay[Date],"&lt;="&amp;DaybyDay[[#This Row],[Date]])</f>
        <v>0</v>
      </c>
      <c r="S1001" s="35">
        <f>SUMIFS(DaybyDay[Service-LY],DaybyDay[Date],"&gt;="&amp;$C$5,DaybyDay[RowYear],"&gt;="&amp;$C$4,DaybyDay[Date],"&lt;="&amp;DaybyDay[[#This Row],[Date]])</f>
        <v>0</v>
      </c>
      <c r="T1001" s="35">
        <f>SUMIFS(DaybyDay[Retail-LY],DaybyDay[Date],"&gt;="&amp;$C$5,DaybyDay[RowYear],"&gt;="&amp;$C$4,DaybyDay[Date],"&lt;="&amp;DaybyDay[[#This Row],[Date]])</f>
        <v>0</v>
      </c>
      <c r="U1001" s="32">
        <f>DaybyDay[[#This Row],[Serv-Bud-RU]]+DaybyDay[[#This Row],[Ret-Bud-RU]]</f>
        <v>0</v>
      </c>
      <c r="V1001" s="32">
        <f>DaybyDay[[#This Row],[Serv-Act-RU]]+DaybyDay[[#This Row],[Ret-Act-RU]]</f>
        <v>0</v>
      </c>
      <c r="W1001" s="36">
        <f>IF(DaybyDay[[#This Row],[_Space]],IFERROR(
((DaybyDay[[#This Row],[Actual-Rollup]]-DaybyDay[[#This Row],[Budget-Rollup]])/DaybyDay[[#This Row],[Budget-Rollup]]),0),"")</f>
        <v>0</v>
      </c>
      <c r="X1001" t="b">
        <f>NOT(AND(ISBLANK(DaybyDay[[#This Row],[Appts]]),ISBLANK(DaybyDay[[#This Row],[Service-Actuals]]),ISBLANK(DaybyDay[[#This Row],[Retail-Actuals]])))</f>
        <v>1</v>
      </c>
      <c r="Y1001" s="36">
        <f>IF(DaybyDay[[#This Row],[_Space]],IFERROR(
((DaybyDay[[#This Row],[Actual-Rollup]]-DaybyDay[[#This Row],[LY-Rollup]])/DaybyDay[[#This Row],[LY-Rollup]]),0),"")</f>
        <v>0</v>
      </c>
      <c r="Z1001"/>
      <c r="AA1001" s="37" t="e">
        <f>IF(DaybyDay[[#This Row],[_Space]],DaybyDay[[#This Row],[Ret-Act-RU]]/DaybyDay[[#This Row],[Serv-Act-RU]],"")</f>
        <v>#DIV/0!</v>
      </c>
      <c r="AB1001" s="50" t="e">
        <f>IF(DaybyDay[[#This Row],[_Space]],DaybyDay[[#This Row],[RETPEN-Act]]/DaybyDay[[#This Row],[RETPEN-Bud]],"")</f>
        <v>#DIV/0!</v>
      </c>
      <c r="AC1001" s="37" t="e">
        <f>IF(DaybyDay[[#This Row],[_Space]],DaybyDay[[#This Row],[Ret-Bud-RU]]/DaybyDay[[#This Row],[Serv-Bud-RU]],"")</f>
        <v>#DIV/0!</v>
      </c>
      <c r="AD1001" s="37" t="e">
        <f>IF(DaybyDay[[#This Row],[_Space]],DaybyDay[[#This Row],[Ret-LY-RU]]/DaybyDay[[#This Row],[Serv-LY-RU]],"")</f>
        <v>#DIV/0!</v>
      </c>
      <c r="AE1001" s="30">
        <f>WEEKDAY(DaybyDay[[#This Row],[LY-Date]])</f>
        <v>1</v>
      </c>
      <c r="AF1001" s="38">
        <f>$E$2+_xlfn.DAYS(DaybyDay[[#This Row],[Date]],minDate)</f>
        <v>43366</v>
      </c>
      <c r="AG1001" s="39" cm="1">
        <f t="array" ref="AG1001">IFERROR(INDEX(DaybyDay[],DaybyDay[[#This Row],[FORM_MATCH_HELPER]],8),"")</f>
        <v>26</v>
      </c>
      <c r="AH1001" s="39" cm="1">
        <f t="array" ref="AH1001">IFERROR(INDEX(DaybyDay[],DaybyDay[[#This Row],[FORM_MATCH_HELPER]],10),"")</f>
        <v>6262.4</v>
      </c>
      <c r="AI1001" s="39" cm="1">
        <f t="array" ref="AI1001">IFERROR(INDEX(DaybyDay[],DaybyDay[[#This Row],[FORM_MATCH_HELPER]],12),"")</f>
        <v>53</v>
      </c>
      <c r="AJ1001" s="32">
        <f>IFERROR(DaybyDay[[#This Row],[Serv-LY-RU]]+DaybyDay[[#This Row],[Ret-LY-RU]],"")</f>
        <v>0</v>
      </c>
      <c r="AK10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1" s="77"/>
      <c r="AM1001" s="40" t="str">
        <f>IF(DaybyDay[[#This Row],[Admin Hours]]&gt;0,DaybyDay[[#This Row],[Admin Hours]]*$AM$2+$AM$3,"")</f>
        <v/>
      </c>
      <c r="AN1001" s="40">
        <f>SUMIFS(DaybyDay[Est-Admin-Payroll],DaybyDay[Date],"&gt;="&amp;$C$5,DaybyDay[RowYear],"&gt;="&amp;$C$4,DaybyDay[Date],"&lt;="&amp;DaybyDay[[#This Row],[Date]])</f>
        <v>0</v>
      </c>
      <c r="AO1001" s="41" t="str">
        <f>IF(AND(DaybyDay[[#This Row],[_Space]],ISNUMBER(DaybyDay[[#This Row],[Admin Hours]])),DaybyDay[[#This Row],[Est-Admin-Payroll]]/(DaybyDay[[#This Row],[Service-Actuals]]+DaybyDay[[#This Row],[Retail-Actuals]]),"")</f>
        <v/>
      </c>
      <c r="AP1001" s="41" t="e">
        <f>DaybyDay[[#This Row],[Estimated-Payroll-Rollup]]/DaybyDay[[#This Row],[Simple-Forecast]]</f>
        <v>#DIV/0!</v>
      </c>
      <c r="AQ10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1" s="77"/>
      <c r="AS1001" s="40" t="str">
        <f>IF(DaybyDay[[#This Row],[Retail Hours]]&gt;0,DaybyDay[[#This Row],[Retail Hours]]*$AS$2,"")</f>
        <v/>
      </c>
      <c r="AT1001" s="40">
        <f>SUMIFS(DaybyDay[Est-Retail-Payroll],DaybyDay[Date],"&gt;="&amp;$C$5,DaybyDay[RowYear],"&gt;="&amp;$C$4,DaybyDay[Date],"&lt;="&amp;DaybyDay[[#This Row],[Date]])</f>
        <v>0</v>
      </c>
      <c r="AU1001" s="82" t="str">
        <f>IF(AND(DaybyDay[[#This Row],[_Space]],ISNUMBER(DaybyDay[[#This Row],[Retail Hours]])),DaybyDay[[#This Row],[Est-Retail-Payroll]]/(DaybyDay[[#This Row],[Retail-Actuals]]),"")</f>
        <v/>
      </c>
      <c r="AV1001" s="82" t="e">
        <f>DaybyDay[[#This Row],[Est-Retail-PayrollRU]]/DaybyDay[[#This Row],[Simple-Forecast-Retail]]</f>
        <v>#DIV/0!</v>
      </c>
      <c r="AW1001" s="8"/>
      <c r="AX1001" s="15"/>
      <c r="AY1001" s="8"/>
    </row>
    <row r="1002" spans="3:51" hidden="1" x14ac:dyDescent="0.25">
      <c r="C1002" s="26" t="str">
        <f>Tools!$C$1</f>
        <v>Example</v>
      </c>
      <c r="D1002" s="27" t="s">
        <v>76</v>
      </c>
      <c r="E1002" s="28">
        <v>2019</v>
      </c>
      <c r="F1002" s="28">
        <f>MATCH(DaybyDay[[#This Row],[RowMonth]],Table3[SummaryMonth],0)</f>
        <v>9</v>
      </c>
      <c r="G1002" s="29">
        <f>MATCH(DaybyDay[[#This Row],[LY-Date]],DaybyDay[Date],0)</f>
        <v>632</v>
      </c>
      <c r="H1002" s="30">
        <f>WEEKDAY(DaybyDay[[#This Row],[Date]])</f>
        <v>2</v>
      </c>
      <c r="I1002" s="31">
        <v>43731</v>
      </c>
      <c r="J1002" s="74">
        <v>15</v>
      </c>
      <c r="K1002" s="32">
        <f>SUMIFS(BudgetSeasonality[365 Seasonality],BudgetSeasonality[MonthAdjustment],DaybyDay[[#This Row],[Date]])*SUMIFS(Budgets[Service-Budget],Budgets[BudgetMonth],DaybyDay[[#This Row],[RowMonth]],Budgets[BudgetYear],DaybyDay[[#This Row],[RowYear]])</f>
        <v>3573.5175080121194</v>
      </c>
      <c r="L1002" s="75">
        <v>4310</v>
      </c>
      <c r="M1002" s="32">
        <f>INDEX(BudgetSeasonality[365 Seasonality],MATCH(DaybyDay[[#This Row],[Date]],BudgetSeasonality[MonthAdjustment],0))*SUMIFS(Budgets[Retail-Budget],Budgets[BudgetMonth],DaybyDay[[#This Row],[RowMonth]],Budgets[BudgetYear],DaybyDay[[#This Row],[RowYear]])</f>
        <v>849.15310634380842</v>
      </c>
      <c r="N1002" s="75">
        <v>794.8</v>
      </c>
      <c r="O1002" s="33">
        <f>SUMIFS(DaybyDay[Service-Budgets],DaybyDay[Date],"&gt;="&amp;$C$5,DaybyDay[RowYear],"&gt;="&amp;$C$4,DaybyDay[Date],"&lt;="&amp;DaybyDay[[#This Row],[Date]])</f>
        <v>0</v>
      </c>
      <c r="P1002" s="33">
        <f>SUMIFS(DaybyDay[Retail-Budgets],DaybyDay[Date],"&gt;="&amp;$C$5,DaybyDay[RowYear],"&gt;="&amp;$C$4,DaybyDay[Date],"&lt;="&amp;DaybyDay[[#This Row],[Date]])</f>
        <v>0</v>
      </c>
      <c r="Q1002" s="34">
        <f>SUMIFS(DaybyDay[Service-Actuals],DaybyDay[Date],"&gt;="&amp;$C$5,DaybyDay[RowYear],"&gt;="&amp;$C$4,DaybyDay[Date],"&lt;="&amp;DaybyDay[[#This Row],[Date]])</f>
        <v>0</v>
      </c>
      <c r="R1002" s="34">
        <f>SUMIFS(DaybyDay[Retail-Actuals],DaybyDay[Date],"&gt;="&amp;$C$5,DaybyDay[RowYear],"&gt;="&amp;$C$4,DaybyDay[Date],"&lt;="&amp;DaybyDay[[#This Row],[Date]])</f>
        <v>0</v>
      </c>
      <c r="S1002" s="35">
        <f>SUMIFS(DaybyDay[Service-LY],DaybyDay[Date],"&gt;="&amp;$C$5,DaybyDay[RowYear],"&gt;="&amp;$C$4,DaybyDay[Date],"&lt;="&amp;DaybyDay[[#This Row],[Date]])</f>
        <v>0</v>
      </c>
      <c r="T1002" s="35">
        <f>SUMIFS(DaybyDay[Retail-LY],DaybyDay[Date],"&gt;="&amp;$C$5,DaybyDay[RowYear],"&gt;="&amp;$C$4,DaybyDay[Date],"&lt;="&amp;DaybyDay[[#This Row],[Date]])</f>
        <v>0</v>
      </c>
      <c r="U1002" s="32">
        <f>DaybyDay[[#This Row],[Serv-Bud-RU]]+DaybyDay[[#This Row],[Ret-Bud-RU]]</f>
        <v>0</v>
      </c>
      <c r="V1002" s="32">
        <f>DaybyDay[[#This Row],[Serv-Act-RU]]+DaybyDay[[#This Row],[Ret-Act-RU]]</f>
        <v>0</v>
      </c>
      <c r="W1002" s="36">
        <f>IF(DaybyDay[[#This Row],[_Space]],IFERROR(
((DaybyDay[[#This Row],[Actual-Rollup]]-DaybyDay[[#This Row],[Budget-Rollup]])/DaybyDay[[#This Row],[Budget-Rollup]]),0),"")</f>
        <v>0</v>
      </c>
      <c r="X1002" t="b">
        <f>NOT(AND(ISBLANK(DaybyDay[[#This Row],[Appts]]),ISBLANK(DaybyDay[[#This Row],[Service-Actuals]]),ISBLANK(DaybyDay[[#This Row],[Retail-Actuals]])))</f>
        <v>1</v>
      </c>
      <c r="Y1002" s="36">
        <f>IF(DaybyDay[[#This Row],[_Space]],IFERROR(
((DaybyDay[[#This Row],[Actual-Rollup]]-DaybyDay[[#This Row],[LY-Rollup]])/DaybyDay[[#This Row],[LY-Rollup]]),0),"")</f>
        <v>0</v>
      </c>
      <c r="Z1002"/>
      <c r="AA1002" s="37" t="e">
        <f>IF(DaybyDay[[#This Row],[_Space]],DaybyDay[[#This Row],[Ret-Act-RU]]/DaybyDay[[#This Row],[Serv-Act-RU]],"")</f>
        <v>#DIV/0!</v>
      </c>
      <c r="AB1002" s="50" t="e">
        <f>IF(DaybyDay[[#This Row],[_Space]],DaybyDay[[#This Row],[RETPEN-Act]]/DaybyDay[[#This Row],[RETPEN-Bud]],"")</f>
        <v>#DIV/0!</v>
      </c>
      <c r="AC1002" s="37" t="e">
        <f>IF(DaybyDay[[#This Row],[_Space]],DaybyDay[[#This Row],[Ret-Bud-RU]]/DaybyDay[[#This Row],[Serv-Bud-RU]],"")</f>
        <v>#DIV/0!</v>
      </c>
      <c r="AD1002" s="37" t="e">
        <f>IF(DaybyDay[[#This Row],[_Space]],DaybyDay[[#This Row],[Ret-LY-RU]]/DaybyDay[[#This Row],[Serv-LY-RU]],"")</f>
        <v>#DIV/0!</v>
      </c>
      <c r="AE1002" s="30">
        <f>WEEKDAY(DaybyDay[[#This Row],[LY-Date]])</f>
        <v>2</v>
      </c>
      <c r="AF1002" s="38">
        <f>$E$2+_xlfn.DAYS(DaybyDay[[#This Row],[Date]],minDate)</f>
        <v>43367</v>
      </c>
      <c r="AG1002" s="39" cm="1">
        <f t="array" ref="AG1002">IFERROR(INDEX(DaybyDay[],DaybyDay[[#This Row],[FORM_MATCH_HELPER]],8),"")</f>
        <v>11</v>
      </c>
      <c r="AH1002" s="39" cm="1">
        <f t="array" ref="AH1002">IFERROR(INDEX(DaybyDay[],DaybyDay[[#This Row],[FORM_MATCH_HELPER]],10),"")</f>
        <v>3158</v>
      </c>
      <c r="AI1002" s="39" cm="1">
        <f t="array" ref="AI1002">IFERROR(INDEX(DaybyDay[],DaybyDay[[#This Row],[FORM_MATCH_HELPER]],12),"")</f>
        <v>1266.0999999999999</v>
      </c>
      <c r="AJ1002" s="32">
        <f>IFERROR(DaybyDay[[#This Row],[Serv-LY-RU]]+DaybyDay[[#This Row],[Ret-LY-RU]],"")</f>
        <v>0</v>
      </c>
      <c r="AK10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2" s="77"/>
      <c r="AM1002" s="40" t="str">
        <f>IF(DaybyDay[[#This Row],[Admin Hours]]&gt;0,DaybyDay[[#This Row],[Admin Hours]]*$AM$2+$AM$3,"")</f>
        <v/>
      </c>
      <c r="AN1002" s="40">
        <f>SUMIFS(DaybyDay[Est-Admin-Payroll],DaybyDay[Date],"&gt;="&amp;$C$5,DaybyDay[RowYear],"&gt;="&amp;$C$4,DaybyDay[Date],"&lt;="&amp;DaybyDay[[#This Row],[Date]])</f>
        <v>0</v>
      </c>
      <c r="AO1002" s="41" t="str">
        <f>IF(AND(DaybyDay[[#This Row],[_Space]],ISNUMBER(DaybyDay[[#This Row],[Admin Hours]])),DaybyDay[[#This Row],[Est-Admin-Payroll]]/(DaybyDay[[#This Row],[Service-Actuals]]+DaybyDay[[#This Row],[Retail-Actuals]]),"")</f>
        <v/>
      </c>
      <c r="AP1002" s="41" t="e">
        <f>DaybyDay[[#This Row],[Estimated-Payroll-Rollup]]/DaybyDay[[#This Row],[Simple-Forecast]]</f>
        <v>#DIV/0!</v>
      </c>
      <c r="AQ10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2" s="77"/>
      <c r="AS1002" s="40" t="str">
        <f>IF(DaybyDay[[#This Row],[Retail Hours]]&gt;0,DaybyDay[[#This Row],[Retail Hours]]*$AS$2,"")</f>
        <v/>
      </c>
      <c r="AT1002" s="40">
        <f>SUMIFS(DaybyDay[Est-Retail-Payroll],DaybyDay[Date],"&gt;="&amp;$C$5,DaybyDay[RowYear],"&gt;="&amp;$C$4,DaybyDay[Date],"&lt;="&amp;DaybyDay[[#This Row],[Date]])</f>
        <v>0</v>
      </c>
      <c r="AU1002" s="82" t="str">
        <f>IF(AND(DaybyDay[[#This Row],[_Space]],ISNUMBER(DaybyDay[[#This Row],[Retail Hours]])),DaybyDay[[#This Row],[Est-Retail-Payroll]]/(DaybyDay[[#This Row],[Retail-Actuals]]),"")</f>
        <v/>
      </c>
      <c r="AV1002" s="82" t="e">
        <f>DaybyDay[[#This Row],[Est-Retail-PayrollRU]]/DaybyDay[[#This Row],[Simple-Forecast-Retail]]</f>
        <v>#DIV/0!</v>
      </c>
      <c r="AW1002" s="8"/>
      <c r="AX1002" s="15"/>
      <c r="AY1002" s="8"/>
    </row>
    <row r="1003" spans="3:51" hidden="1" x14ac:dyDescent="0.25">
      <c r="C1003" s="26" t="str">
        <f>Tools!$C$1</f>
        <v>Example</v>
      </c>
      <c r="D1003" s="27" t="s">
        <v>76</v>
      </c>
      <c r="E1003" s="28">
        <v>2019</v>
      </c>
      <c r="F1003" s="28">
        <f>MATCH(DaybyDay[[#This Row],[RowMonth]],Table3[SummaryMonth],0)</f>
        <v>9</v>
      </c>
      <c r="G1003" s="29">
        <f>MATCH(DaybyDay[[#This Row],[LY-Date]],DaybyDay[Date],0)</f>
        <v>633</v>
      </c>
      <c r="H1003" s="30">
        <f>WEEKDAY(DaybyDay[[#This Row],[Date]])</f>
        <v>3</v>
      </c>
      <c r="I1003" s="31">
        <v>43732</v>
      </c>
      <c r="J1003" s="74">
        <v>13</v>
      </c>
      <c r="K1003" s="32">
        <f>SUMIFS(BudgetSeasonality[365 Seasonality],BudgetSeasonality[MonthAdjustment],DaybyDay[[#This Row],[Date]])*SUMIFS(Budgets[Service-Budget],Budgets[BudgetMonth],DaybyDay[[#This Row],[RowMonth]],Budgets[BudgetYear],DaybyDay[[#This Row],[RowYear]])</f>
        <v>3736.9562360212981</v>
      </c>
      <c r="L1003" s="75">
        <v>2657.8999999999996</v>
      </c>
      <c r="M1003" s="32">
        <f>INDEX(BudgetSeasonality[365 Seasonality],MATCH(DaybyDay[[#This Row],[Date]],BudgetSeasonality[MonthAdjustment],0))*SUMIFS(Budgets[Retail-Budget],Budgets[BudgetMonth],DaybyDay[[#This Row],[RowMonth]],Budgets[BudgetYear],DaybyDay[[#This Row],[RowYear]])</f>
        <v>887.99005153148653</v>
      </c>
      <c r="N1003" s="75">
        <v>3763.5</v>
      </c>
      <c r="O1003" s="33">
        <f>SUMIFS(DaybyDay[Service-Budgets],DaybyDay[Date],"&gt;="&amp;$C$5,DaybyDay[RowYear],"&gt;="&amp;$C$4,DaybyDay[Date],"&lt;="&amp;DaybyDay[[#This Row],[Date]])</f>
        <v>0</v>
      </c>
      <c r="P1003" s="33">
        <f>SUMIFS(DaybyDay[Retail-Budgets],DaybyDay[Date],"&gt;="&amp;$C$5,DaybyDay[RowYear],"&gt;="&amp;$C$4,DaybyDay[Date],"&lt;="&amp;DaybyDay[[#This Row],[Date]])</f>
        <v>0</v>
      </c>
      <c r="Q1003" s="34">
        <f>SUMIFS(DaybyDay[Service-Actuals],DaybyDay[Date],"&gt;="&amp;$C$5,DaybyDay[RowYear],"&gt;="&amp;$C$4,DaybyDay[Date],"&lt;="&amp;DaybyDay[[#This Row],[Date]])</f>
        <v>0</v>
      </c>
      <c r="R1003" s="34">
        <f>SUMIFS(DaybyDay[Retail-Actuals],DaybyDay[Date],"&gt;="&amp;$C$5,DaybyDay[RowYear],"&gt;="&amp;$C$4,DaybyDay[Date],"&lt;="&amp;DaybyDay[[#This Row],[Date]])</f>
        <v>0</v>
      </c>
      <c r="S1003" s="35">
        <f>SUMIFS(DaybyDay[Service-LY],DaybyDay[Date],"&gt;="&amp;$C$5,DaybyDay[RowYear],"&gt;="&amp;$C$4,DaybyDay[Date],"&lt;="&amp;DaybyDay[[#This Row],[Date]])</f>
        <v>0</v>
      </c>
      <c r="T1003" s="35">
        <f>SUMIFS(DaybyDay[Retail-LY],DaybyDay[Date],"&gt;="&amp;$C$5,DaybyDay[RowYear],"&gt;="&amp;$C$4,DaybyDay[Date],"&lt;="&amp;DaybyDay[[#This Row],[Date]])</f>
        <v>0</v>
      </c>
      <c r="U1003" s="32">
        <f>DaybyDay[[#This Row],[Serv-Bud-RU]]+DaybyDay[[#This Row],[Ret-Bud-RU]]</f>
        <v>0</v>
      </c>
      <c r="V1003" s="32">
        <f>DaybyDay[[#This Row],[Serv-Act-RU]]+DaybyDay[[#This Row],[Ret-Act-RU]]</f>
        <v>0</v>
      </c>
      <c r="W1003" s="36">
        <f>IF(DaybyDay[[#This Row],[_Space]],IFERROR(
((DaybyDay[[#This Row],[Actual-Rollup]]-DaybyDay[[#This Row],[Budget-Rollup]])/DaybyDay[[#This Row],[Budget-Rollup]]),0),"")</f>
        <v>0</v>
      </c>
      <c r="X1003" t="b">
        <f>NOT(AND(ISBLANK(DaybyDay[[#This Row],[Appts]]),ISBLANK(DaybyDay[[#This Row],[Service-Actuals]]),ISBLANK(DaybyDay[[#This Row],[Retail-Actuals]])))</f>
        <v>1</v>
      </c>
      <c r="Y1003" s="36">
        <f>IF(DaybyDay[[#This Row],[_Space]],IFERROR(
((DaybyDay[[#This Row],[Actual-Rollup]]-DaybyDay[[#This Row],[LY-Rollup]])/DaybyDay[[#This Row],[LY-Rollup]]),0),"")</f>
        <v>0</v>
      </c>
      <c r="Z1003"/>
      <c r="AA1003" s="37" t="e">
        <f>IF(DaybyDay[[#This Row],[_Space]],DaybyDay[[#This Row],[Ret-Act-RU]]/DaybyDay[[#This Row],[Serv-Act-RU]],"")</f>
        <v>#DIV/0!</v>
      </c>
      <c r="AB1003" s="50" t="e">
        <f>IF(DaybyDay[[#This Row],[_Space]],DaybyDay[[#This Row],[RETPEN-Act]]/DaybyDay[[#This Row],[RETPEN-Bud]],"")</f>
        <v>#DIV/0!</v>
      </c>
      <c r="AC1003" s="37" t="e">
        <f>IF(DaybyDay[[#This Row],[_Space]],DaybyDay[[#This Row],[Ret-Bud-RU]]/DaybyDay[[#This Row],[Serv-Bud-RU]],"")</f>
        <v>#DIV/0!</v>
      </c>
      <c r="AD1003" s="37" t="e">
        <f>IF(DaybyDay[[#This Row],[_Space]],DaybyDay[[#This Row],[Ret-LY-RU]]/DaybyDay[[#This Row],[Serv-LY-RU]],"")</f>
        <v>#DIV/0!</v>
      </c>
      <c r="AE1003" s="30">
        <f>WEEKDAY(DaybyDay[[#This Row],[LY-Date]])</f>
        <v>3</v>
      </c>
      <c r="AF1003" s="38">
        <f>$E$2+_xlfn.DAYS(DaybyDay[[#This Row],[Date]],minDate)</f>
        <v>43368</v>
      </c>
      <c r="AG1003" s="39" cm="1">
        <f t="array" ref="AG1003">IFERROR(INDEX(DaybyDay[],DaybyDay[[#This Row],[FORM_MATCH_HELPER]],8),"")</f>
        <v>9</v>
      </c>
      <c r="AH1003" s="39" cm="1">
        <f t="array" ref="AH1003">IFERROR(INDEX(DaybyDay[],DaybyDay[[#This Row],[FORM_MATCH_HELPER]],10),"")</f>
        <v>2582.5</v>
      </c>
      <c r="AI1003" s="39" cm="1">
        <f t="array" ref="AI1003">IFERROR(INDEX(DaybyDay[],DaybyDay[[#This Row],[FORM_MATCH_HELPER]],12),"")</f>
        <v>848.9</v>
      </c>
      <c r="AJ1003" s="32">
        <f>IFERROR(DaybyDay[[#This Row],[Serv-LY-RU]]+DaybyDay[[#This Row],[Ret-LY-RU]],"")</f>
        <v>0</v>
      </c>
      <c r="AK10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3" s="77"/>
      <c r="AM1003" s="40" t="str">
        <f>IF(DaybyDay[[#This Row],[Admin Hours]]&gt;0,DaybyDay[[#This Row],[Admin Hours]]*$AM$2+$AM$3,"")</f>
        <v/>
      </c>
      <c r="AN1003" s="40">
        <f>SUMIFS(DaybyDay[Est-Admin-Payroll],DaybyDay[Date],"&gt;="&amp;$C$5,DaybyDay[RowYear],"&gt;="&amp;$C$4,DaybyDay[Date],"&lt;="&amp;DaybyDay[[#This Row],[Date]])</f>
        <v>0</v>
      </c>
      <c r="AO1003" s="41" t="str">
        <f>IF(AND(DaybyDay[[#This Row],[_Space]],ISNUMBER(DaybyDay[[#This Row],[Admin Hours]])),DaybyDay[[#This Row],[Est-Admin-Payroll]]/(DaybyDay[[#This Row],[Service-Actuals]]+DaybyDay[[#This Row],[Retail-Actuals]]),"")</f>
        <v/>
      </c>
      <c r="AP1003" s="41" t="e">
        <f>DaybyDay[[#This Row],[Estimated-Payroll-Rollup]]/DaybyDay[[#This Row],[Simple-Forecast]]</f>
        <v>#DIV/0!</v>
      </c>
      <c r="AQ10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3" s="77"/>
      <c r="AS1003" s="40" t="str">
        <f>IF(DaybyDay[[#This Row],[Retail Hours]]&gt;0,DaybyDay[[#This Row],[Retail Hours]]*$AS$2,"")</f>
        <v/>
      </c>
      <c r="AT1003" s="40">
        <f>SUMIFS(DaybyDay[Est-Retail-Payroll],DaybyDay[Date],"&gt;="&amp;$C$5,DaybyDay[RowYear],"&gt;="&amp;$C$4,DaybyDay[Date],"&lt;="&amp;DaybyDay[[#This Row],[Date]])</f>
        <v>0</v>
      </c>
      <c r="AU1003" s="82" t="str">
        <f>IF(AND(DaybyDay[[#This Row],[_Space]],ISNUMBER(DaybyDay[[#This Row],[Retail Hours]])),DaybyDay[[#This Row],[Est-Retail-Payroll]]/(DaybyDay[[#This Row],[Retail-Actuals]]),"")</f>
        <v/>
      </c>
      <c r="AV1003" s="82" t="e">
        <f>DaybyDay[[#This Row],[Est-Retail-PayrollRU]]/DaybyDay[[#This Row],[Simple-Forecast-Retail]]</f>
        <v>#DIV/0!</v>
      </c>
      <c r="AW1003" s="8"/>
      <c r="AX1003" s="15"/>
      <c r="AY1003" s="8"/>
    </row>
    <row r="1004" spans="3:51" hidden="1" x14ac:dyDescent="0.25">
      <c r="C1004" s="26" t="str">
        <f>Tools!$C$1</f>
        <v>Example</v>
      </c>
      <c r="D1004" s="27" t="s">
        <v>76</v>
      </c>
      <c r="E1004" s="28">
        <v>2019</v>
      </c>
      <c r="F1004" s="28">
        <f>MATCH(DaybyDay[[#This Row],[RowMonth]],Table3[SummaryMonth],0)</f>
        <v>9</v>
      </c>
      <c r="G1004" s="29">
        <f>MATCH(DaybyDay[[#This Row],[LY-Date]],DaybyDay[Date],0)</f>
        <v>634</v>
      </c>
      <c r="H1004" s="30">
        <f>WEEKDAY(DaybyDay[[#This Row],[Date]])</f>
        <v>4</v>
      </c>
      <c r="I1004" s="31">
        <v>43733</v>
      </c>
      <c r="J1004" s="74">
        <v>5</v>
      </c>
      <c r="K1004" s="32">
        <f>SUMIFS(BudgetSeasonality[365 Seasonality],BudgetSeasonality[MonthAdjustment],DaybyDay[[#This Row],[Date]])*SUMIFS(Budgets[Service-Budget],Budgets[BudgetMonth],DaybyDay[[#This Row],[RowMonth]],Budgets[BudgetYear],DaybyDay[[#This Row],[RowYear]])</f>
        <v>4458.0268530148314</v>
      </c>
      <c r="L1004" s="75">
        <v>1142</v>
      </c>
      <c r="M1004" s="32">
        <f>INDEX(BudgetSeasonality[365 Seasonality],MATCH(DaybyDay[[#This Row],[Date]],BudgetSeasonality[MonthAdjustment],0))*SUMIFS(Budgets[Retail-Budget],Budgets[BudgetMonth],DaybyDay[[#This Row],[RowMonth]],Budgets[BudgetYear],DaybyDay[[#This Row],[RowYear]])</f>
        <v>1059.3336514832092</v>
      </c>
      <c r="N1004" s="75">
        <v>2100.5</v>
      </c>
      <c r="O1004" s="33">
        <f>SUMIFS(DaybyDay[Service-Budgets],DaybyDay[Date],"&gt;="&amp;$C$5,DaybyDay[RowYear],"&gt;="&amp;$C$4,DaybyDay[Date],"&lt;="&amp;DaybyDay[[#This Row],[Date]])</f>
        <v>0</v>
      </c>
      <c r="P1004" s="33">
        <f>SUMIFS(DaybyDay[Retail-Budgets],DaybyDay[Date],"&gt;="&amp;$C$5,DaybyDay[RowYear],"&gt;="&amp;$C$4,DaybyDay[Date],"&lt;="&amp;DaybyDay[[#This Row],[Date]])</f>
        <v>0</v>
      </c>
      <c r="Q1004" s="34">
        <f>SUMIFS(DaybyDay[Service-Actuals],DaybyDay[Date],"&gt;="&amp;$C$5,DaybyDay[RowYear],"&gt;="&amp;$C$4,DaybyDay[Date],"&lt;="&amp;DaybyDay[[#This Row],[Date]])</f>
        <v>0</v>
      </c>
      <c r="R1004" s="34">
        <f>SUMIFS(DaybyDay[Retail-Actuals],DaybyDay[Date],"&gt;="&amp;$C$5,DaybyDay[RowYear],"&gt;="&amp;$C$4,DaybyDay[Date],"&lt;="&amp;DaybyDay[[#This Row],[Date]])</f>
        <v>0</v>
      </c>
      <c r="S1004" s="35">
        <f>SUMIFS(DaybyDay[Service-LY],DaybyDay[Date],"&gt;="&amp;$C$5,DaybyDay[RowYear],"&gt;="&amp;$C$4,DaybyDay[Date],"&lt;="&amp;DaybyDay[[#This Row],[Date]])</f>
        <v>0</v>
      </c>
      <c r="T1004" s="35">
        <f>SUMIFS(DaybyDay[Retail-LY],DaybyDay[Date],"&gt;="&amp;$C$5,DaybyDay[RowYear],"&gt;="&amp;$C$4,DaybyDay[Date],"&lt;="&amp;DaybyDay[[#This Row],[Date]])</f>
        <v>0</v>
      </c>
      <c r="U1004" s="32">
        <f>DaybyDay[[#This Row],[Serv-Bud-RU]]+DaybyDay[[#This Row],[Ret-Bud-RU]]</f>
        <v>0</v>
      </c>
      <c r="V1004" s="32">
        <f>DaybyDay[[#This Row],[Serv-Act-RU]]+DaybyDay[[#This Row],[Ret-Act-RU]]</f>
        <v>0</v>
      </c>
      <c r="W1004" s="36">
        <f>IF(DaybyDay[[#This Row],[_Space]],IFERROR(
((DaybyDay[[#This Row],[Actual-Rollup]]-DaybyDay[[#This Row],[Budget-Rollup]])/DaybyDay[[#This Row],[Budget-Rollup]]),0),"")</f>
        <v>0</v>
      </c>
      <c r="X1004" t="b">
        <f>NOT(AND(ISBLANK(DaybyDay[[#This Row],[Appts]]),ISBLANK(DaybyDay[[#This Row],[Service-Actuals]]),ISBLANK(DaybyDay[[#This Row],[Retail-Actuals]])))</f>
        <v>1</v>
      </c>
      <c r="Y1004" s="36">
        <f>IF(DaybyDay[[#This Row],[_Space]],IFERROR(
((DaybyDay[[#This Row],[Actual-Rollup]]-DaybyDay[[#This Row],[LY-Rollup]])/DaybyDay[[#This Row],[LY-Rollup]]),0),"")</f>
        <v>0</v>
      </c>
      <c r="Z1004"/>
      <c r="AA1004" s="37" t="e">
        <f>IF(DaybyDay[[#This Row],[_Space]],DaybyDay[[#This Row],[Ret-Act-RU]]/DaybyDay[[#This Row],[Serv-Act-RU]],"")</f>
        <v>#DIV/0!</v>
      </c>
      <c r="AB1004" s="50" t="e">
        <f>IF(DaybyDay[[#This Row],[_Space]],DaybyDay[[#This Row],[RETPEN-Act]]/DaybyDay[[#This Row],[RETPEN-Bud]],"")</f>
        <v>#DIV/0!</v>
      </c>
      <c r="AC1004" s="37" t="e">
        <f>IF(DaybyDay[[#This Row],[_Space]],DaybyDay[[#This Row],[Ret-Bud-RU]]/DaybyDay[[#This Row],[Serv-Bud-RU]],"")</f>
        <v>#DIV/0!</v>
      </c>
      <c r="AD1004" s="37" t="e">
        <f>IF(DaybyDay[[#This Row],[_Space]],DaybyDay[[#This Row],[Ret-LY-RU]]/DaybyDay[[#This Row],[Serv-LY-RU]],"")</f>
        <v>#DIV/0!</v>
      </c>
      <c r="AE1004" s="30">
        <f>WEEKDAY(DaybyDay[[#This Row],[LY-Date]])</f>
        <v>4</v>
      </c>
      <c r="AF1004" s="38">
        <f>$E$2+_xlfn.DAYS(DaybyDay[[#This Row],[Date]],minDate)</f>
        <v>43369</v>
      </c>
      <c r="AG1004" s="39" cm="1">
        <f t="array" ref="AG1004">IFERROR(INDEX(DaybyDay[],DaybyDay[[#This Row],[FORM_MATCH_HELPER]],8),"")</f>
        <v>10</v>
      </c>
      <c r="AH1004" s="39" cm="1">
        <f t="array" ref="AH1004">IFERROR(INDEX(DaybyDay[],DaybyDay[[#This Row],[FORM_MATCH_HELPER]],10),"")</f>
        <v>2350.6</v>
      </c>
      <c r="AI1004" s="39" cm="1">
        <f t="array" ref="AI1004">IFERROR(INDEX(DaybyDay[],DaybyDay[[#This Row],[FORM_MATCH_HELPER]],12),"")</f>
        <v>652.5</v>
      </c>
      <c r="AJ1004" s="32">
        <f>IFERROR(DaybyDay[[#This Row],[Serv-LY-RU]]+DaybyDay[[#This Row],[Ret-LY-RU]],"")</f>
        <v>0</v>
      </c>
      <c r="AK10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4" s="77"/>
      <c r="AM1004" s="40" t="str">
        <f>IF(DaybyDay[[#This Row],[Admin Hours]]&gt;0,DaybyDay[[#This Row],[Admin Hours]]*$AM$2+$AM$3,"")</f>
        <v/>
      </c>
      <c r="AN1004" s="40">
        <f>SUMIFS(DaybyDay[Est-Admin-Payroll],DaybyDay[Date],"&gt;="&amp;$C$5,DaybyDay[RowYear],"&gt;="&amp;$C$4,DaybyDay[Date],"&lt;="&amp;DaybyDay[[#This Row],[Date]])</f>
        <v>0</v>
      </c>
      <c r="AO1004" s="41" t="str">
        <f>IF(AND(DaybyDay[[#This Row],[_Space]],ISNUMBER(DaybyDay[[#This Row],[Admin Hours]])),DaybyDay[[#This Row],[Est-Admin-Payroll]]/(DaybyDay[[#This Row],[Service-Actuals]]+DaybyDay[[#This Row],[Retail-Actuals]]),"")</f>
        <v/>
      </c>
      <c r="AP1004" s="41" t="e">
        <f>DaybyDay[[#This Row],[Estimated-Payroll-Rollup]]/DaybyDay[[#This Row],[Simple-Forecast]]</f>
        <v>#DIV/0!</v>
      </c>
      <c r="AQ10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4" s="77"/>
      <c r="AS1004" s="40" t="str">
        <f>IF(DaybyDay[[#This Row],[Retail Hours]]&gt;0,DaybyDay[[#This Row],[Retail Hours]]*$AS$2,"")</f>
        <v/>
      </c>
      <c r="AT1004" s="40">
        <f>SUMIFS(DaybyDay[Est-Retail-Payroll],DaybyDay[Date],"&gt;="&amp;$C$5,DaybyDay[RowYear],"&gt;="&amp;$C$4,DaybyDay[Date],"&lt;="&amp;DaybyDay[[#This Row],[Date]])</f>
        <v>0</v>
      </c>
      <c r="AU1004" s="82" t="str">
        <f>IF(AND(DaybyDay[[#This Row],[_Space]],ISNUMBER(DaybyDay[[#This Row],[Retail Hours]])),DaybyDay[[#This Row],[Est-Retail-Payroll]]/(DaybyDay[[#This Row],[Retail-Actuals]]),"")</f>
        <v/>
      </c>
      <c r="AV1004" s="82" t="e">
        <f>DaybyDay[[#This Row],[Est-Retail-PayrollRU]]/DaybyDay[[#This Row],[Simple-Forecast-Retail]]</f>
        <v>#DIV/0!</v>
      </c>
      <c r="AW1004" s="8"/>
      <c r="AX1004" s="15"/>
      <c r="AY1004" s="8"/>
    </row>
    <row r="1005" spans="3:51" hidden="1" x14ac:dyDescent="0.25">
      <c r="C1005" s="26" t="str">
        <f>Tools!$C$1</f>
        <v>Example</v>
      </c>
      <c r="D1005" s="27" t="s">
        <v>76</v>
      </c>
      <c r="E1005" s="28">
        <v>2019</v>
      </c>
      <c r="F1005" s="28">
        <f>MATCH(DaybyDay[[#This Row],[RowMonth]],Table3[SummaryMonth],0)</f>
        <v>9</v>
      </c>
      <c r="G1005" s="29">
        <f>MATCH(DaybyDay[[#This Row],[LY-Date]],DaybyDay[Date],0)</f>
        <v>635</v>
      </c>
      <c r="H1005" s="30">
        <f>WEEKDAY(DaybyDay[[#This Row],[Date]])</f>
        <v>5</v>
      </c>
      <c r="I1005" s="31">
        <v>43734</v>
      </c>
      <c r="J1005" s="74">
        <v>13</v>
      </c>
      <c r="K1005" s="32">
        <f>SUMIFS(BudgetSeasonality[365 Seasonality],BudgetSeasonality[MonthAdjustment],DaybyDay[[#This Row],[Date]])*SUMIFS(Budgets[Service-Budget],Budgets[BudgetMonth],DaybyDay[[#This Row],[RowMonth]],Budgets[BudgetYear],DaybyDay[[#This Row],[RowYear]])</f>
        <v>4625.3930470572159</v>
      </c>
      <c r="L1005" s="75">
        <v>3009.4999999999995</v>
      </c>
      <c r="M1005" s="32">
        <f>INDEX(BudgetSeasonality[365 Seasonality],MATCH(DaybyDay[[#This Row],[Date]],BudgetSeasonality[MonthAdjustment],0))*SUMIFS(Budgets[Retail-Budget],Budgets[BudgetMonth],DaybyDay[[#This Row],[RowMonth]],Budgets[BudgetYear],DaybyDay[[#This Row],[RowYear]])</f>
        <v>1099.1038564001819</v>
      </c>
      <c r="N1005" s="75">
        <v>1816.4</v>
      </c>
      <c r="O1005" s="33">
        <f>SUMIFS(DaybyDay[Service-Budgets],DaybyDay[Date],"&gt;="&amp;$C$5,DaybyDay[RowYear],"&gt;="&amp;$C$4,DaybyDay[Date],"&lt;="&amp;DaybyDay[[#This Row],[Date]])</f>
        <v>0</v>
      </c>
      <c r="P1005" s="33">
        <f>SUMIFS(DaybyDay[Retail-Budgets],DaybyDay[Date],"&gt;="&amp;$C$5,DaybyDay[RowYear],"&gt;="&amp;$C$4,DaybyDay[Date],"&lt;="&amp;DaybyDay[[#This Row],[Date]])</f>
        <v>0</v>
      </c>
      <c r="Q1005" s="34">
        <f>SUMIFS(DaybyDay[Service-Actuals],DaybyDay[Date],"&gt;="&amp;$C$5,DaybyDay[RowYear],"&gt;="&amp;$C$4,DaybyDay[Date],"&lt;="&amp;DaybyDay[[#This Row],[Date]])</f>
        <v>0</v>
      </c>
      <c r="R1005" s="34">
        <f>SUMIFS(DaybyDay[Retail-Actuals],DaybyDay[Date],"&gt;="&amp;$C$5,DaybyDay[RowYear],"&gt;="&amp;$C$4,DaybyDay[Date],"&lt;="&amp;DaybyDay[[#This Row],[Date]])</f>
        <v>0</v>
      </c>
      <c r="S1005" s="35">
        <f>SUMIFS(DaybyDay[Service-LY],DaybyDay[Date],"&gt;="&amp;$C$5,DaybyDay[RowYear],"&gt;="&amp;$C$4,DaybyDay[Date],"&lt;="&amp;DaybyDay[[#This Row],[Date]])</f>
        <v>0</v>
      </c>
      <c r="T1005" s="35">
        <f>SUMIFS(DaybyDay[Retail-LY],DaybyDay[Date],"&gt;="&amp;$C$5,DaybyDay[RowYear],"&gt;="&amp;$C$4,DaybyDay[Date],"&lt;="&amp;DaybyDay[[#This Row],[Date]])</f>
        <v>0</v>
      </c>
      <c r="U1005" s="32">
        <f>DaybyDay[[#This Row],[Serv-Bud-RU]]+DaybyDay[[#This Row],[Ret-Bud-RU]]</f>
        <v>0</v>
      </c>
      <c r="V1005" s="32">
        <f>DaybyDay[[#This Row],[Serv-Act-RU]]+DaybyDay[[#This Row],[Ret-Act-RU]]</f>
        <v>0</v>
      </c>
      <c r="W1005" s="36">
        <f>IF(DaybyDay[[#This Row],[_Space]],IFERROR(
((DaybyDay[[#This Row],[Actual-Rollup]]-DaybyDay[[#This Row],[Budget-Rollup]])/DaybyDay[[#This Row],[Budget-Rollup]]),0),"")</f>
        <v>0</v>
      </c>
      <c r="X1005" t="b">
        <f>NOT(AND(ISBLANK(DaybyDay[[#This Row],[Appts]]),ISBLANK(DaybyDay[[#This Row],[Service-Actuals]]),ISBLANK(DaybyDay[[#This Row],[Retail-Actuals]])))</f>
        <v>1</v>
      </c>
      <c r="Y1005" s="36">
        <f>IF(DaybyDay[[#This Row],[_Space]],IFERROR(
((DaybyDay[[#This Row],[Actual-Rollup]]-DaybyDay[[#This Row],[LY-Rollup]])/DaybyDay[[#This Row],[LY-Rollup]]),0),"")</f>
        <v>0</v>
      </c>
      <c r="Z1005"/>
      <c r="AA1005" s="37" t="e">
        <f>IF(DaybyDay[[#This Row],[_Space]],DaybyDay[[#This Row],[Ret-Act-RU]]/DaybyDay[[#This Row],[Serv-Act-RU]],"")</f>
        <v>#DIV/0!</v>
      </c>
      <c r="AB1005" s="50" t="e">
        <f>IF(DaybyDay[[#This Row],[_Space]],DaybyDay[[#This Row],[RETPEN-Act]]/DaybyDay[[#This Row],[RETPEN-Bud]],"")</f>
        <v>#DIV/0!</v>
      </c>
      <c r="AC1005" s="37" t="e">
        <f>IF(DaybyDay[[#This Row],[_Space]],DaybyDay[[#This Row],[Ret-Bud-RU]]/DaybyDay[[#This Row],[Serv-Bud-RU]],"")</f>
        <v>#DIV/0!</v>
      </c>
      <c r="AD1005" s="37" t="e">
        <f>IF(DaybyDay[[#This Row],[_Space]],DaybyDay[[#This Row],[Ret-LY-RU]]/DaybyDay[[#This Row],[Serv-LY-RU]],"")</f>
        <v>#DIV/0!</v>
      </c>
      <c r="AE1005" s="30">
        <f>WEEKDAY(DaybyDay[[#This Row],[LY-Date]])</f>
        <v>5</v>
      </c>
      <c r="AF1005" s="38">
        <f>$E$2+_xlfn.DAYS(DaybyDay[[#This Row],[Date]],minDate)</f>
        <v>43370</v>
      </c>
      <c r="AG1005" s="39" cm="1">
        <f t="array" ref="AG1005">IFERROR(INDEX(DaybyDay[],DaybyDay[[#This Row],[FORM_MATCH_HELPER]],8),"")</f>
        <v>12</v>
      </c>
      <c r="AH1005" s="39" cm="1">
        <f t="array" ref="AH1005">IFERROR(INDEX(DaybyDay[],DaybyDay[[#This Row],[FORM_MATCH_HELPER]],10),"")</f>
        <v>2905</v>
      </c>
      <c r="AI1005" s="39" cm="1">
        <f t="array" ref="AI1005">IFERROR(INDEX(DaybyDay[],DaybyDay[[#This Row],[FORM_MATCH_HELPER]],12),"")</f>
        <v>455</v>
      </c>
      <c r="AJ1005" s="32">
        <f>IFERROR(DaybyDay[[#This Row],[Serv-LY-RU]]+DaybyDay[[#This Row],[Ret-LY-RU]],"")</f>
        <v>0</v>
      </c>
      <c r="AK10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5" s="77"/>
      <c r="AM1005" s="40" t="str">
        <f>IF(DaybyDay[[#This Row],[Admin Hours]]&gt;0,DaybyDay[[#This Row],[Admin Hours]]*$AM$2+$AM$3,"")</f>
        <v/>
      </c>
      <c r="AN1005" s="40">
        <f>SUMIFS(DaybyDay[Est-Admin-Payroll],DaybyDay[Date],"&gt;="&amp;$C$5,DaybyDay[RowYear],"&gt;="&amp;$C$4,DaybyDay[Date],"&lt;="&amp;DaybyDay[[#This Row],[Date]])</f>
        <v>0</v>
      </c>
      <c r="AO1005" s="41" t="str">
        <f>IF(AND(DaybyDay[[#This Row],[_Space]],ISNUMBER(DaybyDay[[#This Row],[Admin Hours]])),DaybyDay[[#This Row],[Est-Admin-Payroll]]/(DaybyDay[[#This Row],[Service-Actuals]]+DaybyDay[[#This Row],[Retail-Actuals]]),"")</f>
        <v/>
      </c>
      <c r="AP1005" s="41" t="e">
        <f>DaybyDay[[#This Row],[Estimated-Payroll-Rollup]]/DaybyDay[[#This Row],[Simple-Forecast]]</f>
        <v>#DIV/0!</v>
      </c>
      <c r="AQ10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5" s="77"/>
      <c r="AS1005" s="40" t="str">
        <f>IF(DaybyDay[[#This Row],[Retail Hours]]&gt;0,DaybyDay[[#This Row],[Retail Hours]]*$AS$2,"")</f>
        <v/>
      </c>
      <c r="AT1005" s="40">
        <f>SUMIFS(DaybyDay[Est-Retail-Payroll],DaybyDay[Date],"&gt;="&amp;$C$5,DaybyDay[RowYear],"&gt;="&amp;$C$4,DaybyDay[Date],"&lt;="&amp;DaybyDay[[#This Row],[Date]])</f>
        <v>0</v>
      </c>
      <c r="AU1005" s="82" t="str">
        <f>IF(AND(DaybyDay[[#This Row],[_Space]],ISNUMBER(DaybyDay[[#This Row],[Retail Hours]])),DaybyDay[[#This Row],[Est-Retail-Payroll]]/(DaybyDay[[#This Row],[Retail-Actuals]]),"")</f>
        <v/>
      </c>
      <c r="AV1005" s="82" t="e">
        <f>DaybyDay[[#This Row],[Est-Retail-PayrollRU]]/DaybyDay[[#This Row],[Simple-Forecast-Retail]]</f>
        <v>#DIV/0!</v>
      </c>
      <c r="AW1005" s="8"/>
      <c r="AX1005" s="15"/>
      <c r="AY1005" s="8"/>
    </row>
    <row r="1006" spans="3:51" hidden="1" x14ac:dyDescent="0.25">
      <c r="C1006" s="26" t="str">
        <f>Tools!$C$1</f>
        <v>Example</v>
      </c>
      <c r="D1006" s="27" t="s">
        <v>76</v>
      </c>
      <c r="E1006" s="28">
        <v>2019</v>
      </c>
      <c r="F1006" s="28">
        <f>MATCH(DaybyDay[[#This Row],[RowMonth]],Table3[SummaryMonth],0)</f>
        <v>9</v>
      </c>
      <c r="G1006" s="29">
        <f>MATCH(DaybyDay[[#This Row],[LY-Date]],DaybyDay[Date],0)</f>
        <v>636</v>
      </c>
      <c r="H1006" s="30">
        <f>WEEKDAY(DaybyDay[[#This Row],[Date]])</f>
        <v>6</v>
      </c>
      <c r="I1006" s="31">
        <v>43735</v>
      </c>
      <c r="J1006" s="74">
        <v>17</v>
      </c>
      <c r="K1006" s="32">
        <f>SUMIFS(BudgetSeasonality[365 Seasonality],BudgetSeasonality[MonthAdjustment],DaybyDay[[#This Row],[Date]])*SUMIFS(Budgets[Service-Budget],Budgets[BudgetMonth],DaybyDay[[#This Row],[RowMonth]],Budgets[BudgetYear],DaybyDay[[#This Row],[RowYear]])</f>
        <v>5959.8622234250961</v>
      </c>
      <c r="L1006" s="75">
        <v>3424.05</v>
      </c>
      <c r="M1006" s="32">
        <f>INDEX(BudgetSeasonality[365 Seasonality],MATCH(DaybyDay[[#This Row],[Date]],BudgetSeasonality[MonthAdjustment],0))*SUMIFS(Budgets[Retail-Budget],Budgets[BudgetMonth],DaybyDay[[#This Row],[RowMonth]],Budgets[BudgetYear],DaybyDay[[#This Row],[RowYear]])</f>
        <v>1416.205603877896</v>
      </c>
      <c r="N1006" s="75">
        <v>735</v>
      </c>
      <c r="O1006" s="33">
        <f>SUMIFS(DaybyDay[Service-Budgets],DaybyDay[Date],"&gt;="&amp;$C$5,DaybyDay[RowYear],"&gt;="&amp;$C$4,DaybyDay[Date],"&lt;="&amp;DaybyDay[[#This Row],[Date]])</f>
        <v>0</v>
      </c>
      <c r="P1006" s="33">
        <f>SUMIFS(DaybyDay[Retail-Budgets],DaybyDay[Date],"&gt;="&amp;$C$5,DaybyDay[RowYear],"&gt;="&amp;$C$4,DaybyDay[Date],"&lt;="&amp;DaybyDay[[#This Row],[Date]])</f>
        <v>0</v>
      </c>
      <c r="Q1006" s="34">
        <f>SUMIFS(DaybyDay[Service-Actuals],DaybyDay[Date],"&gt;="&amp;$C$5,DaybyDay[RowYear],"&gt;="&amp;$C$4,DaybyDay[Date],"&lt;="&amp;DaybyDay[[#This Row],[Date]])</f>
        <v>0</v>
      </c>
      <c r="R1006" s="34">
        <f>SUMIFS(DaybyDay[Retail-Actuals],DaybyDay[Date],"&gt;="&amp;$C$5,DaybyDay[RowYear],"&gt;="&amp;$C$4,DaybyDay[Date],"&lt;="&amp;DaybyDay[[#This Row],[Date]])</f>
        <v>0</v>
      </c>
      <c r="S1006" s="35">
        <f>SUMIFS(DaybyDay[Service-LY],DaybyDay[Date],"&gt;="&amp;$C$5,DaybyDay[RowYear],"&gt;="&amp;$C$4,DaybyDay[Date],"&lt;="&amp;DaybyDay[[#This Row],[Date]])</f>
        <v>0</v>
      </c>
      <c r="T1006" s="35">
        <f>SUMIFS(DaybyDay[Retail-LY],DaybyDay[Date],"&gt;="&amp;$C$5,DaybyDay[RowYear],"&gt;="&amp;$C$4,DaybyDay[Date],"&lt;="&amp;DaybyDay[[#This Row],[Date]])</f>
        <v>0</v>
      </c>
      <c r="U1006" s="32">
        <f>DaybyDay[[#This Row],[Serv-Bud-RU]]+DaybyDay[[#This Row],[Ret-Bud-RU]]</f>
        <v>0</v>
      </c>
      <c r="V1006" s="32">
        <f>DaybyDay[[#This Row],[Serv-Act-RU]]+DaybyDay[[#This Row],[Ret-Act-RU]]</f>
        <v>0</v>
      </c>
      <c r="W1006" s="36">
        <f>IF(DaybyDay[[#This Row],[_Space]],IFERROR(
((DaybyDay[[#This Row],[Actual-Rollup]]-DaybyDay[[#This Row],[Budget-Rollup]])/DaybyDay[[#This Row],[Budget-Rollup]]),0),"")</f>
        <v>0</v>
      </c>
      <c r="X1006" t="b">
        <f>NOT(AND(ISBLANK(DaybyDay[[#This Row],[Appts]]),ISBLANK(DaybyDay[[#This Row],[Service-Actuals]]),ISBLANK(DaybyDay[[#This Row],[Retail-Actuals]])))</f>
        <v>1</v>
      </c>
      <c r="Y1006" s="36">
        <f>IF(DaybyDay[[#This Row],[_Space]],IFERROR(
((DaybyDay[[#This Row],[Actual-Rollup]]-DaybyDay[[#This Row],[LY-Rollup]])/DaybyDay[[#This Row],[LY-Rollup]]),0),"")</f>
        <v>0</v>
      </c>
      <c r="Z1006"/>
      <c r="AA1006" s="37" t="e">
        <f>IF(DaybyDay[[#This Row],[_Space]],DaybyDay[[#This Row],[Ret-Act-RU]]/DaybyDay[[#This Row],[Serv-Act-RU]],"")</f>
        <v>#DIV/0!</v>
      </c>
      <c r="AB1006" s="50" t="e">
        <f>IF(DaybyDay[[#This Row],[_Space]],DaybyDay[[#This Row],[RETPEN-Act]]/DaybyDay[[#This Row],[RETPEN-Bud]],"")</f>
        <v>#DIV/0!</v>
      </c>
      <c r="AC1006" s="37" t="e">
        <f>IF(DaybyDay[[#This Row],[_Space]],DaybyDay[[#This Row],[Ret-Bud-RU]]/DaybyDay[[#This Row],[Serv-Bud-RU]],"")</f>
        <v>#DIV/0!</v>
      </c>
      <c r="AD1006" s="37" t="e">
        <f>IF(DaybyDay[[#This Row],[_Space]],DaybyDay[[#This Row],[Ret-LY-RU]]/DaybyDay[[#This Row],[Serv-LY-RU]],"")</f>
        <v>#DIV/0!</v>
      </c>
      <c r="AE1006" s="30">
        <f>WEEKDAY(DaybyDay[[#This Row],[LY-Date]])</f>
        <v>6</v>
      </c>
      <c r="AF1006" s="38">
        <f>$E$2+_xlfn.DAYS(DaybyDay[[#This Row],[Date]],minDate)</f>
        <v>43371</v>
      </c>
      <c r="AG1006" s="39" cm="1">
        <f t="array" ref="AG1006">IFERROR(INDEX(DaybyDay[],DaybyDay[[#This Row],[FORM_MATCH_HELPER]],8),"")</f>
        <v>26</v>
      </c>
      <c r="AH1006" s="39" cm="1">
        <f t="array" ref="AH1006">IFERROR(INDEX(DaybyDay[],DaybyDay[[#This Row],[FORM_MATCH_HELPER]],10),"")</f>
        <v>6030.65</v>
      </c>
      <c r="AI1006" s="39" cm="1">
        <f t="array" ref="AI1006">IFERROR(INDEX(DaybyDay[],DaybyDay[[#This Row],[FORM_MATCH_HELPER]],12),"")</f>
        <v>1229.0999999999999</v>
      </c>
      <c r="AJ1006" s="32">
        <f>IFERROR(DaybyDay[[#This Row],[Serv-LY-RU]]+DaybyDay[[#This Row],[Ret-LY-RU]],"")</f>
        <v>0</v>
      </c>
      <c r="AK10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6" s="77"/>
      <c r="AM1006" s="40" t="str">
        <f>IF(DaybyDay[[#This Row],[Admin Hours]]&gt;0,DaybyDay[[#This Row],[Admin Hours]]*$AM$2+$AM$3,"")</f>
        <v/>
      </c>
      <c r="AN1006" s="40">
        <f>SUMIFS(DaybyDay[Est-Admin-Payroll],DaybyDay[Date],"&gt;="&amp;$C$5,DaybyDay[RowYear],"&gt;="&amp;$C$4,DaybyDay[Date],"&lt;="&amp;DaybyDay[[#This Row],[Date]])</f>
        <v>0</v>
      </c>
      <c r="AO1006" s="41" t="str">
        <f>IF(AND(DaybyDay[[#This Row],[_Space]],ISNUMBER(DaybyDay[[#This Row],[Admin Hours]])),DaybyDay[[#This Row],[Est-Admin-Payroll]]/(DaybyDay[[#This Row],[Service-Actuals]]+DaybyDay[[#This Row],[Retail-Actuals]]),"")</f>
        <v/>
      </c>
      <c r="AP1006" s="41" t="e">
        <f>DaybyDay[[#This Row],[Estimated-Payroll-Rollup]]/DaybyDay[[#This Row],[Simple-Forecast]]</f>
        <v>#DIV/0!</v>
      </c>
      <c r="AQ10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6" s="77"/>
      <c r="AS1006" s="40" t="str">
        <f>IF(DaybyDay[[#This Row],[Retail Hours]]&gt;0,DaybyDay[[#This Row],[Retail Hours]]*$AS$2,"")</f>
        <v/>
      </c>
      <c r="AT1006" s="40">
        <f>SUMIFS(DaybyDay[Est-Retail-Payroll],DaybyDay[Date],"&gt;="&amp;$C$5,DaybyDay[RowYear],"&gt;="&amp;$C$4,DaybyDay[Date],"&lt;="&amp;DaybyDay[[#This Row],[Date]])</f>
        <v>0</v>
      </c>
      <c r="AU1006" s="82" t="str">
        <f>IF(AND(DaybyDay[[#This Row],[_Space]],ISNUMBER(DaybyDay[[#This Row],[Retail Hours]])),DaybyDay[[#This Row],[Est-Retail-Payroll]]/(DaybyDay[[#This Row],[Retail-Actuals]]),"")</f>
        <v/>
      </c>
      <c r="AV1006" s="82" t="e">
        <f>DaybyDay[[#This Row],[Est-Retail-PayrollRU]]/DaybyDay[[#This Row],[Simple-Forecast-Retail]]</f>
        <v>#DIV/0!</v>
      </c>
      <c r="AW1006" s="8"/>
      <c r="AX1006" s="15"/>
      <c r="AY1006" s="8"/>
    </row>
    <row r="1007" spans="3:51" hidden="1" x14ac:dyDescent="0.25">
      <c r="C1007" s="26" t="str">
        <f>Tools!$C$1</f>
        <v>Example</v>
      </c>
      <c r="D1007" s="27" t="s">
        <v>76</v>
      </c>
      <c r="E1007" s="28">
        <v>2019</v>
      </c>
      <c r="F1007" s="28">
        <f>MATCH(DaybyDay[[#This Row],[RowMonth]],Table3[SummaryMonth],0)</f>
        <v>9</v>
      </c>
      <c r="G1007" s="29">
        <f>MATCH(DaybyDay[[#This Row],[LY-Date]],DaybyDay[Date],0)</f>
        <v>637</v>
      </c>
      <c r="H1007" s="30">
        <f>WEEKDAY(DaybyDay[[#This Row],[Date]])</f>
        <v>7</v>
      </c>
      <c r="I1007" s="31">
        <v>43736</v>
      </c>
      <c r="J1007" s="74">
        <v>27</v>
      </c>
      <c r="K1007" s="32">
        <f>SUMIFS(BudgetSeasonality[365 Seasonality],BudgetSeasonality[MonthAdjustment],DaybyDay[[#This Row],[Date]])*SUMIFS(Budgets[Service-Budget],Budgets[BudgetMonth],DaybyDay[[#This Row],[RowMonth]],Budgets[BudgetYear],DaybyDay[[#This Row],[RowYear]])</f>
        <v>8759.7893842997382</v>
      </c>
      <c r="L1007" s="75">
        <v>6382.15</v>
      </c>
      <c r="M1007" s="32">
        <f>INDEX(BudgetSeasonality[365 Seasonality],MATCH(DaybyDay[[#This Row],[Date]],BudgetSeasonality[MonthAdjustment],0))*SUMIFS(Budgets[Retail-Budget],Budgets[BudgetMonth],DaybyDay[[#This Row],[RowMonth]],Budgets[BudgetYear],DaybyDay[[#This Row],[RowYear]])</f>
        <v>2081.5351680572803</v>
      </c>
      <c r="N1007" s="75">
        <v>855</v>
      </c>
      <c r="O1007" s="33">
        <f>SUMIFS(DaybyDay[Service-Budgets],DaybyDay[Date],"&gt;="&amp;$C$5,DaybyDay[RowYear],"&gt;="&amp;$C$4,DaybyDay[Date],"&lt;="&amp;DaybyDay[[#This Row],[Date]])</f>
        <v>0</v>
      </c>
      <c r="P1007" s="33">
        <f>SUMIFS(DaybyDay[Retail-Budgets],DaybyDay[Date],"&gt;="&amp;$C$5,DaybyDay[RowYear],"&gt;="&amp;$C$4,DaybyDay[Date],"&lt;="&amp;DaybyDay[[#This Row],[Date]])</f>
        <v>0</v>
      </c>
      <c r="Q1007" s="34">
        <f>SUMIFS(DaybyDay[Service-Actuals],DaybyDay[Date],"&gt;="&amp;$C$5,DaybyDay[RowYear],"&gt;="&amp;$C$4,DaybyDay[Date],"&lt;="&amp;DaybyDay[[#This Row],[Date]])</f>
        <v>0</v>
      </c>
      <c r="R1007" s="34">
        <f>SUMIFS(DaybyDay[Retail-Actuals],DaybyDay[Date],"&gt;="&amp;$C$5,DaybyDay[RowYear],"&gt;="&amp;$C$4,DaybyDay[Date],"&lt;="&amp;DaybyDay[[#This Row],[Date]])</f>
        <v>0</v>
      </c>
      <c r="S1007" s="35">
        <f>SUMIFS(DaybyDay[Service-LY],DaybyDay[Date],"&gt;="&amp;$C$5,DaybyDay[RowYear],"&gt;="&amp;$C$4,DaybyDay[Date],"&lt;="&amp;DaybyDay[[#This Row],[Date]])</f>
        <v>0</v>
      </c>
      <c r="T1007" s="35">
        <f>SUMIFS(DaybyDay[Retail-LY],DaybyDay[Date],"&gt;="&amp;$C$5,DaybyDay[RowYear],"&gt;="&amp;$C$4,DaybyDay[Date],"&lt;="&amp;DaybyDay[[#This Row],[Date]])</f>
        <v>0</v>
      </c>
      <c r="U1007" s="32">
        <f>DaybyDay[[#This Row],[Serv-Bud-RU]]+DaybyDay[[#This Row],[Ret-Bud-RU]]</f>
        <v>0</v>
      </c>
      <c r="V1007" s="32">
        <f>DaybyDay[[#This Row],[Serv-Act-RU]]+DaybyDay[[#This Row],[Ret-Act-RU]]</f>
        <v>0</v>
      </c>
      <c r="W1007" s="36">
        <f>IF(DaybyDay[[#This Row],[_Space]],IFERROR(
((DaybyDay[[#This Row],[Actual-Rollup]]-DaybyDay[[#This Row],[Budget-Rollup]])/DaybyDay[[#This Row],[Budget-Rollup]]),0),"")</f>
        <v>0</v>
      </c>
      <c r="X1007" t="b">
        <f>NOT(AND(ISBLANK(DaybyDay[[#This Row],[Appts]]),ISBLANK(DaybyDay[[#This Row],[Service-Actuals]]),ISBLANK(DaybyDay[[#This Row],[Retail-Actuals]])))</f>
        <v>1</v>
      </c>
      <c r="Y1007" s="36">
        <f>IF(DaybyDay[[#This Row],[_Space]],IFERROR(
((DaybyDay[[#This Row],[Actual-Rollup]]-DaybyDay[[#This Row],[LY-Rollup]])/DaybyDay[[#This Row],[LY-Rollup]]),0),"")</f>
        <v>0</v>
      </c>
      <c r="Z1007"/>
      <c r="AA1007" s="37" t="e">
        <f>IF(DaybyDay[[#This Row],[_Space]],DaybyDay[[#This Row],[Ret-Act-RU]]/DaybyDay[[#This Row],[Serv-Act-RU]],"")</f>
        <v>#DIV/0!</v>
      </c>
      <c r="AB1007" s="50" t="e">
        <f>IF(DaybyDay[[#This Row],[_Space]],DaybyDay[[#This Row],[RETPEN-Act]]/DaybyDay[[#This Row],[RETPEN-Bud]],"")</f>
        <v>#DIV/0!</v>
      </c>
      <c r="AC1007" s="37" t="e">
        <f>IF(DaybyDay[[#This Row],[_Space]],DaybyDay[[#This Row],[Ret-Bud-RU]]/DaybyDay[[#This Row],[Serv-Bud-RU]],"")</f>
        <v>#DIV/0!</v>
      </c>
      <c r="AD1007" s="37" t="e">
        <f>IF(DaybyDay[[#This Row],[_Space]],DaybyDay[[#This Row],[Ret-LY-RU]]/DaybyDay[[#This Row],[Serv-LY-RU]],"")</f>
        <v>#DIV/0!</v>
      </c>
      <c r="AE1007" s="30">
        <f>WEEKDAY(DaybyDay[[#This Row],[LY-Date]])</f>
        <v>7</v>
      </c>
      <c r="AF1007" s="38">
        <f>$E$2+_xlfn.DAYS(DaybyDay[[#This Row],[Date]],minDate)</f>
        <v>43372</v>
      </c>
      <c r="AG1007" s="39" cm="1">
        <f t="array" ref="AG1007">IFERROR(INDEX(DaybyDay[],DaybyDay[[#This Row],[FORM_MATCH_HELPER]],8),"")</f>
        <v>27</v>
      </c>
      <c r="AH1007" s="39" cm="1">
        <f t="array" ref="AH1007">IFERROR(INDEX(DaybyDay[],DaybyDay[[#This Row],[FORM_MATCH_HELPER]],10),"")</f>
        <v>6811</v>
      </c>
      <c r="AI1007" s="39" cm="1">
        <f t="array" ref="AI1007">IFERROR(INDEX(DaybyDay[],DaybyDay[[#This Row],[FORM_MATCH_HELPER]],12),"")</f>
        <v>253</v>
      </c>
      <c r="AJ1007" s="32">
        <f>IFERROR(DaybyDay[[#This Row],[Serv-LY-RU]]+DaybyDay[[#This Row],[Ret-LY-RU]],"")</f>
        <v>0</v>
      </c>
      <c r="AK10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7" s="77"/>
      <c r="AM1007" s="40" t="str">
        <f>IF(DaybyDay[[#This Row],[Admin Hours]]&gt;0,DaybyDay[[#This Row],[Admin Hours]]*$AM$2+$AM$3,"")</f>
        <v/>
      </c>
      <c r="AN1007" s="40">
        <f>SUMIFS(DaybyDay[Est-Admin-Payroll],DaybyDay[Date],"&gt;="&amp;$C$5,DaybyDay[RowYear],"&gt;="&amp;$C$4,DaybyDay[Date],"&lt;="&amp;DaybyDay[[#This Row],[Date]])</f>
        <v>0</v>
      </c>
      <c r="AO1007" s="41" t="str">
        <f>IF(AND(DaybyDay[[#This Row],[_Space]],ISNUMBER(DaybyDay[[#This Row],[Admin Hours]])),DaybyDay[[#This Row],[Est-Admin-Payroll]]/(DaybyDay[[#This Row],[Service-Actuals]]+DaybyDay[[#This Row],[Retail-Actuals]]),"")</f>
        <v/>
      </c>
      <c r="AP1007" s="41" t="e">
        <f>DaybyDay[[#This Row],[Estimated-Payroll-Rollup]]/DaybyDay[[#This Row],[Simple-Forecast]]</f>
        <v>#DIV/0!</v>
      </c>
      <c r="AQ10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7" s="77"/>
      <c r="AS1007" s="40" t="str">
        <f>IF(DaybyDay[[#This Row],[Retail Hours]]&gt;0,DaybyDay[[#This Row],[Retail Hours]]*$AS$2,"")</f>
        <v/>
      </c>
      <c r="AT1007" s="40">
        <f>SUMIFS(DaybyDay[Est-Retail-Payroll],DaybyDay[Date],"&gt;="&amp;$C$5,DaybyDay[RowYear],"&gt;="&amp;$C$4,DaybyDay[Date],"&lt;="&amp;DaybyDay[[#This Row],[Date]])</f>
        <v>0</v>
      </c>
      <c r="AU1007" s="82" t="str">
        <f>IF(AND(DaybyDay[[#This Row],[_Space]],ISNUMBER(DaybyDay[[#This Row],[Retail Hours]])),DaybyDay[[#This Row],[Est-Retail-Payroll]]/(DaybyDay[[#This Row],[Retail-Actuals]]),"")</f>
        <v/>
      </c>
      <c r="AV1007" s="82" t="e">
        <f>DaybyDay[[#This Row],[Est-Retail-PayrollRU]]/DaybyDay[[#This Row],[Simple-Forecast-Retail]]</f>
        <v>#DIV/0!</v>
      </c>
      <c r="AW1007" s="8"/>
      <c r="AX1007" s="15"/>
      <c r="AY1007" s="8"/>
    </row>
    <row r="1008" spans="3:51" hidden="1" x14ac:dyDescent="0.25">
      <c r="C1008" s="26" t="str">
        <f>Tools!$C$1</f>
        <v>Example</v>
      </c>
      <c r="D1008" s="27" t="s">
        <v>76</v>
      </c>
      <c r="E1008" s="28">
        <v>2019</v>
      </c>
      <c r="F1008" s="28">
        <f>MATCH(DaybyDay[[#This Row],[RowMonth]],Table3[SummaryMonth],0)</f>
        <v>9</v>
      </c>
      <c r="G1008" s="29">
        <f>MATCH(DaybyDay[[#This Row],[LY-Date]],DaybyDay[Date],0)</f>
        <v>638</v>
      </c>
      <c r="H1008" s="30">
        <f>WEEKDAY(DaybyDay[[#This Row],[Date]])</f>
        <v>1</v>
      </c>
      <c r="I1008" s="31">
        <v>43737</v>
      </c>
      <c r="J1008" s="74">
        <v>33</v>
      </c>
      <c r="K1008" s="32">
        <f>SUMIFS(BudgetSeasonality[365 Seasonality],BudgetSeasonality[MonthAdjustment],DaybyDay[[#This Row],[Date]])*SUMIFS(Budgets[Service-Budget],Budgets[BudgetMonth],DaybyDay[[#This Row],[RowMonth]],Budgets[BudgetYear],DaybyDay[[#This Row],[RowYear]])</f>
        <v>6749.4063402296533</v>
      </c>
      <c r="L1008" s="75">
        <v>6304.67</v>
      </c>
      <c r="M1008" s="32">
        <f>INDEX(BudgetSeasonality[365 Seasonality],MATCH(DaybyDay[[#This Row],[Date]],BudgetSeasonality[MonthAdjustment],0))*SUMIFS(Budgets[Retail-Budget],Budgets[BudgetMonth],DaybyDay[[#This Row],[RowMonth]],Budgets[BudgetYear],DaybyDay[[#This Row],[RowYear]])</f>
        <v>1603.8201427396416</v>
      </c>
      <c r="N1008" s="75">
        <v>780.34</v>
      </c>
      <c r="O1008" s="33">
        <f>SUMIFS(DaybyDay[Service-Budgets],DaybyDay[Date],"&gt;="&amp;$C$5,DaybyDay[RowYear],"&gt;="&amp;$C$4,DaybyDay[Date],"&lt;="&amp;DaybyDay[[#This Row],[Date]])</f>
        <v>0</v>
      </c>
      <c r="P1008" s="33">
        <f>SUMIFS(DaybyDay[Retail-Budgets],DaybyDay[Date],"&gt;="&amp;$C$5,DaybyDay[RowYear],"&gt;="&amp;$C$4,DaybyDay[Date],"&lt;="&amp;DaybyDay[[#This Row],[Date]])</f>
        <v>0</v>
      </c>
      <c r="Q1008" s="34">
        <f>SUMIFS(DaybyDay[Service-Actuals],DaybyDay[Date],"&gt;="&amp;$C$5,DaybyDay[RowYear],"&gt;="&amp;$C$4,DaybyDay[Date],"&lt;="&amp;DaybyDay[[#This Row],[Date]])</f>
        <v>0</v>
      </c>
      <c r="R1008" s="34">
        <f>SUMIFS(DaybyDay[Retail-Actuals],DaybyDay[Date],"&gt;="&amp;$C$5,DaybyDay[RowYear],"&gt;="&amp;$C$4,DaybyDay[Date],"&lt;="&amp;DaybyDay[[#This Row],[Date]])</f>
        <v>0</v>
      </c>
      <c r="S1008" s="35">
        <f>SUMIFS(DaybyDay[Service-LY],DaybyDay[Date],"&gt;="&amp;$C$5,DaybyDay[RowYear],"&gt;="&amp;$C$4,DaybyDay[Date],"&lt;="&amp;DaybyDay[[#This Row],[Date]])</f>
        <v>0</v>
      </c>
      <c r="T1008" s="35">
        <f>SUMIFS(DaybyDay[Retail-LY],DaybyDay[Date],"&gt;="&amp;$C$5,DaybyDay[RowYear],"&gt;="&amp;$C$4,DaybyDay[Date],"&lt;="&amp;DaybyDay[[#This Row],[Date]])</f>
        <v>0</v>
      </c>
      <c r="U1008" s="32">
        <f>DaybyDay[[#This Row],[Serv-Bud-RU]]+DaybyDay[[#This Row],[Ret-Bud-RU]]</f>
        <v>0</v>
      </c>
      <c r="V1008" s="32">
        <f>DaybyDay[[#This Row],[Serv-Act-RU]]+DaybyDay[[#This Row],[Ret-Act-RU]]</f>
        <v>0</v>
      </c>
      <c r="W1008" s="36">
        <f>IF(DaybyDay[[#This Row],[_Space]],IFERROR(
((DaybyDay[[#This Row],[Actual-Rollup]]-DaybyDay[[#This Row],[Budget-Rollup]])/DaybyDay[[#This Row],[Budget-Rollup]]),0),"")</f>
        <v>0</v>
      </c>
      <c r="X1008" t="b">
        <f>NOT(AND(ISBLANK(DaybyDay[[#This Row],[Appts]]),ISBLANK(DaybyDay[[#This Row],[Service-Actuals]]),ISBLANK(DaybyDay[[#This Row],[Retail-Actuals]])))</f>
        <v>1</v>
      </c>
      <c r="Y1008" s="36">
        <f>IF(DaybyDay[[#This Row],[_Space]],IFERROR(
((DaybyDay[[#This Row],[Actual-Rollup]]-DaybyDay[[#This Row],[LY-Rollup]])/DaybyDay[[#This Row],[LY-Rollup]]),0),"")</f>
        <v>0</v>
      </c>
      <c r="Z1008"/>
      <c r="AA1008" s="37" t="e">
        <f>IF(DaybyDay[[#This Row],[_Space]],DaybyDay[[#This Row],[Ret-Act-RU]]/DaybyDay[[#This Row],[Serv-Act-RU]],"")</f>
        <v>#DIV/0!</v>
      </c>
      <c r="AB1008" s="50" t="e">
        <f>IF(DaybyDay[[#This Row],[_Space]],DaybyDay[[#This Row],[RETPEN-Act]]/DaybyDay[[#This Row],[RETPEN-Bud]],"")</f>
        <v>#DIV/0!</v>
      </c>
      <c r="AC1008" s="37" t="e">
        <f>IF(DaybyDay[[#This Row],[_Space]],DaybyDay[[#This Row],[Ret-Bud-RU]]/DaybyDay[[#This Row],[Serv-Bud-RU]],"")</f>
        <v>#DIV/0!</v>
      </c>
      <c r="AD1008" s="37" t="e">
        <f>IF(DaybyDay[[#This Row],[_Space]],DaybyDay[[#This Row],[Ret-LY-RU]]/DaybyDay[[#This Row],[Serv-LY-RU]],"")</f>
        <v>#DIV/0!</v>
      </c>
      <c r="AE1008" s="30">
        <f>WEEKDAY(DaybyDay[[#This Row],[LY-Date]])</f>
        <v>1</v>
      </c>
      <c r="AF1008" s="38">
        <f>$E$2+_xlfn.DAYS(DaybyDay[[#This Row],[Date]],minDate)</f>
        <v>43373</v>
      </c>
      <c r="AG1008" s="39" cm="1">
        <f t="array" ref="AG1008">IFERROR(INDEX(DaybyDay[],DaybyDay[[#This Row],[FORM_MATCH_HELPER]],8),"")</f>
        <v>15</v>
      </c>
      <c r="AH1008" s="39" cm="1">
        <f t="array" ref="AH1008">IFERROR(INDEX(DaybyDay[],DaybyDay[[#This Row],[FORM_MATCH_HELPER]],10),"")</f>
        <v>2890.5</v>
      </c>
      <c r="AI1008" s="39" cm="1">
        <f t="array" ref="AI1008">IFERROR(INDEX(DaybyDay[],DaybyDay[[#This Row],[FORM_MATCH_HELPER]],12),"")</f>
        <v>871.5</v>
      </c>
      <c r="AJ1008" s="32">
        <f>IFERROR(DaybyDay[[#This Row],[Serv-LY-RU]]+DaybyDay[[#This Row],[Ret-LY-RU]],"")</f>
        <v>0</v>
      </c>
      <c r="AK10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8" s="77"/>
      <c r="AM1008" s="40" t="str">
        <f>IF(DaybyDay[[#This Row],[Admin Hours]]&gt;0,DaybyDay[[#This Row],[Admin Hours]]*$AM$2+$AM$3,"")</f>
        <v/>
      </c>
      <c r="AN1008" s="40">
        <f>SUMIFS(DaybyDay[Est-Admin-Payroll],DaybyDay[Date],"&gt;="&amp;$C$5,DaybyDay[RowYear],"&gt;="&amp;$C$4,DaybyDay[Date],"&lt;="&amp;DaybyDay[[#This Row],[Date]])</f>
        <v>0</v>
      </c>
      <c r="AO1008" s="41" t="str">
        <f>IF(AND(DaybyDay[[#This Row],[_Space]],ISNUMBER(DaybyDay[[#This Row],[Admin Hours]])),DaybyDay[[#This Row],[Est-Admin-Payroll]]/(DaybyDay[[#This Row],[Service-Actuals]]+DaybyDay[[#This Row],[Retail-Actuals]]),"")</f>
        <v/>
      </c>
      <c r="AP1008" s="41" t="e">
        <f>DaybyDay[[#This Row],[Estimated-Payroll-Rollup]]/DaybyDay[[#This Row],[Simple-Forecast]]</f>
        <v>#DIV/0!</v>
      </c>
      <c r="AQ10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8" s="77"/>
      <c r="AS1008" s="40" t="str">
        <f>IF(DaybyDay[[#This Row],[Retail Hours]]&gt;0,DaybyDay[[#This Row],[Retail Hours]]*$AS$2,"")</f>
        <v/>
      </c>
      <c r="AT1008" s="40">
        <f>SUMIFS(DaybyDay[Est-Retail-Payroll],DaybyDay[Date],"&gt;="&amp;$C$5,DaybyDay[RowYear],"&gt;="&amp;$C$4,DaybyDay[Date],"&lt;="&amp;DaybyDay[[#This Row],[Date]])</f>
        <v>0</v>
      </c>
      <c r="AU1008" s="82" t="str">
        <f>IF(AND(DaybyDay[[#This Row],[_Space]],ISNUMBER(DaybyDay[[#This Row],[Retail Hours]])),DaybyDay[[#This Row],[Est-Retail-Payroll]]/(DaybyDay[[#This Row],[Retail-Actuals]]),"")</f>
        <v/>
      </c>
      <c r="AV1008" s="82" t="e">
        <f>DaybyDay[[#This Row],[Est-Retail-PayrollRU]]/DaybyDay[[#This Row],[Simple-Forecast-Retail]]</f>
        <v>#DIV/0!</v>
      </c>
      <c r="AW1008" s="8"/>
      <c r="AX1008" s="15"/>
      <c r="AY1008" s="8"/>
    </row>
    <row r="1009" spans="3:51" hidden="1" x14ac:dyDescent="0.25">
      <c r="C1009" s="26" t="str">
        <f>Tools!$C$1</f>
        <v>Example</v>
      </c>
      <c r="D1009" s="27" t="s">
        <v>76</v>
      </c>
      <c r="E1009" s="28">
        <v>2019</v>
      </c>
      <c r="F1009" s="28">
        <f>MATCH(DaybyDay[[#This Row],[RowMonth]],Table3[SummaryMonth],0)</f>
        <v>9</v>
      </c>
      <c r="G1009" s="29">
        <f>MATCH(DaybyDay[[#This Row],[LY-Date]],DaybyDay[Date],0)</f>
        <v>639</v>
      </c>
      <c r="H1009" s="30">
        <f>WEEKDAY(DaybyDay[[#This Row],[Date]])</f>
        <v>2</v>
      </c>
      <c r="I1009" s="31">
        <v>43738</v>
      </c>
      <c r="J1009" s="74">
        <v>18</v>
      </c>
      <c r="K1009" s="32">
        <f>SUMIFS(BudgetSeasonality[365 Seasonality],BudgetSeasonality[MonthAdjustment],DaybyDay[[#This Row],[Date]])*SUMIFS(Budgets[Service-Budget],Budgets[BudgetMonth],DaybyDay[[#This Row],[RowMonth]],Budgets[BudgetYear],DaybyDay[[#This Row],[RowYear]])</f>
        <v>3803.9500936986879</v>
      </c>
      <c r="L1009" s="75">
        <v>2618.98</v>
      </c>
      <c r="M1009" s="32">
        <f>INDEX(BudgetSeasonality[365 Seasonality],MATCH(DaybyDay[[#This Row],[Date]],BudgetSeasonality[MonthAdjustment],0))*SUMIFS(Budgets[Retail-Budget],Budgets[BudgetMonth],DaybyDay[[#This Row],[RowMonth]],Budgets[BudgetYear],DaybyDay[[#This Row],[RowYear]])</f>
        <v>903.90939213221486</v>
      </c>
      <c r="N1009" s="75">
        <v>329</v>
      </c>
      <c r="O1009" s="33">
        <f>SUMIFS(DaybyDay[Service-Budgets],DaybyDay[Date],"&gt;="&amp;$C$5,DaybyDay[RowYear],"&gt;="&amp;$C$4,DaybyDay[Date],"&lt;="&amp;DaybyDay[[#This Row],[Date]])</f>
        <v>0</v>
      </c>
      <c r="P1009" s="33">
        <f>SUMIFS(DaybyDay[Retail-Budgets],DaybyDay[Date],"&gt;="&amp;$C$5,DaybyDay[RowYear],"&gt;="&amp;$C$4,DaybyDay[Date],"&lt;="&amp;DaybyDay[[#This Row],[Date]])</f>
        <v>0</v>
      </c>
      <c r="Q1009" s="34">
        <f>SUMIFS(DaybyDay[Service-Actuals],DaybyDay[Date],"&gt;="&amp;$C$5,DaybyDay[RowYear],"&gt;="&amp;$C$4,DaybyDay[Date],"&lt;="&amp;DaybyDay[[#This Row],[Date]])</f>
        <v>0</v>
      </c>
      <c r="R1009" s="34">
        <f>SUMIFS(DaybyDay[Retail-Actuals],DaybyDay[Date],"&gt;="&amp;$C$5,DaybyDay[RowYear],"&gt;="&amp;$C$4,DaybyDay[Date],"&lt;="&amp;DaybyDay[[#This Row],[Date]])</f>
        <v>0</v>
      </c>
      <c r="S1009" s="35">
        <f>SUMIFS(DaybyDay[Service-LY],DaybyDay[Date],"&gt;="&amp;$C$5,DaybyDay[RowYear],"&gt;="&amp;$C$4,DaybyDay[Date],"&lt;="&amp;DaybyDay[[#This Row],[Date]])</f>
        <v>0</v>
      </c>
      <c r="T1009" s="35">
        <f>SUMIFS(DaybyDay[Retail-LY],DaybyDay[Date],"&gt;="&amp;$C$5,DaybyDay[RowYear],"&gt;="&amp;$C$4,DaybyDay[Date],"&lt;="&amp;DaybyDay[[#This Row],[Date]])</f>
        <v>0</v>
      </c>
      <c r="U1009" s="32">
        <f>DaybyDay[[#This Row],[Serv-Bud-RU]]+DaybyDay[[#This Row],[Ret-Bud-RU]]</f>
        <v>0</v>
      </c>
      <c r="V1009" s="32">
        <f>DaybyDay[[#This Row],[Serv-Act-RU]]+DaybyDay[[#This Row],[Ret-Act-RU]]</f>
        <v>0</v>
      </c>
      <c r="W1009" s="36">
        <f>IF(DaybyDay[[#This Row],[_Space]],IFERROR(
((DaybyDay[[#This Row],[Actual-Rollup]]-DaybyDay[[#This Row],[Budget-Rollup]])/DaybyDay[[#This Row],[Budget-Rollup]]),0),"")</f>
        <v>0</v>
      </c>
      <c r="X1009" t="b">
        <f>NOT(AND(ISBLANK(DaybyDay[[#This Row],[Appts]]),ISBLANK(DaybyDay[[#This Row],[Service-Actuals]]),ISBLANK(DaybyDay[[#This Row],[Retail-Actuals]])))</f>
        <v>1</v>
      </c>
      <c r="Y1009" s="36">
        <f>IF(DaybyDay[[#This Row],[_Space]],IFERROR(
((DaybyDay[[#This Row],[Actual-Rollup]]-DaybyDay[[#This Row],[LY-Rollup]])/DaybyDay[[#This Row],[LY-Rollup]]),0),"")</f>
        <v>0</v>
      </c>
      <c r="Z1009"/>
      <c r="AA1009" s="37" t="e">
        <f>IF(DaybyDay[[#This Row],[_Space]],DaybyDay[[#This Row],[Ret-Act-RU]]/DaybyDay[[#This Row],[Serv-Act-RU]],"")</f>
        <v>#DIV/0!</v>
      </c>
      <c r="AB1009" s="50" t="e">
        <f>IF(DaybyDay[[#This Row],[_Space]],DaybyDay[[#This Row],[RETPEN-Act]]/DaybyDay[[#This Row],[RETPEN-Bud]],"")</f>
        <v>#DIV/0!</v>
      </c>
      <c r="AC1009" s="37" t="e">
        <f>IF(DaybyDay[[#This Row],[_Space]],DaybyDay[[#This Row],[Ret-Bud-RU]]/DaybyDay[[#This Row],[Serv-Bud-RU]],"")</f>
        <v>#DIV/0!</v>
      </c>
      <c r="AD1009" s="37" t="e">
        <f>IF(DaybyDay[[#This Row],[_Space]],DaybyDay[[#This Row],[Ret-LY-RU]]/DaybyDay[[#This Row],[Serv-LY-RU]],"")</f>
        <v>#DIV/0!</v>
      </c>
      <c r="AE1009" s="30">
        <f>WEEKDAY(DaybyDay[[#This Row],[LY-Date]])</f>
        <v>2</v>
      </c>
      <c r="AF1009" s="38">
        <f>$E$2+_xlfn.DAYS(DaybyDay[[#This Row],[Date]],minDate)</f>
        <v>43374</v>
      </c>
      <c r="AG1009" s="39" cm="1">
        <f t="array" ref="AG1009">IFERROR(INDEX(DaybyDay[],DaybyDay[[#This Row],[FORM_MATCH_HELPER]],8),"")</f>
        <v>10</v>
      </c>
      <c r="AH1009" s="39" cm="1">
        <f t="array" ref="AH1009">IFERROR(INDEX(DaybyDay[],DaybyDay[[#This Row],[FORM_MATCH_HELPER]],10),"")</f>
        <v>2279</v>
      </c>
      <c r="AI1009" s="39" cm="1">
        <f t="array" ref="AI1009">IFERROR(INDEX(DaybyDay[],DaybyDay[[#This Row],[FORM_MATCH_HELPER]],12),"")</f>
        <v>480.3</v>
      </c>
      <c r="AJ1009" s="32">
        <f>IFERROR(DaybyDay[[#This Row],[Serv-LY-RU]]+DaybyDay[[#This Row],[Ret-LY-RU]],"")</f>
        <v>0</v>
      </c>
      <c r="AK10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09" s="77"/>
      <c r="AM1009" s="40" t="str">
        <f>IF(DaybyDay[[#This Row],[Admin Hours]]&gt;0,DaybyDay[[#This Row],[Admin Hours]]*$AM$2+$AM$3,"")</f>
        <v/>
      </c>
      <c r="AN1009" s="40">
        <f>SUMIFS(DaybyDay[Est-Admin-Payroll],DaybyDay[Date],"&gt;="&amp;$C$5,DaybyDay[RowYear],"&gt;="&amp;$C$4,DaybyDay[Date],"&lt;="&amp;DaybyDay[[#This Row],[Date]])</f>
        <v>0</v>
      </c>
      <c r="AO1009" s="41" t="str">
        <f>IF(AND(DaybyDay[[#This Row],[_Space]],ISNUMBER(DaybyDay[[#This Row],[Admin Hours]])),DaybyDay[[#This Row],[Est-Admin-Payroll]]/(DaybyDay[[#This Row],[Service-Actuals]]+DaybyDay[[#This Row],[Retail-Actuals]]),"")</f>
        <v/>
      </c>
      <c r="AP1009" s="41" t="e">
        <f>DaybyDay[[#This Row],[Estimated-Payroll-Rollup]]/DaybyDay[[#This Row],[Simple-Forecast]]</f>
        <v>#DIV/0!</v>
      </c>
      <c r="AQ10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09" s="77"/>
      <c r="AS1009" s="40" t="str">
        <f>IF(DaybyDay[[#This Row],[Retail Hours]]&gt;0,DaybyDay[[#This Row],[Retail Hours]]*$AS$2,"")</f>
        <v/>
      </c>
      <c r="AT1009" s="40">
        <f>SUMIFS(DaybyDay[Est-Retail-Payroll],DaybyDay[Date],"&gt;="&amp;$C$5,DaybyDay[RowYear],"&gt;="&amp;$C$4,DaybyDay[Date],"&lt;="&amp;DaybyDay[[#This Row],[Date]])</f>
        <v>0</v>
      </c>
      <c r="AU1009" s="82" t="str">
        <f>IF(AND(DaybyDay[[#This Row],[_Space]],ISNUMBER(DaybyDay[[#This Row],[Retail Hours]])),DaybyDay[[#This Row],[Est-Retail-Payroll]]/(DaybyDay[[#This Row],[Retail-Actuals]]),"")</f>
        <v/>
      </c>
      <c r="AV1009" s="82" t="e">
        <f>DaybyDay[[#This Row],[Est-Retail-PayrollRU]]/DaybyDay[[#This Row],[Simple-Forecast-Retail]]</f>
        <v>#DIV/0!</v>
      </c>
      <c r="AW1009" s="8"/>
      <c r="AX1009" s="15"/>
      <c r="AY1009" s="8"/>
    </row>
    <row r="1010" spans="3:51" hidden="1" x14ac:dyDescent="0.25">
      <c r="C1010" s="26" t="str">
        <f>Tools!$C$1</f>
        <v>Example</v>
      </c>
      <c r="D1010" s="27" t="s">
        <v>76</v>
      </c>
      <c r="E1010" s="28">
        <v>2019</v>
      </c>
      <c r="F1010" s="28">
        <f>MATCH(DaybyDay[[#This Row],[RowMonth]],Table3[SummaryMonth],0)</f>
        <v>9</v>
      </c>
      <c r="G1010" s="29">
        <f>MATCH(DaybyDay[[#This Row],[LY-Date]],DaybyDay[Date],0)</f>
        <v>640</v>
      </c>
      <c r="H1010" s="30">
        <f>WEEKDAY(DaybyDay[[#This Row],[Date]])</f>
        <v>3</v>
      </c>
      <c r="I1010" s="31">
        <v>43739</v>
      </c>
      <c r="J1010" s="74">
        <v>19</v>
      </c>
      <c r="K1010" s="32">
        <f>SUMIFS(BudgetSeasonality[365 Seasonality],BudgetSeasonality[MonthAdjustment],DaybyDay[[#This Row],[Date]])*SUMIFS(Budgets[Service-Budget],Budgets[BudgetMonth],DaybyDay[[#This Row],[RowMonth]],Budgets[BudgetYear],DaybyDay[[#This Row],[RowYear]])</f>
        <v>4005.8433550569803</v>
      </c>
      <c r="L1010" s="75">
        <v>3118.6000000000004</v>
      </c>
      <c r="M1010" s="32">
        <f>INDEX(BudgetSeasonality[365 Seasonality],MATCH(DaybyDay[[#This Row],[Date]],BudgetSeasonality[MonthAdjustment],0))*SUMIFS(Budgets[Retail-Budget],Budgets[BudgetMonth],DaybyDay[[#This Row],[RowMonth]],Budgets[BudgetYear],DaybyDay[[#This Row],[RowYear]])</f>
        <v>951.88405285456963</v>
      </c>
      <c r="N1010" s="75">
        <v>590.79999999999995</v>
      </c>
      <c r="O1010" s="33">
        <f>SUMIFS(DaybyDay[Service-Budgets],DaybyDay[Date],"&gt;="&amp;$C$5,DaybyDay[RowYear],"&gt;="&amp;$C$4,DaybyDay[Date],"&lt;="&amp;DaybyDay[[#This Row],[Date]])</f>
        <v>0</v>
      </c>
      <c r="P1010" s="33">
        <f>SUMIFS(DaybyDay[Retail-Budgets],DaybyDay[Date],"&gt;="&amp;$C$5,DaybyDay[RowYear],"&gt;="&amp;$C$4,DaybyDay[Date],"&lt;="&amp;DaybyDay[[#This Row],[Date]])</f>
        <v>0</v>
      </c>
      <c r="Q1010" s="34">
        <f>SUMIFS(DaybyDay[Service-Actuals],DaybyDay[Date],"&gt;="&amp;$C$5,DaybyDay[RowYear],"&gt;="&amp;$C$4,DaybyDay[Date],"&lt;="&amp;DaybyDay[[#This Row],[Date]])</f>
        <v>0</v>
      </c>
      <c r="R1010" s="34">
        <f>SUMIFS(DaybyDay[Retail-Actuals],DaybyDay[Date],"&gt;="&amp;$C$5,DaybyDay[RowYear],"&gt;="&amp;$C$4,DaybyDay[Date],"&lt;="&amp;DaybyDay[[#This Row],[Date]])</f>
        <v>0</v>
      </c>
      <c r="S1010" s="35">
        <f>SUMIFS(DaybyDay[Service-LY],DaybyDay[Date],"&gt;="&amp;$C$5,DaybyDay[RowYear],"&gt;="&amp;$C$4,DaybyDay[Date],"&lt;="&amp;DaybyDay[[#This Row],[Date]])</f>
        <v>0</v>
      </c>
      <c r="T1010" s="35">
        <f>SUMIFS(DaybyDay[Retail-LY],DaybyDay[Date],"&gt;="&amp;$C$5,DaybyDay[RowYear],"&gt;="&amp;$C$4,DaybyDay[Date],"&lt;="&amp;DaybyDay[[#This Row],[Date]])</f>
        <v>0</v>
      </c>
      <c r="U1010" s="32">
        <f>DaybyDay[[#This Row],[Serv-Bud-RU]]+DaybyDay[[#This Row],[Ret-Bud-RU]]</f>
        <v>0</v>
      </c>
      <c r="V1010" s="32">
        <f>DaybyDay[[#This Row],[Serv-Act-RU]]+DaybyDay[[#This Row],[Ret-Act-RU]]</f>
        <v>0</v>
      </c>
      <c r="W1010" s="36">
        <f>IF(DaybyDay[[#This Row],[_Space]],IFERROR(
((DaybyDay[[#This Row],[Actual-Rollup]]-DaybyDay[[#This Row],[Budget-Rollup]])/DaybyDay[[#This Row],[Budget-Rollup]]),0),"")</f>
        <v>0</v>
      </c>
      <c r="X1010" t="b">
        <f>NOT(AND(ISBLANK(DaybyDay[[#This Row],[Appts]]),ISBLANK(DaybyDay[[#This Row],[Service-Actuals]]),ISBLANK(DaybyDay[[#This Row],[Retail-Actuals]])))</f>
        <v>1</v>
      </c>
      <c r="Y1010" s="36">
        <f>IF(DaybyDay[[#This Row],[_Space]],IFERROR(
((DaybyDay[[#This Row],[Actual-Rollup]]-DaybyDay[[#This Row],[LY-Rollup]])/DaybyDay[[#This Row],[LY-Rollup]]),0),"")</f>
        <v>0</v>
      </c>
      <c r="Z1010"/>
      <c r="AA1010" s="37" t="e">
        <f>IF(DaybyDay[[#This Row],[_Space]],DaybyDay[[#This Row],[Ret-Act-RU]]/DaybyDay[[#This Row],[Serv-Act-RU]],"")</f>
        <v>#DIV/0!</v>
      </c>
      <c r="AB1010" s="50" t="e">
        <f>IF(DaybyDay[[#This Row],[_Space]],DaybyDay[[#This Row],[RETPEN-Act]]/DaybyDay[[#This Row],[RETPEN-Bud]],"")</f>
        <v>#DIV/0!</v>
      </c>
      <c r="AC1010" s="37" t="e">
        <f>IF(DaybyDay[[#This Row],[_Space]],DaybyDay[[#This Row],[Ret-Bud-RU]]/DaybyDay[[#This Row],[Serv-Bud-RU]],"")</f>
        <v>#DIV/0!</v>
      </c>
      <c r="AD1010" s="37" t="e">
        <f>IF(DaybyDay[[#This Row],[_Space]],DaybyDay[[#This Row],[Ret-LY-RU]]/DaybyDay[[#This Row],[Serv-LY-RU]],"")</f>
        <v>#DIV/0!</v>
      </c>
      <c r="AE1010" s="30">
        <f>WEEKDAY(DaybyDay[[#This Row],[LY-Date]])</f>
        <v>3</v>
      </c>
      <c r="AF1010" s="38">
        <f>$E$2+_xlfn.DAYS(DaybyDay[[#This Row],[Date]],minDate)</f>
        <v>43375</v>
      </c>
      <c r="AG1010" s="39" cm="1">
        <f t="array" ref="AG1010">IFERROR(INDEX(DaybyDay[],DaybyDay[[#This Row],[FORM_MATCH_HELPER]],8),"")</f>
        <v>6</v>
      </c>
      <c r="AH1010" s="39" cm="1">
        <f t="array" ref="AH1010">IFERROR(INDEX(DaybyDay[],DaybyDay[[#This Row],[FORM_MATCH_HELPER]],10),"")</f>
        <v>2009.75</v>
      </c>
      <c r="AI1010" s="39" cm="1">
        <f t="array" ref="AI1010">IFERROR(INDEX(DaybyDay[],DaybyDay[[#This Row],[FORM_MATCH_HELPER]],12),"")</f>
        <v>115.5</v>
      </c>
      <c r="AJ1010" s="32">
        <f>IFERROR(DaybyDay[[#This Row],[Serv-LY-RU]]+DaybyDay[[#This Row],[Ret-LY-RU]],"")</f>
        <v>0</v>
      </c>
      <c r="AK10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0" s="77"/>
      <c r="AM1010" s="40" t="str">
        <f>IF(DaybyDay[[#This Row],[Admin Hours]]&gt;0,DaybyDay[[#This Row],[Admin Hours]]*$AM$2+$AM$3,"")</f>
        <v/>
      </c>
      <c r="AN1010" s="40">
        <f>SUMIFS(DaybyDay[Est-Admin-Payroll],DaybyDay[Date],"&gt;="&amp;$C$5,DaybyDay[RowYear],"&gt;="&amp;$C$4,DaybyDay[Date],"&lt;="&amp;DaybyDay[[#This Row],[Date]])</f>
        <v>0</v>
      </c>
      <c r="AO1010" s="41" t="str">
        <f>IF(AND(DaybyDay[[#This Row],[_Space]],ISNUMBER(DaybyDay[[#This Row],[Admin Hours]])),DaybyDay[[#This Row],[Est-Admin-Payroll]]/(DaybyDay[[#This Row],[Service-Actuals]]+DaybyDay[[#This Row],[Retail-Actuals]]),"")</f>
        <v/>
      </c>
      <c r="AP1010" s="41" t="e">
        <f>DaybyDay[[#This Row],[Estimated-Payroll-Rollup]]/DaybyDay[[#This Row],[Simple-Forecast]]</f>
        <v>#DIV/0!</v>
      </c>
      <c r="AQ10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0" s="77"/>
      <c r="AS1010" s="40" t="str">
        <f>IF(DaybyDay[[#This Row],[Retail Hours]]&gt;0,DaybyDay[[#This Row],[Retail Hours]]*$AS$2,"")</f>
        <v/>
      </c>
      <c r="AT1010" s="40">
        <f>SUMIFS(DaybyDay[Est-Retail-Payroll],DaybyDay[Date],"&gt;="&amp;$C$5,DaybyDay[RowYear],"&gt;="&amp;$C$4,DaybyDay[Date],"&lt;="&amp;DaybyDay[[#This Row],[Date]])</f>
        <v>0</v>
      </c>
      <c r="AU1010" s="82" t="str">
        <f>IF(AND(DaybyDay[[#This Row],[_Space]],ISNUMBER(DaybyDay[[#This Row],[Retail Hours]])),DaybyDay[[#This Row],[Est-Retail-Payroll]]/(DaybyDay[[#This Row],[Retail-Actuals]]),"")</f>
        <v/>
      </c>
      <c r="AV1010" s="82" t="e">
        <f>DaybyDay[[#This Row],[Est-Retail-PayrollRU]]/DaybyDay[[#This Row],[Simple-Forecast-Retail]]</f>
        <v>#DIV/0!</v>
      </c>
      <c r="AW1010" s="8"/>
      <c r="AX1010" s="15"/>
      <c r="AY1010" s="8"/>
    </row>
    <row r="1011" spans="3:51" hidden="1" x14ac:dyDescent="0.25">
      <c r="C1011" s="26" t="str">
        <f>Tools!$C$1</f>
        <v>Example</v>
      </c>
      <c r="D1011" s="27" t="s">
        <v>76</v>
      </c>
      <c r="E1011" s="28">
        <v>2019</v>
      </c>
      <c r="F1011" s="28">
        <f>MATCH(DaybyDay[[#This Row],[RowMonth]],Table3[SummaryMonth],0)</f>
        <v>9</v>
      </c>
      <c r="G1011" s="29">
        <f>MATCH(DaybyDay[[#This Row],[LY-Date]],DaybyDay[Date],0)</f>
        <v>641</v>
      </c>
      <c r="H1011" s="30">
        <f>WEEKDAY(DaybyDay[[#This Row],[Date]])</f>
        <v>4</v>
      </c>
      <c r="I1011" s="31">
        <v>43740</v>
      </c>
      <c r="J1011" s="74">
        <v>16</v>
      </c>
      <c r="K1011" s="32">
        <f>SUMIFS(BudgetSeasonality[365 Seasonality],BudgetSeasonality[MonthAdjustment],DaybyDay[[#This Row],[Date]])*SUMIFS(Budgets[Service-Budget],Budgets[BudgetMonth],DaybyDay[[#This Row],[RowMonth]],Budgets[BudgetYear],DaybyDay[[#This Row],[RowYear]])</f>
        <v>4760.8908060890908</v>
      </c>
      <c r="L1011" s="75">
        <v>3574.2</v>
      </c>
      <c r="M1011" s="32">
        <f>INDEX(BudgetSeasonality[365 Seasonality],MATCH(DaybyDay[[#This Row],[Date]],BudgetSeasonality[MonthAdjustment],0))*SUMIFS(Budgets[Retail-Budget],Budgets[BudgetMonth],DaybyDay[[#This Row],[RowMonth]],Budgets[BudgetYear],DaybyDay[[#This Row],[RowYear]])</f>
        <v>1131.3013600437407</v>
      </c>
      <c r="N1011" s="75">
        <v>944.5</v>
      </c>
      <c r="O1011" s="33">
        <f>SUMIFS(DaybyDay[Service-Budgets],DaybyDay[Date],"&gt;="&amp;$C$5,DaybyDay[RowYear],"&gt;="&amp;$C$4,DaybyDay[Date],"&lt;="&amp;DaybyDay[[#This Row],[Date]])</f>
        <v>0</v>
      </c>
      <c r="P1011" s="33">
        <f>SUMIFS(DaybyDay[Retail-Budgets],DaybyDay[Date],"&gt;="&amp;$C$5,DaybyDay[RowYear],"&gt;="&amp;$C$4,DaybyDay[Date],"&lt;="&amp;DaybyDay[[#This Row],[Date]])</f>
        <v>0</v>
      </c>
      <c r="Q1011" s="34">
        <f>SUMIFS(DaybyDay[Service-Actuals],DaybyDay[Date],"&gt;="&amp;$C$5,DaybyDay[RowYear],"&gt;="&amp;$C$4,DaybyDay[Date],"&lt;="&amp;DaybyDay[[#This Row],[Date]])</f>
        <v>0</v>
      </c>
      <c r="R1011" s="34">
        <f>SUMIFS(DaybyDay[Retail-Actuals],DaybyDay[Date],"&gt;="&amp;$C$5,DaybyDay[RowYear],"&gt;="&amp;$C$4,DaybyDay[Date],"&lt;="&amp;DaybyDay[[#This Row],[Date]])</f>
        <v>0</v>
      </c>
      <c r="S1011" s="35">
        <f>SUMIFS(DaybyDay[Service-LY],DaybyDay[Date],"&gt;="&amp;$C$5,DaybyDay[RowYear],"&gt;="&amp;$C$4,DaybyDay[Date],"&lt;="&amp;DaybyDay[[#This Row],[Date]])</f>
        <v>0</v>
      </c>
      <c r="T1011" s="35">
        <f>SUMIFS(DaybyDay[Retail-LY],DaybyDay[Date],"&gt;="&amp;$C$5,DaybyDay[RowYear],"&gt;="&amp;$C$4,DaybyDay[Date],"&lt;="&amp;DaybyDay[[#This Row],[Date]])</f>
        <v>0</v>
      </c>
      <c r="U1011" s="32">
        <f>DaybyDay[[#This Row],[Serv-Bud-RU]]+DaybyDay[[#This Row],[Ret-Bud-RU]]</f>
        <v>0</v>
      </c>
      <c r="V1011" s="32">
        <f>DaybyDay[[#This Row],[Serv-Act-RU]]+DaybyDay[[#This Row],[Ret-Act-RU]]</f>
        <v>0</v>
      </c>
      <c r="W1011" s="36">
        <f>IF(DaybyDay[[#This Row],[_Space]],IFERROR(
((DaybyDay[[#This Row],[Actual-Rollup]]-DaybyDay[[#This Row],[Budget-Rollup]])/DaybyDay[[#This Row],[Budget-Rollup]]),0),"")</f>
        <v>0</v>
      </c>
      <c r="X1011" t="b">
        <f>NOT(AND(ISBLANK(DaybyDay[[#This Row],[Appts]]),ISBLANK(DaybyDay[[#This Row],[Service-Actuals]]),ISBLANK(DaybyDay[[#This Row],[Retail-Actuals]])))</f>
        <v>1</v>
      </c>
      <c r="Y1011" s="36">
        <f>IF(DaybyDay[[#This Row],[_Space]],IFERROR(
((DaybyDay[[#This Row],[Actual-Rollup]]-DaybyDay[[#This Row],[LY-Rollup]])/DaybyDay[[#This Row],[LY-Rollup]]),0),"")</f>
        <v>0</v>
      </c>
      <c r="Z1011"/>
      <c r="AA1011" s="37" t="e">
        <f>IF(DaybyDay[[#This Row],[_Space]],DaybyDay[[#This Row],[Ret-Act-RU]]/DaybyDay[[#This Row],[Serv-Act-RU]],"")</f>
        <v>#DIV/0!</v>
      </c>
      <c r="AB1011" s="50" t="e">
        <f>IF(DaybyDay[[#This Row],[_Space]],DaybyDay[[#This Row],[RETPEN-Act]]/DaybyDay[[#This Row],[RETPEN-Bud]],"")</f>
        <v>#DIV/0!</v>
      </c>
      <c r="AC1011" s="37" t="e">
        <f>IF(DaybyDay[[#This Row],[_Space]],DaybyDay[[#This Row],[Ret-Bud-RU]]/DaybyDay[[#This Row],[Serv-Bud-RU]],"")</f>
        <v>#DIV/0!</v>
      </c>
      <c r="AD1011" s="37" t="e">
        <f>IF(DaybyDay[[#This Row],[_Space]],DaybyDay[[#This Row],[Ret-LY-RU]]/DaybyDay[[#This Row],[Serv-LY-RU]],"")</f>
        <v>#DIV/0!</v>
      </c>
      <c r="AE1011" s="30">
        <f>WEEKDAY(DaybyDay[[#This Row],[LY-Date]])</f>
        <v>4</v>
      </c>
      <c r="AF1011" s="38">
        <f>$E$2+_xlfn.DAYS(DaybyDay[[#This Row],[Date]],minDate)</f>
        <v>43376</v>
      </c>
      <c r="AG1011" s="39" cm="1">
        <f t="array" ref="AG1011">IFERROR(INDEX(DaybyDay[],DaybyDay[[#This Row],[FORM_MATCH_HELPER]],8),"")</f>
        <v>17</v>
      </c>
      <c r="AH1011" s="39" cm="1">
        <f t="array" ref="AH1011">IFERROR(INDEX(DaybyDay[],DaybyDay[[#This Row],[FORM_MATCH_HELPER]],10),"")</f>
        <v>3418.2</v>
      </c>
      <c r="AI1011" s="39" cm="1">
        <f t="array" ref="AI1011">IFERROR(INDEX(DaybyDay[],DaybyDay[[#This Row],[FORM_MATCH_HELPER]],12),"")</f>
        <v>676.97</v>
      </c>
      <c r="AJ1011" s="32">
        <f>IFERROR(DaybyDay[[#This Row],[Serv-LY-RU]]+DaybyDay[[#This Row],[Ret-LY-RU]],"")</f>
        <v>0</v>
      </c>
      <c r="AK10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1" s="77"/>
      <c r="AM1011" s="40" t="str">
        <f>IF(DaybyDay[[#This Row],[Admin Hours]]&gt;0,DaybyDay[[#This Row],[Admin Hours]]*$AM$2+$AM$3,"")</f>
        <v/>
      </c>
      <c r="AN1011" s="40">
        <f>SUMIFS(DaybyDay[Est-Admin-Payroll],DaybyDay[Date],"&gt;="&amp;$C$5,DaybyDay[RowYear],"&gt;="&amp;$C$4,DaybyDay[Date],"&lt;="&amp;DaybyDay[[#This Row],[Date]])</f>
        <v>0</v>
      </c>
      <c r="AO1011" s="41" t="str">
        <f>IF(AND(DaybyDay[[#This Row],[_Space]],ISNUMBER(DaybyDay[[#This Row],[Admin Hours]])),DaybyDay[[#This Row],[Est-Admin-Payroll]]/(DaybyDay[[#This Row],[Service-Actuals]]+DaybyDay[[#This Row],[Retail-Actuals]]),"")</f>
        <v/>
      </c>
      <c r="AP1011" s="41" t="e">
        <f>DaybyDay[[#This Row],[Estimated-Payroll-Rollup]]/DaybyDay[[#This Row],[Simple-Forecast]]</f>
        <v>#DIV/0!</v>
      </c>
      <c r="AQ10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1" s="77"/>
      <c r="AS1011" s="40" t="str">
        <f>IF(DaybyDay[[#This Row],[Retail Hours]]&gt;0,DaybyDay[[#This Row],[Retail Hours]]*$AS$2,"")</f>
        <v/>
      </c>
      <c r="AT1011" s="40">
        <f>SUMIFS(DaybyDay[Est-Retail-Payroll],DaybyDay[Date],"&gt;="&amp;$C$5,DaybyDay[RowYear],"&gt;="&amp;$C$4,DaybyDay[Date],"&lt;="&amp;DaybyDay[[#This Row],[Date]])</f>
        <v>0</v>
      </c>
      <c r="AU1011" s="82" t="str">
        <f>IF(AND(DaybyDay[[#This Row],[_Space]],ISNUMBER(DaybyDay[[#This Row],[Retail Hours]])),DaybyDay[[#This Row],[Est-Retail-Payroll]]/(DaybyDay[[#This Row],[Retail-Actuals]]),"")</f>
        <v/>
      </c>
      <c r="AV1011" s="82" t="e">
        <f>DaybyDay[[#This Row],[Est-Retail-PayrollRU]]/DaybyDay[[#This Row],[Simple-Forecast-Retail]]</f>
        <v>#DIV/0!</v>
      </c>
      <c r="AW1011" s="8"/>
      <c r="AX1011" s="15"/>
      <c r="AY1011" s="8"/>
    </row>
    <row r="1012" spans="3:51" hidden="1" x14ac:dyDescent="0.25">
      <c r="C1012" s="26" t="str">
        <f>Tools!$C$1</f>
        <v>Example</v>
      </c>
      <c r="D1012" s="27" t="s">
        <v>76</v>
      </c>
      <c r="E1012" s="28">
        <v>2019</v>
      </c>
      <c r="F1012" s="28">
        <f>MATCH(DaybyDay[[#This Row],[RowMonth]],Table3[SummaryMonth],0)</f>
        <v>9</v>
      </c>
      <c r="G1012" s="29">
        <f>MATCH(DaybyDay[[#This Row],[LY-Date]],DaybyDay[Date],0)</f>
        <v>642</v>
      </c>
      <c r="H1012" s="30">
        <f>WEEKDAY(DaybyDay[[#This Row],[Date]])</f>
        <v>5</v>
      </c>
      <c r="I1012" s="31">
        <v>43741</v>
      </c>
      <c r="J1012" s="74">
        <v>20</v>
      </c>
      <c r="K1012" s="32">
        <f>SUMIFS(BudgetSeasonality[365 Seasonality],BudgetSeasonality[MonthAdjustment],DaybyDay[[#This Row],[Date]])*SUMIFS(Budgets[Service-Budget],Budgets[BudgetMonth],DaybyDay[[#This Row],[RowMonth]],Budgets[BudgetYear],DaybyDay[[#This Row],[RowYear]])</f>
        <v>4957.2623026814563</v>
      </c>
      <c r="L1012" s="75">
        <v>4553.8999999999996</v>
      </c>
      <c r="M1012" s="32">
        <f>INDEX(BudgetSeasonality[365 Seasonality],MATCH(DaybyDay[[#This Row],[Date]],BudgetSeasonality[MonthAdjustment],0))*SUMIFS(Budgets[Retail-Budget],Budgets[BudgetMonth],DaybyDay[[#This Row],[RowMonth]],Budgets[BudgetYear],DaybyDay[[#This Row],[RowYear]])</f>
        <v>1177.9639175812158</v>
      </c>
      <c r="N1012" s="75">
        <v>2902</v>
      </c>
      <c r="O1012" s="33">
        <f>SUMIFS(DaybyDay[Service-Budgets],DaybyDay[Date],"&gt;="&amp;$C$5,DaybyDay[RowYear],"&gt;="&amp;$C$4,DaybyDay[Date],"&lt;="&amp;DaybyDay[[#This Row],[Date]])</f>
        <v>0</v>
      </c>
      <c r="P1012" s="33">
        <f>SUMIFS(DaybyDay[Retail-Budgets],DaybyDay[Date],"&gt;="&amp;$C$5,DaybyDay[RowYear],"&gt;="&amp;$C$4,DaybyDay[Date],"&lt;="&amp;DaybyDay[[#This Row],[Date]])</f>
        <v>0</v>
      </c>
      <c r="Q1012" s="34">
        <f>SUMIFS(DaybyDay[Service-Actuals],DaybyDay[Date],"&gt;="&amp;$C$5,DaybyDay[RowYear],"&gt;="&amp;$C$4,DaybyDay[Date],"&lt;="&amp;DaybyDay[[#This Row],[Date]])</f>
        <v>0</v>
      </c>
      <c r="R1012" s="34">
        <f>SUMIFS(DaybyDay[Retail-Actuals],DaybyDay[Date],"&gt;="&amp;$C$5,DaybyDay[RowYear],"&gt;="&amp;$C$4,DaybyDay[Date],"&lt;="&amp;DaybyDay[[#This Row],[Date]])</f>
        <v>0</v>
      </c>
      <c r="S1012" s="35">
        <f>SUMIFS(DaybyDay[Service-LY],DaybyDay[Date],"&gt;="&amp;$C$5,DaybyDay[RowYear],"&gt;="&amp;$C$4,DaybyDay[Date],"&lt;="&amp;DaybyDay[[#This Row],[Date]])</f>
        <v>0</v>
      </c>
      <c r="T1012" s="35">
        <f>SUMIFS(DaybyDay[Retail-LY],DaybyDay[Date],"&gt;="&amp;$C$5,DaybyDay[RowYear],"&gt;="&amp;$C$4,DaybyDay[Date],"&lt;="&amp;DaybyDay[[#This Row],[Date]])</f>
        <v>0</v>
      </c>
      <c r="U1012" s="32">
        <f>DaybyDay[[#This Row],[Serv-Bud-RU]]+DaybyDay[[#This Row],[Ret-Bud-RU]]</f>
        <v>0</v>
      </c>
      <c r="V1012" s="32">
        <f>DaybyDay[[#This Row],[Serv-Act-RU]]+DaybyDay[[#This Row],[Ret-Act-RU]]</f>
        <v>0</v>
      </c>
      <c r="W1012" s="36">
        <f>IF(DaybyDay[[#This Row],[_Space]],IFERROR(
((DaybyDay[[#This Row],[Actual-Rollup]]-DaybyDay[[#This Row],[Budget-Rollup]])/DaybyDay[[#This Row],[Budget-Rollup]]),0),"")</f>
        <v>0</v>
      </c>
      <c r="X1012" t="b">
        <f>NOT(AND(ISBLANK(DaybyDay[[#This Row],[Appts]]),ISBLANK(DaybyDay[[#This Row],[Service-Actuals]]),ISBLANK(DaybyDay[[#This Row],[Retail-Actuals]])))</f>
        <v>1</v>
      </c>
      <c r="Y1012" s="36">
        <f>IF(DaybyDay[[#This Row],[_Space]],IFERROR(
((DaybyDay[[#This Row],[Actual-Rollup]]-DaybyDay[[#This Row],[LY-Rollup]])/DaybyDay[[#This Row],[LY-Rollup]]),0),"")</f>
        <v>0</v>
      </c>
      <c r="Z1012"/>
      <c r="AA1012" s="37" t="e">
        <f>IF(DaybyDay[[#This Row],[_Space]],DaybyDay[[#This Row],[Ret-Act-RU]]/DaybyDay[[#This Row],[Serv-Act-RU]],"")</f>
        <v>#DIV/0!</v>
      </c>
      <c r="AB1012" s="50" t="e">
        <f>IF(DaybyDay[[#This Row],[_Space]],DaybyDay[[#This Row],[RETPEN-Act]]/DaybyDay[[#This Row],[RETPEN-Bud]],"")</f>
        <v>#DIV/0!</v>
      </c>
      <c r="AC1012" s="37" t="e">
        <f>IF(DaybyDay[[#This Row],[_Space]],DaybyDay[[#This Row],[Ret-Bud-RU]]/DaybyDay[[#This Row],[Serv-Bud-RU]],"")</f>
        <v>#DIV/0!</v>
      </c>
      <c r="AD1012" s="37" t="e">
        <f>IF(DaybyDay[[#This Row],[_Space]],DaybyDay[[#This Row],[Ret-LY-RU]]/DaybyDay[[#This Row],[Serv-LY-RU]],"")</f>
        <v>#DIV/0!</v>
      </c>
      <c r="AE1012" s="30">
        <f>WEEKDAY(DaybyDay[[#This Row],[LY-Date]])</f>
        <v>5</v>
      </c>
      <c r="AF1012" s="38">
        <f>$E$2+_xlfn.DAYS(DaybyDay[[#This Row],[Date]],minDate)</f>
        <v>43377</v>
      </c>
      <c r="AG1012" s="39" cm="1">
        <f t="array" ref="AG1012">IFERROR(INDEX(DaybyDay[],DaybyDay[[#This Row],[FORM_MATCH_HELPER]],8),"")</f>
        <v>17</v>
      </c>
      <c r="AH1012" s="39" cm="1">
        <f t="array" ref="AH1012">IFERROR(INDEX(DaybyDay[],DaybyDay[[#This Row],[FORM_MATCH_HELPER]],10),"")</f>
        <v>4883</v>
      </c>
      <c r="AI1012" s="39" cm="1">
        <f t="array" ref="AI1012">IFERROR(INDEX(DaybyDay[],DaybyDay[[#This Row],[FORM_MATCH_HELPER]],12),"")</f>
        <v>517.1</v>
      </c>
      <c r="AJ1012" s="32">
        <f>IFERROR(DaybyDay[[#This Row],[Serv-LY-RU]]+DaybyDay[[#This Row],[Ret-LY-RU]],"")</f>
        <v>0</v>
      </c>
      <c r="AK10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2" s="77"/>
      <c r="AM1012" s="40" t="str">
        <f>IF(DaybyDay[[#This Row],[Admin Hours]]&gt;0,DaybyDay[[#This Row],[Admin Hours]]*$AM$2+$AM$3,"")</f>
        <v/>
      </c>
      <c r="AN1012" s="40">
        <f>SUMIFS(DaybyDay[Est-Admin-Payroll],DaybyDay[Date],"&gt;="&amp;$C$5,DaybyDay[RowYear],"&gt;="&amp;$C$4,DaybyDay[Date],"&lt;="&amp;DaybyDay[[#This Row],[Date]])</f>
        <v>0</v>
      </c>
      <c r="AO1012" s="41" t="str">
        <f>IF(AND(DaybyDay[[#This Row],[_Space]],ISNUMBER(DaybyDay[[#This Row],[Admin Hours]])),DaybyDay[[#This Row],[Est-Admin-Payroll]]/(DaybyDay[[#This Row],[Service-Actuals]]+DaybyDay[[#This Row],[Retail-Actuals]]),"")</f>
        <v/>
      </c>
      <c r="AP1012" s="41" t="e">
        <f>DaybyDay[[#This Row],[Estimated-Payroll-Rollup]]/DaybyDay[[#This Row],[Simple-Forecast]]</f>
        <v>#DIV/0!</v>
      </c>
      <c r="AQ10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2" s="77"/>
      <c r="AS1012" s="40" t="str">
        <f>IF(DaybyDay[[#This Row],[Retail Hours]]&gt;0,DaybyDay[[#This Row],[Retail Hours]]*$AS$2,"")</f>
        <v/>
      </c>
      <c r="AT1012" s="40">
        <f>SUMIFS(DaybyDay[Est-Retail-Payroll],DaybyDay[Date],"&gt;="&amp;$C$5,DaybyDay[RowYear],"&gt;="&amp;$C$4,DaybyDay[Date],"&lt;="&amp;DaybyDay[[#This Row],[Date]])</f>
        <v>0</v>
      </c>
      <c r="AU1012" s="82" t="str">
        <f>IF(AND(DaybyDay[[#This Row],[_Space]],ISNUMBER(DaybyDay[[#This Row],[Retail Hours]])),DaybyDay[[#This Row],[Est-Retail-Payroll]]/(DaybyDay[[#This Row],[Retail-Actuals]]),"")</f>
        <v/>
      </c>
      <c r="AV1012" s="82" t="e">
        <f>DaybyDay[[#This Row],[Est-Retail-PayrollRU]]/DaybyDay[[#This Row],[Simple-Forecast-Retail]]</f>
        <v>#DIV/0!</v>
      </c>
      <c r="AW1012" s="8"/>
      <c r="AX1012" s="15"/>
      <c r="AY1012" s="8"/>
    </row>
    <row r="1013" spans="3:51" hidden="1" x14ac:dyDescent="0.25">
      <c r="C1013" s="26" t="str">
        <f>Tools!$C$1</f>
        <v>Example</v>
      </c>
      <c r="D1013" s="27" t="s">
        <v>76</v>
      </c>
      <c r="E1013" s="28">
        <v>2019</v>
      </c>
      <c r="F1013" s="28">
        <f>MATCH(DaybyDay[[#This Row],[RowMonth]],Table3[SummaryMonth],0)</f>
        <v>9</v>
      </c>
      <c r="G1013" s="29">
        <f>MATCH(DaybyDay[[#This Row],[LY-Date]],DaybyDay[Date],0)</f>
        <v>643</v>
      </c>
      <c r="H1013" s="30">
        <f>WEEKDAY(DaybyDay[[#This Row],[Date]])</f>
        <v>6</v>
      </c>
      <c r="I1013" s="31">
        <v>43742</v>
      </c>
      <c r="J1013" s="74">
        <v>17</v>
      </c>
      <c r="K1013" s="32">
        <f>SUMIFS(BudgetSeasonality[365 Seasonality],BudgetSeasonality[MonthAdjustment],DaybyDay[[#This Row],[Date]])*SUMIFS(Budgets[Service-Budget],Budgets[BudgetMonth],DaybyDay[[#This Row],[RowMonth]],Budgets[BudgetYear],DaybyDay[[#This Row],[RowYear]])</f>
        <v>6315.4233586082046</v>
      </c>
      <c r="L1013" s="75">
        <v>3048.5999999999995</v>
      </c>
      <c r="M1013" s="32">
        <f>INDEX(BudgetSeasonality[365 Seasonality],MATCH(DaybyDay[[#This Row],[Date]],BudgetSeasonality[MonthAdjustment],0))*SUMIFS(Budgets[Retail-Budget],Budgets[BudgetMonth],DaybyDay[[#This Row],[RowMonth]],Budgets[BudgetYear],DaybyDay[[#This Row],[RowYear]])</f>
        <v>1500.6954214760817</v>
      </c>
      <c r="N1013" s="75">
        <v>2860.3</v>
      </c>
      <c r="O1013" s="33">
        <f>SUMIFS(DaybyDay[Service-Budgets],DaybyDay[Date],"&gt;="&amp;$C$5,DaybyDay[RowYear],"&gt;="&amp;$C$4,DaybyDay[Date],"&lt;="&amp;DaybyDay[[#This Row],[Date]])</f>
        <v>0</v>
      </c>
      <c r="P1013" s="33">
        <f>SUMIFS(DaybyDay[Retail-Budgets],DaybyDay[Date],"&gt;="&amp;$C$5,DaybyDay[RowYear],"&gt;="&amp;$C$4,DaybyDay[Date],"&lt;="&amp;DaybyDay[[#This Row],[Date]])</f>
        <v>0</v>
      </c>
      <c r="Q1013" s="34">
        <f>SUMIFS(DaybyDay[Service-Actuals],DaybyDay[Date],"&gt;="&amp;$C$5,DaybyDay[RowYear],"&gt;="&amp;$C$4,DaybyDay[Date],"&lt;="&amp;DaybyDay[[#This Row],[Date]])</f>
        <v>0</v>
      </c>
      <c r="R1013" s="34">
        <f>SUMIFS(DaybyDay[Retail-Actuals],DaybyDay[Date],"&gt;="&amp;$C$5,DaybyDay[RowYear],"&gt;="&amp;$C$4,DaybyDay[Date],"&lt;="&amp;DaybyDay[[#This Row],[Date]])</f>
        <v>0</v>
      </c>
      <c r="S1013" s="35">
        <f>SUMIFS(DaybyDay[Service-LY],DaybyDay[Date],"&gt;="&amp;$C$5,DaybyDay[RowYear],"&gt;="&amp;$C$4,DaybyDay[Date],"&lt;="&amp;DaybyDay[[#This Row],[Date]])</f>
        <v>0</v>
      </c>
      <c r="T1013" s="35">
        <f>SUMIFS(DaybyDay[Retail-LY],DaybyDay[Date],"&gt;="&amp;$C$5,DaybyDay[RowYear],"&gt;="&amp;$C$4,DaybyDay[Date],"&lt;="&amp;DaybyDay[[#This Row],[Date]])</f>
        <v>0</v>
      </c>
      <c r="U1013" s="32">
        <f>DaybyDay[[#This Row],[Serv-Bud-RU]]+DaybyDay[[#This Row],[Ret-Bud-RU]]</f>
        <v>0</v>
      </c>
      <c r="V1013" s="32">
        <f>DaybyDay[[#This Row],[Serv-Act-RU]]+DaybyDay[[#This Row],[Ret-Act-RU]]</f>
        <v>0</v>
      </c>
      <c r="W1013" s="36">
        <f>IF(DaybyDay[[#This Row],[_Space]],IFERROR(
((DaybyDay[[#This Row],[Actual-Rollup]]-DaybyDay[[#This Row],[Budget-Rollup]])/DaybyDay[[#This Row],[Budget-Rollup]]),0),"")</f>
        <v>0</v>
      </c>
      <c r="X1013" t="b">
        <f>NOT(AND(ISBLANK(DaybyDay[[#This Row],[Appts]]),ISBLANK(DaybyDay[[#This Row],[Service-Actuals]]),ISBLANK(DaybyDay[[#This Row],[Retail-Actuals]])))</f>
        <v>1</v>
      </c>
      <c r="Y1013" s="36">
        <f>IF(DaybyDay[[#This Row],[_Space]],IFERROR(
((DaybyDay[[#This Row],[Actual-Rollup]]-DaybyDay[[#This Row],[LY-Rollup]])/DaybyDay[[#This Row],[LY-Rollup]]),0),"")</f>
        <v>0</v>
      </c>
      <c r="Z1013"/>
      <c r="AA1013" s="37" t="e">
        <f>IF(DaybyDay[[#This Row],[_Space]],DaybyDay[[#This Row],[Ret-Act-RU]]/DaybyDay[[#This Row],[Serv-Act-RU]],"")</f>
        <v>#DIV/0!</v>
      </c>
      <c r="AB1013" s="50" t="e">
        <f>IF(DaybyDay[[#This Row],[_Space]],DaybyDay[[#This Row],[RETPEN-Act]]/DaybyDay[[#This Row],[RETPEN-Bud]],"")</f>
        <v>#DIV/0!</v>
      </c>
      <c r="AC1013" s="37" t="e">
        <f>IF(DaybyDay[[#This Row],[_Space]],DaybyDay[[#This Row],[Ret-Bud-RU]]/DaybyDay[[#This Row],[Serv-Bud-RU]],"")</f>
        <v>#DIV/0!</v>
      </c>
      <c r="AD1013" s="37" t="e">
        <f>IF(DaybyDay[[#This Row],[_Space]],DaybyDay[[#This Row],[Ret-LY-RU]]/DaybyDay[[#This Row],[Serv-LY-RU]],"")</f>
        <v>#DIV/0!</v>
      </c>
      <c r="AE1013" s="30">
        <f>WEEKDAY(DaybyDay[[#This Row],[LY-Date]])</f>
        <v>6</v>
      </c>
      <c r="AF1013" s="38">
        <f>$E$2+_xlfn.DAYS(DaybyDay[[#This Row],[Date]],minDate)</f>
        <v>43378</v>
      </c>
      <c r="AG1013" s="39" cm="1">
        <f t="array" ref="AG1013">IFERROR(INDEX(DaybyDay[],DaybyDay[[#This Row],[FORM_MATCH_HELPER]],8),"")</f>
        <v>22</v>
      </c>
      <c r="AH1013" s="39" cm="1">
        <f t="array" ref="AH1013">IFERROR(INDEX(DaybyDay[],DaybyDay[[#This Row],[FORM_MATCH_HELPER]],10),"")</f>
        <v>5116.2</v>
      </c>
      <c r="AI1013" s="39" cm="1">
        <f t="array" ref="AI1013">IFERROR(INDEX(DaybyDay[],DaybyDay[[#This Row],[FORM_MATCH_HELPER]],12),"")</f>
        <v>852.5</v>
      </c>
      <c r="AJ1013" s="32">
        <f>IFERROR(DaybyDay[[#This Row],[Serv-LY-RU]]+DaybyDay[[#This Row],[Ret-LY-RU]],"")</f>
        <v>0</v>
      </c>
      <c r="AK10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3" s="77"/>
      <c r="AM1013" s="40" t="str">
        <f>IF(DaybyDay[[#This Row],[Admin Hours]]&gt;0,DaybyDay[[#This Row],[Admin Hours]]*$AM$2+$AM$3,"")</f>
        <v/>
      </c>
      <c r="AN1013" s="40">
        <f>SUMIFS(DaybyDay[Est-Admin-Payroll],DaybyDay[Date],"&gt;="&amp;$C$5,DaybyDay[RowYear],"&gt;="&amp;$C$4,DaybyDay[Date],"&lt;="&amp;DaybyDay[[#This Row],[Date]])</f>
        <v>0</v>
      </c>
      <c r="AO1013" s="41" t="str">
        <f>IF(AND(DaybyDay[[#This Row],[_Space]],ISNUMBER(DaybyDay[[#This Row],[Admin Hours]])),DaybyDay[[#This Row],[Est-Admin-Payroll]]/(DaybyDay[[#This Row],[Service-Actuals]]+DaybyDay[[#This Row],[Retail-Actuals]]),"")</f>
        <v/>
      </c>
      <c r="AP1013" s="41" t="e">
        <f>DaybyDay[[#This Row],[Estimated-Payroll-Rollup]]/DaybyDay[[#This Row],[Simple-Forecast]]</f>
        <v>#DIV/0!</v>
      </c>
      <c r="AQ10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3" s="77"/>
      <c r="AS1013" s="40" t="str">
        <f>IF(DaybyDay[[#This Row],[Retail Hours]]&gt;0,DaybyDay[[#This Row],[Retail Hours]]*$AS$2,"")</f>
        <v/>
      </c>
      <c r="AT1013" s="40">
        <f>SUMIFS(DaybyDay[Est-Retail-Payroll],DaybyDay[Date],"&gt;="&amp;$C$5,DaybyDay[RowYear],"&gt;="&amp;$C$4,DaybyDay[Date],"&lt;="&amp;DaybyDay[[#This Row],[Date]])</f>
        <v>0</v>
      </c>
      <c r="AU1013" s="82" t="str">
        <f>IF(AND(DaybyDay[[#This Row],[_Space]],ISNUMBER(DaybyDay[[#This Row],[Retail Hours]])),DaybyDay[[#This Row],[Est-Retail-Payroll]]/(DaybyDay[[#This Row],[Retail-Actuals]]),"")</f>
        <v/>
      </c>
      <c r="AV1013" s="82" t="e">
        <f>DaybyDay[[#This Row],[Est-Retail-PayrollRU]]/DaybyDay[[#This Row],[Simple-Forecast-Retail]]</f>
        <v>#DIV/0!</v>
      </c>
      <c r="AW1013" s="8"/>
      <c r="AX1013" s="15"/>
      <c r="AY1013" s="8"/>
    </row>
    <row r="1014" spans="3:51" hidden="1" x14ac:dyDescent="0.25">
      <c r="C1014" s="26" t="str">
        <f>Tools!$C$1</f>
        <v>Example</v>
      </c>
      <c r="D1014" s="27" t="s">
        <v>76</v>
      </c>
      <c r="E1014" s="28">
        <v>2019</v>
      </c>
      <c r="F1014" s="28">
        <f>MATCH(DaybyDay[[#This Row],[RowMonth]],Table3[SummaryMonth],0)</f>
        <v>9</v>
      </c>
      <c r="G1014" s="29">
        <f>MATCH(DaybyDay[[#This Row],[LY-Date]],DaybyDay[Date],0)</f>
        <v>644</v>
      </c>
      <c r="H1014" s="30">
        <f>WEEKDAY(DaybyDay[[#This Row],[Date]])</f>
        <v>7</v>
      </c>
      <c r="I1014" s="31">
        <v>43743</v>
      </c>
      <c r="J1014" s="74">
        <v>31</v>
      </c>
      <c r="K1014" s="32">
        <f>SUMIFS(BudgetSeasonality[365 Seasonality],BudgetSeasonality[MonthAdjustment],DaybyDay[[#This Row],[Date]])*SUMIFS(Budgets[Service-Budget],Budgets[BudgetMonth],DaybyDay[[#This Row],[RowMonth]],Budgets[BudgetYear],DaybyDay[[#This Row],[RowYear]])</f>
        <v>9133.5428756978872</v>
      </c>
      <c r="L1014" s="75">
        <v>7900.1900000000005</v>
      </c>
      <c r="M1014" s="32">
        <f>INDEX(BudgetSeasonality[365 Seasonality],MATCH(DaybyDay[[#This Row],[Date]],BudgetSeasonality[MonthAdjustment],0))*SUMIFS(Budgets[Retail-Budget],Budgets[BudgetMonth],DaybyDay[[#This Row],[RowMonth]],Budgets[BudgetYear],DaybyDay[[#This Row],[RowYear]])</f>
        <v>2170.3479239808212</v>
      </c>
      <c r="N1014" s="75">
        <v>1299</v>
      </c>
      <c r="O1014" s="33">
        <f>SUMIFS(DaybyDay[Service-Budgets],DaybyDay[Date],"&gt;="&amp;$C$5,DaybyDay[RowYear],"&gt;="&amp;$C$4,DaybyDay[Date],"&lt;="&amp;DaybyDay[[#This Row],[Date]])</f>
        <v>0</v>
      </c>
      <c r="P1014" s="33">
        <f>SUMIFS(DaybyDay[Retail-Budgets],DaybyDay[Date],"&gt;="&amp;$C$5,DaybyDay[RowYear],"&gt;="&amp;$C$4,DaybyDay[Date],"&lt;="&amp;DaybyDay[[#This Row],[Date]])</f>
        <v>0</v>
      </c>
      <c r="Q1014" s="34">
        <f>SUMIFS(DaybyDay[Service-Actuals],DaybyDay[Date],"&gt;="&amp;$C$5,DaybyDay[RowYear],"&gt;="&amp;$C$4,DaybyDay[Date],"&lt;="&amp;DaybyDay[[#This Row],[Date]])</f>
        <v>0</v>
      </c>
      <c r="R1014" s="34">
        <f>SUMIFS(DaybyDay[Retail-Actuals],DaybyDay[Date],"&gt;="&amp;$C$5,DaybyDay[RowYear],"&gt;="&amp;$C$4,DaybyDay[Date],"&lt;="&amp;DaybyDay[[#This Row],[Date]])</f>
        <v>0</v>
      </c>
      <c r="S1014" s="35">
        <f>SUMIFS(DaybyDay[Service-LY],DaybyDay[Date],"&gt;="&amp;$C$5,DaybyDay[RowYear],"&gt;="&amp;$C$4,DaybyDay[Date],"&lt;="&amp;DaybyDay[[#This Row],[Date]])</f>
        <v>0</v>
      </c>
      <c r="T1014" s="35">
        <f>SUMIFS(DaybyDay[Retail-LY],DaybyDay[Date],"&gt;="&amp;$C$5,DaybyDay[RowYear],"&gt;="&amp;$C$4,DaybyDay[Date],"&lt;="&amp;DaybyDay[[#This Row],[Date]])</f>
        <v>0</v>
      </c>
      <c r="U1014" s="32">
        <f>DaybyDay[[#This Row],[Serv-Bud-RU]]+DaybyDay[[#This Row],[Ret-Bud-RU]]</f>
        <v>0</v>
      </c>
      <c r="V1014" s="32">
        <f>DaybyDay[[#This Row],[Serv-Act-RU]]+DaybyDay[[#This Row],[Ret-Act-RU]]</f>
        <v>0</v>
      </c>
      <c r="W1014" s="36">
        <f>IF(DaybyDay[[#This Row],[_Space]],IFERROR(
((DaybyDay[[#This Row],[Actual-Rollup]]-DaybyDay[[#This Row],[Budget-Rollup]])/DaybyDay[[#This Row],[Budget-Rollup]]),0),"")</f>
        <v>0</v>
      </c>
      <c r="X1014" t="b">
        <f>NOT(AND(ISBLANK(DaybyDay[[#This Row],[Appts]]),ISBLANK(DaybyDay[[#This Row],[Service-Actuals]]),ISBLANK(DaybyDay[[#This Row],[Retail-Actuals]])))</f>
        <v>1</v>
      </c>
      <c r="Y1014" s="36">
        <f>IF(DaybyDay[[#This Row],[_Space]],IFERROR(
((DaybyDay[[#This Row],[Actual-Rollup]]-DaybyDay[[#This Row],[LY-Rollup]])/DaybyDay[[#This Row],[LY-Rollup]]),0),"")</f>
        <v>0</v>
      </c>
      <c r="Z1014"/>
      <c r="AA1014" s="37" t="e">
        <f>IF(DaybyDay[[#This Row],[_Space]],DaybyDay[[#This Row],[Ret-Act-RU]]/DaybyDay[[#This Row],[Serv-Act-RU]],"")</f>
        <v>#DIV/0!</v>
      </c>
      <c r="AB1014" s="50" t="e">
        <f>IF(DaybyDay[[#This Row],[_Space]],DaybyDay[[#This Row],[RETPEN-Act]]/DaybyDay[[#This Row],[RETPEN-Bud]],"")</f>
        <v>#DIV/0!</v>
      </c>
      <c r="AC1014" s="37" t="e">
        <f>IF(DaybyDay[[#This Row],[_Space]],DaybyDay[[#This Row],[Ret-Bud-RU]]/DaybyDay[[#This Row],[Serv-Bud-RU]],"")</f>
        <v>#DIV/0!</v>
      </c>
      <c r="AD1014" s="37" t="e">
        <f>IF(DaybyDay[[#This Row],[_Space]],DaybyDay[[#This Row],[Ret-LY-RU]]/DaybyDay[[#This Row],[Serv-LY-RU]],"")</f>
        <v>#DIV/0!</v>
      </c>
      <c r="AE1014" s="30">
        <f>WEEKDAY(DaybyDay[[#This Row],[LY-Date]])</f>
        <v>7</v>
      </c>
      <c r="AF1014" s="38">
        <f>$E$2+_xlfn.DAYS(DaybyDay[[#This Row],[Date]],minDate)</f>
        <v>43379</v>
      </c>
      <c r="AG1014" s="39" cm="1">
        <f t="array" ref="AG1014">IFERROR(INDEX(DaybyDay[],DaybyDay[[#This Row],[FORM_MATCH_HELPER]],8),"")</f>
        <v>35</v>
      </c>
      <c r="AH1014" s="39" cm="1">
        <f t="array" ref="AH1014">IFERROR(INDEX(DaybyDay[],DaybyDay[[#This Row],[FORM_MATCH_HELPER]],10),"")</f>
        <v>8783</v>
      </c>
      <c r="AI1014" s="39" cm="1">
        <f t="array" ref="AI1014">IFERROR(INDEX(DaybyDay[],DaybyDay[[#This Row],[FORM_MATCH_HELPER]],12),"")</f>
        <v>5843</v>
      </c>
      <c r="AJ1014" s="32">
        <f>IFERROR(DaybyDay[[#This Row],[Serv-LY-RU]]+DaybyDay[[#This Row],[Ret-LY-RU]],"")</f>
        <v>0</v>
      </c>
      <c r="AK10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4" s="77"/>
      <c r="AM1014" s="40" t="str">
        <f>IF(DaybyDay[[#This Row],[Admin Hours]]&gt;0,DaybyDay[[#This Row],[Admin Hours]]*$AM$2+$AM$3,"")</f>
        <v/>
      </c>
      <c r="AN1014" s="40">
        <f>SUMIFS(DaybyDay[Est-Admin-Payroll],DaybyDay[Date],"&gt;="&amp;$C$5,DaybyDay[RowYear],"&gt;="&amp;$C$4,DaybyDay[Date],"&lt;="&amp;DaybyDay[[#This Row],[Date]])</f>
        <v>0</v>
      </c>
      <c r="AO1014" s="41" t="str">
        <f>IF(AND(DaybyDay[[#This Row],[_Space]],ISNUMBER(DaybyDay[[#This Row],[Admin Hours]])),DaybyDay[[#This Row],[Est-Admin-Payroll]]/(DaybyDay[[#This Row],[Service-Actuals]]+DaybyDay[[#This Row],[Retail-Actuals]]),"")</f>
        <v/>
      </c>
      <c r="AP1014" s="41" t="e">
        <f>DaybyDay[[#This Row],[Estimated-Payroll-Rollup]]/DaybyDay[[#This Row],[Simple-Forecast]]</f>
        <v>#DIV/0!</v>
      </c>
      <c r="AQ10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4" s="77"/>
      <c r="AS1014" s="40" t="str">
        <f>IF(DaybyDay[[#This Row],[Retail Hours]]&gt;0,DaybyDay[[#This Row],[Retail Hours]]*$AS$2,"")</f>
        <v/>
      </c>
      <c r="AT1014" s="40">
        <f>SUMIFS(DaybyDay[Est-Retail-Payroll],DaybyDay[Date],"&gt;="&amp;$C$5,DaybyDay[RowYear],"&gt;="&amp;$C$4,DaybyDay[Date],"&lt;="&amp;DaybyDay[[#This Row],[Date]])</f>
        <v>0</v>
      </c>
      <c r="AU1014" s="82" t="str">
        <f>IF(AND(DaybyDay[[#This Row],[_Space]],ISNUMBER(DaybyDay[[#This Row],[Retail Hours]])),DaybyDay[[#This Row],[Est-Retail-Payroll]]/(DaybyDay[[#This Row],[Retail-Actuals]]),"")</f>
        <v/>
      </c>
      <c r="AV1014" s="82" t="e">
        <f>DaybyDay[[#This Row],[Est-Retail-PayrollRU]]/DaybyDay[[#This Row],[Simple-Forecast-Retail]]</f>
        <v>#DIV/0!</v>
      </c>
      <c r="AW1014" s="8"/>
      <c r="AX1014" s="15"/>
      <c r="AY1014" s="8"/>
    </row>
    <row r="1015" spans="3:51" hidden="1" x14ac:dyDescent="0.25">
      <c r="C1015" s="26" t="str">
        <f>Tools!$C$1</f>
        <v>Example</v>
      </c>
      <c r="D1015" s="27" t="s">
        <v>77</v>
      </c>
      <c r="E1015" s="28">
        <v>2019</v>
      </c>
      <c r="F1015" s="28">
        <f>MATCH(DaybyDay[[#This Row],[RowMonth]],Table3[SummaryMonth],0)</f>
        <v>10</v>
      </c>
      <c r="G1015" s="29">
        <f>MATCH(DaybyDay[[#This Row],[LY-Date]],DaybyDay[Date],0)</f>
        <v>645</v>
      </c>
      <c r="H1015" s="30">
        <f>WEEKDAY(DaybyDay[[#This Row],[Date]])</f>
        <v>1</v>
      </c>
      <c r="I1015" s="31">
        <v>43744</v>
      </c>
      <c r="J1015" s="74">
        <v>25</v>
      </c>
      <c r="K1015" s="32">
        <f>SUMIFS(BudgetSeasonality[365 Seasonality],BudgetSeasonality[MonthAdjustment],DaybyDay[[#This Row],[Date]])*SUMIFS(Budgets[Service-Budget],Budgets[BudgetMonth],DaybyDay[[#This Row],[RowMonth]],Budgets[BudgetYear],DaybyDay[[#This Row],[RowYear]])</f>
        <v>6790.9381462679885</v>
      </c>
      <c r="L1015" s="75">
        <v>6338.15</v>
      </c>
      <c r="M1015" s="32">
        <f>INDEX(BudgetSeasonality[365 Seasonality],MATCH(DaybyDay[[#This Row],[Date]],BudgetSeasonality[MonthAdjustment],0))*SUMIFS(Budgets[Retail-Budget],Budgets[BudgetMonth],DaybyDay[[#This Row],[RowMonth]],Budgets[BudgetYear],DaybyDay[[#This Row],[RowYear]])</f>
        <v>2126.2378902119267</v>
      </c>
      <c r="N1015" s="75">
        <v>333</v>
      </c>
      <c r="O1015" s="33">
        <f>SUMIFS(DaybyDay[Service-Budgets],DaybyDay[Date],"&gt;="&amp;$C$5,DaybyDay[RowYear],"&gt;="&amp;$C$4,DaybyDay[Date],"&lt;="&amp;DaybyDay[[#This Row],[Date]])</f>
        <v>0</v>
      </c>
      <c r="P1015" s="33">
        <f>SUMIFS(DaybyDay[Retail-Budgets],DaybyDay[Date],"&gt;="&amp;$C$5,DaybyDay[RowYear],"&gt;="&amp;$C$4,DaybyDay[Date],"&lt;="&amp;DaybyDay[[#This Row],[Date]])</f>
        <v>0</v>
      </c>
      <c r="Q1015" s="34">
        <f>SUMIFS(DaybyDay[Service-Actuals],DaybyDay[Date],"&gt;="&amp;$C$5,DaybyDay[RowYear],"&gt;="&amp;$C$4,DaybyDay[Date],"&lt;="&amp;DaybyDay[[#This Row],[Date]])</f>
        <v>0</v>
      </c>
      <c r="R1015" s="34">
        <f>SUMIFS(DaybyDay[Retail-Actuals],DaybyDay[Date],"&gt;="&amp;$C$5,DaybyDay[RowYear],"&gt;="&amp;$C$4,DaybyDay[Date],"&lt;="&amp;DaybyDay[[#This Row],[Date]])</f>
        <v>0</v>
      </c>
      <c r="S1015" s="35">
        <f>SUMIFS(DaybyDay[Service-LY],DaybyDay[Date],"&gt;="&amp;$C$5,DaybyDay[RowYear],"&gt;="&amp;$C$4,DaybyDay[Date],"&lt;="&amp;DaybyDay[[#This Row],[Date]])</f>
        <v>0</v>
      </c>
      <c r="T1015" s="35">
        <f>SUMIFS(DaybyDay[Retail-LY],DaybyDay[Date],"&gt;="&amp;$C$5,DaybyDay[RowYear],"&gt;="&amp;$C$4,DaybyDay[Date],"&lt;="&amp;DaybyDay[[#This Row],[Date]])</f>
        <v>0</v>
      </c>
      <c r="U1015" s="32">
        <f>DaybyDay[[#This Row],[Serv-Bud-RU]]+DaybyDay[[#This Row],[Ret-Bud-RU]]</f>
        <v>0</v>
      </c>
      <c r="V1015" s="32">
        <f>DaybyDay[[#This Row],[Serv-Act-RU]]+DaybyDay[[#This Row],[Ret-Act-RU]]</f>
        <v>0</v>
      </c>
      <c r="W1015" s="36">
        <f>IF(DaybyDay[[#This Row],[_Space]],IFERROR(
((DaybyDay[[#This Row],[Actual-Rollup]]-DaybyDay[[#This Row],[Budget-Rollup]])/DaybyDay[[#This Row],[Budget-Rollup]]),0),"")</f>
        <v>0</v>
      </c>
      <c r="X1015" t="b">
        <f>NOT(AND(ISBLANK(DaybyDay[[#This Row],[Appts]]),ISBLANK(DaybyDay[[#This Row],[Service-Actuals]]),ISBLANK(DaybyDay[[#This Row],[Retail-Actuals]])))</f>
        <v>1</v>
      </c>
      <c r="Y1015" s="36">
        <f>IF(DaybyDay[[#This Row],[_Space]],IFERROR(
((DaybyDay[[#This Row],[Actual-Rollup]]-DaybyDay[[#This Row],[LY-Rollup]])/DaybyDay[[#This Row],[LY-Rollup]]),0),"")</f>
        <v>0</v>
      </c>
      <c r="Z1015"/>
      <c r="AA1015" s="37" t="e">
        <f>IF(DaybyDay[[#This Row],[_Space]],DaybyDay[[#This Row],[Ret-Act-RU]]/DaybyDay[[#This Row],[Serv-Act-RU]],"")</f>
        <v>#DIV/0!</v>
      </c>
      <c r="AB1015" s="50" t="e">
        <f>IF(DaybyDay[[#This Row],[_Space]],DaybyDay[[#This Row],[RETPEN-Act]]/DaybyDay[[#This Row],[RETPEN-Bud]],"")</f>
        <v>#DIV/0!</v>
      </c>
      <c r="AC1015" s="37" t="e">
        <f>IF(DaybyDay[[#This Row],[_Space]],DaybyDay[[#This Row],[Ret-Bud-RU]]/DaybyDay[[#This Row],[Serv-Bud-RU]],"")</f>
        <v>#DIV/0!</v>
      </c>
      <c r="AD1015" s="37" t="e">
        <f>IF(DaybyDay[[#This Row],[_Space]],DaybyDay[[#This Row],[Ret-LY-RU]]/DaybyDay[[#This Row],[Serv-LY-RU]],"")</f>
        <v>#DIV/0!</v>
      </c>
      <c r="AE1015" s="30">
        <f>WEEKDAY(DaybyDay[[#This Row],[LY-Date]])</f>
        <v>1</v>
      </c>
      <c r="AF1015" s="38">
        <f>$E$2+_xlfn.DAYS(DaybyDay[[#This Row],[Date]],minDate)</f>
        <v>43380</v>
      </c>
      <c r="AG1015" s="39" cm="1">
        <f t="array" ref="AG1015">IFERROR(INDEX(DaybyDay[],DaybyDay[[#This Row],[FORM_MATCH_HELPER]],8),"")</f>
        <v>23</v>
      </c>
      <c r="AH1015" s="39" cm="1">
        <f t="array" ref="AH1015">IFERROR(INDEX(DaybyDay[],DaybyDay[[#This Row],[FORM_MATCH_HELPER]],10),"")</f>
        <v>5710.5</v>
      </c>
      <c r="AI1015" s="39" cm="1">
        <f t="array" ref="AI1015">IFERROR(INDEX(DaybyDay[],DaybyDay[[#This Row],[FORM_MATCH_HELPER]],12),"")</f>
        <v>572</v>
      </c>
      <c r="AJ1015" s="32">
        <f>IFERROR(DaybyDay[[#This Row],[Serv-LY-RU]]+DaybyDay[[#This Row],[Ret-LY-RU]],"")</f>
        <v>0</v>
      </c>
      <c r="AK10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5" s="77"/>
      <c r="AM1015" s="40" t="str">
        <f>IF(DaybyDay[[#This Row],[Admin Hours]]&gt;0,DaybyDay[[#This Row],[Admin Hours]]*$AM$2+$AM$3,"")</f>
        <v/>
      </c>
      <c r="AN1015" s="40">
        <f>SUMIFS(DaybyDay[Est-Admin-Payroll],DaybyDay[Date],"&gt;="&amp;$C$5,DaybyDay[RowYear],"&gt;="&amp;$C$4,DaybyDay[Date],"&lt;="&amp;DaybyDay[[#This Row],[Date]])</f>
        <v>0</v>
      </c>
      <c r="AO1015" s="41" t="str">
        <f>IF(AND(DaybyDay[[#This Row],[_Space]],ISNUMBER(DaybyDay[[#This Row],[Admin Hours]])),DaybyDay[[#This Row],[Est-Admin-Payroll]]/(DaybyDay[[#This Row],[Service-Actuals]]+DaybyDay[[#This Row],[Retail-Actuals]]),"")</f>
        <v/>
      </c>
      <c r="AP1015" s="41" t="e">
        <f>DaybyDay[[#This Row],[Estimated-Payroll-Rollup]]/DaybyDay[[#This Row],[Simple-Forecast]]</f>
        <v>#DIV/0!</v>
      </c>
      <c r="AQ10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5" s="77"/>
      <c r="AS1015" s="40" t="str">
        <f>IF(DaybyDay[[#This Row],[Retail Hours]]&gt;0,DaybyDay[[#This Row],[Retail Hours]]*$AS$2,"")</f>
        <v/>
      </c>
      <c r="AT1015" s="40">
        <f>SUMIFS(DaybyDay[Est-Retail-Payroll],DaybyDay[Date],"&gt;="&amp;$C$5,DaybyDay[RowYear],"&gt;="&amp;$C$4,DaybyDay[Date],"&lt;="&amp;DaybyDay[[#This Row],[Date]])</f>
        <v>0</v>
      </c>
      <c r="AU1015" s="82" t="str">
        <f>IF(AND(DaybyDay[[#This Row],[_Space]],ISNUMBER(DaybyDay[[#This Row],[Retail Hours]])),DaybyDay[[#This Row],[Est-Retail-Payroll]]/(DaybyDay[[#This Row],[Retail-Actuals]]),"")</f>
        <v/>
      </c>
      <c r="AV1015" s="82" t="e">
        <f>DaybyDay[[#This Row],[Est-Retail-PayrollRU]]/DaybyDay[[#This Row],[Simple-Forecast-Retail]]</f>
        <v>#DIV/0!</v>
      </c>
      <c r="AW1015" s="8"/>
      <c r="AX1015" s="15"/>
      <c r="AY1015" s="8"/>
    </row>
    <row r="1016" spans="3:51" hidden="1" x14ac:dyDescent="0.25">
      <c r="C1016" s="26" t="str">
        <f>Tools!$C$1</f>
        <v>Example</v>
      </c>
      <c r="D1016" s="27" t="s">
        <v>77</v>
      </c>
      <c r="E1016" s="28">
        <v>2019</v>
      </c>
      <c r="F1016" s="28">
        <f>MATCH(DaybyDay[[#This Row],[RowMonth]],Table3[SummaryMonth],0)</f>
        <v>10</v>
      </c>
      <c r="G1016" s="29">
        <f>MATCH(DaybyDay[[#This Row],[LY-Date]],DaybyDay[Date],0)</f>
        <v>646</v>
      </c>
      <c r="H1016" s="30">
        <f>WEEKDAY(DaybyDay[[#This Row],[Date]])</f>
        <v>2</v>
      </c>
      <c r="I1016" s="31">
        <v>43745</v>
      </c>
      <c r="J1016" s="74">
        <v>11</v>
      </c>
      <c r="K1016" s="32">
        <f>SUMIFS(BudgetSeasonality[365 Seasonality],BudgetSeasonality[MonthAdjustment],DaybyDay[[#This Row],[Date]])*SUMIFS(Budgets[Service-Budget],Budgets[BudgetMonth],DaybyDay[[#This Row],[RowMonth]],Budgets[BudgetYear],DaybyDay[[#This Row],[RowYear]])</f>
        <v>3994.738234948863</v>
      </c>
      <c r="L1016" s="75">
        <v>2256.6</v>
      </c>
      <c r="M1016" s="32">
        <f>INDEX(BudgetSeasonality[365 Seasonality],MATCH(DaybyDay[[#This Row],[Date]],BudgetSeasonality[MonthAdjustment],0))*SUMIFS(Budgets[Retail-Budget],Budgets[BudgetMonth],DaybyDay[[#This Row],[RowMonth]],Budgets[BudgetYear],DaybyDay[[#This Row],[RowYear]])</f>
        <v>1250.7496922637117</v>
      </c>
      <c r="N1016" s="75">
        <v>500.1</v>
      </c>
      <c r="O1016" s="33">
        <f>SUMIFS(DaybyDay[Service-Budgets],DaybyDay[Date],"&gt;="&amp;$C$5,DaybyDay[RowYear],"&gt;="&amp;$C$4,DaybyDay[Date],"&lt;="&amp;DaybyDay[[#This Row],[Date]])</f>
        <v>0</v>
      </c>
      <c r="P1016" s="33">
        <f>SUMIFS(DaybyDay[Retail-Budgets],DaybyDay[Date],"&gt;="&amp;$C$5,DaybyDay[RowYear],"&gt;="&amp;$C$4,DaybyDay[Date],"&lt;="&amp;DaybyDay[[#This Row],[Date]])</f>
        <v>0</v>
      </c>
      <c r="Q1016" s="34">
        <f>SUMIFS(DaybyDay[Service-Actuals],DaybyDay[Date],"&gt;="&amp;$C$5,DaybyDay[RowYear],"&gt;="&amp;$C$4,DaybyDay[Date],"&lt;="&amp;DaybyDay[[#This Row],[Date]])</f>
        <v>0</v>
      </c>
      <c r="R1016" s="34">
        <f>SUMIFS(DaybyDay[Retail-Actuals],DaybyDay[Date],"&gt;="&amp;$C$5,DaybyDay[RowYear],"&gt;="&amp;$C$4,DaybyDay[Date],"&lt;="&amp;DaybyDay[[#This Row],[Date]])</f>
        <v>0</v>
      </c>
      <c r="S1016" s="35">
        <f>SUMIFS(DaybyDay[Service-LY],DaybyDay[Date],"&gt;="&amp;$C$5,DaybyDay[RowYear],"&gt;="&amp;$C$4,DaybyDay[Date],"&lt;="&amp;DaybyDay[[#This Row],[Date]])</f>
        <v>0</v>
      </c>
      <c r="T1016" s="35">
        <f>SUMIFS(DaybyDay[Retail-LY],DaybyDay[Date],"&gt;="&amp;$C$5,DaybyDay[RowYear],"&gt;="&amp;$C$4,DaybyDay[Date],"&lt;="&amp;DaybyDay[[#This Row],[Date]])</f>
        <v>0</v>
      </c>
      <c r="U1016" s="32">
        <f>DaybyDay[[#This Row],[Serv-Bud-RU]]+DaybyDay[[#This Row],[Ret-Bud-RU]]</f>
        <v>0</v>
      </c>
      <c r="V1016" s="32">
        <f>DaybyDay[[#This Row],[Serv-Act-RU]]+DaybyDay[[#This Row],[Ret-Act-RU]]</f>
        <v>0</v>
      </c>
      <c r="W1016" s="36">
        <f>IF(DaybyDay[[#This Row],[_Space]],IFERROR(
((DaybyDay[[#This Row],[Actual-Rollup]]-DaybyDay[[#This Row],[Budget-Rollup]])/DaybyDay[[#This Row],[Budget-Rollup]]),0),"")</f>
        <v>0</v>
      </c>
      <c r="X1016" t="b">
        <f>NOT(AND(ISBLANK(DaybyDay[[#This Row],[Appts]]),ISBLANK(DaybyDay[[#This Row],[Service-Actuals]]),ISBLANK(DaybyDay[[#This Row],[Retail-Actuals]])))</f>
        <v>1</v>
      </c>
      <c r="Y1016" s="36">
        <f>IF(DaybyDay[[#This Row],[_Space]],IFERROR(
((DaybyDay[[#This Row],[Actual-Rollup]]-DaybyDay[[#This Row],[LY-Rollup]])/DaybyDay[[#This Row],[LY-Rollup]]),0),"")</f>
        <v>0</v>
      </c>
      <c r="Z1016"/>
      <c r="AA1016" s="37" t="e">
        <f>IF(DaybyDay[[#This Row],[_Space]],DaybyDay[[#This Row],[Ret-Act-RU]]/DaybyDay[[#This Row],[Serv-Act-RU]],"")</f>
        <v>#DIV/0!</v>
      </c>
      <c r="AB1016" s="50" t="e">
        <f>IF(DaybyDay[[#This Row],[_Space]],DaybyDay[[#This Row],[RETPEN-Act]]/DaybyDay[[#This Row],[RETPEN-Bud]],"")</f>
        <v>#DIV/0!</v>
      </c>
      <c r="AC1016" s="37" t="e">
        <f>IF(DaybyDay[[#This Row],[_Space]],DaybyDay[[#This Row],[Ret-Bud-RU]]/DaybyDay[[#This Row],[Serv-Bud-RU]],"")</f>
        <v>#DIV/0!</v>
      </c>
      <c r="AD1016" s="37" t="e">
        <f>IF(DaybyDay[[#This Row],[_Space]],DaybyDay[[#This Row],[Ret-LY-RU]]/DaybyDay[[#This Row],[Serv-LY-RU]],"")</f>
        <v>#DIV/0!</v>
      </c>
      <c r="AE1016" s="30">
        <f>WEEKDAY(DaybyDay[[#This Row],[LY-Date]])</f>
        <v>2</v>
      </c>
      <c r="AF1016" s="38">
        <f>$E$2+_xlfn.DAYS(DaybyDay[[#This Row],[Date]],minDate)</f>
        <v>43381</v>
      </c>
      <c r="AG1016" s="39" cm="1">
        <f t="array" ref="AG1016">IFERROR(INDEX(DaybyDay[],DaybyDay[[#This Row],[FORM_MATCH_HELPER]],8),"")</f>
        <v>11</v>
      </c>
      <c r="AH1016" s="39" cm="1">
        <f t="array" ref="AH1016">IFERROR(INDEX(DaybyDay[],DaybyDay[[#This Row],[FORM_MATCH_HELPER]],10),"")</f>
        <v>3518</v>
      </c>
      <c r="AI1016" s="39" cm="1">
        <f t="array" ref="AI1016">IFERROR(INDEX(DaybyDay[],DaybyDay[[#This Row],[FORM_MATCH_HELPER]],12),"")</f>
        <v>573</v>
      </c>
      <c r="AJ1016" s="32">
        <f>IFERROR(DaybyDay[[#This Row],[Serv-LY-RU]]+DaybyDay[[#This Row],[Ret-LY-RU]],"")</f>
        <v>0</v>
      </c>
      <c r="AK10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6" s="77"/>
      <c r="AM1016" s="40" t="str">
        <f>IF(DaybyDay[[#This Row],[Admin Hours]]&gt;0,DaybyDay[[#This Row],[Admin Hours]]*$AM$2+$AM$3,"")</f>
        <v/>
      </c>
      <c r="AN1016" s="40">
        <f>SUMIFS(DaybyDay[Est-Admin-Payroll],DaybyDay[Date],"&gt;="&amp;$C$5,DaybyDay[RowYear],"&gt;="&amp;$C$4,DaybyDay[Date],"&lt;="&amp;DaybyDay[[#This Row],[Date]])</f>
        <v>0</v>
      </c>
      <c r="AO1016" s="41" t="str">
        <f>IF(AND(DaybyDay[[#This Row],[_Space]],ISNUMBER(DaybyDay[[#This Row],[Admin Hours]])),DaybyDay[[#This Row],[Est-Admin-Payroll]]/(DaybyDay[[#This Row],[Service-Actuals]]+DaybyDay[[#This Row],[Retail-Actuals]]),"")</f>
        <v/>
      </c>
      <c r="AP1016" s="41" t="e">
        <f>DaybyDay[[#This Row],[Estimated-Payroll-Rollup]]/DaybyDay[[#This Row],[Simple-Forecast]]</f>
        <v>#DIV/0!</v>
      </c>
      <c r="AQ10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6" s="77"/>
      <c r="AS1016" s="40" t="str">
        <f>IF(DaybyDay[[#This Row],[Retail Hours]]&gt;0,DaybyDay[[#This Row],[Retail Hours]]*$AS$2,"")</f>
        <v/>
      </c>
      <c r="AT1016" s="40">
        <f>SUMIFS(DaybyDay[Est-Retail-Payroll],DaybyDay[Date],"&gt;="&amp;$C$5,DaybyDay[RowYear],"&gt;="&amp;$C$4,DaybyDay[Date],"&lt;="&amp;DaybyDay[[#This Row],[Date]])</f>
        <v>0</v>
      </c>
      <c r="AU1016" s="82" t="str">
        <f>IF(AND(DaybyDay[[#This Row],[_Space]],ISNUMBER(DaybyDay[[#This Row],[Retail Hours]])),DaybyDay[[#This Row],[Est-Retail-Payroll]]/(DaybyDay[[#This Row],[Retail-Actuals]]),"")</f>
        <v/>
      </c>
      <c r="AV1016" s="82" t="e">
        <f>DaybyDay[[#This Row],[Est-Retail-PayrollRU]]/DaybyDay[[#This Row],[Simple-Forecast-Retail]]</f>
        <v>#DIV/0!</v>
      </c>
      <c r="AW1016" s="8"/>
      <c r="AX1016" s="15"/>
      <c r="AY1016" s="8"/>
    </row>
    <row r="1017" spans="3:51" hidden="1" x14ac:dyDescent="0.25">
      <c r="C1017" s="26" t="str">
        <f>Tools!$C$1</f>
        <v>Example</v>
      </c>
      <c r="D1017" s="27" t="s">
        <v>77</v>
      </c>
      <c r="E1017" s="28">
        <v>2019</v>
      </c>
      <c r="F1017" s="28">
        <f>MATCH(DaybyDay[[#This Row],[RowMonth]],Table3[SummaryMonth],0)</f>
        <v>10</v>
      </c>
      <c r="G1017" s="29">
        <f>MATCH(DaybyDay[[#This Row],[LY-Date]],DaybyDay[Date],0)</f>
        <v>647</v>
      </c>
      <c r="H1017" s="30">
        <f>WEEKDAY(DaybyDay[[#This Row],[Date]])</f>
        <v>3</v>
      </c>
      <c r="I1017" s="31">
        <v>43746</v>
      </c>
      <c r="J1017" s="74">
        <v>14</v>
      </c>
      <c r="K1017" s="32">
        <f>SUMIFS(BudgetSeasonality[365 Seasonality],BudgetSeasonality[MonthAdjustment],DaybyDay[[#This Row],[Date]])*SUMIFS(Budgets[Service-Budget],Budgets[BudgetMonth],DaybyDay[[#This Row],[RowMonth]],Budgets[BudgetYear],DaybyDay[[#This Row],[RowYear]])</f>
        <v>4188.8667464723794</v>
      </c>
      <c r="L1017" s="75">
        <v>3660.95</v>
      </c>
      <c r="M1017" s="32">
        <f>INDEX(BudgetSeasonality[365 Seasonality],MATCH(DaybyDay[[#This Row],[Date]],BudgetSeasonality[MonthAdjustment],0))*SUMIFS(Budgets[Retail-Budget],Budgets[BudgetMonth],DaybyDay[[#This Row],[RowMonth]],Budgets[BudgetYear],DaybyDay[[#This Row],[RowYear]])</f>
        <v>1311.5311907667692</v>
      </c>
      <c r="N1017" s="75">
        <v>667.5</v>
      </c>
      <c r="O1017" s="33">
        <f>SUMIFS(DaybyDay[Service-Budgets],DaybyDay[Date],"&gt;="&amp;$C$5,DaybyDay[RowYear],"&gt;="&amp;$C$4,DaybyDay[Date],"&lt;="&amp;DaybyDay[[#This Row],[Date]])</f>
        <v>0</v>
      </c>
      <c r="P1017" s="33">
        <f>SUMIFS(DaybyDay[Retail-Budgets],DaybyDay[Date],"&gt;="&amp;$C$5,DaybyDay[RowYear],"&gt;="&amp;$C$4,DaybyDay[Date],"&lt;="&amp;DaybyDay[[#This Row],[Date]])</f>
        <v>0</v>
      </c>
      <c r="Q1017" s="34">
        <f>SUMIFS(DaybyDay[Service-Actuals],DaybyDay[Date],"&gt;="&amp;$C$5,DaybyDay[RowYear],"&gt;="&amp;$C$4,DaybyDay[Date],"&lt;="&amp;DaybyDay[[#This Row],[Date]])</f>
        <v>0</v>
      </c>
      <c r="R1017" s="34">
        <f>SUMIFS(DaybyDay[Retail-Actuals],DaybyDay[Date],"&gt;="&amp;$C$5,DaybyDay[RowYear],"&gt;="&amp;$C$4,DaybyDay[Date],"&lt;="&amp;DaybyDay[[#This Row],[Date]])</f>
        <v>0</v>
      </c>
      <c r="S1017" s="35">
        <f>SUMIFS(DaybyDay[Service-LY],DaybyDay[Date],"&gt;="&amp;$C$5,DaybyDay[RowYear],"&gt;="&amp;$C$4,DaybyDay[Date],"&lt;="&amp;DaybyDay[[#This Row],[Date]])</f>
        <v>0</v>
      </c>
      <c r="T1017" s="35">
        <f>SUMIFS(DaybyDay[Retail-LY],DaybyDay[Date],"&gt;="&amp;$C$5,DaybyDay[RowYear],"&gt;="&amp;$C$4,DaybyDay[Date],"&lt;="&amp;DaybyDay[[#This Row],[Date]])</f>
        <v>0</v>
      </c>
      <c r="U1017" s="32">
        <f>DaybyDay[[#This Row],[Serv-Bud-RU]]+DaybyDay[[#This Row],[Ret-Bud-RU]]</f>
        <v>0</v>
      </c>
      <c r="V1017" s="32">
        <f>DaybyDay[[#This Row],[Serv-Act-RU]]+DaybyDay[[#This Row],[Ret-Act-RU]]</f>
        <v>0</v>
      </c>
      <c r="W1017" s="36">
        <f>IF(DaybyDay[[#This Row],[_Space]],IFERROR(
((DaybyDay[[#This Row],[Actual-Rollup]]-DaybyDay[[#This Row],[Budget-Rollup]])/DaybyDay[[#This Row],[Budget-Rollup]]),0),"")</f>
        <v>0</v>
      </c>
      <c r="X1017" t="b">
        <f>NOT(AND(ISBLANK(DaybyDay[[#This Row],[Appts]]),ISBLANK(DaybyDay[[#This Row],[Service-Actuals]]),ISBLANK(DaybyDay[[#This Row],[Retail-Actuals]])))</f>
        <v>1</v>
      </c>
      <c r="Y1017" s="36">
        <f>IF(DaybyDay[[#This Row],[_Space]],IFERROR(
((DaybyDay[[#This Row],[Actual-Rollup]]-DaybyDay[[#This Row],[LY-Rollup]])/DaybyDay[[#This Row],[LY-Rollup]]),0),"")</f>
        <v>0</v>
      </c>
      <c r="Z1017"/>
      <c r="AA1017" s="37" t="e">
        <f>IF(DaybyDay[[#This Row],[_Space]],DaybyDay[[#This Row],[Ret-Act-RU]]/DaybyDay[[#This Row],[Serv-Act-RU]],"")</f>
        <v>#DIV/0!</v>
      </c>
      <c r="AB1017" s="50" t="e">
        <f>IF(DaybyDay[[#This Row],[_Space]],DaybyDay[[#This Row],[RETPEN-Act]]/DaybyDay[[#This Row],[RETPEN-Bud]],"")</f>
        <v>#DIV/0!</v>
      </c>
      <c r="AC1017" s="37" t="e">
        <f>IF(DaybyDay[[#This Row],[_Space]],DaybyDay[[#This Row],[Ret-Bud-RU]]/DaybyDay[[#This Row],[Serv-Bud-RU]],"")</f>
        <v>#DIV/0!</v>
      </c>
      <c r="AD1017" s="37" t="e">
        <f>IF(DaybyDay[[#This Row],[_Space]],DaybyDay[[#This Row],[Ret-LY-RU]]/DaybyDay[[#This Row],[Serv-LY-RU]],"")</f>
        <v>#DIV/0!</v>
      </c>
      <c r="AE1017" s="30">
        <f>WEEKDAY(DaybyDay[[#This Row],[LY-Date]])</f>
        <v>3</v>
      </c>
      <c r="AF1017" s="38">
        <f>$E$2+_xlfn.DAYS(DaybyDay[[#This Row],[Date]],minDate)</f>
        <v>43382</v>
      </c>
      <c r="AG1017" s="39" cm="1">
        <f t="array" ref="AG1017">IFERROR(INDEX(DaybyDay[],DaybyDay[[#This Row],[FORM_MATCH_HELPER]],8),"")</f>
        <v>12</v>
      </c>
      <c r="AH1017" s="39" cm="1">
        <f t="array" ref="AH1017">IFERROR(INDEX(DaybyDay[],DaybyDay[[#This Row],[FORM_MATCH_HELPER]],10),"")</f>
        <v>3265</v>
      </c>
      <c r="AI1017" s="39" cm="1">
        <f t="array" ref="AI1017">IFERROR(INDEX(DaybyDay[],DaybyDay[[#This Row],[FORM_MATCH_HELPER]],12),"")</f>
        <v>165.8</v>
      </c>
      <c r="AJ1017" s="32">
        <f>IFERROR(DaybyDay[[#This Row],[Serv-LY-RU]]+DaybyDay[[#This Row],[Ret-LY-RU]],"")</f>
        <v>0</v>
      </c>
      <c r="AK10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7" s="77"/>
      <c r="AM1017" s="40" t="str">
        <f>IF(DaybyDay[[#This Row],[Admin Hours]]&gt;0,DaybyDay[[#This Row],[Admin Hours]]*$AM$2+$AM$3,"")</f>
        <v/>
      </c>
      <c r="AN1017" s="40">
        <f>SUMIFS(DaybyDay[Est-Admin-Payroll],DaybyDay[Date],"&gt;="&amp;$C$5,DaybyDay[RowYear],"&gt;="&amp;$C$4,DaybyDay[Date],"&lt;="&amp;DaybyDay[[#This Row],[Date]])</f>
        <v>0</v>
      </c>
      <c r="AO1017" s="41" t="str">
        <f>IF(AND(DaybyDay[[#This Row],[_Space]],ISNUMBER(DaybyDay[[#This Row],[Admin Hours]])),DaybyDay[[#This Row],[Est-Admin-Payroll]]/(DaybyDay[[#This Row],[Service-Actuals]]+DaybyDay[[#This Row],[Retail-Actuals]]),"")</f>
        <v/>
      </c>
      <c r="AP1017" s="41" t="e">
        <f>DaybyDay[[#This Row],[Estimated-Payroll-Rollup]]/DaybyDay[[#This Row],[Simple-Forecast]]</f>
        <v>#DIV/0!</v>
      </c>
      <c r="AQ10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7" s="77"/>
      <c r="AS1017" s="40" t="str">
        <f>IF(DaybyDay[[#This Row],[Retail Hours]]&gt;0,DaybyDay[[#This Row],[Retail Hours]]*$AS$2,"")</f>
        <v/>
      </c>
      <c r="AT1017" s="40">
        <f>SUMIFS(DaybyDay[Est-Retail-Payroll],DaybyDay[Date],"&gt;="&amp;$C$5,DaybyDay[RowYear],"&gt;="&amp;$C$4,DaybyDay[Date],"&lt;="&amp;DaybyDay[[#This Row],[Date]])</f>
        <v>0</v>
      </c>
      <c r="AU1017" s="82" t="str">
        <f>IF(AND(DaybyDay[[#This Row],[_Space]],ISNUMBER(DaybyDay[[#This Row],[Retail Hours]])),DaybyDay[[#This Row],[Est-Retail-Payroll]]/(DaybyDay[[#This Row],[Retail-Actuals]]),"")</f>
        <v/>
      </c>
      <c r="AV1017" s="82" t="e">
        <f>DaybyDay[[#This Row],[Est-Retail-PayrollRU]]/DaybyDay[[#This Row],[Simple-Forecast-Retail]]</f>
        <v>#DIV/0!</v>
      </c>
      <c r="AW1017" s="8"/>
      <c r="AX1017" s="15"/>
      <c r="AY1017" s="8"/>
    </row>
    <row r="1018" spans="3:51" hidden="1" x14ac:dyDescent="0.25">
      <c r="C1018" s="26" t="str">
        <f>Tools!$C$1</f>
        <v>Example</v>
      </c>
      <c r="D1018" s="27" t="s">
        <v>77</v>
      </c>
      <c r="E1018" s="28">
        <v>2019</v>
      </c>
      <c r="F1018" s="28">
        <f>MATCH(DaybyDay[[#This Row],[RowMonth]],Table3[SummaryMonth],0)</f>
        <v>10</v>
      </c>
      <c r="G1018" s="29">
        <f>MATCH(DaybyDay[[#This Row],[LY-Date]],DaybyDay[Date],0)</f>
        <v>648</v>
      </c>
      <c r="H1018" s="30">
        <f>WEEKDAY(DaybyDay[[#This Row],[Date]])</f>
        <v>4</v>
      </c>
      <c r="I1018" s="31">
        <v>43747</v>
      </c>
      <c r="J1018" s="74">
        <v>18</v>
      </c>
      <c r="K1018" s="32">
        <f>SUMIFS(BudgetSeasonality[365 Seasonality],BudgetSeasonality[MonthAdjustment],DaybyDay[[#This Row],[Date]])*SUMIFS(Budgets[Service-Budget],Budgets[BudgetMonth],DaybyDay[[#This Row],[RowMonth]],Budgets[BudgetYear],DaybyDay[[#This Row],[RowYear]])</f>
        <v>4904.874076346905</v>
      </c>
      <c r="L1018" s="75">
        <v>4320.2</v>
      </c>
      <c r="M1018" s="32">
        <f>INDEX(BudgetSeasonality[365 Seasonality],MATCH(DaybyDay[[#This Row],[Date]],BudgetSeasonality[MonthAdjustment],0))*SUMIFS(Budgets[Retail-Budget],Budgets[BudgetMonth],DaybyDay[[#This Row],[RowMonth]],Budgets[BudgetYear],DaybyDay[[#This Row],[RowYear]])</f>
        <v>1535.7125750848304</v>
      </c>
      <c r="N1018" s="75">
        <v>84.75</v>
      </c>
      <c r="O1018" s="33">
        <f>SUMIFS(DaybyDay[Service-Budgets],DaybyDay[Date],"&gt;="&amp;$C$5,DaybyDay[RowYear],"&gt;="&amp;$C$4,DaybyDay[Date],"&lt;="&amp;DaybyDay[[#This Row],[Date]])</f>
        <v>0</v>
      </c>
      <c r="P1018" s="33">
        <f>SUMIFS(DaybyDay[Retail-Budgets],DaybyDay[Date],"&gt;="&amp;$C$5,DaybyDay[RowYear],"&gt;="&amp;$C$4,DaybyDay[Date],"&lt;="&amp;DaybyDay[[#This Row],[Date]])</f>
        <v>0</v>
      </c>
      <c r="Q1018" s="34">
        <f>SUMIFS(DaybyDay[Service-Actuals],DaybyDay[Date],"&gt;="&amp;$C$5,DaybyDay[RowYear],"&gt;="&amp;$C$4,DaybyDay[Date],"&lt;="&amp;DaybyDay[[#This Row],[Date]])</f>
        <v>0</v>
      </c>
      <c r="R1018" s="34">
        <f>SUMIFS(DaybyDay[Retail-Actuals],DaybyDay[Date],"&gt;="&amp;$C$5,DaybyDay[RowYear],"&gt;="&amp;$C$4,DaybyDay[Date],"&lt;="&amp;DaybyDay[[#This Row],[Date]])</f>
        <v>0</v>
      </c>
      <c r="S1018" s="35">
        <f>SUMIFS(DaybyDay[Service-LY],DaybyDay[Date],"&gt;="&amp;$C$5,DaybyDay[RowYear],"&gt;="&amp;$C$4,DaybyDay[Date],"&lt;="&amp;DaybyDay[[#This Row],[Date]])</f>
        <v>0</v>
      </c>
      <c r="T1018" s="35">
        <f>SUMIFS(DaybyDay[Retail-LY],DaybyDay[Date],"&gt;="&amp;$C$5,DaybyDay[RowYear],"&gt;="&amp;$C$4,DaybyDay[Date],"&lt;="&amp;DaybyDay[[#This Row],[Date]])</f>
        <v>0</v>
      </c>
      <c r="U1018" s="32">
        <f>DaybyDay[[#This Row],[Serv-Bud-RU]]+DaybyDay[[#This Row],[Ret-Bud-RU]]</f>
        <v>0</v>
      </c>
      <c r="V1018" s="32">
        <f>DaybyDay[[#This Row],[Serv-Act-RU]]+DaybyDay[[#This Row],[Ret-Act-RU]]</f>
        <v>0</v>
      </c>
      <c r="W1018" s="36">
        <f>IF(DaybyDay[[#This Row],[_Space]],IFERROR(
((DaybyDay[[#This Row],[Actual-Rollup]]-DaybyDay[[#This Row],[Budget-Rollup]])/DaybyDay[[#This Row],[Budget-Rollup]]),0),"")</f>
        <v>0</v>
      </c>
      <c r="X1018" t="b">
        <f>NOT(AND(ISBLANK(DaybyDay[[#This Row],[Appts]]),ISBLANK(DaybyDay[[#This Row],[Service-Actuals]]),ISBLANK(DaybyDay[[#This Row],[Retail-Actuals]])))</f>
        <v>1</v>
      </c>
      <c r="Y1018" s="36">
        <f>IF(DaybyDay[[#This Row],[_Space]],IFERROR(
((DaybyDay[[#This Row],[Actual-Rollup]]-DaybyDay[[#This Row],[LY-Rollup]])/DaybyDay[[#This Row],[LY-Rollup]]),0),"")</f>
        <v>0</v>
      </c>
      <c r="Z1018"/>
      <c r="AA1018" s="37" t="e">
        <f>IF(DaybyDay[[#This Row],[_Space]],DaybyDay[[#This Row],[Ret-Act-RU]]/DaybyDay[[#This Row],[Serv-Act-RU]],"")</f>
        <v>#DIV/0!</v>
      </c>
      <c r="AB1018" s="50" t="e">
        <f>IF(DaybyDay[[#This Row],[_Space]],DaybyDay[[#This Row],[RETPEN-Act]]/DaybyDay[[#This Row],[RETPEN-Bud]],"")</f>
        <v>#DIV/0!</v>
      </c>
      <c r="AC1018" s="37" t="e">
        <f>IF(DaybyDay[[#This Row],[_Space]],DaybyDay[[#This Row],[Ret-Bud-RU]]/DaybyDay[[#This Row],[Serv-Bud-RU]],"")</f>
        <v>#DIV/0!</v>
      </c>
      <c r="AD1018" s="37" t="e">
        <f>IF(DaybyDay[[#This Row],[_Space]],DaybyDay[[#This Row],[Ret-LY-RU]]/DaybyDay[[#This Row],[Serv-LY-RU]],"")</f>
        <v>#DIV/0!</v>
      </c>
      <c r="AE1018" s="30">
        <f>WEEKDAY(DaybyDay[[#This Row],[LY-Date]])</f>
        <v>4</v>
      </c>
      <c r="AF1018" s="38">
        <f>$E$2+_xlfn.DAYS(DaybyDay[[#This Row],[Date]],minDate)</f>
        <v>43383</v>
      </c>
      <c r="AG1018" s="39" cm="1">
        <f t="array" ref="AG1018">IFERROR(INDEX(DaybyDay[],DaybyDay[[#This Row],[FORM_MATCH_HELPER]],8),"")</f>
        <v>15</v>
      </c>
      <c r="AH1018" s="39" cm="1">
        <f t="array" ref="AH1018">IFERROR(INDEX(DaybyDay[],DaybyDay[[#This Row],[FORM_MATCH_HELPER]],10),"")</f>
        <v>4327.8500000000004</v>
      </c>
      <c r="AI1018" s="39" cm="1">
        <f t="array" ref="AI1018">IFERROR(INDEX(DaybyDay[],DaybyDay[[#This Row],[FORM_MATCH_HELPER]],12),"")</f>
        <v>661</v>
      </c>
      <c r="AJ1018" s="32">
        <f>IFERROR(DaybyDay[[#This Row],[Serv-LY-RU]]+DaybyDay[[#This Row],[Ret-LY-RU]],"")</f>
        <v>0</v>
      </c>
      <c r="AK10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8" s="77"/>
      <c r="AM1018" s="40" t="str">
        <f>IF(DaybyDay[[#This Row],[Admin Hours]]&gt;0,DaybyDay[[#This Row],[Admin Hours]]*$AM$2+$AM$3,"")</f>
        <v/>
      </c>
      <c r="AN1018" s="40">
        <f>SUMIFS(DaybyDay[Est-Admin-Payroll],DaybyDay[Date],"&gt;="&amp;$C$5,DaybyDay[RowYear],"&gt;="&amp;$C$4,DaybyDay[Date],"&lt;="&amp;DaybyDay[[#This Row],[Date]])</f>
        <v>0</v>
      </c>
      <c r="AO1018" s="41" t="str">
        <f>IF(AND(DaybyDay[[#This Row],[_Space]],ISNUMBER(DaybyDay[[#This Row],[Admin Hours]])),DaybyDay[[#This Row],[Est-Admin-Payroll]]/(DaybyDay[[#This Row],[Service-Actuals]]+DaybyDay[[#This Row],[Retail-Actuals]]),"")</f>
        <v/>
      </c>
      <c r="AP1018" s="41" t="e">
        <f>DaybyDay[[#This Row],[Estimated-Payroll-Rollup]]/DaybyDay[[#This Row],[Simple-Forecast]]</f>
        <v>#DIV/0!</v>
      </c>
      <c r="AQ10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8" s="77"/>
      <c r="AS1018" s="40" t="str">
        <f>IF(DaybyDay[[#This Row],[Retail Hours]]&gt;0,DaybyDay[[#This Row],[Retail Hours]]*$AS$2,"")</f>
        <v/>
      </c>
      <c r="AT1018" s="40">
        <f>SUMIFS(DaybyDay[Est-Retail-Payroll],DaybyDay[Date],"&gt;="&amp;$C$5,DaybyDay[RowYear],"&gt;="&amp;$C$4,DaybyDay[Date],"&lt;="&amp;DaybyDay[[#This Row],[Date]])</f>
        <v>0</v>
      </c>
      <c r="AU1018" s="82" t="str">
        <f>IF(AND(DaybyDay[[#This Row],[_Space]],ISNUMBER(DaybyDay[[#This Row],[Retail Hours]])),DaybyDay[[#This Row],[Est-Retail-Payroll]]/(DaybyDay[[#This Row],[Retail-Actuals]]),"")</f>
        <v/>
      </c>
      <c r="AV1018" s="82" t="e">
        <f>DaybyDay[[#This Row],[Est-Retail-PayrollRU]]/DaybyDay[[#This Row],[Simple-Forecast-Retail]]</f>
        <v>#DIV/0!</v>
      </c>
      <c r="AW1018" s="8"/>
      <c r="AX1018" s="15"/>
      <c r="AY1018" s="8"/>
    </row>
    <row r="1019" spans="3:51" hidden="1" x14ac:dyDescent="0.25">
      <c r="C1019" s="26" t="str">
        <f>Tools!$C$1</f>
        <v>Example</v>
      </c>
      <c r="D1019" s="27" t="s">
        <v>77</v>
      </c>
      <c r="E1019" s="28">
        <v>2019</v>
      </c>
      <c r="F1019" s="28">
        <f>MATCH(DaybyDay[[#This Row],[RowMonth]],Table3[SummaryMonth],0)</f>
        <v>10</v>
      </c>
      <c r="G1019" s="29">
        <f>MATCH(DaybyDay[[#This Row],[LY-Date]],DaybyDay[Date],0)</f>
        <v>649</v>
      </c>
      <c r="H1019" s="30">
        <f>WEEKDAY(DaybyDay[[#This Row],[Date]])</f>
        <v>5</v>
      </c>
      <c r="I1019" s="31">
        <v>43748</v>
      </c>
      <c r="J1019" s="74">
        <v>14</v>
      </c>
      <c r="K1019" s="32">
        <f>SUMIFS(BudgetSeasonality[365 Seasonality],BudgetSeasonality[MonthAdjustment],DaybyDay[[#This Row],[Date]])*SUMIFS(Budgets[Service-Budget],Budgets[BudgetMonth],DaybyDay[[#This Row],[RowMonth]],Budgets[BudgetYear],DaybyDay[[#This Row],[RowYear]])</f>
        <v>5085.1345271554183</v>
      </c>
      <c r="L1019" s="75">
        <v>3114.2</v>
      </c>
      <c r="M1019" s="32">
        <f>INDEX(BudgetSeasonality[365 Seasonality],MATCH(DaybyDay[[#This Row],[Date]],BudgetSeasonality[MonthAdjustment],0))*SUMIFS(Budgets[Retail-Budget],Budgets[BudgetMonth],DaybyDay[[#This Row],[RowMonth]],Budgets[BudgetYear],DaybyDay[[#This Row],[RowYear]])</f>
        <v>1592.1519936688999</v>
      </c>
      <c r="N1019" s="75">
        <v>498</v>
      </c>
      <c r="O1019" s="33">
        <f>SUMIFS(DaybyDay[Service-Budgets],DaybyDay[Date],"&gt;="&amp;$C$5,DaybyDay[RowYear],"&gt;="&amp;$C$4,DaybyDay[Date],"&lt;="&amp;DaybyDay[[#This Row],[Date]])</f>
        <v>0</v>
      </c>
      <c r="P1019" s="33">
        <f>SUMIFS(DaybyDay[Retail-Budgets],DaybyDay[Date],"&gt;="&amp;$C$5,DaybyDay[RowYear],"&gt;="&amp;$C$4,DaybyDay[Date],"&lt;="&amp;DaybyDay[[#This Row],[Date]])</f>
        <v>0</v>
      </c>
      <c r="Q1019" s="34">
        <f>SUMIFS(DaybyDay[Service-Actuals],DaybyDay[Date],"&gt;="&amp;$C$5,DaybyDay[RowYear],"&gt;="&amp;$C$4,DaybyDay[Date],"&lt;="&amp;DaybyDay[[#This Row],[Date]])</f>
        <v>0</v>
      </c>
      <c r="R1019" s="34">
        <f>SUMIFS(DaybyDay[Retail-Actuals],DaybyDay[Date],"&gt;="&amp;$C$5,DaybyDay[RowYear],"&gt;="&amp;$C$4,DaybyDay[Date],"&lt;="&amp;DaybyDay[[#This Row],[Date]])</f>
        <v>0</v>
      </c>
      <c r="S1019" s="35">
        <f>SUMIFS(DaybyDay[Service-LY],DaybyDay[Date],"&gt;="&amp;$C$5,DaybyDay[RowYear],"&gt;="&amp;$C$4,DaybyDay[Date],"&lt;="&amp;DaybyDay[[#This Row],[Date]])</f>
        <v>0</v>
      </c>
      <c r="T1019" s="35">
        <f>SUMIFS(DaybyDay[Retail-LY],DaybyDay[Date],"&gt;="&amp;$C$5,DaybyDay[RowYear],"&gt;="&amp;$C$4,DaybyDay[Date],"&lt;="&amp;DaybyDay[[#This Row],[Date]])</f>
        <v>0</v>
      </c>
      <c r="U1019" s="32">
        <f>DaybyDay[[#This Row],[Serv-Bud-RU]]+DaybyDay[[#This Row],[Ret-Bud-RU]]</f>
        <v>0</v>
      </c>
      <c r="V1019" s="32">
        <f>DaybyDay[[#This Row],[Serv-Act-RU]]+DaybyDay[[#This Row],[Ret-Act-RU]]</f>
        <v>0</v>
      </c>
      <c r="W1019" s="36">
        <f>IF(DaybyDay[[#This Row],[_Space]],IFERROR(
((DaybyDay[[#This Row],[Actual-Rollup]]-DaybyDay[[#This Row],[Budget-Rollup]])/DaybyDay[[#This Row],[Budget-Rollup]]),0),"")</f>
        <v>0</v>
      </c>
      <c r="X1019" t="b">
        <f>NOT(AND(ISBLANK(DaybyDay[[#This Row],[Appts]]),ISBLANK(DaybyDay[[#This Row],[Service-Actuals]]),ISBLANK(DaybyDay[[#This Row],[Retail-Actuals]])))</f>
        <v>1</v>
      </c>
      <c r="Y1019" s="36">
        <f>IF(DaybyDay[[#This Row],[_Space]],IFERROR(
((DaybyDay[[#This Row],[Actual-Rollup]]-DaybyDay[[#This Row],[LY-Rollup]])/DaybyDay[[#This Row],[LY-Rollup]]),0),"")</f>
        <v>0</v>
      </c>
      <c r="Z1019"/>
      <c r="AA1019" s="37" t="e">
        <f>IF(DaybyDay[[#This Row],[_Space]],DaybyDay[[#This Row],[Ret-Act-RU]]/DaybyDay[[#This Row],[Serv-Act-RU]],"")</f>
        <v>#DIV/0!</v>
      </c>
      <c r="AB1019" s="50" t="e">
        <f>IF(DaybyDay[[#This Row],[_Space]],DaybyDay[[#This Row],[RETPEN-Act]]/DaybyDay[[#This Row],[RETPEN-Bud]],"")</f>
        <v>#DIV/0!</v>
      </c>
      <c r="AC1019" s="37" t="e">
        <f>IF(DaybyDay[[#This Row],[_Space]],DaybyDay[[#This Row],[Ret-Bud-RU]]/DaybyDay[[#This Row],[Serv-Bud-RU]],"")</f>
        <v>#DIV/0!</v>
      </c>
      <c r="AD1019" s="37" t="e">
        <f>IF(DaybyDay[[#This Row],[_Space]],DaybyDay[[#This Row],[Ret-LY-RU]]/DaybyDay[[#This Row],[Serv-LY-RU]],"")</f>
        <v>#DIV/0!</v>
      </c>
      <c r="AE1019" s="30">
        <f>WEEKDAY(DaybyDay[[#This Row],[LY-Date]])</f>
        <v>5</v>
      </c>
      <c r="AF1019" s="38">
        <f>$E$2+_xlfn.DAYS(DaybyDay[[#This Row],[Date]],minDate)</f>
        <v>43384</v>
      </c>
      <c r="AG1019" s="39" cm="1">
        <f t="array" ref="AG1019">IFERROR(INDEX(DaybyDay[],DaybyDay[[#This Row],[FORM_MATCH_HELPER]],8),"")</f>
        <v>16</v>
      </c>
      <c r="AH1019" s="39" cm="1">
        <f t="array" ref="AH1019">IFERROR(INDEX(DaybyDay[],DaybyDay[[#This Row],[FORM_MATCH_HELPER]],10),"")</f>
        <v>3884</v>
      </c>
      <c r="AI1019" s="39" cm="1">
        <f t="array" ref="AI1019">IFERROR(INDEX(DaybyDay[],DaybyDay[[#This Row],[FORM_MATCH_HELPER]],12),"")</f>
        <v>5235</v>
      </c>
      <c r="AJ1019" s="32">
        <f>IFERROR(DaybyDay[[#This Row],[Serv-LY-RU]]+DaybyDay[[#This Row],[Ret-LY-RU]],"")</f>
        <v>0</v>
      </c>
      <c r="AK10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19" s="77"/>
      <c r="AM1019" s="40" t="str">
        <f>IF(DaybyDay[[#This Row],[Admin Hours]]&gt;0,DaybyDay[[#This Row],[Admin Hours]]*$AM$2+$AM$3,"")</f>
        <v/>
      </c>
      <c r="AN1019" s="40">
        <f>SUMIFS(DaybyDay[Est-Admin-Payroll],DaybyDay[Date],"&gt;="&amp;$C$5,DaybyDay[RowYear],"&gt;="&amp;$C$4,DaybyDay[Date],"&lt;="&amp;DaybyDay[[#This Row],[Date]])</f>
        <v>0</v>
      </c>
      <c r="AO1019" s="41" t="str">
        <f>IF(AND(DaybyDay[[#This Row],[_Space]],ISNUMBER(DaybyDay[[#This Row],[Admin Hours]])),DaybyDay[[#This Row],[Est-Admin-Payroll]]/(DaybyDay[[#This Row],[Service-Actuals]]+DaybyDay[[#This Row],[Retail-Actuals]]),"")</f>
        <v/>
      </c>
      <c r="AP1019" s="41" t="e">
        <f>DaybyDay[[#This Row],[Estimated-Payroll-Rollup]]/DaybyDay[[#This Row],[Simple-Forecast]]</f>
        <v>#DIV/0!</v>
      </c>
      <c r="AQ10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19" s="77"/>
      <c r="AS1019" s="40" t="str">
        <f>IF(DaybyDay[[#This Row],[Retail Hours]]&gt;0,DaybyDay[[#This Row],[Retail Hours]]*$AS$2,"")</f>
        <v/>
      </c>
      <c r="AT1019" s="40">
        <f>SUMIFS(DaybyDay[Est-Retail-Payroll],DaybyDay[Date],"&gt;="&amp;$C$5,DaybyDay[RowYear],"&gt;="&amp;$C$4,DaybyDay[Date],"&lt;="&amp;DaybyDay[[#This Row],[Date]])</f>
        <v>0</v>
      </c>
      <c r="AU1019" s="82" t="str">
        <f>IF(AND(DaybyDay[[#This Row],[_Space]],ISNUMBER(DaybyDay[[#This Row],[Retail Hours]])),DaybyDay[[#This Row],[Est-Retail-Payroll]]/(DaybyDay[[#This Row],[Retail-Actuals]]),"")</f>
        <v/>
      </c>
      <c r="AV1019" s="82" t="e">
        <f>DaybyDay[[#This Row],[Est-Retail-PayrollRU]]/DaybyDay[[#This Row],[Simple-Forecast-Retail]]</f>
        <v>#DIV/0!</v>
      </c>
      <c r="AW1019" s="8"/>
      <c r="AX1019" s="15"/>
      <c r="AY1019" s="8"/>
    </row>
    <row r="1020" spans="3:51" hidden="1" x14ac:dyDescent="0.25">
      <c r="C1020" s="26" t="str">
        <f>Tools!$C$1</f>
        <v>Example</v>
      </c>
      <c r="D1020" s="27" t="s">
        <v>77</v>
      </c>
      <c r="E1020" s="28">
        <v>2019</v>
      </c>
      <c r="F1020" s="28">
        <f>MATCH(DaybyDay[[#This Row],[RowMonth]],Table3[SummaryMonth],0)</f>
        <v>10</v>
      </c>
      <c r="G1020" s="29">
        <f>MATCH(DaybyDay[[#This Row],[LY-Date]],DaybyDay[Date],0)</f>
        <v>650</v>
      </c>
      <c r="H1020" s="30">
        <f>WEEKDAY(DaybyDay[[#This Row],[Date]])</f>
        <v>6</v>
      </c>
      <c r="I1020" s="31">
        <v>43749</v>
      </c>
      <c r="J1020" s="74">
        <v>25</v>
      </c>
      <c r="K1020" s="32">
        <f>SUMIFS(BudgetSeasonality[365 Seasonality],BudgetSeasonality[MonthAdjustment],DaybyDay[[#This Row],[Date]])*SUMIFS(Budgets[Service-Budget],Budgets[BudgetMonth],DaybyDay[[#This Row],[RowMonth]],Budgets[BudgetYear],DaybyDay[[#This Row],[RowYear]])</f>
        <v>6367.5138628419136</v>
      </c>
      <c r="L1020" s="75">
        <v>4154.8500000000004</v>
      </c>
      <c r="M1020" s="32">
        <f>INDEX(BudgetSeasonality[365 Seasonality],MATCH(DaybyDay[[#This Row],[Date]],BudgetSeasonality[MonthAdjustment],0))*SUMIFS(Budgets[Retail-Budget],Budgets[BudgetMonth],DaybyDay[[#This Row],[RowMonth]],Budgets[BudgetYear],DaybyDay[[#This Row],[RowYear]])</f>
        <v>1993.6640490628772</v>
      </c>
      <c r="N1020" s="75">
        <v>708.5</v>
      </c>
      <c r="O1020" s="33">
        <f>SUMIFS(DaybyDay[Service-Budgets],DaybyDay[Date],"&gt;="&amp;$C$5,DaybyDay[RowYear],"&gt;="&amp;$C$4,DaybyDay[Date],"&lt;="&amp;DaybyDay[[#This Row],[Date]])</f>
        <v>0</v>
      </c>
      <c r="P1020" s="33">
        <f>SUMIFS(DaybyDay[Retail-Budgets],DaybyDay[Date],"&gt;="&amp;$C$5,DaybyDay[RowYear],"&gt;="&amp;$C$4,DaybyDay[Date],"&lt;="&amp;DaybyDay[[#This Row],[Date]])</f>
        <v>0</v>
      </c>
      <c r="Q1020" s="34">
        <f>SUMIFS(DaybyDay[Service-Actuals],DaybyDay[Date],"&gt;="&amp;$C$5,DaybyDay[RowYear],"&gt;="&amp;$C$4,DaybyDay[Date],"&lt;="&amp;DaybyDay[[#This Row],[Date]])</f>
        <v>0</v>
      </c>
      <c r="R1020" s="34">
        <f>SUMIFS(DaybyDay[Retail-Actuals],DaybyDay[Date],"&gt;="&amp;$C$5,DaybyDay[RowYear],"&gt;="&amp;$C$4,DaybyDay[Date],"&lt;="&amp;DaybyDay[[#This Row],[Date]])</f>
        <v>0</v>
      </c>
      <c r="S1020" s="35">
        <f>SUMIFS(DaybyDay[Service-LY],DaybyDay[Date],"&gt;="&amp;$C$5,DaybyDay[RowYear],"&gt;="&amp;$C$4,DaybyDay[Date],"&lt;="&amp;DaybyDay[[#This Row],[Date]])</f>
        <v>0</v>
      </c>
      <c r="T1020" s="35">
        <f>SUMIFS(DaybyDay[Retail-LY],DaybyDay[Date],"&gt;="&amp;$C$5,DaybyDay[RowYear],"&gt;="&amp;$C$4,DaybyDay[Date],"&lt;="&amp;DaybyDay[[#This Row],[Date]])</f>
        <v>0</v>
      </c>
      <c r="U1020" s="32">
        <f>DaybyDay[[#This Row],[Serv-Bud-RU]]+DaybyDay[[#This Row],[Ret-Bud-RU]]</f>
        <v>0</v>
      </c>
      <c r="V1020" s="32">
        <f>DaybyDay[[#This Row],[Serv-Act-RU]]+DaybyDay[[#This Row],[Ret-Act-RU]]</f>
        <v>0</v>
      </c>
      <c r="W1020" s="36">
        <f>IF(DaybyDay[[#This Row],[_Space]],IFERROR(
((DaybyDay[[#This Row],[Actual-Rollup]]-DaybyDay[[#This Row],[Budget-Rollup]])/DaybyDay[[#This Row],[Budget-Rollup]]),0),"")</f>
        <v>0</v>
      </c>
      <c r="X1020" t="b">
        <f>NOT(AND(ISBLANK(DaybyDay[[#This Row],[Appts]]),ISBLANK(DaybyDay[[#This Row],[Service-Actuals]]),ISBLANK(DaybyDay[[#This Row],[Retail-Actuals]])))</f>
        <v>1</v>
      </c>
      <c r="Y1020" s="36">
        <f>IF(DaybyDay[[#This Row],[_Space]],IFERROR(
((DaybyDay[[#This Row],[Actual-Rollup]]-DaybyDay[[#This Row],[LY-Rollup]])/DaybyDay[[#This Row],[LY-Rollup]]),0),"")</f>
        <v>0</v>
      </c>
      <c r="Z1020"/>
      <c r="AA1020" s="37" t="e">
        <f>IF(DaybyDay[[#This Row],[_Space]],DaybyDay[[#This Row],[Ret-Act-RU]]/DaybyDay[[#This Row],[Serv-Act-RU]],"")</f>
        <v>#DIV/0!</v>
      </c>
      <c r="AB1020" s="50" t="e">
        <f>IF(DaybyDay[[#This Row],[_Space]],DaybyDay[[#This Row],[RETPEN-Act]]/DaybyDay[[#This Row],[RETPEN-Bud]],"")</f>
        <v>#DIV/0!</v>
      </c>
      <c r="AC1020" s="37" t="e">
        <f>IF(DaybyDay[[#This Row],[_Space]],DaybyDay[[#This Row],[Ret-Bud-RU]]/DaybyDay[[#This Row],[Serv-Bud-RU]],"")</f>
        <v>#DIV/0!</v>
      </c>
      <c r="AD1020" s="37" t="e">
        <f>IF(DaybyDay[[#This Row],[_Space]],DaybyDay[[#This Row],[Ret-LY-RU]]/DaybyDay[[#This Row],[Serv-LY-RU]],"")</f>
        <v>#DIV/0!</v>
      </c>
      <c r="AE1020" s="30">
        <f>WEEKDAY(DaybyDay[[#This Row],[LY-Date]])</f>
        <v>6</v>
      </c>
      <c r="AF1020" s="38">
        <f>$E$2+_xlfn.DAYS(DaybyDay[[#This Row],[Date]],minDate)</f>
        <v>43385</v>
      </c>
      <c r="AG1020" s="39" cm="1">
        <f t="array" ref="AG1020">IFERROR(INDEX(DaybyDay[],DaybyDay[[#This Row],[FORM_MATCH_HELPER]],8),"")</f>
        <v>26</v>
      </c>
      <c r="AH1020" s="39" cm="1">
        <f t="array" ref="AH1020">IFERROR(INDEX(DaybyDay[],DaybyDay[[#This Row],[FORM_MATCH_HELPER]],10),"")</f>
        <v>5238.99</v>
      </c>
      <c r="AI1020" s="39" cm="1">
        <f t="array" ref="AI1020">IFERROR(INDEX(DaybyDay[],DaybyDay[[#This Row],[FORM_MATCH_HELPER]],12),"")</f>
        <v>637.5</v>
      </c>
      <c r="AJ1020" s="32">
        <f>IFERROR(DaybyDay[[#This Row],[Serv-LY-RU]]+DaybyDay[[#This Row],[Ret-LY-RU]],"")</f>
        <v>0</v>
      </c>
      <c r="AK10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0" s="77"/>
      <c r="AM1020" s="40" t="str">
        <f>IF(DaybyDay[[#This Row],[Admin Hours]]&gt;0,DaybyDay[[#This Row],[Admin Hours]]*$AM$2+$AM$3,"")</f>
        <v/>
      </c>
      <c r="AN1020" s="40">
        <f>SUMIFS(DaybyDay[Est-Admin-Payroll],DaybyDay[Date],"&gt;="&amp;$C$5,DaybyDay[RowYear],"&gt;="&amp;$C$4,DaybyDay[Date],"&lt;="&amp;DaybyDay[[#This Row],[Date]])</f>
        <v>0</v>
      </c>
      <c r="AO1020" s="41" t="str">
        <f>IF(AND(DaybyDay[[#This Row],[_Space]],ISNUMBER(DaybyDay[[#This Row],[Admin Hours]])),DaybyDay[[#This Row],[Est-Admin-Payroll]]/(DaybyDay[[#This Row],[Service-Actuals]]+DaybyDay[[#This Row],[Retail-Actuals]]),"")</f>
        <v/>
      </c>
      <c r="AP1020" s="41" t="e">
        <f>DaybyDay[[#This Row],[Estimated-Payroll-Rollup]]/DaybyDay[[#This Row],[Simple-Forecast]]</f>
        <v>#DIV/0!</v>
      </c>
      <c r="AQ10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0" s="77"/>
      <c r="AS1020" s="40" t="str">
        <f>IF(DaybyDay[[#This Row],[Retail Hours]]&gt;0,DaybyDay[[#This Row],[Retail Hours]]*$AS$2,"")</f>
        <v/>
      </c>
      <c r="AT1020" s="40">
        <f>SUMIFS(DaybyDay[Est-Retail-Payroll],DaybyDay[Date],"&gt;="&amp;$C$5,DaybyDay[RowYear],"&gt;="&amp;$C$4,DaybyDay[Date],"&lt;="&amp;DaybyDay[[#This Row],[Date]])</f>
        <v>0</v>
      </c>
      <c r="AU1020" s="82" t="str">
        <f>IF(AND(DaybyDay[[#This Row],[_Space]],ISNUMBER(DaybyDay[[#This Row],[Retail Hours]])),DaybyDay[[#This Row],[Est-Retail-Payroll]]/(DaybyDay[[#This Row],[Retail-Actuals]]),"")</f>
        <v/>
      </c>
      <c r="AV1020" s="82" t="e">
        <f>DaybyDay[[#This Row],[Est-Retail-PayrollRU]]/DaybyDay[[#This Row],[Simple-Forecast-Retail]]</f>
        <v>#DIV/0!</v>
      </c>
      <c r="AW1020" s="8"/>
      <c r="AX1020" s="15"/>
      <c r="AY1020" s="8"/>
    </row>
    <row r="1021" spans="3:51" hidden="1" x14ac:dyDescent="0.25">
      <c r="C1021" s="26" t="str">
        <f>Tools!$C$1</f>
        <v>Example</v>
      </c>
      <c r="D1021" s="27" t="s">
        <v>77</v>
      </c>
      <c r="E1021" s="28">
        <v>2019</v>
      </c>
      <c r="F1021" s="28">
        <f>MATCH(DaybyDay[[#This Row],[RowMonth]],Table3[SummaryMonth],0)</f>
        <v>10</v>
      </c>
      <c r="G1021" s="29">
        <f>MATCH(DaybyDay[[#This Row],[LY-Date]],DaybyDay[Date],0)</f>
        <v>651</v>
      </c>
      <c r="H1021" s="30">
        <f>WEEKDAY(DaybyDay[[#This Row],[Date]])</f>
        <v>7</v>
      </c>
      <c r="I1021" s="31">
        <v>43750</v>
      </c>
      <c r="J1021" s="74">
        <v>45</v>
      </c>
      <c r="K1021" s="32">
        <f>SUMIFS(BudgetSeasonality[365 Seasonality],BudgetSeasonality[MonthAdjustment],DaybyDay[[#This Row],[Date]])*SUMIFS(Budgets[Service-Budget],Budgets[BudgetMonth],DaybyDay[[#This Row],[RowMonth]],Budgets[BudgetYear],DaybyDay[[#This Row],[RowYear]])</f>
        <v>9036.3857528117551</v>
      </c>
      <c r="L1021" s="75">
        <v>8890.7899999999991</v>
      </c>
      <c r="M1021" s="32">
        <f>INDEX(BudgetSeasonality[365 Seasonality],MATCH(DaybyDay[[#This Row],[Date]],BudgetSeasonality[MonthAdjustment],0))*SUMIFS(Budgets[Retail-Budget],Budgets[BudgetMonth],DaybyDay[[#This Row],[RowMonth]],Budgets[BudgetYear],DaybyDay[[#This Row],[RowYear]])</f>
        <v>2829.2859343386167</v>
      </c>
      <c r="N1021" s="75">
        <v>1340.6</v>
      </c>
      <c r="O1021" s="33">
        <f>SUMIFS(DaybyDay[Service-Budgets],DaybyDay[Date],"&gt;="&amp;$C$5,DaybyDay[RowYear],"&gt;="&amp;$C$4,DaybyDay[Date],"&lt;="&amp;DaybyDay[[#This Row],[Date]])</f>
        <v>0</v>
      </c>
      <c r="P1021" s="33">
        <f>SUMIFS(DaybyDay[Retail-Budgets],DaybyDay[Date],"&gt;="&amp;$C$5,DaybyDay[RowYear],"&gt;="&amp;$C$4,DaybyDay[Date],"&lt;="&amp;DaybyDay[[#This Row],[Date]])</f>
        <v>0</v>
      </c>
      <c r="Q1021" s="34">
        <f>SUMIFS(DaybyDay[Service-Actuals],DaybyDay[Date],"&gt;="&amp;$C$5,DaybyDay[RowYear],"&gt;="&amp;$C$4,DaybyDay[Date],"&lt;="&amp;DaybyDay[[#This Row],[Date]])</f>
        <v>0</v>
      </c>
      <c r="R1021" s="34">
        <f>SUMIFS(DaybyDay[Retail-Actuals],DaybyDay[Date],"&gt;="&amp;$C$5,DaybyDay[RowYear],"&gt;="&amp;$C$4,DaybyDay[Date],"&lt;="&amp;DaybyDay[[#This Row],[Date]])</f>
        <v>0</v>
      </c>
      <c r="S1021" s="35">
        <f>SUMIFS(DaybyDay[Service-LY],DaybyDay[Date],"&gt;="&amp;$C$5,DaybyDay[RowYear],"&gt;="&amp;$C$4,DaybyDay[Date],"&lt;="&amp;DaybyDay[[#This Row],[Date]])</f>
        <v>0</v>
      </c>
      <c r="T1021" s="35">
        <f>SUMIFS(DaybyDay[Retail-LY],DaybyDay[Date],"&gt;="&amp;$C$5,DaybyDay[RowYear],"&gt;="&amp;$C$4,DaybyDay[Date],"&lt;="&amp;DaybyDay[[#This Row],[Date]])</f>
        <v>0</v>
      </c>
      <c r="U1021" s="32">
        <f>DaybyDay[[#This Row],[Serv-Bud-RU]]+DaybyDay[[#This Row],[Ret-Bud-RU]]</f>
        <v>0</v>
      </c>
      <c r="V1021" s="32">
        <f>DaybyDay[[#This Row],[Serv-Act-RU]]+DaybyDay[[#This Row],[Ret-Act-RU]]</f>
        <v>0</v>
      </c>
      <c r="W1021" s="36">
        <f>IF(DaybyDay[[#This Row],[_Space]],IFERROR(
((DaybyDay[[#This Row],[Actual-Rollup]]-DaybyDay[[#This Row],[Budget-Rollup]])/DaybyDay[[#This Row],[Budget-Rollup]]),0),"")</f>
        <v>0</v>
      </c>
      <c r="X1021" t="b">
        <f>NOT(AND(ISBLANK(DaybyDay[[#This Row],[Appts]]),ISBLANK(DaybyDay[[#This Row],[Service-Actuals]]),ISBLANK(DaybyDay[[#This Row],[Retail-Actuals]])))</f>
        <v>1</v>
      </c>
      <c r="Y1021" s="36">
        <f>IF(DaybyDay[[#This Row],[_Space]],IFERROR(
((DaybyDay[[#This Row],[Actual-Rollup]]-DaybyDay[[#This Row],[LY-Rollup]])/DaybyDay[[#This Row],[LY-Rollup]]),0),"")</f>
        <v>0</v>
      </c>
      <c r="Z1021"/>
      <c r="AA1021" s="37" t="e">
        <f>IF(DaybyDay[[#This Row],[_Space]],DaybyDay[[#This Row],[Ret-Act-RU]]/DaybyDay[[#This Row],[Serv-Act-RU]],"")</f>
        <v>#DIV/0!</v>
      </c>
      <c r="AB1021" s="50" t="e">
        <f>IF(DaybyDay[[#This Row],[_Space]],DaybyDay[[#This Row],[RETPEN-Act]]/DaybyDay[[#This Row],[RETPEN-Bud]],"")</f>
        <v>#DIV/0!</v>
      </c>
      <c r="AC1021" s="37" t="e">
        <f>IF(DaybyDay[[#This Row],[_Space]],DaybyDay[[#This Row],[Ret-Bud-RU]]/DaybyDay[[#This Row],[Serv-Bud-RU]],"")</f>
        <v>#DIV/0!</v>
      </c>
      <c r="AD1021" s="37" t="e">
        <f>IF(DaybyDay[[#This Row],[_Space]],DaybyDay[[#This Row],[Ret-LY-RU]]/DaybyDay[[#This Row],[Serv-LY-RU]],"")</f>
        <v>#DIV/0!</v>
      </c>
      <c r="AE1021" s="30">
        <f>WEEKDAY(DaybyDay[[#This Row],[LY-Date]])</f>
        <v>7</v>
      </c>
      <c r="AF1021" s="38">
        <f>$E$2+_xlfn.DAYS(DaybyDay[[#This Row],[Date]],minDate)</f>
        <v>43386</v>
      </c>
      <c r="AG1021" s="39" cm="1">
        <f t="array" ref="AG1021">IFERROR(INDEX(DaybyDay[],DaybyDay[[#This Row],[FORM_MATCH_HELPER]],8),"")</f>
        <v>51</v>
      </c>
      <c r="AH1021" s="39" cm="1">
        <f t="array" ref="AH1021">IFERROR(INDEX(DaybyDay[],DaybyDay[[#This Row],[FORM_MATCH_HELPER]],10),"")</f>
        <v>7669.5</v>
      </c>
      <c r="AI1021" s="39" cm="1">
        <f t="array" ref="AI1021">IFERROR(INDEX(DaybyDay[],DaybyDay[[#This Row],[FORM_MATCH_HELPER]],12),"")</f>
        <v>173.5</v>
      </c>
      <c r="AJ1021" s="32">
        <f>IFERROR(DaybyDay[[#This Row],[Serv-LY-RU]]+DaybyDay[[#This Row],[Ret-LY-RU]],"")</f>
        <v>0</v>
      </c>
      <c r="AK10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1" s="77"/>
      <c r="AM1021" s="40" t="str">
        <f>IF(DaybyDay[[#This Row],[Admin Hours]]&gt;0,DaybyDay[[#This Row],[Admin Hours]]*$AM$2+$AM$3,"")</f>
        <v/>
      </c>
      <c r="AN1021" s="40">
        <f>SUMIFS(DaybyDay[Est-Admin-Payroll],DaybyDay[Date],"&gt;="&amp;$C$5,DaybyDay[RowYear],"&gt;="&amp;$C$4,DaybyDay[Date],"&lt;="&amp;DaybyDay[[#This Row],[Date]])</f>
        <v>0</v>
      </c>
      <c r="AO1021" s="41" t="str">
        <f>IF(AND(DaybyDay[[#This Row],[_Space]],ISNUMBER(DaybyDay[[#This Row],[Admin Hours]])),DaybyDay[[#This Row],[Est-Admin-Payroll]]/(DaybyDay[[#This Row],[Service-Actuals]]+DaybyDay[[#This Row],[Retail-Actuals]]),"")</f>
        <v/>
      </c>
      <c r="AP1021" s="41" t="e">
        <f>DaybyDay[[#This Row],[Estimated-Payroll-Rollup]]/DaybyDay[[#This Row],[Simple-Forecast]]</f>
        <v>#DIV/0!</v>
      </c>
      <c r="AQ10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1" s="77"/>
      <c r="AS1021" s="40" t="str">
        <f>IF(DaybyDay[[#This Row],[Retail Hours]]&gt;0,DaybyDay[[#This Row],[Retail Hours]]*$AS$2,"")</f>
        <v/>
      </c>
      <c r="AT1021" s="40">
        <f>SUMIFS(DaybyDay[Est-Retail-Payroll],DaybyDay[Date],"&gt;="&amp;$C$5,DaybyDay[RowYear],"&gt;="&amp;$C$4,DaybyDay[Date],"&lt;="&amp;DaybyDay[[#This Row],[Date]])</f>
        <v>0</v>
      </c>
      <c r="AU1021" s="82" t="str">
        <f>IF(AND(DaybyDay[[#This Row],[_Space]],ISNUMBER(DaybyDay[[#This Row],[Retail Hours]])),DaybyDay[[#This Row],[Est-Retail-Payroll]]/(DaybyDay[[#This Row],[Retail-Actuals]]),"")</f>
        <v/>
      </c>
      <c r="AV1021" s="82" t="e">
        <f>DaybyDay[[#This Row],[Est-Retail-PayrollRU]]/DaybyDay[[#This Row],[Simple-Forecast-Retail]]</f>
        <v>#DIV/0!</v>
      </c>
      <c r="AW1021" s="8"/>
      <c r="AX1021" s="15"/>
      <c r="AY1021" s="8"/>
    </row>
    <row r="1022" spans="3:51" hidden="1" x14ac:dyDescent="0.25">
      <c r="C1022" s="26" t="str">
        <f>Tools!$C$1</f>
        <v>Example</v>
      </c>
      <c r="D1022" s="27" t="s">
        <v>77</v>
      </c>
      <c r="E1022" s="28">
        <v>2019</v>
      </c>
      <c r="F1022" s="28">
        <f>MATCH(DaybyDay[[#This Row],[RowMonth]],Table3[SummaryMonth],0)</f>
        <v>10</v>
      </c>
      <c r="G1022" s="29">
        <f>MATCH(DaybyDay[[#This Row],[LY-Date]],DaybyDay[Date],0)</f>
        <v>652</v>
      </c>
      <c r="H1022" s="30">
        <f>WEEKDAY(DaybyDay[[#This Row],[Date]])</f>
        <v>1</v>
      </c>
      <c r="I1022" s="31">
        <v>43751</v>
      </c>
      <c r="J1022" s="74">
        <v>29</v>
      </c>
      <c r="K1022" s="32">
        <f>SUMIFS(BudgetSeasonality[365 Seasonality],BudgetSeasonality[MonthAdjustment],DaybyDay[[#This Row],[Date]])*SUMIFS(Budgets[Service-Budget],Budgets[BudgetMonth],DaybyDay[[#This Row],[RowMonth]],Budgets[BudgetYear],DaybyDay[[#This Row],[RowYear]])</f>
        <v>7119.9244492707858</v>
      </c>
      <c r="L1022" s="75">
        <v>6491.5999999999995</v>
      </c>
      <c r="M1022" s="32">
        <f>INDEX(BudgetSeasonality[365 Seasonality],MATCH(DaybyDay[[#This Row],[Date]],BudgetSeasonality[MonthAdjustment],0))*SUMIFS(Budgets[Retail-Budget],Budgets[BudgetMonth],DaybyDay[[#This Row],[RowMonth]],Budgets[BudgetYear],DaybyDay[[#This Row],[RowYear]])</f>
        <v>2229.2432670448329</v>
      </c>
      <c r="N1022" s="75">
        <v>1427.8</v>
      </c>
      <c r="O1022" s="33">
        <f>SUMIFS(DaybyDay[Service-Budgets],DaybyDay[Date],"&gt;="&amp;$C$5,DaybyDay[RowYear],"&gt;="&amp;$C$4,DaybyDay[Date],"&lt;="&amp;DaybyDay[[#This Row],[Date]])</f>
        <v>0</v>
      </c>
      <c r="P1022" s="33">
        <f>SUMIFS(DaybyDay[Retail-Budgets],DaybyDay[Date],"&gt;="&amp;$C$5,DaybyDay[RowYear],"&gt;="&amp;$C$4,DaybyDay[Date],"&lt;="&amp;DaybyDay[[#This Row],[Date]])</f>
        <v>0</v>
      </c>
      <c r="Q1022" s="34">
        <f>SUMIFS(DaybyDay[Service-Actuals],DaybyDay[Date],"&gt;="&amp;$C$5,DaybyDay[RowYear],"&gt;="&amp;$C$4,DaybyDay[Date],"&lt;="&amp;DaybyDay[[#This Row],[Date]])</f>
        <v>0</v>
      </c>
      <c r="R1022" s="34">
        <f>SUMIFS(DaybyDay[Retail-Actuals],DaybyDay[Date],"&gt;="&amp;$C$5,DaybyDay[RowYear],"&gt;="&amp;$C$4,DaybyDay[Date],"&lt;="&amp;DaybyDay[[#This Row],[Date]])</f>
        <v>0</v>
      </c>
      <c r="S1022" s="35">
        <f>SUMIFS(DaybyDay[Service-LY],DaybyDay[Date],"&gt;="&amp;$C$5,DaybyDay[RowYear],"&gt;="&amp;$C$4,DaybyDay[Date],"&lt;="&amp;DaybyDay[[#This Row],[Date]])</f>
        <v>0</v>
      </c>
      <c r="T1022" s="35">
        <f>SUMIFS(DaybyDay[Retail-LY],DaybyDay[Date],"&gt;="&amp;$C$5,DaybyDay[RowYear],"&gt;="&amp;$C$4,DaybyDay[Date],"&lt;="&amp;DaybyDay[[#This Row],[Date]])</f>
        <v>0</v>
      </c>
      <c r="U1022" s="32">
        <f>DaybyDay[[#This Row],[Serv-Bud-RU]]+DaybyDay[[#This Row],[Ret-Bud-RU]]</f>
        <v>0</v>
      </c>
      <c r="V1022" s="32">
        <f>DaybyDay[[#This Row],[Serv-Act-RU]]+DaybyDay[[#This Row],[Ret-Act-RU]]</f>
        <v>0</v>
      </c>
      <c r="W1022" s="36">
        <f>IF(DaybyDay[[#This Row],[_Space]],IFERROR(
((DaybyDay[[#This Row],[Actual-Rollup]]-DaybyDay[[#This Row],[Budget-Rollup]])/DaybyDay[[#This Row],[Budget-Rollup]]),0),"")</f>
        <v>0</v>
      </c>
      <c r="X1022" t="b">
        <f>NOT(AND(ISBLANK(DaybyDay[[#This Row],[Appts]]),ISBLANK(DaybyDay[[#This Row],[Service-Actuals]]),ISBLANK(DaybyDay[[#This Row],[Retail-Actuals]])))</f>
        <v>1</v>
      </c>
      <c r="Y1022" s="36">
        <f>IF(DaybyDay[[#This Row],[_Space]],IFERROR(
((DaybyDay[[#This Row],[Actual-Rollup]]-DaybyDay[[#This Row],[LY-Rollup]])/DaybyDay[[#This Row],[LY-Rollup]]),0),"")</f>
        <v>0</v>
      </c>
      <c r="Z1022"/>
      <c r="AA1022" s="37" t="e">
        <f>IF(DaybyDay[[#This Row],[_Space]],DaybyDay[[#This Row],[Ret-Act-RU]]/DaybyDay[[#This Row],[Serv-Act-RU]],"")</f>
        <v>#DIV/0!</v>
      </c>
      <c r="AB1022" s="50" t="e">
        <f>IF(DaybyDay[[#This Row],[_Space]],DaybyDay[[#This Row],[RETPEN-Act]]/DaybyDay[[#This Row],[RETPEN-Bud]],"")</f>
        <v>#DIV/0!</v>
      </c>
      <c r="AC1022" s="37" t="e">
        <f>IF(DaybyDay[[#This Row],[_Space]],DaybyDay[[#This Row],[Ret-Bud-RU]]/DaybyDay[[#This Row],[Serv-Bud-RU]],"")</f>
        <v>#DIV/0!</v>
      </c>
      <c r="AD1022" s="37" t="e">
        <f>IF(DaybyDay[[#This Row],[_Space]],DaybyDay[[#This Row],[Ret-LY-RU]]/DaybyDay[[#This Row],[Serv-LY-RU]],"")</f>
        <v>#DIV/0!</v>
      </c>
      <c r="AE1022" s="30">
        <f>WEEKDAY(DaybyDay[[#This Row],[LY-Date]])</f>
        <v>1</v>
      </c>
      <c r="AF1022" s="38">
        <f>$E$2+_xlfn.DAYS(DaybyDay[[#This Row],[Date]],minDate)</f>
        <v>43387</v>
      </c>
      <c r="AG1022" s="39" cm="1">
        <f t="array" ref="AG1022">IFERROR(INDEX(DaybyDay[],DaybyDay[[#This Row],[FORM_MATCH_HELPER]],8),"")</f>
        <v>25</v>
      </c>
      <c r="AH1022" s="39" cm="1">
        <f t="array" ref="AH1022">IFERROR(INDEX(DaybyDay[],DaybyDay[[#This Row],[FORM_MATCH_HELPER]],10),"")</f>
        <v>7818</v>
      </c>
      <c r="AI1022" s="39" cm="1">
        <f t="array" ref="AI1022">IFERROR(INDEX(DaybyDay[],DaybyDay[[#This Row],[FORM_MATCH_HELPER]],12),"")</f>
        <v>2286</v>
      </c>
      <c r="AJ1022" s="32">
        <f>IFERROR(DaybyDay[[#This Row],[Serv-LY-RU]]+DaybyDay[[#This Row],[Ret-LY-RU]],"")</f>
        <v>0</v>
      </c>
      <c r="AK10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2" s="77"/>
      <c r="AM1022" s="40" t="str">
        <f>IF(DaybyDay[[#This Row],[Admin Hours]]&gt;0,DaybyDay[[#This Row],[Admin Hours]]*$AM$2+$AM$3,"")</f>
        <v/>
      </c>
      <c r="AN1022" s="40">
        <f>SUMIFS(DaybyDay[Est-Admin-Payroll],DaybyDay[Date],"&gt;="&amp;$C$5,DaybyDay[RowYear],"&gt;="&amp;$C$4,DaybyDay[Date],"&lt;="&amp;DaybyDay[[#This Row],[Date]])</f>
        <v>0</v>
      </c>
      <c r="AO1022" s="41" t="str">
        <f>IF(AND(DaybyDay[[#This Row],[_Space]],ISNUMBER(DaybyDay[[#This Row],[Admin Hours]])),DaybyDay[[#This Row],[Est-Admin-Payroll]]/(DaybyDay[[#This Row],[Service-Actuals]]+DaybyDay[[#This Row],[Retail-Actuals]]),"")</f>
        <v/>
      </c>
      <c r="AP1022" s="41" t="e">
        <f>DaybyDay[[#This Row],[Estimated-Payroll-Rollup]]/DaybyDay[[#This Row],[Simple-Forecast]]</f>
        <v>#DIV/0!</v>
      </c>
      <c r="AQ10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2" s="77"/>
      <c r="AS1022" s="40" t="str">
        <f>IF(DaybyDay[[#This Row],[Retail Hours]]&gt;0,DaybyDay[[#This Row],[Retail Hours]]*$AS$2,"")</f>
        <v/>
      </c>
      <c r="AT1022" s="40">
        <f>SUMIFS(DaybyDay[Est-Retail-Payroll],DaybyDay[Date],"&gt;="&amp;$C$5,DaybyDay[RowYear],"&gt;="&amp;$C$4,DaybyDay[Date],"&lt;="&amp;DaybyDay[[#This Row],[Date]])</f>
        <v>0</v>
      </c>
      <c r="AU1022" s="82" t="str">
        <f>IF(AND(DaybyDay[[#This Row],[_Space]],ISNUMBER(DaybyDay[[#This Row],[Retail Hours]])),DaybyDay[[#This Row],[Est-Retail-Payroll]]/(DaybyDay[[#This Row],[Retail-Actuals]]),"")</f>
        <v/>
      </c>
      <c r="AV1022" s="82" t="e">
        <f>DaybyDay[[#This Row],[Est-Retail-PayrollRU]]/DaybyDay[[#This Row],[Simple-Forecast-Retail]]</f>
        <v>#DIV/0!</v>
      </c>
      <c r="AW1022" s="8"/>
      <c r="AX1022" s="15"/>
      <c r="AY1022" s="8"/>
    </row>
    <row r="1023" spans="3:51" hidden="1" x14ac:dyDescent="0.25">
      <c r="C1023" s="26" t="str">
        <f>Tools!$C$1</f>
        <v>Example</v>
      </c>
      <c r="D1023" s="27" t="s">
        <v>77</v>
      </c>
      <c r="E1023" s="28">
        <v>2019</v>
      </c>
      <c r="F1023" s="28">
        <f>MATCH(DaybyDay[[#This Row],[RowMonth]],Table3[SummaryMonth],0)</f>
        <v>10</v>
      </c>
      <c r="G1023" s="29">
        <f>MATCH(DaybyDay[[#This Row],[LY-Date]],DaybyDay[Date],0)</f>
        <v>653</v>
      </c>
      <c r="H1023" s="30">
        <f>WEEKDAY(DaybyDay[[#This Row],[Date]])</f>
        <v>2</v>
      </c>
      <c r="I1023" s="31">
        <v>43752</v>
      </c>
      <c r="J1023" s="74">
        <v>15</v>
      </c>
      <c r="K1023" s="32">
        <f>SUMIFS(BudgetSeasonality[365 Seasonality],BudgetSeasonality[MonthAdjustment],DaybyDay[[#This Row],[Date]])*SUMIFS(Budgets[Service-Budget],Budgets[BudgetMonth],DaybyDay[[#This Row],[RowMonth]],Budgets[BudgetYear],DaybyDay[[#This Row],[RowYear]])</f>
        <v>4306.85817384247</v>
      </c>
      <c r="L1023" s="75">
        <v>3990.2</v>
      </c>
      <c r="M1023" s="32">
        <f>INDEX(BudgetSeasonality[365 Seasonality],MATCH(DaybyDay[[#This Row],[Date]],BudgetSeasonality[MonthAdjustment],0))*SUMIFS(Budgets[Retail-Budget],Budgets[BudgetMonth],DaybyDay[[#This Row],[RowMonth]],Budgets[BudgetYear],DaybyDay[[#This Row],[RowYear]])</f>
        <v>1348.4742225233383</v>
      </c>
      <c r="N1023" s="75">
        <v>1174.5</v>
      </c>
      <c r="O1023" s="33">
        <f>SUMIFS(DaybyDay[Service-Budgets],DaybyDay[Date],"&gt;="&amp;$C$5,DaybyDay[RowYear],"&gt;="&amp;$C$4,DaybyDay[Date],"&lt;="&amp;DaybyDay[[#This Row],[Date]])</f>
        <v>0</v>
      </c>
      <c r="P1023" s="33">
        <f>SUMIFS(DaybyDay[Retail-Budgets],DaybyDay[Date],"&gt;="&amp;$C$5,DaybyDay[RowYear],"&gt;="&amp;$C$4,DaybyDay[Date],"&lt;="&amp;DaybyDay[[#This Row],[Date]])</f>
        <v>0</v>
      </c>
      <c r="Q1023" s="34">
        <f>SUMIFS(DaybyDay[Service-Actuals],DaybyDay[Date],"&gt;="&amp;$C$5,DaybyDay[RowYear],"&gt;="&amp;$C$4,DaybyDay[Date],"&lt;="&amp;DaybyDay[[#This Row],[Date]])</f>
        <v>0</v>
      </c>
      <c r="R1023" s="34">
        <f>SUMIFS(DaybyDay[Retail-Actuals],DaybyDay[Date],"&gt;="&amp;$C$5,DaybyDay[RowYear],"&gt;="&amp;$C$4,DaybyDay[Date],"&lt;="&amp;DaybyDay[[#This Row],[Date]])</f>
        <v>0</v>
      </c>
      <c r="S1023" s="35">
        <f>SUMIFS(DaybyDay[Service-LY],DaybyDay[Date],"&gt;="&amp;$C$5,DaybyDay[RowYear],"&gt;="&amp;$C$4,DaybyDay[Date],"&lt;="&amp;DaybyDay[[#This Row],[Date]])</f>
        <v>0</v>
      </c>
      <c r="T1023" s="35">
        <f>SUMIFS(DaybyDay[Retail-LY],DaybyDay[Date],"&gt;="&amp;$C$5,DaybyDay[RowYear],"&gt;="&amp;$C$4,DaybyDay[Date],"&lt;="&amp;DaybyDay[[#This Row],[Date]])</f>
        <v>0</v>
      </c>
      <c r="U1023" s="32">
        <f>DaybyDay[[#This Row],[Serv-Bud-RU]]+DaybyDay[[#This Row],[Ret-Bud-RU]]</f>
        <v>0</v>
      </c>
      <c r="V1023" s="32">
        <f>DaybyDay[[#This Row],[Serv-Act-RU]]+DaybyDay[[#This Row],[Ret-Act-RU]]</f>
        <v>0</v>
      </c>
      <c r="W1023" s="36">
        <f>IF(DaybyDay[[#This Row],[_Space]],IFERROR(
((DaybyDay[[#This Row],[Actual-Rollup]]-DaybyDay[[#This Row],[Budget-Rollup]])/DaybyDay[[#This Row],[Budget-Rollup]]),0),"")</f>
        <v>0</v>
      </c>
      <c r="X1023" t="b">
        <f>NOT(AND(ISBLANK(DaybyDay[[#This Row],[Appts]]),ISBLANK(DaybyDay[[#This Row],[Service-Actuals]]),ISBLANK(DaybyDay[[#This Row],[Retail-Actuals]])))</f>
        <v>1</v>
      </c>
      <c r="Y1023" s="36">
        <f>IF(DaybyDay[[#This Row],[_Space]],IFERROR(
((DaybyDay[[#This Row],[Actual-Rollup]]-DaybyDay[[#This Row],[LY-Rollup]])/DaybyDay[[#This Row],[LY-Rollup]]),0),"")</f>
        <v>0</v>
      </c>
      <c r="Z1023"/>
      <c r="AA1023" s="37" t="e">
        <f>IF(DaybyDay[[#This Row],[_Space]],DaybyDay[[#This Row],[Ret-Act-RU]]/DaybyDay[[#This Row],[Serv-Act-RU]],"")</f>
        <v>#DIV/0!</v>
      </c>
      <c r="AB1023" s="50" t="e">
        <f>IF(DaybyDay[[#This Row],[_Space]],DaybyDay[[#This Row],[RETPEN-Act]]/DaybyDay[[#This Row],[RETPEN-Bud]],"")</f>
        <v>#DIV/0!</v>
      </c>
      <c r="AC1023" s="37" t="e">
        <f>IF(DaybyDay[[#This Row],[_Space]],DaybyDay[[#This Row],[Ret-Bud-RU]]/DaybyDay[[#This Row],[Serv-Bud-RU]],"")</f>
        <v>#DIV/0!</v>
      </c>
      <c r="AD1023" s="37" t="e">
        <f>IF(DaybyDay[[#This Row],[_Space]],DaybyDay[[#This Row],[Ret-LY-RU]]/DaybyDay[[#This Row],[Serv-LY-RU]],"")</f>
        <v>#DIV/0!</v>
      </c>
      <c r="AE1023" s="30">
        <f>WEEKDAY(DaybyDay[[#This Row],[LY-Date]])</f>
        <v>2</v>
      </c>
      <c r="AF1023" s="38">
        <f>$E$2+_xlfn.DAYS(DaybyDay[[#This Row],[Date]],minDate)</f>
        <v>43388</v>
      </c>
      <c r="AG1023" s="39" cm="1">
        <f t="array" ref="AG1023">IFERROR(INDEX(DaybyDay[],DaybyDay[[#This Row],[FORM_MATCH_HELPER]],8),"")</f>
        <v>16</v>
      </c>
      <c r="AH1023" s="39" cm="1">
        <f t="array" ref="AH1023">IFERROR(INDEX(DaybyDay[],DaybyDay[[#This Row],[FORM_MATCH_HELPER]],10),"")</f>
        <v>3118</v>
      </c>
      <c r="AI1023" s="39" cm="1">
        <f t="array" ref="AI1023">IFERROR(INDEX(DaybyDay[],DaybyDay[[#This Row],[FORM_MATCH_HELPER]],12),"")</f>
        <v>1293</v>
      </c>
      <c r="AJ1023" s="32">
        <f>IFERROR(DaybyDay[[#This Row],[Serv-LY-RU]]+DaybyDay[[#This Row],[Ret-LY-RU]],"")</f>
        <v>0</v>
      </c>
      <c r="AK10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3" s="77"/>
      <c r="AM1023" s="40" t="str">
        <f>IF(DaybyDay[[#This Row],[Admin Hours]]&gt;0,DaybyDay[[#This Row],[Admin Hours]]*$AM$2+$AM$3,"")</f>
        <v/>
      </c>
      <c r="AN1023" s="40">
        <f>SUMIFS(DaybyDay[Est-Admin-Payroll],DaybyDay[Date],"&gt;="&amp;$C$5,DaybyDay[RowYear],"&gt;="&amp;$C$4,DaybyDay[Date],"&lt;="&amp;DaybyDay[[#This Row],[Date]])</f>
        <v>0</v>
      </c>
      <c r="AO1023" s="41" t="str">
        <f>IF(AND(DaybyDay[[#This Row],[_Space]],ISNUMBER(DaybyDay[[#This Row],[Admin Hours]])),DaybyDay[[#This Row],[Est-Admin-Payroll]]/(DaybyDay[[#This Row],[Service-Actuals]]+DaybyDay[[#This Row],[Retail-Actuals]]),"")</f>
        <v/>
      </c>
      <c r="AP1023" s="41" t="e">
        <f>DaybyDay[[#This Row],[Estimated-Payroll-Rollup]]/DaybyDay[[#This Row],[Simple-Forecast]]</f>
        <v>#DIV/0!</v>
      </c>
      <c r="AQ10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3" s="77"/>
      <c r="AS1023" s="40" t="str">
        <f>IF(DaybyDay[[#This Row],[Retail Hours]]&gt;0,DaybyDay[[#This Row],[Retail Hours]]*$AS$2,"")</f>
        <v/>
      </c>
      <c r="AT1023" s="40">
        <f>SUMIFS(DaybyDay[Est-Retail-Payroll],DaybyDay[Date],"&gt;="&amp;$C$5,DaybyDay[RowYear],"&gt;="&amp;$C$4,DaybyDay[Date],"&lt;="&amp;DaybyDay[[#This Row],[Date]])</f>
        <v>0</v>
      </c>
      <c r="AU1023" s="82" t="str">
        <f>IF(AND(DaybyDay[[#This Row],[_Space]],ISNUMBER(DaybyDay[[#This Row],[Retail Hours]])),DaybyDay[[#This Row],[Est-Retail-Payroll]]/(DaybyDay[[#This Row],[Retail-Actuals]]),"")</f>
        <v/>
      </c>
      <c r="AV1023" s="82" t="e">
        <f>DaybyDay[[#This Row],[Est-Retail-PayrollRU]]/DaybyDay[[#This Row],[Simple-Forecast-Retail]]</f>
        <v>#DIV/0!</v>
      </c>
      <c r="AW1023" s="8"/>
      <c r="AX1023" s="15"/>
      <c r="AY1023" s="8"/>
    </row>
    <row r="1024" spans="3:51" hidden="1" x14ac:dyDescent="0.25">
      <c r="C1024" s="26" t="str">
        <f>Tools!$C$1</f>
        <v>Example</v>
      </c>
      <c r="D1024" s="27" t="s">
        <v>77</v>
      </c>
      <c r="E1024" s="28">
        <v>2019</v>
      </c>
      <c r="F1024" s="28">
        <f>MATCH(DaybyDay[[#This Row],[RowMonth]],Table3[SummaryMonth],0)</f>
        <v>10</v>
      </c>
      <c r="G1024" s="29">
        <f>MATCH(DaybyDay[[#This Row],[LY-Date]],DaybyDay[Date],0)</f>
        <v>654</v>
      </c>
      <c r="H1024" s="30">
        <f>WEEKDAY(DaybyDay[[#This Row],[Date]])</f>
        <v>3</v>
      </c>
      <c r="I1024" s="31">
        <v>43753</v>
      </c>
      <c r="J1024" s="74">
        <v>20</v>
      </c>
      <c r="K1024" s="32">
        <f>SUMIFS(BudgetSeasonality[365 Seasonality],BudgetSeasonality[MonthAdjustment],DaybyDay[[#This Row],[Date]])*SUMIFS(Budgets[Service-Budget],Budgets[BudgetMonth],DaybyDay[[#This Row],[RowMonth]],Budgets[BudgetYear],DaybyDay[[#This Row],[RowYear]])</f>
        <v>4483.2147027615274</v>
      </c>
      <c r="L1024" s="75">
        <v>5401.6</v>
      </c>
      <c r="M1024" s="32">
        <f>INDEX(BudgetSeasonality[365 Seasonality],MATCH(DaybyDay[[#This Row],[Date]],BudgetSeasonality[MonthAdjustment],0))*SUMIFS(Budgets[Retail-Budget],Budgets[BudgetMonth],DaybyDay[[#This Row],[RowMonth]],Budgets[BudgetYear],DaybyDay[[#This Row],[RowYear]])</f>
        <v>1403.6913259481464</v>
      </c>
      <c r="N1024" s="75">
        <v>1294.5</v>
      </c>
      <c r="O1024" s="33">
        <f>SUMIFS(DaybyDay[Service-Budgets],DaybyDay[Date],"&gt;="&amp;$C$5,DaybyDay[RowYear],"&gt;="&amp;$C$4,DaybyDay[Date],"&lt;="&amp;DaybyDay[[#This Row],[Date]])</f>
        <v>0</v>
      </c>
      <c r="P1024" s="33">
        <f>SUMIFS(DaybyDay[Retail-Budgets],DaybyDay[Date],"&gt;="&amp;$C$5,DaybyDay[RowYear],"&gt;="&amp;$C$4,DaybyDay[Date],"&lt;="&amp;DaybyDay[[#This Row],[Date]])</f>
        <v>0</v>
      </c>
      <c r="Q1024" s="34">
        <f>SUMIFS(DaybyDay[Service-Actuals],DaybyDay[Date],"&gt;="&amp;$C$5,DaybyDay[RowYear],"&gt;="&amp;$C$4,DaybyDay[Date],"&lt;="&amp;DaybyDay[[#This Row],[Date]])</f>
        <v>0</v>
      </c>
      <c r="R1024" s="34">
        <f>SUMIFS(DaybyDay[Retail-Actuals],DaybyDay[Date],"&gt;="&amp;$C$5,DaybyDay[RowYear],"&gt;="&amp;$C$4,DaybyDay[Date],"&lt;="&amp;DaybyDay[[#This Row],[Date]])</f>
        <v>0</v>
      </c>
      <c r="S1024" s="35">
        <f>SUMIFS(DaybyDay[Service-LY],DaybyDay[Date],"&gt;="&amp;$C$5,DaybyDay[RowYear],"&gt;="&amp;$C$4,DaybyDay[Date],"&lt;="&amp;DaybyDay[[#This Row],[Date]])</f>
        <v>0</v>
      </c>
      <c r="T1024" s="35">
        <f>SUMIFS(DaybyDay[Retail-LY],DaybyDay[Date],"&gt;="&amp;$C$5,DaybyDay[RowYear],"&gt;="&amp;$C$4,DaybyDay[Date],"&lt;="&amp;DaybyDay[[#This Row],[Date]])</f>
        <v>0</v>
      </c>
      <c r="U1024" s="32">
        <f>DaybyDay[[#This Row],[Serv-Bud-RU]]+DaybyDay[[#This Row],[Ret-Bud-RU]]</f>
        <v>0</v>
      </c>
      <c r="V1024" s="32">
        <f>DaybyDay[[#This Row],[Serv-Act-RU]]+DaybyDay[[#This Row],[Ret-Act-RU]]</f>
        <v>0</v>
      </c>
      <c r="W1024" s="36">
        <f>IF(DaybyDay[[#This Row],[_Space]],IFERROR(
((DaybyDay[[#This Row],[Actual-Rollup]]-DaybyDay[[#This Row],[Budget-Rollup]])/DaybyDay[[#This Row],[Budget-Rollup]]),0),"")</f>
        <v>0</v>
      </c>
      <c r="X1024" t="b">
        <f>NOT(AND(ISBLANK(DaybyDay[[#This Row],[Appts]]),ISBLANK(DaybyDay[[#This Row],[Service-Actuals]]),ISBLANK(DaybyDay[[#This Row],[Retail-Actuals]])))</f>
        <v>1</v>
      </c>
      <c r="Y1024" s="36">
        <f>IF(DaybyDay[[#This Row],[_Space]],IFERROR(
((DaybyDay[[#This Row],[Actual-Rollup]]-DaybyDay[[#This Row],[LY-Rollup]])/DaybyDay[[#This Row],[LY-Rollup]]),0),"")</f>
        <v>0</v>
      </c>
      <c r="Z1024"/>
      <c r="AA1024" s="37" t="e">
        <f>IF(DaybyDay[[#This Row],[_Space]],DaybyDay[[#This Row],[Ret-Act-RU]]/DaybyDay[[#This Row],[Serv-Act-RU]],"")</f>
        <v>#DIV/0!</v>
      </c>
      <c r="AB1024" s="50" t="e">
        <f>IF(DaybyDay[[#This Row],[_Space]],DaybyDay[[#This Row],[RETPEN-Act]]/DaybyDay[[#This Row],[RETPEN-Bud]],"")</f>
        <v>#DIV/0!</v>
      </c>
      <c r="AC1024" s="37" t="e">
        <f>IF(DaybyDay[[#This Row],[_Space]],DaybyDay[[#This Row],[Ret-Bud-RU]]/DaybyDay[[#This Row],[Serv-Bud-RU]],"")</f>
        <v>#DIV/0!</v>
      </c>
      <c r="AD1024" s="37" t="e">
        <f>IF(DaybyDay[[#This Row],[_Space]],DaybyDay[[#This Row],[Ret-LY-RU]]/DaybyDay[[#This Row],[Serv-LY-RU]],"")</f>
        <v>#DIV/0!</v>
      </c>
      <c r="AE1024" s="30">
        <f>WEEKDAY(DaybyDay[[#This Row],[LY-Date]])</f>
        <v>3</v>
      </c>
      <c r="AF1024" s="38">
        <f>$E$2+_xlfn.DAYS(DaybyDay[[#This Row],[Date]],minDate)</f>
        <v>43389</v>
      </c>
      <c r="AG1024" s="39" cm="1">
        <f t="array" ref="AG1024">IFERROR(INDEX(DaybyDay[],DaybyDay[[#This Row],[FORM_MATCH_HELPER]],8),"")</f>
        <v>19</v>
      </c>
      <c r="AH1024" s="39" cm="1">
        <f t="array" ref="AH1024">IFERROR(INDEX(DaybyDay[],DaybyDay[[#This Row],[FORM_MATCH_HELPER]],10),"")</f>
        <v>5505.94</v>
      </c>
      <c r="AI1024" s="39" cm="1">
        <f t="array" ref="AI1024">IFERROR(INDEX(DaybyDay[],DaybyDay[[#This Row],[FORM_MATCH_HELPER]],12),"")</f>
        <v>245</v>
      </c>
      <c r="AJ1024" s="32">
        <f>IFERROR(DaybyDay[[#This Row],[Serv-LY-RU]]+DaybyDay[[#This Row],[Ret-LY-RU]],"")</f>
        <v>0</v>
      </c>
      <c r="AK10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4" s="77"/>
      <c r="AM1024" s="40" t="str">
        <f>IF(DaybyDay[[#This Row],[Admin Hours]]&gt;0,DaybyDay[[#This Row],[Admin Hours]]*$AM$2+$AM$3,"")</f>
        <v/>
      </c>
      <c r="AN1024" s="40">
        <f>SUMIFS(DaybyDay[Est-Admin-Payroll],DaybyDay[Date],"&gt;="&amp;$C$5,DaybyDay[RowYear],"&gt;="&amp;$C$4,DaybyDay[Date],"&lt;="&amp;DaybyDay[[#This Row],[Date]])</f>
        <v>0</v>
      </c>
      <c r="AO1024" s="41" t="str">
        <f>IF(AND(DaybyDay[[#This Row],[_Space]],ISNUMBER(DaybyDay[[#This Row],[Admin Hours]])),DaybyDay[[#This Row],[Est-Admin-Payroll]]/(DaybyDay[[#This Row],[Service-Actuals]]+DaybyDay[[#This Row],[Retail-Actuals]]),"")</f>
        <v/>
      </c>
      <c r="AP1024" s="41" t="e">
        <f>DaybyDay[[#This Row],[Estimated-Payroll-Rollup]]/DaybyDay[[#This Row],[Simple-Forecast]]</f>
        <v>#DIV/0!</v>
      </c>
      <c r="AQ10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4" s="77"/>
      <c r="AS1024" s="40" t="str">
        <f>IF(DaybyDay[[#This Row],[Retail Hours]]&gt;0,DaybyDay[[#This Row],[Retail Hours]]*$AS$2,"")</f>
        <v/>
      </c>
      <c r="AT1024" s="40">
        <f>SUMIFS(DaybyDay[Est-Retail-Payroll],DaybyDay[Date],"&gt;="&amp;$C$5,DaybyDay[RowYear],"&gt;="&amp;$C$4,DaybyDay[Date],"&lt;="&amp;DaybyDay[[#This Row],[Date]])</f>
        <v>0</v>
      </c>
      <c r="AU1024" s="82" t="str">
        <f>IF(AND(DaybyDay[[#This Row],[_Space]],ISNUMBER(DaybyDay[[#This Row],[Retail Hours]])),DaybyDay[[#This Row],[Est-Retail-Payroll]]/(DaybyDay[[#This Row],[Retail-Actuals]]),"")</f>
        <v/>
      </c>
      <c r="AV1024" s="82" t="e">
        <f>DaybyDay[[#This Row],[Est-Retail-PayrollRU]]/DaybyDay[[#This Row],[Simple-Forecast-Retail]]</f>
        <v>#DIV/0!</v>
      </c>
      <c r="AW1024" s="8"/>
      <c r="AX1024" s="15"/>
      <c r="AY1024" s="8"/>
    </row>
    <row r="1025" spans="3:51" hidden="1" x14ac:dyDescent="0.25">
      <c r="C1025" s="26" t="str">
        <f>Tools!$C$1</f>
        <v>Example</v>
      </c>
      <c r="D1025" s="27" t="s">
        <v>77</v>
      </c>
      <c r="E1025" s="28">
        <v>2019</v>
      </c>
      <c r="F1025" s="28">
        <f>MATCH(DaybyDay[[#This Row],[RowMonth]],Table3[SummaryMonth],0)</f>
        <v>10</v>
      </c>
      <c r="G1025" s="29">
        <f>MATCH(DaybyDay[[#This Row],[LY-Date]],DaybyDay[Date],0)</f>
        <v>655</v>
      </c>
      <c r="H1025" s="30">
        <f>WEEKDAY(DaybyDay[[#This Row],[Date]])</f>
        <v>4</v>
      </c>
      <c r="I1025" s="31">
        <v>43754</v>
      </c>
      <c r="J1025" s="74">
        <v>27</v>
      </c>
      <c r="K1025" s="32">
        <f>SUMIFS(BudgetSeasonality[365 Seasonality],BudgetSeasonality[MonthAdjustment],DaybyDay[[#This Row],[Date]])*SUMIFS(Budgets[Service-Budget],Budgets[BudgetMonth],DaybyDay[[#This Row],[RowMonth]],Budgets[BudgetYear],DaybyDay[[#This Row],[RowYear]])</f>
        <v>5181.1853397983914</v>
      </c>
      <c r="L1025" s="75">
        <v>5229</v>
      </c>
      <c r="M1025" s="32">
        <f>INDEX(BudgetSeasonality[365 Seasonality],MATCH(DaybyDay[[#This Row],[Date]],BudgetSeasonality[MonthAdjustment],0))*SUMIFS(Budgets[Retail-Budget],Budgets[BudgetMonth],DaybyDay[[#This Row],[RowMonth]],Budgets[BudgetYear],DaybyDay[[#This Row],[RowYear]])</f>
        <v>1622.2254346027378</v>
      </c>
      <c r="N1025" s="75">
        <v>1197.75</v>
      </c>
      <c r="O1025" s="33">
        <f>SUMIFS(DaybyDay[Service-Budgets],DaybyDay[Date],"&gt;="&amp;$C$5,DaybyDay[RowYear],"&gt;="&amp;$C$4,DaybyDay[Date],"&lt;="&amp;DaybyDay[[#This Row],[Date]])</f>
        <v>0</v>
      </c>
      <c r="P1025" s="33">
        <f>SUMIFS(DaybyDay[Retail-Budgets],DaybyDay[Date],"&gt;="&amp;$C$5,DaybyDay[RowYear],"&gt;="&amp;$C$4,DaybyDay[Date],"&lt;="&amp;DaybyDay[[#This Row],[Date]])</f>
        <v>0</v>
      </c>
      <c r="Q1025" s="34">
        <f>SUMIFS(DaybyDay[Service-Actuals],DaybyDay[Date],"&gt;="&amp;$C$5,DaybyDay[RowYear],"&gt;="&amp;$C$4,DaybyDay[Date],"&lt;="&amp;DaybyDay[[#This Row],[Date]])</f>
        <v>0</v>
      </c>
      <c r="R1025" s="34">
        <f>SUMIFS(DaybyDay[Retail-Actuals],DaybyDay[Date],"&gt;="&amp;$C$5,DaybyDay[RowYear],"&gt;="&amp;$C$4,DaybyDay[Date],"&lt;="&amp;DaybyDay[[#This Row],[Date]])</f>
        <v>0</v>
      </c>
      <c r="S1025" s="35">
        <f>SUMIFS(DaybyDay[Service-LY],DaybyDay[Date],"&gt;="&amp;$C$5,DaybyDay[RowYear],"&gt;="&amp;$C$4,DaybyDay[Date],"&lt;="&amp;DaybyDay[[#This Row],[Date]])</f>
        <v>0</v>
      </c>
      <c r="T1025" s="35">
        <f>SUMIFS(DaybyDay[Retail-LY],DaybyDay[Date],"&gt;="&amp;$C$5,DaybyDay[RowYear],"&gt;="&amp;$C$4,DaybyDay[Date],"&lt;="&amp;DaybyDay[[#This Row],[Date]])</f>
        <v>0</v>
      </c>
      <c r="U1025" s="32">
        <f>DaybyDay[[#This Row],[Serv-Bud-RU]]+DaybyDay[[#This Row],[Ret-Bud-RU]]</f>
        <v>0</v>
      </c>
      <c r="V1025" s="32">
        <f>DaybyDay[[#This Row],[Serv-Act-RU]]+DaybyDay[[#This Row],[Ret-Act-RU]]</f>
        <v>0</v>
      </c>
      <c r="W1025" s="36">
        <f>IF(DaybyDay[[#This Row],[_Space]],IFERROR(
((DaybyDay[[#This Row],[Actual-Rollup]]-DaybyDay[[#This Row],[Budget-Rollup]])/DaybyDay[[#This Row],[Budget-Rollup]]),0),"")</f>
        <v>0</v>
      </c>
      <c r="X1025" t="b">
        <f>NOT(AND(ISBLANK(DaybyDay[[#This Row],[Appts]]),ISBLANK(DaybyDay[[#This Row],[Service-Actuals]]),ISBLANK(DaybyDay[[#This Row],[Retail-Actuals]])))</f>
        <v>1</v>
      </c>
      <c r="Y1025" s="36">
        <f>IF(DaybyDay[[#This Row],[_Space]],IFERROR(
((DaybyDay[[#This Row],[Actual-Rollup]]-DaybyDay[[#This Row],[LY-Rollup]])/DaybyDay[[#This Row],[LY-Rollup]]),0),"")</f>
        <v>0</v>
      </c>
      <c r="Z1025"/>
      <c r="AA1025" s="37" t="e">
        <f>IF(DaybyDay[[#This Row],[_Space]],DaybyDay[[#This Row],[Ret-Act-RU]]/DaybyDay[[#This Row],[Serv-Act-RU]],"")</f>
        <v>#DIV/0!</v>
      </c>
      <c r="AB1025" s="50" t="e">
        <f>IF(DaybyDay[[#This Row],[_Space]],DaybyDay[[#This Row],[RETPEN-Act]]/DaybyDay[[#This Row],[RETPEN-Bud]],"")</f>
        <v>#DIV/0!</v>
      </c>
      <c r="AC1025" s="37" t="e">
        <f>IF(DaybyDay[[#This Row],[_Space]],DaybyDay[[#This Row],[Ret-Bud-RU]]/DaybyDay[[#This Row],[Serv-Bud-RU]],"")</f>
        <v>#DIV/0!</v>
      </c>
      <c r="AD1025" s="37" t="e">
        <f>IF(DaybyDay[[#This Row],[_Space]],DaybyDay[[#This Row],[Ret-LY-RU]]/DaybyDay[[#This Row],[Serv-LY-RU]],"")</f>
        <v>#DIV/0!</v>
      </c>
      <c r="AE1025" s="30">
        <f>WEEKDAY(DaybyDay[[#This Row],[LY-Date]])</f>
        <v>4</v>
      </c>
      <c r="AF1025" s="38">
        <f>$E$2+_xlfn.DAYS(DaybyDay[[#This Row],[Date]],minDate)</f>
        <v>43390</v>
      </c>
      <c r="AG1025" s="39" cm="1">
        <f t="array" ref="AG1025">IFERROR(INDEX(DaybyDay[],DaybyDay[[#This Row],[FORM_MATCH_HELPER]],8),"")</f>
        <v>14</v>
      </c>
      <c r="AH1025" s="39" cm="1">
        <f t="array" ref="AH1025">IFERROR(INDEX(DaybyDay[],DaybyDay[[#This Row],[FORM_MATCH_HELPER]],10),"")</f>
        <v>2124.6</v>
      </c>
      <c r="AI1025" s="39" cm="1">
        <f t="array" ref="AI1025">IFERROR(INDEX(DaybyDay[],DaybyDay[[#This Row],[FORM_MATCH_HELPER]],12),"")</f>
        <v>2431.87</v>
      </c>
      <c r="AJ1025" s="32">
        <f>IFERROR(DaybyDay[[#This Row],[Serv-LY-RU]]+DaybyDay[[#This Row],[Ret-LY-RU]],"")</f>
        <v>0</v>
      </c>
      <c r="AK10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5" s="77"/>
      <c r="AM1025" s="40" t="str">
        <f>IF(DaybyDay[[#This Row],[Admin Hours]]&gt;0,DaybyDay[[#This Row],[Admin Hours]]*$AM$2+$AM$3,"")</f>
        <v/>
      </c>
      <c r="AN1025" s="40">
        <f>SUMIFS(DaybyDay[Est-Admin-Payroll],DaybyDay[Date],"&gt;="&amp;$C$5,DaybyDay[RowYear],"&gt;="&amp;$C$4,DaybyDay[Date],"&lt;="&amp;DaybyDay[[#This Row],[Date]])</f>
        <v>0</v>
      </c>
      <c r="AO1025" s="41" t="str">
        <f>IF(AND(DaybyDay[[#This Row],[_Space]],ISNUMBER(DaybyDay[[#This Row],[Admin Hours]])),DaybyDay[[#This Row],[Est-Admin-Payroll]]/(DaybyDay[[#This Row],[Service-Actuals]]+DaybyDay[[#This Row],[Retail-Actuals]]),"")</f>
        <v/>
      </c>
      <c r="AP1025" s="41" t="e">
        <f>DaybyDay[[#This Row],[Estimated-Payroll-Rollup]]/DaybyDay[[#This Row],[Simple-Forecast]]</f>
        <v>#DIV/0!</v>
      </c>
      <c r="AQ10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5" s="77"/>
      <c r="AS1025" s="40" t="str">
        <f>IF(DaybyDay[[#This Row],[Retail Hours]]&gt;0,DaybyDay[[#This Row],[Retail Hours]]*$AS$2,"")</f>
        <v/>
      </c>
      <c r="AT1025" s="40">
        <f>SUMIFS(DaybyDay[Est-Retail-Payroll],DaybyDay[Date],"&gt;="&amp;$C$5,DaybyDay[RowYear],"&gt;="&amp;$C$4,DaybyDay[Date],"&lt;="&amp;DaybyDay[[#This Row],[Date]])</f>
        <v>0</v>
      </c>
      <c r="AU1025" s="82" t="str">
        <f>IF(AND(DaybyDay[[#This Row],[_Space]],ISNUMBER(DaybyDay[[#This Row],[Retail Hours]])),DaybyDay[[#This Row],[Est-Retail-Payroll]]/(DaybyDay[[#This Row],[Retail-Actuals]]),"")</f>
        <v/>
      </c>
      <c r="AV1025" s="82" t="e">
        <f>DaybyDay[[#This Row],[Est-Retail-PayrollRU]]/DaybyDay[[#This Row],[Simple-Forecast-Retail]]</f>
        <v>#DIV/0!</v>
      </c>
      <c r="AW1025" s="8"/>
      <c r="AX1025" s="15"/>
      <c r="AY1025" s="8"/>
    </row>
    <row r="1026" spans="3:51" hidden="1" x14ac:dyDescent="0.25">
      <c r="C1026" s="26" t="str">
        <f>Tools!$C$1</f>
        <v>Example</v>
      </c>
      <c r="D1026" s="27" t="s">
        <v>77</v>
      </c>
      <c r="E1026" s="28">
        <v>2019</v>
      </c>
      <c r="F1026" s="28">
        <f>MATCH(DaybyDay[[#This Row],[RowMonth]],Table3[SummaryMonth],0)</f>
        <v>10</v>
      </c>
      <c r="G1026" s="29">
        <f>MATCH(DaybyDay[[#This Row],[LY-Date]],DaybyDay[Date],0)</f>
        <v>656</v>
      </c>
      <c r="H1026" s="30">
        <f>WEEKDAY(DaybyDay[[#This Row],[Date]])</f>
        <v>5</v>
      </c>
      <c r="I1026" s="31">
        <v>43755</v>
      </c>
      <c r="J1026" s="74">
        <v>23</v>
      </c>
      <c r="K1026" s="32">
        <f>SUMIFS(BudgetSeasonality[365 Seasonality],BudgetSeasonality[MonthAdjustment],DaybyDay[[#This Row],[Date]])*SUMIFS(Budgets[Service-Budget],Budgets[BudgetMonth],DaybyDay[[#This Row],[RowMonth]],Budgets[BudgetYear],DaybyDay[[#This Row],[RowYear]])</f>
        <v>5343.7371135880376</v>
      </c>
      <c r="L1026" s="75">
        <v>5082.2700000000004</v>
      </c>
      <c r="M1026" s="32">
        <f>INDEX(BudgetSeasonality[365 Seasonality],MATCH(DaybyDay[[#This Row],[Date]],BudgetSeasonality[MonthAdjustment],0))*SUMIFS(Budgets[Retail-Budget],Budgets[BudgetMonth],DaybyDay[[#This Row],[RowMonth]],Budgets[BudgetYear],DaybyDay[[#This Row],[RowYear]])</f>
        <v>1673.1202790422567</v>
      </c>
      <c r="N1026" s="75">
        <v>314</v>
      </c>
      <c r="O1026" s="33">
        <f>SUMIFS(DaybyDay[Service-Budgets],DaybyDay[Date],"&gt;="&amp;$C$5,DaybyDay[RowYear],"&gt;="&amp;$C$4,DaybyDay[Date],"&lt;="&amp;DaybyDay[[#This Row],[Date]])</f>
        <v>0</v>
      </c>
      <c r="P1026" s="33">
        <f>SUMIFS(DaybyDay[Retail-Budgets],DaybyDay[Date],"&gt;="&amp;$C$5,DaybyDay[RowYear],"&gt;="&amp;$C$4,DaybyDay[Date],"&lt;="&amp;DaybyDay[[#This Row],[Date]])</f>
        <v>0</v>
      </c>
      <c r="Q1026" s="34">
        <f>SUMIFS(DaybyDay[Service-Actuals],DaybyDay[Date],"&gt;="&amp;$C$5,DaybyDay[RowYear],"&gt;="&amp;$C$4,DaybyDay[Date],"&lt;="&amp;DaybyDay[[#This Row],[Date]])</f>
        <v>0</v>
      </c>
      <c r="R1026" s="34">
        <f>SUMIFS(DaybyDay[Retail-Actuals],DaybyDay[Date],"&gt;="&amp;$C$5,DaybyDay[RowYear],"&gt;="&amp;$C$4,DaybyDay[Date],"&lt;="&amp;DaybyDay[[#This Row],[Date]])</f>
        <v>0</v>
      </c>
      <c r="S1026" s="35">
        <f>SUMIFS(DaybyDay[Service-LY],DaybyDay[Date],"&gt;="&amp;$C$5,DaybyDay[RowYear],"&gt;="&amp;$C$4,DaybyDay[Date],"&lt;="&amp;DaybyDay[[#This Row],[Date]])</f>
        <v>0</v>
      </c>
      <c r="T1026" s="35">
        <f>SUMIFS(DaybyDay[Retail-LY],DaybyDay[Date],"&gt;="&amp;$C$5,DaybyDay[RowYear],"&gt;="&amp;$C$4,DaybyDay[Date],"&lt;="&amp;DaybyDay[[#This Row],[Date]])</f>
        <v>0</v>
      </c>
      <c r="U1026" s="32">
        <f>DaybyDay[[#This Row],[Serv-Bud-RU]]+DaybyDay[[#This Row],[Ret-Bud-RU]]</f>
        <v>0</v>
      </c>
      <c r="V1026" s="32">
        <f>DaybyDay[[#This Row],[Serv-Act-RU]]+DaybyDay[[#This Row],[Ret-Act-RU]]</f>
        <v>0</v>
      </c>
      <c r="W1026" s="36">
        <f>IF(DaybyDay[[#This Row],[_Space]],IFERROR(
((DaybyDay[[#This Row],[Actual-Rollup]]-DaybyDay[[#This Row],[Budget-Rollup]])/DaybyDay[[#This Row],[Budget-Rollup]]),0),"")</f>
        <v>0</v>
      </c>
      <c r="X1026" t="b">
        <f>NOT(AND(ISBLANK(DaybyDay[[#This Row],[Appts]]),ISBLANK(DaybyDay[[#This Row],[Service-Actuals]]),ISBLANK(DaybyDay[[#This Row],[Retail-Actuals]])))</f>
        <v>1</v>
      </c>
      <c r="Y1026" s="36">
        <f>IF(DaybyDay[[#This Row],[_Space]],IFERROR(
((DaybyDay[[#This Row],[Actual-Rollup]]-DaybyDay[[#This Row],[LY-Rollup]])/DaybyDay[[#This Row],[LY-Rollup]]),0),"")</f>
        <v>0</v>
      </c>
      <c r="Z1026"/>
      <c r="AA1026" s="37" t="e">
        <f>IF(DaybyDay[[#This Row],[_Space]],DaybyDay[[#This Row],[Ret-Act-RU]]/DaybyDay[[#This Row],[Serv-Act-RU]],"")</f>
        <v>#DIV/0!</v>
      </c>
      <c r="AB1026" s="50" t="e">
        <f>IF(DaybyDay[[#This Row],[_Space]],DaybyDay[[#This Row],[RETPEN-Act]]/DaybyDay[[#This Row],[RETPEN-Bud]],"")</f>
        <v>#DIV/0!</v>
      </c>
      <c r="AC1026" s="37" t="e">
        <f>IF(DaybyDay[[#This Row],[_Space]],DaybyDay[[#This Row],[Ret-Bud-RU]]/DaybyDay[[#This Row],[Serv-Bud-RU]],"")</f>
        <v>#DIV/0!</v>
      </c>
      <c r="AD1026" s="37" t="e">
        <f>IF(DaybyDay[[#This Row],[_Space]],DaybyDay[[#This Row],[Ret-LY-RU]]/DaybyDay[[#This Row],[Serv-LY-RU]],"")</f>
        <v>#DIV/0!</v>
      </c>
      <c r="AE1026" s="30">
        <f>WEEKDAY(DaybyDay[[#This Row],[LY-Date]])</f>
        <v>5</v>
      </c>
      <c r="AF1026" s="38">
        <f>$E$2+_xlfn.DAYS(DaybyDay[[#This Row],[Date]],minDate)</f>
        <v>43391</v>
      </c>
      <c r="AG1026" s="39" cm="1">
        <f t="array" ref="AG1026">IFERROR(INDEX(DaybyDay[],DaybyDay[[#This Row],[FORM_MATCH_HELPER]],8),"")</f>
        <v>17</v>
      </c>
      <c r="AH1026" s="39" cm="1">
        <f t="array" ref="AH1026">IFERROR(INDEX(DaybyDay[],DaybyDay[[#This Row],[FORM_MATCH_HELPER]],10),"")</f>
        <v>3534</v>
      </c>
      <c r="AI1026" s="39" cm="1">
        <f t="array" ref="AI1026">IFERROR(INDEX(DaybyDay[],DaybyDay[[#This Row],[FORM_MATCH_HELPER]],12),"")</f>
        <v>1210.1500000000001</v>
      </c>
      <c r="AJ1026" s="32">
        <f>IFERROR(DaybyDay[[#This Row],[Serv-LY-RU]]+DaybyDay[[#This Row],[Ret-LY-RU]],"")</f>
        <v>0</v>
      </c>
      <c r="AK10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6" s="77"/>
      <c r="AM1026" s="40" t="str">
        <f>IF(DaybyDay[[#This Row],[Admin Hours]]&gt;0,DaybyDay[[#This Row],[Admin Hours]]*$AM$2+$AM$3,"")</f>
        <v/>
      </c>
      <c r="AN1026" s="40">
        <f>SUMIFS(DaybyDay[Est-Admin-Payroll],DaybyDay[Date],"&gt;="&amp;$C$5,DaybyDay[RowYear],"&gt;="&amp;$C$4,DaybyDay[Date],"&lt;="&amp;DaybyDay[[#This Row],[Date]])</f>
        <v>0</v>
      </c>
      <c r="AO1026" s="41" t="str">
        <f>IF(AND(DaybyDay[[#This Row],[_Space]],ISNUMBER(DaybyDay[[#This Row],[Admin Hours]])),DaybyDay[[#This Row],[Est-Admin-Payroll]]/(DaybyDay[[#This Row],[Service-Actuals]]+DaybyDay[[#This Row],[Retail-Actuals]]),"")</f>
        <v/>
      </c>
      <c r="AP1026" s="41" t="e">
        <f>DaybyDay[[#This Row],[Estimated-Payroll-Rollup]]/DaybyDay[[#This Row],[Simple-Forecast]]</f>
        <v>#DIV/0!</v>
      </c>
      <c r="AQ10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6" s="77"/>
      <c r="AS1026" s="40" t="str">
        <f>IF(DaybyDay[[#This Row],[Retail Hours]]&gt;0,DaybyDay[[#This Row],[Retail Hours]]*$AS$2,"")</f>
        <v/>
      </c>
      <c r="AT1026" s="40">
        <f>SUMIFS(DaybyDay[Est-Retail-Payroll],DaybyDay[Date],"&gt;="&amp;$C$5,DaybyDay[RowYear],"&gt;="&amp;$C$4,DaybyDay[Date],"&lt;="&amp;DaybyDay[[#This Row],[Date]])</f>
        <v>0</v>
      </c>
      <c r="AU1026" s="82" t="str">
        <f>IF(AND(DaybyDay[[#This Row],[_Space]],ISNUMBER(DaybyDay[[#This Row],[Retail Hours]])),DaybyDay[[#This Row],[Est-Retail-Payroll]]/(DaybyDay[[#This Row],[Retail-Actuals]]),"")</f>
        <v/>
      </c>
      <c r="AV1026" s="82" t="e">
        <f>DaybyDay[[#This Row],[Est-Retail-PayrollRU]]/DaybyDay[[#This Row],[Simple-Forecast-Retail]]</f>
        <v>#DIV/0!</v>
      </c>
      <c r="AW1026" s="8"/>
      <c r="AX1026" s="15"/>
      <c r="AY1026" s="8"/>
    </row>
    <row r="1027" spans="3:51" hidden="1" x14ac:dyDescent="0.25">
      <c r="C1027" s="26" t="str">
        <f>Tools!$C$1</f>
        <v>Example</v>
      </c>
      <c r="D1027" s="27" t="s">
        <v>77</v>
      </c>
      <c r="E1027" s="28">
        <v>2019</v>
      </c>
      <c r="F1027" s="28">
        <f>MATCH(DaybyDay[[#This Row],[RowMonth]],Table3[SummaryMonth],0)</f>
        <v>10</v>
      </c>
      <c r="G1027" s="29">
        <f>MATCH(DaybyDay[[#This Row],[LY-Date]],DaybyDay[Date],0)</f>
        <v>657</v>
      </c>
      <c r="H1027" s="30">
        <f>WEEKDAY(DaybyDay[[#This Row],[Date]])</f>
        <v>6</v>
      </c>
      <c r="I1027" s="31">
        <v>43756</v>
      </c>
      <c r="J1027" s="74">
        <v>30</v>
      </c>
      <c r="K1027" s="32">
        <f>SUMIFS(BudgetSeasonality[365 Seasonality],BudgetSeasonality[MonthAdjustment],DaybyDay[[#This Row],[Date]])*SUMIFS(Budgets[Service-Budget],Budgets[BudgetMonth],DaybyDay[[#This Row],[RowMonth]],Budgets[BudgetYear],DaybyDay[[#This Row],[RowYear]])</f>
        <v>6609.2618475232348</v>
      </c>
      <c r="L1027" s="75">
        <v>5842.77</v>
      </c>
      <c r="M1027" s="32">
        <f>INDEX(BudgetSeasonality[365 Seasonality],MATCH(DaybyDay[[#This Row],[Date]],BudgetSeasonality[MonthAdjustment],0))*SUMIFS(Budgets[Retail-Budget],Budgets[BudgetMonth],DaybyDay[[#This Row],[RowMonth]],Budgets[BudgetYear],DaybyDay[[#This Row],[RowYear]])</f>
        <v>2069.3551706488215</v>
      </c>
      <c r="N1027" s="75">
        <v>2209.5</v>
      </c>
      <c r="O1027" s="33">
        <f>SUMIFS(DaybyDay[Service-Budgets],DaybyDay[Date],"&gt;="&amp;$C$5,DaybyDay[RowYear],"&gt;="&amp;$C$4,DaybyDay[Date],"&lt;="&amp;DaybyDay[[#This Row],[Date]])</f>
        <v>0</v>
      </c>
      <c r="P1027" s="33">
        <f>SUMIFS(DaybyDay[Retail-Budgets],DaybyDay[Date],"&gt;="&amp;$C$5,DaybyDay[RowYear],"&gt;="&amp;$C$4,DaybyDay[Date],"&lt;="&amp;DaybyDay[[#This Row],[Date]])</f>
        <v>0</v>
      </c>
      <c r="Q1027" s="34">
        <f>SUMIFS(DaybyDay[Service-Actuals],DaybyDay[Date],"&gt;="&amp;$C$5,DaybyDay[RowYear],"&gt;="&amp;$C$4,DaybyDay[Date],"&lt;="&amp;DaybyDay[[#This Row],[Date]])</f>
        <v>0</v>
      </c>
      <c r="R1027" s="34">
        <f>SUMIFS(DaybyDay[Retail-Actuals],DaybyDay[Date],"&gt;="&amp;$C$5,DaybyDay[RowYear],"&gt;="&amp;$C$4,DaybyDay[Date],"&lt;="&amp;DaybyDay[[#This Row],[Date]])</f>
        <v>0</v>
      </c>
      <c r="S1027" s="35">
        <f>SUMIFS(DaybyDay[Service-LY],DaybyDay[Date],"&gt;="&amp;$C$5,DaybyDay[RowYear],"&gt;="&amp;$C$4,DaybyDay[Date],"&lt;="&amp;DaybyDay[[#This Row],[Date]])</f>
        <v>0</v>
      </c>
      <c r="T1027" s="35">
        <f>SUMIFS(DaybyDay[Retail-LY],DaybyDay[Date],"&gt;="&amp;$C$5,DaybyDay[RowYear],"&gt;="&amp;$C$4,DaybyDay[Date],"&lt;="&amp;DaybyDay[[#This Row],[Date]])</f>
        <v>0</v>
      </c>
      <c r="U1027" s="32">
        <f>DaybyDay[[#This Row],[Serv-Bud-RU]]+DaybyDay[[#This Row],[Ret-Bud-RU]]</f>
        <v>0</v>
      </c>
      <c r="V1027" s="32">
        <f>DaybyDay[[#This Row],[Serv-Act-RU]]+DaybyDay[[#This Row],[Ret-Act-RU]]</f>
        <v>0</v>
      </c>
      <c r="W1027" s="36">
        <f>IF(DaybyDay[[#This Row],[_Space]],IFERROR(
((DaybyDay[[#This Row],[Actual-Rollup]]-DaybyDay[[#This Row],[Budget-Rollup]])/DaybyDay[[#This Row],[Budget-Rollup]]),0),"")</f>
        <v>0</v>
      </c>
      <c r="X1027" t="b">
        <f>NOT(AND(ISBLANK(DaybyDay[[#This Row],[Appts]]),ISBLANK(DaybyDay[[#This Row],[Service-Actuals]]),ISBLANK(DaybyDay[[#This Row],[Retail-Actuals]])))</f>
        <v>1</v>
      </c>
      <c r="Y1027" s="36">
        <f>IF(DaybyDay[[#This Row],[_Space]],IFERROR(
((DaybyDay[[#This Row],[Actual-Rollup]]-DaybyDay[[#This Row],[LY-Rollup]])/DaybyDay[[#This Row],[LY-Rollup]]),0),"")</f>
        <v>0</v>
      </c>
      <c r="Z1027"/>
      <c r="AA1027" s="37" t="e">
        <f>IF(DaybyDay[[#This Row],[_Space]],DaybyDay[[#This Row],[Ret-Act-RU]]/DaybyDay[[#This Row],[Serv-Act-RU]],"")</f>
        <v>#DIV/0!</v>
      </c>
      <c r="AB1027" s="50" t="e">
        <f>IF(DaybyDay[[#This Row],[_Space]],DaybyDay[[#This Row],[RETPEN-Act]]/DaybyDay[[#This Row],[RETPEN-Bud]],"")</f>
        <v>#DIV/0!</v>
      </c>
      <c r="AC1027" s="37" t="e">
        <f>IF(DaybyDay[[#This Row],[_Space]],DaybyDay[[#This Row],[Ret-Bud-RU]]/DaybyDay[[#This Row],[Serv-Bud-RU]],"")</f>
        <v>#DIV/0!</v>
      </c>
      <c r="AD1027" s="37" t="e">
        <f>IF(DaybyDay[[#This Row],[_Space]],DaybyDay[[#This Row],[Ret-LY-RU]]/DaybyDay[[#This Row],[Serv-LY-RU]],"")</f>
        <v>#DIV/0!</v>
      </c>
      <c r="AE1027" s="30">
        <f>WEEKDAY(DaybyDay[[#This Row],[LY-Date]])</f>
        <v>6</v>
      </c>
      <c r="AF1027" s="38">
        <f>$E$2+_xlfn.DAYS(DaybyDay[[#This Row],[Date]],minDate)</f>
        <v>43392</v>
      </c>
      <c r="AG1027" s="39" cm="1">
        <f t="array" ref="AG1027">IFERROR(INDEX(DaybyDay[],DaybyDay[[#This Row],[FORM_MATCH_HELPER]],8),"")</f>
        <v>12</v>
      </c>
      <c r="AH1027" s="39" cm="1">
        <f t="array" ref="AH1027">IFERROR(INDEX(DaybyDay[],DaybyDay[[#This Row],[FORM_MATCH_HELPER]],10),"")</f>
        <v>1999</v>
      </c>
      <c r="AI1027" s="39" cm="1">
        <f t="array" ref="AI1027">IFERROR(INDEX(DaybyDay[],DaybyDay[[#This Row],[FORM_MATCH_HELPER]],12),"")</f>
        <v>1084.5</v>
      </c>
      <c r="AJ1027" s="32">
        <f>IFERROR(DaybyDay[[#This Row],[Serv-LY-RU]]+DaybyDay[[#This Row],[Ret-LY-RU]],"")</f>
        <v>0</v>
      </c>
      <c r="AK10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7" s="77"/>
      <c r="AM1027" s="40" t="str">
        <f>IF(DaybyDay[[#This Row],[Admin Hours]]&gt;0,DaybyDay[[#This Row],[Admin Hours]]*$AM$2+$AM$3,"")</f>
        <v/>
      </c>
      <c r="AN1027" s="40">
        <f>SUMIFS(DaybyDay[Est-Admin-Payroll],DaybyDay[Date],"&gt;="&amp;$C$5,DaybyDay[RowYear],"&gt;="&amp;$C$4,DaybyDay[Date],"&lt;="&amp;DaybyDay[[#This Row],[Date]])</f>
        <v>0</v>
      </c>
      <c r="AO1027" s="41" t="str">
        <f>IF(AND(DaybyDay[[#This Row],[_Space]],ISNUMBER(DaybyDay[[#This Row],[Admin Hours]])),DaybyDay[[#This Row],[Est-Admin-Payroll]]/(DaybyDay[[#This Row],[Service-Actuals]]+DaybyDay[[#This Row],[Retail-Actuals]]),"")</f>
        <v/>
      </c>
      <c r="AP1027" s="41" t="e">
        <f>DaybyDay[[#This Row],[Estimated-Payroll-Rollup]]/DaybyDay[[#This Row],[Simple-Forecast]]</f>
        <v>#DIV/0!</v>
      </c>
      <c r="AQ10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7" s="77"/>
      <c r="AS1027" s="40" t="str">
        <f>IF(DaybyDay[[#This Row],[Retail Hours]]&gt;0,DaybyDay[[#This Row],[Retail Hours]]*$AS$2,"")</f>
        <v/>
      </c>
      <c r="AT1027" s="40">
        <f>SUMIFS(DaybyDay[Est-Retail-Payroll],DaybyDay[Date],"&gt;="&amp;$C$5,DaybyDay[RowYear],"&gt;="&amp;$C$4,DaybyDay[Date],"&lt;="&amp;DaybyDay[[#This Row],[Date]])</f>
        <v>0</v>
      </c>
      <c r="AU1027" s="82" t="str">
        <f>IF(AND(DaybyDay[[#This Row],[_Space]],ISNUMBER(DaybyDay[[#This Row],[Retail Hours]])),DaybyDay[[#This Row],[Est-Retail-Payroll]]/(DaybyDay[[#This Row],[Retail-Actuals]]),"")</f>
        <v/>
      </c>
      <c r="AV1027" s="82" t="e">
        <f>DaybyDay[[#This Row],[Est-Retail-PayrollRU]]/DaybyDay[[#This Row],[Simple-Forecast-Retail]]</f>
        <v>#DIV/0!</v>
      </c>
      <c r="AW1027" s="8"/>
      <c r="AX1027" s="15"/>
      <c r="AY1027" s="8"/>
    </row>
    <row r="1028" spans="3:51" hidden="1" x14ac:dyDescent="0.25">
      <c r="C1028" s="26" t="str">
        <f>Tools!$C$1</f>
        <v>Example</v>
      </c>
      <c r="D1028" s="27" t="s">
        <v>77</v>
      </c>
      <c r="E1028" s="28">
        <v>2019</v>
      </c>
      <c r="F1028" s="28">
        <f>MATCH(DaybyDay[[#This Row],[RowMonth]],Table3[SummaryMonth],0)</f>
        <v>10</v>
      </c>
      <c r="G1028" s="29">
        <f>MATCH(DaybyDay[[#This Row],[LY-Date]],DaybyDay[Date],0)</f>
        <v>658</v>
      </c>
      <c r="H1028" s="30">
        <f>WEEKDAY(DaybyDay[[#This Row],[Date]])</f>
        <v>7</v>
      </c>
      <c r="I1028" s="31">
        <v>43757</v>
      </c>
      <c r="J1028" s="74">
        <v>30</v>
      </c>
      <c r="K1028" s="32">
        <f>SUMIFS(BudgetSeasonality[365 Seasonality],BudgetSeasonality[MonthAdjustment],DaybyDay[[#This Row],[Date]])*SUMIFS(Budgets[Service-Budget],Budgets[BudgetMonth],DaybyDay[[#This Row],[RowMonth]],Budgets[BudgetYear],DaybyDay[[#This Row],[RowYear]])</f>
        <v>9262.5768304258363</v>
      </c>
      <c r="L1028" s="75">
        <v>7100.67</v>
      </c>
      <c r="M1028" s="32">
        <f>INDEX(BudgetSeasonality[365 Seasonality],MATCH(DaybyDay[[#This Row],[Date]],BudgetSeasonality[MonthAdjustment],0))*SUMIFS(Budgets[Retail-Budget],Budgets[BudgetMonth],DaybyDay[[#This Row],[RowMonth]],Budgets[BudgetYear],DaybyDay[[#This Row],[RowYear]])</f>
        <v>2900.1061994171951</v>
      </c>
      <c r="N1028" s="75">
        <v>1745.99</v>
      </c>
      <c r="O1028" s="33">
        <f>SUMIFS(DaybyDay[Service-Budgets],DaybyDay[Date],"&gt;="&amp;$C$5,DaybyDay[RowYear],"&gt;="&amp;$C$4,DaybyDay[Date],"&lt;="&amp;DaybyDay[[#This Row],[Date]])</f>
        <v>0</v>
      </c>
      <c r="P1028" s="33">
        <f>SUMIFS(DaybyDay[Retail-Budgets],DaybyDay[Date],"&gt;="&amp;$C$5,DaybyDay[RowYear],"&gt;="&amp;$C$4,DaybyDay[Date],"&lt;="&amp;DaybyDay[[#This Row],[Date]])</f>
        <v>0</v>
      </c>
      <c r="Q1028" s="34">
        <f>SUMIFS(DaybyDay[Service-Actuals],DaybyDay[Date],"&gt;="&amp;$C$5,DaybyDay[RowYear],"&gt;="&amp;$C$4,DaybyDay[Date],"&lt;="&amp;DaybyDay[[#This Row],[Date]])</f>
        <v>0</v>
      </c>
      <c r="R1028" s="34">
        <f>SUMIFS(DaybyDay[Retail-Actuals],DaybyDay[Date],"&gt;="&amp;$C$5,DaybyDay[RowYear],"&gt;="&amp;$C$4,DaybyDay[Date],"&lt;="&amp;DaybyDay[[#This Row],[Date]])</f>
        <v>0</v>
      </c>
      <c r="S1028" s="35">
        <f>SUMIFS(DaybyDay[Service-LY],DaybyDay[Date],"&gt;="&amp;$C$5,DaybyDay[RowYear],"&gt;="&amp;$C$4,DaybyDay[Date],"&lt;="&amp;DaybyDay[[#This Row],[Date]])</f>
        <v>0</v>
      </c>
      <c r="T1028" s="35">
        <f>SUMIFS(DaybyDay[Retail-LY],DaybyDay[Date],"&gt;="&amp;$C$5,DaybyDay[RowYear],"&gt;="&amp;$C$4,DaybyDay[Date],"&lt;="&amp;DaybyDay[[#This Row],[Date]])</f>
        <v>0</v>
      </c>
      <c r="U1028" s="32">
        <f>DaybyDay[[#This Row],[Serv-Bud-RU]]+DaybyDay[[#This Row],[Ret-Bud-RU]]</f>
        <v>0</v>
      </c>
      <c r="V1028" s="32">
        <f>DaybyDay[[#This Row],[Serv-Act-RU]]+DaybyDay[[#This Row],[Ret-Act-RU]]</f>
        <v>0</v>
      </c>
      <c r="W1028" s="36">
        <f>IF(DaybyDay[[#This Row],[_Space]],IFERROR(
((DaybyDay[[#This Row],[Actual-Rollup]]-DaybyDay[[#This Row],[Budget-Rollup]])/DaybyDay[[#This Row],[Budget-Rollup]]),0),"")</f>
        <v>0</v>
      </c>
      <c r="X1028" t="b">
        <f>NOT(AND(ISBLANK(DaybyDay[[#This Row],[Appts]]),ISBLANK(DaybyDay[[#This Row],[Service-Actuals]]),ISBLANK(DaybyDay[[#This Row],[Retail-Actuals]])))</f>
        <v>1</v>
      </c>
      <c r="Y1028" s="36">
        <f>IF(DaybyDay[[#This Row],[_Space]],IFERROR(
((DaybyDay[[#This Row],[Actual-Rollup]]-DaybyDay[[#This Row],[LY-Rollup]])/DaybyDay[[#This Row],[LY-Rollup]]),0),"")</f>
        <v>0</v>
      </c>
      <c r="Z1028"/>
      <c r="AA1028" s="37" t="e">
        <f>IF(DaybyDay[[#This Row],[_Space]],DaybyDay[[#This Row],[Ret-Act-RU]]/DaybyDay[[#This Row],[Serv-Act-RU]],"")</f>
        <v>#DIV/0!</v>
      </c>
      <c r="AB1028" s="50" t="e">
        <f>IF(DaybyDay[[#This Row],[_Space]],DaybyDay[[#This Row],[RETPEN-Act]]/DaybyDay[[#This Row],[RETPEN-Bud]],"")</f>
        <v>#DIV/0!</v>
      </c>
      <c r="AC1028" s="37" t="e">
        <f>IF(DaybyDay[[#This Row],[_Space]],DaybyDay[[#This Row],[Ret-Bud-RU]]/DaybyDay[[#This Row],[Serv-Bud-RU]],"")</f>
        <v>#DIV/0!</v>
      </c>
      <c r="AD1028" s="37" t="e">
        <f>IF(DaybyDay[[#This Row],[_Space]],DaybyDay[[#This Row],[Ret-LY-RU]]/DaybyDay[[#This Row],[Serv-LY-RU]],"")</f>
        <v>#DIV/0!</v>
      </c>
      <c r="AE1028" s="30">
        <f>WEEKDAY(DaybyDay[[#This Row],[LY-Date]])</f>
        <v>7</v>
      </c>
      <c r="AF1028" s="38">
        <f>$E$2+_xlfn.DAYS(DaybyDay[[#This Row],[Date]],minDate)</f>
        <v>43393</v>
      </c>
      <c r="AG1028" s="39" cm="1">
        <f t="array" ref="AG1028">IFERROR(INDEX(DaybyDay[],DaybyDay[[#This Row],[FORM_MATCH_HELPER]],8),"")</f>
        <v>33</v>
      </c>
      <c r="AH1028" s="39" cm="1">
        <f t="array" ref="AH1028">IFERROR(INDEX(DaybyDay[],DaybyDay[[#This Row],[FORM_MATCH_HELPER]],10),"")</f>
        <v>7800</v>
      </c>
      <c r="AI1028" s="39" cm="1">
        <f t="array" ref="AI1028">IFERROR(INDEX(DaybyDay[],DaybyDay[[#This Row],[FORM_MATCH_HELPER]],12),"")</f>
        <v>563.35</v>
      </c>
      <c r="AJ1028" s="32">
        <f>IFERROR(DaybyDay[[#This Row],[Serv-LY-RU]]+DaybyDay[[#This Row],[Ret-LY-RU]],"")</f>
        <v>0</v>
      </c>
      <c r="AK10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8" s="77"/>
      <c r="AM1028" s="40" t="str">
        <f>IF(DaybyDay[[#This Row],[Admin Hours]]&gt;0,DaybyDay[[#This Row],[Admin Hours]]*$AM$2+$AM$3,"")</f>
        <v/>
      </c>
      <c r="AN1028" s="40">
        <f>SUMIFS(DaybyDay[Est-Admin-Payroll],DaybyDay[Date],"&gt;="&amp;$C$5,DaybyDay[RowYear],"&gt;="&amp;$C$4,DaybyDay[Date],"&lt;="&amp;DaybyDay[[#This Row],[Date]])</f>
        <v>0</v>
      </c>
      <c r="AO1028" s="41" t="str">
        <f>IF(AND(DaybyDay[[#This Row],[_Space]],ISNUMBER(DaybyDay[[#This Row],[Admin Hours]])),DaybyDay[[#This Row],[Est-Admin-Payroll]]/(DaybyDay[[#This Row],[Service-Actuals]]+DaybyDay[[#This Row],[Retail-Actuals]]),"")</f>
        <v/>
      </c>
      <c r="AP1028" s="41" t="e">
        <f>DaybyDay[[#This Row],[Estimated-Payroll-Rollup]]/DaybyDay[[#This Row],[Simple-Forecast]]</f>
        <v>#DIV/0!</v>
      </c>
      <c r="AQ10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8" s="77"/>
      <c r="AS1028" s="40" t="str">
        <f>IF(DaybyDay[[#This Row],[Retail Hours]]&gt;0,DaybyDay[[#This Row],[Retail Hours]]*$AS$2,"")</f>
        <v/>
      </c>
      <c r="AT1028" s="40">
        <f>SUMIFS(DaybyDay[Est-Retail-Payroll],DaybyDay[Date],"&gt;="&amp;$C$5,DaybyDay[RowYear],"&gt;="&amp;$C$4,DaybyDay[Date],"&lt;="&amp;DaybyDay[[#This Row],[Date]])</f>
        <v>0</v>
      </c>
      <c r="AU1028" s="82" t="str">
        <f>IF(AND(DaybyDay[[#This Row],[_Space]],ISNUMBER(DaybyDay[[#This Row],[Retail Hours]])),DaybyDay[[#This Row],[Est-Retail-Payroll]]/(DaybyDay[[#This Row],[Retail-Actuals]]),"")</f>
        <v/>
      </c>
      <c r="AV1028" s="82" t="e">
        <f>DaybyDay[[#This Row],[Est-Retail-PayrollRU]]/DaybyDay[[#This Row],[Simple-Forecast-Retail]]</f>
        <v>#DIV/0!</v>
      </c>
      <c r="AW1028" s="8"/>
      <c r="AX1028" s="15"/>
      <c r="AY1028" s="8"/>
    </row>
    <row r="1029" spans="3:51" hidden="1" x14ac:dyDescent="0.25">
      <c r="C1029" s="26" t="str">
        <f>Tools!$C$1</f>
        <v>Example</v>
      </c>
      <c r="D1029" s="27" t="s">
        <v>77</v>
      </c>
      <c r="E1029" s="28">
        <v>2019</v>
      </c>
      <c r="F1029" s="28">
        <f>MATCH(DaybyDay[[#This Row],[RowMonth]],Table3[SummaryMonth],0)</f>
        <v>10</v>
      </c>
      <c r="G1029" s="29">
        <f>MATCH(DaybyDay[[#This Row],[LY-Date]],DaybyDay[Date],0)</f>
        <v>659</v>
      </c>
      <c r="H1029" s="30">
        <f>WEEKDAY(DaybyDay[[#This Row],[Date]])</f>
        <v>1</v>
      </c>
      <c r="I1029" s="31">
        <v>43758</v>
      </c>
      <c r="J1029" s="74">
        <v>24</v>
      </c>
      <c r="K1029" s="32">
        <f>SUMIFS(BudgetSeasonality[365 Seasonality],BudgetSeasonality[MonthAdjustment],DaybyDay[[#This Row],[Date]])*SUMIFS(Budgets[Service-Budget],Budgets[BudgetMonth],DaybyDay[[#This Row],[RowMonth]],Budgets[BudgetYear],DaybyDay[[#This Row],[RowYear]])</f>
        <v>7332.2048611785112</v>
      </c>
      <c r="L1029" s="75">
        <v>5418.8899999999994</v>
      </c>
      <c r="M1029" s="32">
        <f>INDEX(BudgetSeasonality[365 Seasonality],MATCH(DaybyDay[[#This Row],[Date]],BudgetSeasonality[MonthAdjustment],0))*SUMIFS(Budgets[Retail-Budget],Budgets[BudgetMonth],DaybyDay[[#This Row],[RowMonth]],Budgets[BudgetYear],DaybyDay[[#This Row],[RowYear]])</f>
        <v>2295.708112612017</v>
      </c>
      <c r="N1029" s="75">
        <v>433.55</v>
      </c>
      <c r="O1029" s="33">
        <f>SUMIFS(DaybyDay[Service-Budgets],DaybyDay[Date],"&gt;="&amp;$C$5,DaybyDay[RowYear],"&gt;="&amp;$C$4,DaybyDay[Date],"&lt;="&amp;DaybyDay[[#This Row],[Date]])</f>
        <v>0</v>
      </c>
      <c r="P1029" s="33">
        <f>SUMIFS(DaybyDay[Retail-Budgets],DaybyDay[Date],"&gt;="&amp;$C$5,DaybyDay[RowYear],"&gt;="&amp;$C$4,DaybyDay[Date],"&lt;="&amp;DaybyDay[[#This Row],[Date]])</f>
        <v>0</v>
      </c>
      <c r="Q1029" s="34">
        <f>SUMIFS(DaybyDay[Service-Actuals],DaybyDay[Date],"&gt;="&amp;$C$5,DaybyDay[RowYear],"&gt;="&amp;$C$4,DaybyDay[Date],"&lt;="&amp;DaybyDay[[#This Row],[Date]])</f>
        <v>0</v>
      </c>
      <c r="R1029" s="34">
        <f>SUMIFS(DaybyDay[Retail-Actuals],DaybyDay[Date],"&gt;="&amp;$C$5,DaybyDay[RowYear],"&gt;="&amp;$C$4,DaybyDay[Date],"&lt;="&amp;DaybyDay[[#This Row],[Date]])</f>
        <v>0</v>
      </c>
      <c r="S1029" s="35">
        <f>SUMIFS(DaybyDay[Service-LY],DaybyDay[Date],"&gt;="&amp;$C$5,DaybyDay[RowYear],"&gt;="&amp;$C$4,DaybyDay[Date],"&lt;="&amp;DaybyDay[[#This Row],[Date]])</f>
        <v>0</v>
      </c>
      <c r="T1029" s="35">
        <f>SUMIFS(DaybyDay[Retail-LY],DaybyDay[Date],"&gt;="&amp;$C$5,DaybyDay[RowYear],"&gt;="&amp;$C$4,DaybyDay[Date],"&lt;="&amp;DaybyDay[[#This Row],[Date]])</f>
        <v>0</v>
      </c>
      <c r="U1029" s="32">
        <f>DaybyDay[[#This Row],[Serv-Bud-RU]]+DaybyDay[[#This Row],[Ret-Bud-RU]]</f>
        <v>0</v>
      </c>
      <c r="V1029" s="32">
        <f>DaybyDay[[#This Row],[Serv-Act-RU]]+DaybyDay[[#This Row],[Ret-Act-RU]]</f>
        <v>0</v>
      </c>
      <c r="W1029" s="36">
        <f>IF(DaybyDay[[#This Row],[_Space]],IFERROR(
((DaybyDay[[#This Row],[Actual-Rollup]]-DaybyDay[[#This Row],[Budget-Rollup]])/DaybyDay[[#This Row],[Budget-Rollup]]),0),"")</f>
        <v>0</v>
      </c>
      <c r="X1029" t="b">
        <f>NOT(AND(ISBLANK(DaybyDay[[#This Row],[Appts]]),ISBLANK(DaybyDay[[#This Row],[Service-Actuals]]),ISBLANK(DaybyDay[[#This Row],[Retail-Actuals]])))</f>
        <v>1</v>
      </c>
      <c r="Y1029" s="36">
        <f>IF(DaybyDay[[#This Row],[_Space]],IFERROR(
((DaybyDay[[#This Row],[Actual-Rollup]]-DaybyDay[[#This Row],[LY-Rollup]])/DaybyDay[[#This Row],[LY-Rollup]]),0),"")</f>
        <v>0</v>
      </c>
      <c r="Z1029"/>
      <c r="AA1029" s="37" t="e">
        <f>IF(DaybyDay[[#This Row],[_Space]],DaybyDay[[#This Row],[Ret-Act-RU]]/DaybyDay[[#This Row],[Serv-Act-RU]],"")</f>
        <v>#DIV/0!</v>
      </c>
      <c r="AB1029" s="50" t="e">
        <f>IF(DaybyDay[[#This Row],[_Space]],DaybyDay[[#This Row],[RETPEN-Act]]/DaybyDay[[#This Row],[RETPEN-Bud]],"")</f>
        <v>#DIV/0!</v>
      </c>
      <c r="AC1029" s="37" t="e">
        <f>IF(DaybyDay[[#This Row],[_Space]],DaybyDay[[#This Row],[Ret-Bud-RU]]/DaybyDay[[#This Row],[Serv-Bud-RU]],"")</f>
        <v>#DIV/0!</v>
      </c>
      <c r="AD1029" s="37" t="e">
        <f>IF(DaybyDay[[#This Row],[_Space]],DaybyDay[[#This Row],[Ret-LY-RU]]/DaybyDay[[#This Row],[Serv-LY-RU]],"")</f>
        <v>#DIV/0!</v>
      </c>
      <c r="AE1029" s="30">
        <f>WEEKDAY(DaybyDay[[#This Row],[LY-Date]])</f>
        <v>1</v>
      </c>
      <c r="AF1029" s="38">
        <f>$E$2+_xlfn.DAYS(DaybyDay[[#This Row],[Date]],minDate)</f>
        <v>43394</v>
      </c>
      <c r="AG1029" s="39" cm="1">
        <f t="array" ref="AG1029">IFERROR(INDEX(DaybyDay[],DaybyDay[[#This Row],[FORM_MATCH_HELPER]],8),"")</f>
        <v>38</v>
      </c>
      <c r="AH1029" s="39" cm="1">
        <f t="array" ref="AH1029">IFERROR(INDEX(DaybyDay[],DaybyDay[[#This Row],[FORM_MATCH_HELPER]],10),"")</f>
        <v>9588.25</v>
      </c>
      <c r="AI1029" s="39" cm="1">
        <f t="array" ref="AI1029">IFERROR(INDEX(DaybyDay[],DaybyDay[[#This Row],[FORM_MATCH_HELPER]],12),"")</f>
        <v>18955.650000000001</v>
      </c>
      <c r="AJ1029" s="32">
        <f>IFERROR(DaybyDay[[#This Row],[Serv-LY-RU]]+DaybyDay[[#This Row],[Ret-LY-RU]],"")</f>
        <v>0</v>
      </c>
      <c r="AK10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29" s="77"/>
      <c r="AM1029" s="40" t="str">
        <f>IF(DaybyDay[[#This Row],[Admin Hours]]&gt;0,DaybyDay[[#This Row],[Admin Hours]]*$AM$2+$AM$3,"")</f>
        <v/>
      </c>
      <c r="AN1029" s="40">
        <f>SUMIFS(DaybyDay[Est-Admin-Payroll],DaybyDay[Date],"&gt;="&amp;$C$5,DaybyDay[RowYear],"&gt;="&amp;$C$4,DaybyDay[Date],"&lt;="&amp;DaybyDay[[#This Row],[Date]])</f>
        <v>0</v>
      </c>
      <c r="AO1029" s="41" t="str">
        <f>IF(AND(DaybyDay[[#This Row],[_Space]],ISNUMBER(DaybyDay[[#This Row],[Admin Hours]])),DaybyDay[[#This Row],[Est-Admin-Payroll]]/(DaybyDay[[#This Row],[Service-Actuals]]+DaybyDay[[#This Row],[Retail-Actuals]]),"")</f>
        <v/>
      </c>
      <c r="AP1029" s="41" t="e">
        <f>DaybyDay[[#This Row],[Estimated-Payroll-Rollup]]/DaybyDay[[#This Row],[Simple-Forecast]]</f>
        <v>#DIV/0!</v>
      </c>
      <c r="AQ10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29" s="77"/>
      <c r="AS1029" s="40" t="str">
        <f>IF(DaybyDay[[#This Row],[Retail Hours]]&gt;0,DaybyDay[[#This Row],[Retail Hours]]*$AS$2,"")</f>
        <v/>
      </c>
      <c r="AT1029" s="40">
        <f>SUMIFS(DaybyDay[Est-Retail-Payroll],DaybyDay[Date],"&gt;="&amp;$C$5,DaybyDay[RowYear],"&gt;="&amp;$C$4,DaybyDay[Date],"&lt;="&amp;DaybyDay[[#This Row],[Date]])</f>
        <v>0</v>
      </c>
      <c r="AU1029" s="82" t="str">
        <f>IF(AND(DaybyDay[[#This Row],[_Space]],ISNUMBER(DaybyDay[[#This Row],[Retail Hours]])),DaybyDay[[#This Row],[Est-Retail-Payroll]]/(DaybyDay[[#This Row],[Retail-Actuals]]),"")</f>
        <v/>
      </c>
      <c r="AV1029" s="82" t="e">
        <f>DaybyDay[[#This Row],[Est-Retail-PayrollRU]]/DaybyDay[[#This Row],[Simple-Forecast-Retail]]</f>
        <v>#DIV/0!</v>
      </c>
      <c r="AW1029" s="8"/>
      <c r="AX1029" s="15"/>
      <c r="AY1029" s="8"/>
    </row>
    <row r="1030" spans="3:51" hidden="1" x14ac:dyDescent="0.25">
      <c r="C1030" s="26" t="str">
        <f>Tools!$C$1</f>
        <v>Example</v>
      </c>
      <c r="D1030" s="27" t="s">
        <v>77</v>
      </c>
      <c r="E1030" s="28">
        <v>2019</v>
      </c>
      <c r="F1030" s="28">
        <f>MATCH(DaybyDay[[#This Row],[RowMonth]],Table3[SummaryMonth],0)</f>
        <v>10</v>
      </c>
      <c r="G1030" s="29">
        <f>MATCH(DaybyDay[[#This Row],[LY-Date]],DaybyDay[Date],0)</f>
        <v>660</v>
      </c>
      <c r="H1030" s="30">
        <f>WEEKDAY(DaybyDay[[#This Row],[Date]])</f>
        <v>2</v>
      </c>
      <c r="I1030" s="31">
        <v>43759</v>
      </c>
      <c r="J1030" s="74">
        <v>25</v>
      </c>
      <c r="K1030" s="32">
        <f>SUMIFS(BudgetSeasonality[365 Seasonality],BudgetSeasonality[MonthAdjustment],DaybyDay[[#This Row],[Date]])*SUMIFS(Budgets[Service-Budget],Budgets[BudgetMonth],DaybyDay[[#This Row],[RowMonth]],Budgets[BudgetYear],DaybyDay[[#This Row],[RowYear]])</f>
        <v>4507.118524961732</v>
      </c>
      <c r="L1030" s="75">
        <v>4641.92</v>
      </c>
      <c r="M1030" s="32">
        <f>INDEX(BudgetSeasonality[365 Seasonality],MATCH(DaybyDay[[#This Row],[Date]],BudgetSeasonality[MonthAdjustment],0))*SUMIFS(Budgets[Retail-Budget],Budgets[BudgetMonth],DaybyDay[[#This Row],[RowMonth]],Budgets[BudgetYear],DaybyDay[[#This Row],[RowYear]])</f>
        <v>1411.1755956305167</v>
      </c>
      <c r="N1030" s="75">
        <v>389.5</v>
      </c>
      <c r="O1030" s="33">
        <f>SUMIFS(DaybyDay[Service-Budgets],DaybyDay[Date],"&gt;="&amp;$C$5,DaybyDay[RowYear],"&gt;="&amp;$C$4,DaybyDay[Date],"&lt;="&amp;DaybyDay[[#This Row],[Date]])</f>
        <v>0</v>
      </c>
      <c r="P1030" s="33">
        <f>SUMIFS(DaybyDay[Retail-Budgets],DaybyDay[Date],"&gt;="&amp;$C$5,DaybyDay[RowYear],"&gt;="&amp;$C$4,DaybyDay[Date],"&lt;="&amp;DaybyDay[[#This Row],[Date]])</f>
        <v>0</v>
      </c>
      <c r="Q1030" s="34">
        <f>SUMIFS(DaybyDay[Service-Actuals],DaybyDay[Date],"&gt;="&amp;$C$5,DaybyDay[RowYear],"&gt;="&amp;$C$4,DaybyDay[Date],"&lt;="&amp;DaybyDay[[#This Row],[Date]])</f>
        <v>0</v>
      </c>
      <c r="R1030" s="34">
        <f>SUMIFS(DaybyDay[Retail-Actuals],DaybyDay[Date],"&gt;="&amp;$C$5,DaybyDay[RowYear],"&gt;="&amp;$C$4,DaybyDay[Date],"&lt;="&amp;DaybyDay[[#This Row],[Date]])</f>
        <v>0</v>
      </c>
      <c r="S1030" s="35">
        <f>SUMIFS(DaybyDay[Service-LY],DaybyDay[Date],"&gt;="&amp;$C$5,DaybyDay[RowYear],"&gt;="&amp;$C$4,DaybyDay[Date],"&lt;="&amp;DaybyDay[[#This Row],[Date]])</f>
        <v>0</v>
      </c>
      <c r="T1030" s="35">
        <f>SUMIFS(DaybyDay[Retail-LY],DaybyDay[Date],"&gt;="&amp;$C$5,DaybyDay[RowYear],"&gt;="&amp;$C$4,DaybyDay[Date],"&lt;="&amp;DaybyDay[[#This Row],[Date]])</f>
        <v>0</v>
      </c>
      <c r="U1030" s="32">
        <f>DaybyDay[[#This Row],[Serv-Bud-RU]]+DaybyDay[[#This Row],[Ret-Bud-RU]]</f>
        <v>0</v>
      </c>
      <c r="V1030" s="32">
        <f>DaybyDay[[#This Row],[Serv-Act-RU]]+DaybyDay[[#This Row],[Ret-Act-RU]]</f>
        <v>0</v>
      </c>
      <c r="W1030" s="36">
        <f>IF(DaybyDay[[#This Row],[_Space]],IFERROR(
((DaybyDay[[#This Row],[Actual-Rollup]]-DaybyDay[[#This Row],[Budget-Rollup]])/DaybyDay[[#This Row],[Budget-Rollup]]),0),"")</f>
        <v>0</v>
      </c>
      <c r="X1030" t="b">
        <f>NOT(AND(ISBLANK(DaybyDay[[#This Row],[Appts]]),ISBLANK(DaybyDay[[#This Row],[Service-Actuals]]),ISBLANK(DaybyDay[[#This Row],[Retail-Actuals]])))</f>
        <v>1</v>
      </c>
      <c r="Y1030" s="36">
        <f>IF(DaybyDay[[#This Row],[_Space]],IFERROR(
((DaybyDay[[#This Row],[Actual-Rollup]]-DaybyDay[[#This Row],[LY-Rollup]])/DaybyDay[[#This Row],[LY-Rollup]]),0),"")</f>
        <v>0</v>
      </c>
      <c r="Z1030"/>
      <c r="AA1030" s="37" t="e">
        <f>IF(DaybyDay[[#This Row],[_Space]],DaybyDay[[#This Row],[Ret-Act-RU]]/DaybyDay[[#This Row],[Serv-Act-RU]],"")</f>
        <v>#DIV/0!</v>
      </c>
      <c r="AB1030" s="50" t="e">
        <f>IF(DaybyDay[[#This Row],[_Space]],DaybyDay[[#This Row],[RETPEN-Act]]/DaybyDay[[#This Row],[RETPEN-Bud]],"")</f>
        <v>#DIV/0!</v>
      </c>
      <c r="AC1030" s="37" t="e">
        <f>IF(DaybyDay[[#This Row],[_Space]],DaybyDay[[#This Row],[Ret-Bud-RU]]/DaybyDay[[#This Row],[Serv-Bud-RU]],"")</f>
        <v>#DIV/0!</v>
      </c>
      <c r="AD1030" s="37" t="e">
        <f>IF(DaybyDay[[#This Row],[_Space]],DaybyDay[[#This Row],[Ret-LY-RU]]/DaybyDay[[#This Row],[Serv-LY-RU]],"")</f>
        <v>#DIV/0!</v>
      </c>
      <c r="AE1030" s="30">
        <f>WEEKDAY(DaybyDay[[#This Row],[LY-Date]])</f>
        <v>2</v>
      </c>
      <c r="AF1030" s="38">
        <f>$E$2+_xlfn.DAYS(DaybyDay[[#This Row],[Date]],minDate)</f>
        <v>43395</v>
      </c>
      <c r="AG1030" s="39" cm="1">
        <f t="array" ref="AG1030">IFERROR(INDEX(DaybyDay[],DaybyDay[[#This Row],[FORM_MATCH_HELPER]],8),"")</f>
        <v>14</v>
      </c>
      <c r="AH1030" s="39" cm="1">
        <f t="array" ref="AH1030">IFERROR(INDEX(DaybyDay[],DaybyDay[[#This Row],[FORM_MATCH_HELPER]],10),"")</f>
        <v>4040.47</v>
      </c>
      <c r="AI1030" s="39" cm="1">
        <f t="array" ref="AI1030">IFERROR(INDEX(DaybyDay[],DaybyDay[[#This Row],[FORM_MATCH_HELPER]],12),"")</f>
        <v>3579.88</v>
      </c>
      <c r="AJ1030" s="32">
        <f>IFERROR(DaybyDay[[#This Row],[Serv-LY-RU]]+DaybyDay[[#This Row],[Ret-LY-RU]],"")</f>
        <v>0</v>
      </c>
      <c r="AK10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0" s="77"/>
      <c r="AM1030" s="40" t="str">
        <f>IF(DaybyDay[[#This Row],[Admin Hours]]&gt;0,DaybyDay[[#This Row],[Admin Hours]]*$AM$2+$AM$3,"")</f>
        <v/>
      </c>
      <c r="AN1030" s="40">
        <f>SUMIFS(DaybyDay[Est-Admin-Payroll],DaybyDay[Date],"&gt;="&amp;$C$5,DaybyDay[RowYear],"&gt;="&amp;$C$4,DaybyDay[Date],"&lt;="&amp;DaybyDay[[#This Row],[Date]])</f>
        <v>0</v>
      </c>
      <c r="AO1030" s="41" t="str">
        <f>IF(AND(DaybyDay[[#This Row],[_Space]],ISNUMBER(DaybyDay[[#This Row],[Admin Hours]])),DaybyDay[[#This Row],[Est-Admin-Payroll]]/(DaybyDay[[#This Row],[Service-Actuals]]+DaybyDay[[#This Row],[Retail-Actuals]]),"")</f>
        <v/>
      </c>
      <c r="AP1030" s="41" t="e">
        <f>DaybyDay[[#This Row],[Estimated-Payroll-Rollup]]/DaybyDay[[#This Row],[Simple-Forecast]]</f>
        <v>#DIV/0!</v>
      </c>
      <c r="AQ10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0" s="77"/>
      <c r="AS1030" s="40" t="str">
        <f>IF(DaybyDay[[#This Row],[Retail Hours]]&gt;0,DaybyDay[[#This Row],[Retail Hours]]*$AS$2,"")</f>
        <v/>
      </c>
      <c r="AT1030" s="40">
        <f>SUMIFS(DaybyDay[Est-Retail-Payroll],DaybyDay[Date],"&gt;="&amp;$C$5,DaybyDay[RowYear],"&gt;="&amp;$C$4,DaybyDay[Date],"&lt;="&amp;DaybyDay[[#This Row],[Date]])</f>
        <v>0</v>
      </c>
      <c r="AU1030" s="82" t="str">
        <f>IF(AND(DaybyDay[[#This Row],[_Space]],ISNUMBER(DaybyDay[[#This Row],[Retail Hours]])),DaybyDay[[#This Row],[Est-Retail-Payroll]]/(DaybyDay[[#This Row],[Retail-Actuals]]),"")</f>
        <v/>
      </c>
      <c r="AV1030" s="82" t="e">
        <f>DaybyDay[[#This Row],[Est-Retail-PayrollRU]]/DaybyDay[[#This Row],[Simple-Forecast-Retail]]</f>
        <v>#DIV/0!</v>
      </c>
      <c r="AW1030" s="8"/>
      <c r="AX1030" s="15"/>
      <c r="AY1030" s="8"/>
    </row>
    <row r="1031" spans="3:51" hidden="1" x14ac:dyDescent="0.25">
      <c r="C1031" s="26" t="str">
        <f>Tools!$C$1</f>
        <v>Example</v>
      </c>
      <c r="D1031" s="27" t="s">
        <v>77</v>
      </c>
      <c r="E1031" s="28">
        <v>2019</v>
      </c>
      <c r="F1031" s="28">
        <f>MATCH(DaybyDay[[#This Row],[RowMonth]],Table3[SummaryMonth],0)</f>
        <v>10</v>
      </c>
      <c r="G1031" s="29">
        <f>MATCH(DaybyDay[[#This Row],[LY-Date]],DaybyDay[Date],0)</f>
        <v>661</v>
      </c>
      <c r="H1031" s="30">
        <f>WEEKDAY(DaybyDay[[#This Row],[Date]])</f>
        <v>3</v>
      </c>
      <c r="I1031" s="31">
        <v>43760</v>
      </c>
      <c r="J1031" s="74">
        <v>14</v>
      </c>
      <c r="K1031" s="32">
        <f>SUMIFS(BudgetSeasonality[365 Seasonality],BudgetSeasonality[MonthAdjustment],DaybyDay[[#This Row],[Date]])*SUMIFS(Budgets[Service-Budget],Budgets[BudgetMonth],DaybyDay[[#This Row],[RowMonth]],Budgets[BudgetYear],DaybyDay[[#This Row],[RowYear]])</f>
        <v>4673.4804263398273</v>
      </c>
      <c r="L1031" s="75">
        <v>4283.6000000000004</v>
      </c>
      <c r="M1031" s="32">
        <f>INDEX(BudgetSeasonality[365 Seasonality],MATCH(DaybyDay[[#This Row],[Date]],BudgetSeasonality[MonthAdjustment],0))*SUMIFS(Budgets[Retail-Budget],Budgets[BudgetMonth],DaybyDay[[#This Row],[RowMonth]],Budgets[BudgetYear],DaybyDay[[#This Row],[RowYear]])</f>
        <v>1463.2633883005467</v>
      </c>
      <c r="N1031" s="75">
        <v>310.89999999999998</v>
      </c>
      <c r="O1031" s="33">
        <f>SUMIFS(DaybyDay[Service-Budgets],DaybyDay[Date],"&gt;="&amp;$C$5,DaybyDay[RowYear],"&gt;="&amp;$C$4,DaybyDay[Date],"&lt;="&amp;DaybyDay[[#This Row],[Date]])</f>
        <v>0</v>
      </c>
      <c r="P1031" s="33">
        <f>SUMIFS(DaybyDay[Retail-Budgets],DaybyDay[Date],"&gt;="&amp;$C$5,DaybyDay[RowYear],"&gt;="&amp;$C$4,DaybyDay[Date],"&lt;="&amp;DaybyDay[[#This Row],[Date]])</f>
        <v>0</v>
      </c>
      <c r="Q1031" s="34">
        <f>SUMIFS(DaybyDay[Service-Actuals],DaybyDay[Date],"&gt;="&amp;$C$5,DaybyDay[RowYear],"&gt;="&amp;$C$4,DaybyDay[Date],"&lt;="&amp;DaybyDay[[#This Row],[Date]])</f>
        <v>0</v>
      </c>
      <c r="R1031" s="34">
        <f>SUMIFS(DaybyDay[Retail-Actuals],DaybyDay[Date],"&gt;="&amp;$C$5,DaybyDay[RowYear],"&gt;="&amp;$C$4,DaybyDay[Date],"&lt;="&amp;DaybyDay[[#This Row],[Date]])</f>
        <v>0</v>
      </c>
      <c r="S1031" s="35">
        <f>SUMIFS(DaybyDay[Service-LY],DaybyDay[Date],"&gt;="&amp;$C$5,DaybyDay[RowYear],"&gt;="&amp;$C$4,DaybyDay[Date],"&lt;="&amp;DaybyDay[[#This Row],[Date]])</f>
        <v>0</v>
      </c>
      <c r="T1031" s="35">
        <f>SUMIFS(DaybyDay[Retail-LY],DaybyDay[Date],"&gt;="&amp;$C$5,DaybyDay[RowYear],"&gt;="&amp;$C$4,DaybyDay[Date],"&lt;="&amp;DaybyDay[[#This Row],[Date]])</f>
        <v>0</v>
      </c>
      <c r="U1031" s="32">
        <f>DaybyDay[[#This Row],[Serv-Bud-RU]]+DaybyDay[[#This Row],[Ret-Bud-RU]]</f>
        <v>0</v>
      </c>
      <c r="V1031" s="32">
        <f>DaybyDay[[#This Row],[Serv-Act-RU]]+DaybyDay[[#This Row],[Ret-Act-RU]]</f>
        <v>0</v>
      </c>
      <c r="W1031" s="36">
        <f>IF(DaybyDay[[#This Row],[_Space]],IFERROR(
((DaybyDay[[#This Row],[Actual-Rollup]]-DaybyDay[[#This Row],[Budget-Rollup]])/DaybyDay[[#This Row],[Budget-Rollup]]),0),"")</f>
        <v>0</v>
      </c>
      <c r="X1031" t="b">
        <f>NOT(AND(ISBLANK(DaybyDay[[#This Row],[Appts]]),ISBLANK(DaybyDay[[#This Row],[Service-Actuals]]),ISBLANK(DaybyDay[[#This Row],[Retail-Actuals]])))</f>
        <v>1</v>
      </c>
      <c r="Y1031" s="36">
        <f>IF(DaybyDay[[#This Row],[_Space]],IFERROR(
((DaybyDay[[#This Row],[Actual-Rollup]]-DaybyDay[[#This Row],[LY-Rollup]])/DaybyDay[[#This Row],[LY-Rollup]]),0),"")</f>
        <v>0</v>
      </c>
      <c r="Z1031"/>
      <c r="AA1031" s="37" t="e">
        <f>IF(DaybyDay[[#This Row],[_Space]],DaybyDay[[#This Row],[Ret-Act-RU]]/DaybyDay[[#This Row],[Serv-Act-RU]],"")</f>
        <v>#DIV/0!</v>
      </c>
      <c r="AB1031" s="50" t="e">
        <f>IF(DaybyDay[[#This Row],[_Space]],DaybyDay[[#This Row],[RETPEN-Act]]/DaybyDay[[#This Row],[RETPEN-Bud]],"")</f>
        <v>#DIV/0!</v>
      </c>
      <c r="AC1031" s="37" t="e">
        <f>IF(DaybyDay[[#This Row],[_Space]],DaybyDay[[#This Row],[Ret-Bud-RU]]/DaybyDay[[#This Row],[Serv-Bud-RU]],"")</f>
        <v>#DIV/0!</v>
      </c>
      <c r="AD1031" s="37" t="e">
        <f>IF(DaybyDay[[#This Row],[_Space]],DaybyDay[[#This Row],[Ret-LY-RU]]/DaybyDay[[#This Row],[Serv-LY-RU]],"")</f>
        <v>#DIV/0!</v>
      </c>
      <c r="AE1031" s="30">
        <f>WEEKDAY(DaybyDay[[#This Row],[LY-Date]])</f>
        <v>3</v>
      </c>
      <c r="AF1031" s="38">
        <f>$E$2+_xlfn.DAYS(DaybyDay[[#This Row],[Date]],minDate)</f>
        <v>43396</v>
      </c>
      <c r="AG1031" s="39" cm="1">
        <f t="array" ref="AG1031">IFERROR(INDEX(DaybyDay[],DaybyDay[[#This Row],[FORM_MATCH_HELPER]],8),"")</f>
        <v>8</v>
      </c>
      <c r="AH1031" s="39" cm="1">
        <f t="array" ref="AH1031">IFERROR(INDEX(DaybyDay[],DaybyDay[[#This Row],[FORM_MATCH_HELPER]],10),"")</f>
        <v>1529.2</v>
      </c>
      <c r="AI1031" s="39" cm="1">
        <f t="array" ref="AI1031">IFERROR(INDEX(DaybyDay[],DaybyDay[[#This Row],[FORM_MATCH_HELPER]],12),"")</f>
        <v>4158</v>
      </c>
      <c r="AJ1031" s="32">
        <f>IFERROR(DaybyDay[[#This Row],[Serv-LY-RU]]+DaybyDay[[#This Row],[Ret-LY-RU]],"")</f>
        <v>0</v>
      </c>
      <c r="AK10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1" s="77"/>
      <c r="AM1031" s="40" t="str">
        <f>IF(DaybyDay[[#This Row],[Admin Hours]]&gt;0,DaybyDay[[#This Row],[Admin Hours]]*$AM$2+$AM$3,"")</f>
        <v/>
      </c>
      <c r="AN1031" s="40">
        <f>SUMIFS(DaybyDay[Est-Admin-Payroll],DaybyDay[Date],"&gt;="&amp;$C$5,DaybyDay[RowYear],"&gt;="&amp;$C$4,DaybyDay[Date],"&lt;="&amp;DaybyDay[[#This Row],[Date]])</f>
        <v>0</v>
      </c>
      <c r="AO1031" s="41" t="str">
        <f>IF(AND(DaybyDay[[#This Row],[_Space]],ISNUMBER(DaybyDay[[#This Row],[Admin Hours]])),DaybyDay[[#This Row],[Est-Admin-Payroll]]/(DaybyDay[[#This Row],[Service-Actuals]]+DaybyDay[[#This Row],[Retail-Actuals]]),"")</f>
        <v/>
      </c>
      <c r="AP1031" s="41" t="e">
        <f>DaybyDay[[#This Row],[Estimated-Payroll-Rollup]]/DaybyDay[[#This Row],[Simple-Forecast]]</f>
        <v>#DIV/0!</v>
      </c>
      <c r="AQ10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1" s="77"/>
      <c r="AS1031" s="40" t="str">
        <f>IF(DaybyDay[[#This Row],[Retail Hours]]&gt;0,DaybyDay[[#This Row],[Retail Hours]]*$AS$2,"")</f>
        <v/>
      </c>
      <c r="AT1031" s="40">
        <f>SUMIFS(DaybyDay[Est-Retail-Payroll],DaybyDay[Date],"&gt;="&amp;$C$5,DaybyDay[RowYear],"&gt;="&amp;$C$4,DaybyDay[Date],"&lt;="&amp;DaybyDay[[#This Row],[Date]])</f>
        <v>0</v>
      </c>
      <c r="AU1031" s="82" t="str">
        <f>IF(AND(DaybyDay[[#This Row],[_Space]],ISNUMBER(DaybyDay[[#This Row],[Retail Hours]])),DaybyDay[[#This Row],[Est-Retail-Payroll]]/(DaybyDay[[#This Row],[Retail-Actuals]]),"")</f>
        <v/>
      </c>
      <c r="AV1031" s="82" t="e">
        <f>DaybyDay[[#This Row],[Est-Retail-PayrollRU]]/DaybyDay[[#This Row],[Simple-Forecast-Retail]]</f>
        <v>#DIV/0!</v>
      </c>
      <c r="AW1031" s="8"/>
      <c r="AX1031" s="15"/>
      <c r="AY1031" s="8"/>
    </row>
    <row r="1032" spans="3:51" hidden="1" x14ac:dyDescent="0.25">
      <c r="C1032" s="26" t="str">
        <f>Tools!$C$1</f>
        <v>Example</v>
      </c>
      <c r="D1032" s="27" t="s">
        <v>77</v>
      </c>
      <c r="E1032" s="28">
        <v>2019</v>
      </c>
      <c r="F1032" s="28">
        <f>MATCH(DaybyDay[[#This Row],[RowMonth]],Table3[SummaryMonth],0)</f>
        <v>10</v>
      </c>
      <c r="G1032" s="29">
        <f>MATCH(DaybyDay[[#This Row],[LY-Date]],DaybyDay[Date],0)</f>
        <v>662</v>
      </c>
      <c r="H1032" s="30">
        <f>WEEKDAY(DaybyDay[[#This Row],[Date]])</f>
        <v>4</v>
      </c>
      <c r="I1032" s="31">
        <v>43761</v>
      </c>
      <c r="J1032" s="74">
        <v>22</v>
      </c>
      <c r="K1032" s="32">
        <f>SUMIFS(BudgetSeasonality[365 Seasonality],BudgetSeasonality[MonthAdjustment],DaybyDay[[#This Row],[Date]])*SUMIFS(Budgets[Service-Budget],Budgets[BudgetMonth],DaybyDay[[#This Row],[RowMonth]],Budgets[BudgetYear],DaybyDay[[#This Row],[RowYear]])</f>
        <v>5363.5056863231111</v>
      </c>
      <c r="L1032" s="75">
        <v>4443.49</v>
      </c>
      <c r="M1032" s="32">
        <f>INDEX(BudgetSeasonality[365 Seasonality],MATCH(DaybyDay[[#This Row],[Date]],BudgetSeasonality[MonthAdjustment],0))*SUMIFS(Budgets[Retail-Budget],Budgets[BudgetMonth],DaybyDay[[#This Row],[RowMonth]],Budgets[BudgetYear],DaybyDay[[#This Row],[RowYear]])</f>
        <v>1679.3098050664073</v>
      </c>
      <c r="N1032" s="75">
        <v>1321</v>
      </c>
      <c r="O1032" s="33">
        <f>SUMIFS(DaybyDay[Service-Budgets],DaybyDay[Date],"&gt;="&amp;$C$5,DaybyDay[RowYear],"&gt;="&amp;$C$4,DaybyDay[Date],"&lt;="&amp;DaybyDay[[#This Row],[Date]])</f>
        <v>0</v>
      </c>
      <c r="P1032" s="33">
        <f>SUMIFS(DaybyDay[Retail-Budgets],DaybyDay[Date],"&gt;="&amp;$C$5,DaybyDay[RowYear],"&gt;="&amp;$C$4,DaybyDay[Date],"&lt;="&amp;DaybyDay[[#This Row],[Date]])</f>
        <v>0</v>
      </c>
      <c r="Q1032" s="34">
        <f>SUMIFS(DaybyDay[Service-Actuals],DaybyDay[Date],"&gt;="&amp;$C$5,DaybyDay[RowYear],"&gt;="&amp;$C$4,DaybyDay[Date],"&lt;="&amp;DaybyDay[[#This Row],[Date]])</f>
        <v>0</v>
      </c>
      <c r="R1032" s="34">
        <f>SUMIFS(DaybyDay[Retail-Actuals],DaybyDay[Date],"&gt;="&amp;$C$5,DaybyDay[RowYear],"&gt;="&amp;$C$4,DaybyDay[Date],"&lt;="&amp;DaybyDay[[#This Row],[Date]])</f>
        <v>0</v>
      </c>
      <c r="S1032" s="35">
        <f>SUMIFS(DaybyDay[Service-LY],DaybyDay[Date],"&gt;="&amp;$C$5,DaybyDay[RowYear],"&gt;="&amp;$C$4,DaybyDay[Date],"&lt;="&amp;DaybyDay[[#This Row],[Date]])</f>
        <v>0</v>
      </c>
      <c r="T1032" s="35">
        <f>SUMIFS(DaybyDay[Retail-LY],DaybyDay[Date],"&gt;="&amp;$C$5,DaybyDay[RowYear],"&gt;="&amp;$C$4,DaybyDay[Date],"&lt;="&amp;DaybyDay[[#This Row],[Date]])</f>
        <v>0</v>
      </c>
      <c r="U1032" s="32">
        <f>DaybyDay[[#This Row],[Serv-Bud-RU]]+DaybyDay[[#This Row],[Ret-Bud-RU]]</f>
        <v>0</v>
      </c>
      <c r="V1032" s="32">
        <f>DaybyDay[[#This Row],[Serv-Act-RU]]+DaybyDay[[#This Row],[Ret-Act-RU]]</f>
        <v>0</v>
      </c>
      <c r="W1032" s="36">
        <f>IF(DaybyDay[[#This Row],[_Space]],IFERROR(
((DaybyDay[[#This Row],[Actual-Rollup]]-DaybyDay[[#This Row],[Budget-Rollup]])/DaybyDay[[#This Row],[Budget-Rollup]]),0),"")</f>
        <v>0</v>
      </c>
      <c r="X1032" t="b">
        <f>NOT(AND(ISBLANK(DaybyDay[[#This Row],[Appts]]),ISBLANK(DaybyDay[[#This Row],[Service-Actuals]]),ISBLANK(DaybyDay[[#This Row],[Retail-Actuals]])))</f>
        <v>1</v>
      </c>
      <c r="Y1032" s="36">
        <f>IF(DaybyDay[[#This Row],[_Space]],IFERROR(
((DaybyDay[[#This Row],[Actual-Rollup]]-DaybyDay[[#This Row],[LY-Rollup]])/DaybyDay[[#This Row],[LY-Rollup]]),0),"")</f>
        <v>0</v>
      </c>
      <c r="Z1032"/>
      <c r="AA1032" s="37" t="e">
        <f>IF(DaybyDay[[#This Row],[_Space]],DaybyDay[[#This Row],[Ret-Act-RU]]/DaybyDay[[#This Row],[Serv-Act-RU]],"")</f>
        <v>#DIV/0!</v>
      </c>
      <c r="AB1032" s="50" t="e">
        <f>IF(DaybyDay[[#This Row],[_Space]],DaybyDay[[#This Row],[RETPEN-Act]]/DaybyDay[[#This Row],[RETPEN-Bud]],"")</f>
        <v>#DIV/0!</v>
      </c>
      <c r="AC1032" s="37" t="e">
        <f>IF(DaybyDay[[#This Row],[_Space]],DaybyDay[[#This Row],[Ret-Bud-RU]]/DaybyDay[[#This Row],[Serv-Bud-RU]],"")</f>
        <v>#DIV/0!</v>
      </c>
      <c r="AD1032" s="37" t="e">
        <f>IF(DaybyDay[[#This Row],[_Space]],DaybyDay[[#This Row],[Ret-LY-RU]]/DaybyDay[[#This Row],[Serv-LY-RU]],"")</f>
        <v>#DIV/0!</v>
      </c>
      <c r="AE1032" s="30">
        <f>WEEKDAY(DaybyDay[[#This Row],[LY-Date]])</f>
        <v>4</v>
      </c>
      <c r="AF1032" s="38">
        <f>$E$2+_xlfn.DAYS(DaybyDay[[#This Row],[Date]],minDate)</f>
        <v>43397</v>
      </c>
      <c r="AG1032" s="39" cm="1">
        <f t="array" ref="AG1032">IFERROR(INDEX(DaybyDay[],DaybyDay[[#This Row],[FORM_MATCH_HELPER]],8),"")</f>
        <v>8</v>
      </c>
      <c r="AH1032" s="39" cm="1">
        <f t="array" ref="AH1032">IFERROR(INDEX(DaybyDay[],DaybyDay[[#This Row],[FORM_MATCH_HELPER]],10),"")</f>
        <v>1826</v>
      </c>
      <c r="AI1032" s="39" cm="1">
        <f t="array" ref="AI1032">IFERROR(INDEX(DaybyDay[],DaybyDay[[#This Row],[FORM_MATCH_HELPER]],12),"")</f>
        <v>99</v>
      </c>
      <c r="AJ1032" s="32">
        <f>IFERROR(DaybyDay[[#This Row],[Serv-LY-RU]]+DaybyDay[[#This Row],[Ret-LY-RU]],"")</f>
        <v>0</v>
      </c>
      <c r="AK10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2" s="77"/>
      <c r="AM1032" s="40" t="str">
        <f>IF(DaybyDay[[#This Row],[Admin Hours]]&gt;0,DaybyDay[[#This Row],[Admin Hours]]*$AM$2+$AM$3,"")</f>
        <v/>
      </c>
      <c r="AN1032" s="40">
        <f>SUMIFS(DaybyDay[Est-Admin-Payroll],DaybyDay[Date],"&gt;="&amp;$C$5,DaybyDay[RowYear],"&gt;="&amp;$C$4,DaybyDay[Date],"&lt;="&amp;DaybyDay[[#This Row],[Date]])</f>
        <v>0</v>
      </c>
      <c r="AO1032" s="41" t="str">
        <f>IF(AND(DaybyDay[[#This Row],[_Space]],ISNUMBER(DaybyDay[[#This Row],[Admin Hours]])),DaybyDay[[#This Row],[Est-Admin-Payroll]]/(DaybyDay[[#This Row],[Service-Actuals]]+DaybyDay[[#This Row],[Retail-Actuals]]),"")</f>
        <v/>
      </c>
      <c r="AP1032" s="41" t="e">
        <f>DaybyDay[[#This Row],[Estimated-Payroll-Rollup]]/DaybyDay[[#This Row],[Simple-Forecast]]</f>
        <v>#DIV/0!</v>
      </c>
      <c r="AQ10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2" s="77"/>
      <c r="AS1032" s="40" t="str">
        <f>IF(DaybyDay[[#This Row],[Retail Hours]]&gt;0,DaybyDay[[#This Row],[Retail Hours]]*$AS$2,"")</f>
        <v/>
      </c>
      <c r="AT1032" s="40">
        <f>SUMIFS(DaybyDay[Est-Retail-Payroll],DaybyDay[Date],"&gt;="&amp;$C$5,DaybyDay[RowYear],"&gt;="&amp;$C$4,DaybyDay[Date],"&lt;="&amp;DaybyDay[[#This Row],[Date]])</f>
        <v>0</v>
      </c>
      <c r="AU1032" s="82" t="str">
        <f>IF(AND(DaybyDay[[#This Row],[_Space]],ISNUMBER(DaybyDay[[#This Row],[Retail Hours]])),DaybyDay[[#This Row],[Est-Retail-Payroll]]/(DaybyDay[[#This Row],[Retail-Actuals]]),"")</f>
        <v/>
      </c>
      <c r="AV1032" s="82" t="e">
        <f>DaybyDay[[#This Row],[Est-Retail-PayrollRU]]/DaybyDay[[#This Row],[Simple-Forecast-Retail]]</f>
        <v>#DIV/0!</v>
      </c>
      <c r="AW1032" s="8"/>
      <c r="AX1032" s="15"/>
      <c r="AY1032" s="8"/>
    </row>
    <row r="1033" spans="3:51" hidden="1" x14ac:dyDescent="0.25">
      <c r="C1033" s="26" t="str">
        <f>Tools!$C$1</f>
        <v>Example</v>
      </c>
      <c r="D1033" s="27" t="s">
        <v>77</v>
      </c>
      <c r="E1033" s="28">
        <v>2019</v>
      </c>
      <c r="F1033" s="28">
        <f>MATCH(DaybyDay[[#This Row],[RowMonth]],Table3[SummaryMonth],0)</f>
        <v>10</v>
      </c>
      <c r="G1033" s="29">
        <f>MATCH(DaybyDay[[#This Row],[LY-Date]],DaybyDay[Date],0)</f>
        <v>663</v>
      </c>
      <c r="H1033" s="30">
        <f>WEEKDAY(DaybyDay[[#This Row],[Date]])</f>
        <v>5</v>
      </c>
      <c r="I1033" s="31">
        <v>43762</v>
      </c>
      <c r="J1033" s="74">
        <v>22</v>
      </c>
      <c r="K1033" s="32">
        <f>SUMIFS(BudgetSeasonality[365 Seasonality],BudgetSeasonality[MonthAdjustment],DaybyDay[[#This Row],[Date]])*SUMIFS(Budgets[Service-Budget],Budgets[BudgetMonth],DaybyDay[[#This Row],[RowMonth]],Budgets[BudgetYear],DaybyDay[[#This Row],[RowYear]])</f>
        <v>5520.076549710072</v>
      </c>
      <c r="L1033" s="75">
        <v>4119.7</v>
      </c>
      <c r="M1033" s="32">
        <f>INDEX(BudgetSeasonality[365 Seasonality],MATCH(DaybyDay[[#This Row],[Date]],BudgetSeasonality[MonthAdjustment],0))*SUMIFS(Budgets[Retail-Budget],Budgets[BudgetMonth],DaybyDay[[#This Row],[RowMonth]],Budgets[BudgetYear],DaybyDay[[#This Row],[RowYear]])</f>
        <v>1728.3320307245076</v>
      </c>
      <c r="N1033" s="75">
        <v>1532.8</v>
      </c>
      <c r="O1033" s="33">
        <f>SUMIFS(DaybyDay[Service-Budgets],DaybyDay[Date],"&gt;="&amp;$C$5,DaybyDay[RowYear],"&gt;="&amp;$C$4,DaybyDay[Date],"&lt;="&amp;DaybyDay[[#This Row],[Date]])</f>
        <v>0</v>
      </c>
      <c r="P1033" s="33">
        <f>SUMIFS(DaybyDay[Retail-Budgets],DaybyDay[Date],"&gt;="&amp;$C$5,DaybyDay[RowYear],"&gt;="&amp;$C$4,DaybyDay[Date],"&lt;="&amp;DaybyDay[[#This Row],[Date]])</f>
        <v>0</v>
      </c>
      <c r="Q1033" s="34">
        <f>SUMIFS(DaybyDay[Service-Actuals],DaybyDay[Date],"&gt;="&amp;$C$5,DaybyDay[RowYear],"&gt;="&amp;$C$4,DaybyDay[Date],"&lt;="&amp;DaybyDay[[#This Row],[Date]])</f>
        <v>0</v>
      </c>
      <c r="R1033" s="34">
        <f>SUMIFS(DaybyDay[Retail-Actuals],DaybyDay[Date],"&gt;="&amp;$C$5,DaybyDay[RowYear],"&gt;="&amp;$C$4,DaybyDay[Date],"&lt;="&amp;DaybyDay[[#This Row],[Date]])</f>
        <v>0</v>
      </c>
      <c r="S1033" s="35">
        <f>SUMIFS(DaybyDay[Service-LY],DaybyDay[Date],"&gt;="&amp;$C$5,DaybyDay[RowYear],"&gt;="&amp;$C$4,DaybyDay[Date],"&lt;="&amp;DaybyDay[[#This Row],[Date]])</f>
        <v>0</v>
      </c>
      <c r="T1033" s="35">
        <f>SUMIFS(DaybyDay[Retail-LY],DaybyDay[Date],"&gt;="&amp;$C$5,DaybyDay[RowYear],"&gt;="&amp;$C$4,DaybyDay[Date],"&lt;="&amp;DaybyDay[[#This Row],[Date]])</f>
        <v>0</v>
      </c>
      <c r="U1033" s="32">
        <f>DaybyDay[[#This Row],[Serv-Bud-RU]]+DaybyDay[[#This Row],[Ret-Bud-RU]]</f>
        <v>0</v>
      </c>
      <c r="V1033" s="32">
        <f>DaybyDay[[#This Row],[Serv-Act-RU]]+DaybyDay[[#This Row],[Ret-Act-RU]]</f>
        <v>0</v>
      </c>
      <c r="W1033" s="36">
        <f>IF(DaybyDay[[#This Row],[_Space]],IFERROR(
((DaybyDay[[#This Row],[Actual-Rollup]]-DaybyDay[[#This Row],[Budget-Rollup]])/DaybyDay[[#This Row],[Budget-Rollup]]),0),"")</f>
        <v>0</v>
      </c>
      <c r="X1033" t="b">
        <f>NOT(AND(ISBLANK(DaybyDay[[#This Row],[Appts]]),ISBLANK(DaybyDay[[#This Row],[Service-Actuals]]),ISBLANK(DaybyDay[[#This Row],[Retail-Actuals]])))</f>
        <v>1</v>
      </c>
      <c r="Y1033" s="36">
        <f>IF(DaybyDay[[#This Row],[_Space]],IFERROR(
((DaybyDay[[#This Row],[Actual-Rollup]]-DaybyDay[[#This Row],[LY-Rollup]])/DaybyDay[[#This Row],[LY-Rollup]]),0),"")</f>
        <v>0</v>
      </c>
      <c r="Z1033"/>
      <c r="AA1033" s="37" t="e">
        <f>IF(DaybyDay[[#This Row],[_Space]],DaybyDay[[#This Row],[Ret-Act-RU]]/DaybyDay[[#This Row],[Serv-Act-RU]],"")</f>
        <v>#DIV/0!</v>
      </c>
      <c r="AB1033" s="50" t="e">
        <f>IF(DaybyDay[[#This Row],[_Space]],DaybyDay[[#This Row],[RETPEN-Act]]/DaybyDay[[#This Row],[RETPEN-Bud]],"")</f>
        <v>#DIV/0!</v>
      </c>
      <c r="AC1033" s="37" t="e">
        <f>IF(DaybyDay[[#This Row],[_Space]],DaybyDay[[#This Row],[Ret-Bud-RU]]/DaybyDay[[#This Row],[Serv-Bud-RU]],"")</f>
        <v>#DIV/0!</v>
      </c>
      <c r="AD1033" s="37" t="e">
        <f>IF(DaybyDay[[#This Row],[_Space]],DaybyDay[[#This Row],[Ret-LY-RU]]/DaybyDay[[#This Row],[Serv-LY-RU]],"")</f>
        <v>#DIV/0!</v>
      </c>
      <c r="AE1033" s="30">
        <f>WEEKDAY(DaybyDay[[#This Row],[LY-Date]])</f>
        <v>5</v>
      </c>
      <c r="AF1033" s="38">
        <f>$E$2+_xlfn.DAYS(DaybyDay[[#This Row],[Date]],minDate)</f>
        <v>43398</v>
      </c>
      <c r="AG1033" s="39" cm="1">
        <f t="array" ref="AG1033">IFERROR(INDEX(DaybyDay[],DaybyDay[[#This Row],[FORM_MATCH_HELPER]],8),"")</f>
        <v>24</v>
      </c>
      <c r="AH1033" s="39" cm="1">
        <f t="array" ref="AH1033">IFERROR(INDEX(DaybyDay[],DaybyDay[[#This Row],[FORM_MATCH_HELPER]],10),"")</f>
        <v>5566.72</v>
      </c>
      <c r="AI1033" s="39" cm="1">
        <f t="array" ref="AI1033">IFERROR(INDEX(DaybyDay[],DaybyDay[[#This Row],[FORM_MATCH_HELPER]],12),"")</f>
        <v>6556.18</v>
      </c>
      <c r="AJ1033" s="32">
        <f>IFERROR(DaybyDay[[#This Row],[Serv-LY-RU]]+DaybyDay[[#This Row],[Ret-LY-RU]],"")</f>
        <v>0</v>
      </c>
      <c r="AK10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3" s="77"/>
      <c r="AM1033" s="40" t="str">
        <f>IF(DaybyDay[[#This Row],[Admin Hours]]&gt;0,DaybyDay[[#This Row],[Admin Hours]]*$AM$2+$AM$3,"")</f>
        <v/>
      </c>
      <c r="AN1033" s="40">
        <f>SUMIFS(DaybyDay[Est-Admin-Payroll],DaybyDay[Date],"&gt;="&amp;$C$5,DaybyDay[RowYear],"&gt;="&amp;$C$4,DaybyDay[Date],"&lt;="&amp;DaybyDay[[#This Row],[Date]])</f>
        <v>0</v>
      </c>
      <c r="AO1033" s="41" t="str">
        <f>IF(AND(DaybyDay[[#This Row],[_Space]],ISNUMBER(DaybyDay[[#This Row],[Admin Hours]])),DaybyDay[[#This Row],[Est-Admin-Payroll]]/(DaybyDay[[#This Row],[Service-Actuals]]+DaybyDay[[#This Row],[Retail-Actuals]]),"")</f>
        <v/>
      </c>
      <c r="AP1033" s="41" t="e">
        <f>DaybyDay[[#This Row],[Estimated-Payroll-Rollup]]/DaybyDay[[#This Row],[Simple-Forecast]]</f>
        <v>#DIV/0!</v>
      </c>
      <c r="AQ10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3" s="77"/>
      <c r="AS1033" s="40" t="str">
        <f>IF(DaybyDay[[#This Row],[Retail Hours]]&gt;0,DaybyDay[[#This Row],[Retail Hours]]*$AS$2,"")</f>
        <v/>
      </c>
      <c r="AT1033" s="40">
        <f>SUMIFS(DaybyDay[Est-Retail-Payroll],DaybyDay[Date],"&gt;="&amp;$C$5,DaybyDay[RowYear],"&gt;="&amp;$C$4,DaybyDay[Date],"&lt;="&amp;DaybyDay[[#This Row],[Date]])</f>
        <v>0</v>
      </c>
      <c r="AU1033" s="82" t="str">
        <f>IF(AND(DaybyDay[[#This Row],[_Space]],ISNUMBER(DaybyDay[[#This Row],[Retail Hours]])),DaybyDay[[#This Row],[Est-Retail-Payroll]]/(DaybyDay[[#This Row],[Retail-Actuals]]),"")</f>
        <v/>
      </c>
      <c r="AV1033" s="82" t="e">
        <f>DaybyDay[[#This Row],[Est-Retail-PayrollRU]]/DaybyDay[[#This Row],[Simple-Forecast-Retail]]</f>
        <v>#DIV/0!</v>
      </c>
      <c r="AW1033" s="8"/>
      <c r="AX1033" s="15"/>
      <c r="AY1033" s="8"/>
    </row>
    <row r="1034" spans="3:51" hidden="1" x14ac:dyDescent="0.25">
      <c r="C1034" s="26" t="str">
        <f>Tools!$C$1</f>
        <v>Example</v>
      </c>
      <c r="D1034" s="27" t="s">
        <v>77</v>
      </c>
      <c r="E1034" s="28">
        <v>2019</v>
      </c>
      <c r="F1034" s="28">
        <f>MATCH(DaybyDay[[#This Row],[RowMonth]],Table3[SummaryMonth],0)</f>
        <v>10</v>
      </c>
      <c r="G1034" s="29">
        <f>MATCH(DaybyDay[[#This Row],[LY-Date]],DaybyDay[Date],0)</f>
        <v>664</v>
      </c>
      <c r="H1034" s="30">
        <f>WEEKDAY(DaybyDay[[#This Row],[Date]])</f>
        <v>6</v>
      </c>
      <c r="I1034" s="31">
        <v>43763</v>
      </c>
      <c r="J1034" s="74">
        <v>21</v>
      </c>
      <c r="K1034" s="32">
        <f>SUMIFS(BudgetSeasonality[365 Seasonality],BudgetSeasonality[MonthAdjustment],DaybyDay[[#This Row],[Date]])*SUMIFS(Budgets[Service-Budget],Budgets[BudgetMonth],DaybyDay[[#This Row],[RowMonth]],Budgets[BudgetYear],DaybyDay[[#This Row],[RowYear]])</f>
        <v>6781.3976136361316</v>
      </c>
      <c r="L1034" s="75">
        <v>4884.2</v>
      </c>
      <c r="M1034" s="32">
        <f>INDEX(BudgetSeasonality[365 Seasonality],MATCH(DaybyDay[[#This Row],[Date]],BudgetSeasonality[MonthAdjustment],0))*SUMIFS(Budgets[Retail-Budget],Budgets[BudgetMonth],DaybyDay[[#This Row],[RowMonth]],Budgets[BudgetYear],DaybyDay[[#This Row],[RowYear]])</f>
        <v>2123.2507562493233</v>
      </c>
      <c r="N1034" s="75">
        <v>1036</v>
      </c>
      <c r="O1034" s="33">
        <f>SUMIFS(DaybyDay[Service-Budgets],DaybyDay[Date],"&gt;="&amp;$C$5,DaybyDay[RowYear],"&gt;="&amp;$C$4,DaybyDay[Date],"&lt;="&amp;DaybyDay[[#This Row],[Date]])</f>
        <v>0</v>
      </c>
      <c r="P1034" s="33">
        <f>SUMIFS(DaybyDay[Retail-Budgets],DaybyDay[Date],"&gt;="&amp;$C$5,DaybyDay[RowYear],"&gt;="&amp;$C$4,DaybyDay[Date],"&lt;="&amp;DaybyDay[[#This Row],[Date]])</f>
        <v>0</v>
      </c>
      <c r="Q1034" s="34">
        <f>SUMIFS(DaybyDay[Service-Actuals],DaybyDay[Date],"&gt;="&amp;$C$5,DaybyDay[RowYear],"&gt;="&amp;$C$4,DaybyDay[Date],"&lt;="&amp;DaybyDay[[#This Row],[Date]])</f>
        <v>0</v>
      </c>
      <c r="R1034" s="34">
        <f>SUMIFS(DaybyDay[Retail-Actuals],DaybyDay[Date],"&gt;="&amp;$C$5,DaybyDay[RowYear],"&gt;="&amp;$C$4,DaybyDay[Date],"&lt;="&amp;DaybyDay[[#This Row],[Date]])</f>
        <v>0</v>
      </c>
      <c r="S1034" s="35">
        <f>SUMIFS(DaybyDay[Service-LY],DaybyDay[Date],"&gt;="&amp;$C$5,DaybyDay[RowYear],"&gt;="&amp;$C$4,DaybyDay[Date],"&lt;="&amp;DaybyDay[[#This Row],[Date]])</f>
        <v>0</v>
      </c>
      <c r="T1034" s="35">
        <f>SUMIFS(DaybyDay[Retail-LY],DaybyDay[Date],"&gt;="&amp;$C$5,DaybyDay[RowYear],"&gt;="&amp;$C$4,DaybyDay[Date],"&lt;="&amp;DaybyDay[[#This Row],[Date]])</f>
        <v>0</v>
      </c>
      <c r="U1034" s="32">
        <f>DaybyDay[[#This Row],[Serv-Bud-RU]]+DaybyDay[[#This Row],[Ret-Bud-RU]]</f>
        <v>0</v>
      </c>
      <c r="V1034" s="32">
        <f>DaybyDay[[#This Row],[Serv-Act-RU]]+DaybyDay[[#This Row],[Ret-Act-RU]]</f>
        <v>0</v>
      </c>
      <c r="W1034" s="36">
        <f>IF(DaybyDay[[#This Row],[_Space]],IFERROR(
((DaybyDay[[#This Row],[Actual-Rollup]]-DaybyDay[[#This Row],[Budget-Rollup]])/DaybyDay[[#This Row],[Budget-Rollup]]),0),"")</f>
        <v>0</v>
      </c>
      <c r="X1034" t="b">
        <f>NOT(AND(ISBLANK(DaybyDay[[#This Row],[Appts]]),ISBLANK(DaybyDay[[#This Row],[Service-Actuals]]),ISBLANK(DaybyDay[[#This Row],[Retail-Actuals]])))</f>
        <v>1</v>
      </c>
      <c r="Y1034" s="36">
        <f>IF(DaybyDay[[#This Row],[_Space]],IFERROR(
((DaybyDay[[#This Row],[Actual-Rollup]]-DaybyDay[[#This Row],[LY-Rollup]])/DaybyDay[[#This Row],[LY-Rollup]]),0),"")</f>
        <v>0</v>
      </c>
      <c r="Z1034"/>
      <c r="AA1034" s="37" t="e">
        <f>IF(DaybyDay[[#This Row],[_Space]],DaybyDay[[#This Row],[Ret-Act-RU]]/DaybyDay[[#This Row],[Serv-Act-RU]],"")</f>
        <v>#DIV/0!</v>
      </c>
      <c r="AB1034" s="50" t="e">
        <f>IF(DaybyDay[[#This Row],[_Space]],DaybyDay[[#This Row],[RETPEN-Act]]/DaybyDay[[#This Row],[RETPEN-Bud]],"")</f>
        <v>#DIV/0!</v>
      </c>
      <c r="AC1034" s="37" t="e">
        <f>IF(DaybyDay[[#This Row],[_Space]],DaybyDay[[#This Row],[Ret-Bud-RU]]/DaybyDay[[#This Row],[Serv-Bud-RU]],"")</f>
        <v>#DIV/0!</v>
      </c>
      <c r="AD1034" s="37" t="e">
        <f>IF(DaybyDay[[#This Row],[_Space]],DaybyDay[[#This Row],[Ret-LY-RU]]/DaybyDay[[#This Row],[Serv-LY-RU]],"")</f>
        <v>#DIV/0!</v>
      </c>
      <c r="AE1034" s="30">
        <f>WEEKDAY(DaybyDay[[#This Row],[LY-Date]])</f>
        <v>6</v>
      </c>
      <c r="AF1034" s="38">
        <f>$E$2+_xlfn.DAYS(DaybyDay[[#This Row],[Date]],minDate)</f>
        <v>43399</v>
      </c>
      <c r="AG1034" s="39" cm="1">
        <f t="array" ref="AG1034">IFERROR(INDEX(DaybyDay[],DaybyDay[[#This Row],[FORM_MATCH_HELPER]],8),"")</f>
        <v>27</v>
      </c>
      <c r="AH1034" s="39" cm="1">
        <f t="array" ref="AH1034">IFERROR(INDEX(DaybyDay[],DaybyDay[[#This Row],[FORM_MATCH_HELPER]],10),"")</f>
        <v>5484.08</v>
      </c>
      <c r="AI1034" s="39" cm="1">
        <f t="array" ref="AI1034">IFERROR(INDEX(DaybyDay[],DaybyDay[[#This Row],[FORM_MATCH_HELPER]],12),"")</f>
        <v>1147.92</v>
      </c>
      <c r="AJ1034" s="32">
        <f>IFERROR(DaybyDay[[#This Row],[Serv-LY-RU]]+DaybyDay[[#This Row],[Ret-LY-RU]],"")</f>
        <v>0</v>
      </c>
      <c r="AK10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4" s="77"/>
      <c r="AM1034" s="40" t="str">
        <f>IF(DaybyDay[[#This Row],[Admin Hours]]&gt;0,DaybyDay[[#This Row],[Admin Hours]]*$AM$2+$AM$3,"")</f>
        <v/>
      </c>
      <c r="AN1034" s="40">
        <f>SUMIFS(DaybyDay[Est-Admin-Payroll],DaybyDay[Date],"&gt;="&amp;$C$5,DaybyDay[RowYear],"&gt;="&amp;$C$4,DaybyDay[Date],"&lt;="&amp;DaybyDay[[#This Row],[Date]])</f>
        <v>0</v>
      </c>
      <c r="AO1034" s="41" t="str">
        <f>IF(AND(DaybyDay[[#This Row],[_Space]],ISNUMBER(DaybyDay[[#This Row],[Admin Hours]])),DaybyDay[[#This Row],[Est-Admin-Payroll]]/(DaybyDay[[#This Row],[Service-Actuals]]+DaybyDay[[#This Row],[Retail-Actuals]]),"")</f>
        <v/>
      </c>
      <c r="AP1034" s="41" t="e">
        <f>DaybyDay[[#This Row],[Estimated-Payroll-Rollup]]/DaybyDay[[#This Row],[Simple-Forecast]]</f>
        <v>#DIV/0!</v>
      </c>
      <c r="AQ10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4" s="77"/>
      <c r="AS1034" s="40" t="str">
        <f>IF(DaybyDay[[#This Row],[Retail Hours]]&gt;0,DaybyDay[[#This Row],[Retail Hours]]*$AS$2,"")</f>
        <v/>
      </c>
      <c r="AT1034" s="40">
        <f>SUMIFS(DaybyDay[Est-Retail-Payroll],DaybyDay[Date],"&gt;="&amp;$C$5,DaybyDay[RowYear],"&gt;="&amp;$C$4,DaybyDay[Date],"&lt;="&amp;DaybyDay[[#This Row],[Date]])</f>
        <v>0</v>
      </c>
      <c r="AU1034" s="82" t="str">
        <f>IF(AND(DaybyDay[[#This Row],[_Space]],ISNUMBER(DaybyDay[[#This Row],[Retail Hours]])),DaybyDay[[#This Row],[Est-Retail-Payroll]]/(DaybyDay[[#This Row],[Retail-Actuals]]),"")</f>
        <v/>
      </c>
      <c r="AV1034" s="82" t="e">
        <f>DaybyDay[[#This Row],[Est-Retail-PayrollRU]]/DaybyDay[[#This Row],[Simple-Forecast-Retail]]</f>
        <v>#DIV/0!</v>
      </c>
      <c r="AW1034" s="8"/>
      <c r="AX1034" s="15"/>
      <c r="AY1034" s="8"/>
    </row>
    <row r="1035" spans="3:51" hidden="1" x14ac:dyDescent="0.25">
      <c r="C1035" s="26" t="str">
        <f>Tools!$C$1</f>
        <v>Example</v>
      </c>
      <c r="D1035" s="27" t="s">
        <v>77</v>
      </c>
      <c r="E1035" s="28">
        <v>2019</v>
      </c>
      <c r="F1035" s="28">
        <f>MATCH(DaybyDay[[#This Row],[RowMonth]],Table3[SummaryMonth],0)</f>
        <v>10</v>
      </c>
      <c r="G1035" s="29">
        <f>MATCH(DaybyDay[[#This Row],[LY-Date]],DaybyDay[Date],0)</f>
        <v>665</v>
      </c>
      <c r="H1035" s="30">
        <f>WEEKDAY(DaybyDay[[#This Row],[Date]])</f>
        <v>7</v>
      </c>
      <c r="I1035" s="31">
        <v>43764</v>
      </c>
      <c r="J1035" s="74">
        <v>36</v>
      </c>
      <c r="K1035" s="32">
        <f>SUMIFS(BudgetSeasonality[365 Seasonality],BudgetSeasonality[MonthAdjustment],DaybyDay[[#This Row],[Date]])*SUMIFS(Budgets[Service-Budget],Budgets[BudgetMonth],DaybyDay[[#This Row],[RowMonth]],Budgets[BudgetYear],DaybyDay[[#This Row],[RowYear]])</f>
        <v>9432.0061876542732</v>
      </c>
      <c r="L1035" s="75">
        <v>8977.2000000000007</v>
      </c>
      <c r="M1035" s="32">
        <f>INDEX(BudgetSeasonality[365 Seasonality],MATCH(DaybyDay[[#This Row],[Date]],BudgetSeasonality[MonthAdjustment],0))*SUMIFS(Budgets[Retail-Budget],Budgets[BudgetMonth],DaybyDay[[#This Row],[RowMonth]],Budgets[BudgetYear],DaybyDay[[#This Row],[RowYear]])</f>
        <v>2953.1544103262181</v>
      </c>
      <c r="N1035" s="75">
        <v>1659.5</v>
      </c>
      <c r="O1035" s="33">
        <f>SUMIFS(DaybyDay[Service-Budgets],DaybyDay[Date],"&gt;="&amp;$C$5,DaybyDay[RowYear],"&gt;="&amp;$C$4,DaybyDay[Date],"&lt;="&amp;DaybyDay[[#This Row],[Date]])</f>
        <v>0</v>
      </c>
      <c r="P1035" s="33">
        <f>SUMIFS(DaybyDay[Retail-Budgets],DaybyDay[Date],"&gt;="&amp;$C$5,DaybyDay[RowYear],"&gt;="&amp;$C$4,DaybyDay[Date],"&lt;="&amp;DaybyDay[[#This Row],[Date]])</f>
        <v>0</v>
      </c>
      <c r="Q1035" s="34">
        <f>SUMIFS(DaybyDay[Service-Actuals],DaybyDay[Date],"&gt;="&amp;$C$5,DaybyDay[RowYear],"&gt;="&amp;$C$4,DaybyDay[Date],"&lt;="&amp;DaybyDay[[#This Row],[Date]])</f>
        <v>0</v>
      </c>
      <c r="R1035" s="34">
        <f>SUMIFS(DaybyDay[Retail-Actuals],DaybyDay[Date],"&gt;="&amp;$C$5,DaybyDay[RowYear],"&gt;="&amp;$C$4,DaybyDay[Date],"&lt;="&amp;DaybyDay[[#This Row],[Date]])</f>
        <v>0</v>
      </c>
      <c r="S1035" s="35">
        <f>SUMIFS(DaybyDay[Service-LY],DaybyDay[Date],"&gt;="&amp;$C$5,DaybyDay[RowYear],"&gt;="&amp;$C$4,DaybyDay[Date],"&lt;="&amp;DaybyDay[[#This Row],[Date]])</f>
        <v>0</v>
      </c>
      <c r="T1035" s="35">
        <f>SUMIFS(DaybyDay[Retail-LY],DaybyDay[Date],"&gt;="&amp;$C$5,DaybyDay[RowYear],"&gt;="&amp;$C$4,DaybyDay[Date],"&lt;="&amp;DaybyDay[[#This Row],[Date]])</f>
        <v>0</v>
      </c>
      <c r="U1035" s="32">
        <f>DaybyDay[[#This Row],[Serv-Bud-RU]]+DaybyDay[[#This Row],[Ret-Bud-RU]]</f>
        <v>0</v>
      </c>
      <c r="V1035" s="32">
        <f>DaybyDay[[#This Row],[Serv-Act-RU]]+DaybyDay[[#This Row],[Ret-Act-RU]]</f>
        <v>0</v>
      </c>
      <c r="W1035" s="36">
        <f>IF(DaybyDay[[#This Row],[_Space]],IFERROR(
((DaybyDay[[#This Row],[Actual-Rollup]]-DaybyDay[[#This Row],[Budget-Rollup]])/DaybyDay[[#This Row],[Budget-Rollup]]),0),"")</f>
        <v>0</v>
      </c>
      <c r="X1035" t="b">
        <f>NOT(AND(ISBLANK(DaybyDay[[#This Row],[Appts]]),ISBLANK(DaybyDay[[#This Row],[Service-Actuals]]),ISBLANK(DaybyDay[[#This Row],[Retail-Actuals]])))</f>
        <v>1</v>
      </c>
      <c r="Y1035" s="36">
        <f>IF(DaybyDay[[#This Row],[_Space]],IFERROR(
((DaybyDay[[#This Row],[Actual-Rollup]]-DaybyDay[[#This Row],[LY-Rollup]])/DaybyDay[[#This Row],[LY-Rollup]]),0),"")</f>
        <v>0</v>
      </c>
      <c r="Z1035"/>
      <c r="AA1035" s="37" t="e">
        <f>IF(DaybyDay[[#This Row],[_Space]],DaybyDay[[#This Row],[Ret-Act-RU]]/DaybyDay[[#This Row],[Serv-Act-RU]],"")</f>
        <v>#DIV/0!</v>
      </c>
      <c r="AB1035" s="50" t="e">
        <f>IF(DaybyDay[[#This Row],[_Space]],DaybyDay[[#This Row],[RETPEN-Act]]/DaybyDay[[#This Row],[RETPEN-Bud]],"")</f>
        <v>#DIV/0!</v>
      </c>
      <c r="AC1035" s="37" t="e">
        <f>IF(DaybyDay[[#This Row],[_Space]],DaybyDay[[#This Row],[Ret-Bud-RU]]/DaybyDay[[#This Row],[Serv-Bud-RU]],"")</f>
        <v>#DIV/0!</v>
      </c>
      <c r="AD1035" s="37" t="e">
        <f>IF(DaybyDay[[#This Row],[_Space]],DaybyDay[[#This Row],[Ret-LY-RU]]/DaybyDay[[#This Row],[Serv-LY-RU]],"")</f>
        <v>#DIV/0!</v>
      </c>
      <c r="AE1035" s="30">
        <f>WEEKDAY(DaybyDay[[#This Row],[LY-Date]])</f>
        <v>7</v>
      </c>
      <c r="AF1035" s="38">
        <f>$E$2+_xlfn.DAYS(DaybyDay[[#This Row],[Date]],minDate)</f>
        <v>43400</v>
      </c>
      <c r="AG1035" s="39" cm="1">
        <f t="array" ref="AG1035">IFERROR(INDEX(DaybyDay[],DaybyDay[[#This Row],[FORM_MATCH_HELPER]],8),"")</f>
        <v>30</v>
      </c>
      <c r="AH1035" s="39" cm="1">
        <f t="array" ref="AH1035">IFERROR(INDEX(DaybyDay[],DaybyDay[[#This Row],[FORM_MATCH_HELPER]],10),"")</f>
        <v>8592.25</v>
      </c>
      <c r="AI1035" s="39" cm="1">
        <f t="array" ref="AI1035">IFERROR(INDEX(DaybyDay[],DaybyDay[[#This Row],[FORM_MATCH_HELPER]],12),"")</f>
        <v>10677.5</v>
      </c>
      <c r="AJ1035" s="32">
        <f>IFERROR(DaybyDay[[#This Row],[Serv-LY-RU]]+DaybyDay[[#This Row],[Ret-LY-RU]],"")</f>
        <v>0</v>
      </c>
      <c r="AK10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5" s="77"/>
      <c r="AM1035" s="40" t="str">
        <f>IF(DaybyDay[[#This Row],[Admin Hours]]&gt;0,DaybyDay[[#This Row],[Admin Hours]]*$AM$2+$AM$3,"")</f>
        <v/>
      </c>
      <c r="AN1035" s="40">
        <f>SUMIFS(DaybyDay[Est-Admin-Payroll],DaybyDay[Date],"&gt;="&amp;$C$5,DaybyDay[RowYear],"&gt;="&amp;$C$4,DaybyDay[Date],"&lt;="&amp;DaybyDay[[#This Row],[Date]])</f>
        <v>0</v>
      </c>
      <c r="AO1035" s="41" t="str">
        <f>IF(AND(DaybyDay[[#This Row],[_Space]],ISNUMBER(DaybyDay[[#This Row],[Admin Hours]])),DaybyDay[[#This Row],[Est-Admin-Payroll]]/(DaybyDay[[#This Row],[Service-Actuals]]+DaybyDay[[#This Row],[Retail-Actuals]]),"")</f>
        <v/>
      </c>
      <c r="AP1035" s="41" t="e">
        <f>DaybyDay[[#This Row],[Estimated-Payroll-Rollup]]/DaybyDay[[#This Row],[Simple-Forecast]]</f>
        <v>#DIV/0!</v>
      </c>
      <c r="AQ10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5" s="77"/>
      <c r="AS1035" s="40" t="str">
        <f>IF(DaybyDay[[#This Row],[Retail Hours]]&gt;0,DaybyDay[[#This Row],[Retail Hours]]*$AS$2,"")</f>
        <v/>
      </c>
      <c r="AT1035" s="40">
        <f>SUMIFS(DaybyDay[Est-Retail-Payroll],DaybyDay[Date],"&gt;="&amp;$C$5,DaybyDay[RowYear],"&gt;="&amp;$C$4,DaybyDay[Date],"&lt;="&amp;DaybyDay[[#This Row],[Date]])</f>
        <v>0</v>
      </c>
      <c r="AU1035" s="82" t="str">
        <f>IF(AND(DaybyDay[[#This Row],[_Space]],ISNUMBER(DaybyDay[[#This Row],[Retail Hours]])),DaybyDay[[#This Row],[Est-Retail-Payroll]]/(DaybyDay[[#This Row],[Retail-Actuals]]),"")</f>
        <v/>
      </c>
      <c r="AV1035" s="82" t="e">
        <f>DaybyDay[[#This Row],[Est-Retail-PayrollRU]]/DaybyDay[[#This Row],[Simple-Forecast-Retail]]</f>
        <v>#DIV/0!</v>
      </c>
      <c r="AW1035" s="8"/>
      <c r="AX1035" s="15"/>
      <c r="AY1035" s="8"/>
    </row>
    <row r="1036" spans="3:51" hidden="1" x14ac:dyDescent="0.25">
      <c r="C1036" s="26" t="str">
        <f>Tools!$C$1</f>
        <v>Example</v>
      </c>
      <c r="D1036" s="27" t="s">
        <v>77</v>
      </c>
      <c r="E1036" s="28">
        <v>2019</v>
      </c>
      <c r="F1036" s="28">
        <f>MATCH(DaybyDay[[#This Row],[RowMonth]],Table3[SummaryMonth],0)</f>
        <v>10</v>
      </c>
      <c r="G1036" s="29">
        <f>MATCH(DaybyDay[[#This Row],[LY-Date]],DaybyDay[Date],0)</f>
        <v>666</v>
      </c>
      <c r="H1036" s="30">
        <f>WEEKDAY(DaybyDay[[#This Row],[Date]])</f>
        <v>1</v>
      </c>
      <c r="I1036" s="31">
        <v>43765</v>
      </c>
      <c r="J1036" s="74">
        <v>36</v>
      </c>
      <c r="K1036" s="32">
        <f>SUMIFS(BudgetSeasonality[365 Seasonality],BudgetSeasonality[MonthAdjustment],DaybyDay[[#This Row],[Date]])*SUMIFS(Budgets[Service-Budget],Budgets[BudgetMonth],DaybyDay[[#This Row],[RowMonth]],Budgets[BudgetYear],DaybyDay[[#This Row],[RowYear]])</f>
        <v>7500.0651829434519</v>
      </c>
      <c r="L1036" s="75">
        <v>4894.2</v>
      </c>
      <c r="M1036" s="32">
        <f>INDEX(BudgetSeasonality[365 Seasonality],MATCH(DaybyDay[[#This Row],[Date]],BudgetSeasonality[MonthAdjustment],0))*SUMIFS(Budgets[Retail-Budget],Budgets[BudgetMonth],DaybyDay[[#This Row],[RowMonth]],Budgets[BudgetYear],DaybyDay[[#This Row],[RowYear]])</f>
        <v>2348.2650596364756</v>
      </c>
      <c r="N1036" s="75">
        <v>1736.5</v>
      </c>
      <c r="O1036" s="33">
        <f>SUMIFS(DaybyDay[Service-Budgets],DaybyDay[Date],"&gt;="&amp;$C$5,DaybyDay[RowYear],"&gt;="&amp;$C$4,DaybyDay[Date],"&lt;="&amp;DaybyDay[[#This Row],[Date]])</f>
        <v>0</v>
      </c>
      <c r="P1036" s="33">
        <f>SUMIFS(DaybyDay[Retail-Budgets],DaybyDay[Date],"&gt;="&amp;$C$5,DaybyDay[RowYear],"&gt;="&amp;$C$4,DaybyDay[Date],"&lt;="&amp;DaybyDay[[#This Row],[Date]])</f>
        <v>0</v>
      </c>
      <c r="Q1036" s="34">
        <f>SUMIFS(DaybyDay[Service-Actuals],DaybyDay[Date],"&gt;="&amp;$C$5,DaybyDay[RowYear],"&gt;="&amp;$C$4,DaybyDay[Date],"&lt;="&amp;DaybyDay[[#This Row],[Date]])</f>
        <v>0</v>
      </c>
      <c r="R1036" s="34">
        <f>SUMIFS(DaybyDay[Retail-Actuals],DaybyDay[Date],"&gt;="&amp;$C$5,DaybyDay[RowYear],"&gt;="&amp;$C$4,DaybyDay[Date],"&lt;="&amp;DaybyDay[[#This Row],[Date]])</f>
        <v>0</v>
      </c>
      <c r="S1036" s="35">
        <f>SUMIFS(DaybyDay[Service-LY],DaybyDay[Date],"&gt;="&amp;$C$5,DaybyDay[RowYear],"&gt;="&amp;$C$4,DaybyDay[Date],"&lt;="&amp;DaybyDay[[#This Row],[Date]])</f>
        <v>0</v>
      </c>
      <c r="T1036" s="35">
        <f>SUMIFS(DaybyDay[Retail-LY],DaybyDay[Date],"&gt;="&amp;$C$5,DaybyDay[RowYear],"&gt;="&amp;$C$4,DaybyDay[Date],"&lt;="&amp;DaybyDay[[#This Row],[Date]])</f>
        <v>0</v>
      </c>
      <c r="U1036" s="32">
        <f>DaybyDay[[#This Row],[Serv-Bud-RU]]+DaybyDay[[#This Row],[Ret-Bud-RU]]</f>
        <v>0</v>
      </c>
      <c r="V1036" s="32">
        <f>DaybyDay[[#This Row],[Serv-Act-RU]]+DaybyDay[[#This Row],[Ret-Act-RU]]</f>
        <v>0</v>
      </c>
      <c r="W1036" s="36">
        <f>IF(DaybyDay[[#This Row],[_Space]],IFERROR(
((DaybyDay[[#This Row],[Actual-Rollup]]-DaybyDay[[#This Row],[Budget-Rollup]])/DaybyDay[[#This Row],[Budget-Rollup]]),0),"")</f>
        <v>0</v>
      </c>
      <c r="X1036" t="b">
        <f>NOT(AND(ISBLANK(DaybyDay[[#This Row],[Appts]]),ISBLANK(DaybyDay[[#This Row],[Service-Actuals]]),ISBLANK(DaybyDay[[#This Row],[Retail-Actuals]])))</f>
        <v>1</v>
      </c>
      <c r="Y1036" s="36">
        <f>IF(DaybyDay[[#This Row],[_Space]],IFERROR(
((DaybyDay[[#This Row],[Actual-Rollup]]-DaybyDay[[#This Row],[LY-Rollup]])/DaybyDay[[#This Row],[LY-Rollup]]),0),"")</f>
        <v>0</v>
      </c>
      <c r="Z1036"/>
      <c r="AA1036" s="37" t="e">
        <f>IF(DaybyDay[[#This Row],[_Space]],DaybyDay[[#This Row],[Ret-Act-RU]]/DaybyDay[[#This Row],[Serv-Act-RU]],"")</f>
        <v>#DIV/0!</v>
      </c>
      <c r="AB1036" s="50" t="e">
        <f>IF(DaybyDay[[#This Row],[_Space]],DaybyDay[[#This Row],[RETPEN-Act]]/DaybyDay[[#This Row],[RETPEN-Bud]],"")</f>
        <v>#DIV/0!</v>
      </c>
      <c r="AC1036" s="37" t="e">
        <f>IF(DaybyDay[[#This Row],[_Space]],DaybyDay[[#This Row],[Ret-Bud-RU]]/DaybyDay[[#This Row],[Serv-Bud-RU]],"")</f>
        <v>#DIV/0!</v>
      </c>
      <c r="AD1036" s="37" t="e">
        <f>IF(DaybyDay[[#This Row],[_Space]],DaybyDay[[#This Row],[Ret-LY-RU]]/DaybyDay[[#This Row],[Serv-LY-RU]],"")</f>
        <v>#DIV/0!</v>
      </c>
      <c r="AE1036" s="30">
        <f>WEEKDAY(DaybyDay[[#This Row],[LY-Date]])</f>
        <v>1</v>
      </c>
      <c r="AF1036" s="38">
        <f>$E$2+_xlfn.DAYS(DaybyDay[[#This Row],[Date]],minDate)</f>
        <v>43401</v>
      </c>
      <c r="AG1036" s="39" cm="1">
        <f t="array" ref="AG1036">IFERROR(INDEX(DaybyDay[],DaybyDay[[#This Row],[FORM_MATCH_HELPER]],8),"")</f>
        <v>27</v>
      </c>
      <c r="AH1036" s="39" cm="1">
        <f t="array" ref="AH1036">IFERROR(INDEX(DaybyDay[],DaybyDay[[#This Row],[FORM_MATCH_HELPER]],10),"")</f>
        <v>6121.24</v>
      </c>
      <c r="AI1036" s="39" cm="1">
        <f t="array" ref="AI1036">IFERROR(INDEX(DaybyDay[],DaybyDay[[#This Row],[FORM_MATCH_HELPER]],12),"")</f>
        <v>130</v>
      </c>
      <c r="AJ1036" s="32">
        <f>IFERROR(DaybyDay[[#This Row],[Serv-LY-RU]]+DaybyDay[[#This Row],[Ret-LY-RU]],"")</f>
        <v>0</v>
      </c>
      <c r="AK10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6" s="77"/>
      <c r="AM1036" s="40" t="str">
        <f>IF(DaybyDay[[#This Row],[Admin Hours]]&gt;0,DaybyDay[[#This Row],[Admin Hours]]*$AM$2+$AM$3,"")</f>
        <v/>
      </c>
      <c r="AN1036" s="40">
        <f>SUMIFS(DaybyDay[Est-Admin-Payroll],DaybyDay[Date],"&gt;="&amp;$C$5,DaybyDay[RowYear],"&gt;="&amp;$C$4,DaybyDay[Date],"&lt;="&amp;DaybyDay[[#This Row],[Date]])</f>
        <v>0</v>
      </c>
      <c r="AO1036" s="41" t="str">
        <f>IF(AND(DaybyDay[[#This Row],[_Space]],ISNUMBER(DaybyDay[[#This Row],[Admin Hours]])),DaybyDay[[#This Row],[Est-Admin-Payroll]]/(DaybyDay[[#This Row],[Service-Actuals]]+DaybyDay[[#This Row],[Retail-Actuals]]),"")</f>
        <v/>
      </c>
      <c r="AP1036" s="41" t="e">
        <f>DaybyDay[[#This Row],[Estimated-Payroll-Rollup]]/DaybyDay[[#This Row],[Simple-Forecast]]</f>
        <v>#DIV/0!</v>
      </c>
      <c r="AQ10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6" s="77"/>
      <c r="AS1036" s="40" t="str">
        <f>IF(DaybyDay[[#This Row],[Retail Hours]]&gt;0,DaybyDay[[#This Row],[Retail Hours]]*$AS$2,"")</f>
        <v/>
      </c>
      <c r="AT1036" s="40">
        <f>SUMIFS(DaybyDay[Est-Retail-Payroll],DaybyDay[Date],"&gt;="&amp;$C$5,DaybyDay[RowYear],"&gt;="&amp;$C$4,DaybyDay[Date],"&lt;="&amp;DaybyDay[[#This Row],[Date]])</f>
        <v>0</v>
      </c>
      <c r="AU1036" s="82" t="str">
        <f>IF(AND(DaybyDay[[#This Row],[_Space]],ISNUMBER(DaybyDay[[#This Row],[Retail Hours]])),DaybyDay[[#This Row],[Est-Retail-Payroll]]/(DaybyDay[[#This Row],[Retail-Actuals]]),"")</f>
        <v/>
      </c>
      <c r="AV1036" s="82" t="e">
        <f>DaybyDay[[#This Row],[Est-Retail-PayrollRU]]/DaybyDay[[#This Row],[Simple-Forecast-Retail]]</f>
        <v>#DIV/0!</v>
      </c>
      <c r="AW1036" s="8"/>
      <c r="AX1036" s="15"/>
      <c r="AY1036" s="8"/>
    </row>
    <row r="1037" spans="3:51" hidden="1" x14ac:dyDescent="0.25">
      <c r="C1037" s="26" t="str">
        <f>Tools!$C$1</f>
        <v>Example</v>
      </c>
      <c r="D1037" s="27" t="s">
        <v>77</v>
      </c>
      <c r="E1037" s="28">
        <v>2019</v>
      </c>
      <c r="F1037" s="28">
        <f>MATCH(DaybyDay[[#This Row],[RowMonth]],Table3[SummaryMonth],0)</f>
        <v>10</v>
      </c>
      <c r="G1037" s="29">
        <f>MATCH(DaybyDay[[#This Row],[LY-Date]],DaybyDay[Date],0)</f>
        <v>667</v>
      </c>
      <c r="H1037" s="30">
        <f>WEEKDAY(DaybyDay[[#This Row],[Date]])</f>
        <v>2</v>
      </c>
      <c r="I1037" s="31">
        <v>43766</v>
      </c>
      <c r="J1037" s="74">
        <v>20</v>
      </c>
      <c r="K1037" s="32">
        <f>SUMIFS(BudgetSeasonality[365 Seasonality],BudgetSeasonality[MonthAdjustment],DaybyDay[[#This Row],[Date]])*SUMIFS(Budgets[Service-Budget],Budgets[BudgetMonth],DaybyDay[[#This Row],[RowMonth]],Budgets[BudgetYear],DaybyDay[[#This Row],[RowYear]])</f>
        <v>4674.1229826080316</v>
      </c>
      <c r="L1037" s="75">
        <v>3865.5699999999997</v>
      </c>
      <c r="M1037" s="32">
        <f>INDEX(BudgetSeasonality[365 Seasonality],MATCH(DaybyDay[[#This Row],[Date]],BudgetSeasonality[MonthAdjustment],0))*SUMIFS(Budgets[Retail-Budget],Budgets[BudgetMonth],DaybyDay[[#This Row],[RowMonth]],Budgets[BudgetYear],DaybyDay[[#This Row],[RowYear]])</f>
        <v>1463.4645722098421</v>
      </c>
      <c r="N1037" s="75">
        <v>808</v>
      </c>
      <c r="O1037" s="33">
        <f>SUMIFS(DaybyDay[Service-Budgets],DaybyDay[Date],"&gt;="&amp;$C$5,DaybyDay[RowYear],"&gt;="&amp;$C$4,DaybyDay[Date],"&lt;="&amp;DaybyDay[[#This Row],[Date]])</f>
        <v>0</v>
      </c>
      <c r="P1037" s="33">
        <f>SUMIFS(DaybyDay[Retail-Budgets],DaybyDay[Date],"&gt;="&amp;$C$5,DaybyDay[RowYear],"&gt;="&amp;$C$4,DaybyDay[Date],"&lt;="&amp;DaybyDay[[#This Row],[Date]])</f>
        <v>0</v>
      </c>
      <c r="Q1037" s="34">
        <f>SUMIFS(DaybyDay[Service-Actuals],DaybyDay[Date],"&gt;="&amp;$C$5,DaybyDay[RowYear],"&gt;="&amp;$C$4,DaybyDay[Date],"&lt;="&amp;DaybyDay[[#This Row],[Date]])</f>
        <v>0</v>
      </c>
      <c r="R1037" s="34">
        <f>SUMIFS(DaybyDay[Retail-Actuals],DaybyDay[Date],"&gt;="&amp;$C$5,DaybyDay[RowYear],"&gt;="&amp;$C$4,DaybyDay[Date],"&lt;="&amp;DaybyDay[[#This Row],[Date]])</f>
        <v>0</v>
      </c>
      <c r="S1037" s="35">
        <f>SUMIFS(DaybyDay[Service-LY],DaybyDay[Date],"&gt;="&amp;$C$5,DaybyDay[RowYear],"&gt;="&amp;$C$4,DaybyDay[Date],"&lt;="&amp;DaybyDay[[#This Row],[Date]])</f>
        <v>0</v>
      </c>
      <c r="T1037" s="35">
        <f>SUMIFS(DaybyDay[Retail-LY],DaybyDay[Date],"&gt;="&amp;$C$5,DaybyDay[RowYear],"&gt;="&amp;$C$4,DaybyDay[Date],"&lt;="&amp;DaybyDay[[#This Row],[Date]])</f>
        <v>0</v>
      </c>
      <c r="U1037" s="32">
        <f>DaybyDay[[#This Row],[Serv-Bud-RU]]+DaybyDay[[#This Row],[Ret-Bud-RU]]</f>
        <v>0</v>
      </c>
      <c r="V1037" s="32">
        <f>DaybyDay[[#This Row],[Serv-Act-RU]]+DaybyDay[[#This Row],[Ret-Act-RU]]</f>
        <v>0</v>
      </c>
      <c r="W1037" s="36">
        <f>IF(DaybyDay[[#This Row],[_Space]],IFERROR(
((DaybyDay[[#This Row],[Actual-Rollup]]-DaybyDay[[#This Row],[Budget-Rollup]])/DaybyDay[[#This Row],[Budget-Rollup]]),0),"")</f>
        <v>0</v>
      </c>
      <c r="X1037" t="b">
        <f>NOT(AND(ISBLANK(DaybyDay[[#This Row],[Appts]]),ISBLANK(DaybyDay[[#This Row],[Service-Actuals]]),ISBLANK(DaybyDay[[#This Row],[Retail-Actuals]])))</f>
        <v>1</v>
      </c>
      <c r="Y1037" s="36">
        <f>IF(DaybyDay[[#This Row],[_Space]],IFERROR(
((DaybyDay[[#This Row],[Actual-Rollup]]-DaybyDay[[#This Row],[LY-Rollup]])/DaybyDay[[#This Row],[LY-Rollup]]),0),"")</f>
        <v>0</v>
      </c>
      <c r="Z1037"/>
      <c r="AA1037" s="37" t="e">
        <f>IF(DaybyDay[[#This Row],[_Space]],DaybyDay[[#This Row],[Ret-Act-RU]]/DaybyDay[[#This Row],[Serv-Act-RU]],"")</f>
        <v>#DIV/0!</v>
      </c>
      <c r="AB1037" s="50" t="e">
        <f>IF(DaybyDay[[#This Row],[_Space]],DaybyDay[[#This Row],[RETPEN-Act]]/DaybyDay[[#This Row],[RETPEN-Bud]],"")</f>
        <v>#DIV/0!</v>
      </c>
      <c r="AC1037" s="37" t="e">
        <f>IF(DaybyDay[[#This Row],[_Space]],DaybyDay[[#This Row],[Ret-Bud-RU]]/DaybyDay[[#This Row],[Serv-Bud-RU]],"")</f>
        <v>#DIV/0!</v>
      </c>
      <c r="AD1037" s="37" t="e">
        <f>IF(DaybyDay[[#This Row],[_Space]],DaybyDay[[#This Row],[Ret-LY-RU]]/DaybyDay[[#This Row],[Serv-LY-RU]],"")</f>
        <v>#DIV/0!</v>
      </c>
      <c r="AE1037" s="30">
        <f>WEEKDAY(DaybyDay[[#This Row],[LY-Date]])</f>
        <v>2</v>
      </c>
      <c r="AF1037" s="38">
        <f>$E$2+_xlfn.DAYS(DaybyDay[[#This Row],[Date]],minDate)</f>
        <v>43402</v>
      </c>
      <c r="AG1037" s="39" cm="1">
        <f t="array" ref="AG1037">IFERROR(INDEX(DaybyDay[],DaybyDay[[#This Row],[FORM_MATCH_HELPER]],8),"")</f>
        <v>13</v>
      </c>
      <c r="AH1037" s="39" cm="1">
        <f t="array" ref="AH1037">IFERROR(INDEX(DaybyDay[],DaybyDay[[#This Row],[FORM_MATCH_HELPER]],10),"")</f>
        <v>2718</v>
      </c>
      <c r="AI1037" s="39" cm="1">
        <f t="array" ref="AI1037">IFERROR(INDEX(DaybyDay[],DaybyDay[[#This Row],[FORM_MATCH_HELPER]],12),"")</f>
        <v>340</v>
      </c>
      <c r="AJ1037" s="32">
        <f>IFERROR(DaybyDay[[#This Row],[Serv-LY-RU]]+DaybyDay[[#This Row],[Ret-LY-RU]],"")</f>
        <v>0</v>
      </c>
      <c r="AK10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7" s="77"/>
      <c r="AM1037" s="40" t="str">
        <f>IF(DaybyDay[[#This Row],[Admin Hours]]&gt;0,DaybyDay[[#This Row],[Admin Hours]]*$AM$2+$AM$3,"")</f>
        <v/>
      </c>
      <c r="AN1037" s="40">
        <f>SUMIFS(DaybyDay[Est-Admin-Payroll],DaybyDay[Date],"&gt;="&amp;$C$5,DaybyDay[RowYear],"&gt;="&amp;$C$4,DaybyDay[Date],"&lt;="&amp;DaybyDay[[#This Row],[Date]])</f>
        <v>0</v>
      </c>
      <c r="AO1037" s="41" t="str">
        <f>IF(AND(DaybyDay[[#This Row],[_Space]],ISNUMBER(DaybyDay[[#This Row],[Admin Hours]])),DaybyDay[[#This Row],[Est-Admin-Payroll]]/(DaybyDay[[#This Row],[Service-Actuals]]+DaybyDay[[#This Row],[Retail-Actuals]]),"")</f>
        <v/>
      </c>
      <c r="AP1037" s="41" t="e">
        <f>DaybyDay[[#This Row],[Estimated-Payroll-Rollup]]/DaybyDay[[#This Row],[Simple-Forecast]]</f>
        <v>#DIV/0!</v>
      </c>
      <c r="AQ10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7" s="77"/>
      <c r="AS1037" s="40" t="str">
        <f>IF(DaybyDay[[#This Row],[Retail Hours]]&gt;0,DaybyDay[[#This Row],[Retail Hours]]*$AS$2,"")</f>
        <v/>
      </c>
      <c r="AT1037" s="40">
        <f>SUMIFS(DaybyDay[Est-Retail-Payroll],DaybyDay[Date],"&gt;="&amp;$C$5,DaybyDay[RowYear],"&gt;="&amp;$C$4,DaybyDay[Date],"&lt;="&amp;DaybyDay[[#This Row],[Date]])</f>
        <v>0</v>
      </c>
      <c r="AU1037" s="82" t="str">
        <f>IF(AND(DaybyDay[[#This Row],[_Space]],ISNUMBER(DaybyDay[[#This Row],[Retail Hours]])),DaybyDay[[#This Row],[Est-Retail-Payroll]]/(DaybyDay[[#This Row],[Retail-Actuals]]),"")</f>
        <v/>
      </c>
      <c r="AV1037" s="82" t="e">
        <f>DaybyDay[[#This Row],[Est-Retail-PayrollRU]]/DaybyDay[[#This Row],[Simple-Forecast-Retail]]</f>
        <v>#DIV/0!</v>
      </c>
      <c r="AW1037" s="8"/>
      <c r="AX1037" s="15"/>
      <c r="AY1037" s="8"/>
    </row>
    <row r="1038" spans="3:51" hidden="1" x14ac:dyDescent="0.25">
      <c r="C1038" s="26" t="str">
        <f>Tools!$C$1</f>
        <v>Example</v>
      </c>
      <c r="D1038" s="27" t="s">
        <v>77</v>
      </c>
      <c r="E1038" s="28">
        <v>2019</v>
      </c>
      <c r="F1038" s="28">
        <f>MATCH(DaybyDay[[#This Row],[RowMonth]],Table3[SummaryMonth],0)</f>
        <v>10</v>
      </c>
      <c r="G1038" s="29">
        <f>MATCH(DaybyDay[[#This Row],[LY-Date]],DaybyDay[Date],0)</f>
        <v>668</v>
      </c>
      <c r="H1038" s="30">
        <f>WEEKDAY(DaybyDay[[#This Row],[Date]])</f>
        <v>3</v>
      </c>
      <c r="I1038" s="31">
        <v>43767</v>
      </c>
      <c r="J1038" s="74">
        <v>12</v>
      </c>
      <c r="K1038" s="32">
        <f>SUMIFS(BudgetSeasonality[365 Seasonality],BudgetSeasonality[MonthAdjustment],DaybyDay[[#This Row],[Date]])*SUMIFS(Budgets[Service-Budget],Budgets[BudgetMonth],DaybyDay[[#This Row],[RowMonth]],Budgets[BudgetYear],DaybyDay[[#This Row],[RowYear]])</f>
        <v>4839.8714561360885</v>
      </c>
      <c r="L1038" s="75">
        <v>3039</v>
      </c>
      <c r="M1038" s="32">
        <f>INDEX(BudgetSeasonality[365 Seasonality],MATCH(DaybyDay[[#This Row],[Date]],BudgetSeasonality[MonthAdjustment],0))*SUMIFS(Budgets[Retail-Budget],Budgets[BudgetMonth],DaybyDay[[#This Row],[RowMonth]],Budgets[BudgetYear],DaybyDay[[#This Row],[RowYear]])</f>
        <v>1515.36030105753</v>
      </c>
      <c r="N1038" s="75">
        <v>982</v>
      </c>
      <c r="O1038" s="33">
        <f>SUMIFS(DaybyDay[Service-Budgets],DaybyDay[Date],"&gt;="&amp;$C$5,DaybyDay[RowYear],"&gt;="&amp;$C$4,DaybyDay[Date],"&lt;="&amp;DaybyDay[[#This Row],[Date]])</f>
        <v>0</v>
      </c>
      <c r="P1038" s="33">
        <f>SUMIFS(DaybyDay[Retail-Budgets],DaybyDay[Date],"&gt;="&amp;$C$5,DaybyDay[RowYear],"&gt;="&amp;$C$4,DaybyDay[Date],"&lt;="&amp;DaybyDay[[#This Row],[Date]])</f>
        <v>0</v>
      </c>
      <c r="Q1038" s="34">
        <f>SUMIFS(DaybyDay[Service-Actuals],DaybyDay[Date],"&gt;="&amp;$C$5,DaybyDay[RowYear],"&gt;="&amp;$C$4,DaybyDay[Date],"&lt;="&amp;DaybyDay[[#This Row],[Date]])</f>
        <v>0</v>
      </c>
      <c r="R1038" s="34">
        <f>SUMIFS(DaybyDay[Retail-Actuals],DaybyDay[Date],"&gt;="&amp;$C$5,DaybyDay[RowYear],"&gt;="&amp;$C$4,DaybyDay[Date],"&lt;="&amp;DaybyDay[[#This Row],[Date]])</f>
        <v>0</v>
      </c>
      <c r="S1038" s="35">
        <f>SUMIFS(DaybyDay[Service-LY],DaybyDay[Date],"&gt;="&amp;$C$5,DaybyDay[RowYear],"&gt;="&amp;$C$4,DaybyDay[Date],"&lt;="&amp;DaybyDay[[#This Row],[Date]])</f>
        <v>0</v>
      </c>
      <c r="T1038" s="35">
        <f>SUMIFS(DaybyDay[Retail-LY],DaybyDay[Date],"&gt;="&amp;$C$5,DaybyDay[RowYear],"&gt;="&amp;$C$4,DaybyDay[Date],"&lt;="&amp;DaybyDay[[#This Row],[Date]])</f>
        <v>0</v>
      </c>
      <c r="U1038" s="32">
        <f>DaybyDay[[#This Row],[Serv-Bud-RU]]+DaybyDay[[#This Row],[Ret-Bud-RU]]</f>
        <v>0</v>
      </c>
      <c r="V1038" s="32">
        <f>DaybyDay[[#This Row],[Serv-Act-RU]]+DaybyDay[[#This Row],[Ret-Act-RU]]</f>
        <v>0</v>
      </c>
      <c r="W1038" s="36">
        <f>IF(DaybyDay[[#This Row],[_Space]],IFERROR(
((DaybyDay[[#This Row],[Actual-Rollup]]-DaybyDay[[#This Row],[Budget-Rollup]])/DaybyDay[[#This Row],[Budget-Rollup]]),0),"")</f>
        <v>0</v>
      </c>
      <c r="X1038" t="b">
        <f>NOT(AND(ISBLANK(DaybyDay[[#This Row],[Appts]]),ISBLANK(DaybyDay[[#This Row],[Service-Actuals]]),ISBLANK(DaybyDay[[#This Row],[Retail-Actuals]])))</f>
        <v>1</v>
      </c>
      <c r="Y1038" s="36">
        <f>IF(DaybyDay[[#This Row],[_Space]],IFERROR(
((DaybyDay[[#This Row],[Actual-Rollup]]-DaybyDay[[#This Row],[LY-Rollup]])/DaybyDay[[#This Row],[LY-Rollup]]),0),"")</f>
        <v>0</v>
      </c>
      <c r="Z1038"/>
      <c r="AA1038" s="37" t="e">
        <f>IF(DaybyDay[[#This Row],[_Space]],DaybyDay[[#This Row],[Ret-Act-RU]]/DaybyDay[[#This Row],[Serv-Act-RU]],"")</f>
        <v>#DIV/0!</v>
      </c>
      <c r="AB1038" s="50" t="e">
        <f>IF(DaybyDay[[#This Row],[_Space]],DaybyDay[[#This Row],[RETPEN-Act]]/DaybyDay[[#This Row],[RETPEN-Bud]],"")</f>
        <v>#DIV/0!</v>
      </c>
      <c r="AC1038" s="37" t="e">
        <f>IF(DaybyDay[[#This Row],[_Space]],DaybyDay[[#This Row],[Ret-Bud-RU]]/DaybyDay[[#This Row],[Serv-Bud-RU]],"")</f>
        <v>#DIV/0!</v>
      </c>
      <c r="AD1038" s="37" t="e">
        <f>IF(DaybyDay[[#This Row],[_Space]],DaybyDay[[#This Row],[Ret-LY-RU]]/DaybyDay[[#This Row],[Serv-LY-RU]],"")</f>
        <v>#DIV/0!</v>
      </c>
      <c r="AE1038" s="30">
        <f>WEEKDAY(DaybyDay[[#This Row],[LY-Date]])</f>
        <v>3</v>
      </c>
      <c r="AF1038" s="38">
        <f>$E$2+_xlfn.DAYS(DaybyDay[[#This Row],[Date]],minDate)</f>
        <v>43403</v>
      </c>
      <c r="AG1038" s="39" cm="1">
        <f t="array" ref="AG1038">IFERROR(INDEX(DaybyDay[],DaybyDay[[#This Row],[FORM_MATCH_HELPER]],8),"")</f>
        <v>17</v>
      </c>
      <c r="AH1038" s="39" cm="1">
        <f t="array" ref="AH1038">IFERROR(INDEX(DaybyDay[],DaybyDay[[#This Row],[FORM_MATCH_HELPER]],10),"")</f>
        <v>3130.25</v>
      </c>
      <c r="AI1038" s="39" cm="1">
        <f t="array" ref="AI1038">IFERROR(INDEX(DaybyDay[],DaybyDay[[#This Row],[FORM_MATCH_HELPER]],12),"")</f>
        <v>2442.5</v>
      </c>
      <c r="AJ1038" s="32">
        <f>IFERROR(DaybyDay[[#This Row],[Serv-LY-RU]]+DaybyDay[[#This Row],[Ret-LY-RU]],"")</f>
        <v>0</v>
      </c>
      <c r="AK10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8" s="77"/>
      <c r="AM1038" s="40" t="str">
        <f>IF(DaybyDay[[#This Row],[Admin Hours]]&gt;0,DaybyDay[[#This Row],[Admin Hours]]*$AM$2+$AM$3,"")</f>
        <v/>
      </c>
      <c r="AN1038" s="40">
        <f>SUMIFS(DaybyDay[Est-Admin-Payroll],DaybyDay[Date],"&gt;="&amp;$C$5,DaybyDay[RowYear],"&gt;="&amp;$C$4,DaybyDay[Date],"&lt;="&amp;DaybyDay[[#This Row],[Date]])</f>
        <v>0</v>
      </c>
      <c r="AO1038" s="41" t="str">
        <f>IF(AND(DaybyDay[[#This Row],[_Space]],ISNUMBER(DaybyDay[[#This Row],[Admin Hours]])),DaybyDay[[#This Row],[Est-Admin-Payroll]]/(DaybyDay[[#This Row],[Service-Actuals]]+DaybyDay[[#This Row],[Retail-Actuals]]),"")</f>
        <v/>
      </c>
      <c r="AP1038" s="41" t="e">
        <f>DaybyDay[[#This Row],[Estimated-Payroll-Rollup]]/DaybyDay[[#This Row],[Simple-Forecast]]</f>
        <v>#DIV/0!</v>
      </c>
      <c r="AQ10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8" s="77"/>
      <c r="AS1038" s="40" t="str">
        <f>IF(DaybyDay[[#This Row],[Retail Hours]]&gt;0,DaybyDay[[#This Row],[Retail Hours]]*$AS$2,"")</f>
        <v/>
      </c>
      <c r="AT1038" s="40">
        <f>SUMIFS(DaybyDay[Est-Retail-Payroll],DaybyDay[Date],"&gt;="&amp;$C$5,DaybyDay[RowYear],"&gt;="&amp;$C$4,DaybyDay[Date],"&lt;="&amp;DaybyDay[[#This Row],[Date]])</f>
        <v>0</v>
      </c>
      <c r="AU1038" s="82" t="str">
        <f>IF(AND(DaybyDay[[#This Row],[_Space]],ISNUMBER(DaybyDay[[#This Row],[Retail Hours]])),DaybyDay[[#This Row],[Est-Retail-Payroll]]/(DaybyDay[[#This Row],[Retail-Actuals]]),"")</f>
        <v/>
      </c>
      <c r="AV1038" s="82" t="e">
        <f>DaybyDay[[#This Row],[Est-Retail-PayrollRU]]/DaybyDay[[#This Row],[Simple-Forecast-Retail]]</f>
        <v>#DIV/0!</v>
      </c>
      <c r="AW1038" s="8"/>
      <c r="AX1038" s="15"/>
      <c r="AY1038" s="8"/>
    </row>
    <row r="1039" spans="3:51" hidden="1" x14ac:dyDescent="0.25">
      <c r="C1039" s="26" t="str">
        <f>Tools!$C$1</f>
        <v>Example</v>
      </c>
      <c r="D1039" s="27" t="s">
        <v>77</v>
      </c>
      <c r="E1039" s="28">
        <v>2019</v>
      </c>
      <c r="F1039" s="28">
        <f>MATCH(DaybyDay[[#This Row],[RowMonth]],Table3[SummaryMonth],0)</f>
        <v>10</v>
      </c>
      <c r="G1039" s="29">
        <f>MATCH(DaybyDay[[#This Row],[LY-Date]],DaybyDay[Date],0)</f>
        <v>669</v>
      </c>
      <c r="H1039" s="30">
        <f>WEEKDAY(DaybyDay[[#This Row],[Date]])</f>
        <v>4</v>
      </c>
      <c r="I1039" s="31">
        <v>43768</v>
      </c>
      <c r="J1039" s="74">
        <v>18</v>
      </c>
      <c r="K1039" s="32">
        <f>SUMIFS(BudgetSeasonality[365 Seasonality],BudgetSeasonality[MonthAdjustment],DaybyDay[[#This Row],[Date]])*SUMIFS(Budgets[Service-Budget],Budgets[BudgetMonth],DaybyDay[[#This Row],[RowMonth]],Budgets[BudgetYear],DaybyDay[[#This Row],[RowYear]])</f>
        <v>5529.027846114468</v>
      </c>
      <c r="L1039" s="75">
        <v>3917.4</v>
      </c>
      <c r="M1039" s="32">
        <f>INDEX(BudgetSeasonality[365 Seasonality],MATCH(DaybyDay[[#This Row],[Date]],BudgetSeasonality[MonthAdjustment],0))*SUMIFS(Budgets[Retail-Budget],Budgets[BudgetMonth],DaybyDay[[#This Row],[RowMonth]],Budgets[BudgetYear],DaybyDay[[#This Row],[RowYear]])</f>
        <v>1731.134675244544</v>
      </c>
      <c r="N1039" s="75">
        <v>241.1</v>
      </c>
      <c r="O1039" s="33">
        <f>SUMIFS(DaybyDay[Service-Budgets],DaybyDay[Date],"&gt;="&amp;$C$5,DaybyDay[RowYear],"&gt;="&amp;$C$4,DaybyDay[Date],"&lt;="&amp;DaybyDay[[#This Row],[Date]])</f>
        <v>0</v>
      </c>
      <c r="P1039" s="33">
        <f>SUMIFS(DaybyDay[Retail-Budgets],DaybyDay[Date],"&gt;="&amp;$C$5,DaybyDay[RowYear],"&gt;="&amp;$C$4,DaybyDay[Date],"&lt;="&amp;DaybyDay[[#This Row],[Date]])</f>
        <v>0</v>
      </c>
      <c r="Q1039" s="34">
        <f>SUMIFS(DaybyDay[Service-Actuals],DaybyDay[Date],"&gt;="&amp;$C$5,DaybyDay[RowYear],"&gt;="&amp;$C$4,DaybyDay[Date],"&lt;="&amp;DaybyDay[[#This Row],[Date]])</f>
        <v>0</v>
      </c>
      <c r="R1039" s="34">
        <f>SUMIFS(DaybyDay[Retail-Actuals],DaybyDay[Date],"&gt;="&amp;$C$5,DaybyDay[RowYear],"&gt;="&amp;$C$4,DaybyDay[Date],"&lt;="&amp;DaybyDay[[#This Row],[Date]])</f>
        <v>0</v>
      </c>
      <c r="S1039" s="35">
        <f>SUMIFS(DaybyDay[Service-LY],DaybyDay[Date],"&gt;="&amp;$C$5,DaybyDay[RowYear],"&gt;="&amp;$C$4,DaybyDay[Date],"&lt;="&amp;DaybyDay[[#This Row],[Date]])</f>
        <v>0</v>
      </c>
      <c r="T1039" s="35">
        <f>SUMIFS(DaybyDay[Retail-LY],DaybyDay[Date],"&gt;="&amp;$C$5,DaybyDay[RowYear],"&gt;="&amp;$C$4,DaybyDay[Date],"&lt;="&amp;DaybyDay[[#This Row],[Date]])</f>
        <v>0</v>
      </c>
      <c r="U1039" s="32">
        <f>DaybyDay[[#This Row],[Serv-Bud-RU]]+DaybyDay[[#This Row],[Ret-Bud-RU]]</f>
        <v>0</v>
      </c>
      <c r="V1039" s="32">
        <f>DaybyDay[[#This Row],[Serv-Act-RU]]+DaybyDay[[#This Row],[Ret-Act-RU]]</f>
        <v>0</v>
      </c>
      <c r="W1039" s="36">
        <f>IF(DaybyDay[[#This Row],[_Space]],IFERROR(
((DaybyDay[[#This Row],[Actual-Rollup]]-DaybyDay[[#This Row],[Budget-Rollup]])/DaybyDay[[#This Row],[Budget-Rollup]]),0),"")</f>
        <v>0</v>
      </c>
      <c r="X1039" t="b">
        <f>NOT(AND(ISBLANK(DaybyDay[[#This Row],[Appts]]),ISBLANK(DaybyDay[[#This Row],[Service-Actuals]]),ISBLANK(DaybyDay[[#This Row],[Retail-Actuals]])))</f>
        <v>1</v>
      </c>
      <c r="Y1039" s="36">
        <f>IF(DaybyDay[[#This Row],[_Space]],IFERROR(
((DaybyDay[[#This Row],[Actual-Rollup]]-DaybyDay[[#This Row],[LY-Rollup]])/DaybyDay[[#This Row],[LY-Rollup]]),0),"")</f>
        <v>0</v>
      </c>
      <c r="Z1039"/>
      <c r="AA1039" s="37" t="e">
        <f>IF(DaybyDay[[#This Row],[_Space]],DaybyDay[[#This Row],[Ret-Act-RU]]/DaybyDay[[#This Row],[Serv-Act-RU]],"")</f>
        <v>#DIV/0!</v>
      </c>
      <c r="AB1039" s="50" t="e">
        <f>IF(DaybyDay[[#This Row],[_Space]],DaybyDay[[#This Row],[RETPEN-Act]]/DaybyDay[[#This Row],[RETPEN-Bud]],"")</f>
        <v>#DIV/0!</v>
      </c>
      <c r="AC1039" s="37" t="e">
        <f>IF(DaybyDay[[#This Row],[_Space]],DaybyDay[[#This Row],[Ret-Bud-RU]]/DaybyDay[[#This Row],[Serv-Bud-RU]],"")</f>
        <v>#DIV/0!</v>
      </c>
      <c r="AD1039" s="37" t="e">
        <f>IF(DaybyDay[[#This Row],[_Space]],DaybyDay[[#This Row],[Ret-LY-RU]]/DaybyDay[[#This Row],[Serv-LY-RU]],"")</f>
        <v>#DIV/0!</v>
      </c>
      <c r="AE1039" s="30">
        <f>WEEKDAY(DaybyDay[[#This Row],[LY-Date]])</f>
        <v>4</v>
      </c>
      <c r="AF1039" s="38">
        <f>$E$2+_xlfn.DAYS(DaybyDay[[#This Row],[Date]],minDate)</f>
        <v>43404</v>
      </c>
      <c r="AG1039" s="39" cm="1">
        <f t="array" ref="AG1039">IFERROR(INDEX(DaybyDay[],DaybyDay[[#This Row],[FORM_MATCH_HELPER]],8),"")</f>
        <v>23</v>
      </c>
      <c r="AH1039" s="39" cm="1">
        <f t="array" ref="AH1039">IFERROR(INDEX(DaybyDay[],DaybyDay[[#This Row],[FORM_MATCH_HELPER]],10),"")</f>
        <v>5403.75</v>
      </c>
      <c r="AI1039" s="39" cm="1">
        <f t="array" ref="AI1039">IFERROR(INDEX(DaybyDay[],DaybyDay[[#This Row],[FORM_MATCH_HELPER]],12),"")</f>
        <v>118</v>
      </c>
      <c r="AJ1039" s="32">
        <f>IFERROR(DaybyDay[[#This Row],[Serv-LY-RU]]+DaybyDay[[#This Row],[Ret-LY-RU]],"")</f>
        <v>0</v>
      </c>
      <c r="AK10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39" s="77"/>
      <c r="AM1039" s="40" t="str">
        <f>IF(DaybyDay[[#This Row],[Admin Hours]]&gt;0,DaybyDay[[#This Row],[Admin Hours]]*$AM$2+$AM$3,"")</f>
        <v/>
      </c>
      <c r="AN1039" s="40">
        <f>SUMIFS(DaybyDay[Est-Admin-Payroll],DaybyDay[Date],"&gt;="&amp;$C$5,DaybyDay[RowYear],"&gt;="&amp;$C$4,DaybyDay[Date],"&lt;="&amp;DaybyDay[[#This Row],[Date]])</f>
        <v>0</v>
      </c>
      <c r="AO1039" s="41" t="str">
        <f>IF(AND(DaybyDay[[#This Row],[_Space]],ISNUMBER(DaybyDay[[#This Row],[Admin Hours]])),DaybyDay[[#This Row],[Est-Admin-Payroll]]/(DaybyDay[[#This Row],[Service-Actuals]]+DaybyDay[[#This Row],[Retail-Actuals]]),"")</f>
        <v/>
      </c>
      <c r="AP1039" s="41" t="e">
        <f>DaybyDay[[#This Row],[Estimated-Payroll-Rollup]]/DaybyDay[[#This Row],[Simple-Forecast]]</f>
        <v>#DIV/0!</v>
      </c>
      <c r="AQ10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39" s="77"/>
      <c r="AS1039" s="40" t="str">
        <f>IF(DaybyDay[[#This Row],[Retail Hours]]&gt;0,DaybyDay[[#This Row],[Retail Hours]]*$AS$2,"")</f>
        <v/>
      </c>
      <c r="AT1039" s="40">
        <f>SUMIFS(DaybyDay[Est-Retail-Payroll],DaybyDay[Date],"&gt;="&amp;$C$5,DaybyDay[RowYear],"&gt;="&amp;$C$4,DaybyDay[Date],"&lt;="&amp;DaybyDay[[#This Row],[Date]])</f>
        <v>0</v>
      </c>
      <c r="AU1039" s="82" t="str">
        <f>IF(AND(DaybyDay[[#This Row],[_Space]],ISNUMBER(DaybyDay[[#This Row],[Retail Hours]])),DaybyDay[[#This Row],[Est-Retail-Payroll]]/(DaybyDay[[#This Row],[Retail-Actuals]]),"")</f>
        <v/>
      </c>
      <c r="AV1039" s="82" t="e">
        <f>DaybyDay[[#This Row],[Est-Retail-PayrollRU]]/DaybyDay[[#This Row],[Simple-Forecast-Retail]]</f>
        <v>#DIV/0!</v>
      </c>
      <c r="AW1039" s="8"/>
      <c r="AX1039" s="15"/>
      <c r="AY1039" s="8"/>
    </row>
    <row r="1040" spans="3:51" hidden="1" x14ac:dyDescent="0.25">
      <c r="C1040" s="26" t="str">
        <f>Tools!$C$1</f>
        <v>Example</v>
      </c>
      <c r="D1040" s="27" t="s">
        <v>77</v>
      </c>
      <c r="E1040" s="28">
        <v>2019</v>
      </c>
      <c r="F1040" s="28">
        <f>MATCH(DaybyDay[[#This Row],[RowMonth]],Table3[SummaryMonth],0)</f>
        <v>10</v>
      </c>
      <c r="G1040" s="29">
        <f>MATCH(DaybyDay[[#This Row],[LY-Date]],DaybyDay[Date],0)</f>
        <v>670</v>
      </c>
      <c r="H1040" s="30">
        <f>WEEKDAY(DaybyDay[[#This Row],[Date]])</f>
        <v>5</v>
      </c>
      <c r="I1040" s="31">
        <v>43769</v>
      </c>
      <c r="J1040" s="74">
        <v>16</v>
      </c>
      <c r="K1040" s="32">
        <f>SUMIFS(BudgetSeasonality[365 Seasonality],BudgetSeasonality[MonthAdjustment],DaybyDay[[#This Row],[Date]])*SUMIFS(Budgets[Service-Budget],Budgets[BudgetMonth],DaybyDay[[#This Row],[RowMonth]],Budgets[BudgetYear],DaybyDay[[#This Row],[RowYear]])</f>
        <v>5683.9697378965902</v>
      </c>
      <c r="L1040" s="75">
        <v>4076.83</v>
      </c>
      <c r="M1040" s="32">
        <f>INDEX(BudgetSeasonality[365 Seasonality],MATCH(DaybyDay[[#This Row],[Date]],BudgetSeasonality[MonthAdjustment],0))*SUMIFS(Budgets[Retail-Budget],Budgets[BudgetMonth],DaybyDay[[#This Row],[RowMonth]],Budgets[BudgetYear],DaybyDay[[#This Row],[RowYear]])</f>
        <v>1779.6468710549732</v>
      </c>
      <c r="N1040" s="75">
        <v>382.5</v>
      </c>
      <c r="O1040" s="33">
        <f>SUMIFS(DaybyDay[Service-Budgets],DaybyDay[Date],"&gt;="&amp;$C$5,DaybyDay[RowYear],"&gt;="&amp;$C$4,DaybyDay[Date],"&lt;="&amp;DaybyDay[[#This Row],[Date]])</f>
        <v>0</v>
      </c>
      <c r="P1040" s="33">
        <f>SUMIFS(DaybyDay[Retail-Budgets],DaybyDay[Date],"&gt;="&amp;$C$5,DaybyDay[RowYear],"&gt;="&amp;$C$4,DaybyDay[Date],"&lt;="&amp;DaybyDay[[#This Row],[Date]])</f>
        <v>0</v>
      </c>
      <c r="Q1040" s="34">
        <f>SUMIFS(DaybyDay[Service-Actuals],DaybyDay[Date],"&gt;="&amp;$C$5,DaybyDay[RowYear],"&gt;="&amp;$C$4,DaybyDay[Date],"&lt;="&amp;DaybyDay[[#This Row],[Date]])</f>
        <v>0</v>
      </c>
      <c r="R1040" s="34">
        <f>SUMIFS(DaybyDay[Retail-Actuals],DaybyDay[Date],"&gt;="&amp;$C$5,DaybyDay[RowYear],"&gt;="&amp;$C$4,DaybyDay[Date],"&lt;="&amp;DaybyDay[[#This Row],[Date]])</f>
        <v>0</v>
      </c>
      <c r="S1040" s="35">
        <f>SUMIFS(DaybyDay[Service-LY],DaybyDay[Date],"&gt;="&amp;$C$5,DaybyDay[RowYear],"&gt;="&amp;$C$4,DaybyDay[Date],"&lt;="&amp;DaybyDay[[#This Row],[Date]])</f>
        <v>0</v>
      </c>
      <c r="T1040" s="35">
        <f>SUMIFS(DaybyDay[Retail-LY],DaybyDay[Date],"&gt;="&amp;$C$5,DaybyDay[RowYear],"&gt;="&amp;$C$4,DaybyDay[Date],"&lt;="&amp;DaybyDay[[#This Row],[Date]])</f>
        <v>0</v>
      </c>
      <c r="U1040" s="32">
        <f>DaybyDay[[#This Row],[Serv-Bud-RU]]+DaybyDay[[#This Row],[Ret-Bud-RU]]</f>
        <v>0</v>
      </c>
      <c r="V1040" s="32">
        <f>DaybyDay[[#This Row],[Serv-Act-RU]]+DaybyDay[[#This Row],[Ret-Act-RU]]</f>
        <v>0</v>
      </c>
      <c r="W1040" s="36">
        <f>IF(DaybyDay[[#This Row],[_Space]],IFERROR(
((DaybyDay[[#This Row],[Actual-Rollup]]-DaybyDay[[#This Row],[Budget-Rollup]])/DaybyDay[[#This Row],[Budget-Rollup]]),0),"")</f>
        <v>0</v>
      </c>
      <c r="X1040" t="b">
        <f>NOT(AND(ISBLANK(DaybyDay[[#This Row],[Appts]]),ISBLANK(DaybyDay[[#This Row],[Service-Actuals]]),ISBLANK(DaybyDay[[#This Row],[Retail-Actuals]])))</f>
        <v>1</v>
      </c>
      <c r="Y1040" s="36">
        <f>IF(DaybyDay[[#This Row],[_Space]],IFERROR(
((DaybyDay[[#This Row],[Actual-Rollup]]-DaybyDay[[#This Row],[LY-Rollup]])/DaybyDay[[#This Row],[LY-Rollup]]),0),"")</f>
        <v>0</v>
      </c>
      <c r="Z1040"/>
      <c r="AA1040" s="37" t="e">
        <f>IF(DaybyDay[[#This Row],[_Space]],DaybyDay[[#This Row],[Ret-Act-RU]]/DaybyDay[[#This Row],[Serv-Act-RU]],"")</f>
        <v>#DIV/0!</v>
      </c>
      <c r="AB1040" s="50" t="e">
        <f>IF(DaybyDay[[#This Row],[_Space]],DaybyDay[[#This Row],[RETPEN-Act]]/DaybyDay[[#This Row],[RETPEN-Bud]],"")</f>
        <v>#DIV/0!</v>
      </c>
      <c r="AC1040" s="37" t="e">
        <f>IF(DaybyDay[[#This Row],[_Space]],DaybyDay[[#This Row],[Ret-Bud-RU]]/DaybyDay[[#This Row],[Serv-Bud-RU]],"")</f>
        <v>#DIV/0!</v>
      </c>
      <c r="AD1040" s="37" t="e">
        <f>IF(DaybyDay[[#This Row],[_Space]],DaybyDay[[#This Row],[Ret-LY-RU]]/DaybyDay[[#This Row],[Serv-LY-RU]],"")</f>
        <v>#DIV/0!</v>
      </c>
      <c r="AE1040" s="30">
        <f>WEEKDAY(DaybyDay[[#This Row],[LY-Date]])</f>
        <v>5</v>
      </c>
      <c r="AF1040" s="38">
        <f>$E$2+_xlfn.DAYS(DaybyDay[[#This Row],[Date]],minDate)</f>
        <v>43405</v>
      </c>
      <c r="AG1040" s="39" cm="1">
        <f t="array" ref="AG1040">IFERROR(INDEX(DaybyDay[],DaybyDay[[#This Row],[FORM_MATCH_HELPER]],8),"")</f>
        <v>23</v>
      </c>
      <c r="AH1040" s="39" cm="1">
        <f t="array" ref="AH1040">IFERROR(INDEX(DaybyDay[],DaybyDay[[#This Row],[FORM_MATCH_HELPER]],10),"")</f>
        <v>5536.5</v>
      </c>
      <c r="AI1040" s="39" cm="1">
        <f t="array" ref="AI1040">IFERROR(INDEX(DaybyDay[],DaybyDay[[#This Row],[FORM_MATCH_HELPER]],12),"")</f>
        <v>1101.27</v>
      </c>
      <c r="AJ1040" s="32">
        <f>IFERROR(DaybyDay[[#This Row],[Serv-LY-RU]]+DaybyDay[[#This Row],[Ret-LY-RU]],"")</f>
        <v>0</v>
      </c>
      <c r="AK10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0" s="77"/>
      <c r="AM1040" s="40" t="str">
        <f>IF(DaybyDay[[#This Row],[Admin Hours]]&gt;0,DaybyDay[[#This Row],[Admin Hours]]*$AM$2+$AM$3,"")</f>
        <v/>
      </c>
      <c r="AN1040" s="40">
        <f>SUMIFS(DaybyDay[Est-Admin-Payroll],DaybyDay[Date],"&gt;="&amp;$C$5,DaybyDay[RowYear],"&gt;="&amp;$C$4,DaybyDay[Date],"&lt;="&amp;DaybyDay[[#This Row],[Date]])</f>
        <v>0</v>
      </c>
      <c r="AO1040" s="41" t="str">
        <f>IF(AND(DaybyDay[[#This Row],[_Space]],ISNUMBER(DaybyDay[[#This Row],[Admin Hours]])),DaybyDay[[#This Row],[Est-Admin-Payroll]]/(DaybyDay[[#This Row],[Service-Actuals]]+DaybyDay[[#This Row],[Retail-Actuals]]),"")</f>
        <v/>
      </c>
      <c r="AP1040" s="41" t="e">
        <f>DaybyDay[[#This Row],[Estimated-Payroll-Rollup]]/DaybyDay[[#This Row],[Simple-Forecast]]</f>
        <v>#DIV/0!</v>
      </c>
      <c r="AQ10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0" s="77"/>
      <c r="AS1040" s="40" t="str">
        <f>IF(DaybyDay[[#This Row],[Retail Hours]]&gt;0,DaybyDay[[#This Row],[Retail Hours]]*$AS$2,"")</f>
        <v/>
      </c>
      <c r="AT1040" s="40">
        <f>SUMIFS(DaybyDay[Est-Retail-Payroll],DaybyDay[Date],"&gt;="&amp;$C$5,DaybyDay[RowYear],"&gt;="&amp;$C$4,DaybyDay[Date],"&lt;="&amp;DaybyDay[[#This Row],[Date]])</f>
        <v>0</v>
      </c>
      <c r="AU1040" s="82" t="str">
        <f>IF(AND(DaybyDay[[#This Row],[_Space]],ISNUMBER(DaybyDay[[#This Row],[Retail Hours]])),DaybyDay[[#This Row],[Est-Retail-Payroll]]/(DaybyDay[[#This Row],[Retail-Actuals]]),"")</f>
        <v/>
      </c>
      <c r="AV1040" s="82" t="e">
        <f>DaybyDay[[#This Row],[Est-Retail-PayrollRU]]/DaybyDay[[#This Row],[Simple-Forecast-Retail]]</f>
        <v>#DIV/0!</v>
      </c>
      <c r="AW1040" s="8"/>
      <c r="AX1040" s="15"/>
      <c r="AY1040" s="8"/>
    </row>
    <row r="1041" spans="3:51" hidden="1" x14ac:dyDescent="0.25">
      <c r="C1041" s="26" t="str">
        <f>Tools!$C$1</f>
        <v>Example</v>
      </c>
      <c r="D1041" s="27" t="s">
        <v>77</v>
      </c>
      <c r="E1041" s="28">
        <v>2019</v>
      </c>
      <c r="F1041" s="28">
        <f>MATCH(DaybyDay[[#This Row],[RowMonth]],Table3[SummaryMonth],0)</f>
        <v>10</v>
      </c>
      <c r="G1041" s="29">
        <f>MATCH(DaybyDay[[#This Row],[LY-Date]],DaybyDay[Date],0)</f>
        <v>671</v>
      </c>
      <c r="H1041" s="30">
        <f>WEEKDAY(DaybyDay[[#This Row],[Date]])</f>
        <v>6</v>
      </c>
      <c r="I1041" s="31">
        <v>43770</v>
      </c>
      <c r="J1041" s="74">
        <v>21</v>
      </c>
      <c r="K1041" s="32">
        <f>SUMIFS(BudgetSeasonality[365 Seasonality],BudgetSeasonality[MonthAdjustment],DaybyDay[[#This Row],[Date]])*SUMIFS(Budgets[Service-Budget],Budgets[BudgetMonth],DaybyDay[[#This Row],[RowMonth]],Budgets[BudgetYear],DaybyDay[[#This Row],[RowYear]])</f>
        <v>6942.4109526313659</v>
      </c>
      <c r="L1041" s="75">
        <v>3240.2</v>
      </c>
      <c r="M1041" s="32">
        <f>INDEX(BudgetSeasonality[365 Seasonality],MATCH(DaybyDay[[#This Row],[Date]],BudgetSeasonality[MonthAdjustment],0))*SUMIFS(Budgets[Retail-Budget],Budgets[BudgetMonth],DaybyDay[[#This Row],[RowMonth]],Budgets[BudgetYear],DaybyDay[[#This Row],[RowYear]])</f>
        <v>2173.6639178519431</v>
      </c>
      <c r="N1041" s="75">
        <v>105</v>
      </c>
      <c r="O1041" s="33">
        <f>SUMIFS(DaybyDay[Service-Budgets],DaybyDay[Date],"&gt;="&amp;$C$5,DaybyDay[RowYear],"&gt;="&amp;$C$4,DaybyDay[Date],"&lt;="&amp;DaybyDay[[#This Row],[Date]])</f>
        <v>0</v>
      </c>
      <c r="P1041" s="33">
        <f>SUMIFS(DaybyDay[Retail-Budgets],DaybyDay[Date],"&gt;="&amp;$C$5,DaybyDay[RowYear],"&gt;="&amp;$C$4,DaybyDay[Date],"&lt;="&amp;DaybyDay[[#This Row],[Date]])</f>
        <v>0</v>
      </c>
      <c r="Q1041" s="34">
        <f>SUMIFS(DaybyDay[Service-Actuals],DaybyDay[Date],"&gt;="&amp;$C$5,DaybyDay[RowYear],"&gt;="&amp;$C$4,DaybyDay[Date],"&lt;="&amp;DaybyDay[[#This Row],[Date]])</f>
        <v>0</v>
      </c>
      <c r="R1041" s="34">
        <f>SUMIFS(DaybyDay[Retail-Actuals],DaybyDay[Date],"&gt;="&amp;$C$5,DaybyDay[RowYear],"&gt;="&amp;$C$4,DaybyDay[Date],"&lt;="&amp;DaybyDay[[#This Row],[Date]])</f>
        <v>0</v>
      </c>
      <c r="S1041" s="35">
        <f>SUMIFS(DaybyDay[Service-LY],DaybyDay[Date],"&gt;="&amp;$C$5,DaybyDay[RowYear],"&gt;="&amp;$C$4,DaybyDay[Date],"&lt;="&amp;DaybyDay[[#This Row],[Date]])</f>
        <v>0</v>
      </c>
      <c r="T1041" s="35">
        <f>SUMIFS(DaybyDay[Retail-LY],DaybyDay[Date],"&gt;="&amp;$C$5,DaybyDay[RowYear],"&gt;="&amp;$C$4,DaybyDay[Date],"&lt;="&amp;DaybyDay[[#This Row],[Date]])</f>
        <v>0</v>
      </c>
      <c r="U1041" s="32">
        <f>DaybyDay[[#This Row],[Serv-Bud-RU]]+DaybyDay[[#This Row],[Ret-Bud-RU]]</f>
        <v>0</v>
      </c>
      <c r="V1041" s="32">
        <f>DaybyDay[[#This Row],[Serv-Act-RU]]+DaybyDay[[#This Row],[Ret-Act-RU]]</f>
        <v>0</v>
      </c>
      <c r="W1041" s="36">
        <f>IF(DaybyDay[[#This Row],[_Space]],IFERROR(
((DaybyDay[[#This Row],[Actual-Rollup]]-DaybyDay[[#This Row],[Budget-Rollup]])/DaybyDay[[#This Row],[Budget-Rollup]]),0),"")</f>
        <v>0</v>
      </c>
      <c r="X1041" t="b">
        <f>NOT(AND(ISBLANK(DaybyDay[[#This Row],[Appts]]),ISBLANK(DaybyDay[[#This Row],[Service-Actuals]]),ISBLANK(DaybyDay[[#This Row],[Retail-Actuals]])))</f>
        <v>1</v>
      </c>
      <c r="Y1041" s="36">
        <f>IF(DaybyDay[[#This Row],[_Space]],IFERROR(
((DaybyDay[[#This Row],[Actual-Rollup]]-DaybyDay[[#This Row],[LY-Rollup]])/DaybyDay[[#This Row],[LY-Rollup]]),0),"")</f>
        <v>0</v>
      </c>
      <c r="Z1041"/>
      <c r="AA1041" s="37" t="e">
        <f>IF(DaybyDay[[#This Row],[_Space]],DaybyDay[[#This Row],[Ret-Act-RU]]/DaybyDay[[#This Row],[Serv-Act-RU]],"")</f>
        <v>#DIV/0!</v>
      </c>
      <c r="AB1041" s="50" t="e">
        <f>IF(DaybyDay[[#This Row],[_Space]],DaybyDay[[#This Row],[RETPEN-Act]]/DaybyDay[[#This Row],[RETPEN-Bud]],"")</f>
        <v>#DIV/0!</v>
      </c>
      <c r="AC1041" s="37" t="e">
        <f>IF(DaybyDay[[#This Row],[_Space]],DaybyDay[[#This Row],[Ret-Bud-RU]]/DaybyDay[[#This Row],[Serv-Bud-RU]],"")</f>
        <v>#DIV/0!</v>
      </c>
      <c r="AD1041" s="37" t="e">
        <f>IF(DaybyDay[[#This Row],[_Space]],DaybyDay[[#This Row],[Ret-LY-RU]]/DaybyDay[[#This Row],[Serv-LY-RU]],"")</f>
        <v>#DIV/0!</v>
      </c>
      <c r="AE1041" s="30">
        <f>WEEKDAY(DaybyDay[[#This Row],[LY-Date]])</f>
        <v>6</v>
      </c>
      <c r="AF1041" s="38">
        <f>$E$2+_xlfn.DAYS(DaybyDay[[#This Row],[Date]],minDate)</f>
        <v>43406</v>
      </c>
      <c r="AG1041" s="39" cm="1">
        <f t="array" ref="AG1041">IFERROR(INDEX(DaybyDay[],DaybyDay[[#This Row],[FORM_MATCH_HELPER]],8),"")</f>
        <v>32</v>
      </c>
      <c r="AH1041" s="39" cm="1">
        <f t="array" ref="AH1041">IFERROR(INDEX(DaybyDay[],DaybyDay[[#This Row],[FORM_MATCH_HELPER]],10),"")</f>
        <v>6703.1</v>
      </c>
      <c r="AI1041" s="39" cm="1">
        <f t="array" ref="AI1041">IFERROR(INDEX(DaybyDay[],DaybyDay[[#This Row],[FORM_MATCH_HELPER]],12),"")</f>
        <v>2602.8000000000002</v>
      </c>
      <c r="AJ1041" s="32">
        <f>IFERROR(DaybyDay[[#This Row],[Serv-LY-RU]]+DaybyDay[[#This Row],[Ret-LY-RU]],"")</f>
        <v>0</v>
      </c>
      <c r="AK10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1" s="77"/>
      <c r="AM1041" s="40" t="str">
        <f>IF(DaybyDay[[#This Row],[Admin Hours]]&gt;0,DaybyDay[[#This Row],[Admin Hours]]*$AM$2+$AM$3,"")</f>
        <v/>
      </c>
      <c r="AN1041" s="40">
        <f>SUMIFS(DaybyDay[Est-Admin-Payroll],DaybyDay[Date],"&gt;="&amp;$C$5,DaybyDay[RowYear],"&gt;="&amp;$C$4,DaybyDay[Date],"&lt;="&amp;DaybyDay[[#This Row],[Date]])</f>
        <v>0</v>
      </c>
      <c r="AO1041" s="41" t="str">
        <f>IF(AND(DaybyDay[[#This Row],[_Space]],ISNUMBER(DaybyDay[[#This Row],[Admin Hours]])),DaybyDay[[#This Row],[Est-Admin-Payroll]]/(DaybyDay[[#This Row],[Service-Actuals]]+DaybyDay[[#This Row],[Retail-Actuals]]),"")</f>
        <v/>
      </c>
      <c r="AP1041" s="41" t="e">
        <f>DaybyDay[[#This Row],[Estimated-Payroll-Rollup]]/DaybyDay[[#This Row],[Simple-Forecast]]</f>
        <v>#DIV/0!</v>
      </c>
      <c r="AQ10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1" s="77"/>
      <c r="AS1041" s="40" t="str">
        <f>IF(DaybyDay[[#This Row],[Retail Hours]]&gt;0,DaybyDay[[#This Row],[Retail Hours]]*$AS$2,"")</f>
        <v/>
      </c>
      <c r="AT1041" s="40">
        <f>SUMIFS(DaybyDay[Est-Retail-Payroll],DaybyDay[Date],"&gt;="&amp;$C$5,DaybyDay[RowYear],"&gt;="&amp;$C$4,DaybyDay[Date],"&lt;="&amp;DaybyDay[[#This Row],[Date]])</f>
        <v>0</v>
      </c>
      <c r="AU1041" s="82" t="str">
        <f>IF(AND(DaybyDay[[#This Row],[_Space]],ISNUMBER(DaybyDay[[#This Row],[Retail Hours]])),DaybyDay[[#This Row],[Est-Retail-Payroll]]/(DaybyDay[[#This Row],[Retail-Actuals]]),"")</f>
        <v/>
      </c>
      <c r="AV1041" s="82" t="e">
        <f>DaybyDay[[#This Row],[Est-Retail-PayrollRU]]/DaybyDay[[#This Row],[Simple-Forecast-Retail]]</f>
        <v>#DIV/0!</v>
      </c>
      <c r="AW1041" s="8"/>
      <c r="AX1041" s="15"/>
      <c r="AY1041" s="8"/>
    </row>
    <row r="1042" spans="3:51" hidden="1" x14ac:dyDescent="0.25">
      <c r="C1042" s="26" t="str">
        <f>Tools!$C$1</f>
        <v>Example</v>
      </c>
      <c r="D1042" s="27" t="s">
        <v>77</v>
      </c>
      <c r="E1042" s="28">
        <v>2019</v>
      </c>
      <c r="F1042" s="28">
        <f>MATCH(DaybyDay[[#This Row],[RowMonth]],Table3[SummaryMonth],0)</f>
        <v>10</v>
      </c>
      <c r="G1042" s="29">
        <f>MATCH(DaybyDay[[#This Row],[LY-Date]],DaybyDay[Date],0)</f>
        <v>672</v>
      </c>
      <c r="H1042" s="30">
        <f>WEEKDAY(DaybyDay[[#This Row],[Date]])</f>
        <v>7</v>
      </c>
      <c r="I1042" s="31">
        <v>43771</v>
      </c>
      <c r="J1042" s="74">
        <v>43</v>
      </c>
      <c r="K1042" s="32">
        <f>SUMIFS(BudgetSeasonality[365 Seasonality],BudgetSeasonality[MonthAdjustment],DaybyDay[[#This Row],[Date]])*SUMIFS(Budgets[Service-Budget],Budgets[BudgetMonth],DaybyDay[[#This Row],[RowMonth]],Budgets[BudgetYear],DaybyDay[[#This Row],[RowYear]])</f>
        <v>9588.4321878108585</v>
      </c>
      <c r="L1042" s="75">
        <v>9734.6</v>
      </c>
      <c r="M1042" s="32">
        <f>INDEX(BudgetSeasonality[365 Seasonality],MATCH(DaybyDay[[#This Row],[Date]],BudgetSeasonality[MonthAdjustment],0))*SUMIFS(Budgets[Retail-Budget],Budgets[BudgetMonth],DaybyDay[[#This Row],[RowMonth]],Budgets[BudgetYear],DaybyDay[[#This Row],[RowYear]])</f>
        <v>3002.1312794102064</v>
      </c>
      <c r="N1042" s="75">
        <v>1401.5</v>
      </c>
      <c r="O1042" s="33">
        <f>SUMIFS(DaybyDay[Service-Budgets],DaybyDay[Date],"&gt;="&amp;$C$5,DaybyDay[RowYear],"&gt;="&amp;$C$4,DaybyDay[Date],"&lt;="&amp;DaybyDay[[#This Row],[Date]])</f>
        <v>0</v>
      </c>
      <c r="P1042" s="33">
        <f>SUMIFS(DaybyDay[Retail-Budgets],DaybyDay[Date],"&gt;="&amp;$C$5,DaybyDay[RowYear],"&gt;="&amp;$C$4,DaybyDay[Date],"&lt;="&amp;DaybyDay[[#This Row],[Date]])</f>
        <v>0</v>
      </c>
      <c r="Q1042" s="34">
        <f>SUMIFS(DaybyDay[Service-Actuals],DaybyDay[Date],"&gt;="&amp;$C$5,DaybyDay[RowYear],"&gt;="&amp;$C$4,DaybyDay[Date],"&lt;="&amp;DaybyDay[[#This Row],[Date]])</f>
        <v>0</v>
      </c>
      <c r="R1042" s="34">
        <f>SUMIFS(DaybyDay[Retail-Actuals],DaybyDay[Date],"&gt;="&amp;$C$5,DaybyDay[RowYear],"&gt;="&amp;$C$4,DaybyDay[Date],"&lt;="&amp;DaybyDay[[#This Row],[Date]])</f>
        <v>0</v>
      </c>
      <c r="S1042" s="35">
        <f>SUMIFS(DaybyDay[Service-LY],DaybyDay[Date],"&gt;="&amp;$C$5,DaybyDay[RowYear],"&gt;="&amp;$C$4,DaybyDay[Date],"&lt;="&amp;DaybyDay[[#This Row],[Date]])</f>
        <v>0</v>
      </c>
      <c r="T1042" s="35">
        <f>SUMIFS(DaybyDay[Retail-LY],DaybyDay[Date],"&gt;="&amp;$C$5,DaybyDay[RowYear],"&gt;="&amp;$C$4,DaybyDay[Date],"&lt;="&amp;DaybyDay[[#This Row],[Date]])</f>
        <v>0</v>
      </c>
      <c r="U1042" s="32">
        <f>DaybyDay[[#This Row],[Serv-Bud-RU]]+DaybyDay[[#This Row],[Ret-Bud-RU]]</f>
        <v>0</v>
      </c>
      <c r="V1042" s="32">
        <f>DaybyDay[[#This Row],[Serv-Act-RU]]+DaybyDay[[#This Row],[Ret-Act-RU]]</f>
        <v>0</v>
      </c>
      <c r="W1042" s="36">
        <f>IF(DaybyDay[[#This Row],[_Space]],IFERROR(
((DaybyDay[[#This Row],[Actual-Rollup]]-DaybyDay[[#This Row],[Budget-Rollup]])/DaybyDay[[#This Row],[Budget-Rollup]]),0),"")</f>
        <v>0</v>
      </c>
      <c r="X1042" t="b">
        <f>NOT(AND(ISBLANK(DaybyDay[[#This Row],[Appts]]),ISBLANK(DaybyDay[[#This Row],[Service-Actuals]]),ISBLANK(DaybyDay[[#This Row],[Retail-Actuals]])))</f>
        <v>1</v>
      </c>
      <c r="Y1042" s="36">
        <f>IF(DaybyDay[[#This Row],[_Space]],IFERROR(
((DaybyDay[[#This Row],[Actual-Rollup]]-DaybyDay[[#This Row],[LY-Rollup]])/DaybyDay[[#This Row],[LY-Rollup]]),0),"")</f>
        <v>0</v>
      </c>
      <c r="Z1042"/>
      <c r="AA1042" s="37" t="e">
        <f>IF(DaybyDay[[#This Row],[_Space]],DaybyDay[[#This Row],[Ret-Act-RU]]/DaybyDay[[#This Row],[Serv-Act-RU]],"")</f>
        <v>#DIV/0!</v>
      </c>
      <c r="AB1042" s="50" t="e">
        <f>IF(DaybyDay[[#This Row],[_Space]],DaybyDay[[#This Row],[RETPEN-Act]]/DaybyDay[[#This Row],[RETPEN-Bud]],"")</f>
        <v>#DIV/0!</v>
      </c>
      <c r="AC1042" s="37" t="e">
        <f>IF(DaybyDay[[#This Row],[_Space]],DaybyDay[[#This Row],[Ret-Bud-RU]]/DaybyDay[[#This Row],[Serv-Bud-RU]],"")</f>
        <v>#DIV/0!</v>
      </c>
      <c r="AD1042" s="37" t="e">
        <f>IF(DaybyDay[[#This Row],[_Space]],DaybyDay[[#This Row],[Ret-LY-RU]]/DaybyDay[[#This Row],[Serv-LY-RU]],"")</f>
        <v>#DIV/0!</v>
      </c>
      <c r="AE1042" s="30">
        <f>WEEKDAY(DaybyDay[[#This Row],[LY-Date]])</f>
        <v>7</v>
      </c>
      <c r="AF1042" s="38">
        <f>$E$2+_xlfn.DAYS(DaybyDay[[#This Row],[Date]],minDate)</f>
        <v>43407</v>
      </c>
      <c r="AG1042" s="39" cm="1">
        <f t="array" ref="AG1042">IFERROR(INDEX(DaybyDay[],DaybyDay[[#This Row],[FORM_MATCH_HELPER]],8),"")</f>
        <v>37</v>
      </c>
      <c r="AH1042" s="39" cm="1">
        <f t="array" ref="AH1042">IFERROR(INDEX(DaybyDay[],DaybyDay[[#This Row],[FORM_MATCH_HELPER]],10),"")</f>
        <v>8364</v>
      </c>
      <c r="AI1042" s="39" cm="1">
        <f t="array" ref="AI1042">IFERROR(INDEX(DaybyDay[],DaybyDay[[#This Row],[FORM_MATCH_HELPER]],12),"")</f>
        <v>270</v>
      </c>
      <c r="AJ1042" s="32">
        <f>IFERROR(DaybyDay[[#This Row],[Serv-LY-RU]]+DaybyDay[[#This Row],[Ret-LY-RU]],"")</f>
        <v>0</v>
      </c>
      <c r="AK10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2" s="77"/>
      <c r="AM1042" s="40" t="str">
        <f>IF(DaybyDay[[#This Row],[Admin Hours]]&gt;0,DaybyDay[[#This Row],[Admin Hours]]*$AM$2+$AM$3,"")</f>
        <v/>
      </c>
      <c r="AN1042" s="40">
        <f>SUMIFS(DaybyDay[Est-Admin-Payroll],DaybyDay[Date],"&gt;="&amp;$C$5,DaybyDay[RowYear],"&gt;="&amp;$C$4,DaybyDay[Date],"&lt;="&amp;DaybyDay[[#This Row],[Date]])</f>
        <v>0</v>
      </c>
      <c r="AO1042" s="41" t="str">
        <f>IF(AND(DaybyDay[[#This Row],[_Space]],ISNUMBER(DaybyDay[[#This Row],[Admin Hours]])),DaybyDay[[#This Row],[Est-Admin-Payroll]]/(DaybyDay[[#This Row],[Service-Actuals]]+DaybyDay[[#This Row],[Retail-Actuals]]),"")</f>
        <v/>
      </c>
      <c r="AP1042" s="41" t="e">
        <f>DaybyDay[[#This Row],[Estimated-Payroll-Rollup]]/DaybyDay[[#This Row],[Simple-Forecast]]</f>
        <v>#DIV/0!</v>
      </c>
      <c r="AQ10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2" s="77"/>
      <c r="AS1042" s="40" t="str">
        <f>IF(DaybyDay[[#This Row],[Retail Hours]]&gt;0,DaybyDay[[#This Row],[Retail Hours]]*$AS$2,"")</f>
        <v/>
      </c>
      <c r="AT1042" s="40">
        <f>SUMIFS(DaybyDay[Est-Retail-Payroll],DaybyDay[Date],"&gt;="&amp;$C$5,DaybyDay[RowYear],"&gt;="&amp;$C$4,DaybyDay[Date],"&lt;="&amp;DaybyDay[[#This Row],[Date]])</f>
        <v>0</v>
      </c>
      <c r="AU1042" s="82" t="str">
        <f>IF(AND(DaybyDay[[#This Row],[_Space]],ISNUMBER(DaybyDay[[#This Row],[Retail Hours]])),DaybyDay[[#This Row],[Est-Retail-Payroll]]/(DaybyDay[[#This Row],[Retail-Actuals]]),"")</f>
        <v/>
      </c>
      <c r="AV1042" s="82" t="e">
        <f>DaybyDay[[#This Row],[Est-Retail-PayrollRU]]/DaybyDay[[#This Row],[Simple-Forecast-Retail]]</f>
        <v>#DIV/0!</v>
      </c>
      <c r="AW1042" s="8"/>
      <c r="AX1042" s="15"/>
      <c r="AY1042" s="8"/>
    </row>
    <row r="1043" spans="3:51" hidden="1" x14ac:dyDescent="0.25">
      <c r="C1043" s="26" t="str">
        <f>Tools!$C$1</f>
        <v>Example</v>
      </c>
      <c r="D1043" s="27" t="s">
        <v>78</v>
      </c>
      <c r="E1043" s="28">
        <v>2019</v>
      </c>
      <c r="F1043" s="28">
        <f>MATCH(DaybyDay[[#This Row],[RowMonth]],Table3[SummaryMonth],0)</f>
        <v>11</v>
      </c>
      <c r="G1043" s="29">
        <f>MATCH(DaybyDay[[#This Row],[LY-Date]],DaybyDay[Date],0)</f>
        <v>673</v>
      </c>
      <c r="H1043" s="30">
        <f>WEEKDAY(DaybyDay[[#This Row],[Date]])</f>
        <v>1</v>
      </c>
      <c r="I1043" s="31">
        <v>43772</v>
      </c>
      <c r="J1043" s="74">
        <v>32</v>
      </c>
      <c r="K1043" s="32">
        <f>SUMIFS(BudgetSeasonality[365 Seasonality],BudgetSeasonality[MonthAdjustment],DaybyDay[[#This Row],[Date]])*SUMIFS(Budgets[Service-Budget],Budgets[BudgetMonth],DaybyDay[[#This Row],[RowMonth]],Budgets[BudgetYear],DaybyDay[[#This Row],[RowYear]])</f>
        <v>7004.7525855640233</v>
      </c>
      <c r="L1043" s="75">
        <v>7473.2000000000007</v>
      </c>
      <c r="M1043" s="32">
        <f>INDEX(BudgetSeasonality[365 Seasonality],MATCH(DaybyDay[[#This Row],[Date]],BudgetSeasonality[MonthAdjustment],0))*SUMIFS(Budgets[Retail-Budget],Budgets[BudgetMonth],DaybyDay[[#This Row],[RowMonth]],Budgets[BudgetYear],DaybyDay[[#This Row],[RowYear]])</f>
        <v>2490.3409909905172</v>
      </c>
      <c r="N1043" s="75">
        <v>1219</v>
      </c>
      <c r="O1043" s="33">
        <f>SUMIFS(DaybyDay[Service-Budgets],DaybyDay[Date],"&gt;="&amp;$C$5,DaybyDay[RowYear],"&gt;="&amp;$C$4,DaybyDay[Date],"&lt;="&amp;DaybyDay[[#This Row],[Date]])</f>
        <v>0</v>
      </c>
      <c r="P1043" s="33">
        <f>SUMIFS(DaybyDay[Retail-Budgets],DaybyDay[Date],"&gt;="&amp;$C$5,DaybyDay[RowYear],"&gt;="&amp;$C$4,DaybyDay[Date],"&lt;="&amp;DaybyDay[[#This Row],[Date]])</f>
        <v>0</v>
      </c>
      <c r="Q1043" s="34">
        <f>SUMIFS(DaybyDay[Service-Actuals],DaybyDay[Date],"&gt;="&amp;$C$5,DaybyDay[RowYear],"&gt;="&amp;$C$4,DaybyDay[Date],"&lt;="&amp;DaybyDay[[#This Row],[Date]])</f>
        <v>0</v>
      </c>
      <c r="R1043" s="34">
        <f>SUMIFS(DaybyDay[Retail-Actuals],DaybyDay[Date],"&gt;="&amp;$C$5,DaybyDay[RowYear],"&gt;="&amp;$C$4,DaybyDay[Date],"&lt;="&amp;DaybyDay[[#This Row],[Date]])</f>
        <v>0</v>
      </c>
      <c r="S1043" s="35">
        <f>SUMIFS(DaybyDay[Service-LY],DaybyDay[Date],"&gt;="&amp;$C$5,DaybyDay[RowYear],"&gt;="&amp;$C$4,DaybyDay[Date],"&lt;="&amp;DaybyDay[[#This Row],[Date]])</f>
        <v>0</v>
      </c>
      <c r="T1043" s="35">
        <f>SUMIFS(DaybyDay[Retail-LY],DaybyDay[Date],"&gt;="&amp;$C$5,DaybyDay[RowYear],"&gt;="&amp;$C$4,DaybyDay[Date],"&lt;="&amp;DaybyDay[[#This Row],[Date]])</f>
        <v>0</v>
      </c>
      <c r="U1043" s="32">
        <f>DaybyDay[[#This Row],[Serv-Bud-RU]]+DaybyDay[[#This Row],[Ret-Bud-RU]]</f>
        <v>0</v>
      </c>
      <c r="V1043" s="32">
        <f>DaybyDay[[#This Row],[Serv-Act-RU]]+DaybyDay[[#This Row],[Ret-Act-RU]]</f>
        <v>0</v>
      </c>
      <c r="W1043" s="36">
        <f>IF(DaybyDay[[#This Row],[_Space]],IFERROR(
((DaybyDay[[#This Row],[Actual-Rollup]]-DaybyDay[[#This Row],[Budget-Rollup]])/DaybyDay[[#This Row],[Budget-Rollup]]),0),"")</f>
        <v>0</v>
      </c>
      <c r="X1043" t="b">
        <f>NOT(AND(ISBLANK(DaybyDay[[#This Row],[Appts]]),ISBLANK(DaybyDay[[#This Row],[Service-Actuals]]),ISBLANK(DaybyDay[[#This Row],[Retail-Actuals]])))</f>
        <v>1</v>
      </c>
      <c r="Y1043" s="36">
        <f>IF(DaybyDay[[#This Row],[_Space]],IFERROR(
((DaybyDay[[#This Row],[Actual-Rollup]]-DaybyDay[[#This Row],[LY-Rollup]])/DaybyDay[[#This Row],[LY-Rollup]]),0),"")</f>
        <v>0</v>
      </c>
      <c r="Z1043"/>
      <c r="AA1043" s="37" t="e">
        <f>IF(DaybyDay[[#This Row],[_Space]],DaybyDay[[#This Row],[Ret-Act-RU]]/DaybyDay[[#This Row],[Serv-Act-RU]],"")</f>
        <v>#DIV/0!</v>
      </c>
      <c r="AB1043" s="50" t="e">
        <f>IF(DaybyDay[[#This Row],[_Space]],DaybyDay[[#This Row],[RETPEN-Act]]/DaybyDay[[#This Row],[RETPEN-Bud]],"")</f>
        <v>#DIV/0!</v>
      </c>
      <c r="AC1043" s="37" t="e">
        <f>IF(DaybyDay[[#This Row],[_Space]],DaybyDay[[#This Row],[Ret-Bud-RU]]/DaybyDay[[#This Row],[Serv-Bud-RU]],"")</f>
        <v>#DIV/0!</v>
      </c>
      <c r="AD1043" s="37" t="e">
        <f>IF(DaybyDay[[#This Row],[_Space]],DaybyDay[[#This Row],[Ret-LY-RU]]/DaybyDay[[#This Row],[Serv-LY-RU]],"")</f>
        <v>#DIV/0!</v>
      </c>
      <c r="AE1043" s="30">
        <f>WEEKDAY(DaybyDay[[#This Row],[LY-Date]])</f>
        <v>1</v>
      </c>
      <c r="AF1043" s="38">
        <f>$E$2+_xlfn.DAYS(DaybyDay[[#This Row],[Date]],minDate)</f>
        <v>43408</v>
      </c>
      <c r="AG1043" s="39" cm="1">
        <f t="array" ref="AG1043">IFERROR(INDEX(DaybyDay[],DaybyDay[[#This Row],[FORM_MATCH_HELPER]],8),"")</f>
        <v>26</v>
      </c>
      <c r="AH1043" s="39" cm="1">
        <f t="array" ref="AH1043">IFERROR(INDEX(DaybyDay[],DaybyDay[[#This Row],[FORM_MATCH_HELPER]],10),"")</f>
        <v>6226.5</v>
      </c>
      <c r="AI1043" s="39" cm="1">
        <f t="array" ref="AI1043">IFERROR(INDEX(DaybyDay[],DaybyDay[[#This Row],[FORM_MATCH_HELPER]],12),"")</f>
        <v>1574</v>
      </c>
      <c r="AJ1043" s="32">
        <f>IFERROR(DaybyDay[[#This Row],[Serv-LY-RU]]+DaybyDay[[#This Row],[Ret-LY-RU]],"")</f>
        <v>0</v>
      </c>
      <c r="AK10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3" s="77"/>
      <c r="AM1043" s="40" t="str">
        <f>IF(DaybyDay[[#This Row],[Admin Hours]]&gt;0,DaybyDay[[#This Row],[Admin Hours]]*$AM$2+$AM$3,"")</f>
        <v/>
      </c>
      <c r="AN1043" s="40">
        <f>SUMIFS(DaybyDay[Est-Admin-Payroll],DaybyDay[Date],"&gt;="&amp;$C$5,DaybyDay[RowYear],"&gt;="&amp;$C$4,DaybyDay[Date],"&lt;="&amp;DaybyDay[[#This Row],[Date]])</f>
        <v>0</v>
      </c>
      <c r="AO1043" s="41" t="str">
        <f>IF(AND(DaybyDay[[#This Row],[_Space]],ISNUMBER(DaybyDay[[#This Row],[Admin Hours]])),DaybyDay[[#This Row],[Est-Admin-Payroll]]/(DaybyDay[[#This Row],[Service-Actuals]]+DaybyDay[[#This Row],[Retail-Actuals]]),"")</f>
        <v/>
      </c>
      <c r="AP1043" s="41" t="e">
        <f>DaybyDay[[#This Row],[Estimated-Payroll-Rollup]]/DaybyDay[[#This Row],[Simple-Forecast]]</f>
        <v>#DIV/0!</v>
      </c>
      <c r="AQ10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3" s="77"/>
      <c r="AS1043" s="40" t="str">
        <f>IF(DaybyDay[[#This Row],[Retail Hours]]&gt;0,DaybyDay[[#This Row],[Retail Hours]]*$AS$2,"")</f>
        <v/>
      </c>
      <c r="AT1043" s="40">
        <f>SUMIFS(DaybyDay[Est-Retail-Payroll],DaybyDay[Date],"&gt;="&amp;$C$5,DaybyDay[RowYear],"&gt;="&amp;$C$4,DaybyDay[Date],"&lt;="&amp;DaybyDay[[#This Row],[Date]])</f>
        <v>0</v>
      </c>
      <c r="AU1043" s="82" t="str">
        <f>IF(AND(DaybyDay[[#This Row],[_Space]],ISNUMBER(DaybyDay[[#This Row],[Retail Hours]])),DaybyDay[[#This Row],[Est-Retail-Payroll]]/(DaybyDay[[#This Row],[Retail-Actuals]]),"")</f>
        <v/>
      </c>
      <c r="AV1043" s="82" t="e">
        <f>DaybyDay[[#This Row],[Est-Retail-PayrollRU]]/DaybyDay[[#This Row],[Simple-Forecast-Retail]]</f>
        <v>#DIV/0!</v>
      </c>
      <c r="AW1043" s="8"/>
      <c r="AX1043" s="15"/>
      <c r="AY1043" s="8"/>
    </row>
    <row r="1044" spans="3:51" hidden="1" x14ac:dyDescent="0.25">
      <c r="C1044" s="26" t="str">
        <f>Tools!$C$1</f>
        <v>Example</v>
      </c>
      <c r="D1044" s="27" t="s">
        <v>78</v>
      </c>
      <c r="E1044" s="28">
        <v>2019</v>
      </c>
      <c r="F1044" s="28">
        <f>MATCH(DaybyDay[[#This Row],[RowMonth]],Table3[SummaryMonth],0)</f>
        <v>11</v>
      </c>
      <c r="G1044" s="29">
        <f>MATCH(DaybyDay[[#This Row],[LY-Date]],DaybyDay[Date],0)</f>
        <v>674</v>
      </c>
      <c r="H1044" s="30">
        <f>WEEKDAY(DaybyDay[[#This Row],[Date]])</f>
        <v>2</v>
      </c>
      <c r="I1044" s="31">
        <v>43773</v>
      </c>
      <c r="J1044" s="74">
        <v>24</v>
      </c>
      <c r="K1044" s="32">
        <f>SUMIFS(BudgetSeasonality[365 Seasonality],BudgetSeasonality[MonthAdjustment],DaybyDay[[#This Row],[Date]])*SUMIFS(Budgets[Service-Budget],Budgets[BudgetMonth],DaybyDay[[#This Row],[RowMonth]],Budgets[BudgetYear],DaybyDay[[#This Row],[RowYear]])</f>
        <v>4408.7274491230892</v>
      </c>
      <c r="L1044" s="75">
        <v>4430.97</v>
      </c>
      <c r="M1044" s="32">
        <f>INDEX(BudgetSeasonality[365 Seasonality],MATCH(DaybyDay[[#This Row],[Date]],BudgetSeasonality[MonthAdjustment],0))*SUMIFS(Budgets[Retail-Budget],Budgets[BudgetMonth],DaybyDay[[#This Row],[RowMonth]],Budgets[BudgetYear],DaybyDay[[#This Row],[RowYear]])</f>
        <v>1567.3979274133405</v>
      </c>
      <c r="N1044" s="75">
        <v>257</v>
      </c>
      <c r="O1044" s="33">
        <f>SUMIFS(DaybyDay[Service-Budgets],DaybyDay[Date],"&gt;="&amp;$C$5,DaybyDay[RowYear],"&gt;="&amp;$C$4,DaybyDay[Date],"&lt;="&amp;DaybyDay[[#This Row],[Date]])</f>
        <v>0</v>
      </c>
      <c r="P1044" s="33">
        <f>SUMIFS(DaybyDay[Retail-Budgets],DaybyDay[Date],"&gt;="&amp;$C$5,DaybyDay[RowYear],"&gt;="&amp;$C$4,DaybyDay[Date],"&lt;="&amp;DaybyDay[[#This Row],[Date]])</f>
        <v>0</v>
      </c>
      <c r="Q1044" s="34">
        <f>SUMIFS(DaybyDay[Service-Actuals],DaybyDay[Date],"&gt;="&amp;$C$5,DaybyDay[RowYear],"&gt;="&amp;$C$4,DaybyDay[Date],"&lt;="&amp;DaybyDay[[#This Row],[Date]])</f>
        <v>0</v>
      </c>
      <c r="R1044" s="34">
        <f>SUMIFS(DaybyDay[Retail-Actuals],DaybyDay[Date],"&gt;="&amp;$C$5,DaybyDay[RowYear],"&gt;="&amp;$C$4,DaybyDay[Date],"&lt;="&amp;DaybyDay[[#This Row],[Date]])</f>
        <v>0</v>
      </c>
      <c r="S1044" s="35">
        <f>SUMIFS(DaybyDay[Service-LY],DaybyDay[Date],"&gt;="&amp;$C$5,DaybyDay[RowYear],"&gt;="&amp;$C$4,DaybyDay[Date],"&lt;="&amp;DaybyDay[[#This Row],[Date]])</f>
        <v>0</v>
      </c>
      <c r="T1044" s="35">
        <f>SUMIFS(DaybyDay[Retail-LY],DaybyDay[Date],"&gt;="&amp;$C$5,DaybyDay[RowYear],"&gt;="&amp;$C$4,DaybyDay[Date],"&lt;="&amp;DaybyDay[[#This Row],[Date]])</f>
        <v>0</v>
      </c>
      <c r="U1044" s="32">
        <f>DaybyDay[[#This Row],[Serv-Bud-RU]]+DaybyDay[[#This Row],[Ret-Bud-RU]]</f>
        <v>0</v>
      </c>
      <c r="V1044" s="32">
        <f>DaybyDay[[#This Row],[Serv-Act-RU]]+DaybyDay[[#This Row],[Ret-Act-RU]]</f>
        <v>0</v>
      </c>
      <c r="W1044" s="36">
        <f>IF(DaybyDay[[#This Row],[_Space]],IFERROR(
((DaybyDay[[#This Row],[Actual-Rollup]]-DaybyDay[[#This Row],[Budget-Rollup]])/DaybyDay[[#This Row],[Budget-Rollup]]),0),"")</f>
        <v>0</v>
      </c>
      <c r="X1044" t="b">
        <f>NOT(AND(ISBLANK(DaybyDay[[#This Row],[Appts]]),ISBLANK(DaybyDay[[#This Row],[Service-Actuals]]),ISBLANK(DaybyDay[[#This Row],[Retail-Actuals]])))</f>
        <v>1</v>
      </c>
      <c r="Y1044" s="36">
        <f>IF(DaybyDay[[#This Row],[_Space]],IFERROR(
((DaybyDay[[#This Row],[Actual-Rollup]]-DaybyDay[[#This Row],[LY-Rollup]])/DaybyDay[[#This Row],[LY-Rollup]]),0),"")</f>
        <v>0</v>
      </c>
      <c r="Z1044"/>
      <c r="AA1044" s="37" t="e">
        <f>IF(DaybyDay[[#This Row],[_Space]],DaybyDay[[#This Row],[Ret-Act-RU]]/DaybyDay[[#This Row],[Serv-Act-RU]],"")</f>
        <v>#DIV/0!</v>
      </c>
      <c r="AB1044" s="50" t="e">
        <f>IF(DaybyDay[[#This Row],[_Space]],DaybyDay[[#This Row],[RETPEN-Act]]/DaybyDay[[#This Row],[RETPEN-Bud]],"")</f>
        <v>#DIV/0!</v>
      </c>
      <c r="AC1044" s="37" t="e">
        <f>IF(DaybyDay[[#This Row],[_Space]],DaybyDay[[#This Row],[Ret-Bud-RU]]/DaybyDay[[#This Row],[Serv-Bud-RU]],"")</f>
        <v>#DIV/0!</v>
      </c>
      <c r="AD1044" s="37" t="e">
        <f>IF(DaybyDay[[#This Row],[_Space]],DaybyDay[[#This Row],[Ret-LY-RU]]/DaybyDay[[#This Row],[Serv-LY-RU]],"")</f>
        <v>#DIV/0!</v>
      </c>
      <c r="AE1044" s="30">
        <f>WEEKDAY(DaybyDay[[#This Row],[LY-Date]])</f>
        <v>2</v>
      </c>
      <c r="AF1044" s="38">
        <f>$E$2+_xlfn.DAYS(DaybyDay[[#This Row],[Date]],minDate)</f>
        <v>43409</v>
      </c>
      <c r="AG1044" s="39" cm="1">
        <f t="array" ref="AG1044">IFERROR(INDEX(DaybyDay[],DaybyDay[[#This Row],[FORM_MATCH_HELPER]],8),"")</f>
        <v>18</v>
      </c>
      <c r="AH1044" s="39" cm="1">
        <f t="array" ref="AH1044">IFERROR(INDEX(DaybyDay[],DaybyDay[[#This Row],[FORM_MATCH_HELPER]],10),"")</f>
        <v>4312</v>
      </c>
      <c r="AI1044" s="39" cm="1">
        <f t="array" ref="AI1044">IFERROR(INDEX(DaybyDay[],DaybyDay[[#This Row],[FORM_MATCH_HELPER]],12),"")</f>
        <v>1077.2</v>
      </c>
      <c r="AJ1044" s="32">
        <f>IFERROR(DaybyDay[[#This Row],[Serv-LY-RU]]+DaybyDay[[#This Row],[Ret-LY-RU]],"")</f>
        <v>0</v>
      </c>
      <c r="AK10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4" s="77"/>
      <c r="AM1044" s="40" t="str">
        <f>IF(DaybyDay[[#This Row],[Admin Hours]]&gt;0,DaybyDay[[#This Row],[Admin Hours]]*$AM$2+$AM$3,"")</f>
        <v/>
      </c>
      <c r="AN1044" s="40">
        <f>SUMIFS(DaybyDay[Est-Admin-Payroll],DaybyDay[Date],"&gt;="&amp;$C$5,DaybyDay[RowYear],"&gt;="&amp;$C$4,DaybyDay[Date],"&lt;="&amp;DaybyDay[[#This Row],[Date]])</f>
        <v>0</v>
      </c>
      <c r="AO1044" s="41" t="str">
        <f>IF(AND(DaybyDay[[#This Row],[_Space]],ISNUMBER(DaybyDay[[#This Row],[Admin Hours]])),DaybyDay[[#This Row],[Est-Admin-Payroll]]/(DaybyDay[[#This Row],[Service-Actuals]]+DaybyDay[[#This Row],[Retail-Actuals]]),"")</f>
        <v/>
      </c>
      <c r="AP1044" s="41" t="e">
        <f>DaybyDay[[#This Row],[Estimated-Payroll-Rollup]]/DaybyDay[[#This Row],[Simple-Forecast]]</f>
        <v>#DIV/0!</v>
      </c>
      <c r="AQ10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4" s="77"/>
      <c r="AS1044" s="40" t="str">
        <f>IF(DaybyDay[[#This Row],[Retail Hours]]&gt;0,DaybyDay[[#This Row],[Retail Hours]]*$AS$2,"")</f>
        <v/>
      </c>
      <c r="AT1044" s="40">
        <f>SUMIFS(DaybyDay[Est-Retail-Payroll],DaybyDay[Date],"&gt;="&amp;$C$5,DaybyDay[RowYear],"&gt;="&amp;$C$4,DaybyDay[Date],"&lt;="&amp;DaybyDay[[#This Row],[Date]])</f>
        <v>0</v>
      </c>
      <c r="AU1044" s="82" t="str">
        <f>IF(AND(DaybyDay[[#This Row],[_Space]],ISNUMBER(DaybyDay[[#This Row],[Retail Hours]])),DaybyDay[[#This Row],[Est-Retail-Payroll]]/(DaybyDay[[#This Row],[Retail-Actuals]]),"")</f>
        <v/>
      </c>
      <c r="AV1044" s="82" t="e">
        <f>DaybyDay[[#This Row],[Est-Retail-PayrollRU]]/DaybyDay[[#This Row],[Simple-Forecast-Retail]]</f>
        <v>#DIV/0!</v>
      </c>
      <c r="AW1044" s="8"/>
      <c r="AX1044" s="15"/>
      <c r="AY1044" s="8"/>
    </row>
    <row r="1045" spans="3:51" hidden="1" x14ac:dyDescent="0.25">
      <c r="C1045" s="26" t="str">
        <f>Tools!$C$1</f>
        <v>Example</v>
      </c>
      <c r="D1045" s="27" t="s">
        <v>78</v>
      </c>
      <c r="E1045" s="28">
        <v>2019</v>
      </c>
      <c r="F1045" s="28">
        <f>MATCH(DaybyDay[[#This Row],[RowMonth]],Table3[SummaryMonth],0)</f>
        <v>11</v>
      </c>
      <c r="G1045" s="29">
        <f>MATCH(DaybyDay[[#This Row],[LY-Date]],DaybyDay[Date],0)</f>
        <v>675</v>
      </c>
      <c r="H1045" s="30">
        <f>WEEKDAY(DaybyDay[[#This Row],[Date]])</f>
        <v>3</v>
      </c>
      <c r="I1045" s="31">
        <v>43774</v>
      </c>
      <c r="J1045" s="74">
        <v>16</v>
      </c>
      <c r="K1045" s="32">
        <f>SUMIFS(BudgetSeasonality[365 Seasonality],BudgetSeasonality[MonthAdjustment],DaybyDay[[#This Row],[Date]])*SUMIFS(Budgets[Service-Budget],Budgets[BudgetMonth],DaybyDay[[#This Row],[RowMonth]],Budgets[BudgetYear],DaybyDay[[#This Row],[RowYear]])</f>
        <v>4549.6677664340041</v>
      </c>
      <c r="L1045" s="75">
        <v>3065.79</v>
      </c>
      <c r="M1045" s="32">
        <f>INDEX(BudgetSeasonality[365 Seasonality],MATCH(DaybyDay[[#This Row],[Date]],BudgetSeasonality[MonthAdjustment],0))*SUMIFS(Budgets[Retail-Budget],Budgets[BudgetMonth],DaybyDay[[#This Row],[RowMonth]],Budgets[BudgetYear],DaybyDay[[#This Row],[RowYear]])</f>
        <v>1617.5052574289543</v>
      </c>
      <c r="N1045" s="75">
        <v>739.78</v>
      </c>
      <c r="O1045" s="33">
        <f>SUMIFS(DaybyDay[Service-Budgets],DaybyDay[Date],"&gt;="&amp;$C$5,DaybyDay[RowYear],"&gt;="&amp;$C$4,DaybyDay[Date],"&lt;="&amp;DaybyDay[[#This Row],[Date]])</f>
        <v>0</v>
      </c>
      <c r="P1045" s="33">
        <f>SUMIFS(DaybyDay[Retail-Budgets],DaybyDay[Date],"&gt;="&amp;$C$5,DaybyDay[RowYear],"&gt;="&amp;$C$4,DaybyDay[Date],"&lt;="&amp;DaybyDay[[#This Row],[Date]])</f>
        <v>0</v>
      </c>
      <c r="Q1045" s="34">
        <f>SUMIFS(DaybyDay[Service-Actuals],DaybyDay[Date],"&gt;="&amp;$C$5,DaybyDay[RowYear],"&gt;="&amp;$C$4,DaybyDay[Date],"&lt;="&amp;DaybyDay[[#This Row],[Date]])</f>
        <v>0</v>
      </c>
      <c r="R1045" s="34">
        <f>SUMIFS(DaybyDay[Retail-Actuals],DaybyDay[Date],"&gt;="&amp;$C$5,DaybyDay[RowYear],"&gt;="&amp;$C$4,DaybyDay[Date],"&lt;="&amp;DaybyDay[[#This Row],[Date]])</f>
        <v>0</v>
      </c>
      <c r="S1045" s="35">
        <f>SUMIFS(DaybyDay[Service-LY],DaybyDay[Date],"&gt;="&amp;$C$5,DaybyDay[RowYear],"&gt;="&amp;$C$4,DaybyDay[Date],"&lt;="&amp;DaybyDay[[#This Row],[Date]])</f>
        <v>0</v>
      </c>
      <c r="T1045" s="35">
        <f>SUMIFS(DaybyDay[Retail-LY],DaybyDay[Date],"&gt;="&amp;$C$5,DaybyDay[RowYear],"&gt;="&amp;$C$4,DaybyDay[Date],"&lt;="&amp;DaybyDay[[#This Row],[Date]])</f>
        <v>0</v>
      </c>
      <c r="U1045" s="32">
        <f>DaybyDay[[#This Row],[Serv-Bud-RU]]+DaybyDay[[#This Row],[Ret-Bud-RU]]</f>
        <v>0</v>
      </c>
      <c r="V1045" s="32">
        <f>DaybyDay[[#This Row],[Serv-Act-RU]]+DaybyDay[[#This Row],[Ret-Act-RU]]</f>
        <v>0</v>
      </c>
      <c r="W1045" s="36">
        <f>IF(DaybyDay[[#This Row],[_Space]],IFERROR(
((DaybyDay[[#This Row],[Actual-Rollup]]-DaybyDay[[#This Row],[Budget-Rollup]])/DaybyDay[[#This Row],[Budget-Rollup]]),0),"")</f>
        <v>0</v>
      </c>
      <c r="X1045" t="b">
        <f>NOT(AND(ISBLANK(DaybyDay[[#This Row],[Appts]]),ISBLANK(DaybyDay[[#This Row],[Service-Actuals]]),ISBLANK(DaybyDay[[#This Row],[Retail-Actuals]])))</f>
        <v>1</v>
      </c>
      <c r="Y1045" s="36">
        <f>IF(DaybyDay[[#This Row],[_Space]],IFERROR(
((DaybyDay[[#This Row],[Actual-Rollup]]-DaybyDay[[#This Row],[LY-Rollup]])/DaybyDay[[#This Row],[LY-Rollup]]),0),"")</f>
        <v>0</v>
      </c>
      <c r="Z1045"/>
      <c r="AA1045" s="37" t="e">
        <f>IF(DaybyDay[[#This Row],[_Space]],DaybyDay[[#This Row],[Ret-Act-RU]]/DaybyDay[[#This Row],[Serv-Act-RU]],"")</f>
        <v>#DIV/0!</v>
      </c>
      <c r="AB1045" s="50" t="e">
        <f>IF(DaybyDay[[#This Row],[_Space]],DaybyDay[[#This Row],[RETPEN-Act]]/DaybyDay[[#This Row],[RETPEN-Bud]],"")</f>
        <v>#DIV/0!</v>
      </c>
      <c r="AC1045" s="37" t="e">
        <f>IF(DaybyDay[[#This Row],[_Space]],DaybyDay[[#This Row],[Ret-Bud-RU]]/DaybyDay[[#This Row],[Serv-Bud-RU]],"")</f>
        <v>#DIV/0!</v>
      </c>
      <c r="AD1045" s="37" t="e">
        <f>IF(DaybyDay[[#This Row],[_Space]],DaybyDay[[#This Row],[Ret-LY-RU]]/DaybyDay[[#This Row],[Serv-LY-RU]],"")</f>
        <v>#DIV/0!</v>
      </c>
      <c r="AE1045" s="30">
        <f>WEEKDAY(DaybyDay[[#This Row],[LY-Date]])</f>
        <v>3</v>
      </c>
      <c r="AF1045" s="38">
        <f>$E$2+_xlfn.DAYS(DaybyDay[[#This Row],[Date]],minDate)</f>
        <v>43410</v>
      </c>
      <c r="AG1045" s="39" cm="1">
        <f t="array" ref="AG1045">IFERROR(INDEX(DaybyDay[],DaybyDay[[#This Row],[FORM_MATCH_HELPER]],8),"")</f>
        <v>20</v>
      </c>
      <c r="AH1045" s="39" cm="1">
        <f t="array" ref="AH1045">IFERROR(INDEX(DaybyDay[],DaybyDay[[#This Row],[FORM_MATCH_HELPER]],10),"")</f>
        <v>5142.3599999999997</v>
      </c>
      <c r="AI1045" s="39" cm="1">
        <f t="array" ref="AI1045">IFERROR(INDEX(DaybyDay[],DaybyDay[[#This Row],[FORM_MATCH_HELPER]],12),"")</f>
        <v>574</v>
      </c>
      <c r="AJ1045" s="32">
        <f>IFERROR(DaybyDay[[#This Row],[Serv-LY-RU]]+DaybyDay[[#This Row],[Ret-LY-RU]],"")</f>
        <v>0</v>
      </c>
      <c r="AK10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5" s="77"/>
      <c r="AM1045" s="40" t="str">
        <f>IF(DaybyDay[[#This Row],[Admin Hours]]&gt;0,DaybyDay[[#This Row],[Admin Hours]]*$AM$2+$AM$3,"")</f>
        <v/>
      </c>
      <c r="AN1045" s="40">
        <f>SUMIFS(DaybyDay[Est-Admin-Payroll],DaybyDay[Date],"&gt;="&amp;$C$5,DaybyDay[RowYear],"&gt;="&amp;$C$4,DaybyDay[Date],"&lt;="&amp;DaybyDay[[#This Row],[Date]])</f>
        <v>0</v>
      </c>
      <c r="AO1045" s="41" t="str">
        <f>IF(AND(DaybyDay[[#This Row],[_Space]],ISNUMBER(DaybyDay[[#This Row],[Admin Hours]])),DaybyDay[[#This Row],[Est-Admin-Payroll]]/(DaybyDay[[#This Row],[Service-Actuals]]+DaybyDay[[#This Row],[Retail-Actuals]]),"")</f>
        <v/>
      </c>
      <c r="AP1045" s="41" t="e">
        <f>DaybyDay[[#This Row],[Estimated-Payroll-Rollup]]/DaybyDay[[#This Row],[Simple-Forecast]]</f>
        <v>#DIV/0!</v>
      </c>
      <c r="AQ10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5" s="77"/>
      <c r="AS1045" s="40" t="str">
        <f>IF(DaybyDay[[#This Row],[Retail Hours]]&gt;0,DaybyDay[[#This Row],[Retail Hours]]*$AS$2,"")</f>
        <v/>
      </c>
      <c r="AT1045" s="40">
        <f>SUMIFS(DaybyDay[Est-Retail-Payroll],DaybyDay[Date],"&gt;="&amp;$C$5,DaybyDay[RowYear],"&gt;="&amp;$C$4,DaybyDay[Date],"&lt;="&amp;DaybyDay[[#This Row],[Date]])</f>
        <v>0</v>
      </c>
      <c r="AU1045" s="82" t="str">
        <f>IF(AND(DaybyDay[[#This Row],[_Space]],ISNUMBER(DaybyDay[[#This Row],[Retail Hours]])),DaybyDay[[#This Row],[Est-Retail-Payroll]]/(DaybyDay[[#This Row],[Retail-Actuals]]),"")</f>
        <v/>
      </c>
      <c r="AV1045" s="82" t="e">
        <f>DaybyDay[[#This Row],[Est-Retail-PayrollRU]]/DaybyDay[[#This Row],[Simple-Forecast-Retail]]</f>
        <v>#DIV/0!</v>
      </c>
      <c r="AW1045" s="8"/>
      <c r="AX1045" s="15"/>
      <c r="AY1045" s="8"/>
    </row>
    <row r="1046" spans="3:51" hidden="1" x14ac:dyDescent="0.25">
      <c r="C1046" s="26" t="str">
        <f>Tools!$C$1</f>
        <v>Example</v>
      </c>
      <c r="D1046" s="27" t="s">
        <v>78</v>
      </c>
      <c r="E1046" s="28">
        <v>2019</v>
      </c>
      <c r="F1046" s="28">
        <f>MATCH(DaybyDay[[#This Row],[RowMonth]],Table3[SummaryMonth],0)</f>
        <v>11</v>
      </c>
      <c r="G1046" s="29">
        <f>MATCH(DaybyDay[[#This Row],[LY-Date]],DaybyDay[Date],0)</f>
        <v>676</v>
      </c>
      <c r="H1046" s="30">
        <f>WEEKDAY(DaybyDay[[#This Row],[Date]])</f>
        <v>4</v>
      </c>
      <c r="I1046" s="31">
        <v>43775</v>
      </c>
      <c r="J1046" s="74">
        <v>14</v>
      </c>
      <c r="K1046" s="32">
        <f>SUMIFS(BudgetSeasonality[365 Seasonality],BudgetSeasonality[MonthAdjustment],DaybyDay[[#This Row],[Date]])*SUMIFS(Budgets[Service-Budget],Budgets[BudgetMonth],DaybyDay[[#This Row],[RowMonth]],Budgets[BudgetYear],DaybyDay[[#This Row],[RowYear]])</f>
        <v>5167.2851738171757</v>
      </c>
      <c r="L1046" s="75">
        <v>2899.79</v>
      </c>
      <c r="M1046" s="32">
        <f>INDEX(BudgetSeasonality[365 Seasonality],MATCH(DaybyDay[[#This Row],[Date]],BudgetSeasonality[MonthAdjustment],0))*SUMIFS(Budgets[Retail-Budget],Budgets[BudgetMonth],DaybyDay[[#This Row],[RowMonth]],Budgets[BudgetYear],DaybyDay[[#This Row],[RowYear]])</f>
        <v>1837.081599001018</v>
      </c>
      <c r="N1046" s="75">
        <v>261.75</v>
      </c>
      <c r="O1046" s="33">
        <f>SUMIFS(DaybyDay[Service-Budgets],DaybyDay[Date],"&gt;="&amp;$C$5,DaybyDay[RowYear],"&gt;="&amp;$C$4,DaybyDay[Date],"&lt;="&amp;DaybyDay[[#This Row],[Date]])</f>
        <v>0</v>
      </c>
      <c r="P1046" s="33">
        <f>SUMIFS(DaybyDay[Retail-Budgets],DaybyDay[Date],"&gt;="&amp;$C$5,DaybyDay[RowYear],"&gt;="&amp;$C$4,DaybyDay[Date],"&lt;="&amp;DaybyDay[[#This Row],[Date]])</f>
        <v>0</v>
      </c>
      <c r="Q1046" s="34">
        <f>SUMIFS(DaybyDay[Service-Actuals],DaybyDay[Date],"&gt;="&amp;$C$5,DaybyDay[RowYear],"&gt;="&amp;$C$4,DaybyDay[Date],"&lt;="&amp;DaybyDay[[#This Row],[Date]])</f>
        <v>0</v>
      </c>
      <c r="R1046" s="34">
        <f>SUMIFS(DaybyDay[Retail-Actuals],DaybyDay[Date],"&gt;="&amp;$C$5,DaybyDay[RowYear],"&gt;="&amp;$C$4,DaybyDay[Date],"&lt;="&amp;DaybyDay[[#This Row],[Date]])</f>
        <v>0</v>
      </c>
      <c r="S1046" s="35">
        <f>SUMIFS(DaybyDay[Service-LY],DaybyDay[Date],"&gt;="&amp;$C$5,DaybyDay[RowYear],"&gt;="&amp;$C$4,DaybyDay[Date],"&lt;="&amp;DaybyDay[[#This Row],[Date]])</f>
        <v>0</v>
      </c>
      <c r="T1046" s="35">
        <f>SUMIFS(DaybyDay[Retail-LY],DaybyDay[Date],"&gt;="&amp;$C$5,DaybyDay[RowYear],"&gt;="&amp;$C$4,DaybyDay[Date],"&lt;="&amp;DaybyDay[[#This Row],[Date]])</f>
        <v>0</v>
      </c>
      <c r="U1046" s="32">
        <f>DaybyDay[[#This Row],[Serv-Bud-RU]]+DaybyDay[[#This Row],[Ret-Bud-RU]]</f>
        <v>0</v>
      </c>
      <c r="V1046" s="32">
        <f>DaybyDay[[#This Row],[Serv-Act-RU]]+DaybyDay[[#This Row],[Ret-Act-RU]]</f>
        <v>0</v>
      </c>
      <c r="W1046" s="36">
        <f>IF(DaybyDay[[#This Row],[_Space]],IFERROR(
((DaybyDay[[#This Row],[Actual-Rollup]]-DaybyDay[[#This Row],[Budget-Rollup]])/DaybyDay[[#This Row],[Budget-Rollup]]),0),"")</f>
        <v>0</v>
      </c>
      <c r="X1046" t="b">
        <f>NOT(AND(ISBLANK(DaybyDay[[#This Row],[Appts]]),ISBLANK(DaybyDay[[#This Row],[Service-Actuals]]),ISBLANK(DaybyDay[[#This Row],[Retail-Actuals]])))</f>
        <v>1</v>
      </c>
      <c r="Y1046" s="36">
        <f>IF(DaybyDay[[#This Row],[_Space]],IFERROR(
((DaybyDay[[#This Row],[Actual-Rollup]]-DaybyDay[[#This Row],[LY-Rollup]])/DaybyDay[[#This Row],[LY-Rollup]]),0),"")</f>
        <v>0</v>
      </c>
      <c r="Z1046"/>
      <c r="AA1046" s="37" t="e">
        <f>IF(DaybyDay[[#This Row],[_Space]],DaybyDay[[#This Row],[Ret-Act-RU]]/DaybyDay[[#This Row],[Serv-Act-RU]],"")</f>
        <v>#DIV/0!</v>
      </c>
      <c r="AB1046" s="50" t="e">
        <f>IF(DaybyDay[[#This Row],[_Space]],DaybyDay[[#This Row],[RETPEN-Act]]/DaybyDay[[#This Row],[RETPEN-Bud]],"")</f>
        <v>#DIV/0!</v>
      </c>
      <c r="AC1046" s="37" t="e">
        <f>IF(DaybyDay[[#This Row],[_Space]],DaybyDay[[#This Row],[Ret-Bud-RU]]/DaybyDay[[#This Row],[Serv-Bud-RU]],"")</f>
        <v>#DIV/0!</v>
      </c>
      <c r="AD1046" s="37" t="e">
        <f>IF(DaybyDay[[#This Row],[_Space]],DaybyDay[[#This Row],[Ret-LY-RU]]/DaybyDay[[#This Row],[Serv-LY-RU]],"")</f>
        <v>#DIV/0!</v>
      </c>
      <c r="AE1046" s="30">
        <f>WEEKDAY(DaybyDay[[#This Row],[LY-Date]])</f>
        <v>4</v>
      </c>
      <c r="AF1046" s="38">
        <f>$E$2+_xlfn.DAYS(DaybyDay[[#This Row],[Date]],minDate)</f>
        <v>43411</v>
      </c>
      <c r="AG1046" s="39" cm="1">
        <f t="array" ref="AG1046">IFERROR(INDEX(DaybyDay[],DaybyDay[[#This Row],[FORM_MATCH_HELPER]],8),"")</f>
        <v>22</v>
      </c>
      <c r="AH1046" s="39" cm="1">
        <f t="array" ref="AH1046">IFERROR(INDEX(DaybyDay[],DaybyDay[[#This Row],[FORM_MATCH_HELPER]],10),"")</f>
        <v>4979.6000000000004</v>
      </c>
      <c r="AI1046" s="39" cm="1">
        <f t="array" ref="AI1046">IFERROR(INDEX(DaybyDay[],DaybyDay[[#This Row],[FORM_MATCH_HELPER]],12),"")</f>
        <v>1033.5</v>
      </c>
      <c r="AJ1046" s="32">
        <f>IFERROR(DaybyDay[[#This Row],[Serv-LY-RU]]+DaybyDay[[#This Row],[Ret-LY-RU]],"")</f>
        <v>0</v>
      </c>
      <c r="AK10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6" s="77"/>
      <c r="AM1046" s="40" t="str">
        <f>IF(DaybyDay[[#This Row],[Admin Hours]]&gt;0,DaybyDay[[#This Row],[Admin Hours]]*$AM$2+$AM$3,"")</f>
        <v/>
      </c>
      <c r="AN1046" s="40">
        <f>SUMIFS(DaybyDay[Est-Admin-Payroll],DaybyDay[Date],"&gt;="&amp;$C$5,DaybyDay[RowYear],"&gt;="&amp;$C$4,DaybyDay[Date],"&lt;="&amp;DaybyDay[[#This Row],[Date]])</f>
        <v>0</v>
      </c>
      <c r="AO1046" s="41" t="str">
        <f>IF(AND(DaybyDay[[#This Row],[_Space]],ISNUMBER(DaybyDay[[#This Row],[Admin Hours]])),DaybyDay[[#This Row],[Est-Admin-Payroll]]/(DaybyDay[[#This Row],[Service-Actuals]]+DaybyDay[[#This Row],[Retail-Actuals]]),"")</f>
        <v/>
      </c>
      <c r="AP1046" s="41" t="e">
        <f>DaybyDay[[#This Row],[Estimated-Payroll-Rollup]]/DaybyDay[[#This Row],[Simple-Forecast]]</f>
        <v>#DIV/0!</v>
      </c>
      <c r="AQ10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6" s="77"/>
      <c r="AS1046" s="40" t="str">
        <f>IF(DaybyDay[[#This Row],[Retail Hours]]&gt;0,DaybyDay[[#This Row],[Retail Hours]]*$AS$2,"")</f>
        <v/>
      </c>
      <c r="AT1046" s="40">
        <f>SUMIFS(DaybyDay[Est-Retail-Payroll],DaybyDay[Date],"&gt;="&amp;$C$5,DaybyDay[RowYear],"&gt;="&amp;$C$4,DaybyDay[Date],"&lt;="&amp;DaybyDay[[#This Row],[Date]])</f>
        <v>0</v>
      </c>
      <c r="AU1046" s="82" t="str">
        <f>IF(AND(DaybyDay[[#This Row],[_Space]],ISNUMBER(DaybyDay[[#This Row],[Retail Hours]])),DaybyDay[[#This Row],[Est-Retail-Payroll]]/(DaybyDay[[#This Row],[Retail-Actuals]]),"")</f>
        <v/>
      </c>
      <c r="AV1046" s="82" t="e">
        <f>DaybyDay[[#This Row],[Est-Retail-PayrollRU]]/DaybyDay[[#This Row],[Simple-Forecast-Retail]]</f>
        <v>#DIV/0!</v>
      </c>
      <c r="AW1046" s="8"/>
      <c r="AX1046" s="15"/>
      <c r="AY1046" s="8"/>
    </row>
    <row r="1047" spans="3:51" hidden="1" x14ac:dyDescent="0.25">
      <c r="C1047" s="26" t="str">
        <f>Tools!$C$1</f>
        <v>Example</v>
      </c>
      <c r="D1047" s="27" t="s">
        <v>78</v>
      </c>
      <c r="E1047" s="28">
        <v>2019</v>
      </c>
      <c r="F1047" s="28">
        <f>MATCH(DaybyDay[[#This Row],[RowMonth]],Table3[SummaryMonth],0)</f>
        <v>11</v>
      </c>
      <c r="G1047" s="29">
        <f>MATCH(DaybyDay[[#This Row],[LY-Date]],DaybyDay[Date],0)</f>
        <v>677</v>
      </c>
      <c r="H1047" s="30">
        <f>WEEKDAY(DaybyDay[[#This Row],[Date]])</f>
        <v>5</v>
      </c>
      <c r="I1047" s="31">
        <v>43776</v>
      </c>
      <c r="J1047" s="74">
        <v>16</v>
      </c>
      <c r="K1047" s="32">
        <f>SUMIFS(BudgetSeasonality[365 Seasonality],BudgetSeasonality[MonthAdjustment],DaybyDay[[#This Row],[Date]])*SUMIFS(Budgets[Service-Budget],Budgets[BudgetMonth],DaybyDay[[#This Row],[RowMonth]],Budgets[BudgetYear],DaybyDay[[#This Row],[RowYear]])</f>
        <v>5293.1022094213167</v>
      </c>
      <c r="L1047" s="75">
        <v>2516</v>
      </c>
      <c r="M1047" s="32">
        <f>INDEX(BudgetSeasonality[365 Seasonality],MATCH(DaybyDay[[#This Row],[Date]],BudgetSeasonality[MonthAdjustment],0))*SUMIFS(Budgets[Retail-Budget],Budgets[BudgetMonth],DaybyDay[[#This Row],[RowMonth]],Budgets[BudgetYear],DaybyDay[[#This Row],[RowYear]])</f>
        <v>1881.8122753957327</v>
      </c>
      <c r="N1047" s="75">
        <v>585</v>
      </c>
      <c r="O1047" s="33">
        <f>SUMIFS(DaybyDay[Service-Budgets],DaybyDay[Date],"&gt;="&amp;$C$5,DaybyDay[RowYear],"&gt;="&amp;$C$4,DaybyDay[Date],"&lt;="&amp;DaybyDay[[#This Row],[Date]])</f>
        <v>0</v>
      </c>
      <c r="P1047" s="33">
        <f>SUMIFS(DaybyDay[Retail-Budgets],DaybyDay[Date],"&gt;="&amp;$C$5,DaybyDay[RowYear],"&gt;="&amp;$C$4,DaybyDay[Date],"&lt;="&amp;DaybyDay[[#This Row],[Date]])</f>
        <v>0</v>
      </c>
      <c r="Q1047" s="34">
        <f>SUMIFS(DaybyDay[Service-Actuals],DaybyDay[Date],"&gt;="&amp;$C$5,DaybyDay[RowYear],"&gt;="&amp;$C$4,DaybyDay[Date],"&lt;="&amp;DaybyDay[[#This Row],[Date]])</f>
        <v>0</v>
      </c>
      <c r="R1047" s="34">
        <f>SUMIFS(DaybyDay[Retail-Actuals],DaybyDay[Date],"&gt;="&amp;$C$5,DaybyDay[RowYear],"&gt;="&amp;$C$4,DaybyDay[Date],"&lt;="&amp;DaybyDay[[#This Row],[Date]])</f>
        <v>0</v>
      </c>
      <c r="S1047" s="35">
        <f>SUMIFS(DaybyDay[Service-LY],DaybyDay[Date],"&gt;="&amp;$C$5,DaybyDay[RowYear],"&gt;="&amp;$C$4,DaybyDay[Date],"&lt;="&amp;DaybyDay[[#This Row],[Date]])</f>
        <v>0</v>
      </c>
      <c r="T1047" s="35">
        <f>SUMIFS(DaybyDay[Retail-LY],DaybyDay[Date],"&gt;="&amp;$C$5,DaybyDay[RowYear],"&gt;="&amp;$C$4,DaybyDay[Date],"&lt;="&amp;DaybyDay[[#This Row],[Date]])</f>
        <v>0</v>
      </c>
      <c r="U1047" s="32">
        <f>DaybyDay[[#This Row],[Serv-Bud-RU]]+DaybyDay[[#This Row],[Ret-Bud-RU]]</f>
        <v>0</v>
      </c>
      <c r="V1047" s="32">
        <f>DaybyDay[[#This Row],[Serv-Act-RU]]+DaybyDay[[#This Row],[Ret-Act-RU]]</f>
        <v>0</v>
      </c>
      <c r="W1047" s="36">
        <f>IF(DaybyDay[[#This Row],[_Space]],IFERROR(
((DaybyDay[[#This Row],[Actual-Rollup]]-DaybyDay[[#This Row],[Budget-Rollup]])/DaybyDay[[#This Row],[Budget-Rollup]]),0),"")</f>
        <v>0</v>
      </c>
      <c r="X1047" t="b">
        <f>NOT(AND(ISBLANK(DaybyDay[[#This Row],[Appts]]),ISBLANK(DaybyDay[[#This Row],[Service-Actuals]]),ISBLANK(DaybyDay[[#This Row],[Retail-Actuals]])))</f>
        <v>1</v>
      </c>
      <c r="Y1047" s="36">
        <f>IF(DaybyDay[[#This Row],[_Space]],IFERROR(
((DaybyDay[[#This Row],[Actual-Rollup]]-DaybyDay[[#This Row],[LY-Rollup]])/DaybyDay[[#This Row],[LY-Rollup]]),0),"")</f>
        <v>0</v>
      </c>
      <c r="Z1047"/>
      <c r="AA1047" s="37" t="e">
        <f>IF(DaybyDay[[#This Row],[_Space]],DaybyDay[[#This Row],[Ret-Act-RU]]/DaybyDay[[#This Row],[Serv-Act-RU]],"")</f>
        <v>#DIV/0!</v>
      </c>
      <c r="AB1047" s="50" t="e">
        <f>IF(DaybyDay[[#This Row],[_Space]],DaybyDay[[#This Row],[RETPEN-Act]]/DaybyDay[[#This Row],[RETPEN-Bud]],"")</f>
        <v>#DIV/0!</v>
      </c>
      <c r="AC1047" s="37" t="e">
        <f>IF(DaybyDay[[#This Row],[_Space]],DaybyDay[[#This Row],[Ret-Bud-RU]]/DaybyDay[[#This Row],[Serv-Bud-RU]],"")</f>
        <v>#DIV/0!</v>
      </c>
      <c r="AD1047" s="37" t="e">
        <f>IF(DaybyDay[[#This Row],[_Space]],DaybyDay[[#This Row],[Ret-LY-RU]]/DaybyDay[[#This Row],[Serv-LY-RU]],"")</f>
        <v>#DIV/0!</v>
      </c>
      <c r="AE1047" s="30">
        <f>WEEKDAY(DaybyDay[[#This Row],[LY-Date]])</f>
        <v>5</v>
      </c>
      <c r="AF1047" s="38">
        <f>$E$2+_xlfn.DAYS(DaybyDay[[#This Row],[Date]],minDate)</f>
        <v>43412</v>
      </c>
      <c r="AG1047" s="39" cm="1">
        <f t="array" ref="AG1047">IFERROR(INDEX(DaybyDay[],DaybyDay[[#This Row],[FORM_MATCH_HELPER]],8),"")</f>
        <v>19</v>
      </c>
      <c r="AH1047" s="39" cm="1">
        <f t="array" ref="AH1047">IFERROR(INDEX(DaybyDay[],DaybyDay[[#This Row],[FORM_MATCH_HELPER]],10),"")</f>
        <v>5313</v>
      </c>
      <c r="AI1047" s="39" cm="1">
        <f t="array" ref="AI1047">IFERROR(INDEX(DaybyDay[],DaybyDay[[#This Row],[FORM_MATCH_HELPER]],12),"")</f>
        <v>680</v>
      </c>
      <c r="AJ1047" s="32">
        <f>IFERROR(DaybyDay[[#This Row],[Serv-LY-RU]]+DaybyDay[[#This Row],[Ret-LY-RU]],"")</f>
        <v>0</v>
      </c>
      <c r="AK10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7" s="77"/>
      <c r="AM1047" s="40" t="str">
        <f>IF(DaybyDay[[#This Row],[Admin Hours]]&gt;0,DaybyDay[[#This Row],[Admin Hours]]*$AM$2+$AM$3,"")</f>
        <v/>
      </c>
      <c r="AN1047" s="40">
        <f>SUMIFS(DaybyDay[Est-Admin-Payroll],DaybyDay[Date],"&gt;="&amp;$C$5,DaybyDay[RowYear],"&gt;="&amp;$C$4,DaybyDay[Date],"&lt;="&amp;DaybyDay[[#This Row],[Date]])</f>
        <v>0</v>
      </c>
      <c r="AO1047" s="41" t="str">
        <f>IF(AND(DaybyDay[[#This Row],[_Space]],ISNUMBER(DaybyDay[[#This Row],[Admin Hours]])),DaybyDay[[#This Row],[Est-Admin-Payroll]]/(DaybyDay[[#This Row],[Service-Actuals]]+DaybyDay[[#This Row],[Retail-Actuals]]),"")</f>
        <v/>
      </c>
      <c r="AP1047" s="41" t="e">
        <f>DaybyDay[[#This Row],[Estimated-Payroll-Rollup]]/DaybyDay[[#This Row],[Simple-Forecast]]</f>
        <v>#DIV/0!</v>
      </c>
      <c r="AQ10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7" s="77"/>
      <c r="AS1047" s="40" t="str">
        <f>IF(DaybyDay[[#This Row],[Retail Hours]]&gt;0,DaybyDay[[#This Row],[Retail Hours]]*$AS$2,"")</f>
        <v/>
      </c>
      <c r="AT1047" s="40">
        <f>SUMIFS(DaybyDay[Est-Retail-Payroll],DaybyDay[Date],"&gt;="&amp;$C$5,DaybyDay[RowYear],"&gt;="&amp;$C$4,DaybyDay[Date],"&lt;="&amp;DaybyDay[[#This Row],[Date]])</f>
        <v>0</v>
      </c>
      <c r="AU1047" s="82" t="str">
        <f>IF(AND(DaybyDay[[#This Row],[_Space]],ISNUMBER(DaybyDay[[#This Row],[Retail Hours]])),DaybyDay[[#This Row],[Est-Retail-Payroll]]/(DaybyDay[[#This Row],[Retail-Actuals]]),"")</f>
        <v/>
      </c>
      <c r="AV1047" s="82" t="e">
        <f>DaybyDay[[#This Row],[Est-Retail-PayrollRU]]/DaybyDay[[#This Row],[Simple-Forecast-Retail]]</f>
        <v>#DIV/0!</v>
      </c>
      <c r="AW1047" s="8"/>
      <c r="AX1047" s="15"/>
      <c r="AY1047" s="8"/>
    </row>
    <row r="1048" spans="3:51" hidden="1" x14ac:dyDescent="0.25">
      <c r="C1048" s="26" t="str">
        <f>Tools!$C$1</f>
        <v>Example</v>
      </c>
      <c r="D1048" s="27" t="s">
        <v>78</v>
      </c>
      <c r="E1048" s="28">
        <v>2019</v>
      </c>
      <c r="F1048" s="28">
        <f>MATCH(DaybyDay[[#This Row],[RowMonth]],Table3[SummaryMonth],0)</f>
        <v>11</v>
      </c>
      <c r="G1048" s="29">
        <f>MATCH(DaybyDay[[#This Row],[LY-Date]],DaybyDay[Date],0)</f>
        <v>678</v>
      </c>
      <c r="H1048" s="30">
        <f>WEEKDAY(DaybyDay[[#This Row],[Date]])</f>
        <v>6</v>
      </c>
      <c r="I1048" s="31">
        <v>43777</v>
      </c>
      <c r="J1048" s="74">
        <v>28</v>
      </c>
      <c r="K1048" s="32">
        <f>SUMIFS(BudgetSeasonality[365 Seasonality],BudgetSeasonality[MonthAdjustment],DaybyDay[[#This Row],[Date]])*SUMIFS(Budgets[Service-Budget],Budgets[BudgetMonth],DaybyDay[[#This Row],[RowMonth]],Budgets[BudgetYear],DaybyDay[[#This Row],[RowYear]])</f>
        <v>6426.8081216880773</v>
      </c>
      <c r="L1048" s="75">
        <v>6523</v>
      </c>
      <c r="M1048" s="32">
        <f>INDEX(BudgetSeasonality[365 Seasonality],MATCH(DaybyDay[[#This Row],[Date]],BudgetSeasonality[MonthAdjustment],0))*SUMIFS(Budgets[Retail-Budget],Budgets[BudgetMonth],DaybyDay[[#This Row],[RowMonth]],Budgets[BudgetYear],DaybyDay[[#This Row],[RowYear]])</f>
        <v>2284.869238587371</v>
      </c>
      <c r="N1048" s="75">
        <v>668</v>
      </c>
      <c r="O1048" s="33">
        <f>SUMIFS(DaybyDay[Service-Budgets],DaybyDay[Date],"&gt;="&amp;$C$5,DaybyDay[RowYear],"&gt;="&amp;$C$4,DaybyDay[Date],"&lt;="&amp;DaybyDay[[#This Row],[Date]])</f>
        <v>0</v>
      </c>
      <c r="P1048" s="33">
        <f>SUMIFS(DaybyDay[Retail-Budgets],DaybyDay[Date],"&gt;="&amp;$C$5,DaybyDay[RowYear],"&gt;="&amp;$C$4,DaybyDay[Date],"&lt;="&amp;DaybyDay[[#This Row],[Date]])</f>
        <v>0</v>
      </c>
      <c r="Q1048" s="34">
        <f>SUMIFS(DaybyDay[Service-Actuals],DaybyDay[Date],"&gt;="&amp;$C$5,DaybyDay[RowYear],"&gt;="&amp;$C$4,DaybyDay[Date],"&lt;="&amp;DaybyDay[[#This Row],[Date]])</f>
        <v>0</v>
      </c>
      <c r="R1048" s="34">
        <f>SUMIFS(DaybyDay[Retail-Actuals],DaybyDay[Date],"&gt;="&amp;$C$5,DaybyDay[RowYear],"&gt;="&amp;$C$4,DaybyDay[Date],"&lt;="&amp;DaybyDay[[#This Row],[Date]])</f>
        <v>0</v>
      </c>
      <c r="S1048" s="35">
        <f>SUMIFS(DaybyDay[Service-LY],DaybyDay[Date],"&gt;="&amp;$C$5,DaybyDay[RowYear],"&gt;="&amp;$C$4,DaybyDay[Date],"&lt;="&amp;DaybyDay[[#This Row],[Date]])</f>
        <v>0</v>
      </c>
      <c r="T1048" s="35">
        <f>SUMIFS(DaybyDay[Retail-LY],DaybyDay[Date],"&gt;="&amp;$C$5,DaybyDay[RowYear],"&gt;="&amp;$C$4,DaybyDay[Date],"&lt;="&amp;DaybyDay[[#This Row],[Date]])</f>
        <v>0</v>
      </c>
      <c r="U1048" s="32">
        <f>DaybyDay[[#This Row],[Serv-Bud-RU]]+DaybyDay[[#This Row],[Ret-Bud-RU]]</f>
        <v>0</v>
      </c>
      <c r="V1048" s="32">
        <f>DaybyDay[[#This Row],[Serv-Act-RU]]+DaybyDay[[#This Row],[Ret-Act-RU]]</f>
        <v>0</v>
      </c>
      <c r="W1048" s="36">
        <f>IF(DaybyDay[[#This Row],[_Space]],IFERROR(
((DaybyDay[[#This Row],[Actual-Rollup]]-DaybyDay[[#This Row],[Budget-Rollup]])/DaybyDay[[#This Row],[Budget-Rollup]]),0),"")</f>
        <v>0</v>
      </c>
      <c r="X1048" t="b">
        <f>NOT(AND(ISBLANK(DaybyDay[[#This Row],[Appts]]),ISBLANK(DaybyDay[[#This Row],[Service-Actuals]]),ISBLANK(DaybyDay[[#This Row],[Retail-Actuals]])))</f>
        <v>1</v>
      </c>
      <c r="Y1048" s="36">
        <f>IF(DaybyDay[[#This Row],[_Space]],IFERROR(
((DaybyDay[[#This Row],[Actual-Rollup]]-DaybyDay[[#This Row],[LY-Rollup]])/DaybyDay[[#This Row],[LY-Rollup]]),0),"")</f>
        <v>0</v>
      </c>
      <c r="Z1048"/>
      <c r="AA1048" s="37" t="e">
        <f>IF(DaybyDay[[#This Row],[_Space]],DaybyDay[[#This Row],[Ret-Act-RU]]/DaybyDay[[#This Row],[Serv-Act-RU]],"")</f>
        <v>#DIV/0!</v>
      </c>
      <c r="AB1048" s="50" t="e">
        <f>IF(DaybyDay[[#This Row],[_Space]],DaybyDay[[#This Row],[RETPEN-Act]]/DaybyDay[[#This Row],[RETPEN-Bud]],"")</f>
        <v>#DIV/0!</v>
      </c>
      <c r="AC1048" s="37" t="e">
        <f>IF(DaybyDay[[#This Row],[_Space]],DaybyDay[[#This Row],[Ret-Bud-RU]]/DaybyDay[[#This Row],[Serv-Bud-RU]],"")</f>
        <v>#DIV/0!</v>
      </c>
      <c r="AD1048" s="37" t="e">
        <f>IF(DaybyDay[[#This Row],[_Space]],DaybyDay[[#This Row],[Ret-LY-RU]]/DaybyDay[[#This Row],[Serv-LY-RU]],"")</f>
        <v>#DIV/0!</v>
      </c>
      <c r="AE1048" s="30">
        <f>WEEKDAY(DaybyDay[[#This Row],[LY-Date]])</f>
        <v>6</v>
      </c>
      <c r="AF1048" s="38">
        <f>$E$2+_xlfn.DAYS(DaybyDay[[#This Row],[Date]],minDate)</f>
        <v>43413</v>
      </c>
      <c r="AG1048" s="39" cm="1">
        <f t="array" ref="AG1048">IFERROR(INDEX(DaybyDay[],DaybyDay[[#This Row],[FORM_MATCH_HELPER]],8),"")</f>
        <v>22</v>
      </c>
      <c r="AH1048" s="39" cm="1">
        <f t="array" ref="AH1048">IFERROR(INDEX(DaybyDay[],DaybyDay[[#This Row],[FORM_MATCH_HELPER]],10),"")</f>
        <v>6233</v>
      </c>
      <c r="AI1048" s="39" cm="1">
        <f t="array" ref="AI1048">IFERROR(INDEX(DaybyDay[],DaybyDay[[#This Row],[FORM_MATCH_HELPER]],12),"")</f>
        <v>419.4</v>
      </c>
      <c r="AJ1048" s="32">
        <f>IFERROR(DaybyDay[[#This Row],[Serv-LY-RU]]+DaybyDay[[#This Row],[Ret-LY-RU]],"")</f>
        <v>0</v>
      </c>
      <c r="AK10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8" s="77"/>
      <c r="AM1048" s="40" t="str">
        <f>IF(DaybyDay[[#This Row],[Admin Hours]]&gt;0,DaybyDay[[#This Row],[Admin Hours]]*$AM$2+$AM$3,"")</f>
        <v/>
      </c>
      <c r="AN1048" s="40">
        <f>SUMIFS(DaybyDay[Est-Admin-Payroll],DaybyDay[Date],"&gt;="&amp;$C$5,DaybyDay[RowYear],"&gt;="&amp;$C$4,DaybyDay[Date],"&lt;="&amp;DaybyDay[[#This Row],[Date]])</f>
        <v>0</v>
      </c>
      <c r="AO1048" s="41" t="str">
        <f>IF(AND(DaybyDay[[#This Row],[_Space]],ISNUMBER(DaybyDay[[#This Row],[Admin Hours]])),DaybyDay[[#This Row],[Est-Admin-Payroll]]/(DaybyDay[[#This Row],[Service-Actuals]]+DaybyDay[[#This Row],[Retail-Actuals]]),"")</f>
        <v/>
      </c>
      <c r="AP1048" s="41" t="e">
        <f>DaybyDay[[#This Row],[Estimated-Payroll-Rollup]]/DaybyDay[[#This Row],[Simple-Forecast]]</f>
        <v>#DIV/0!</v>
      </c>
      <c r="AQ10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8" s="77"/>
      <c r="AS1048" s="40" t="str">
        <f>IF(DaybyDay[[#This Row],[Retail Hours]]&gt;0,DaybyDay[[#This Row],[Retail Hours]]*$AS$2,"")</f>
        <v/>
      </c>
      <c r="AT1048" s="40">
        <f>SUMIFS(DaybyDay[Est-Retail-Payroll],DaybyDay[Date],"&gt;="&amp;$C$5,DaybyDay[RowYear],"&gt;="&amp;$C$4,DaybyDay[Date],"&lt;="&amp;DaybyDay[[#This Row],[Date]])</f>
        <v>0</v>
      </c>
      <c r="AU1048" s="82" t="str">
        <f>IF(AND(DaybyDay[[#This Row],[_Space]],ISNUMBER(DaybyDay[[#This Row],[Retail Hours]])),DaybyDay[[#This Row],[Est-Retail-Payroll]]/(DaybyDay[[#This Row],[Retail-Actuals]]),"")</f>
        <v/>
      </c>
      <c r="AV1048" s="82" t="e">
        <f>DaybyDay[[#This Row],[Est-Retail-PayrollRU]]/DaybyDay[[#This Row],[Simple-Forecast-Retail]]</f>
        <v>#DIV/0!</v>
      </c>
      <c r="AW1048" s="8"/>
      <c r="AX1048" s="15"/>
      <c r="AY1048" s="8"/>
    </row>
    <row r="1049" spans="3:51" hidden="1" x14ac:dyDescent="0.25">
      <c r="C1049" s="26" t="str">
        <f>Tools!$C$1</f>
        <v>Example</v>
      </c>
      <c r="D1049" s="27" t="s">
        <v>78</v>
      </c>
      <c r="E1049" s="28">
        <v>2019</v>
      </c>
      <c r="F1049" s="28">
        <f>MATCH(DaybyDay[[#This Row],[RowMonth]],Table3[SummaryMonth],0)</f>
        <v>11</v>
      </c>
      <c r="G1049" s="29">
        <f>MATCH(DaybyDay[[#This Row],[LY-Date]],DaybyDay[Date],0)</f>
        <v>679</v>
      </c>
      <c r="H1049" s="30">
        <f>WEEKDAY(DaybyDay[[#This Row],[Date]])</f>
        <v>7</v>
      </c>
      <c r="I1049" s="31">
        <v>43778</v>
      </c>
      <c r="J1049" s="74">
        <v>37</v>
      </c>
      <c r="K1049" s="32">
        <f>SUMIFS(BudgetSeasonality[365 Seasonality],BudgetSeasonality[MonthAdjustment],DaybyDay[[#This Row],[Date]])*SUMIFS(Budgets[Service-Budget],Budgets[BudgetMonth],DaybyDay[[#This Row],[RowMonth]],Budgets[BudgetYear],DaybyDay[[#This Row],[RowYear]])</f>
        <v>8828.7059937403465</v>
      </c>
      <c r="L1049" s="75">
        <v>8726.65</v>
      </c>
      <c r="M1049" s="32">
        <f>INDEX(BudgetSeasonality[365 Seasonality],MATCH(DaybyDay[[#This Row],[Date]],BudgetSeasonality[MonthAdjustment],0))*SUMIFS(Budgets[Retail-Budget],Budgets[BudgetMonth],DaybyDay[[#This Row],[RowMonth]],Budgets[BudgetYear],DaybyDay[[#This Row],[RowYear]])</f>
        <v>3138.7958625300821</v>
      </c>
      <c r="N1049" s="75">
        <v>3559.48</v>
      </c>
      <c r="O1049" s="33">
        <f>SUMIFS(DaybyDay[Service-Budgets],DaybyDay[Date],"&gt;="&amp;$C$5,DaybyDay[RowYear],"&gt;="&amp;$C$4,DaybyDay[Date],"&lt;="&amp;DaybyDay[[#This Row],[Date]])</f>
        <v>0</v>
      </c>
      <c r="P1049" s="33">
        <f>SUMIFS(DaybyDay[Retail-Budgets],DaybyDay[Date],"&gt;="&amp;$C$5,DaybyDay[RowYear],"&gt;="&amp;$C$4,DaybyDay[Date],"&lt;="&amp;DaybyDay[[#This Row],[Date]])</f>
        <v>0</v>
      </c>
      <c r="Q1049" s="34">
        <f>SUMIFS(DaybyDay[Service-Actuals],DaybyDay[Date],"&gt;="&amp;$C$5,DaybyDay[RowYear],"&gt;="&amp;$C$4,DaybyDay[Date],"&lt;="&amp;DaybyDay[[#This Row],[Date]])</f>
        <v>0</v>
      </c>
      <c r="R1049" s="34">
        <f>SUMIFS(DaybyDay[Retail-Actuals],DaybyDay[Date],"&gt;="&amp;$C$5,DaybyDay[RowYear],"&gt;="&amp;$C$4,DaybyDay[Date],"&lt;="&amp;DaybyDay[[#This Row],[Date]])</f>
        <v>0</v>
      </c>
      <c r="S1049" s="35">
        <f>SUMIFS(DaybyDay[Service-LY],DaybyDay[Date],"&gt;="&amp;$C$5,DaybyDay[RowYear],"&gt;="&amp;$C$4,DaybyDay[Date],"&lt;="&amp;DaybyDay[[#This Row],[Date]])</f>
        <v>0</v>
      </c>
      <c r="T1049" s="35">
        <f>SUMIFS(DaybyDay[Retail-LY],DaybyDay[Date],"&gt;="&amp;$C$5,DaybyDay[RowYear],"&gt;="&amp;$C$4,DaybyDay[Date],"&lt;="&amp;DaybyDay[[#This Row],[Date]])</f>
        <v>0</v>
      </c>
      <c r="U1049" s="32">
        <f>DaybyDay[[#This Row],[Serv-Bud-RU]]+DaybyDay[[#This Row],[Ret-Bud-RU]]</f>
        <v>0</v>
      </c>
      <c r="V1049" s="32">
        <f>DaybyDay[[#This Row],[Serv-Act-RU]]+DaybyDay[[#This Row],[Ret-Act-RU]]</f>
        <v>0</v>
      </c>
      <c r="W1049" s="36">
        <f>IF(DaybyDay[[#This Row],[_Space]],IFERROR(
((DaybyDay[[#This Row],[Actual-Rollup]]-DaybyDay[[#This Row],[Budget-Rollup]])/DaybyDay[[#This Row],[Budget-Rollup]]),0),"")</f>
        <v>0</v>
      </c>
      <c r="X1049" t="b">
        <f>NOT(AND(ISBLANK(DaybyDay[[#This Row],[Appts]]),ISBLANK(DaybyDay[[#This Row],[Service-Actuals]]),ISBLANK(DaybyDay[[#This Row],[Retail-Actuals]])))</f>
        <v>1</v>
      </c>
      <c r="Y1049" s="36">
        <f>IF(DaybyDay[[#This Row],[_Space]],IFERROR(
((DaybyDay[[#This Row],[Actual-Rollup]]-DaybyDay[[#This Row],[LY-Rollup]])/DaybyDay[[#This Row],[LY-Rollup]]),0),"")</f>
        <v>0</v>
      </c>
      <c r="Z1049"/>
      <c r="AA1049" s="37" t="e">
        <f>IF(DaybyDay[[#This Row],[_Space]],DaybyDay[[#This Row],[Ret-Act-RU]]/DaybyDay[[#This Row],[Serv-Act-RU]],"")</f>
        <v>#DIV/0!</v>
      </c>
      <c r="AB1049" s="50" t="e">
        <f>IF(DaybyDay[[#This Row],[_Space]],DaybyDay[[#This Row],[RETPEN-Act]]/DaybyDay[[#This Row],[RETPEN-Bud]],"")</f>
        <v>#DIV/0!</v>
      </c>
      <c r="AC1049" s="37" t="e">
        <f>IF(DaybyDay[[#This Row],[_Space]],DaybyDay[[#This Row],[Ret-Bud-RU]]/DaybyDay[[#This Row],[Serv-Bud-RU]],"")</f>
        <v>#DIV/0!</v>
      </c>
      <c r="AD1049" s="37" t="e">
        <f>IF(DaybyDay[[#This Row],[_Space]],DaybyDay[[#This Row],[Ret-LY-RU]]/DaybyDay[[#This Row],[Serv-LY-RU]],"")</f>
        <v>#DIV/0!</v>
      </c>
      <c r="AE1049" s="30">
        <f>WEEKDAY(DaybyDay[[#This Row],[LY-Date]])</f>
        <v>7</v>
      </c>
      <c r="AF1049" s="38">
        <f>$E$2+_xlfn.DAYS(DaybyDay[[#This Row],[Date]],minDate)</f>
        <v>43414</v>
      </c>
      <c r="AG1049" s="39" cm="1">
        <f t="array" ref="AG1049">IFERROR(INDEX(DaybyDay[],DaybyDay[[#This Row],[FORM_MATCH_HELPER]],8),"")</f>
        <v>30</v>
      </c>
      <c r="AH1049" s="39" cm="1">
        <f t="array" ref="AH1049">IFERROR(INDEX(DaybyDay[],DaybyDay[[#This Row],[FORM_MATCH_HELPER]],10),"")</f>
        <v>7934</v>
      </c>
      <c r="AI1049" s="39" cm="1">
        <f t="array" ref="AI1049">IFERROR(INDEX(DaybyDay[],DaybyDay[[#This Row],[FORM_MATCH_HELPER]],12),"")</f>
        <v>320</v>
      </c>
      <c r="AJ1049" s="32">
        <f>IFERROR(DaybyDay[[#This Row],[Serv-LY-RU]]+DaybyDay[[#This Row],[Ret-LY-RU]],"")</f>
        <v>0</v>
      </c>
      <c r="AK10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49" s="77"/>
      <c r="AM1049" s="40" t="str">
        <f>IF(DaybyDay[[#This Row],[Admin Hours]]&gt;0,DaybyDay[[#This Row],[Admin Hours]]*$AM$2+$AM$3,"")</f>
        <v/>
      </c>
      <c r="AN1049" s="40">
        <f>SUMIFS(DaybyDay[Est-Admin-Payroll],DaybyDay[Date],"&gt;="&amp;$C$5,DaybyDay[RowYear],"&gt;="&amp;$C$4,DaybyDay[Date],"&lt;="&amp;DaybyDay[[#This Row],[Date]])</f>
        <v>0</v>
      </c>
      <c r="AO1049" s="41" t="str">
        <f>IF(AND(DaybyDay[[#This Row],[_Space]],ISNUMBER(DaybyDay[[#This Row],[Admin Hours]])),DaybyDay[[#This Row],[Est-Admin-Payroll]]/(DaybyDay[[#This Row],[Service-Actuals]]+DaybyDay[[#This Row],[Retail-Actuals]]),"")</f>
        <v/>
      </c>
      <c r="AP1049" s="41" t="e">
        <f>DaybyDay[[#This Row],[Estimated-Payroll-Rollup]]/DaybyDay[[#This Row],[Simple-Forecast]]</f>
        <v>#DIV/0!</v>
      </c>
      <c r="AQ10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49" s="77"/>
      <c r="AS1049" s="40" t="str">
        <f>IF(DaybyDay[[#This Row],[Retail Hours]]&gt;0,DaybyDay[[#This Row],[Retail Hours]]*$AS$2,"")</f>
        <v/>
      </c>
      <c r="AT1049" s="40">
        <f>SUMIFS(DaybyDay[Est-Retail-Payroll],DaybyDay[Date],"&gt;="&amp;$C$5,DaybyDay[RowYear],"&gt;="&amp;$C$4,DaybyDay[Date],"&lt;="&amp;DaybyDay[[#This Row],[Date]])</f>
        <v>0</v>
      </c>
      <c r="AU1049" s="82" t="str">
        <f>IF(AND(DaybyDay[[#This Row],[_Space]],ISNUMBER(DaybyDay[[#This Row],[Retail Hours]])),DaybyDay[[#This Row],[Est-Retail-Payroll]]/(DaybyDay[[#This Row],[Retail-Actuals]]),"")</f>
        <v/>
      </c>
      <c r="AV1049" s="82" t="e">
        <f>DaybyDay[[#This Row],[Est-Retail-PayrollRU]]/DaybyDay[[#This Row],[Simple-Forecast-Retail]]</f>
        <v>#DIV/0!</v>
      </c>
      <c r="AW1049" s="8"/>
      <c r="AX1049" s="15"/>
      <c r="AY1049" s="8"/>
    </row>
    <row r="1050" spans="3:51" hidden="1" x14ac:dyDescent="0.25">
      <c r="C1050" s="26" t="str">
        <f>Tools!$C$1</f>
        <v>Example</v>
      </c>
      <c r="D1050" s="27" t="s">
        <v>78</v>
      </c>
      <c r="E1050" s="28">
        <v>2019</v>
      </c>
      <c r="F1050" s="28">
        <f>MATCH(DaybyDay[[#This Row],[RowMonth]],Table3[SummaryMonth],0)</f>
        <v>11</v>
      </c>
      <c r="G1050" s="29">
        <f>MATCH(DaybyDay[[#This Row],[LY-Date]],DaybyDay[Date],0)</f>
        <v>680</v>
      </c>
      <c r="H1050" s="30">
        <f>WEEKDAY(DaybyDay[[#This Row],[Date]])</f>
        <v>1</v>
      </c>
      <c r="I1050" s="31">
        <v>43779</v>
      </c>
      <c r="J1050" s="74">
        <v>37</v>
      </c>
      <c r="K1050" s="32">
        <f>SUMIFS(BudgetSeasonality[365 Seasonality],BudgetSeasonality[MonthAdjustment],DaybyDay[[#This Row],[Date]])*SUMIFS(Budgets[Service-Budget],Budgets[BudgetMonth],DaybyDay[[#This Row],[RowMonth]],Budgets[BudgetYear],DaybyDay[[#This Row],[RowYear]])</f>
        <v>7030.424558403186</v>
      </c>
      <c r="L1050" s="75">
        <v>7436.4</v>
      </c>
      <c r="M1050" s="32">
        <f>INDEX(BudgetSeasonality[365 Seasonality],MATCH(DaybyDay[[#This Row],[Date]],BudgetSeasonality[MonthAdjustment],0))*SUMIFS(Budgets[Retail-Budget],Budgets[BudgetMonth],DaybyDay[[#This Row],[RowMonth]],Budgets[BudgetYear],DaybyDay[[#This Row],[RowYear]])</f>
        <v>2499.4679323778141</v>
      </c>
      <c r="N1050" s="75">
        <v>1449</v>
      </c>
      <c r="O1050" s="33">
        <f>SUMIFS(DaybyDay[Service-Budgets],DaybyDay[Date],"&gt;="&amp;$C$5,DaybyDay[RowYear],"&gt;="&amp;$C$4,DaybyDay[Date],"&lt;="&amp;DaybyDay[[#This Row],[Date]])</f>
        <v>0</v>
      </c>
      <c r="P1050" s="33">
        <f>SUMIFS(DaybyDay[Retail-Budgets],DaybyDay[Date],"&gt;="&amp;$C$5,DaybyDay[RowYear],"&gt;="&amp;$C$4,DaybyDay[Date],"&lt;="&amp;DaybyDay[[#This Row],[Date]])</f>
        <v>0</v>
      </c>
      <c r="Q1050" s="34">
        <f>SUMIFS(DaybyDay[Service-Actuals],DaybyDay[Date],"&gt;="&amp;$C$5,DaybyDay[RowYear],"&gt;="&amp;$C$4,DaybyDay[Date],"&lt;="&amp;DaybyDay[[#This Row],[Date]])</f>
        <v>0</v>
      </c>
      <c r="R1050" s="34">
        <f>SUMIFS(DaybyDay[Retail-Actuals],DaybyDay[Date],"&gt;="&amp;$C$5,DaybyDay[RowYear],"&gt;="&amp;$C$4,DaybyDay[Date],"&lt;="&amp;DaybyDay[[#This Row],[Date]])</f>
        <v>0</v>
      </c>
      <c r="S1050" s="35">
        <f>SUMIFS(DaybyDay[Service-LY],DaybyDay[Date],"&gt;="&amp;$C$5,DaybyDay[RowYear],"&gt;="&amp;$C$4,DaybyDay[Date],"&lt;="&amp;DaybyDay[[#This Row],[Date]])</f>
        <v>0</v>
      </c>
      <c r="T1050" s="35">
        <f>SUMIFS(DaybyDay[Retail-LY],DaybyDay[Date],"&gt;="&amp;$C$5,DaybyDay[RowYear],"&gt;="&amp;$C$4,DaybyDay[Date],"&lt;="&amp;DaybyDay[[#This Row],[Date]])</f>
        <v>0</v>
      </c>
      <c r="U1050" s="32">
        <f>DaybyDay[[#This Row],[Serv-Bud-RU]]+DaybyDay[[#This Row],[Ret-Bud-RU]]</f>
        <v>0</v>
      </c>
      <c r="V1050" s="32">
        <f>DaybyDay[[#This Row],[Serv-Act-RU]]+DaybyDay[[#This Row],[Ret-Act-RU]]</f>
        <v>0</v>
      </c>
      <c r="W1050" s="36">
        <f>IF(DaybyDay[[#This Row],[_Space]],IFERROR(
((DaybyDay[[#This Row],[Actual-Rollup]]-DaybyDay[[#This Row],[Budget-Rollup]])/DaybyDay[[#This Row],[Budget-Rollup]]),0),"")</f>
        <v>0</v>
      </c>
      <c r="X1050" t="b">
        <f>NOT(AND(ISBLANK(DaybyDay[[#This Row],[Appts]]),ISBLANK(DaybyDay[[#This Row],[Service-Actuals]]),ISBLANK(DaybyDay[[#This Row],[Retail-Actuals]])))</f>
        <v>1</v>
      </c>
      <c r="Y1050" s="36">
        <f>IF(DaybyDay[[#This Row],[_Space]],IFERROR(
((DaybyDay[[#This Row],[Actual-Rollup]]-DaybyDay[[#This Row],[LY-Rollup]])/DaybyDay[[#This Row],[LY-Rollup]]),0),"")</f>
        <v>0</v>
      </c>
      <c r="Z1050"/>
      <c r="AA1050" s="37" t="e">
        <f>IF(DaybyDay[[#This Row],[_Space]],DaybyDay[[#This Row],[Ret-Act-RU]]/DaybyDay[[#This Row],[Serv-Act-RU]],"")</f>
        <v>#DIV/0!</v>
      </c>
      <c r="AB1050" s="50" t="e">
        <f>IF(DaybyDay[[#This Row],[_Space]],DaybyDay[[#This Row],[RETPEN-Act]]/DaybyDay[[#This Row],[RETPEN-Bud]],"")</f>
        <v>#DIV/0!</v>
      </c>
      <c r="AC1050" s="37" t="e">
        <f>IF(DaybyDay[[#This Row],[_Space]],DaybyDay[[#This Row],[Ret-Bud-RU]]/DaybyDay[[#This Row],[Serv-Bud-RU]],"")</f>
        <v>#DIV/0!</v>
      </c>
      <c r="AD1050" s="37" t="e">
        <f>IF(DaybyDay[[#This Row],[_Space]],DaybyDay[[#This Row],[Ret-LY-RU]]/DaybyDay[[#This Row],[Serv-LY-RU]],"")</f>
        <v>#DIV/0!</v>
      </c>
      <c r="AE1050" s="30">
        <f>WEEKDAY(DaybyDay[[#This Row],[LY-Date]])</f>
        <v>1</v>
      </c>
      <c r="AF1050" s="38">
        <f>$E$2+_xlfn.DAYS(DaybyDay[[#This Row],[Date]],minDate)</f>
        <v>43415</v>
      </c>
      <c r="AG1050" s="39" cm="1">
        <f t="array" ref="AG1050">IFERROR(INDEX(DaybyDay[],DaybyDay[[#This Row],[FORM_MATCH_HELPER]],8),"")</f>
        <v>36</v>
      </c>
      <c r="AH1050" s="39" cm="1">
        <f t="array" ref="AH1050">IFERROR(INDEX(DaybyDay[],DaybyDay[[#This Row],[FORM_MATCH_HELPER]],10),"")</f>
        <v>8372</v>
      </c>
      <c r="AI1050" s="39" cm="1">
        <f t="array" ref="AI1050">IFERROR(INDEX(DaybyDay[],DaybyDay[[#This Row],[FORM_MATCH_HELPER]],12),"")</f>
        <v>831</v>
      </c>
      <c r="AJ1050" s="32">
        <f>IFERROR(DaybyDay[[#This Row],[Serv-LY-RU]]+DaybyDay[[#This Row],[Ret-LY-RU]],"")</f>
        <v>0</v>
      </c>
      <c r="AK10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0" s="77"/>
      <c r="AM1050" s="40" t="str">
        <f>IF(DaybyDay[[#This Row],[Admin Hours]]&gt;0,DaybyDay[[#This Row],[Admin Hours]]*$AM$2+$AM$3,"")</f>
        <v/>
      </c>
      <c r="AN1050" s="40">
        <f>SUMIFS(DaybyDay[Est-Admin-Payroll],DaybyDay[Date],"&gt;="&amp;$C$5,DaybyDay[RowYear],"&gt;="&amp;$C$4,DaybyDay[Date],"&lt;="&amp;DaybyDay[[#This Row],[Date]])</f>
        <v>0</v>
      </c>
      <c r="AO1050" s="41" t="str">
        <f>IF(AND(DaybyDay[[#This Row],[_Space]],ISNUMBER(DaybyDay[[#This Row],[Admin Hours]])),DaybyDay[[#This Row],[Est-Admin-Payroll]]/(DaybyDay[[#This Row],[Service-Actuals]]+DaybyDay[[#This Row],[Retail-Actuals]]),"")</f>
        <v/>
      </c>
      <c r="AP1050" s="41" t="e">
        <f>DaybyDay[[#This Row],[Estimated-Payroll-Rollup]]/DaybyDay[[#This Row],[Simple-Forecast]]</f>
        <v>#DIV/0!</v>
      </c>
      <c r="AQ10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0" s="77"/>
      <c r="AS1050" s="40" t="str">
        <f>IF(DaybyDay[[#This Row],[Retail Hours]]&gt;0,DaybyDay[[#This Row],[Retail Hours]]*$AS$2,"")</f>
        <v/>
      </c>
      <c r="AT1050" s="40">
        <f>SUMIFS(DaybyDay[Est-Retail-Payroll],DaybyDay[Date],"&gt;="&amp;$C$5,DaybyDay[RowYear],"&gt;="&amp;$C$4,DaybyDay[Date],"&lt;="&amp;DaybyDay[[#This Row],[Date]])</f>
        <v>0</v>
      </c>
      <c r="AU1050" s="82" t="str">
        <f>IF(AND(DaybyDay[[#This Row],[_Space]],ISNUMBER(DaybyDay[[#This Row],[Retail Hours]])),DaybyDay[[#This Row],[Est-Retail-Payroll]]/(DaybyDay[[#This Row],[Retail-Actuals]]),"")</f>
        <v/>
      </c>
      <c r="AV1050" s="82" t="e">
        <f>DaybyDay[[#This Row],[Est-Retail-PayrollRU]]/DaybyDay[[#This Row],[Simple-Forecast-Retail]]</f>
        <v>#DIV/0!</v>
      </c>
      <c r="AW1050" s="8"/>
      <c r="AX1050" s="15"/>
      <c r="AY1050" s="8"/>
    </row>
    <row r="1051" spans="3:51" hidden="1" x14ac:dyDescent="0.25">
      <c r="C1051" s="26" t="str">
        <f>Tools!$C$1</f>
        <v>Example</v>
      </c>
      <c r="D1051" s="27" t="s">
        <v>78</v>
      </c>
      <c r="E1051" s="28">
        <v>2019</v>
      </c>
      <c r="F1051" s="28">
        <f>MATCH(DaybyDay[[#This Row],[RowMonth]],Table3[SummaryMonth],0)</f>
        <v>11</v>
      </c>
      <c r="G1051" s="29">
        <f>MATCH(DaybyDay[[#This Row],[LY-Date]],DaybyDay[Date],0)</f>
        <v>681</v>
      </c>
      <c r="H1051" s="30">
        <f>WEEKDAY(DaybyDay[[#This Row],[Date]])</f>
        <v>2</v>
      </c>
      <c r="I1051" s="31">
        <v>43780</v>
      </c>
      <c r="J1051" s="74">
        <v>13</v>
      </c>
      <c r="K1051" s="32">
        <f>SUMIFS(BudgetSeasonality[365 Seasonality],BudgetSeasonality[MonthAdjustment],DaybyDay[[#This Row],[Date]])*SUMIFS(Budgets[Service-Budget],Budgets[BudgetMonth],DaybyDay[[#This Row],[RowMonth]],Budgets[BudgetYear],DaybyDay[[#This Row],[RowYear]])</f>
        <v>4409.5672503516889</v>
      </c>
      <c r="L1051" s="75">
        <v>2922.2</v>
      </c>
      <c r="M1051" s="32">
        <f>INDEX(BudgetSeasonality[365 Seasonality],MATCH(DaybyDay[[#This Row],[Date]],BudgetSeasonality[MonthAdjustment],0))*SUMIFS(Budgets[Retail-Budget],Budgets[BudgetMonth],DaybyDay[[#This Row],[RowMonth]],Budgets[BudgetYear],DaybyDay[[#This Row],[RowYear]])</f>
        <v>1567.6964949070984</v>
      </c>
      <c r="N1051" s="75">
        <v>647</v>
      </c>
      <c r="O1051" s="33">
        <f>SUMIFS(DaybyDay[Service-Budgets],DaybyDay[Date],"&gt;="&amp;$C$5,DaybyDay[RowYear],"&gt;="&amp;$C$4,DaybyDay[Date],"&lt;="&amp;DaybyDay[[#This Row],[Date]])</f>
        <v>0</v>
      </c>
      <c r="P1051" s="33">
        <f>SUMIFS(DaybyDay[Retail-Budgets],DaybyDay[Date],"&gt;="&amp;$C$5,DaybyDay[RowYear],"&gt;="&amp;$C$4,DaybyDay[Date],"&lt;="&amp;DaybyDay[[#This Row],[Date]])</f>
        <v>0</v>
      </c>
      <c r="Q1051" s="34">
        <f>SUMIFS(DaybyDay[Service-Actuals],DaybyDay[Date],"&gt;="&amp;$C$5,DaybyDay[RowYear],"&gt;="&amp;$C$4,DaybyDay[Date],"&lt;="&amp;DaybyDay[[#This Row],[Date]])</f>
        <v>0</v>
      </c>
      <c r="R1051" s="34">
        <f>SUMIFS(DaybyDay[Retail-Actuals],DaybyDay[Date],"&gt;="&amp;$C$5,DaybyDay[RowYear],"&gt;="&amp;$C$4,DaybyDay[Date],"&lt;="&amp;DaybyDay[[#This Row],[Date]])</f>
        <v>0</v>
      </c>
      <c r="S1051" s="35">
        <f>SUMIFS(DaybyDay[Service-LY],DaybyDay[Date],"&gt;="&amp;$C$5,DaybyDay[RowYear],"&gt;="&amp;$C$4,DaybyDay[Date],"&lt;="&amp;DaybyDay[[#This Row],[Date]])</f>
        <v>0</v>
      </c>
      <c r="T1051" s="35">
        <f>SUMIFS(DaybyDay[Retail-LY],DaybyDay[Date],"&gt;="&amp;$C$5,DaybyDay[RowYear],"&gt;="&amp;$C$4,DaybyDay[Date],"&lt;="&amp;DaybyDay[[#This Row],[Date]])</f>
        <v>0</v>
      </c>
      <c r="U1051" s="32">
        <f>DaybyDay[[#This Row],[Serv-Bud-RU]]+DaybyDay[[#This Row],[Ret-Bud-RU]]</f>
        <v>0</v>
      </c>
      <c r="V1051" s="32">
        <f>DaybyDay[[#This Row],[Serv-Act-RU]]+DaybyDay[[#This Row],[Ret-Act-RU]]</f>
        <v>0</v>
      </c>
      <c r="W1051" s="36">
        <f>IF(DaybyDay[[#This Row],[_Space]],IFERROR(
((DaybyDay[[#This Row],[Actual-Rollup]]-DaybyDay[[#This Row],[Budget-Rollup]])/DaybyDay[[#This Row],[Budget-Rollup]]),0),"")</f>
        <v>0</v>
      </c>
      <c r="X1051" t="b">
        <f>NOT(AND(ISBLANK(DaybyDay[[#This Row],[Appts]]),ISBLANK(DaybyDay[[#This Row],[Service-Actuals]]),ISBLANK(DaybyDay[[#This Row],[Retail-Actuals]])))</f>
        <v>1</v>
      </c>
      <c r="Y1051" s="36">
        <f>IF(DaybyDay[[#This Row],[_Space]],IFERROR(
((DaybyDay[[#This Row],[Actual-Rollup]]-DaybyDay[[#This Row],[LY-Rollup]])/DaybyDay[[#This Row],[LY-Rollup]]),0),"")</f>
        <v>0</v>
      </c>
      <c r="Z1051"/>
      <c r="AA1051" s="37" t="e">
        <f>IF(DaybyDay[[#This Row],[_Space]],DaybyDay[[#This Row],[Ret-Act-RU]]/DaybyDay[[#This Row],[Serv-Act-RU]],"")</f>
        <v>#DIV/0!</v>
      </c>
      <c r="AB1051" s="50" t="e">
        <f>IF(DaybyDay[[#This Row],[_Space]],DaybyDay[[#This Row],[RETPEN-Act]]/DaybyDay[[#This Row],[RETPEN-Bud]],"")</f>
        <v>#DIV/0!</v>
      </c>
      <c r="AC1051" s="37" t="e">
        <f>IF(DaybyDay[[#This Row],[_Space]],DaybyDay[[#This Row],[Ret-Bud-RU]]/DaybyDay[[#This Row],[Serv-Bud-RU]],"")</f>
        <v>#DIV/0!</v>
      </c>
      <c r="AD1051" s="37" t="e">
        <f>IF(DaybyDay[[#This Row],[_Space]],DaybyDay[[#This Row],[Ret-LY-RU]]/DaybyDay[[#This Row],[Serv-LY-RU]],"")</f>
        <v>#DIV/0!</v>
      </c>
      <c r="AE1051" s="30">
        <f>WEEKDAY(DaybyDay[[#This Row],[LY-Date]])</f>
        <v>2</v>
      </c>
      <c r="AF1051" s="38">
        <f>$E$2+_xlfn.DAYS(DaybyDay[[#This Row],[Date]],minDate)</f>
        <v>43416</v>
      </c>
      <c r="AG1051" s="39" cm="1">
        <f t="array" ref="AG1051">IFERROR(INDEX(DaybyDay[],DaybyDay[[#This Row],[FORM_MATCH_HELPER]],8),"")</f>
        <v>18</v>
      </c>
      <c r="AH1051" s="39" cm="1">
        <f t="array" ref="AH1051">IFERROR(INDEX(DaybyDay[],DaybyDay[[#This Row],[FORM_MATCH_HELPER]],10),"")</f>
        <v>5077</v>
      </c>
      <c r="AI1051" s="39" cm="1">
        <f t="array" ref="AI1051">IFERROR(INDEX(DaybyDay[],DaybyDay[[#This Row],[FORM_MATCH_HELPER]],12),"")</f>
        <v>2363</v>
      </c>
      <c r="AJ1051" s="32">
        <f>IFERROR(DaybyDay[[#This Row],[Serv-LY-RU]]+DaybyDay[[#This Row],[Ret-LY-RU]],"")</f>
        <v>0</v>
      </c>
      <c r="AK10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1" s="77"/>
      <c r="AM1051" s="40" t="str">
        <f>IF(DaybyDay[[#This Row],[Admin Hours]]&gt;0,DaybyDay[[#This Row],[Admin Hours]]*$AM$2+$AM$3,"")</f>
        <v/>
      </c>
      <c r="AN1051" s="40">
        <f>SUMIFS(DaybyDay[Est-Admin-Payroll],DaybyDay[Date],"&gt;="&amp;$C$5,DaybyDay[RowYear],"&gt;="&amp;$C$4,DaybyDay[Date],"&lt;="&amp;DaybyDay[[#This Row],[Date]])</f>
        <v>0</v>
      </c>
      <c r="AO1051" s="41" t="str">
        <f>IF(AND(DaybyDay[[#This Row],[_Space]],ISNUMBER(DaybyDay[[#This Row],[Admin Hours]])),DaybyDay[[#This Row],[Est-Admin-Payroll]]/(DaybyDay[[#This Row],[Service-Actuals]]+DaybyDay[[#This Row],[Retail-Actuals]]),"")</f>
        <v/>
      </c>
      <c r="AP1051" s="41" t="e">
        <f>DaybyDay[[#This Row],[Estimated-Payroll-Rollup]]/DaybyDay[[#This Row],[Simple-Forecast]]</f>
        <v>#DIV/0!</v>
      </c>
      <c r="AQ10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1" s="77"/>
      <c r="AS1051" s="40" t="str">
        <f>IF(DaybyDay[[#This Row],[Retail Hours]]&gt;0,DaybyDay[[#This Row],[Retail Hours]]*$AS$2,"")</f>
        <v/>
      </c>
      <c r="AT1051" s="40">
        <f>SUMIFS(DaybyDay[Est-Retail-Payroll],DaybyDay[Date],"&gt;="&amp;$C$5,DaybyDay[RowYear],"&gt;="&amp;$C$4,DaybyDay[Date],"&lt;="&amp;DaybyDay[[#This Row],[Date]])</f>
        <v>0</v>
      </c>
      <c r="AU1051" s="82" t="str">
        <f>IF(AND(DaybyDay[[#This Row],[_Space]],ISNUMBER(DaybyDay[[#This Row],[Retail Hours]])),DaybyDay[[#This Row],[Est-Retail-Payroll]]/(DaybyDay[[#This Row],[Retail-Actuals]]),"")</f>
        <v/>
      </c>
      <c r="AV1051" s="82" t="e">
        <f>DaybyDay[[#This Row],[Est-Retail-PayrollRU]]/DaybyDay[[#This Row],[Simple-Forecast-Retail]]</f>
        <v>#DIV/0!</v>
      </c>
      <c r="AW1051" s="8"/>
      <c r="AX1051" s="15"/>
      <c r="AY1051" s="8"/>
    </row>
    <row r="1052" spans="3:51" hidden="1" x14ac:dyDescent="0.25">
      <c r="C1052" s="26" t="str">
        <f>Tools!$C$1</f>
        <v>Example</v>
      </c>
      <c r="D1052" s="27" t="s">
        <v>78</v>
      </c>
      <c r="E1052" s="28">
        <v>2019</v>
      </c>
      <c r="F1052" s="28">
        <f>MATCH(DaybyDay[[#This Row],[RowMonth]],Table3[SummaryMonth],0)</f>
        <v>11</v>
      </c>
      <c r="G1052" s="29">
        <f>MATCH(DaybyDay[[#This Row],[LY-Date]],DaybyDay[Date],0)</f>
        <v>682</v>
      </c>
      <c r="H1052" s="30">
        <f>WEEKDAY(DaybyDay[[#This Row],[Date]])</f>
        <v>3</v>
      </c>
      <c r="I1052" s="31">
        <v>43781</v>
      </c>
      <c r="J1052" s="74">
        <v>18</v>
      </c>
      <c r="K1052" s="32">
        <f>SUMIFS(BudgetSeasonality[365 Seasonality],BudgetSeasonality[MonthAdjustment],DaybyDay[[#This Row],[Date]])*SUMIFS(Budgets[Service-Budget],Budgets[BudgetMonth],DaybyDay[[#This Row],[RowMonth]],Budgets[BudgetYear],DaybyDay[[#This Row],[RowYear]])</f>
        <v>4524.4290336519143</v>
      </c>
      <c r="L1052" s="75">
        <v>3883.3999999999996</v>
      </c>
      <c r="M1052" s="32">
        <f>INDEX(BudgetSeasonality[365 Seasonality],MATCH(DaybyDay[[#This Row],[Date]],BudgetSeasonality[MonthAdjustment],0))*SUMIFS(Budgets[Retail-Budget],Budgets[BudgetMonth],DaybyDay[[#This Row],[RowMonth]],Budgets[BudgetYear],DaybyDay[[#This Row],[RowYear]])</f>
        <v>1608.5323422488484</v>
      </c>
      <c r="N1052" s="75">
        <v>579</v>
      </c>
      <c r="O1052" s="33">
        <f>SUMIFS(DaybyDay[Service-Budgets],DaybyDay[Date],"&gt;="&amp;$C$5,DaybyDay[RowYear],"&gt;="&amp;$C$4,DaybyDay[Date],"&lt;="&amp;DaybyDay[[#This Row],[Date]])</f>
        <v>0</v>
      </c>
      <c r="P1052" s="33">
        <f>SUMIFS(DaybyDay[Retail-Budgets],DaybyDay[Date],"&gt;="&amp;$C$5,DaybyDay[RowYear],"&gt;="&amp;$C$4,DaybyDay[Date],"&lt;="&amp;DaybyDay[[#This Row],[Date]])</f>
        <v>0</v>
      </c>
      <c r="Q1052" s="34">
        <f>SUMIFS(DaybyDay[Service-Actuals],DaybyDay[Date],"&gt;="&amp;$C$5,DaybyDay[RowYear],"&gt;="&amp;$C$4,DaybyDay[Date],"&lt;="&amp;DaybyDay[[#This Row],[Date]])</f>
        <v>0</v>
      </c>
      <c r="R1052" s="34">
        <f>SUMIFS(DaybyDay[Retail-Actuals],DaybyDay[Date],"&gt;="&amp;$C$5,DaybyDay[RowYear],"&gt;="&amp;$C$4,DaybyDay[Date],"&lt;="&amp;DaybyDay[[#This Row],[Date]])</f>
        <v>0</v>
      </c>
      <c r="S1052" s="35">
        <f>SUMIFS(DaybyDay[Service-LY],DaybyDay[Date],"&gt;="&amp;$C$5,DaybyDay[RowYear],"&gt;="&amp;$C$4,DaybyDay[Date],"&lt;="&amp;DaybyDay[[#This Row],[Date]])</f>
        <v>0</v>
      </c>
      <c r="T1052" s="35">
        <f>SUMIFS(DaybyDay[Retail-LY],DaybyDay[Date],"&gt;="&amp;$C$5,DaybyDay[RowYear],"&gt;="&amp;$C$4,DaybyDay[Date],"&lt;="&amp;DaybyDay[[#This Row],[Date]])</f>
        <v>0</v>
      </c>
      <c r="U1052" s="32">
        <f>DaybyDay[[#This Row],[Serv-Bud-RU]]+DaybyDay[[#This Row],[Ret-Bud-RU]]</f>
        <v>0</v>
      </c>
      <c r="V1052" s="32">
        <f>DaybyDay[[#This Row],[Serv-Act-RU]]+DaybyDay[[#This Row],[Ret-Act-RU]]</f>
        <v>0</v>
      </c>
      <c r="W1052" s="36">
        <f>IF(DaybyDay[[#This Row],[_Space]],IFERROR(
((DaybyDay[[#This Row],[Actual-Rollup]]-DaybyDay[[#This Row],[Budget-Rollup]])/DaybyDay[[#This Row],[Budget-Rollup]]),0),"")</f>
        <v>0</v>
      </c>
      <c r="X1052" t="b">
        <f>NOT(AND(ISBLANK(DaybyDay[[#This Row],[Appts]]),ISBLANK(DaybyDay[[#This Row],[Service-Actuals]]),ISBLANK(DaybyDay[[#This Row],[Retail-Actuals]])))</f>
        <v>1</v>
      </c>
      <c r="Y1052" s="36">
        <f>IF(DaybyDay[[#This Row],[_Space]],IFERROR(
((DaybyDay[[#This Row],[Actual-Rollup]]-DaybyDay[[#This Row],[LY-Rollup]])/DaybyDay[[#This Row],[LY-Rollup]]),0),"")</f>
        <v>0</v>
      </c>
      <c r="Z1052"/>
      <c r="AA1052" s="37" t="e">
        <f>IF(DaybyDay[[#This Row],[_Space]],DaybyDay[[#This Row],[Ret-Act-RU]]/DaybyDay[[#This Row],[Serv-Act-RU]],"")</f>
        <v>#DIV/0!</v>
      </c>
      <c r="AB1052" s="50" t="e">
        <f>IF(DaybyDay[[#This Row],[_Space]],DaybyDay[[#This Row],[RETPEN-Act]]/DaybyDay[[#This Row],[RETPEN-Bud]],"")</f>
        <v>#DIV/0!</v>
      </c>
      <c r="AC1052" s="37" t="e">
        <f>IF(DaybyDay[[#This Row],[_Space]],DaybyDay[[#This Row],[Ret-Bud-RU]]/DaybyDay[[#This Row],[Serv-Bud-RU]],"")</f>
        <v>#DIV/0!</v>
      </c>
      <c r="AD1052" s="37" t="e">
        <f>IF(DaybyDay[[#This Row],[_Space]],DaybyDay[[#This Row],[Ret-LY-RU]]/DaybyDay[[#This Row],[Serv-LY-RU]],"")</f>
        <v>#DIV/0!</v>
      </c>
      <c r="AE1052" s="30">
        <f>WEEKDAY(DaybyDay[[#This Row],[LY-Date]])</f>
        <v>3</v>
      </c>
      <c r="AF1052" s="38">
        <f>$E$2+_xlfn.DAYS(DaybyDay[[#This Row],[Date]],minDate)</f>
        <v>43417</v>
      </c>
      <c r="AG1052" s="39" cm="1">
        <f t="array" ref="AG1052">IFERROR(INDEX(DaybyDay[],DaybyDay[[#This Row],[FORM_MATCH_HELPER]],8),"")</f>
        <v>18</v>
      </c>
      <c r="AH1052" s="39" cm="1">
        <f t="array" ref="AH1052">IFERROR(INDEX(DaybyDay[],DaybyDay[[#This Row],[FORM_MATCH_HELPER]],10),"")</f>
        <v>4153.84</v>
      </c>
      <c r="AI1052" s="39" cm="1">
        <f t="array" ref="AI1052">IFERROR(INDEX(DaybyDay[],DaybyDay[[#This Row],[FORM_MATCH_HELPER]],12),"")</f>
        <v>790</v>
      </c>
      <c r="AJ1052" s="32">
        <f>IFERROR(DaybyDay[[#This Row],[Serv-LY-RU]]+DaybyDay[[#This Row],[Ret-LY-RU]],"")</f>
        <v>0</v>
      </c>
      <c r="AK10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2" s="77"/>
      <c r="AM1052" s="40" t="str">
        <f>IF(DaybyDay[[#This Row],[Admin Hours]]&gt;0,DaybyDay[[#This Row],[Admin Hours]]*$AM$2+$AM$3,"")</f>
        <v/>
      </c>
      <c r="AN1052" s="40">
        <f>SUMIFS(DaybyDay[Est-Admin-Payroll],DaybyDay[Date],"&gt;="&amp;$C$5,DaybyDay[RowYear],"&gt;="&amp;$C$4,DaybyDay[Date],"&lt;="&amp;DaybyDay[[#This Row],[Date]])</f>
        <v>0</v>
      </c>
      <c r="AO1052" s="41" t="str">
        <f>IF(AND(DaybyDay[[#This Row],[_Space]],ISNUMBER(DaybyDay[[#This Row],[Admin Hours]])),DaybyDay[[#This Row],[Est-Admin-Payroll]]/(DaybyDay[[#This Row],[Service-Actuals]]+DaybyDay[[#This Row],[Retail-Actuals]]),"")</f>
        <v/>
      </c>
      <c r="AP1052" s="41" t="e">
        <f>DaybyDay[[#This Row],[Estimated-Payroll-Rollup]]/DaybyDay[[#This Row],[Simple-Forecast]]</f>
        <v>#DIV/0!</v>
      </c>
      <c r="AQ10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2" s="77"/>
      <c r="AS1052" s="40" t="str">
        <f>IF(DaybyDay[[#This Row],[Retail Hours]]&gt;0,DaybyDay[[#This Row],[Retail Hours]]*$AS$2,"")</f>
        <v/>
      </c>
      <c r="AT1052" s="40">
        <f>SUMIFS(DaybyDay[Est-Retail-Payroll],DaybyDay[Date],"&gt;="&amp;$C$5,DaybyDay[RowYear],"&gt;="&amp;$C$4,DaybyDay[Date],"&lt;="&amp;DaybyDay[[#This Row],[Date]])</f>
        <v>0</v>
      </c>
      <c r="AU1052" s="82" t="str">
        <f>IF(AND(DaybyDay[[#This Row],[_Space]],ISNUMBER(DaybyDay[[#This Row],[Retail Hours]])),DaybyDay[[#This Row],[Est-Retail-Payroll]]/(DaybyDay[[#This Row],[Retail-Actuals]]),"")</f>
        <v/>
      </c>
      <c r="AV1052" s="82" t="e">
        <f>DaybyDay[[#This Row],[Est-Retail-PayrollRU]]/DaybyDay[[#This Row],[Simple-Forecast-Retail]]</f>
        <v>#DIV/0!</v>
      </c>
      <c r="AW1052" s="8"/>
      <c r="AX1052" s="15"/>
      <c r="AY1052" s="8"/>
    </row>
    <row r="1053" spans="3:51" hidden="1" x14ac:dyDescent="0.25">
      <c r="C1053" s="26" t="str">
        <f>Tools!$C$1</f>
        <v>Example</v>
      </c>
      <c r="D1053" s="27" t="s">
        <v>78</v>
      </c>
      <c r="E1053" s="28">
        <v>2019</v>
      </c>
      <c r="F1053" s="28">
        <f>MATCH(DaybyDay[[#This Row],[RowMonth]],Table3[SummaryMonth],0)</f>
        <v>11</v>
      </c>
      <c r="G1053" s="29">
        <f>MATCH(DaybyDay[[#This Row],[LY-Date]],DaybyDay[Date],0)</f>
        <v>683</v>
      </c>
      <c r="H1053" s="30">
        <f>WEEKDAY(DaybyDay[[#This Row],[Date]])</f>
        <v>4</v>
      </c>
      <c r="I1053" s="31">
        <v>43782</v>
      </c>
      <c r="J1053" s="74">
        <v>13</v>
      </c>
      <c r="K1053" s="32">
        <f>SUMIFS(BudgetSeasonality[365 Seasonality],BudgetSeasonality[MonthAdjustment],DaybyDay[[#This Row],[Date]])*SUMIFS(Budgets[Service-Budget],Budgets[BudgetMonth],DaybyDay[[#This Row],[RowMonth]],Budgets[BudgetYear],DaybyDay[[#This Row],[RowYear]])</f>
        <v>5115.27736006756</v>
      </c>
      <c r="L1053" s="75">
        <v>3218.2</v>
      </c>
      <c r="M1053" s="32">
        <f>INDEX(BudgetSeasonality[365 Seasonality],MATCH(DaybyDay[[#This Row],[Date]],BudgetSeasonality[MonthAdjustment],0))*SUMIFS(Budgets[Retail-Budget],Budgets[BudgetMonth],DaybyDay[[#This Row],[RowMonth]],Budgets[BudgetYear],DaybyDay[[#This Row],[RowYear]])</f>
        <v>1818.591696773866</v>
      </c>
      <c r="N1053" s="75">
        <v>1511.5</v>
      </c>
      <c r="O1053" s="33">
        <f>SUMIFS(DaybyDay[Service-Budgets],DaybyDay[Date],"&gt;="&amp;$C$5,DaybyDay[RowYear],"&gt;="&amp;$C$4,DaybyDay[Date],"&lt;="&amp;DaybyDay[[#This Row],[Date]])</f>
        <v>0</v>
      </c>
      <c r="P1053" s="33">
        <f>SUMIFS(DaybyDay[Retail-Budgets],DaybyDay[Date],"&gt;="&amp;$C$5,DaybyDay[RowYear],"&gt;="&amp;$C$4,DaybyDay[Date],"&lt;="&amp;DaybyDay[[#This Row],[Date]])</f>
        <v>0</v>
      </c>
      <c r="Q1053" s="34">
        <f>SUMIFS(DaybyDay[Service-Actuals],DaybyDay[Date],"&gt;="&amp;$C$5,DaybyDay[RowYear],"&gt;="&amp;$C$4,DaybyDay[Date],"&lt;="&amp;DaybyDay[[#This Row],[Date]])</f>
        <v>0</v>
      </c>
      <c r="R1053" s="34">
        <f>SUMIFS(DaybyDay[Retail-Actuals],DaybyDay[Date],"&gt;="&amp;$C$5,DaybyDay[RowYear],"&gt;="&amp;$C$4,DaybyDay[Date],"&lt;="&amp;DaybyDay[[#This Row],[Date]])</f>
        <v>0</v>
      </c>
      <c r="S1053" s="35">
        <f>SUMIFS(DaybyDay[Service-LY],DaybyDay[Date],"&gt;="&amp;$C$5,DaybyDay[RowYear],"&gt;="&amp;$C$4,DaybyDay[Date],"&lt;="&amp;DaybyDay[[#This Row],[Date]])</f>
        <v>0</v>
      </c>
      <c r="T1053" s="35">
        <f>SUMIFS(DaybyDay[Retail-LY],DaybyDay[Date],"&gt;="&amp;$C$5,DaybyDay[RowYear],"&gt;="&amp;$C$4,DaybyDay[Date],"&lt;="&amp;DaybyDay[[#This Row],[Date]])</f>
        <v>0</v>
      </c>
      <c r="U1053" s="32">
        <f>DaybyDay[[#This Row],[Serv-Bud-RU]]+DaybyDay[[#This Row],[Ret-Bud-RU]]</f>
        <v>0</v>
      </c>
      <c r="V1053" s="32">
        <f>DaybyDay[[#This Row],[Serv-Act-RU]]+DaybyDay[[#This Row],[Ret-Act-RU]]</f>
        <v>0</v>
      </c>
      <c r="W1053" s="36">
        <f>IF(DaybyDay[[#This Row],[_Space]],IFERROR(
((DaybyDay[[#This Row],[Actual-Rollup]]-DaybyDay[[#This Row],[Budget-Rollup]])/DaybyDay[[#This Row],[Budget-Rollup]]),0),"")</f>
        <v>0</v>
      </c>
      <c r="X1053" t="b">
        <f>NOT(AND(ISBLANK(DaybyDay[[#This Row],[Appts]]),ISBLANK(DaybyDay[[#This Row],[Service-Actuals]]),ISBLANK(DaybyDay[[#This Row],[Retail-Actuals]])))</f>
        <v>1</v>
      </c>
      <c r="Y1053" s="36">
        <f>IF(DaybyDay[[#This Row],[_Space]],IFERROR(
((DaybyDay[[#This Row],[Actual-Rollup]]-DaybyDay[[#This Row],[LY-Rollup]])/DaybyDay[[#This Row],[LY-Rollup]]),0),"")</f>
        <v>0</v>
      </c>
      <c r="Z1053"/>
      <c r="AA1053" s="37" t="e">
        <f>IF(DaybyDay[[#This Row],[_Space]],DaybyDay[[#This Row],[Ret-Act-RU]]/DaybyDay[[#This Row],[Serv-Act-RU]],"")</f>
        <v>#DIV/0!</v>
      </c>
      <c r="AB1053" s="50" t="e">
        <f>IF(DaybyDay[[#This Row],[_Space]],DaybyDay[[#This Row],[RETPEN-Act]]/DaybyDay[[#This Row],[RETPEN-Bud]],"")</f>
        <v>#DIV/0!</v>
      </c>
      <c r="AC1053" s="37" t="e">
        <f>IF(DaybyDay[[#This Row],[_Space]],DaybyDay[[#This Row],[Ret-Bud-RU]]/DaybyDay[[#This Row],[Serv-Bud-RU]],"")</f>
        <v>#DIV/0!</v>
      </c>
      <c r="AD1053" s="37" t="e">
        <f>IF(DaybyDay[[#This Row],[_Space]],DaybyDay[[#This Row],[Ret-LY-RU]]/DaybyDay[[#This Row],[Serv-LY-RU]],"")</f>
        <v>#DIV/0!</v>
      </c>
      <c r="AE1053" s="30">
        <f>WEEKDAY(DaybyDay[[#This Row],[LY-Date]])</f>
        <v>4</v>
      </c>
      <c r="AF1053" s="38">
        <f>$E$2+_xlfn.DAYS(DaybyDay[[#This Row],[Date]],minDate)</f>
        <v>43418</v>
      </c>
      <c r="AG1053" s="39" cm="1">
        <f t="array" ref="AG1053">IFERROR(INDEX(DaybyDay[],DaybyDay[[#This Row],[FORM_MATCH_HELPER]],8),"")</f>
        <v>18</v>
      </c>
      <c r="AH1053" s="39" cm="1">
        <f t="array" ref="AH1053">IFERROR(INDEX(DaybyDay[],DaybyDay[[#This Row],[FORM_MATCH_HELPER]],10),"")</f>
        <v>3822</v>
      </c>
      <c r="AI1053" s="39" cm="1">
        <f t="array" ref="AI1053">IFERROR(INDEX(DaybyDay[],DaybyDay[[#This Row],[FORM_MATCH_HELPER]],12),"")</f>
        <v>1928.1</v>
      </c>
      <c r="AJ1053" s="32">
        <f>IFERROR(DaybyDay[[#This Row],[Serv-LY-RU]]+DaybyDay[[#This Row],[Ret-LY-RU]],"")</f>
        <v>0</v>
      </c>
      <c r="AK10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3" s="77"/>
      <c r="AM1053" s="40" t="str">
        <f>IF(DaybyDay[[#This Row],[Admin Hours]]&gt;0,DaybyDay[[#This Row],[Admin Hours]]*$AM$2+$AM$3,"")</f>
        <v/>
      </c>
      <c r="AN1053" s="40">
        <f>SUMIFS(DaybyDay[Est-Admin-Payroll],DaybyDay[Date],"&gt;="&amp;$C$5,DaybyDay[RowYear],"&gt;="&amp;$C$4,DaybyDay[Date],"&lt;="&amp;DaybyDay[[#This Row],[Date]])</f>
        <v>0</v>
      </c>
      <c r="AO1053" s="41" t="str">
        <f>IF(AND(DaybyDay[[#This Row],[_Space]],ISNUMBER(DaybyDay[[#This Row],[Admin Hours]])),DaybyDay[[#This Row],[Est-Admin-Payroll]]/(DaybyDay[[#This Row],[Service-Actuals]]+DaybyDay[[#This Row],[Retail-Actuals]]),"")</f>
        <v/>
      </c>
      <c r="AP1053" s="41" t="e">
        <f>DaybyDay[[#This Row],[Estimated-Payroll-Rollup]]/DaybyDay[[#This Row],[Simple-Forecast]]</f>
        <v>#DIV/0!</v>
      </c>
      <c r="AQ10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3" s="77"/>
      <c r="AS1053" s="40" t="str">
        <f>IF(DaybyDay[[#This Row],[Retail Hours]]&gt;0,DaybyDay[[#This Row],[Retail Hours]]*$AS$2,"")</f>
        <v/>
      </c>
      <c r="AT1053" s="40">
        <f>SUMIFS(DaybyDay[Est-Retail-Payroll],DaybyDay[Date],"&gt;="&amp;$C$5,DaybyDay[RowYear],"&gt;="&amp;$C$4,DaybyDay[Date],"&lt;="&amp;DaybyDay[[#This Row],[Date]])</f>
        <v>0</v>
      </c>
      <c r="AU1053" s="82" t="str">
        <f>IF(AND(DaybyDay[[#This Row],[_Space]],ISNUMBER(DaybyDay[[#This Row],[Retail Hours]])),DaybyDay[[#This Row],[Est-Retail-Payroll]]/(DaybyDay[[#This Row],[Retail-Actuals]]),"")</f>
        <v/>
      </c>
      <c r="AV1053" s="82" t="e">
        <f>DaybyDay[[#This Row],[Est-Retail-PayrollRU]]/DaybyDay[[#This Row],[Simple-Forecast-Retail]]</f>
        <v>#DIV/0!</v>
      </c>
      <c r="AW1053" s="8"/>
      <c r="AX1053" s="15"/>
      <c r="AY1053" s="8"/>
    </row>
    <row r="1054" spans="3:51" hidden="1" x14ac:dyDescent="0.25">
      <c r="C1054" s="26" t="str">
        <f>Tools!$C$1</f>
        <v>Example</v>
      </c>
      <c r="D1054" s="27" t="s">
        <v>78</v>
      </c>
      <c r="E1054" s="28">
        <v>2019</v>
      </c>
      <c r="F1054" s="28">
        <f>MATCH(DaybyDay[[#This Row],[RowMonth]],Table3[SummaryMonth],0)</f>
        <v>11</v>
      </c>
      <c r="G1054" s="29">
        <f>MATCH(DaybyDay[[#This Row],[LY-Date]],DaybyDay[Date],0)</f>
        <v>684</v>
      </c>
      <c r="H1054" s="30">
        <f>WEEKDAY(DaybyDay[[#This Row],[Date]])</f>
        <v>5</v>
      </c>
      <c r="I1054" s="31">
        <v>43783</v>
      </c>
      <c r="J1054" s="74">
        <v>17</v>
      </c>
      <c r="K1054" s="32">
        <f>SUMIFS(BudgetSeasonality[365 Seasonality],BudgetSeasonality[MonthAdjustment],DaybyDay[[#This Row],[Date]])*SUMIFS(Budgets[Service-Budget],Budgets[BudgetMonth],DaybyDay[[#This Row],[RowMonth]],Budgets[BudgetYear],DaybyDay[[#This Row],[RowYear]])</f>
        <v>5214.2574330725747</v>
      </c>
      <c r="L1054" s="75">
        <v>4121.17</v>
      </c>
      <c r="M1054" s="32">
        <f>INDEX(BudgetSeasonality[365 Seasonality],MATCH(DaybyDay[[#This Row],[Date]],BudgetSeasonality[MonthAdjustment],0))*SUMIFS(Budgets[Retail-Budget],Budgets[BudgetMonth],DaybyDay[[#This Row],[RowMonth]],Budgets[BudgetYear],DaybyDay[[#This Row],[RowYear]])</f>
        <v>1853.7812527338608</v>
      </c>
      <c r="N1054" s="75">
        <v>942</v>
      </c>
      <c r="O1054" s="33">
        <f>SUMIFS(DaybyDay[Service-Budgets],DaybyDay[Date],"&gt;="&amp;$C$5,DaybyDay[RowYear],"&gt;="&amp;$C$4,DaybyDay[Date],"&lt;="&amp;DaybyDay[[#This Row],[Date]])</f>
        <v>0</v>
      </c>
      <c r="P1054" s="33">
        <f>SUMIFS(DaybyDay[Retail-Budgets],DaybyDay[Date],"&gt;="&amp;$C$5,DaybyDay[RowYear],"&gt;="&amp;$C$4,DaybyDay[Date],"&lt;="&amp;DaybyDay[[#This Row],[Date]])</f>
        <v>0</v>
      </c>
      <c r="Q1054" s="34">
        <f>SUMIFS(DaybyDay[Service-Actuals],DaybyDay[Date],"&gt;="&amp;$C$5,DaybyDay[RowYear],"&gt;="&amp;$C$4,DaybyDay[Date],"&lt;="&amp;DaybyDay[[#This Row],[Date]])</f>
        <v>0</v>
      </c>
      <c r="R1054" s="34">
        <f>SUMIFS(DaybyDay[Retail-Actuals],DaybyDay[Date],"&gt;="&amp;$C$5,DaybyDay[RowYear],"&gt;="&amp;$C$4,DaybyDay[Date],"&lt;="&amp;DaybyDay[[#This Row],[Date]])</f>
        <v>0</v>
      </c>
      <c r="S1054" s="35">
        <f>SUMIFS(DaybyDay[Service-LY],DaybyDay[Date],"&gt;="&amp;$C$5,DaybyDay[RowYear],"&gt;="&amp;$C$4,DaybyDay[Date],"&lt;="&amp;DaybyDay[[#This Row],[Date]])</f>
        <v>0</v>
      </c>
      <c r="T1054" s="35">
        <f>SUMIFS(DaybyDay[Retail-LY],DaybyDay[Date],"&gt;="&amp;$C$5,DaybyDay[RowYear],"&gt;="&amp;$C$4,DaybyDay[Date],"&lt;="&amp;DaybyDay[[#This Row],[Date]])</f>
        <v>0</v>
      </c>
      <c r="U1054" s="32">
        <f>DaybyDay[[#This Row],[Serv-Bud-RU]]+DaybyDay[[#This Row],[Ret-Bud-RU]]</f>
        <v>0</v>
      </c>
      <c r="V1054" s="32">
        <f>DaybyDay[[#This Row],[Serv-Act-RU]]+DaybyDay[[#This Row],[Ret-Act-RU]]</f>
        <v>0</v>
      </c>
      <c r="W1054" s="36">
        <f>IF(DaybyDay[[#This Row],[_Space]],IFERROR(
((DaybyDay[[#This Row],[Actual-Rollup]]-DaybyDay[[#This Row],[Budget-Rollup]])/DaybyDay[[#This Row],[Budget-Rollup]]),0),"")</f>
        <v>0</v>
      </c>
      <c r="X1054" t="b">
        <f>NOT(AND(ISBLANK(DaybyDay[[#This Row],[Appts]]),ISBLANK(DaybyDay[[#This Row],[Service-Actuals]]),ISBLANK(DaybyDay[[#This Row],[Retail-Actuals]])))</f>
        <v>1</v>
      </c>
      <c r="Y1054" s="36">
        <f>IF(DaybyDay[[#This Row],[_Space]],IFERROR(
((DaybyDay[[#This Row],[Actual-Rollup]]-DaybyDay[[#This Row],[LY-Rollup]])/DaybyDay[[#This Row],[LY-Rollup]]),0),"")</f>
        <v>0</v>
      </c>
      <c r="Z1054"/>
      <c r="AA1054" s="37" t="e">
        <f>IF(DaybyDay[[#This Row],[_Space]],DaybyDay[[#This Row],[Ret-Act-RU]]/DaybyDay[[#This Row],[Serv-Act-RU]],"")</f>
        <v>#DIV/0!</v>
      </c>
      <c r="AB1054" s="50" t="e">
        <f>IF(DaybyDay[[#This Row],[_Space]],DaybyDay[[#This Row],[RETPEN-Act]]/DaybyDay[[#This Row],[RETPEN-Bud]],"")</f>
        <v>#DIV/0!</v>
      </c>
      <c r="AC1054" s="37" t="e">
        <f>IF(DaybyDay[[#This Row],[_Space]],DaybyDay[[#This Row],[Ret-Bud-RU]]/DaybyDay[[#This Row],[Serv-Bud-RU]],"")</f>
        <v>#DIV/0!</v>
      </c>
      <c r="AD1054" s="37" t="e">
        <f>IF(DaybyDay[[#This Row],[_Space]],DaybyDay[[#This Row],[Ret-LY-RU]]/DaybyDay[[#This Row],[Serv-LY-RU]],"")</f>
        <v>#DIV/0!</v>
      </c>
      <c r="AE1054" s="30">
        <f>WEEKDAY(DaybyDay[[#This Row],[LY-Date]])</f>
        <v>5</v>
      </c>
      <c r="AF1054" s="38">
        <f>$E$2+_xlfn.DAYS(DaybyDay[[#This Row],[Date]],minDate)</f>
        <v>43419</v>
      </c>
      <c r="AG1054" s="39" cm="1">
        <f t="array" ref="AG1054">IFERROR(INDEX(DaybyDay[],DaybyDay[[#This Row],[FORM_MATCH_HELPER]],8),"")</f>
        <v>20</v>
      </c>
      <c r="AH1054" s="39" cm="1">
        <f t="array" ref="AH1054">IFERROR(INDEX(DaybyDay[],DaybyDay[[#This Row],[FORM_MATCH_HELPER]],10),"")</f>
        <v>4692</v>
      </c>
      <c r="AI1054" s="39" cm="1">
        <f t="array" ref="AI1054">IFERROR(INDEX(DaybyDay[],DaybyDay[[#This Row],[FORM_MATCH_HELPER]],12),"")</f>
        <v>4683.2</v>
      </c>
      <c r="AJ1054" s="32">
        <f>IFERROR(DaybyDay[[#This Row],[Serv-LY-RU]]+DaybyDay[[#This Row],[Ret-LY-RU]],"")</f>
        <v>0</v>
      </c>
      <c r="AK10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4" s="77"/>
      <c r="AM1054" s="40" t="str">
        <f>IF(DaybyDay[[#This Row],[Admin Hours]]&gt;0,DaybyDay[[#This Row],[Admin Hours]]*$AM$2+$AM$3,"")</f>
        <v/>
      </c>
      <c r="AN1054" s="40">
        <f>SUMIFS(DaybyDay[Est-Admin-Payroll],DaybyDay[Date],"&gt;="&amp;$C$5,DaybyDay[RowYear],"&gt;="&amp;$C$4,DaybyDay[Date],"&lt;="&amp;DaybyDay[[#This Row],[Date]])</f>
        <v>0</v>
      </c>
      <c r="AO1054" s="41" t="str">
        <f>IF(AND(DaybyDay[[#This Row],[_Space]],ISNUMBER(DaybyDay[[#This Row],[Admin Hours]])),DaybyDay[[#This Row],[Est-Admin-Payroll]]/(DaybyDay[[#This Row],[Service-Actuals]]+DaybyDay[[#This Row],[Retail-Actuals]]),"")</f>
        <v/>
      </c>
      <c r="AP1054" s="41" t="e">
        <f>DaybyDay[[#This Row],[Estimated-Payroll-Rollup]]/DaybyDay[[#This Row],[Simple-Forecast]]</f>
        <v>#DIV/0!</v>
      </c>
      <c r="AQ10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4" s="77"/>
      <c r="AS1054" s="40" t="str">
        <f>IF(DaybyDay[[#This Row],[Retail Hours]]&gt;0,DaybyDay[[#This Row],[Retail Hours]]*$AS$2,"")</f>
        <v/>
      </c>
      <c r="AT1054" s="40">
        <f>SUMIFS(DaybyDay[Est-Retail-Payroll],DaybyDay[Date],"&gt;="&amp;$C$5,DaybyDay[RowYear],"&gt;="&amp;$C$4,DaybyDay[Date],"&lt;="&amp;DaybyDay[[#This Row],[Date]])</f>
        <v>0</v>
      </c>
      <c r="AU1054" s="82" t="str">
        <f>IF(AND(DaybyDay[[#This Row],[_Space]],ISNUMBER(DaybyDay[[#This Row],[Retail Hours]])),DaybyDay[[#This Row],[Est-Retail-Payroll]]/(DaybyDay[[#This Row],[Retail-Actuals]]),"")</f>
        <v/>
      </c>
      <c r="AV1054" s="82" t="e">
        <f>DaybyDay[[#This Row],[Est-Retail-PayrollRU]]/DaybyDay[[#This Row],[Simple-Forecast-Retail]]</f>
        <v>#DIV/0!</v>
      </c>
      <c r="AW1054" s="8"/>
      <c r="AX1054" s="15"/>
      <c r="AY1054" s="8"/>
    </row>
    <row r="1055" spans="3:51" hidden="1" x14ac:dyDescent="0.25">
      <c r="C1055" s="26" t="str">
        <f>Tools!$C$1</f>
        <v>Example</v>
      </c>
      <c r="D1055" s="27" t="s">
        <v>78</v>
      </c>
      <c r="E1055" s="28">
        <v>2019</v>
      </c>
      <c r="F1055" s="28">
        <f>MATCH(DaybyDay[[#This Row],[RowMonth]],Table3[SummaryMonth],0)</f>
        <v>11</v>
      </c>
      <c r="G1055" s="29">
        <f>MATCH(DaybyDay[[#This Row],[LY-Date]],DaybyDay[Date],0)</f>
        <v>685</v>
      </c>
      <c r="H1055" s="30">
        <f>WEEKDAY(DaybyDay[[#This Row],[Date]])</f>
        <v>6</v>
      </c>
      <c r="I1055" s="31">
        <v>43784</v>
      </c>
      <c r="J1055" s="74">
        <v>38</v>
      </c>
      <c r="K1055" s="32">
        <f>SUMIFS(BudgetSeasonality[365 Seasonality],BudgetSeasonality[MonthAdjustment],DaybyDay[[#This Row],[Date]])*SUMIFS(Budgets[Service-Budget],Budgets[BudgetMonth],DaybyDay[[#This Row],[RowMonth]],Budgets[BudgetYear],DaybyDay[[#This Row],[RowYear]])</f>
        <v>6321.7314421835317</v>
      </c>
      <c r="L1055" s="75">
        <v>7002.57</v>
      </c>
      <c r="M1055" s="32">
        <f>INDEX(BudgetSeasonality[365 Seasonality],MATCH(DaybyDay[[#This Row],[Date]],BudgetSeasonality[MonthAdjustment],0))*SUMIFS(Budgets[Retail-Budget],Budgets[BudgetMonth],DaybyDay[[#This Row],[RowMonth]],Budgets[BudgetYear],DaybyDay[[#This Row],[RowYear]])</f>
        <v>2247.512207204617</v>
      </c>
      <c r="N1055" s="75">
        <v>2772.25</v>
      </c>
      <c r="O1055" s="33">
        <f>SUMIFS(DaybyDay[Service-Budgets],DaybyDay[Date],"&gt;="&amp;$C$5,DaybyDay[RowYear],"&gt;="&amp;$C$4,DaybyDay[Date],"&lt;="&amp;DaybyDay[[#This Row],[Date]])</f>
        <v>0</v>
      </c>
      <c r="P1055" s="33">
        <f>SUMIFS(DaybyDay[Retail-Budgets],DaybyDay[Date],"&gt;="&amp;$C$5,DaybyDay[RowYear],"&gt;="&amp;$C$4,DaybyDay[Date],"&lt;="&amp;DaybyDay[[#This Row],[Date]])</f>
        <v>0</v>
      </c>
      <c r="Q1055" s="34">
        <f>SUMIFS(DaybyDay[Service-Actuals],DaybyDay[Date],"&gt;="&amp;$C$5,DaybyDay[RowYear],"&gt;="&amp;$C$4,DaybyDay[Date],"&lt;="&amp;DaybyDay[[#This Row],[Date]])</f>
        <v>0</v>
      </c>
      <c r="R1055" s="34">
        <f>SUMIFS(DaybyDay[Retail-Actuals],DaybyDay[Date],"&gt;="&amp;$C$5,DaybyDay[RowYear],"&gt;="&amp;$C$4,DaybyDay[Date],"&lt;="&amp;DaybyDay[[#This Row],[Date]])</f>
        <v>0</v>
      </c>
      <c r="S1055" s="35">
        <f>SUMIFS(DaybyDay[Service-LY],DaybyDay[Date],"&gt;="&amp;$C$5,DaybyDay[RowYear],"&gt;="&amp;$C$4,DaybyDay[Date],"&lt;="&amp;DaybyDay[[#This Row],[Date]])</f>
        <v>0</v>
      </c>
      <c r="T1055" s="35">
        <f>SUMIFS(DaybyDay[Retail-LY],DaybyDay[Date],"&gt;="&amp;$C$5,DaybyDay[RowYear],"&gt;="&amp;$C$4,DaybyDay[Date],"&lt;="&amp;DaybyDay[[#This Row],[Date]])</f>
        <v>0</v>
      </c>
      <c r="U1055" s="32">
        <f>DaybyDay[[#This Row],[Serv-Bud-RU]]+DaybyDay[[#This Row],[Ret-Bud-RU]]</f>
        <v>0</v>
      </c>
      <c r="V1055" s="32">
        <f>DaybyDay[[#This Row],[Serv-Act-RU]]+DaybyDay[[#This Row],[Ret-Act-RU]]</f>
        <v>0</v>
      </c>
      <c r="W1055" s="36">
        <f>IF(DaybyDay[[#This Row],[_Space]],IFERROR(
((DaybyDay[[#This Row],[Actual-Rollup]]-DaybyDay[[#This Row],[Budget-Rollup]])/DaybyDay[[#This Row],[Budget-Rollup]]),0),"")</f>
        <v>0</v>
      </c>
      <c r="X1055" t="b">
        <f>NOT(AND(ISBLANK(DaybyDay[[#This Row],[Appts]]),ISBLANK(DaybyDay[[#This Row],[Service-Actuals]]),ISBLANK(DaybyDay[[#This Row],[Retail-Actuals]])))</f>
        <v>1</v>
      </c>
      <c r="Y1055" s="36">
        <f>IF(DaybyDay[[#This Row],[_Space]],IFERROR(
((DaybyDay[[#This Row],[Actual-Rollup]]-DaybyDay[[#This Row],[LY-Rollup]])/DaybyDay[[#This Row],[LY-Rollup]]),0),"")</f>
        <v>0</v>
      </c>
      <c r="Z1055"/>
      <c r="AA1055" s="37" t="e">
        <f>IF(DaybyDay[[#This Row],[_Space]],DaybyDay[[#This Row],[Ret-Act-RU]]/DaybyDay[[#This Row],[Serv-Act-RU]],"")</f>
        <v>#DIV/0!</v>
      </c>
      <c r="AB1055" s="50" t="e">
        <f>IF(DaybyDay[[#This Row],[_Space]],DaybyDay[[#This Row],[RETPEN-Act]]/DaybyDay[[#This Row],[RETPEN-Bud]],"")</f>
        <v>#DIV/0!</v>
      </c>
      <c r="AC1055" s="37" t="e">
        <f>IF(DaybyDay[[#This Row],[_Space]],DaybyDay[[#This Row],[Ret-Bud-RU]]/DaybyDay[[#This Row],[Serv-Bud-RU]],"")</f>
        <v>#DIV/0!</v>
      </c>
      <c r="AD1055" s="37" t="e">
        <f>IF(DaybyDay[[#This Row],[_Space]],DaybyDay[[#This Row],[Ret-LY-RU]]/DaybyDay[[#This Row],[Serv-LY-RU]],"")</f>
        <v>#DIV/0!</v>
      </c>
      <c r="AE1055" s="30">
        <f>WEEKDAY(DaybyDay[[#This Row],[LY-Date]])</f>
        <v>6</v>
      </c>
      <c r="AF1055" s="38">
        <f>$E$2+_xlfn.DAYS(DaybyDay[[#This Row],[Date]],minDate)</f>
        <v>43420</v>
      </c>
      <c r="AG1055" s="39" cm="1">
        <f t="array" ref="AG1055">IFERROR(INDEX(DaybyDay[],DaybyDay[[#This Row],[FORM_MATCH_HELPER]],8),"")</f>
        <v>24</v>
      </c>
      <c r="AH1055" s="39" cm="1">
        <f t="array" ref="AH1055">IFERROR(INDEX(DaybyDay[],DaybyDay[[#This Row],[FORM_MATCH_HELPER]],10),"")</f>
        <v>5653.75</v>
      </c>
      <c r="AI1055" s="39" cm="1">
        <f t="array" ref="AI1055">IFERROR(INDEX(DaybyDay[],DaybyDay[[#This Row],[FORM_MATCH_HELPER]],12),"")</f>
        <v>1865.4</v>
      </c>
      <c r="AJ1055" s="32">
        <f>IFERROR(DaybyDay[[#This Row],[Serv-LY-RU]]+DaybyDay[[#This Row],[Ret-LY-RU]],"")</f>
        <v>0</v>
      </c>
      <c r="AK10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5" s="77"/>
      <c r="AM1055" s="40" t="str">
        <f>IF(DaybyDay[[#This Row],[Admin Hours]]&gt;0,DaybyDay[[#This Row],[Admin Hours]]*$AM$2+$AM$3,"")</f>
        <v/>
      </c>
      <c r="AN1055" s="40">
        <f>SUMIFS(DaybyDay[Est-Admin-Payroll],DaybyDay[Date],"&gt;="&amp;$C$5,DaybyDay[RowYear],"&gt;="&amp;$C$4,DaybyDay[Date],"&lt;="&amp;DaybyDay[[#This Row],[Date]])</f>
        <v>0</v>
      </c>
      <c r="AO1055" s="41" t="str">
        <f>IF(AND(DaybyDay[[#This Row],[_Space]],ISNUMBER(DaybyDay[[#This Row],[Admin Hours]])),DaybyDay[[#This Row],[Est-Admin-Payroll]]/(DaybyDay[[#This Row],[Service-Actuals]]+DaybyDay[[#This Row],[Retail-Actuals]]),"")</f>
        <v/>
      </c>
      <c r="AP1055" s="41" t="e">
        <f>DaybyDay[[#This Row],[Estimated-Payroll-Rollup]]/DaybyDay[[#This Row],[Simple-Forecast]]</f>
        <v>#DIV/0!</v>
      </c>
      <c r="AQ10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5" s="77"/>
      <c r="AS1055" s="40" t="str">
        <f>IF(DaybyDay[[#This Row],[Retail Hours]]&gt;0,DaybyDay[[#This Row],[Retail Hours]]*$AS$2,"")</f>
        <v/>
      </c>
      <c r="AT1055" s="40">
        <f>SUMIFS(DaybyDay[Est-Retail-Payroll],DaybyDay[Date],"&gt;="&amp;$C$5,DaybyDay[RowYear],"&gt;="&amp;$C$4,DaybyDay[Date],"&lt;="&amp;DaybyDay[[#This Row],[Date]])</f>
        <v>0</v>
      </c>
      <c r="AU1055" s="82" t="str">
        <f>IF(AND(DaybyDay[[#This Row],[_Space]],ISNUMBER(DaybyDay[[#This Row],[Retail Hours]])),DaybyDay[[#This Row],[Est-Retail-Payroll]]/(DaybyDay[[#This Row],[Retail-Actuals]]),"")</f>
        <v/>
      </c>
      <c r="AV1055" s="82" t="e">
        <f>DaybyDay[[#This Row],[Est-Retail-PayrollRU]]/DaybyDay[[#This Row],[Simple-Forecast-Retail]]</f>
        <v>#DIV/0!</v>
      </c>
      <c r="AW1055" s="8"/>
      <c r="AX1055" s="15"/>
      <c r="AY1055" s="8"/>
    </row>
    <row r="1056" spans="3:51" hidden="1" x14ac:dyDescent="0.25">
      <c r="C1056" s="26" t="str">
        <f>Tools!$C$1</f>
        <v>Example</v>
      </c>
      <c r="D1056" s="27" t="s">
        <v>78</v>
      </c>
      <c r="E1056" s="28">
        <v>2019</v>
      </c>
      <c r="F1056" s="28">
        <f>MATCH(DaybyDay[[#This Row],[RowMonth]],Table3[SummaryMonth],0)</f>
        <v>11</v>
      </c>
      <c r="G1056" s="29">
        <f>MATCH(DaybyDay[[#This Row],[LY-Date]],DaybyDay[Date],0)</f>
        <v>686</v>
      </c>
      <c r="H1056" s="30">
        <f>WEEKDAY(DaybyDay[[#This Row],[Date]])</f>
        <v>7</v>
      </c>
      <c r="I1056" s="31">
        <v>43785</v>
      </c>
      <c r="J1056" s="74">
        <v>36</v>
      </c>
      <c r="K1056" s="32">
        <f>SUMIFS(BudgetSeasonality[365 Seasonality],BudgetSeasonality[MonthAdjustment],DaybyDay[[#This Row],[Date]])*SUMIFS(Budgets[Service-Budget],Budgets[BudgetMonth],DaybyDay[[#This Row],[RowMonth]],Budgets[BudgetYear],DaybyDay[[#This Row],[RowYear]])</f>
        <v>8698.707164355219</v>
      </c>
      <c r="L1056" s="75">
        <v>9953.4</v>
      </c>
      <c r="M1056" s="32">
        <f>INDEX(BudgetSeasonality[365 Seasonality],MATCH(DaybyDay[[#This Row],[Date]],BudgetSeasonality[MonthAdjustment],0))*SUMIFS(Budgets[Retail-Budget],Budgets[BudgetMonth],DaybyDay[[#This Row],[RowMonth]],Budgets[BudgetYear],DaybyDay[[#This Row],[RowYear]])</f>
        <v>3092.5784680334145</v>
      </c>
      <c r="N1056" s="75">
        <v>1423</v>
      </c>
      <c r="O1056" s="33">
        <f>SUMIFS(DaybyDay[Service-Budgets],DaybyDay[Date],"&gt;="&amp;$C$5,DaybyDay[RowYear],"&gt;="&amp;$C$4,DaybyDay[Date],"&lt;="&amp;DaybyDay[[#This Row],[Date]])</f>
        <v>0</v>
      </c>
      <c r="P1056" s="33">
        <f>SUMIFS(DaybyDay[Retail-Budgets],DaybyDay[Date],"&gt;="&amp;$C$5,DaybyDay[RowYear],"&gt;="&amp;$C$4,DaybyDay[Date],"&lt;="&amp;DaybyDay[[#This Row],[Date]])</f>
        <v>0</v>
      </c>
      <c r="Q1056" s="34">
        <f>SUMIFS(DaybyDay[Service-Actuals],DaybyDay[Date],"&gt;="&amp;$C$5,DaybyDay[RowYear],"&gt;="&amp;$C$4,DaybyDay[Date],"&lt;="&amp;DaybyDay[[#This Row],[Date]])</f>
        <v>0</v>
      </c>
      <c r="R1056" s="34">
        <f>SUMIFS(DaybyDay[Retail-Actuals],DaybyDay[Date],"&gt;="&amp;$C$5,DaybyDay[RowYear],"&gt;="&amp;$C$4,DaybyDay[Date],"&lt;="&amp;DaybyDay[[#This Row],[Date]])</f>
        <v>0</v>
      </c>
      <c r="S1056" s="35">
        <f>SUMIFS(DaybyDay[Service-LY],DaybyDay[Date],"&gt;="&amp;$C$5,DaybyDay[RowYear],"&gt;="&amp;$C$4,DaybyDay[Date],"&lt;="&amp;DaybyDay[[#This Row],[Date]])</f>
        <v>0</v>
      </c>
      <c r="T1056" s="35">
        <f>SUMIFS(DaybyDay[Retail-LY],DaybyDay[Date],"&gt;="&amp;$C$5,DaybyDay[RowYear],"&gt;="&amp;$C$4,DaybyDay[Date],"&lt;="&amp;DaybyDay[[#This Row],[Date]])</f>
        <v>0</v>
      </c>
      <c r="U1056" s="32">
        <f>DaybyDay[[#This Row],[Serv-Bud-RU]]+DaybyDay[[#This Row],[Ret-Bud-RU]]</f>
        <v>0</v>
      </c>
      <c r="V1056" s="32">
        <f>DaybyDay[[#This Row],[Serv-Act-RU]]+DaybyDay[[#This Row],[Ret-Act-RU]]</f>
        <v>0</v>
      </c>
      <c r="W1056" s="36">
        <f>IF(DaybyDay[[#This Row],[_Space]],IFERROR(
((DaybyDay[[#This Row],[Actual-Rollup]]-DaybyDay[[#This Row],[Budget-Rollup]])/DaybyDay[[#This Row],[Budget-Rollup]]),0),"")</f>
        <v>0</v>
      </c>
      <c r="X1056" t="b">
        <f>NOT(AND(ISBLANK(DaybyDay[[#This Row],[Appts]]),ISBLANK(DaybyDay[[#This Row],[Service-Actuals]]),ISBLANK(DaybyDay[[#This Row],[Retail-Actuals]])))</f>
        <v>1</v>
      </c>
      <c r="Y1056" s="36">
        <f>IF(DaybyDay[[#This Row],[_Space]],IFERROR(
((DaybyDay[[#This Row],[Actual-Rollup]]-DaybyDay[[#This Row],[LY-Rollup]])/DaybyDay[[#This Row],[LY-Rollup]]),0),"")</f>
        <v>0</v>
      </c>
      <c r="Z1056"/>
      <c r="AA1056" s="37" t="e">
        <f>IF(DaybyDay[[#This Row],[_Space]],DaybyDay[[#This Row],[Ret-Act-RU]]/DaybyDay[[#This Row],[Serv-Act-RU]],"")</f>
        <v>#DIV/0!</v>
      </c>
      <c r="AB1056" s="50" t="e">
        <f>IF(DaybyDay[[#This Row],[_Space]],DaybyDay[[#This Row],[RETPEN-Act]]/DaybyDay[[#This Row],[RETPEN-Bud]],"")</f>
        <v>#DIV/0!</v>
      </c>
      <c r="AC1056" s="37" t="e">
        <f>IF(DaybyDay[[#This Row],[_Space]],DaybyDay[[#This Row],[Ret-Bud-RU]]/DaybyDay[[#This Row],[Serv-Bud-RU]],"")</f>
        <v>#DIV/0!</v>
      </c>
      <c r="AD1056" s="37" t="e">
        <f>IF(DaybyDay[[#This Row],[_Space]],DaybyDay[[#This Row],[Ret-LY-RU]]/DaybyDay[[#This Row],[Serv-LY-RU]],"")</f>
        <v>#DIV/0!</v>
      </c>
      <c r="AE1056" s="30">
        <f>WEEKDAY(DaybyDay[[#This Row],[LY-Date]])</f>
        <v>7</v>
      </c>
      <c r="AF1056" s="38">
        <f>$E$2+_xlfn.DAYS(DaybyDay[[#This Row],[Date]],minDate)</f>
        <v>43421</v>
      </c>
      <c r="AG1056" s="39" cm="1">
        <f t="array" ref="AG1056">IFERROR(INDEX(DaybyDay[],DaybyDay[[#This Row],[FORM_MATCH_HELPER]],8),"")</f>
        <v>33</v>
      </c>
      <c r="AH1056" s="39" cm="1">
        <f t="array" ref="AH1056">IFERROR(INDEX(DaybyDay[],DaybyDay[[#This Row],[FORM_MATCH_HELPER]],10),"")</f>
        <v>8560</v>
      </c>
      <c r="AI1056" s="39" cm="1">
        <f t="array" ref="AI1056">IFERROR(INDEX(DaybyDay[],DaybyDay[[#This Row],[FORM_MATCH_HELPER]],12),"")</f>
        <v>1400.4</v>
      </c>
      <c r="AJ1056" s="32">
        <f>IFERROR(DaybyDay[[#This Row],[Serv-LY-RU]]+DaybyDay[[#This Row],[Ret-LY-RU]],"")</f>
        <v>0</v>
      </c>
      <c r="AK10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6" s="77"/>
      <c r="AM1056" s="40" t="str">
        <f>IF(DaybyDay[[#This Row],[Admin Hours]]&gt;0,DaybyDay[[#This Row],[Admin Hours]]*$AM$2+$AM$3,"")</f>
        <v/>
      </c>
      <c r="AN1056" s="40">
        <f>SUMIFS(DaybyDay[Est-Admin-Payroll],DaybyDay[Date],"&gt;="&amp;$C$5,DaybyDay[RowYear],"&gt;="&amp;$C$4,DaybyDay[Date],"&lt;="&amp;DaybyDay[[#This Row],[Date]])</f>
        <v>0</v>
      </c>
      <c r="AO1056" s="41" t="str">
        <f>IF(AND(DaybyDay[[#This Row],[_Space]],ISNUMBER(DaybyDay[[#This Row],[Admin Hours]])),DaybyDay[[#This Row],[Est-Admin-Payroll]]/(DaybyDay[[#This Row],[Service-Actuals]]+DaybyDay[[#This Row],[Retail-Actuals]]),"")</f>
        <v/>
      </c>
      <c r="AP1056" s="41" t="e">
        <f>DaybyDay[[#This Row],[Estimated-Payroll-Rollup]]/DaybyDay[[#This Row],[Simple-Forecast]]</f>
        <v>#DIV/0!</v>
      </c>
      <c r="AQ10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6" s="77"/>
      <c r="AS1056" s="40" t="str">
        <f>IF(DaybyDay[[#This Row],[Retail Hours]]&gt;0,DaybyDay[[#This Row],[Retail Hours]]*$AS$2,"")</f>
        <v/>
      </c>
      <c r="AT1056" s="40">
        <f>SUMIFS(DaybyDay[Est-Retail-Payroll],DaybyDay[Date],"&gt;="&amp;$C$5,DaybyDay[RowYear],"&gt;="&amp;$C$4,DaybyDay[Date],"&lt;="&amp;DaybyDay[[#This Row],[Date]])</f>
        <v>0</v>
      </c>
      <c r="AU1056" s="82" t="str">
        <f>IF(AND(DaybyDay[[#This Row],[_Space]],ISNUMBER(DaybyDay[[#This Row],[Retail Hours]])),DaybyDay[[#This Row],[Est-Retail-Payroll]]/(DaybyDay[[#This Row],[Retail-Actuals]]),"")</f>
        <v/>
      </c>
      <c r="AV1056" s="82" t="e">
        <f>DaybyDay[[#This Row],[Est-Retail-PayrollRU]]/DaybyDay[[#This Row],[Simple-Forecast-Retail]]</f>
        <v>#DIV/0!</v>
      </c>
      <c r="AW1056" s="8"/>
      <c r="AX1056" s="15"/>
      <c r="AY1056" s="8"/>
    </row>
    <row r="1057" spans="3:51" hidden="1" x14ac:dyDescent="0.25">
      <c r="C1057" s="26" t="str">
        <f>Tools!$C$1</f>
        <v>Example</v>
      </c>
      <c r="D1057" s="27" t="s">
        <v>78</v>
      </c>
      <c r="E1057" s="28">
        <v>2019</v>
      </c>
      <c r="F1057" s="28">
        <f>MATCH(DaybyDay[[#This Row],[RowMonth]],Table3[SummaryMonth],0)</f>
        <v>11</v>
      </c>
      <c r="G1057" s="29">
        <f>MATCH(DaybyDay[[#This Row],[LY-Date]],DaybyDay[Date],0)</f>
        <v>687</v>
      </c>
      <c r="H1057" s="30">
        <f>WEEKDAY(DaybyDay[[#This Row],[Date]])</f>
        <v>1</v>
      </c>
      <c r="I1057" s="31">
        <v>43786</v>
      </c>
      <c r="J1057" s="74">
        <v>31</v>
      </c>
      <c r="K1057" s="32">
        <f>SUMIFS(BudgetSeasonality[365 Seasonality],BudgetSeasonality[MonthAdjustment],DaybyDay[[#This Row],[Date]])*SUMIFS(Budgets[Service-Budget],Budgets[BudgetMonth],DaybyDay[[#This Row],[RowMonth]],Budgets[BudgetYear],DaybyDay[[#This Row],[RowYear]])</f>
        <v>6877.5298582967162</v>
      </c>
      <c r="L1057" s="75">
        <v>6890.7999999999993</v>
      </c>
      <c r="M1057" s="32">
        <f>INDEX(BudgetSeasonality[365 Seasonality],MATCH(DaybyDay[[#This Row],[Date]],BudgetSeasonality[MonthAdjustment],0))*SUMIFS(Budgets[Retail-Budget],Budgets[BudgetMonth],DaybyDay[[#This Row],[RowMonth]],Budgets[BudgetYear],DaybyDay[[#This Row],[RowYear]])</f>
        <v>2445.1105608176758</v>
      </c>
      <c r="N1057" s="75">
        <v>5501.5</v>
      </c>
      <c r="O1057" s="33">
        <f>SUMIFS(DaybyDay[Service-Budgets],DaybyDay[Date],"&gt;="&amp;$C$5,DaybyDay[RowYear],"&gt;="&amp;$C$4,DaybyDay[Date],"&lt;="&amp;DaybyDay[[#This Row],[Date]])</f>
        <v>0</v>
      </c>
      <c r="P1057" s="33">
        <f>SUMIFS(DaybyDay[Retail-Budgets],DaybyDay[Date],"&gt;="&amp;$C$5,DaybyDay[RowYear],"&gt;="&amp;$C$4,DaybyDay[Date],"&lt;="&amp;DaybyDay[[#This Row],[Date]])</f>
        <v>0</v>
      </c>
      <c r="Q1057" s="34">
        <f>SUMIFS(DaybyDay[Service-Actuals],DaybyDay[Date],"&gt;="&amp;$C$5,DaybyDay[RowYear],"&gt;="&amp;$C$4,DaybyDay[Date],"&lt;="&amp;DaybyDay[[#This Row],[Date]])</f>
        <v>0</v>
      </c>
      <c r="R1057" s="34">
        <f>SUMIFS(DaybyDay[Retail-Actuals],DaybyDay[Date],"&gt;="&amp;$C$5,DaybyDay[RowYear],"&gt;="&amp;$C$4,DaybyDay[Date],"&lt;="&amp;DaybyDay[[#This Row],[Date]])</f>
        <v>0</v>
      </c>
      <c r="S1057" s="35">
        <f>SUMIFS(DaybyDay[Service-LY],DaybyDay[Date],"&gt;="&amp;$C$5,DaybyDay[RowYear],"&gt;="&amp;$C$4,DaybyDay[Date],"&lt;="&amp;DaybyDay[[#This Row],[Date]])</f>
        <v>0</v>
      </c>
      <c r="T1057" s="35">
        <f>SUMIFS(DaybyDay[Retail-LY],DaybyDay[Date],"&gt;="&amp;$C$5,DaybyDay[RowYear],"&gt;="&amp;$C$4,DaybyDay[Date],"&lt;="&amp;DaybyDay[[#This Row],[Date]])</f>
        <v>0</v>
      </c>
      <c r="U1057" s="32">
        <f>DaybyDay[[#This Row],[Serv-Bud-RU]]+DaybyDay[[#This Row],[Ret-Bud-RU]]</f>
        <v>0</v>
      </c>
      <c r="V1057" s="32">
        <f>DaybyDay[[#This Row],[Serv-Act-RU]]+DaybyDay[[#This Row],[Ret-Act-RU]]</f>
        <v>0</v>
      </c>
      <c r="W1057" s="36">
        <f>IF(DaybyDay[[#This Row],[_Space]],IFERROR(
((DaybyDay[[#This Row],[Actual-Rollup]]-DaybyDay[[#This Row],[Budget-Rollup]])/DaybyDay[[#This Row],[Budget-Rollup]]),0),"")</f>
        <v>0</v>
      </c>
      <c r="X1057" t="b">
        <f>NOT(AND(ISBLANK(DaybyDay[[#This Row],[Appts]]),ISBLANK(DaybyDay[[#This Row],[Service-Actuals]]),ISBLANK(DaybyDay[[#This Row],[Retail-Actuals]])))</f>
        <v>1</v>
      </c>
      <c r="Y1057" s="36">
        <f>IF(DaybyDay[[#This Row],[_Space]],IFERROR(
((DaybyDay[[#This Row],[Actual-Rollup]]-DaybyDay[[#This Row],[LY-Rollup]])/DaybyDay[[#This Row],[LY-Rollup]]),0),"")</f>
        <v>0</v>
      </c>
      <c r="Z1057"/>
      <c r="AA1057" s="37" t="e">
        <f>IF(DaybyDay[[#This Row],[_Space]],DaybyDay[[#This Row],[Ret-Act-RU]]/DaybyDay[[#This Row],[Serv-Act-RU]],"")</f>
        <v>#DIV/0!</v>
      </c>
      <c r="AB1057" s="50" t="e">
        <f>IF(DaybyDay[[#This Row],[_Space]],DaybyDay[[#This Row],[RETPEN-Act]]/DaybyDay[[#This Row],[RETPEN-Bud]],"")</f>
        <v>#DIV/0!</v>
      </c>
      <c r="AC1057" s="37" t="e">
        <f>IF(DaybyDay[[#This Row],[_Space]],DaybyDay[[#This Row],[Ret-Bud-RU]]/DaybyDay[[#This Row],[Serv-Bud-RU]],"")</f>
        <v>#DIV/0!</v>
      </c>
      <c r="AD1057" s="37" t="e">
        <f>IF(DaybyDay[[#This Row],[_Space]],DaybyDay[[#This Row],[Ret-LY-RU]]/DaybyDay[[#This Row],[Serv-LY-RU]],"")</f>
        <v>#DIV/0!</v>
      </c>
      <c r="AE1057" s="30">
        <f>WEEKDAY(DaybyDay[[#This Row],[LY-Date]])</f>
        <v>1</v>
      </c>
      <c r="AF1057" s="38">
        <f>$E$2+_xlfn.DAYS(DaybyDay[[#This Row],[Date]],minDate)</f>
        <v>43422</v>
      </c>
      <c r="AG1057" s="39" cm="1">
        <f t="array" ref="AG1057">IFERROR(INDEX(DaybyDay[],DaybyDay[[#This Row],[FORM_MATCH_HELPER]],8),"")</f>
        <v>32</v>
      </c>
      <c r="AH1057" s="39" cm="1">
        <f t="array" ref="AH1057">IFERROR(INDEX(DaybyDay[],DaybyDay[[#This Row],[FORM_MATCH_HELPER]],10),"")</f>
        <v>7118.88</v>
      </c>
      <c r="AI1057" s="39" cm="1">
        <f t="array" ref="AI1057">IFERROR(INDEX(DaybyDay[],DaybyDay[[#This Row],[FORM_MATCH_HELPER]],12),"")</f>
        <v>442.8</v>
      </c>
      <c r="AJ1057" s="32">
        <f>IFERROR(DaybyDay[[#This Row],[Serv-LY-RU]]+DaybyDay[[#This Row],[Ret-LY-RU]],"")</f>
        <v>0</v>
      </c>
      <c r="AK10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7" s="77"/>
      <c r="AM1057" s="40" t="str">
        <f>IF(DaybyDay[[#This Row],[Admin Hours]]&gt;0,DaybyDay[[#This Row],[Admin Hours]]*$AM$2+$AM$3,"")</f>
        <v/>
      </c>
      <c r="AN1057" s="40">
        <f>SUMIFS(DaybyDay[Est-Admin-Payroll],DaybyDay[Date],"&gt;="&amp;$C$5,DaybyDay[RowYear],"&gt;="&amp;$C$4,DaybyDay[Date],"&lt;="&amp;DaybyDay[[#This Row],[Date]])</f>
        <v>0</v>
      </c>
      <c r="AO1057" s="41" t="str">
        <f>IF(AND(DaybyDay[[#This Row],[_Space]],ISNUMBER(DaybyDay[[#This Row],[Admin Hours]])),DaybyDay[[#This Row],[Est-Admin-Payroll]]/(DaybyDay[[#This Row],[Service-Actuals]]+DaybyDay[[#This Row],[Retail-Actuals]]),"")</f>
        <v/>
      </c>
      <c r="AP1057" s="41" t="e">
        <f>DaybyDay[[#This Row],[Estimated-Payroll-Rollup]]/DaybyDay[[#This Row],[Simple-Forecast]]</f>
        <v>#DIV/0!</v>
      </c>
      <c r="AQ10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7" s="77"/>
      <c r="AS1057" s="40" t="str">
        <f>IF(DaybyDay[[#This Row],[Retail Hours]]&gt;0,DaybyDay[[#This Row],[Retail Hours]]*$AS$2,"")</f>
        <v/>
      </c>
      <c r="AT1057" s="40">
        <f>SUMIFS(DaybyDay[Est-Retail-Payroll],DaybyDay[Date],"&gt;="&amp;$C$5,DaybyDay[RowYear],"&gt;="&amp;$C$4,DaybyDay[Date],"&lt;="&amp;DaybyDay[[#This Row],[Date]])</f>
        <v>0</v>
      </c>
      <c r="AU1057" s="82" t="str">
        <f>IF(AND(DaybyDay[[#This Row],[_Space]],ISNUMBER(DaybyDay[[#This Row],[Retail Hours]])),DaybyDay[[#This Row],[Est-Retail-Payroll]]/(DaybyDay[[#This Row],[Retail-Actuals]]),"")</f>
        <v/>
      </c>
      <c r="AV1057" s="82" t="e">
        <f>DaybyDay[[#This Row],[Est-Retail-PayrollRU]]/DaybyDay[[#This Row],[Simple-Forecast-Retail]]</f>
        <v>#DIV/0!</v>
      </c>
      <c r="AW1057" s="8"/>
      <c r="AX1057" s="15"/>
      <c r="AY1057" s="8"/>
    </row>
    <row r="1058" spans="3:51" hidden="1" x14ac:dyDescent="0.25">
      <c r="C1058" s="26" t="str">
        <f>Tools!$C$1</f>
        <v>Example</v>
      </c>
      <c r="D1058" s="27" t="s">
        <v>78</v>
      </c>
      <c r="E1058" s="28">
        <v>2019</v>
      </c>
      <c r="F1058" s="28">
        <f>MATCH(DaybyDay[[#This Row],[RowMonth]],Table3[SummaryMonth],0)</f>
        <v>11</v>
      </c>
      <c r="G1058" s="29">
        <f>MATCH(DaybyDay[[#This Row],[LY-Date]],DaybyDay[Date],0)</f>
        <v>688</v>
      </c>
      <c r="H1058" s="30">
        <f>WEEKDAY(DaybyDay[[#This Row],[Date]])</f>
        <v>2</v>
      </c>
      <c r="I1058" s="31">
        <v>43787</v>
      </c>
      <c r="J1058" s="74">
        <v>15</v>
      </c>
      <c r="K1058" s="32">
        <f>SUMIFS(BudgetSeasonality[365 Seasonality],BudgetSeasonality[MonthAdjustment],DaybyDay[[#This Row],[Date]])*SUMIFS(Budgets[Service-Budget],Budgets[BudgetMonth],DaybyDay[[#This Row],[RowMonth]],Budgets[BudgetYear],DaybyDay[[#This Row],[RowYear]])</f>
        <v>4236.510558168954</v>
      </c>
      <c r="L1058" s="75">
        <v>3639.0000000000005</v>
      </c>
      <c r="M1058" s="32">
        <f>INDEX(BudgetSeasonality[365 Seasonality],MATCH(DaybyDay[[#This Row],[Date]],BudgetSeasonality[MonthAdjustment],0))*SUMIFS(Budgets[Retail-Budget],Budgets[BudgetMonth],DaybyDay[[#This Row],[RowMonth]],Budgets[BudgetYear],DaybyDay[[#This Row],[RowYear]])</f>
        <v>1506.1710992498595</v>
      </c>
      <c r="N1058" s="75">
        <v>686.35</v>
      </c>
      <c r="O1058" s="33">
        <f>SUMIFS(DaybyDay[Service-Budgets],DaybyDay[Date],"&gt;="&amp;$C$5,DaybyDay[RowYear],"&gt;="&amp;$C$4,DaybyDay[Date],"&lt;="&amp;DaybyDay[[#This Row],[Date]])</f>
        <v>0</v>
      </c>
      <c r="P1058" s="33">
        <f>SUMIFS(DaybyDay[Retail-Budgets],DaybyDay[Date],"&gt;="&amp;$C$5,DaybyDay[RowYear],"&gt;="&amp;$C$4,DaybyDay[Date],"&lt;="&amp;DaybyDay[[#This Row],[Date]])</f>
        <v>0</v>
      </c>
      <c r="Q1058" s="34">
        <f>SUMIFS(DaybyDay[Service-Actuals],DaybyDay[Date],"&gt;="&amp;$C$5,DaybyDay[RowYear],"&gt;="&amp;$C$4,DaybyDay[Date],"&lt;="&amp;DaybyDay[[#This Row],[Date]])</f>
        <v>0</v>
      </c>
      <c r="R1058" s="34">
        <f>SUMIFS(DaybyDay[Retail-Actuals],DaybyDay[Date],"&gt;="&amp;$C$5,DaybyDay[RowYear],"&gt;="&amp;$C$4,DaybyDay[Date],"&lt;="&amp;DaybyDay[[#This Row],[Date]])</f>
        <v>0</v>
      </c>
      <c r="S1058" s="35">
        <f>SUMIFS(DaybyDay[Service-LY],DaybyDay[Date],"&gt;="&amp;$C$5,DaybyDay[RowYear],"&gt;="&amp;$C$4,DaybyDay[Date],"&lt;="&amp;DaybyDay[[#This Row],[Date]])</f>
        <v>0</v>
      </c>
      <c r="T1058" s="35">
        <f>SUMIFS(DaybyDay[Retail-LY],DaybyDay[Date],"&gt;="&amp;$C$5,DaybyDay[RowYear],"&gt;="&amp;$C$4,DaybyDay[Date],"&lt;="&amp;DaybyDay[[#This Row],[Date]])</f>
        <v>0</v>
      </c>
      <c r="U1058" s="32">
        <f>DaybyDay[[#This Row],[Serv-Bud-RU]]+DaybyDay[[#This Row],[Ret-Bud-RU]]</f>
        <v>0</v>
      </c>
      <c r="V1058" s="32">
        <f>DaybyDay[[#This Row],[Serv-Act-RU]]+DaybyDay[[#This Row],[Ret-Act-RU]]</f>
        <v>0</v>
      </c>
      <c r="W1058" s="36">
        <f>IF(DaybyDay[[#This Row],[_Space]],IFERROR(
((DaybyDay[[#This Row],[Actual-Rollup]]-DaybyDay[[#This Row],[Budget-Rollup]])/DaybyDay[[#This Row],[Budget-Rollup]]),0),"")</f>
        <v>0</v>
      </c>
      <c r="X1058" t="b">
        <f>NOT(AND(ISBLANK(DaybyDay[[#This Row],[Appts]]),ISBLANK(DaybyDay[[#This Row],[Service-Actuals]]),ISBLANK(DaybyDay[[#This Row],[Retail-Actuals]])))</f>
        <v>1</v>
      </c>
      <c r="Y1058" s="36">
        <f>IF(DaybyDay[[#This Row],[_Space]],IFERROR(
((DaybyDay[[#This Row],[Actual-Rollup]]-DaybyDay[[#This Row],[LY-Rollup]])/DaybyDay[[#This Row],[LY-Rollup]]),0),"")</f>
        <v>0</v>
      </c>
      <c r="Z1058"/>
      <c r="AA1058" s="37" t="e">
        <f>IF(DaybyDay[[#This Row],[_Space]],DaybyDay[[#This Row],[Ret-Act-RU]]/DaybyDay[[#This Row],[Serv-Act-RU]],"")</f>
        <v>#DIV/0!</v>
      </c>
      <c r="AB1058" s="50" t="e">
        <f>IF(DaybyDay[[#This Row],[_Space]],DaybyDay[[#This Row],[RETPEN-Act]]/DaybyDay[[#This Row],[RETPEN-Bud]],"")</f>
        <v>#DIV/0!</v>
      </c>
      <c r="AC1058" s="37" t="e">
        <f>IF(DaybyDay[[#This Row],[_Space]],DaybyDay[[#This Row],[Ret-Bud-RU]]/DaybyDay[[#This Row],[Serv-Bud-RU]],"")</f>
        <v>#DIV/0!</v>
      </c>
      <c r="AD1058" s="37" t="e">
        <f>IF(DaybyDay[[#This Row],[_Space]],DaybyDay[[#This Row],[Ret-LY-RU]]/DaybyDay[[#This Row],[Serv-LY-RU]],"")</f>
        <v>#DIV/0!</v>
      </c>
      <c r="AE1058" s="30">
        <f>WEEKDAY(DaybyDay[[#This Row],[LY-Date]])</f>
        <v>2</v>
      </c>
      <c r="AF1058" s="38">
        <f>$E$2+_xlfn.DAYS(DaybyDay[[#This Row],[Date]],minDate)</f>
        <v>43423</v>
      </c>
      <c r="AG1058" s="39" cm="1">
        <f t="array" ref="AG1058">IFERROR(INDEX(DaybyDay[],DaybyDay[[#This Row],[FORM_MATCH_HELPER]],8),"")</f>
        <v>20</v>
      </c>
      <c r="AH1058" s="39" cm="1">
        <f t="array" ref="AH1058">IFERROR(INDEX(DaybyDay[],DaybyDay[[#This Row],[FORM_MATCH_HELPER]],10),"")</f>
        <v>5018</v>
      </c>
      <c r="AI1058" s="39" cm="1">
        <f t="array" ref="AI1058">IFERROR(INDEX(DaybyDay[],DaybyDay[[#This Row],[FORM_MATCH_HELPER]],12),"")</f>
        <v>2590</v>
      </c>
      <c r="AJ1058" s="32">
        <f>IFERROR(DaybyDay[[#This Row],[Serv-LY-RU]]+DaybyDay[[#This Row],[Ret-LY-RU]],"")</f>
        <v>0</v>
      </c>
      <c r="AK10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8" s="77"/>
      <c r="AM1058" s="40" t="str">
        <f>IF(DaybyDay[[#This Row],[Admin Hours]]&gt;0,DaybyDay[[#This Row],[Admin Hours]]*$AM$2+$AM$3,"")</f>
        <v/>
      </c>
      <c r="AN1058" s="40">
        <f>SUMIFS(DaybyDay[Est-Admin-Payroll],DaybyDay[Date],"&gt;="&amp;$C$5,DaybyDay[RowYear],"&gt;="&amp;$C$4,DaybyDay[Date],"&lt;="&amp;DaybyDay[[#This Row],[Date]])</f>
        <v>0</v>
      </c>
      <c r="AO1058" s="41" t="str">
        <f>IF(AND(DaybyDay[[#This Row],[_Space]],ISNUMBER(DaybyDay[[#This Row],[Admin Hours]])),DaybyDay[[#This Row],[Est-Admin-Payroll]]/(DaybyDay[[#This Row],[Service-Actuals]]+DaybyDay[[#This Row],[Retail-Actuals]]),"")</f>
        <v/>
      </c>
      <c r="AP1058" s="41" t="e">
        <f>DaybyDay[[#This Row],[Estimated-Payroll-Rollup]]/DaybyDay[[#This Row],[Simple-Forecast]]</f>
        <v>#DIV/0!</v>
      </c>
      <c r="AQ10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8" s="77"/>
      <c r="AS1058" s="40" t="str">
        <f>IF(DaybyDay[[#This Row],[Retail Hours]]&gt;0,DaybyDay[[#This Row],[Retail Hours]]*$AS$2,"")</f>
        <v/>
      </c>
      <c r="AT1058" s="40">
        <f>SUMIFS(DaybyDay[Est-Retail-Payroll],DaybyDay[Date],"&gt;="&amp;$C$5,DaybyDay[RowYear],"&gt;="&amp;$C$4,DaybyDay[Date],"&lt;="&amp;DaybyDay[[#This Row],[Date]])</f>
        <v>0</v>
      </c>
      <c r="AU1058" s="82" t="str">
        <f>IF(AND(DaybyDay[[#This Row],[_Space]],ISNUMBER(DaybyDay[[#This Row],[Retail Hours]])),DaybyDay[[#This Row],[Est-Retail-Payroll]]/(DaybyDay[[#This Row],[Retail-Actuals]]),"")</f>
        <v/>
      </c>
      <c r="AV1058" s="82" t="e">
        <f>DaybyDay[[#This Row],[Est-Retail-PayrollRU]]/DaybyDay[[#This Row],[Simple-Forecast-Retail]]</f>
        <v>#DIV/0!</v>
      </c>
      <c r="AW1058" s="8"/>
      <c r="AX1058" s="15"/>
      <c r="AY1058" s="8"/>
    </row>
    <row r="1059" spans="3:51" hidden="1" x14ac:dyDescent="0.25">
      <c r="C1059" s="26" t="str">
        <f>Tools!$C$1</f>
        <v>Example</v>
      </c>
      <c r="D1059" s="27" t="s">
        <v>78</v>
      </c>
      <c r="E1059" s="28">
        <v>2019</v>
      </c>
      <c r="F1059" s="28">
        <f>MATCH(DaybyDay[[#This Row],[RowMonth]],Table3[SummaryMonth],0)</f>
        <v>11</v>
      </c>
      <c r="G1059" s="29">
        <f>MATCH(DaybyDay[[#This Row],[LY-Date]],DaybyDay[Date],0)</f>
        <v>689</v>
      </c>
      <c r="H1059" s="30">
        <f>WEEKDAY(DaybyDay[[#This Row],[Date]])</f>
        <v>3</v>
      </c>
      <c r="I1059" s="31">
        <v>43788</v>
      </c>
      <c r="J1059" s="74">
        <v>11</v>
      </c>
      <c r="K1059" s="32">
        <f>SUMIFS(BudgetSeasonality[365 Seasonality],BudgetSeasonality[MonthAdjustment],DaybyDay[[#This Row],[Date]])*SUMIFS(Budgets[Service-Budget],Budgets[BudgetMonth],DaybyDay[[#This Row],[RowMonth]],Budgets[BudgetYear],DaybyDay[[#This Row],[RowYear]])</f>
        <v>4334.6219078861641</v>
      </c>
      <c r="L1059" s="75">
        <v>3259</v>
      </c>
      <c r="M1059" s="32">
        <f>INDEX(BudgetSeasonality[365 Seasonality],MATCH(DaybyDay[[#This Row],[Date]],BudgetSeasonality[MonthAdjustment],0))*SUMIFS(Budgets[Retail-Budget],Budgets[BudgetMonth],DaybyDay[[#This Row],[RowMonth]],Budgets[BudgetYear],DaybyDay[[#This Row],[RowYear]])</f>
        <v>1541.0518052987372</v>
      </c>
      <c r="N1059" s="75">
        <v>1811.5</v>
      </c>
      <c r="O1059" s="33">
        <f>SUMIFS(DaybyDay[Service-Budgets],DaybyDay[Date],"&gt;="&amp;$C$5,DaybyDay[RowYear],"&gt;="&amp;$C$4,DaybyDay[Date],"&lt;="&amp;DaybyDay[[#This Row],[Date]])</f>
        <v>0</v>
      </c>
      <c r="P1059" s="33">
        <f>SUMIFS(DaybyDay[Retail-Budgets],DaybyDay[Date],"&gt;="&amp;$C$5,DaybyDay[RowYear],"&gt;="&amp;$C$4,DaybyDay[Date],"&lt;="&amp;DaybyDay[[#This Row],[Date]])</f>
        <v>0</v>
      </c>
      <c r="Q1059" s="34">
        <f>SUMIFS(DaybyDay[Service-Actuals],DaybyDay[Date],"&gt;="&amp;$C$5,DaybyDay[RowYear],"&gt;="&amp;$C$4,DaybyDay[Date],"&lt;="&amp;DaybyDay[[#This Row],[Date]])</f>
        <v>0</v>
      </c>
      <c r="R1059" s="34">
        <f>SUMIFS(DaybyDay[Retail-Actuals],DaybyDay[Date],"&gt;="&amp;$C$5,DaybyDay[RowYear],"&gt;="&amp;$C$4,DaybyDay[Date],"&lt;="&amp;DaybyDay[[#This Row],[Date]])</f>
        <v>0</v>
      </c>
      <c r="S1059" s="35">
        <f>SUMIFS(DaybyDay[Service-LY],DaybyDay[Date],"&gt;="&amp;$C$5,DaybyDay[RowYear],"&gt;="&amp;$C$4,DaybyDay[Date],"&lt;="&amp;DaybyDay[[#This Row],[Date]])</f>
        <v>0</v>
      </c>
      <c r="T1059" s="35">
        <f>SUMIFS(DaybyDay[Retail-LY],DaybyDay[Date],"&gt;="&amp;$C$5,DaybyDay[RowYear],"&gt;="&amp;$C$4,DaybyDay[Date],"&lt;="&amp;DaybyDay[[#This Row],[Date]])</f>
        <v>0</v>
      </c>
      <c r="U1059" s="32">
        <f>DaybyDay[[#This Row],[Serv-Bud-RU]]+DaybyDay[[#This Row],[Ret-Bud-RU]]</f>
        <v>0</v>
      </c>
      <c r="V1059" s="32">
        <f>DaybyDay[[#This Row],[Serv-Act-RU]]+DaybyDay[[#This Row],[Ret-Act-RU]]</f>
        <v>0</v>
      </c>
      <c r="W1059" s="36">
        <f>IF(DaybyDay[[#This Row],[_Space]],IFERROR(
((DaybyDay[[#This Row],[Actual-Rollup]]-DaybyDay[[#This Row],[Budget-Rollup]])/DaybyDay[[#This Row],[Budget-Rollup]]),0),"")</f>
        <v>0</v>
      </c>
      <c r="X1059" t="b">
        <f>NOT(AND(ISBLANK(DaybyDay[[#This Row],[Appts]]),ISBLANK(DaybyDay[[#This Row],[Service-Actuals]]),ISBLANK(DaybyDay[[#This Row],[Retail-Actuals]])))</f>
        <v>1</v>
      </c>
      <c r="Y1059" s="36">
        <f>IF(DaybyDay[[#This Row],[_Space]],IFERROR(
((DaybyDay[[#This Row],[Actual-Rollup]]-DaybyDay[[#This Row],[LY-Rollup]])/DaybyDay[[#This Row],[LY-Rollup]]),0),"")</f>
        <v>0</v>
      </c>
      <c r="Z1059"/>
      <c r="AA1059" s="37" t="e">
        <f>IF(DaybyDay[[#This Row],[_Space]],DaybyDay[[#This Row],[Ret-Act-RU]]/DaybyDay[[#This Row],[Serv-Act-RU]],"")</f>
        <v>#DIV/0!</v>
      </c>
      <c r="AB1059" s="50" t="e">
        <f>IF(DaybyDay[[#This Row],[_Space]],DaybyDay[[#This Row],[RETPEN-Act]]/DaybyDay[[#This Row],[RETPEN-Bud]],"")</f>
        <v>#DIV/0!</v>
      </c>
      <c r="AC1059" s="37" t="e">
        <f>IF(DaybyDay[[#This Row],[_Space]],DaybyDay[[#This Row],[Ret-Bud-RU]]/DaybyDay[[#This Row],[Serv-Bud-RU]],"")</f>
        <v>#DIV/0!</v>
      </c>
      <c r="AD1059" s="37" t="e">
        <f>IF(DaybyDay[[#This Row],[_Space]],DaybyDay[[#This Row],[Ret-LY-RU]]/DaybyDay[[#This Row],[Serv-LY-RU]],"")</f>
        <v>#DIV/0!</v>
      </c>
      <c r="AE1059" s="30">
        <f>WEEKDAY(DaybyDay[[#This Row],[LY-Date]])</f>
        <v>3</v>
      </c>
      <c r="AF1059" s="38">
        <f>$E$2+_xlfn.DAYS(DaybyDay[[#This Row],[Date]],minDate)</f>
        <v>43424</v>
      </c>
      <c r="AG1059" s="39" cm="1">
        <f t="array" ref="AG1059">IFERROR(INDEX(DaybyDay[],DaybyDay[[#This Row],[FORM_MATCH_HELPER]],8),"")</f>
        <v>22</v>
      </c>
      <c r="AH1059" s="39" cm="1">
        <f t="array" ref="AH1059">IFERROR(INDEX(DaybyDay[],DaybyDay[[#This Row],[FORM_MATCH_HELPER]],10),"")</f>
        <v>4553.1899999999996</v>
      </c>
      <c r="AI1059" s="39" cm="1">
        <f t="array" ref="AI1059">IFERROR(INDEX(DaybyDay[],DaybyDay[[#This Row],[FORM_MATCH_HELPER]],12),"")</f>
        <v>10284.75</v>
      </c>
      <c r="AJ1059" s="32">
        <f>IFERROR(DaybyDay[[#This Row],[Serv-LY-RU]]+DaybyDay[[#This Row],[Ret-LY-RU]],"")</f>
        <v>0</v>
      </c>
      <c r="AK10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59" s="77"/>
      <c r="AM1059" s="40" t="str">
        <f>IF(DaybyDay[[#This Row],[Admin Hours]]&gt;0,DaybyDay[[#This Row],[Admin Hours]]*$AM$2+$AM$3,"")</f>
        <v/>
      </c>
      <c r="AN1059" s="40">
        <f>SUMIFS(DaybyDay[Est-Admin-Payroll],DaybyDay[Date],"&gt;="&amp;$C$5,DaybyDay[RowYear],"&gt;="&amp;$C$4,DaybyDay[Date],"&lt;="&amp;DaybyDay[[#This Row],[Date]])</f>
        <v>0</v>
      </c>
      <c r="AO1059" s="41" t="str">
        <f>IF(AND(DaybyDay[[#This Row],[_Space]],ISNUMBER(DaybyDay[[#This Row],[Admin Hours]])),DaybyDay[[#This Row],[Est-Admin-Payroll]]/(DaybyDay[[#This Row],[Service-Actuals]]+DaybyDay[[#This Row],[Retail-Actuals]]),"")</f>
        <v/>
      </c>
      <c r="AP1059" s="41" t="e">
        <f>DaybyDay[[#This Row],[Estimated-Payroll-Rollup]]/DaybyDay[[#This Row],[Simple-Forecast]]</f>
        <v>#DIV/0!</v>
      </c>
      <c r="AQ10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59" s="77"/>
      <c r="AS1059" s="40" t="str">
        <f>IF(DaybyDay[[#This Row],[Retail Hours]]&gt;0,DaybyDay[[#This Row],[Retail Hours]]*$AS$2,"")</f>
        <v/>
      </c>
      <c r="AT1059" s="40">
        <f>SUMIFS(DaybyDay[Est-Retail-Payroll],DaybyDay[Date],"&gt;="&amp;$C$5,DaybyDay[RowYear],"&gt;="&amp;$C$4,DaybyDay[Date],"&lt;="&amp;DaybyDay[[#This Row],[Date]])</f>
        <v>0</v>
      </c>
      <c r="AU1059" s="82" t="str">
        <f>IF(AND(DaybyDay[[#This Row],[_Space]],ISNUMBER(DaybyDay[[#This Row],[Retail Hours]])),DaybyDay[[#This Row],[Est-Retail-Payroll]]/(DaybyDay[[#This Row],[Retail-Actuals]]),"")</f>
        <v/>
      </c>
      <c r="AV1059" s="82" t="e">
        <f>DaybyDay[[#This Row],[Est-Retail-PayrollRU]]/DaybyDay[[#This Row],[Simple-Forecast-Retail]]</f>
        <v>#DIV/0!</v>
      </c>
      <c r="AW1059" s="8"/>
      <c r="AX1059" s="15"/>
      <c r="AY1059" s="8"/>
    </row>
    <row r="1060" spans="3:51" hidden="1" x14ac:dyDescent="0.25">
      <c r="C1060" s="26" t="str">
        <f>Tools!$C$1</f>
        <v>Example</v>
      </c>
      <c r="D1060" s="27" t="s">
        <v>78</v>
      </c>
      <c r="E1060" s="28">
        <v>2019</v>
      </c>
      <c r="F1060" s="28">
        <f>MATCH(DaybyDay[[#This Row],[RowMonth]],Table3[SummaryMonth],0)</f>
        <v>11</v>
      </c>
      <c r="G1060" s="29">
        <f>MATCH(DaybyDay[[#This Row],[LY-Date]],DaybyDay[Date],0)</f>
        <v>690</v>
      </c>
      <c r="H1060" s="30">
        <f>WEEKDAY(DaybyDay[[#This Row],[Date]])</f>
        <v>4</v>
      </c>
      <c r="I1060" s="31">
        <v>43789</v>
      </c>
      <c r="J1060" s="74">
        <v>17</v>
      </c>
      <c r="K1060" s="32">
        <f>SUMIFS(BudgetSeasonality[365 Seasonality],BudgetSeasonality[MonthAdjustment],DaybyDay[[#This Row],[Date]])*SUMIFS(Budgets[Service-Budget],Budgets[BudgetMonth],DaybyDay[[#This Row],[RowMonth]],Budgets[BudgetYear],DaybyDay[[#This Row],[RowYear]])</f>
        <v>4912.7585208052678</v>
      </c>
      <c r="L1060" s="75">
        <v>3538.2</v>
      </c>
      <c r="M1060" s="32">
        <f>INDEX(BudgetSeasonality[365 Seasonality],MATCH(DaybyDay[[#This Row],[Date]],BudgetSeasonality[MonthAdjustment],0))*SUMIFS(Budgets[Retail-Budget],Budgets[BudgetMonth],DaybyDay[[#This Row],[RowMonth]],Budgets[BudgetYear],DaybyDay[[#This Row],[RowYear]])</f>
        <v>1746.5918708410998</v>
      </c>
      <c r="N1060" s="75">
        <v>684</v>
      </c>
      <c r="O1060" s="33">
        <f>SUMIFS(DaybyDay[Service-Budgets],DaybyDay[Date],"&gt;="&amp;$C$5,DaybyDay[RowYear],"&gt;="&amp;$C$4,DaybyDay[Date],"&lt;="&amp;DaybyDay[[#This Row],[Date]])</f>
        <v>0</v>
      </c>
      <c r="P1060" s="33">
        <f>SUMIFS(DaybyDay[Retail-Budgets],DaybyDay[Date],"&gt;="&amp;$C$5,DaybyDay[RowYear],"&gt;="&amp;$C$4,DaybyDay[Date],"&lt;="&amp;DaybyDay[[#This Row],[Date]])</f>
        <v>0</v>
      </c>
      <c r="Q1060" s="34">
        <f>SUMIFS(DaybyDay[Service-Actuals],DaybyDay[Date],"&gt;="&amp;$C$5,DaybyDay[RowYear],"&gt;="&amp;$C$4,DaybyDay[Date],"&lt;="&amp;DaybyDay[[#This Row],[Date]])</f>
        <v>0</v>
      </c>
      <c r="R1060" s="34">
        <f>SUMIFS(DaybyDay[Retail-Actuals],DaybyDay[Date],"&gt;="&amp;$C$5,DaybyDay[RowYear],"&gt;="&amp;$C$4,DaybyDay[Date],"&lt;="&amp;DaybyDay[[#This Row],[Date]])</f>
        <v>0</v>
      </c>
      <c r="S1060" s="35">
        <f>SUMIFS(DaybyDay[Service-LY],DaybyDay[Date],"&gt;="&amp;$C$5,DaybyDay[RowYear],"&gt;="&amp;$C$4,DaybyDay[Date],"&lt;="&amp;DaybyDay[[#This Row],[Date]])</f>
        <v>0</v>
      </c>
      <c r="T1060" s="35">
        <f>SUMIFS(DaybyDay[Retail-LY],DaybyDay[Date],"&gt;="&amp;$C$5,DaybyDay[RowYear],"&gt;="&amp;$C$4,DaybyDay[Date],"&lt;="&amp;DaybyDay[[#This Row],[Date]])</f>
        <v>0</v>
      </c>
      <c r="U1060" s="32">
        <f>DaybyDay[[#This Row],[Serv-Bud-RU]]+DaybyDay[[#This Row],[Ret-Bud-RU]]</f>
        <v>0</v>
      </c>
      <c r="V1060" s="32">
        <f>DaybyDay[[#This Row],[Serv-Act-RU]]+DaybyDay[[#This Row],[Ret-Act-RU]]</f>
        <v>0</v>
      </c>
      <c r="W1060" s="36">
        <f>IF(DaybyDay[[#This Row],[_Space]],IFERROR(
((DaybyDay[[#This Row],[Actual-Rollup]]-DaybyDay[[#This Row],[Budget-Rollup]])/DaybyDay[[#This Row],[Budget-Rollup]]),0),"")</f>
        <v>0</v>
      </c>
      <c r="X1060" t="b">
        <f>NOT(AND(ISBLANK(DaybyDay[[#This Row],[Appts]]),ISBLANK(DaybyDay[[#This Row],[Service-Actuals]]),ISBLANK(DaybyDay[[#This Row],[Retail-Actuals]])))</f>
        <v>1</v>
      </c>
      <c r="Y1060" s="36">
        <f>IF(DaybyDay[[#This Row],[_Space]],IFERROR(
((DaybyDay[[#This Row],[Actual-Rollup]]-DaybyDay[[#This Row],[LY-Rollup]])/DaybyDay[[#This Row],[LY-Rollup]]),0),"")</f>
        <v>0</v>
      </c>
      <c r="Z1060"/>
      <c r="AA1060" s="37" t="e">
        <f>IF(DaybyDay[[#This Row],[_Space]],DaybyDay[[#This Row],[Ret-Act-RU]]/DaybyDay[[#This Row],[Serv-Act-RU]],"")</f>
        <v>#DIV/0!</v>
      </c>
      <c r="AB1060" s="50" t="e">
        <f>IF(DaybyDay[[#This Row],[_Space]],DaybyDay[[#This Row],[RETPEN-Act]]/DaybyDay[[#This Row],[RETPEN-Bud]],"")</f>
        <v>#DIV/0!</v>
      </c>
      <c r="AC1060" s="37" t="e">
        <f>IF(DaybyDay[[#This Row],[_Space]],DaybyDay[[#This Row],[Ret-Bud-RU]]/DaybyDay[[#This Row],[Serv-Bud-RU]],"")</f>
        <v>#DIV/0!</v>
      </c>
      <c r="AD1060" s="37" t="e">
        <f>IF(DaybyDay[[#This Row],[_Space]],DaybyDay[[#This Row],[Ret-LY-RU]]/DaybyDay[[#This Row],[Serv-LY-RU]],"")</f>
        <v>#DIV/0!</v>
      </c>
      <c r="AE1060" s="30">
        <f>WEEKDAY(DaybyDay[[#This Row],[LY-Date]])</f>
        <v>4</v>
      </c>
      <c r="AF1060" s="38">
        <f>$E$2+_xlfn.DAYS(DaybyDay[[#This Row],[Date]],minDate)</f>
        <v>43425</v>
      </c>
      <c r="AG1060" s="39" cm="1">
        <f t="array" ref="AG1060">IFERROR(INDEX(DaybyDay[],DaybyDay[[#This Row],[FORM_MATCH_HELPER]],8),"")</f>
        <v>28</v>
      </c>
      <c r="AH1060" s="39" cm="1">
        <f t="array" ref="AH1060">IFERROR(INDEX(DaybyDay[],DaybyDay[[#This Row],[FORM_MATCH_HELPER]],10),"")</f>
        <v>5944.71</v>
      </c>
      <c r="AI1060" s="39" cm="1">
        <f t="array" ref="AI1060">IFERROR(INDEX(DaybyDay[],DaybyDay[[#This Row],[FORM_MATCH_HELPER]],12),"")</f>
        <v>1056</v>
      </c>
      <c r="AJ1060" s="32">
        <f>IFERROR(DaybyDay[[#This Row],[Serv-LY-RU]]+DaybyDay[[#This Row],[Ret-LY-RU]],"")</f>
        <v>0</v>
      </c>
      <c r="AK10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0" s="77"/>
      <c r="AM1060" s="40" t="str">
        <f>IF(DaybyDay[[#This Row],[Admin Hours]]&gt;0,DaybyDay[[#This Row],[Admin Hours]]*$AM$2+$AM$3,"")</f>
        <v/>
      </c>
      <c r="AN1060" s="40">
        <f>SUMIFS(DaybyDay[Est-Admin-Payroll],DaybyDay[Date],"&gt;="&amp;$C$5,DaybyDay[RowYear],"&gt;="&amp;$C$4,DaybyDay[Date],"&lt;="&amp;DaybyDay[[#This Row],[Date]])</f>
        <v>0</v>
      </c>
      <c r="AO1060" s="41" t="str">
        <f>IF(AND(DaybyDay[[#This Row],[_Space]],ISNUMBER(DaybyDay[[#This Row],[Admin Hours]])),DaybyDay[[#This Row],[Est-Admin-Payroll]]/(DaybyDay[[#This Row],[Service-Actuals]]+DaybyDay[[#This Row],[Retail-Actuals]]),"")</f>
        <v/>
      </c>
      <c r="AP1060" s="41" t="e">
        <f>DaybyDay[[#This Row],[Estimated-Payroll-Rollup]]/DaybyDay[[#This Row],[Simple-Forecast]]</f>
        <v>#DIV/0!</v>
      </c>
      <c r="AQ10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0" s="77"/>
      <c r="AS1060" s="40" t="str">
        <f>IF(DaybyDay[[#This Row],[Retail Hours]]&gt;0,DaybyDay[[#This Row],[Retail Hours]]*$AS$2,"")</f>
        <v/>
      </c>
      <c r="AT1060" s="40">
        <f>SUMIFS(DaybyDay[Est-Retail-Payroll],DaybyDay[Date],"&gt;="&amp;$C$5,DaybyDay[RowYear],"&gt;="&amp;$C$4,DaybyDay[Date],"&lt;="&amp;DaybyDay[[#This Row],[Date]])</f>
        <v>0</v>
      </c>
      <c r="AU1060" s="82" t="str">
        <f>IF(AND(DaybyDay[[#This Row],[_Space]],ISNUMBER(DaybyDay[[#This Row],[Retail Hours]])),DaybyDay[[#This Row],[Est-Retail-Payroll]]/(DaybyDay[[#This Row],[Retail-Actuals]]),"")</f>
        <v/>
      </c>
      <c r="AV1060" s="82" t="e">
        <f>DaybyDay[[#This Row],[Est-Retail-PayrollRU]]/DaybyDay[[#This Row],[Simple-Forecast-Retail]]</f>
        <v>#DIV/0!</v>
      </c>
      <c r="AW1060" s="8"/>
      <c r="AX1060" s="15"/>
      <c r="AY1060" s="8"/>
    </row>
    <row r="1061" spans="3:51" hidden="1" x14ac:dyDescent="0.25">
      <c r="C1061" s="26" t="str">
        <f>Tools!$C$1</f>
        <v>Example</v>
      </c>
      <c r="D1061" s="27" t="s">
        <v>78</v>
      </c>
      <c r="E1061" s="28">
        <v>2019</v>
      </c>
      <c r="F1061" s="28">
        <f>MATCH(DaybyDay[[#This Row],[RowMonth]],Table3[SummaryMonth],0)</f>
        <v>11</v>
      </c>
      <c r="G1061" s="29">
        <f>MATCH(DaybyDay[[#This Row],[LY-Date]],DaybyDay[Date],0)</f>
        <v>691</v>
      </c>
      <c r="H1061" s="30">
        <f>WEEKDAY(DaybyDay[[#This Row],[Date]])</f>
        <v>5</v>
      </c>
      <c r="I1061" s="31">
        <v>43790</v>
      </c>
      <c r="J1061" s="74">
        <v>13</v>
      </c>
      <c r="K1061" s="32">
        <f>SUMIFS(BudgetSeasonality[365 Seasonality],BudgetSeasonality[MonthAdjustment],DaybyDay[[#This Row],[Date]])*SUMIFS(Budgets[Service-Budget],Budgets[BudgetMonth],DaybyDay[[#This Row],[RowMonth]],Budgets[BudgetYear],DaybyDay[[#This Row],[RowYear]])</f>
        <v>5003.6226151422507</v>
      </c>
      <c r="L1061" s="75">
        <v>3744.5</v>
      </c>
      <c r="M1061" s="32">
        <f>INDEX(BudgetSeasonality[365 Seasonality],MATCH(DaybyDay[[#This Row],[Date]],BudgetSeasonality[MonthAdjustment],0))*SUMIFS(Budgets[Retail-Budget],Budgets[BudgetMonth],DaybyDay[[#This Row],[RowMonth]],Budgets[BudgetYear],DaybyDay[[#This Row],[RowYear]])</f>
        <v>1778.8960209124325</v>
      </c>
      <c r="N1061" s="75">
        <v>542</v>
      </c>
      <c r="O1061" s="33">
        <f>SUMIFS(DaybyDay[Service-Budgets],DaybyDay[Date],"&gt;="&amp;$C$5,DaybyDay[RowYear],"&gt;="&amp;$C$4,DaybyDay[Date],"&lt;="&amp;DaybyDay[[#This Row],[Date]])</f>
        <v>0</v>
      </c>
      <c r="P1061" s="33">
        <f>SUMIFS(DaybyDay[Retail-Budgets],DaybyDay[Date],"&gt;="&amp;$C$5,DaybyDay[RowYear],"&gt;="&amp;$C$4,DaybyDay[Date],"&lt;="&amp;DaybyDay[[#This Row],[Date]])</f>
        <v>0</v>
      </c>
      <c r="Q1061" s="34">
        <f>SUMIFS(DaybyDay[Service-Actuals],DaybyDay[Date],"&gt;="&amp;$C$5,DaybyDay[RowYear],"&gt;="&amp;$C$4,DaybyDay[Date],"&lt;="&amp;DaybyDay[[#This Row],[Date]])</f>
        <v>0</v>
      </c>
      <c r="R1061" s="34">
        <f>SUMIFS(DaybyDay[Retail-Actuals],DaybyDay[Date],"&gt;="&amp;$C$5,DaybyDay[RowYear],"&gt;="&amp;$C$4,DaybyDay[Date],"&lt;="&amp;DaybyDay[[#This Row],[Date]])</f>
        <v>0</v>
      </c>
      <c r="S1061" s="35">
        <f>SUMIFS(DaybyDay[Service-LY],DaybyDay[Date],"&gt;="&amp;$C$5,DaybyDay[RowYear],"&gt;="&amp;$C$4,DaybyDay[Date],"&lt;="&amp;DaybyDay[[#This Row],[Date]])</f>
        <v>0</v>
      </c>
      <c r="T1061" s="35">
        <f>SUMIFS(DaybyDay[Retail-LY],DaybyDay[Date],"&gt;="&amp;$C$5,DaybyDay[RowYear],"&gt;="&amp;$C$4,DaybyDay[Date],"&lt;="&amp;DaybyDay[[#This Row],[Date]])</f>
        <v>0</v>
      </c>
      <c r="U1061" s="32">
        <f>DaybyDay[[#This Row],[Serv-Bud-RU]]+DaybyDay[[#This Row],[Ret-Bud-RU]]</f>
        <v>0</v>
      </c>
      <c r="V1061" s="32">
        <f>DaybyDay[[#This Row],[Serv-Act-RU]]+DaybyDay[[#This Row],[Ret-Act-RU]]</f>
        <v>0</v>
      </c>
      <c r="W1061" s="36">
        <f>IF(DaybyDay[[#This Row],[_Space]],IFERROR(
((DaybyDay[[#This Row],[Actual-Rollup]]-DaybyDay[[#This Row],[Budget-Rollup]])/DaybyDay[[#This Row],[Budget-Rollup]]),0),"")</f>
        <v>0</v>
      </c>
      <c r="X1061" t="b">
        <f>NOT(AND(ISBLANK(DaybyDay[[#This Row],[Appts]]),ISBLANK(DaybyDay[[#This Row],[Service-Actuals]]),ISBLANK(DaybyDay[[#This Row],[Retail-Actuals]])))</f>
        <v>1</v>
      </c>
      <c r="Y1061" s="36">
        <f>IF(DaybyDay[[#This Row],[_Space]],IFERROR(
((DaybyDay[[#This Row],[Actual-Rollup]]-DaybyDay[[#This Row],[LY-Rollup]])/DaybyDay[[#This Row],[LY-Rollup]]),0),"")</f>
        <v>0</v>
      </c>
      <c r="Z1061"/>
      <c r="AA1061" s="37" t="e">
        <f>IF(DaybyDay[[#This Row],[_Space]],DaybyDay[[#This Row],[Ret-Act-RU]]/DaybyDay[[#This Row],[Serv-Act-RU]],"")</f>
        <v>#DIV/0!</v>
      </c>
      <c r="AB1061" s="50" t="e">
        <f>IF(DaybyDay[[#This Row],[_Space]],DaybyDay[[#This Row],[RETPEN-Act]]/DaybyDay[[#This Row],[RETPEN-Bud]],"")</f>
        <v>#DIV/0!</v>
      </c>
      <c r="AC1061" s="37" t="e">
        <f>IF(DaybyDay[[#This Row],[_Space]],DaybyDay[[#This Row],[Ret-Bud-RU]]/DaybyDay[[#This Row],[Serv-Bud-RU]],"")</f>
        <v>#DIV/0!</v>
      </c>
      <c r="AD1061" s="37" t="e">
        <f>IF(DaybyDay[[#This Row],[_Space]],DaybyDay[[#This Row],[Ret-LY-RU]]/DaybyDay[[#This Row],[Serv-LY-RU]],"")</f>
        <v>#DIV/0!</v>
      </c>
      <c r="AE1061" s="30">
        <f>WEEKDAY(DaybyDay[[#This Row],[LY-Date]])</f>
        <v>5</v>
      </c>
      <c r="AF1061" s="38">
        <f>$E$2+_xlfn.DAYS(DaybyDay[[#This Row],[Date]],minDate)</f>
        <v>43426</v>
      </c>
      <c r="AG1061" s="39" cm="1">
        <f t="array" ref="AG1061">IFERROR(INDEX(DaybyDay[],DaybyDay[[#This Row],[FORM_MATCH_HELPER]],8),"")</f>
        <v>9</v>
      </c>
      <c r="AH1061" s="39" cm="1">
        <f t="array" ref="AH1061">IFERROR(INDEX(DaybyDay[],DaybyDay[[#This Row],[FORM_MATCH_HELPER]],10),"")</f>
        <v>2230.5</v>
      </c>
      <c r="AI1061" s="39" cm="1">
        <f t="array" ref="AI1061">IFERROR(INDEX(DaybyDay[],DaybyDay[[#This Row],[FORM_MATCH_HELPER]],12),"")</f>
        <v>47.5</v>
      </c>
      <c r="AJ1061" s="32">
        <f>IFERROR(DaybyDay[[#This Row],[Serv-LY-RU]]+DaybyDay[[#This Row],[Ret-LY-RU]],"")</f>
        <v>0</v>
      </c>
      <c r="AK10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1" s="77"/>
      <c r="AM1061" s="40" t="str">
        <f>IF(DaybyDay[[#This Row],[Admin Hours]]&gt;0,DaybyDay[[#This Row],[Admin Hours]]*$AM$2+$AM$3,"")</f>
        <v/>
      </c>
      <c r="AN1061" s="40">
        <f>SUMIFS(DaybyDay[Est-Admin-Payroll],DaybyDay[Date],"&gt;="&amp;$C$5,DaybyDay[RowYear],"&gt;="&amp;$C$4,DaybyDay[Date],"&lt;="&amp;DaybyDay[[#This Row],[Date]])</f>
        <v>0</v>
      </c>
      <c r="AO1061" s="41" t="str">
        <f>IF(AND(DaybyDay[[#This Row],[_Space]],ISNUMBER(DaybyDay[[#This Row],[Admin Hours]])),DaybyDay[[#This Row],[Est-Admin-Payroll]]/(DaybyDay[[#This Row],[Service-Actuals]]+DaybyDay[[#This Row],[Retail-Actuals]]),"")</f>
        <v/>
      </c>
      <c r="AP1061" s="41" t="e">
        <f>DaybyDay[[#This Row],[Estimated-Payroll-Rollup]]/DaybyDay[[#This Row],[Simple-Forecast]]</f>
        <v>#DIV/0!</v>
      </c>
      <c r="AQ10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1" s="77"/>
      <c r="AS1061" s="40" t="str">
        <f>IF(DaybyDay[[#This Row],[Retail Hours]]&gt;0,DaybyDay[[#This Row],[Retail Hours]]*$AS$2,"")</f>
        <v/>
      </c>
      <c r="AT1061" s="40">
        <f>SUMIFS(DaybyDay[Est-Retail-Payroll],DaybyDay[Date],"&gt;="&amp;$C$5,DaybyDay[RowYear],"&gt;="&amp;$C$4,DaybyDay[Date],"&lt;="&amp;DaybyDay[[#This Row],[Date]])</f>
        <v>0</v>
      </c>
      <c r="AU1061" s="82" t="str">
        <f>IF(AND(DaybyDay[[#This Row],[_Space]],ISNUMBER(DaybyDay[[#This Row],[Retail Hours]])),DaybyDay[[#This Row],[Est-Retail-Payroll]]/(DaybyDay[[#This Row],[Retail-Actuals]]),"")</f>
        <v/>
      </c>
      <c r="AV1061" s="82" t="e">
        <f>DaybyDay[[#This Row],[Est-Retail-PayrollRU]]/DaybyDay[[#This Row],[Simple-Forecast-Retail]]</f>
        <v>#DIV/0!</v>
      </c>
      <c r="AW1061" s="8"/>
      <c r="AX1061" s="15"/>
      <c r="AY1061" s="8"/>
    </row>
    <row r="1062" spans="3:51" hidden="1" x14ac:dyDescent="0.25">
      <c r="C1062" s="26" t="str">
        <f>Tools!$C$1</f>
        <v>Example</v>
      </c>
      <c r="D1062" s="27" t="s">
        <v>78</v>
      </c>
      <c r="E1062" s="28">
        <v>2019</v>
      </c>
      <c r="F1062" s="28">
        <f>MATCH(DaybyDay[[#This Row],[RowMonth]],Table3[SummaryMonth],0)</f>
        <v>11</v>
      </c>
      <c r="G1062" s="29">
        <f>MATCH(DaybyDay[[#This Row],[LY-Date]],DaybyDay[Date],0)</f>
        <v>692</v>
      </c>
      <c r="H1062" s="30">
        <f>WEEKDAY(DaybyDay[[#This Row],[Date]])</f>
        <v>6</v>
      </c>
      <c r="I1062" s="31">
        <v>43791</v>
      </c>
      <c r="J1062" s="74">
        <v>18</v>
      </c>
      <c r="K1062" s="32">
        <f>SUMIFS(BudgetSeasonality[365 Seasonality],BudgetSeasonality[MonthAdjustment],DaybyDay[[#This Row],[Date]])*SUMIFS(Budgets[Service-Budget],Budgets[BudgetMonth],DaybyDay[[#This Row],[RowMonth]],Budgets[BudgetYear],DaybyDay[[#This Row],[RowYear]])</f>
        <v>6108.0451937878797</v>
      </c>
      <c r="L1062" s="75">
        <v>5112.6000000000004</v>
      </c>
      <c r="M1062" s="32">
        <f>INDEX(BudgetSeasonality[365 Seasonality],MATCH(DaybyDay[[#This Row],[Date]],BudgetSeasonality[MonthAdjustment],0))*SUMIFS(Budgets[Retail-Budget],Budgets[BudgetMonth],DaybyDay[[#This Row],[RowMonth]],Budgets[BudgetYear],DaybyDay[[#This Row],[RowYear]])</f>
        <v>2171.5421258790643</v>
      </c>
      <c r="N1062" s="75">
        <v>3895</v>
      </c>
      <c r="O1062" s="33">
        <f>SUMIFS(DaybyDay[Service-Budgets],DaybyDay[Date],"&gt;="&amp;$C$5,DaybyDay[RowYear],"&gt;="&amp;$C$4,DaybyDay[Date],"&lt;="&amp;DaybyDay[[#This Row],[Date]])</f>
        <v>0</v>
      </c>
      <c r="P1062" s="33">
        <f>SUMIFS(DaybyDay[Retail-Budgets],DaybyDay[Date],"&gt;="&amp;$C$5,DaybyDay[RowYear],"&gt;="&amp;$C$4,DaybyDay[Date],"&lt;="&amp;DaybyDay[[#This Row],[Date]])</f>
        <v>0</v>
      </c>
      <c r="Q1062" s="34">
        <f>SUMIFS(DaybyDay[Service-Actuals],DaybyDay[Date],"&gt;="&amp;$C$5,DaybyDay[RowYear],"&gt;="&amp;$C$4,DaybyDay[Date],"&lt;="&amp;DaybyDay[[#This Row],[Date]])</f>
        <v>0</v>
      </c>
      <c r="R1062" s="34">
        <f>SUMIFS(DaybyDay[Retail-Actuals],DaybyDay[Date],"&gt;="&amp;$C$5,DaybyDay[RowYear],"&gt;="&amp;$C$4,DaybyDay[Date],"&lt;="&amp;DaybyDay[[#This Row],[Date]])</f>
        <v>0</v>
      </c>
      <c r="S1062" s="35">
        <f>SUMIFS(DaybyDay[Service-LY],DaybyDay[Date],"&gt;="&amp;$C$5,DaybyDay[RowYear],"&gt;="&amp;$C$4,DaybyDay[Date],"&lt;="&amp;DaybyDay[[#This Row],[Date]])</f>
        <v>0</v>
      </c>
      <c r="T1062" s="35">
        <f>SUMIFS(DaybyDay[Retail-LY],DaybyDay[Date],"&gt;="&amp;$C$5,DaybyDay[RowYear],"&gt;="&amp;$C$4,DaybyDay[Date],"&lt;="&amp;DaybyDay[[#This Row],[Date]])</f>
        <v>0</v>
      </c>
      <c r="U1062" s="32">
        <f>DaybyDay[[#This Row],[Serv-Bud-RU]]+DaybyDay[[#This Row],[Ret-Bud-RU]]</f>
        <v>0</v>
      </c>
      <c r="V1062" s="32">
        <f>DaybyDay[[#This Row],[Serv-Act-RU]]+DaybyDay[[#This Row],[Ret-Act-RU]]</f>
        <v>0</v>
      </c>
      <c r="W1062" s="36">
        <f>IF(DaybyDay[[#This Row],[_Space]],IFERROR(
((DaybyDay[[#This Row],[Actual-Rollup]]-DaybyDay[[#This Row],[Budget-Rollup]])/DaybyDay[[#This Row],[Budget-Rollup]]),0),"")</f>
        <v>0</v>
      </c>
      <c r="X1062" t="b">
        <f>NOT(AND(ISBLANK(DaybyDay[[#This Row],[Appts]]),ISBLANK(DaybyDay[[#This Row],[Service-Actuals]]),ISBLANK(DaybyDay[[#This Row],[Retail-Actuals]])))</f>
        <v>1</v>
      </c>
      <c r="Y1062" s="36">
        <f>IF(DaybyDay[[#This Row],[_Space]],IFERROR(
((DaybyDay[[#This Row],[Actual-Rollup]]-DaybyDay[[#This Row],[LY-Rollup]])/DaybyDay[[#This Row],[LY-Rollup]]),0),"")</f>
        <v>0</v>
      </c>
      <c r="Z1062"/>
      <c r="AA1062" s="37" t="e">
        <f>IF(DaybyDay[[#This Row],[_Space]],DaybyDay[[#This Row],[Ret-Act-RU]]/DaybyDay[[#This Row],[Serv-Act-RU]],"")</f>
        <v>#DIV/0!</v>
      </c>
      <c r="AB1062" s="50" t="e">
        <f>IF(DaybyDay[[#This Row],[_Space]],DaybyDay[[#This Row],[RETPEN-Act]]/DaybyDay[[#This Row],[RETPEN-Bud]],"")</f>
        <v>#DIV/0!</v>
      </c>
      <c r="AC1062" s="37" t="e">
        <f>IF(DaybyDay[[#This Row],[_Space]],DaybyDay[[#This Row],[Ret-Bud-RU]]/DaybyDay[[#This Row],[Serv-Bud-RU]],"")</f>
        <v>#DIV/0!</v>
      </c>
      <c r="AD1062" s="37" t="e">
        <f>IF(DaybyDay[[#This Row],[_Space]],DaybyDay[[#This Row],[Ret-LY-RU]]/DaybyDay[[#This Row],[Serv-LY-RU]],"")</f>
        <v>#DIV/0!</v>
      </c>
      <c r="AE1062" s="30">
        <f>WEEKDAY(DaybyDay[[#This Row],[LY-Date]])</f>
        <v>6</v>
      </c>
      <c r="AF1062" s="38">
        <f>$E$2+_xlfn.DAYS(DaybyDay[[#This Row],[Date]],minDate)</f>
        <v>43427</v>
      </c>
      <c r="AG1062" s="39" cm="1">
        <f t="array" ref="AG1062">IFERROR(INDEX(DaybyDay[],DaybyDay[[#This Row],[FORM_MATCH_HELPER]],8),"")</f>
        <v>21</v>
      </c>
      <c r="AH1062" s="39" cm="1">
        <f t="array" ref="AH1062">IFERROR(INDEX(DaybyDay[],DaybyDay[[#This Row],[FORM_MATCH_HELPER]],10),"")</f>
        <v>4990.8999999999996</v>
      </c>
      <c r="AI1062" s="39" cm="1">
        <f t="array" ref="AI1062">IFERROR(INDEX(DaybyDay[],DaybyDay[[#This Row],[FORM_MATCH_HELPER]],12),"")</f>
        <v>1505.5</v>
      </c>
      <c r="AJ1062" s="32">
        <f>IFERROR(DaybyDay[[#This Row],[Serv-LY-RU]]+DaybyDay[[#This Row],[Ret-LY-RU]],"")</f>
        <v>0</v>
      </c>
      <c r="AK10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2" s="77"/>
      <c r="AM1062" s="40" t="str">
        <f>IF(DaybyDay[[#This Row],[Admin Hours]]&gt;0,DaybyDay[[#This Row],[Admin Hours]]*$AM$2+$AM$3,"")</f>
        <v/>
      </c>
      <c r="AN1062" s="40">
        <f>SUMIFS(DaybyDay[Est-Admin-Payroll],DaybyDay[Date],"&gt;="&amp;$C$5,DaybyDay[RowYear],"&gt;="&amp;$C$4,DaybyDay[Date],"&lt;="&amp;DaybyDay[[#This Row],[Date]])</f>
        <v>0</v>
      </c>
      <c r="AO1062" s="41" t="str">
        <f>IF(AND(DaybyDay[[#This Row],[_Space]],ISNUMBER(DaybyDay[[#This Row],[Admin Hours]])),DaybyDay[[#This Row],[Est-Admin-Payroll]]/(DaybyDay[[#This Row],[Service-Actuals]]+DaybyDay[[#This Row],[Retail-Actuals]]),"")</f>
        <v/>
      </c>
      <c r="AP1062" s="41" t="e">
        <f>DaybyDay[[#This Row],[Estimated-Payroll-Rollup]]/DaybyDay[[#This Row],[Simple-Forecast]]</f>
        <v>#DIV/0!</v>
      </c>
      <c r="AQ10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2" s="77"/>
      <c r="AS1062" s="40" t="str">
        <f>IF(DaybyDay[[#This Row],[Retail Hours]]&gt;0,DaybyDay[[#This Row],[Retail Hours]]*$AS$2,"")</f>
        <v/>
      </c>
      <c r="AT1062" s="40">
        <f>SUMIFS(DaybyDay[Est-Retail-Payroll],DaybyDay[Date],"&gt;="&amp;$C$5,DaybyDay[RowYear],"&gt;="&amp;$C$4,DaybyDay[Date],"&lt;="&amp;DaybyDay[[#This Row],[Date]])</f>
        <v>0</v>
      </c>
      <c r="AU1062" s="82" t="str">
        <f>IF(AND(DaybyDay[[#This Row],[_Space]],ISNUMBER(DaybyDay[[#This Row],[Retail Hours]])),DaybyDay[[#This Row],[Est-Retail-Payroll]]/(DaybyDay[[#This Row],[Retail-Actuals]]),"")</f>
        <v/>
      </c>
      <c r="AV1062" s="82" t="e">
        <f>DaybyDay[[#This Row],[Est-Retail-PayrollRU]]/DaybyDay[[#This Row],[Simple-Forecast-Retail]]</f>
        <v>#DIV/0!</v>
      </c>
      <c r="AW1062" s="8"/>
      <c r="AX1062" s="15"/>
      <c r="AY1062" s="8"/>
    </row>
    <row r="1063" spans="3:51" hidden="1" x14ac:dyDescent="0.25">
      <c r="C1063" s="26" t="str">
        <f>Tools!$C$1</f>
        <v>Example</v>
      </c>
      <c r="D1063" s="27" t="s">
        <v>78</v>
      </c>
      <c r="E1063" s="28">
        <v>2019</v>
      </c>
      <c r="F1063" s="28">
        <f>MATCH(DaybyDay[[#This Row],[RowMonth]],Table3[SummaryMonth],0)</f>
        <v>11</v>
      </c>
      <c r="G1063" s="29">
        <f>MATCH(DaybyDay[[#This Row],[LY-Date]],DaybyDay[Date],0)</f>
        <v>693</v>
      </c>
      <c r="H1063" s="30">
        <f>WEEKDAY(DaybyDay[[#This Row],[Date]])</f>
        <v>7</v>
      </c>
      <c r="I1063" s="31">
        <v>43792</v>
      </c>
      <c r="J1063" s="74">
        <v>35</v>
      </c>
      <c r="K1063" s="32">
        <f>SUMIFS(BudgetSeasonality[365 Seasonality],BudgetSeasonality[MonthAdjustment],DaybyDay[[#This Row],[Date]])*SUMIFS(Budgets[Service-Budget],Budgets[BudgetMonth],DaybyDay[[#This Row],[RowMonth]],Budgets[BudgetYear],DaybyDay[[#This Row],[RowYear]])</f>
        <v>8487.3986800387829</v>
      </c>
      <c r="L1063" s="75">
        <v>9676.6</v>
      </c>
      <c r="M1063" s="32">
        <f>INDEX(BudgetSeasonality[365 Seasonality],MATCH(DaybyDay[[#This Row],[Date]],BudgetSeasonality[MonthAdjustment],0))*SUMIFS(Budgets[Retail-Budget],Budgets[BudgetMonth],DaybyDay[[#This Row],[RowMonth]],Budgets[BudgetYear],DaybyDay[[#This Row],[RowYear]])</f>
        <v>3017.4537332466643</v>
      </c>
      <c r="N1063" s="75">
        <v>1430.55</v>
      </c>
      <c r="O1063" s="33">
        <f>SUMIFS(DaybyDay[Service-Budgets],DaybyDay[Date],"&gt;="&amp;$C$5,DaybyDay[RowYear],"&gt;="&amp;$C$4,DaybyDay[Date],"&lt;="&amp;DaybyDay[[#This Row],[Date]])</f>
        <v>0</v>
      </c>
      <c r="P1063" s="33">
        <f>SUMIFS(DaybyDay[Retail-Budgets],DaybyDay[Date],"&gt;="&amp;$C$5,DaybyDay[RowYear],"&gt;="&amp;$C$4,DaybyDay[Date],"&lt;="&amp;DaybyDay[[#This Row],[Date]])</f>
        <v>0</v>
      </c>
      <c r="Q1063" s="34">
        <f>SUMIFS(DaybyDay[Service-Actuals],DaybyDay[Date],"&gt;="&amp;$C$5,DaybyDay[RowYear],"&gt;="&amp;$C$4,DaybyDay[Date],"&lt;="&amp;DaybyDay[[#This Row],[Date]])</f>
        <v>0</v>
      </c>
      <c r="R1063" s="34">
        <f>SUMIFS(DaybyDay[Retail-Actuals],DaybyDay[Date],"&gt;="&amp;$C$5,DaybyDay[RowYear],"&gt;="&amp;$C$4,DaybyDay[Date],"&lt;="&amp;DaybyDay[[#This Row],[Date]])</f>
        <v>0</v>
      </c>
      <c r="S1063" s="35">
        <f>SUMIFS(DaybyDay[Service-LY],DaybyDay[Date],"&gt;="&amp;$C$5,DaybyDay[RowYear],"&gt;="&amp;$C$4,DaybyDay[Date],"&lt;="&amp;DaybyDay[[#This Row],[Date]])</f>
        <v>0</v>
      </c>
      <c r="T1063" s="35">
        <f>SUMIFS(DaybyDay[Retail-LY],DaybyDay[Date],"&gt;="&amp;$C$5,DaybyDay[RowYear],"&gt;="&amp;$C$4,DaybyDay[Date],"&lt;="&amp;DaybyDay[[#This Row],[Date]])</f>
        <v>0</v>
      </c>
      <c r="U1063" s="32">
        <f>DaybyDay[[#This Row],[Serv-Bud-RU]]+DaybyDay[[#This Row],[Ret-Bud-RU]]</f>
        <v>0</v>
      </c>
      <c r="V1063" s="32">
        <f>DaybyDay[[#This Row],[Serv-Act-RU]]+DaybyDay[[#This Row],[Ret-Act-RU]]</f>
        <v>0</v>
      </c>
      <c r="W1063" s="36">
        <f>IF(DaybyDay[[#This Row],[_Space]],IFERROR(
((DaybyDay[[#This Row],[Actual-Rollup]]-DaybyDay[[#This Row],[Budget-Rollup]])/DaybyDay[[#This Row],[Budget-Rollup]]),0),"")</f>
        <v>0</v>
      </c>
      <c r="X1063" t="b">
        <f>NOT(AND(ISBLANK(DaybyDay[[#This Row],[Appts]]),ISBLANK(DaybyDay[[#This Row],[Service-Actuals]]),ISBLANK(DaybyDay[[#This Row],[Retail-Actuals]])))</f>
        <v>1</v>
      </c>
      <c r="Y1063" s="36">
        <f>IF(DaybyDay[[#This Row],[_Space]],IFERROR(
((DaybyDay[[#This Row],[Actual-Rollup]]-DaybyDay[[#This Row],[LY-Rollup]])/DaybyDay[[#This Row],[LY-Rollup]]),0),"")</f>
        <v>0</v>
      </c>
      <c r="Z1063"/>
      <c r="AA1063" s="37" t="e">
        <f>IF(DaybyDay[[#This Row],[_Space]],DaybyDay[[#This Row],[Ret-Act-RU]]/DaybyDay[[#This Row],[Serv-Act-RU]],"")</f>
        <v>#DIV/0!</v>
      </c>
      <c r="AB1063" s="50" t="e">
        <f>IF(DaybyDay[[#This Row],[_Space]],DaybyDay[[#This Row],[RETPEN-Act]]/DaybyDay[[#This Row],[RETPEN-Bud]],"")</f>
        <v>#DIV/0!</v>
      </c>
      <c r="AC1063" s="37" t="e">
        <f>IF(DaybyDay[[#This Row],[_Space]],DaybyDay[[#This Row],[Ret-Bud-RU]]/DaybyDay[[#This Row],[Serv-Bud-RU]],"")</f>
        <v>#DIV/0!</v>
      </c>
      <c r="AD1063" s="37" t="e">
        <f>IF(DaybyDay[[#This Row],[_Space]],DaybyDay[[#This Row],[Ret-LY-RU]]/DaybyDay[[#This Row],[Serv-LY-RU]],"")</f>
        <v>#DIV/0!</v>
      </c>
      <c r="AE1063" s="30">
        <f>WEEKDAY(DaybyDay[[#This Row],[LY-Date]])</f>
        <v>7</v>
      </c>
      <c r="AF1063" s="38">
        <f>$E$2+_xlfn.DAYS(DaybyDay[[#This Row],[Date]],minDate)</f>
        <v>43428</v>
      </c>
      <c r="AG1063" s="39" cm="1">
        <f t="array" ref="AG1063">IFERROR(INDEX(DaybyDay[],DaybyDay[[#This Row],[FORM_MATCH_HELPER]],8),"")</f>
        <v>28</v>
      </c>
      <c r="AH1063" s="39" cm="1">
        <f t="array" ref="AH1063">IFERROR(INDEX(DaybyDay[],DaybyDay[[#This Row],[FORM_MATCH_HELPER]],10),"")</f>
        <v>6673</v>
      </c>
      <c r="AI1063" s="39" cm="1">
        <f t="array" ref="AI1063">IFERROR(INDEX(DaybyDay[],DaybyDay[[#This Row],[FORM_MATCH_HELPER]],12),"")</f>
        <v>1287.75</v>
      </c>
      <c r="AJ1063" s="32">
        <f>IFERROR(DaybyDay[[#This Row],[Serv-LY-RU]]+DaybyDay[[#This Row],[Ret-LY-RU]],"")</f>
        <v>0</v>
      </c>
      <c r="AK10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3" s="77"/>
      <c r="AM1063" s="40" t="str">
        <f>IF(DaybyDay[[#This Row],[Admin Hours]]&gt;0,DaybyDay[[#This Row],[Admin Hours]]*$AM$2+$AM$3,"")</f>
        <v/>
      </c>
      <c r="AN1063" s="40">
        <f>SUMIFS(DaybyDay[Est-Admin-Payroll],DaybyDay[Date],"&gt;="&amp;$C$5,DaybyDay[RowYear],"&gt;="&amp;$C$4,DaybyDay[Date],"&lt;="&amp;DaybyDay[[#This Row],[Date]])</f>
        <v>0</v>
      </c>
      <c r="AO1063" s="41" t="str">
        <f>IF(AND(DaybyDay[[#This Row],[_Space]],ISNUMBER(DaybyDay[[#This Row],[Admin Hours]])),DaybyDay[[#This Row],[Est-Admin-Payroll]]/(DaybyDay[[#This Row],[Service-Actuals]]+DaybyDay[[#This Row],[Retail-Actuals]]),"")</f>
        <v/>
      </c>
      <c r="AP1063" s="41" t="e">
        <f>DaybyDay[[#This Row],[Estimated-Payroll-Rollup]]/DaybyDay[[#This Row],[Simple-Forecast]]</f>
        <v>#DIV/0!</v>
      </c>
      <c r="AQ10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3" s="77"/>
      <c r="AS1063" s="40" t="str">
        <f>IF(DaybyDay[[#This Row],[Retail Hours]]&gt;0,DaybyDay[[#This Row],[Retail Hours]]*$AS$2,"")</f>
        <v/>
      </c>
      <c r="AT1063" s="40">
        <f>SUMIFS(DaybyDay[Est-Retail-Payroll],DaybyDay[Date],"&gt;="&amp;$C$5,DaybyDay[RowYear],"&gt;="&amp;$C$4,DaybyDay[Date],"&lt;="&amp;DaybyDay[[#This Row],[Date]])</f>
        <v>0</v>
      </c>
      <c r="AU1063" s="82" t="str">
        <f>IF(AND(DaybyDay[[#This Row],[_Space]],ISNUMBER(DaybyDay[[#This Row],[Retail Hours]])),DaybyDay[[#This Row],[Est-Retail-Payroll]]/(DaybyDay[[#This Row],[Retail-Actuals]]),"")</f>
        <v/>
      </c>
      <c r="AV1063" s="82" t="e">
        <f>DaybyDay[[#This Row],[Est-Retail-PayrollRU]]/DaybyDay[[#This Row],[Simple-Forecast-Retail]]</f>
        <v>#DIV/0!</v>
      </c>
      <c r="AW1063" s="8"/>
      <c r="AX1063" s="15"/>
      <c r="AY1063" s="8"/>
    </row>
    <row r="1064" spans="3:51" hidden="1" x14ac:dyDescent="0.25">
      <c r="C1064" s="26" t="str">
        <f>Tools!$C$1</f>
        <v>Example</v>
      </c>
      <c r="D1064" s="27" t="s">
        <v>78</v>
      </c>
      <c r="E1064" s="28">
        <v>2019</v>
      </c>
      <c r="F1064" s="28">
        <f>MATCH(DaybyDay[[#This Row],[RowMonth]],Table3[SummaryMonth],0)</f>
        <v>11</v>
      </c>
      <c r="G1064" s="29">
        <f>MATCH(DaybyDay[[#This Row],[LY-Date]],DaybyDay[Date],0)</f>
        <v>694</v>
      </c>
      <c r="H1064" s="30">
        <f>WEEKDAY(DaybyDay[[#This Row],[Date]])</f>
        <v>1</v>
      </c>
      <c r="I1064" s="31">
        <v>43793</v>
      </c>
      <c r="J1064" s="74">
        <v>23</v>
      </c>
      <c r="K1064" s="32">
        <f>SUMIFS(BudgetSeasonality[365 Seasonality],BudgetSeasonality[MonthAdjustment],DaybyDay[[#This Row],[Date]])*SUMIFS(Budgets[Service-Budget],Budgets[BudgetMonth],DaybyDay[[#This Row],[RowMonth]],Budgets[BudgetYear],DaybyDay[[#This Row],[RowYear]])</f>
        <v>6674.2754090887038</v>
      </c>
      <c r="L1064" s="75">
        <v>5237.8</v>
      </c>
      <c r="M1064" s="32">
        <f>INDEX(BudgetSeasonality[365 Seasonality],MATCH(DaybyDay[[#This Row],[Date]],BudgetSeasonality[MonthAdjustment],0))*SUMIFS(Budgets[Retail-Budget],Budgets[BudgetMonth],DaybyDay[[#This Row],[RowMonth]],Budgets[BudgetYear],DaybyDay[[#This Row],[RowYear]])</f>
        <v>2372.8492096448913</v>
      </c>
      <c r="N1064" s="75">
        <v>1018</v>
      </c>
      <c r="O1064" s="33">
        <f>SUMIFS(DaybyDay[Service-Budgets],DaybyDay[Date],"&gt;="&amp;$C$5,DaybyDay[RowYear],"&gt;="&amp;$C$4,DaybyDay[Date],"&lt;="&amp;DaybyDay[[#This Row],[Date]])</f>
        <v>0</v>
      </c>
      <c r="P1064" s="33">
        <f>SUMIFS(DaybyDay[Retail-Budgets],DaybyDay[Date],"&gt;="&amp;$C$5,DaybyDay[RowYear],"&gt;="&amp;$C$4,DaybyDay[Date],"&lt;="&amp;DaybyDay[[#This Row],[Date]])</f>
        <v>0</v>
      </c>
      <c r="Q1064" s="34">
        <f>SUMIFS(DaybyDay[Service-Actuals],DaybyDay[Date],"&gt;="&amp;$C$5,DaybyDay[RowYear],"&gt;="&amp;$C$4,DaybyDay[Date],"&lt;="&amp;DaybyDay[[#This Row],[Date]])</f>
        <v>0</v>
      </c>
      <c r="R1064" s="34">
        <f>SUMIFS(DaybyDay[Retail-Actuals],DaybyDay[Date],"&gt;="&amp;$C$5,DaybyDay[RowYear],"&gt;="&amp;$C$4,DaybyDay[Date],"&lt;="&amp;DaybyDay[[#This Row],[Date]])</f>
        <v>0</v>
      </c>
      <c r="S1064" s="35">
        <f>SUMIFS(DaybyDay[Service-LY],DaybyDay[Date],"&gt;="&amp;$C$5,DaybyDay[RowYear],"&gt;="&amp;$C$4,DaybyDay[Date],"&lt;="&amp;DaybyDay[[#This Row],[Date]])</f>
        <v>0</v>
      </c>
      <c r="T1064" s="35">
        <f>SUMIFS(DaybyDay[Retail-LY],DaybyDay[Date],"&gt;="&amp;$C$5,DaybyDay[RowYear],"&gt;="&amp;$C$4,DaybyDay[Date],"&lt;="&amp;DaybyDay[[#This Row],[Date]])</f>
        <v>0</v>
      </c>
      <c r="U1064" s="32">
        <f>DaybyDay[[#This Row],[Serv-Bud-RU]]+DaybyDay[[#This Row],[Ret-Bud-RU]]</f>
        <v>0</v>
      </c>
      <c r="V1064" s="32">
        <f>DaybyDay[[#This Row],[Serv-Act-RU]]+DaybyDay[[#This Row],[Ret-Act-RU]]</f>
        <v>0</v>
      </c>
      <c r="W1064" s="36">
        <f>IF(DaybyDay[[#This Row],[_Space]],IFERROR(
((DaybyDay[[#This Row],[Actual-Rollup]]-DaybyDay[[#This Row],[Budget-Rollup]])/DaybyDay[[#This Row],[Budget-Rollup]]),0),"")</f>
        <v>0</v>
      </c>
      <c r="X1064" t="b">
        <f>NOT(AND(ISBLANK(DaybyDay[[#This Row],[Appts]]),ISBLANK(DaybyDay[[#This Row],[Service-Actuals]]),ISBLANK(DaybyDay[[#This Row],[Retail-Actuals]])))</f>
        <v>1</v>
      </c>
      <c r="Y1064" s="36">
        <f>IF(DaybyDay[[#This Row],[_Space]],IFERROR(
((DaybyDay[[#This Row],[Actual-Rollup]]-DaybyDay[[#This Row],[LY-Rollup]])/DaybyDay[[#This Row],[LY-Rollup]]),0),"")</f>
        <v>0</v>
      </c>
      <c r="Z1064"/>
      <c r="AA1064" s="37" t="e">
        <f>IF(DaybyDay[[#This Row],[_Space]],DaybyDay[[#This Row],[Ret-Act-RU]]/DaybyDay[[#This Row],[Serv-Act-RU]],"")</f>
        <v>#DIV/0!</v>
      </c>
      <c r="AB1064" s="50" t="e">
        <f>IF(DaybyDay[[#This Row],[_Space]],DaybyDay[[#This Row],[RETPEN-Act]]/DaybyDay[[#This Row],[RETPEN-Bud]],"")</f>
        <v>#DIV/0!</v>
      </c>
      <c r="AC1064" s="37" t="e">
        <f>IF(DaybyDay[[#This Row],[_Space]],DaybyDay[[#This Row],[Ret-Bud-RU]]/DaybyDay[[#This Row],[Serv-Bud-RU]],"")</f>
        <v>#DIV/0!</v>
      </c>
      <c r="AD1064" s="37" t="e">
        <f>IF(DaybyDay[[#This Row],[_Space]],DaybyDay[[#This Row],[Ret-LY-RU]]/DaybyDay[[#This Row],[Serv-LY-RU]],"")</f>
        <v>#DIV/0!</v>
      </c>
      <c r="AE1064" s="30">
        <f>WEEKDAY(DaybyDay[[#This Row],[LY-Date]])</f>
        <v>1</v>
      </c>
      <c r="AF1064" s="38">
        <f>$E$2+_xlfn.DAYS(DaybyDay[[#This Row],[Date]],minDate)</f>
        <v>43429</v>
      </c>
      <c r="AG1064" s="39" cm="1">
        <f t="array" ref="AG1064">IFERROR(INDEX(DaybyDay[],DaybyDay[[#This Row],[FORM_MATCH_HELPER]],8),"")</f>
        <v>28</v>
      </c>
      <c r="AH1064" s="39" cm="1">
        <f t="array" ref="AH1064">IFERROR(INDEX(DaybyDay[],DaybyDay[[#This Row],[FORM_MATCH_HELPER]],10),"")</f>
        <v>6199.7</v>
      </c>
      <c r="AI1064" s="39" cm="1">
        <f t="array" ref="AI1064">IFERROR(INDEX(DaybyDay[],DaybyDay[[#This Row],[FORM_MATCH_HELPER]],12),"")</f>
        <v>3406</v>
      </c>
      <c r="AJ1064" s="32">
        <f>IFERROR(DaybyDay[[#This Row],[Serv-LY-RU]]+DaybyDay[[#This Row],[Ret-LY-RU]],"")</f>
        <v>0</v>
      </c>
      <c r="AK10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4" s="77"/>
      <c r="AM1064" s="40" t="str">
        <f>IF(DaybyDay[[#This Row],[Admin Hours]]&gt;0,DaybyDay[[#This Row],[Admin Hours]]*$AM$2+$AM$3,"")</f>
        <v/>
      </c>
      <c r="AN1064" s="40">
        <f>SUMIFS(DaybyDay[Est-Admin-Payroll],DaybyDay[Date],"&gt;="&amp;$C$5,DaybyDay[RowYear],"&gt;="&amp;$C$4,DaybyDay[Date],"&lt;="&amp;DaybyDay[[#This Row],[Date]])</f>
        <v>0</v>
      </c>
      <c r="AO1064" s="41" t="str">
        <f>IF(AND(DaybyDay[[#This Row],[_Space]],ISNUMBER(DaybyDay[[#This Row],[Admin Hours]])),DaybyDay[[#This Row],[Est-Admin-Payroll]]/(DaybyDay[[#This Row],[Service-Actuals]]+DaybyDay[[#This Row],[Retail-Actuals]]),"")</f>
        <v/>
      </c>
      <c r="AP1064" s="41" t="e">
        <f>DaybyDay[[#This Row],[Estimated-Payroll-Rollup]]/DaybyDay[[#This Row],[Simple-Forecast]]</f>
        <v>#DIV/0!</v>
      </c>
      <c r="AQ10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4" s="77"/>
      <c r="AS1064" s="40" t="str">
        <f>IF(DaybyDay[[#This Row],[Retail Hours]]&gt;0,DaybyDay[[#This Row],[Retail Hours]]*$AS$2,"")</f>
        <v/>
      </c>
      <c r="AT1064" s="40">
        <f>SUMIFS(DaybyDay[Est-Retail-Payroll],DaybyDay[Date],"&gt;="&amp;$C$5,DaybyDay[RowYear],"&gt;="&amp;$C$4,DaybyDay[Date],"&lt;="&amp;DaybyDay[[#This Row],[Date]])</f>
        <v>0</v>
      </c>
      <c r="AU1064" s="82" t="str">
        <f>IF(AND(DaybyDay[[#This Row],[_Space]],ISNUMBER(DaybyDay[[#This Row],[Retail Hours]])),DaybyDay[[#This Row],[Est-Retail-Payroll]]/(DaybyDay[[#This Row],[Retail-Actuals]]),"")</f>
        <v/>
      </c>
      <c r="AV1064" s="82" t="e">
        <f>DaybyDay[[#This Row],[Est-Retail-PayrollRU]]/DaybyDay[[#This Row],[Simple-Forecast-Retail]]</f>
        <v>#DIV/0!</v>
      </c>
      <c r="AW1064" s="8"/>
      <c r="AX1064" s="15"/>
      <c r="AY1064" s="8"/>
    </row>
    <row r="1065" spans="3:51" hidden="1" x14ac:dyDescent="0.25">
      <c r="C1065" s="26" t="str">
        <f>Tools!$C$1</f>
        <v>Example</v>
      </c>
      <c r="D1065" s="27" t="s">
        <v>78</v>
      </c>
      <c r="E1065" s="28">
        <v>2019</v>
      </c>
      <c r="F1065" s="28">
        <f>MATCH(DaybyDay[[#This Row],[RowMonth]],Table3[SummaryMonth],0)</f>
        <v>11</v>
      </c>
      <c r="G1065" s="29">
        <f>MATCH(DaybyDay[[#This Row],[LY-Date]],DaybyDay[Date],0)</f>
        <v>695</v>
      </c>
      <c r="H1065" s="30">
        <f>WEEKDAY(DaybyDay[[#This Row],[Date]])</f>
        <v>2</v>
      </c>
      <c r="I1065" s="31">
        <v>43794</v>
      </c>
      <c r="J1065" s="74">
        <v>9</v>
      </c>
      <c r="K1065" s="32">
        <f>SUMIFS(BudgetSeasonality[365 Seasonality],BudgetSeasonality[MonthAdjustment],DaybyDay[[#This Row],[Date]])*SUMIFS(Budgets[Service-Budget],Budgets[BudgetMonth],DaybyDay[[#This Row],[RowMonth]],Budgets[BudgetYear],DaybyDay[[#This Row],[RowYear]])</f>
        <v>4047.1055050228165</v>
      </c>
      <c r="L1065" s="75">
        <v>2246</v>
      </c>
      <c r="M1065" s="32">
        <f>INDEX(BudgetSeasonality[365 Seasonality],MATCH(DaybyDay[[#This Row],[Date]],BudgetSeasonality[MonthAdjustment],0))*SUMIFS(Budgets[Retail-Budget],Budgets[BudgetMonth],DaybyDay[[#This Row],[RowMonth]],Budgets[BudgetYear],DaybyDay[[#This Row],[RowYear]])</f>
        <v>1438.8335078090645</v>
      </c>
      <c r="N1065" s="75">
        <v>1753</v>
      </c>
      <c r="O1065" s="33">
        <f>SUMIFS(DaybyDay[Service-Budgets],DaybyDay[Date],"&gt;="&amp;$C$5,DaybyDay[RowYear],"&gt;="&amp;$C$4,DaybyDay[Date],"&lt;="&amp;DaybyDay[[#This Row],[Date]])</f>
        <v>0</v>
      </c>
      <c r="P1065" s="33">
        <f>SUMIFS(DaybyDay[Retail-Budgets],DaybyDay[Date],"&gt;="&amp;$C$5,DaybyDay[RowYear],"&gt;="&amp;$C$4,DaybyDay[Date],"&lt;="&amp;DaybyDay[[#This Row],[Date]])</f>
        <v>0</v>
      </c>
      <c r="Q1065" s="34">
        <f>SUMIFS(DaybyDay[Service-Actuals],DaybyDay[Date],"&gt;="&amp;$C$5,DaybyDay[RowYear],"&gt;="&amp;$C$4,DaybyDay[Date],"&lt;="&amp;DaybyDay[[#This Row],[Date]])</f>
        <v>0</v>
      </c>
      <c r="R1065" s="34">
        <f>SUMIFS(DaybyDay[Retail-Actuals],DaybyDay[Date],"&gt;="&amp;$C$5,DaybyDay[RowYear],"&gt;="&amp;$C$4,DaybyDay[Date],"&lt;="&amp;DaybyDay[[#This Row],[Date]])</f>
        <v>0</v>
      </c>
      <c r="S1065" s="35">
        <f>SUMIFS(DaybyDay[Service-LY],DaybyDay[Date],"&gt;="&amp;$C$5,DaybyDay[RowYear],"&gt;="&amp;$C$4,DaybyDay[Date],"&lt;="&amp;DaybyDay[[#This Row],[Date]])</f>
        <v>0</v>
      </c>
      <c r="T1065" s="35">
        <f>SUMIFS(DaybyDay[Retail-LY],DaybyDay[Date],"&gt;="&amp;$C$5,DaybyDay[RowYear],"&gt;="&amp;$C$4,DaybyDay[Date],"&lt;="&amp;DaybyDay[[#This Row],[Date]])</f>
        <v>0</v>
      </c>
      <c r="U1065" s="32">
        <f>DaybyDay[[#This Row],[Serv-Bud-RU]]+DaybyDay[[#This Row],[Ret-Bud-RU]]</f>
        <v>0</v>
      </c>
      <c r="V1065" s="32">
        <f>DaybyDay[[#This Row],[Serv-Act-RU]]+DaybyDay[[#This Row],[Ret-Act-RU]]</f>
        <v>0</v>
      </c>
      <c r="W1065" s="36">
        <f>IF(DaybyDay[[#This Row],[_Space]],IFERROR(
((DaybyDay[[#This Row],[Actual-Rollup]]-DaybyDay[[#This Row],[Budget-Rollup]])/DaybyDay[[#This Row],[Budget-Rollup]]),0),"")</f>
        <v>0</v>
      </c>
      <c r="X1065" t="b">
        <f>NOT(AND(ISBLANK(DaybyDay[[#This Row],[Appts]]),ISBLANK(DaybyDay[[#This Row],[Service-Actuals]]),ISBLANK(DaybyDay[[#This Row],[Retail-Actuals]])))</f>
        <v>1</v>
      </c>
      <c r="Y1065" s="36">
        <f>IF(DaybyDay[[#This Row],[_Space]],IFERROR(
((DaybyDay[[#This Row],[Actual-Rollup]]-DaybyDay[[#This Row],[LY-Rollup]])/DaybyDay[[#This Row],[LY-Rollup]]),0),"")</f>
        <v>0</v>
      </c>
      <c r="Z1065"/>
      <c r="AA1065" s="37" t="e">
        <f>IF(DaybyDay[[#This Row],[_Space]],DaybyDay[[#This Row],[Ret-Act-RU]]/DaybyDay[[#This Row],[Serv-Act-RU]],"")</f>
        <v>#DIV/0!</v>
      </c>
      <c r="AB1065" s="50" t="e">
        <f>IF(DaybyDay[[#This Row],[_Space]],DaybyDay[[#This Row],[RETPEN-Act]]/DaybyDay[[#This Row],[RETPEN-Bud]],"")</f>
        <v>#DIV/0!</v>
      </c>
      <c r="AC1065" s="37" t="e">
        <f>IF(DaybyDay[[#This Row],[_Space]],DaybyDay[[#This Row],[Ret-Bud-RU]]/DaybyDay[[#This Row],[Serv-Bud-RU]],"")</f>
        <v>#DIV/0!</v>
      </c>
      <c r="AD1065" s="37" t="e">
        <f>IF(DaybyDay[[#This Row],[_Space]],DaybyDay[[#This Row],[Ret-LY-RU]]/DaybyDay[[#This Row],[Serv-LY-RU]],"")</f>
        <v>#DIV/0!</v>
      </c>
      <c r="AE1065" s="30">
        <f>WEEKDAY(DaybyDay[[#This Row],[LY-Date]])</f>
        <v>2</v>
      </c>
      <c r="AF1065" s="38">
        <f>$E$2+_xlfn.DAYS(DaybyDay[[#This Row],[Date]],minDate)</f>
        <v>43430</v>
      </c>
      <c r="AG1065" s="39" cm="1">
        <f t="array" ref="AG1065">IFERROR(INDEX(DaybyDay[],DaybyDay[[#This Row],[FORM_MATCH_HELPER]],8),"")</f>
        <v>19</v>
      </c>
      <c r="AH1065" s="39" cm="1">
        <f t="array" ref="AH1065">IFERROR(INDEX(DaybyDay[],DaybyDay[[#This Row],[FORM_MATCH_HELPER]],10),"")</f>
        <v>3371</v>
      </c>
      <c r="AI1065" s="39" cm="1">
        <f t="array" ref="AI1065">IFERROR(INDEX(DaybyDay[],DaybyDay[[#This Row],[FORM_MATCH_HELPER]],12),"")</f>
        <v>683</v>
      </c>
      <c r="AJ1065" s="32">
        <f>IFERROR(DaybyDay[[#This Row],[Serv-LY-RU]]+DaybyDay[[#This Row],[Ret-LY-RU]],"")</f>
        <v>0</v>
      </c>
      <c r="AK10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5" s="77"/>
      <c r="AM1065" s="40" t="str">
        <f>IF(DaybyDay[[#This Row],[Admin Hours]]&gt;0,DaybyDay[[#This Row],[Admin Hours]]*$AM$2+$AM$3,"")</f>
        <v/>
      </c>
      <c r="AN1065" s="40">
        <f>SUMIFS(DaybyDay[Est-Admin-Payroll],DaybyDay[Date],"&gt;="&amp;$C$5,DaybyDay[RowYear],"&gt;="&amp;$C$4,DaybyDay[Date],"&lt;="&amp;DaybyDay[[#This Row],[Date]])</f>
        <v>0</v>
      </c>
      <c r="AO1065" s="41" t="str">
        <f>IF(AND(DaybyDay[[#This Row],[_Space]],ISNUMBER(DaybyDay[[#This Row],[Admin Hours]])),DaybyDay[[#This Row],[Est-Admin-Payroll]]/(DaybyDay[[#This Row],[Service-Actuals]]+DaybyDay[[#This Row],[Retail-Actuals]]),"")</f>
        <v/>
      </c>
      <c r="AP1065" s="41" t="e">
        <f>DaybyDay[[#This Row],[Estimated-Payroll-Rollup]]/DaybyDay[[#This Row],[Simple-Forecast]]</f>
        <v>#DIV/0!</v>
      </c>
      <c r="AQ10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5" s="77"/>
      <c r="AS1065" s="40" t="str">
        <f>IF(DaybyDay[[#This Row],[Retail Hours]]&gt;0,DaybyDay[[#This Row],[Retail Hours]]*$AS$2,"")</f>
        <v/>
      </c>
      <c r="AT1065" s="40">
        <f>SUMIFS(DaybyDay[Est-Retail-Payroll],DaybyDay[Date],"&gt;="&amp;$C$5,DaybyDay[RowYear],"&gt;="&amp;$C$4,DaybyDay[Date],"&lt;="&amp;DaybyDay[[#This Row],[Date]])</f>
        <v>0</v>
      </c>
      <c r="AU1065" s="82" t="str">
        <f>IF(AND(DaybyDay[[#This Row],[_Space]],ISNUMBER(DaybyDay[[#This Row],[Retail Hours]])),DaybyDay[[#This Row],[Est-Retail-Payroll]]/(DaybyDay[[#This Row],[Retail-Actuals]]),"")</f>
        <v/>
      </c>
      <c r="AV1065" s="82" t="e">
        <f>DaybyDay[[#This Row],[Est-Retail-PayrollRU]]/DaybyDay[[#This Row],[Simple-Forecast-Retail]]</f>
        <v>#DIV/0!</v>
      </c>
      <c r="AW1065" s="8"/>
      <c r="AX1065" s="15"/>
      <c r="AY1065" s="8"/>
    </row>
    <row r="1066" spans="3:51" hidden="1" x14ac:dyDescent="0.25">
      <c r="C1066" s="26" t="str">
        <f>Tools!$C$1</f>
        <v>Example</v>
      </c>
      <c r="D1066" s="27" t="s">
        <v>78</v>
      </c>
      <c r="E1066" s="28">
        <v>2019</v>
      </c>
      <c r="F1066" s="28">
        <f>MATCH(DaybyDay[[#This Row],[RowMonth]],Table3[SummaryMonth],0)</f>
        <v>11</v>
      </c>
      <c r="G1066" s="29">
        <f>MATCH(DaybyDay[[#This Row],[LY-Date]],DaybyDay[Date],0)</f>
        <v>696</v>
      </c>
      <c r="H1066" s="30">
        <f>WEEKDAY(DaybyDay[[#This Row],[Date]])</f>
        <v>3</v>
      </c>
      <c r="I1066" s="31">
        <v>43795</v>
      </c>
      <c r="J1066" s="74">
        <v>14</v>
      </c>
      <c r="K1066" s="32">
        <f>SUMIFS(BudgetSeasonality[365 Seasonality],BudgetSeasonality[MonthAdjustment],DaybyDay[[#This Row],[Date]])*SUMIFS(Budgets[Service-Budget],Budgets[BudgetMonth],DaybyDay[[#This Row],[RowMonth]],Budgets[BudgetYear],DaybyDay[[#This Row],[RowYear]])</f>
        <v>4164.8455733392639</v>
      </c>
      <c r="L1066" s="75">
        <v>2773.99</v>
      </c>
      <c r="M1066" s="32">
        <f>INDEX(BudgetSeasonality[365 Seasonality],MATCH(DaybyDay[[#This Row],[Date]],BudgetSeasonality[MonthAdjustment],0))*SUMIFS(Budgets[Retail-Budget],Budgets[BudgetMonth],DaybyDay[[#This Row],[RowMonth]],Budgets[BudgetYear],DaybyDay[[#This Row],[RowYear]])</f>
        <v>1480.6926477042766</v>
      </c>
      <c r="N1066" s="75">
        <v>2623.5</v>
      </c>
      <c r="O1066" s="33">
        <f>SUMIFS(DaybyDay[Service-Budgets],DaybyDay[Date],"&gt;="&amp;$C$5,DaybyDay[RowYear],"&gt;="&amp;$C$4,DaybyDay[Date],"&lt;="&amp;DaybyDay[[#This Row],[Date]])</f>
        <v>0</v>
      </c>
      <c r="P1066" s="33">
        <f>SUMIFS(DaybyDay[Retail-Budgets],DaybyDay[Date],"&gt;="&amp;$C$5,DaybyDay[RowYear],"&gt;="&amp;$C$4,DaybyDay[Date],"&lt;="&amp;DaybyDay[[#This Row],[Date]])</f>
        <v>0</v>
      </c>
      <c r="Q1066" s="34">
        <f>SUMIFS(DaybyDay[Service-Actuals],DaybyDay[Date],"&gt;="&amp;$C$5,DaybyDay[RowYear],"&gt;="&amp;$C$4,DaybyDay[Date],"&lt;="&amp;DaybyDay[[#This Row],[Date]])</f>
        <v>0</v>
      </c>
      <c r="R1066" s="34">
        <f>SUMIFS(DaybyDay[Retail-Actuals],DaybyDay[Date],"&gt;="&amp;$C$5,DaybyDay[RowYear],"&gt;="&amp;$C$4,DaybyDay[Date],"&lt;="&amp;DaybyDay[[#This Row],[Date]])</f>
        <v>0</v>
      </c>
      <c r="S1066" s="35">
        <f>SUMIFS(DaybyDay[Service-LY],DaybyDay[Date],"&gt;="&amp;$C$5,DaybyDay[RowYear],"&gt;="&amp;$C$4,DaybyDay[Date],"&lt;="&amp;DaybyDay[[#This Row],[Date]])</f>
        <v>0</v>
      </c>
      <c r="T1066" s="35">
        <f>SUMIFS(DaybyDay[Retail-LY],DaybyDay[Date],"&gt;="&amp;$C$5,DaybyDay[RowYear],"&gt;="&amp;$C$4,DaybyDay[Date],"&lt;="&amp;DaybyDay[[#This Row],[Date]])</f>
        <v>0</v>
      </c>
      <c r="U1066" s="32">
        <f>DaybyDay[[#This Row],[Serv-Bud-RU]]+DaybyDay[[#This Row],[Ret-Bud-RU]]</f>
        <v>0</v>
      </c>
      <c r="V1066" s="32">
        <f>DaybyDay[[#This Row],[Serv-Act-RU]]+DaybyDay[[#This Row],[Ret-Act-RU]]</f>
        <v>0</v>
      </c>
      <c r="W1066" s="36">
        <f>IF(DaybyDay[[#This Row],[_Space]],IFERROR(
((DaybyDay[[#This Row],[Actual-Rollup]]-DaybyDay[[#This Row],[Budget-Rollup]])/DaybyDay[[#This Row],[Budget-Rollup]]),0),"")</f>
        <v>0</v>
      </c>
      <c r="X1066" t="b">
        <f>NOT(AND(ISBLANK(DaybyDay[[#This Row],[Appts]]),ISBLANK(DaybyDay[[#This Row],[Service-Actuals]]),ISBLANK(DaybyDay[[#This Row],[Retail-Actuals]])))</f>
        <v>1</v>
      </c>
      <c r="Y1066" s="36">
        <f>IF(DaybyDay[[#This Row],[_Space]],IFERROR(
((DaybyDay[[#This Row],[Actual-Rollup]]-DaybyDay[[#This Row],[LY-Rollup]])/DaybyDay[[#This Row],[LY-Rollup]]),0),"")</f>
        <v>0</v>
      </c>
      <c r="Z1066"/>
      <c r="AA1066" s="37" t="e">
        <f>IF(DaybyDay[[#This Row],[_Space]],DaybyDay[[#This Row],[Ret-Act-RU]]/DaybyDay[[#This Row],[Serv-Act-RU]],"")</f>
        <v>#DIV/0!</v>
      </c>
      <c r="AB1066" s="50" t="e">
        <f>IF(DaybyDay[[#This Row],[_Space]],DaybyDay[[#This Row],[RETPEN-Act]]/DaybyDay[[#This Row],[RETPEN-Bud]],"")</f>
        <v>#DIV/0!</v>
      </c>
      <c r="AC1066" s="37" t="e">
        <f>IF(DaybyDay[[#This Row],[_Space]],DaybyDay[[#This Row],[Ret-Bud-RU]]/DaybyDay[[#This Row],[Serv-Bud-RU]],"")</f>
        <v>#DIV/0!</v>
      </c>
      <c r="AD1066" s="37" t="e">
        <f>IF(DaybyDay[[#This Row],[_Space]],DaybyDay[[#This Row],[Ret-LY-RU]]/DaybyDay[[#This Row],[Serv-LY-RU]],"")</f>
        <v>#DIV/0!</v>
      </c>
      <c r="AE1066" s="30">
        <f>WEEKDAY(DaybyDay[[#This Row],[LY-Date]])</f>
        <v>3</v>
      </c>
      <c r="AF1066" s="38">
        <f>$E$2+_xlfn.DAYS(DaybyDay[[#This Row],[Date]],minDate)</f>
        <v>43431</v>
      </c>
      <c r="AG1066" s="39" cm="1">
        <f t="array" ref="AG1066">IFERROR(INDEX(DaybyDay[],DaybyDay[[#This Row],[FORM_MATCH_HELPER]],8),"")</f>
        <v>12</v>
      </c>
      <c r="AH1066" s="39" cm="1">
        <f t="array" ref="AH1066">IFERROR(INDEX(DaybyDay[],DaybyDay[[#This Row],[FORM_MATCH_HELPER]],10),"")</f>
        <v>3701</v>
      </c>
      <c r="AI1066" s="39" cm="1">
        <f t="array" ref="AI1066">IFERROR(INDEX(DaybyDay[],DaybyDay[[#This Row],[FORM_MATCH_HELPER]],12),"")</f>
        <v>1505.5</v>
      </c>
      <c r="AJ1066" s="32">
        <f>IFERROR(DaybyDay[[#This Row],[Serv-LY-RU]]+DaybyDay[[#This Row],[Ret-LY-RU]],"")</f>
        <v>0</v>
      </c>
      <c r="AK10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6" s="77"/>
      <c r="AM1066" s="40" t="str">
        <f>IF(DaybyDay[[#This Row],[Admin Hours]]&gt;0,DaybyDay[[#This Row],[Admin Hours]]*$AM$2+$AM$3,"")</f>
        <v/>
      </c>
      <c r="AN1066" s="40">
        <f>SUMIFS(DaybyDay[Est-Admin-Payroll],DaybyDay[Date],"&gt;="&amp;$C$5,DaybyDay[RowYear],"&gt;="&amp;$C$4,DaybyDay[Date],"&lt;="&amp;DaybyDay[[#This Row],[Date]])</f>
        <v>0</v>
      </c>
      <c r="AO1066" s="41" t="str">
        <f>IF(AND(DaybyDay[[#This Row],[_Space]],ISNUMBER(DaybyDay[[#This Row],[Admin Hours]])),DaybyDay[[#This Row],[Est-Admin-Payroll]]/(DaybyDay[[#This Row],[Service-Actuals]]+DaybyDay[[#This Row],[Retail-Actuals]]),"")</f>
        <v/>
      </c>
      <c r="AP1066" s="41" t="e">
        <f>DaybyDay[[#This Row],[Estimated-Payroll-Rollup]]/DaybyDay[[#This Row],[Simple-Forecast]]</f>
        <v>#DIV/0!</v>
      </c>
      <c r="AQ10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6" s="77"/>
      <c r="AS1066" s="40" t="str">
        <f>IF(DaybyDay[[#This Row],[Retail Hours]]&gt;0,DaybyDay[[#This Row],[Retail Hours]]*$AS$2,"")</f>
        <v/>
      </c>
      <c r="AT1066" s="40">
        <f>SUMIFS(DaybyDay[Est-Retail-Payroll],DaybyDay[Date],"&gt;="&amp;$C$5,DaybyDay[RowYear],"&gt;="&amp;$C$4,DaybyDay[Date],"&lt;="&amp;DaybyDay[[#This Row],[Date]])</f>
        <v>0</v>
      </c>
      <c r="AU1066" s="82" t="str">
        <f>IF(AND(DaybyDay[[#This Row],[_Space]],ISNUMBER(DaybyDay[[#This Row],[Retail Hours]])),DaybyDay[[#This Row],[Est-Retail-Payroll]]/(DaybyDay[[#This Row],[Retail-Actuals]]),"")</f>
        <v/>
      </c>
      <c r="AV1066" s="82" t="e">
        <f>DaybyDay[[#This Row],[Est-Retail-PayrollRU]]/DaybyDay[[#This Row],[Simple-Forecast-Retail]]</f>
        <v>#DIV/0!</v>
      </c>
      <c r="AW1066" s="8"/>
      <c r="AX1066" s="15"/>
      <c r="AY1066" s="8"/>
    </row>
    <row r="1067" spans="3:51" hidden="1" x14ac:dyDescent="0.25">
      <c r="C1067" s="26" t="str">
        <f>Tools!$C$1</f>
        <v>Example</v>
      </c>
      <c r="D1067" s="27" t="s">
        <v>78</v>
      </c>
      <c r="E1067" s="28">
        <v>2019</v>
      </c>
      <c r="F1067" s="28">
        <f>MATCH(DaybyDay[[#This Row],[RowMonth]],Table3[SummaryMonth],0)</f>
        <v>11</v>
      </c>
      <c r="G1067" s="29">
        <f>MATCH(DaybyDay[[#This Row],[LY-Date]],DaybyDay[Date],0)</f>
        <v>697</v>
      </c>
      <c r="H1067" s="30">
        <f>WEEKDAY(DaybyDay[[#This Row],[Date]])</f>
        <v>4</v>
      </c>
      <c r="I1067" s="31">
        <v>43796</v>
      </c>
      <c r="J1067" s="74">
        <v>18</v>
      </c>
      <c r="K1067" s="32">
        <f>SUMIFS(BudgetSeasonality[365 Seasonality],BudgetSeasonality[MonthAdjustment],DaybyDay[[#This Row],[Date]])*SUMIFS(Budgets[Service-Budget],Budgets[BudgetMonth],DaybyDay[[#This Row],[RowMonth]],Budgets[BudgetYear],DaybyDay[[#This Row],[RowYear]])</f>
        <v>4768.2354484124517</v>
      </c>
      <c r="L1067" s="75">
        <v>3717.85</v>
      </c>
      <c r="M1067" s="32">
        <f>INDEX(BudgetSeasonality[365 Seasonality],MATCH(DaybyDay[[#This Row],[Date]],BudgetSeasonality[MonthAdjustment],0))*SUMIFS(Budgets[Retail-Budget],Budgets[BudgetMonth],DaybyDay[[#This Row],[RowMonth]],Budgets[BudgetYear],DaybyDay[[#This Row],[RowYear]])</f>
        <v>1695.2107939326224</v>
      </c>
      <c r="N1067" s="75">
        <v>3315.65</v>
      </c>
      <c r="O1067" s="33">
        <f>SUMIFS(DaybyDay[Service-Budgets],DaybyDay[Date],"&gt;="&amp;$C$5,DaybyDay[RowYear],"&gt;="&amp;$C$4,DaybyDay[Date],"&lt;="&amp;DaybyDay[[#This Row],[Date]])</f>
        <v>0</v>
      </c>
      <c r="P1067" s="33">
        <f>SUMIFS(DaybyDay[Retail-Budgets],DaybyDay[Date],"&gt;="&amp;$C$5,DaybyDay[RowYear],"&gt;="&amp;$C$4,DaybyDay[Date],"&lt;="&amp;DaybyDay[[#This Row],[Date]])</f>
        <v>0</v>
      </c>
      <c r="Q1067" s="34">
        <f>SUMIFS(DaybyDay[Service-Actuals],DaybyDay[Date],"&gt;="&amp;$C$5,DaybyDay[RowYear],"&gt;="&amp;$C$4,DaybyDay[Date],"&lt;="&amp;DaybyDay[[#This Row],[Date]])</f>
        <v>0</v>
      </c>
      <c r="R1067" s="34">
        <f>SUMIFS(DaybyDay[Retail-Actuals],DaybyDay[Date],"&gt;="&amp;$C$5,DaybyDay[RowYear],"&gt;="&amp;$C$4,DaybyDay[Date],"&lt;="&amp;DaybyDay[[#This Row],[Date]])</f>
        <v>0</v>
      </c>
      <c r="S1067" s="35">
        <f>SUMIFS(DaybyDay[Service-LY],DaybyDay[Date],"&gt;="&amp;$C$5,DaybyDay[RowYear],"&gt;="&amp;$C$4,DaybyDay[Date],"&lt;="&amp;DaybyDay[[#This Row],[Date]])</f>
        <v>0</v>
      </c>
      <c r="T1067" s="35">
        <f>SUMIFS(DaybyDay[Retail-LY],DaybyDay[Date],"&gt;="&amp;$C$5,DaybyDay[RowYear],"&gt;="&amp;$C$4,DaybyDay[Date],"&lt;="&amp;DaybyDay[[#This Row],[Date]])</f>
        <v>0</v>
      </c>
      <c r="U1067" s="32">
        <f>DaybyDay[[#This Row],[Serv-Bud-RU]]+DaybyDay[[#This Row],[Ret-Bud-RU]]</f>
        <v>0</v>
      </c>
      <c r="V1067" s="32">
        <f>DaybyDay[[#This Row],[Serv-Act-RU]]+DaybyDay[[#This Row],[Ret-Act-RU]]</f>
        <v>0</v>
      </c>
      <c r="W1067" s="36">
        <f>IF(DaybyDay[[#This Row],[_Space]],IFERROR(
((DaybyDay[[#This Row],[Actual-Rollup]]-DaybyDay[[#This Row],[Budget-Rollup]])/DaybyDay[[#This Row],[Budget-Rollup]]),0),"")</f>
        <v>0</v>
      </c>
      <c r="X1067" t="b">
        <f>NOT(AND(ISBLANK(DaybyDay[[#This Row],[Appts]]),ISBLANK(DaybyDay[[#This Row],[Service-Actuals]]),ISBLANK(DaybyDay[[#This Row],[Retail-Actuals]])))</f>
        <v>1</v>
      </c>
      <c r="Y1067" s="36">
        <f>IF(DaybyDay[[#This Row],[_Space]],IFERROR(
((DaybyDay[[#This Row],[Actual-Rollup]]-DaybyDay[[#This Row],[LY-Rollup]])/DaybyDay[[#This Row],[LY-Rollup]]),0),"")</f>
        <v>0</v>
      </c>
      <c r="Z1067"/>
      <c r="AA1067" s="37" t="e">
        <f>IF(DaybyDay[[#This Row],[_Space]],DaybyDay[[#This Row],[Ret-Act-RU]]/DaybyDay[[#This Row],[Serv-Act-RU]],"")</f>
        <v>#DIV/0!</v>
      </c>
      <c r="AB1067" s="50" t="e">
        <f>IF(DaybyDay[[#This Row],[_Space]],DaybyDay[[#This Row],[RETPEN-Act]]/DaybyDay[[#This Row],[RETPEN-Bud]],"")</f>
        <v>#DIV/0!</v>
      </c>
      <c r="AC1067" s="37" t="e">
        <f>IF(DaybyDay[[#This Row],[_Space]],DaybyDay[[#This Row],[Ret-Bud-RU]]/DaybyDay[[#This Row],[Serv-Bud-RU]],"")</f>
        <v>#DIV/0!</v>
      </c>
      <c r="AD1067" s="37" t="e">
        <f>IF(DaybyDay[[#This Row],[_Space]],DaybyDay[[#This Row],[Ret-LY-RU]]/DaybyDay[[#This Row],[Serv-LY-RU]],"")</f>
        <v>#DIV/0!</v>
      </c>
      <c r="AE1067" s="30">
        <f>WEEKDAY(DaybyDay[[#This Row],[LY-Date]])</f>
        <v>4</v>
      </c>
      <c r="AF1067" s="38">
        <f>$E$2+_xlfn.DAYS(DaybyDay[[#This Row],[Date]],minDate)</f>
        <v>43432</v>
      </c>
      <c r="AG1067" s="39" cm="1">
        <f t="array" ref="AG1067">IFERROR(INDEX(DaybyDay[],DaybyDay[[#This Row],[FORM_MATCH_HELPER]],8),"")</f>
        <v>20</v>
      </c>
      <c r="AH1067" s="39" cm="1">
        <f t="array" ref="AH1067">IFERROR(INDEX(DaybyDay[],DaybyDay[[#This Row],[FORM_MATCH_HELPER]],10),"")</f>
        <v>3433.7</v>
      </c>
      <c r="AI1067" s="39" cm="1">
        <f t="array" ref="AI1067">IFERROR(INDEX(DaybyDay[],DaybyDay[[#This Row],[FORM_MATCH_HELPER]],12),"")</f>
        <v>1930.85</v>
      </c>
      <c r="AJ1067" s="32">
        <f>IFERROR(DaybyDay[[#This Row],[Serv-LY-RU]]+DaybyDay[[#This Row],[Ret-LY-RU]],"")</f>
        <v>0</v>
      </c>
      <c r="AK10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7" s="77"/>
      <c r="AM1067" s="40" t="str">
        <f>IF(DaybyDay[[#This Row],[Admin Hours]]&gt;0,DaybyDay[[#This Row],[Admin Hours]]*$AM$2+$AM$3,"")</f>
        <v/>
      </c>
      <c r="AN1067" s="40">
        <f>SUMIFS(DaybyDay[Est-Admin-Payroll],DaybyDay[Date],"&gt;="&amp;$C$5,DaybyDay[RowYear],"&gt;="&amp;$C$4,DaybyDay[Date],"&lt;="&amp;DaybyDay[[#This Row],[Date]])</f>
        <v>0</v>
      </c>
      <c r="AO1067" s="41" t="str">
        <f>IF(AND(DaybyDay[[#This Row],[_Space]],ISNUMBER(DaybyDay[[#This Row],[Admin Hours]])),DaybyDay[[#This Row],[Est-Admin-Payroll]]/(DaybyDay[[#This Row],[Service-Actuals]]+DaybyDay[[#This Row],[Retail-Actuals]]),"")</f>
        <v/>
      </c>
      <c r="AP1067" s="41" t="e">
        <f>DaybyDay[[#This Row],[Estimated-Payroll-Rollup]]/DaybyDay[[#This Row],[Simple-Forecast]]</f>
        <v>#DIV/0!</v>
      </c>
      <c r="AQ10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7" s="77"/>
      <c r="AS1067" s="40" t="str">
        <f>IF(DaybyDay[[#This Row],[Retail Hours]]&gt;0,DaybyDay[[#This Row],[Retail Hours]]*$AS$2,"")</f>
        <v/>
      </c>
      <c r="AT1067" s="40">
        <f>SUMIFS(DaybyDay[Est-Retail-Payroll],DaybyDay[Date],"&gt;="&amp;$C$5,DaybyDay[RowYear],"&gt;="&amp;$C$4,DaybyDay[Date],"&lt;="&amp;DaybyDay[[#This Row],[Date]])</f>
        <v>0</v>
      </c>
      <c r="AU1067" s="82" t="str">
        <f>IF(AND(DaybyDay[[#This Row],[_Space]],ISNUMBER(DaybyDay[[#This Row],[Retail Hours]])),DaybyDay[[#This Row],[Est-Retail-Payroll]]/(DaybyDay[[#This Row],[Retail-Actuals]]),"")</f>
        <v/>
      </c>
      <c r="AV1067" s="82" t="e">
        <f>DaybyDay[[#This Row],[Est-Retail-PayrollRU]]/DaybyDay[[#This Row],[Simple-Forecast-Retail]]</f>
        <v>#DIV/0!</v>
      </c>
      <c r="AW1067" s="8"/>
      <c r="AX1067" s="15"/>
      <c r="AY1067" s="8"/>
    </row>
    <row r="1068" spans="3:51" hidden="1" x14ac:dyDescent="0.25">
      <c r="C1068" s="26" t="str">
        <f>Tools!$C$1</f>
        <v>Example</v>
      </c>
      <c r="D1068" s="27" t="s">
        <v>78</v>
      </c>
      <c r="E1068" s="28">
        <v>2019</v>
      </c>
      <c r="F1068" s="28">
        <f>MATCH(DaybyDay[[#This Row],[RowMonth]],Table3[SummaryMonth],0)</f>
        <v>11</v>
      </c>
      <c r="G1068" s="29">
        <f>MATCH(DaybyDay[[#This Row],[LY-Date]],DaybyDay[Date],0)</f>
        <v>698</v>
      </c>
      <c r="H1068" s="30">
        <f>WEEKDAY(DaybyDay[[#This Row],[Date]])</f>
        <v>5</v>
      </c>
      <c r="I1068" s="31">
        <v>43797</v>
      </c>
      <c r="J1068" s="74">
        <v>11</v>
      </c>
      <c r="K1068" s="32">
        <f>SUMIFS(BudgetSeasonality[365 Seasonality],BudgetSeasonality[MonthAdjustment],DaybyDay[[#This Row],[Date]])*SUMIFS(Budgets[Service-Budget],Budgets[BudgetMonth],DaybyDay[[#This Row],[RowMonth]],Budgets[BudgetYear],DaybyDay[[#This Row],[RowYear]])</f>
        <v>4889.6838586714348</v>
      </c>
      <c r="L1068" s="75">
        <v>2871</v>
      </c>
      <c r="M1068" s="32">
        <f>INDEX(BudgetSeasonality[365 Seasonality],MATCH(DaybyDay[[#This Row],[Date]],BudgetSeasonality[MonthAdjustment],0))*SUMIFS(Budgets[Retail-Budget],Budgets[BudgetMonth],DaybyDay[[#This Row],[RowMonth]],Budgets[BudgetYear],DaybyDay[[#This Row],[RowYear]])</f>
        <v>1738.3883295649141</v>
      </c>
      <c r="N1068" s="75">
        <v>1214</v>
      </c>
      <c r="O1068" s="33">
        <f>SUMIFS(DaybyDay[Service-Budgets],DaybyDay[Date],"&gt;="&amp;$C$5,DaybyDay[RowYear],"&gt;="&amp;$C$4,DaybyDay[Date],"&lt;="&amp;DaybyDay[[#This Row],[Date]])</f>
        <v>0</v>
      </c>
      <c r="P1068" s="33">
        <f>SUMIFS(DaybyDay[Retail-Budgets],DaybyDay[Date],"&gt;="&amp;$C$5,DaybyDay[RowYear],"&gt;="&amp;$C$4,DaybyDay[Date],"&lt;="&amp;DaybyDay[[#This Row],[Date]])</f>
        <v>0</v>
      </c>
      <c r="Q1068" s="34">
        <f>SUMIFS(DaybyDay[Service-Actuals],DaybyDay[Date],"&gt;="&amp;$C$5,DaybyDay[RowYear],"&gt;="&amp;$C$4,DaybyDay[Date],"&lt;="&amp;DaybyDay[[#This Row],[Date]])</f>
        <v>0</v>
      </c>
      <c r="R1068" s="34">
        <f>SUMIFS(DaybyDay[Retail-Actuals],DaybyDay[Date],"&gt;="&amp;$C$5,DaybyDay[RowYear],"&gt;="&amp;$C$4,DaybyDay[Date],"&lt;="&amp;DaybyDay[[#This Row],[Date]])</f>
        <v>0</v>
      </c>
      <c r="S1068" s="35">
        <f>SUMIFS(DaybyDay[Service-LY],DaybyDay[Date],"&gt;="&amp;$C$5,DaybyDay[RowYear],"&gt;="&amp;$C$4,DaybyDay[Date],"&lt;="&amp;DaybyDay[[#This Row],[Date]])</f>
        <v>0</v>
      </c>
      <c r="T1068" s="35">
        <f>SUMIFS(DaybyDay[Retail-LY],DaybyDay[Date],"&gt;="&amp;$C$5,DaybyDay[RowYear],"&gt;="&amp;$C$4,DaybyDay[Date],"&lt;="&amp;DaybyDay[[#This Row],[Date]])</f>
        <v>0</v>
      </c>
      <c r="U1068" s="32">
        <f>DaybyDay[[#This Row],[Serv-Bud-RU]]+DaybyDay[[#This Row],[Ret-Bud-RU]]</f>
        <v>0</v>
      </c>
      <c r="V1068" s="32">
        <f>DaybyDay[[#This Row],[Serv-Act-RU]]+DaybyDay[[#This Row],[Ret-Act-RU]]</f>
        <v>0</v>
      </c>
      <c r="W1068" s="36">
        <f>IF(DaybyDay[[#This Row],[_Space]],IFERROR(
((DaybyDay[[#This Row],[Actual-Rollup]]-DaybyDay[[#This Row],[Budget-Rollup]])/DaybyDay[[#This Row],[Budget-Rollup]]),0),"")</f>
        <v>0</v>
      </c>
      <c r="X1068" t="b">
        <f>NOT(AND(ISBLANK(DaybyDay[[#This Row],[Appts]]),ISBLANK(DaybyDay[[#This Row],[Service-Actuals]]),ISBLANK(DaybyDay[[#This Row],[Retail-Actuals]])))</f>
        <v>1</v>
      </c>
      <c r="Y1068" s="36">
        <f>IF(DaybyDay[[#This Row],[_Space]],IFERROR(
((DaybyDay[[#This Row],[Actual-Rollup]]-DaybyDay[[#This Row],[LY-Rollup]])/DaybyDay[[#This Row],[LY-Rollup]]),0),"")</f>
        <v>0</v>
      </c>
      <c r="Z1068"/>
      <c r="AA1068" s="37" t="e">
        <f>IF(DaybyDay[[#This Row],[_Space]],DaybyDay[[#This Row],[Ret-Act-RU]]/DaybyDay[[#This Row],[Serv-Act-RU]],"")</f>
        <v>#DIV/0!</v>
      </c>
      <c r="AB1068" s="50" t="e">
        <f>IF(DaybyDay[[#This Row],[_Space]],DaybyDay[[#This Row],[RETPEN-Act]]/DaybyDay[[#This Row],[RETPEN-Bud]],"")</f>
        <v>#DIV/0!</v>
      </c>
      <c r="AC1068" s="37" t="e">
        <f>IF(DaybyDay[[#This Row],[_Space]],DaybyDay[[#This Row],[Ret-Bud-RU]]/DaybyDay[[#This Row],[Serv-Bud-RU]],"")</f>
        <v>#DIV/0!</v>
      </c>
      <c r="AD1068" s="37" t="e">
        <f>IF(DaybyDay[[#This Row],[_Space]],DaybyDay[[#This Row],[Ret-LY-RU]]/DaybyDay[[#This Row],[Serv-LY-RU]],"")</f>
        <v>#DIV/0!</v>
      </c>
      <c r="AE1068" s="30">
        <f>WEEKDAY(DaybyDay[[#This Row],[LY-Date]])</f>
        <v>5</v>
      </c>
      <c r="AF1068" s="38">
        <f>$E$2+_xlfn.DAYS(DaybyDay[[#This Row],[Date]],minDate)</f>
        <v>43433</v>
      </c>
      <c r="AG1068" s="39" cm="1">
        <f t="array" ref="AG1068">IFERROR(INDEX(DaybyDay[],DaybyDay[[#This Row],[FORM_MATCH_HELPER]],8),"")</f>
        <v>23</v>
      </c>
      <c r="AH1068" s="39" cm="1">
        <f t="array" ref="AH1068">IFERROR(INDEX(DaybyDay[],DaybyDay[[#This Row],[FORM_MATCH_HELPER]],10),"")</f>
        <v>5155.6000000000004</v>
      </c>
      <c r="AI1068" s="39" cm="1">
        <f t="array" ref="AI1068">IFERROR(INDEX(DaybyDay[],DaybyDay[[#This Row],[FORM_MATCH_HELPER]],12),"")</f>
        <v>1963.27</v>
      </c>
      <c r="AJ1068" s="32">
        <f>IFERROR(DaybyDay[[#This Row],[Serv-LY-RU]]+DaybyDay[[#This Row],[Ret-LY-RU]],"")</f>
        <v>0</v>
      </c>
      <c r="AK10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8" s="77"/>
      <c r="AM1068" s="40" t="str">
        <f>IF(DaybyDay[[#This Row],[Admin Hours]]&gt;0,DaybyDay[[#This Row],[Admin Hours]]*$AM$2+$AM$3,"")</f>
        <v/>
      </c>
      <c r="AN1068" s="40">
        <f>SUMIFS(DaybyDay[Est-Admin-Payroll],DaybyDay[Date],"&gt;="&amp;$C$5,DaybyDay[RowYear],"&gt;="&amp;$C$4,DaybyDay[Date],"&lt;="&amp;DaybyDay[[#This Row],[Date]])</f>
        <v>0</v>
      </c>
      <c r="AO1068" s="41" t="str">
        <f>IF(AND(DaybyDay[[#This Row],[_Space]],ISNUMBER(DaybyDay[[#This Row],[Admin Hours]])),DaybyDay[[#This Row],[Est-Admin-Payroll]]/(DaybyDay[[#This Row],[Service-Actuals]]+DaybyDay[[#This Row],[Retail-Actuals]]),"")</f>
        <v/>
      </c>
      <c r="AP1068" s="41" t="e">
        <f>DaybyDay[[#This Row],[Estimated-Payroll-Rollup]]/DaybyDay[[#This Row],[Simple-Forecast]]</f>
        <v>#DIV/0!</v>
      </c>
      <c r="AQ10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8" s="77"/>
      <c r="AS1068" s="40" t="str">
        <f>IF(DaybyDay[[#This Row],[Retail Hours]]&gt;0,DaybyDay[[#This Row],[Retail Hours]]*$AS$2,"")</f>
        <v/>
      </c>
      <c r="AT1068" s="40">
        <f>SUMIFS(DaybyDay[Est-Retail-Payroll],DaybyDay[Date],"&gt;="&amp;$C$5,DaybyDay[RowYear],"&gt;="&amp;$C$4,DaybyDay[Date],"&lt;="&amp;DaybyDay[[#This Row],[Date]])</f>
        <v>0</v>
      </c>
      <c r="AU1068" s="82" t="str">
        <f>IF(AND(DaybyDay[[#This Row],[_Space]],ISNUMBER(DaybyDay[[#This Row],[Retail Hours]])),DaybyDay[[#This Row],[Est-Retail-Payroll]]/(DaybyDay[[#This Row],[Retail-Actuals]]),"")</f>
        <v/>
      </c>
      <c r="AV1068" s="82" t="e">
        <f>DaybyDay[[#This Row],[Est-Retail-PayrollRU]]/DaybyDay[[#This Row],[Simple-Forecast-Retail]]</f>
        <v>#DIV/0!</v>
      </c>
      <c r="AW1068" s="8"/>
      <c r="AX1068" s="15"/>
      <c r="AY1068" s="8"/>
    </row>
    <row r="1069" spans="3:51" hidden="1" x14ac:dyDescent="0.25">
      <c r="C1069" s="26" t="str">
        <f>Tools!$C$1</f>
        <v>Example</v>
      </c>
      <c r="D1069" s="27" t="s">
        <v>78</v>
      </c>
      <c r="E1069" s="28">
        <v>2019</v>
      </c>
      <c r="F1069" s="28">
        <f>MATCH(DaybyDay[[#This Row],[RowMonth]],Table3[SummaryMonth],0)</f>
        <v>11</v>
      </c>
      <c r="G1069" s="29">
        <f>MATCH(DaybyDay[[#This Row],[LY-Date]],DaybyDay[Date],0)</f>
        <v>699</v>
      </c>
      <c r="H1069" s="30">
        <f>WEEKDAY(DaybyDay[[#This Row],[Date]])</f>
        <v>6</v>
      </c>
      <c r="I1069" s="31">
        <v>43798</v>
      </c>
      <c r="J1069" s="74">
        <v>27</v>
      </c>
      <c r="K1069" s="32">
        <f>SUMIFS(BudgetSeasonality[365 Seasonality],BudgetSeasonality[MonthAdjustment],DaybyDay[[#This Row],[Date]])*SUMIFS(Budgets[Service-Budget],Budgets[BudgetMonth],DaybyDay[[#This Row],[RowMonth]],Budgets[BudgetYear],DaybyDay[[#This Row],[RowYear]])</f>
        <v>6029.5933079277511</v>
      </c>
      <c r="L1069" s="75">
        <v>6695.2000000000007</v>
      </c>
      <c r="M1069" s="32">
        <f>INDEX(BudgetSeasonality[365 Seasonality],MATCH(DaybyDay[[#This Row],[Date]],BudgetSeasonality[MonthAdjustment],0))*SUMIFS(Budgets[Retail-Budget],Budgets[BudgetMonth],DaybyDay[[#This Row],[RowMonth]],Budgets[BudgetYear],DaybyDay[[#This Row],[RowYear]])</f>
        <v>2143.6507842804153</v>
      </c>
      <c r="N1069" s="75">
        <v>4994</v>
      </c>
      <c r="O1069" s="33">
        <f>SUMIFS(DaybyDay[Service-Budgets],DaybyDay[Date],"&gt;="&amp;$C$5,DaybyDay[RowYear],"&gt;="&amp;$C$4,DaybyDay[Date],"&lt;="&amp;DaybyDay[[#This Row],[Date]])</f>
        <v>0</v>
      </c>
      <c r="P1069" s="33">
        <f>SUMIFS(DaybyDay[Retail-Budgets],DaybyDay[Date],"&gt;="&amp;$C$5,DaybyDay[RowYear],"&gt;="&amp;$C$4,DaybyDay[Date],"&lt;="&amp;DaybyDay[[#This Row],[Date]])</f>
        <v>0</v>
      </c>
      <c r="Q1069" s="34">
        <f>SUMIFS(DaybyDay[Service-Actuals],DaybyDay[Date],"&gt;="&amp;$C$5,DaybyDay[RowYear],"&gt;="&amp;$C$4,DaybyDay[Date],"&lt;="&amp;DaybyDay[[#This Row],[Date]])</f>
        <v>0</v>
      </c>
      <c r="R1069" s="34">
        <f>SUMIFS(DaybyDay[Retail-Actuals],DaybyDay[Date],"&gt;="&amp;$C$5,DaybyDay[RowYear],"&gt;="&amp;$C$4,DaybyDay[Date],"&lt;="&amp;DaybyDay[[#This Row],[Date]])</f>
        <v>0</v>
      </c>
      <c r="S1069" s="35">
        <f>SUMIFS(DaybyDay[Service-LY],DaybyDay[Date],"&gt;="&amp;$C$5,DaybyDay[RowYear],"&gt;="&amp;$C$4,DaybyDay[Date],"&lt;="&amp;DaybyDay[[#This Row],[Date]])</f>
        <v>0</v>
      </c>
      <c r="T1069" s="35">
        <f>SUMIFS(DaybyDay[Retail-LY],DaybyDay[Date],"&gt;="&amp;$C$5,DaybyDay[RowYear],"&gt;="&amp;$C$4,DaybyDay[Date],"&lt;="&amp;DaybyDay[[#This Row],[Date]])</f>
        <v>0</v>
      </c>
      <c r="U1069" s="32">
        <f>DaybyDay[[#This Row],[Serv-Bud-RU]]+DaybyDay[[#This Row],[Ret-Bud-RU]]</f>
        <v>0</v>
      </c>
      <c r="V1069" s="32">
        <f>DaybyDay[[#This Row],[Serv-Act-RU]]+DaybyDay[[#This Row],[Ret-Act-RU]]</f>
        <v>0</v>
      </c>
      <c r="W1069" s="36">
        <f>IF(DaybyDay[[#This Row],[_Space]],IFERROR(
((DaybyDay[[#This Row],[Actual-Rollup]]-DaybyDay[[#This Row],[Budget-Rollup]])/DaybyDay[[#This Row],[Budget-Rollup]]),0),"")</f>
        <v>0</v>
      </c>
      <c r="X1069" t="b">
        <f>NOT(AND(ISBLANK(DaybyDay[[#This Row],[Appts]]),ISBLANK(DaybyDay[[#This Row],[Service-Actuals]]),ISBLANK(DaybyDay[[#This Row],[Retail-Actuals]])))</f>
        <v>1</v>
      </c>
      <c r="Y1069" s="36">
        <f>IF(DaybyDay[[#This Row],[_Space]],IFERROR(
((DaybyDay[[#This Row],[Actual-Rollup]]-DaybyDay[[#This Row],[LY-Rollup]])/DaybyDay[[#This Row],[LY-Rollup]]),0),"")</f>
        <v>0</v>
      </c>
      <c r="Z1069"/>
      <c r="AA1069" s="37" t="e">
        <f>IF(DaybyDay[[#This Row],[_Space]],DaybyDay[[#This Row],[Ret-Act-RU]]/DaybyDay[[#This Row],[Serv-Act-RU]],"")</f>
        <v>#DIV/0!</v>
      </c>
      <c r="AB1069" s="50" t="e">
        <f>IF(DaybyDay[[#This Row],[_Space]],DaybyDay[[#This Row],[RETPEN-Act]]/DaybyDay[[#This Row],[RETPEN-Bud]],"")</f>
        <v>#DIV/0!</v>
      </c>
      <c r="AC1069" s="37" t="e">
        <f>IF(DaybyDay[[#This Row],[_Space]],DaybyDay[[#This Row],[Ret-Bud-RU]]/DaybyDay[[#This Row],[Serv-Bud-RU]],"")</f>
        <v>#DIV/0!</v>
      </c>
      <c r="AD1069" s="37" t="e">
        <f>IF(DaybyDay[[#This Row],[_Space]],DaybyDay[[#This Row],[Ret-LY-RU]]/DaybyDay[[#This Row],[Serv-LY-RU]],"")</f>
        <v>#DIV/0!</v>
      </c>
      <c r="AE1069" s="30">
        <f>WEEKDAY(DaybyDay[[#This Row],[LY-Date]])</f>
        <v>6</v>
      </c>
      <c r="AF1069" s="38">
        <f>$E$2+_xlfn.DAYS(DaybyDay[[#This Row],[Date]],minDate)</f>
        <v>43434</v>
      </c>
      <c r="AG1069" s="39" cm="1">
        <f t="array" ref="AG1069">IFERROR(INDEX(DaybyDay[],DaybyDay[[#This Row],[FORM_MATCH_HELPER]],8),"")</f>
        <v>25</v>
      </c>
      <c r="AH1069" s="39" cm="1">
        <f t="array" ref="AH1069">IFERROR(INDEX(DaybyDay[],DaybyDay[[#This Row],[FORM_MATCH_HELPER]],10),"")</f>
        <v>6112.2</v>
      </c>
      <c r="AI1069" s="39" cm="1">
        <f t="array" ref="AI1069">IFERROR(INDEX(DaybyDay[],DaybyDay[[#This Row],[FORM_MATCH_HELPER]],12),"")</f>
        <v>3480.5</v>
      </c>
      <c r="AJ1069" s="32">
        <f>IFERROR(DaybyDay[[#This Row],[Serv-LY-RU]]+DaybyDay[[#This Row],[Ret-LY-RU]],"")</f>
        <v>0</v>
      </c>
      <c r="AK10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69" s="77"/>
      <c r="AM1069" s="40" t="str">
        <f>IF(DaybyDay[[#This Row],[Admin Hours]]&gt;0,DaybyDay[[#This Row],[Admin Hours]]*$AM$2+$AM$3,"")</f>
        <v/>
      </c>
      <c r="AN1069" s="40">
        <f>SUMIFS(DaybyDay[Est-Admin-Payroll],DaybyDay[Date],"&gt;="&amp;$C$5,DaybyDay[RowYear],"&gt;="&amp;$C$4,DaybyDay[Date],"&lt;="&amp;DaybyDay[[#This Row],[Date]])</f>
        <v>0</v>
      </c>
      <c r="AO1069" s="41" t="str">
        <f>IF(AND(DaybyDay[[#This Row],[_Space]],ISNUMBER(DaybyDay[[#This Row],[Admin Hours]])),DaybyDay[[#This Row],[Est-Admin-Payroll]]/(DaybyDay[[#This Row],[Service-Actuals]]+DaybyDay[[#This Row],[Retail-Actuals]]),"")</f>
        <v/>
      </c>
      <c r="AP1069" s="41" t="e">
        <f>DaybyDay[[#This Row],[Estimated-Payroll-Rollup]]/DaybyDay[[#This Row],[Simple-Forecast]]</f>
        <v>#DIV/0!</v>
      </c>
      <c r="AQ10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69" s="77"/>
      <c r="AS1069" s="40" t="str">
        <f>IF(DaybyDay[[#This Row],[Retail Hours]]&gt;0,DaybyDay[[#This Row],[Retail Hours]]*$AS$2,"")</f>
        <v/>
      </c>
      <c r="AT1069" s="40">
        <f>SUMIFS(DaybyDay[Est-Retail-Payroll],DaybyDay[Date],"&gt;="&amp;$C$5,DaybyDay[RowYear],"&gt;="&amp;$C$4,DaybyDay[Date],"&lt;="&amp;DaybyDay[[#This Row],[Date]])</f>
        <v>0</v>
      </c>
      <c r="AU1069" s="82" t="str">
        <f>IF(AND(DaybyDay[[#This Row],[_Space]],ISNUMBER(DaybyDay[[#This Row],[Retail Hours]])),DaybyDay[[#This Row],[Est-Retail-Payroll]]/(DaybyDay[[#This Row],[Retail-Actuals]]),"")</f>
        <v/>
      </c>
      <c r="AV1069" s="82" t="e">
        <f>DaybyDay[[#This Row],[Est-Retail-PayrollRU]]/DaybyDay[[#This Row],[Simple-Forecast-Retail]]</f>
        <v>#DIV/0!</v>
      </c>
      <c r="AW1069" s="8"/>
      <c r="AX1069" s="15"/>
      <c r="AY1069" s="8"/>
    </row>
    <row r="1070" spans="3:51" hidden="1" x14ac:dyDescent="0.25">
      <c r="C1070" s="26" t="str">
        <f>Tools!$C$1</f>
        <v>Example</v>
      </c>
      <c r="D1070" s="27" t="s">
        <v>78</v>
      </c>
      <c r="E1070" s="28">
        <v>2019</v>
      </c>
      <c r="F1070" s="28">
        <f>MATCH(DaybyDay[[#This Row],[RowMonth]],Table3[SummaryMonth],0)</f>
        <v>11</v>
      </c>
      <c r="G1070" s="29">
        <f>MATCH(DaybyDay[[#This Row],[LY-Date]],DaybyDay[Date],0)</f>
        <v>700</v>
      </c>
      <c r="H1070" s="30">
        <f>WEEKDAY(DaybyDay[[#This Row],[Date]])</f>
        <v>7</v>
      </c>
      <c r="I1070" s="31">
        <v>43799</v>
      </c>
      <c r="J1070" s="74">
        <v>30</v>
      </c>
      <c r="K1070" s="32">
        <f>SUMIFS(BudgetSeasonality[365 Seasonality],BudgetSeasonality[MonthAdjustment],DaybyDay[[#This Row],[Date]])*SUMIFS(Budgets[Service-Budget],Budgets[BudgetMonth],DaybyDay[[#This Row],[RowMonth]],Budgets[BudgetYear],DaybyDay[[#This Row],[RowYear]])</f>
        <v>8448.7800215378084</v>
      </c>
      <c r="L1070" s="75">
        <v>8372.6</v>
      </c>
      <c r="M1070" s="32">
        <f>INDEX(BudgetSeasonality[365 Seasonality],MATCH(DaybyDay[[#This Row],[Date]],BudgetSeasonality[MonthAdjustment],0))*SUMIFS(Budgets[Retail-Budget],Budgets[BudgetMonth],DaybyDay[[#This Row],[RowMonth]],Budgets[BudgetYear],DaybyDay[[#This Row],[RowYear]])</f>
        <v>3003.7239651917239</v>
      </c>
      <c r="N1070" s="75">
        <v>823.5</v>
      </c>
      <c r="O1070" s="33">
        <f>SUMIFS(DaybyDay[Service-Budgets],DaybyDay[Date],"&gt;="&amp;$C$5,DaybyDay[RowYear],"&gt;="&amp;$C$4,DaybyDay[Date],"&lt;="&amp;DaybyDay[[#This Row],[Date]])</f>
        <v>0</v>
      </c>
      <c r="P1070" s="33">
        <f>SUMIFS(DaybyDay[Retail-Budgets],DaybyDay[Date],"&gt;="&amp;$C$5,DaybyDay[RowYear],"&gt;="&amp;$C$4,DaybyDay[Date],"&lt;="&amp;DaybyDay[[#This Row],[Date]])</f>
        <v>0</v>
      </c>
      <c r="Q1070" s="34">
        <f>SUMIFS(DaybyDay[Service-Actuals],DaybyDay[Date],"&gt;="&amp;$C$5,DaybyDay[RowYear],"&gt;="&amp;$C$4,DaybyDay[Date],"&lt;="&amp;DaybyDay[[#This Row],[Date]])</f>
        <v>0</v>
      </c>
      <c r="R1070" s="34">
        <f>SUMIFS(DaybyDay[Retail-Actuals],DaybyDay[Date],"&gt;="&amp;$C$5,DaybyDay[RowYear],"&gt;="&amp;$C$4,DaybyDay[Date],"&lt;="&amp;DaybyDay[[#This Row],[Date]])</f>
        <v>0</v>
      </c>
      <c r="S1070" s="35">
        <f>SUMIFS(DaybyDay[Service-LY],DaybyDay[Date],"&gt;="&amp;$C$5,DaybyDay[RowYear],"&gt;="&amp;$C$4,DaybyDay[Date],"&lt;="&amp;DaybyDay[[#This Row],[Date]])</f>
        <v>0</v>
      </c>
      <c r="T1070" s="35">
        <f>SUMIFS(DaybyDay[Retail-LY],DaybyDay[Date],"&gt;="&amp;$C$5,DaybyDay[RowYear],"&gt;="&amp;$C$4,DaybyDay[Date],"&lt;="&amp;DaybyDay[[#This Row],[Date]])</f>
        <v>0</v>
      </c>
      <c r="U1070" s="32">
        <f>DaybyDay[[#This Row],[Serv-Bud-RU]]+DaybyDay[[#This Row],[Ret-Bud-RU]]</f>
        <v>0</v>
      </c>
      <c r="V1070" s="32">
        <f>DaybyDay[[#This Row],[Serv-Act-RU]]+DaybyDay[[#This Row],[Ret-Act-RU]]</f>
        <v>0</v>
      </c>
      <c r="W1070" s="36">
        <f>IF(DaybyDay[[#This Row],[_Space]],IFERROR(
((DaybyDay[[#This Row],[Actual-Rollup]]-DaybyDay[[#This Row],[Budget-Rollup]])/DaybyDay[[#This Row],[Budget-Rollup]]),0),"")</f>
        <v>0</v>
      </c>
      <c r="X1070" t="b">
        <f>NOT(AND(ISBLANK(DaybyDay[[#This Row],[Appts]]),ISBLANK(DaybyDay[[#This Row],[Service-Actuals]]),ISBLANK(DaybyDay[[#This Row],[Retail-Actuals]])))</f>
        <v>1</v>
      </c>
      <c r="Y1070" s="36">
        <f>IF(DaybyDay[[#This Row],[_Space]],IFERROR(
((DaybyDay[[#This Row],[Actual-Rollup]]-DaybyDay[[#This Row],[LY-Rollup]])/DaybyDay[[#This Row],[LY-Rollup]]),0),"")</f>
        <v>0</v>
      </c>
      <c r="Z1070"/>
      <c r="AA1070" s="37" t="e">
        <f>IF(DaybyDay[[#This Row],[_Space]],DaybyDay[[#This Row],[Ret-Act-RU]]/DaybyDay[[#This Row],[Serv-Act-RU]],"")</f>
        <v>#DIV/0!</v>
      </c>
      <c r="AB1070" s="50" t="e">
        <f>IF(DaybyDay[[#This Row],[_Space]],DaybyDay[[#This Row],[RETPEN-Act]]/DaybyDay[[#This Row],[RETPEN-Bud]],"")</f>
        <v>#DIV/0!</v>
      </c>
      <c r="AC1070" s="37" t="e">
        <f>IF(DaybyDay[[#This Row],[_Space]],DaybyDay[[#This Row],[Ret-Bud-RU]]/DaybyDay[[#This Row],[Serv-Bud-RU]],"")</f>
        <v>#DIV/0!</v>
      </c>
      <c r="AD1070" s="37" t="e">
        <f>IF(DaybyDay[[#This Row],[_Space]],DaybyDay[[#This Row],[Ret-LY-RU]]/DaybyDay[[#This Row],[Serv-LY-RU]],"")</f>
        <v>#DIV/0!</v>
      </c>
      <c r="AE1070" s="30">
        <f>WEEKDAY(DaybyDay[[#This Row],[LY-Date]])</f>
        <v>7</v>
      </c>
      <c r="AF1070" s="38">
        <f>$E$2+_xlfn.DAYS(DaybyDay[[#This Row],[Date]],minDate)</f>
        <v>43435</v>
      </c>
      <c r="AG1070" s="39" cm="1">
        <f t="array" ref="AG1070">IFERROR(INDEX(DaybyDay[],DaybyDay[[#This Row],[FORM_MATCH_HELPER]],8),"")</f>
        <v>26</v>
      </c>
      <c r="AH1070" s="39" cm="1">
        <f t="array" ref="AH1070">IFERROR(INDEX(DaybyDay[],DaybyDay[[#This Row],[FORM_MATCH_HELPER]],10),"")</f>
        <v>5740.4</v>
      </c>
      <c r="AI1070" s="39" cm="1">
        <f t="array" ref="AI1070">IFERROR(INDEX(DaybyDay[],DaybyDay[[#This Row],[FORM_MATCH_HELPER]],12),"")</f>
        <v>1820</v>
      </c>
      <c r="AJ1070" s="32">
        <f>IFERROR(DaybyDay[[#This Row],[Serv-LY-RU]]+DaybyDay[[#This Row],[Ret-LY-RU]],"")</f>
        <v>0</v>
      </c>
      <c r="AK10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0" s="77"/>
      <c r="AM1070" s="40" t="str">
        <f>IF(DaybyDay[[#This Row],[Admin Hours]]&gt;0,DaybyDay[[#This Row],[Admin Hours]]*$AM$2+$AM$3,"")</f>
        <v/>
      </c>
      <c r="AN1070" s="40">
        <f>SUMIFS(DaybyDay[Est-Admin-Payroll],DaybyDay[Date],"&gt;="&amp;$C$5,DaybyDay[RowYear],"&gt;="&amp;$C$4,DaybyDay[Date],"&lt;="&amp;DaybyDay[[#This Row],[Date]])</f>
        <v>0</v>
      </c>
      <c r="AO1070" s="41" t="str">
        <f>IF(AND(DaybyDay[[#This Row],[_Space]],ISNUMBER(DaybyDay[[#This Row],[Admin Hours]])),DaybyDay[[#This Row],[Est-Admin-Payroll]]/(DaybyDay[[#This Row],[Service-Actuals]]+DaybyDay[[#This Row],[Retail-Actuals]]),"")</f>
        <v/>
      </c>
      <c r="AP1070" s="41" t="e">
        <f>DaybyDay[[#This Row],[Estimated-Payroll-Rollup]]/DaybyDay[[#This Row],[Simple-Forecast]]</f>
        <v>#DIV/0!</v>
      </c>
      <c r="AQ10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0" s="77"/>
      <c r="AS1070" s="40" t="str">
        <f>IF(DaybyDay[[#This Row],[Retail Hours]]&gt;0,DaybyDay[[#This Row],[Retail Hours]]*$AS$2,"")</f>
        <v/>
      </c>
      <c r="AT1070" s="40">
        <f>SUMIFS(DaybyDay[Est-Retail-Payroll],DaybyDay[Date],"&gt;="&amp;$C$5,DaybyDay[RowYear],"&gt;="&amp;$C$4,DaybyDay[Date],"&lt;="&amp;DaybyDay[[#This Row],[Date]])</f>
        <v>0</v>
      </c>
      <c r="AU1070" s="82" t="str">
        <f>IF(AND(DaybyDay[[#This Row],[_Space]],ISNUMBER(DaybyDay[[#This Row],[Retail Hours]])),DaybyDay[[#This Row],[Est-Retail-Payroll]]/(DaybyDay[[#This Row],[Retail-Actuals]]),"")</f>
        <v/>
      </c>
      <c r="AV1070" s="82" t="e">
        <f>DaybyDay[[#This Row],[Est-Retail-PayrollRU]]/DaybyDay[[#This Row],[Simple-Forecast-Retail]]</f>
        <v>#DIV/0!</v>
      </c>
      <c r="AW1070" s="8"/>
      <c r="AX1070" s="15"/>
      <c r="AY1070" s="8"/>
    </row>
    <row r="1071" spans="3:51" hidden="1" x14ac:dyDescent="0.25">
      <c r="C1071" s="26" t="str">
        <f>Tools!$C$1</f>
        <v>Example</v>
      </c>
      <c r="D1071" s="27" t="s">
        <v>79</v>
      </c>
      <c r="E1071" s="28">
        <v>2019</v>
      </c>
      <c r="F1071" s="28">
        <f>MATCH(DaybyDay[[#This Row],[RowMonth]],Table3[SummaryMonth],0)</f>
        <v>12</v>
      </c>
      <c r="G1071" s="29">
        <f>MATCH(DaybyDay[[#This Row],[LY-Date]],DaybyDay[Date],0)</f>
        <v>701</v>
      </c>
      <c r="H1071" s="30">
        <f>WEEKDAY(DaybyDay[[#This Row],[Date]])</f>
        <v>1</v>
      </c>
      <c r="I1071" s="31">
        <v>43800</v>
      </c>
      <c r="J1071" s="74">
        <v>23</v>
      </c>
      <c r="K1071" s="32">
        <f>SUMIFS(BudgetSeasonality[365 Seasonality],BudgetSeasonality[MonthAdjustment],DaybyDay[[#This Row],[Date]])*SUMIFS(Budgets[Service-Budget],Budgets[BudgetMonth],DaybyDay[[#This Row],[RowMonth]],Budgets[BudgetYear],DaybyDay[[#This Row],[RowYear]])</f>
        <v>6866.5328600452431</v>
      </c>
      <c r="L1071" s="75">
        <v>6889.4</v>
      </c>
      <c r="M1071" s="32">
        <f>INDEX(BudgetSeasonality[365 Seasonality],MATCH(DaybyDay[[#This Row],[Date]],BudgetSeasonality[MonthAdjustment],0))*SUMIFS(Budgets[Retail-Budget],Budgets[BudgetMonth],DaybyDay[[#This Row],[RowMonth]],Budgets[BudgetYear],DaybyDay[[#This Row],[RowYear]])</f>
        <v>1702.5049260229512</v>
      </c>
      <c r="N1071" s="75">
        <v>999</v>
      </c>
      <c r="O1071" s="33">
        <f>SUMIFS(DaybyDay[Service-Budgets],DaybyDay[Date],"&gt;="&amp;$C$5,DaybyDay[RowYear],"&gt;="&amp;$C$4,DaybyDay[Date],"&lt;="&amp;DaybyDay[[#This Row],[Date]])</f>
        <v>0</v>
      </c>
      <c r="P1071" s="33">
        <f>SUMIFS(DaybyDay[Retail-Budgets],DaybyDay[Date],"&gt;="&amp;$C$5,DaybyDay[RowYear],"&gt;="&amp;$C$4,DaybyDay[Date],"&lt;="&amp;DaybyDay[[#This Row],[Date]])</f>
        <v>0</v>
      </c>
      <c r="Q1071" s="34">
        <f>SUMIFS(DaybyDay[Service-Actuals],DaybyDay[Date],"&gt;="&amp;$C$5,DaybyDay[RowYear],"&gt;="&amp;$C$4,DaybyDay[Date],"&lt;="&amp;DaybyDay[[#This Row],[Date]])</f>
        <v>0</v>
      </c>
      <c r="R1071" s="34">
        <f>SUMIFS(DaybyDay[Retail-Actuals],DaybyDay[Date],"&gt;="&amp;$C$5,DaybyDay[RowYear],"&gt;="&amp;$C$4,DaybyDay[Date],"&lt;="&amp;DaybyDay[[#This Row],[Date]])</f>
        <v>0</v>
      </c>
      <c r="S1071" s="35">
        <f>SUMIFS(DaybyDay[Service-LY],DaybyDay[Date],"&gt;="&amp;$C$5,DaybyDay[RowYear],"&gt;="&amp;$C$4,DaybyDay[Date],"&lt;="&amp;DaybyDay[[#This Row],[Date]])</f>
        <v>0</v>
      </c>
      <c r="T1071" s="35">
        <f>SUMIFS(DaybyDay[Retail-LY],DaybyDay[Date],"&gt;="&amp;$C$5,DaybyDay[RowYear],"&gt;="&amp;$C$4,DaybyDay[Date],"&lt;="&amp;DaybyDay[[#This Row],[Date]])</f>
        <v>0</v>
      </c>
      <c r="U1071" s="32">
        <f>DaybyDay[[#This Row],[Serv-Bud-RU]]+DaybyDay[[#This Row],[Ret-Bud-RU]]</f>
        <v>0</v>
      </c>
      <c r="V1071" s="32">
        <f>DaybyDay[[#This Row],[Serv-Act-RU]]+DaybyDay[[#This Row],[Ret-Act-RU]]</f>
        <v>0</v>
      </c>
      <c r="W1071" s="36">
        <f>IF(DaybyDay[[#This Row],[_Space]],IFERROR(
((DaybyDay[[#This Row],[Actual-Rollup]]-DaybyDay[[#This Row],[Budget-Rollup]])/DaybyDay[[#This Row],[Budget-Rollup]]),0),"")</f>
        <v>0</v>
      </c>
      <c r="X1071" t="b">
        <f>NOT(AND(ISBLANK(DaybyDay[[#This Row],[Appts]]),ISBLANK(DaybyDay[[#This Row],[Service-Actuals]]),ISBLANK(DaybyDay[[#This Row],[Retail-Actuals]])))</f>
        <v>1</v>
      </c>
      <c r="Y1071" s="36">
        <f>IF(DaybyDay[[#This Row],[_Space]],IFERROR(
((DaybyDay[[#This Row],[Actual-Rollup]]-DaybyDay[[#This Row],[LY-Rollup]])/DaybyDay[[#This Row],[LY-Rollup]]),0),"")</f>
        <v>0</v>
      </c>
      <c r="Z1071"/>
      <c r="AA1071" s="37" t="e">
        <f>IF(DaybyDay[[#This Row],[_Space]],DaybyDay[[#This Row],[Ret-Act-RU]]/DaybyDay[[#This Row],[Serv-Act-RU]],"")</f>
        <v>#DIV/0!</v>
      </c>
      <c r="AB1071" s="50" t="e">
        <f>IF(DaybyDay[[#This Row],[_Space]],DaybyDay[[#This Row],[RETPEN-Act]]/DaybyDay[[#This Row],[RETPEN-Bud]],"")</f>
        <v>#DIV/0!</v>
      </c>
      <c r="AC1071" s="37" t="e">
        <f>IF(DaybyDay[[#This Row],[_Space]],DaybyDay[[#This Row],[Ret-Bud-RU]]/DaybyDay[[#This Row],[Serv-Bud-RU]],"")</f>
        <v>#DIV/0!</v>
      </c>
      <c r="AD1071" s="37" t="e">
        <f>IF(DaybyDay[[#This Row],[_Space]],DaybyDay[[#This Row],[Ret-LY-RU]]/DaybyDay[[#This Row],[Serv-LY-RU]],"")</f>
        <v>#DIV/0!</v>
      </c>
      <c r="AE1071" s="30">
        <f>WEEKDAY(DaybyDay[[#This Row],[LY-Date]])</f>
        <v>1</v>
      </c>
      <c r="AF1071" s="38">
        <f>$E$2+_xlfn.DAYS(DaybyDay[[#This Row],[Date]],minDate)</f>
        <v>43436</v>
      </c>
      <c r="AG1071" s="39" cm="1">
        <f t="array" ref="AG1071">IFERROR(INDEX(DaybyDay[],DaybyDay[[#This Row],[FORM_MATCH_HELPER]],8),"")</f>
        <v>36</v>
      </c>
      <c r="AH1071" s="39" cm="1">
        <f t="array" ref="AH1071">IFERROR(INDEX(DaybyDay[],DaybyDay[[#This Row],[FORM_MATCH_HELPER]],10),"")</f>
        <v>7025.7</v>
      </c>
      <c r="AI1071" s="39" cm="1">
        <f t="array" ref="AI1071">IFERROR(INDEX(DaybyDay[],DaybyDay[[#This Row],[FORM_MATCH_HELPER]],12),"")</f>
        <v>454</v>
      </c>
      <c r="AJ1071" s="32">
        <f>IFERROR(DaybyDay[[#This Row],[Serv-LY-RU]]+DaybyDay[[#This Row],[Ret-LY-RU]],"")</f>
        <v>0</v>
      </c>
      <c r="AK10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1" s="77"/>
      <c r="AM1071" s="40" t="str">
        <f>IF(DaybyDay[[#This Row],[Admin Hours]]&gt;0,DaybyDay[[#This Row],[Admin Hours]]*$AM$2+$AM$3,"")</f>
        <v/>
      </c>
      <c r="AN1071" s="40">
        <f>SUMIFS(DaybyDay[Est-Admin-Payroll],DaybyDay[Date],"&gt;="&amp;$C$5,DaybyDay[RowYear],"&gt;="&amp;$C$4,DaybyDay[Date],"&lt;="&amp;DaybyDay[[#This Row],[Date]])</f>
        <v>0</v>
      </c>
      <c r="AO1071" s="41" t="str">
        <f>IF(AND(DaybyDay[[#This Row],[_Space]],ISNUMBER(DaybyDay[[#This Row],[Admin Hours]])),DaybyDay[[#This Row],[Est-Admin-Payroll]]/(DaybyDay[[#This Row],[Service-Actuals]]+DaybyDay[[#This Row],[Retail-Actuals]]),"")</f>
        <v/>
      </c>
      <c r="AP1071" s="41" t="e">
        <f>DaybyDay[[#This Row],[Estimated-Payroll-Rollup]]/DaybyDay[[#This Row],[Simple-Forecast]]</f>
        <v>#DIV/0!</v>
      </c>
      <c r="AQ10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1" s="77"/>
      <c r="AS1071" s="40" t="str">
        <f>IF(DaybyDay[[#This Row],[Retail Hours]]&gt;0,DaybyDay[[#This Row],[Retail Hours]]*$AS$2,"")</f>
        <v/>
      </c>
      <c r="AT1071" s="40">
        <f>SUMIFS(DaybyDay[Est-Retail-Payroll],DaybyDay[Date],"&gt;="&amp;$C$5,DaybyDay[RowYear],"&gt;="&amp;$C$4,DaybyDay[Date],"&lt;="&amp;DaybyDay[[#This Row],[Date]])</f>
        <v>0</v>
      </c>
      <c r="AU1071" s="82" t="str">
        <f>IF(AND(DaybyDay[[#This Row],[_Space]],ISNUMBER(DaybyDay[[#This Row],[Retail Hours]])),DaybyDay[[#This Row],[Est-Retail-Payroll]]/(DaybyDay[[#This Row],[Retail-Actuals]]),"")</f>
        <v/>
      </c>
      <c r="AV1071" s="82" t="e">
        <f>DaybyDay[[#This Row],[Est-Retail-PayrollRU]]/DaybyDay[[#This Row],[Simple-Forecast-Retail]]</f>
        <v>#DIV/0!</v>
      </c>
      <c r="AW1071" s="8"/>
      <c r="AX1071" s="15"/>
      <c r="AY1071" s="8"/>
    </row>
    <row r="1072" spans="3:51" hidden="1" x14ac:dyDescent="0.25">
      <c r="C1072" s="26" t="str">
        <f>Tools!$C$1</f>
        <v>Example</v>
      </c>
      <c r="D1072" s="27" t="s">
        <v>79</v>
      </c>
      <c r="E1072" s="28">
        <v>2019</v>
      </c>
      <c r="F1072" s="28">
        <f>MATCH(DaybyDay[[#This Row],[RowMonth]],Table3[SummaryMonth],0)</f>
        <v>12</v>
      </c>
      <c r="G1072" s="29">
        <f>MATCH(DaybyDay[[#This Row],[LY-Date]],DaybyDay[Date],0)</f>
        <v>702</v>
      </c>
      <c r="H1072" s="30">
        <f>WEEKDAY(DaybyDay[[#This Row],[Date]])</f>
        <v>2</v>
      </c>
      <c r="I1072" s="31">
        <v>43801</v>
      </c>
      <c r="J1072" s="74">
        <v>13</v>
      </c>
      <c r="K1072" s="32">
        <f>SUMIFS(BudgetSeasonality[365 Seasonality],BudgetSeasonality[MonthAdjustment],DaybyDay[[#This Row],[Date]])*SUMIFS(Budgets[Service-Budget],Budgets[BudgetMonth],DaybyDay[[#This Row],[RowMonth]],Budgets[BudgetYear],DaybyDay[[#This Row],[RowYear]])</f>
        <v>4213.3683872954107</v>
      </c>
      <c r="L1072" s="75">
        <v>2658.65</v>
      </c>
      <c r="M1072" s="32">
        <f>INDEX(BudgetSeasonality[365 Seasonality],MATCH(DaybyDay[[#This Row],[Date]],BudgetSeasonality[MonthAdjustment],0))*SUMIFS(Budgets[Retail-Budget],Budgets[BudgetMonth],DaybyDay[[#This Row],[RowMonth]],Budgets[BudgetYear],DaybyDay[[#This Row],[RowYear]])</f>
        <v>1044.6728473782546</v>
      </c>
      <c r="N1072" s="75">
        <v>130</v>
      </c>
      <c r="O1072" s="33">
        <f>SUMIFS(DaybyDay[Service-Budgets],DaybyDay[Date],"&gt;="&amp;$C$5,DaybyDay[RowYear],"&gt;="&amp;$C$4,DaybyDay[Date],"&lt;="&amp;DaybyDay[[#This Row],[Date]])</f>
        <v>0</v>
      </c>
      <c r="P1072" s="33">
        <f>SUMIFS(DaybyDay[Retail-Budgets],DaybyDay[Date],"&gt;="&amp;$C$5,DaybyDay[RowYear],"&gt;="&amp;$C$4,DaybyDay[Date],"&lt;="&amp;DaybyDay[[#This Row],[Date]])</f>
        <v>0</v>
      </c>
      <c r="Q1072" s="34">
        <f>SUMIFS(DaybyDay[Service-Actuals],DaybyDay[Date],"&gt;="&amp;$C$5,DaybyDay[RowYear],"&gt;="&amp;$C$4,DaybyDay[Date],"&lt;="&amp;DaybyDay[[#This Row],[Date]])</f>
        <v>0</v>
      </c>
      <c r="R1072" s="34">
        <f>SUMIFS(DaybyDay[Retail-Actuals],DaybyDay[Date],"&gt;="&amp;$C$5,DaybyDay[RowYear],"&gt;="&amp;$C$4,DaybyDay[Date],"&lt;="&amp;DaybyDay[[#This Row],[Date]])</f>
        <v>0</v>
      </c>
      <c r="S1072" s="35">
        <f>SUMIFS(DaybyDay[Service-LY],DaybyDay[Date],"&gt;="&amp;$C$5,DaybyDay[RowYear],"&gt;="&amp;$C$4,DaybyDay[Date],"&lt;="&amp;DaybyDay[[#This Row],[Date]])</f>
        <v>0</v>
      </c>
      <c r="T1072" s="35">
        <f>SUMIFS(DaybyDay[Retail-LY],DaybyDay[Date],"&gt;="&amp;$C$5,DaybyDay[RowYear],"&gt;="&amp;$C$4,DaybyDay[Date],"&lt;="&amp;DaybyDay[[#This Row],[Date]])</f>
        <v>0</v>
      </c>
      <c r="U1072" s="32">
        <f>DaybyDay[[#This Row],[Serv-Bud-RU]]+DaybyDay[[#This Row],[Ret-Bud-RU]]</f>
        <v>0</v>
      </c>
      <c r="V1072" s="32">
        <f>DaybyDay[[#This Row],[Serv-Act-RU]]+DaybyDay[[#This Row],[Ret-Act-RU]]</f>
        <v>0</v>
      </c>
      <c r="W1072" s="36">
        <f>IF(DaybyDay[[#This Row],[_Space]],IFERROR(
((DaybyDay[[#This Row],[Actual-Rollup]]-DaybyDay[[#This Row],[Budget-Rollup]])/DaybyDay[[#This Row],[Budget-Rollup]]),0),"")</f>
        <v>0</v>
      </c>
      <c r="X1072" t="b">
        <f>NOT(AND(ISBLANK(DaybyDay[[#This Row],[Appts]]),ISBLANK(DaybyDay[[#This Row],[Service-Actuals]]),ISBLANK(DaybyDay[[#This Row],[Retail-Actuals]])))</f>
        <v>1</v>
      </c>
      <c r="Y1072" s="36">
        <f>IF(DaybyDay[[#This Row],[_Space]],IFERROR(
((DaybyDay[[#This Row],[Actual-Rollup]]-DaybyDay[[#This Row],[LY-Rollup]])/DaybyDay[[#This Row],[LY-Rollup]]),0),"")</f>
        <v>0</v>
      </c>
      <c r="Z1072"/>
      <c r="AA1072" s="37" t="e">
        <f>IF(DaybyDay[[#This Row],[_Space]],DaybyDay[[#This Row],[Ret-Act-RU]]/DaybyDay[[#This Row],[Serv-Act-RU]],"")</f>
        <v>#DIV/0!</v>
      </c>
      <c r="AB1072" s="50" t="e">
        <f>IF(DaybyDay[[#This Row],[_Space]],DaybyDay[[#This Row],[RETPEN-Act]]/DaybyDay[[#This Row],[RETPEN-Bud]],"")</f>
        <v>#DIV/0!</v>
      </c>
      <c r="AC1072" s="37" t="e">
        <f>IF(DaybyDay[[#This Row],[_Space]],DaybyDay[[#This Row],[Ret-Bud-RU]]/DaybyDay[[#This Row],[Serv-Bud-RU]],"")</f>
        <v>#DIV/0!</v>
      </c>
      <c r="AD1072" s="37" t="e">
        <f>IF(DaybyDay[[#This Row],[_Space]],DaybyDay[[#This Row],[Ret-LY-RU]]/DaybyDay[[#This Row],[Serv-LY-RU]],"")</f>
        <v>#DIV/0!</v>
      </c>
      <c r="AE1072" s="30">
        <f>WEEKDAY(DaybyDay[[#This Row],[LY-Date]])</f>
        <v>2</v>
      </c>
      <c r="AF1072" s="38">
        <f>$E$2+_xlfn.DAYS(DaybyDay[[#This Row],[Date]],minDate)</f>
        <v>43437</v>
      </c>
      <c r="AG1072" s="39" cm="1">
        <f t="array" ref="AG1072">IFERROR(INDEX(DaybyDay[],DaybyDay[[#This Row],[FORM_MATCH_HELPER]],8),"")</f>
        <v>11</v>
      </c>
      <c r="AH1072" s="39" cm="1">
        <f t="array" ref="AH1072">IFERROR(INDEX(DaybyDay[],DaybyDay[[#This Row],[FORM_MATCH_HELPER]],10),"")</f>
        <v>2366.65</v>
      </c>
      <c r="AI1072" s="39" cm="1">
        <f t="array" ref="AI1072">IFERROR(INDEX(DaybyDay[],DaybyDay[[#This Row],[FORM_MATCH_HELPER]],12),"")</f>
        <v>743.5</v>
      </c>
      <c r="AJ1072" s="32">
        <f>IFERROR(DaybyDay[[#This Row],[Serv-LY-RU]]+DaybyDay[[#This Row],[Ret-LY-RU]],"")</f>
        <v>0</v>
      </c>
      <c r="AK10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2" s="77"/>
      <c r="AM1072" s="40" t="str">
        <f>IF(DaybyDay[[#This Row],[Admin Hours]]&gt;0,DaybyDay[[#This Row],[Admin Hours]]*$AM$2+$AM$3,"")</f>
        <v/>
      </c>
      <c r="AN1072" s="40">
        <f>SUMIFS(DaybyDay[Est-Admin-Payroll],DaybyDay[Date],"&gt;="&amp;$C$5,DaybyDay[RowYear],"&gt;="&amp;$C$4,DaybyDay[Date],"&lt;="&amp;DaybyDay[[#This Row],[Date]])</f>
        <v>0</v>
      </c>
      <c r="AO1072" s="41" t="str">
        <f>IF(AND(DaybyDay[[#This Row],[_Space]],ISNUMBER(DaybyDay[[#This Row],[Admin Hours]])),DaybyDay[[#This Row],[Est-Admin-Payroll]]/(DaybyDay[[#This Row],[Service-Actuals]]+DaybyDay[[#This Row],[Retail-Actuals]]),"")</f>
        <v/>
      </c>
      <c r="AP1072" s="41" t="e">
        <f>DaybyDay[[#This Row],[Estimated-Payroll-Rollup]]/DaybyDay[[#This Row],[Simple-Forecast]]</f>
        <v>#DIV/0!</v>
      </c>
      <c r="AQ10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2" s="77"/>
      <c r="AS1072" s="40" t="str">
        <f>IF(DaybyDay[[#This Row],[Retail Hours]]&gt;0,DaybyDay[[#This Row],[Retail Hours]]*$AS$2,"")</f>
        <v/>
      </c>
      <c r="AT1072" s="40">
        <f>SUMIFS(DaybyDay[Est-Retail-Payroll],DaybyDay[Date],"&gt;="&amp;$C$5,DaybyDay[RowYear],"&gt;="&amp;$C$4,DaybyDay[Date],"&lt;="&amp;DaybyDay[[#This Row],[Date]])</f>
        <v>0</v>
      </c>
      <c r="AU1072" s="82" t="str">
        <f>IF(AND(DaybyDay[[#This Row],[_Space]],ISNUMBER(DaybyDay[[#This Row],[Retail Hours]])),DaybyDay[[#This Row],[Est-Retail-Payroll]]/(DaybyDay[[#This Row],[Retail-Actuals]]),"")</f>
        <v/>
      </c>
      <c r="AV1072" s="82" t="e">
        <f>DaybyDay[[#This Row],[Est-Retail-PayrollRU]]/DaybyDay[[#This Row],[Simple-Forecast-Retail]]</f>
        <v>#DIV/0!</v>
      </c>
      <c r="AW1072" s="8"/>
      <c r="AX1072" s="15"/>
      <c r="AY1072" s="8"/>
    </row>
    <row r="1073" spans="3:51" hidden="1" x14ac:dyDescent="0.25">
      <c r="C1073" s="26" t="str">
        <f>Tools!$C$1</f>
        <v>Example</v>
      </c>
      <c r="D1073" s="27" t="s">
        <v>79</v>
      </c>
      <c r="E1073" s="28">
        <v>2019</v>
      </c>
      <c r="F1073" s="28">
        <f>MATCH(DaybyDay[[#This Row],[RowMonth]],Table3[SummaryMonth],0)</f>
        <v>12</v>
      </c>
      <c r="G1073" s="29">
        <f>MATCH(DaybyDay[[#This Row],[LY-Date]],DaybyDay[Date],0)</f>
        <v>703</v>
      </c>
      <c r="H1073" s="30">
        <f>WEEKDAY(DaybyDay[[#This Row],[Date]])</f>
        <v>3</v>
      </c>
      <c r="I1073" s="31">
        <v>43802</v>
      </c>
      <c r="J1073" s="74">
        <v>21</v>
      </c>
      <c r="K1073" s="32">
        <f>SUMIFS(BudgetSeasonality[365 Seasonality],BudgetSeasonality[MonthAdjustment],DaybyDay[[#This Row],[Date]])*SUMIFS(Budgets[Service-Budget],Budgets[BudgetMonth],DaybyDay[[#This Row],[RowMonth]],Budgets[BudgetYear],DaybyDay[[#This Row],[RowYear]])</f>
        <v>4384.2078291845692</v>
      </c>
      <c r="L1073" s="75">
        <v>5066.8999999999996</v>
      </c>
      <c r="M1073" s="32">
        <f>INDEX(BudgetSeasonality[365 Seasonality],MATCH(DaybyDay[[#This Row],[Date]],BudgetSeasonality[MonthAdjustment],0))*SUMIFS(Budgets[Retail-Budget],Budgets[BudgetMonth],DaybyDay[[#This Row],[RowMonth]],Budgets[BudgetYear],DaybyDay[[#This Row],[RowYear]])</f>
        <v>1087.0311958058462</v>
      </c>
      <c r="N1073" s="75">
        <v>30</v>
      </c>
      <c r="O1073" s="33">
        <f>SUMIFS(DaybyDay[Service-Budgets],DaybyDay[Date],"&gt;="&amp;$C$5,DaybyDay[RowYear],"&gt;="&amp;$C$4,DaybyDay[Date],"&lt;="&amp;DaybyDay[[#This Row],[Date]])</f>
        <v>0</v>
      </c>
      <c r="P1073" s="33">
        <f>SUMIFS(DaybyDay[Retail-Budgets],DaybyDay[Date],"&gt;="&amp;$C$5,DaybyDay[RowYear],"&gt;="&amp;$C$4,DaybyDay[Date],"&lt;="&amp;DaybyDay[[#This Row],[Date]])</f>
        <v>0</v>
      </c>
      <c r="Q1073" s="34">
        <f>SUMIFS(DaybyDay[Service-Actuals],DaybyDay[Date],"&gt;="&amp;$C$5,DaybyDay[RowYear],"&gt;="&amp;$C$4,DaybyDay[Date],"&lt;="&amp;DaybyDay[[#This Row],[Date]])</f>
        <v>0</v>
      </c>
      <c r="R1073" s="34">
        <f>SUMIFS(DaybyDay[Retail-Actuals],DaybyDay[Date],"&gt;="&amp;$C$5,DaybyDay[RowYear],"&gt;="&amp;$C$4,DaybyDay[Date],"&lt;="&amp;DaybyDay[[#This Row],[Date]])</f>
        <v>0</v>
      </c>
      <c r="S1073" s="35">
        <f>SUMIFS(DaybyDay[Service-LY],DaybyDay[Date],"&gt;="&amp;$C$5,DaybyDay[RowYear],"&gt;="&amp;$C$4,DaybyDay[Date],"&lt;="&amp;DaybyDay[[#This Row],[Date]])</f>
        <v>0</v>
      </c>
      <c r="T1073" s="35">
        <f>SUMIFS(DaybyDay[Retail-LY],DaybyDay[Date],"&gt;="&amp;$C$5,DaybyDay[RowYear],"&gt;="&amp;$C$4,DaybyDay[Date],"&lt;="&amp;DaybyDay[[#This Row],[Date]])</f>
        <v>0</v>
      </c>
      <c r="U1073" s="32">
        <f>DaybyDay[[#This Row],[Serv-Bud-RU]]+DaybyDay[[#This Row],[Ret-Bud-RU]]</f>
        <v>0</v>
      </c>
      <c r="V1073" s="32">
        <f>DaybyDay[[#This Row],[Serv-Act-RU]]+DaybyDay[[#This Row],[Ret-Act-RU]]</f>
        <v>0</v>
      </c>
      <c r="W1073" s="36">
        <f>IF(DaybyDay[[#This Row],[_Space]],IFERROR(
((DaybyDay[[#This Row],[Actual-Rollup]]-DaybyDay[[#This Row],[Budget-Rollup]])/DaybyDay[[#This Row],[Budget-Rollup]]),0),"")</f>
        <v>0</v>
      </c>
      <c r="X1073" t="b">
        <f>NOT(AND(ISBLANK(DaybyDay[[#This Row],[Appts]]),ISBLANK(DaybyDay[[#This Row],[Service-Actuals]]),ISBLANK(DaybyDay[[#This Row],[Retail-Actuals]])))</f>
        <v>1</v>
      </c>
      <c r="Y1073" s="36">
        <f>IF(DaybyDay[[#This Row],[_Space]],IFERROR(
((DaybyDay[[#This Row],[Actual-Rollup]]-DaybyDay[[#This Row],[LY-Rollup]])/DaybyDay[[#This Row],[LY-Rollup]]),0),"")</f>
        <v>0</v>
      </c>
      <c r="Z1073"/>
      <c r="AA1073" s="37" t="e">
        <f>IF(DaybyDay[[#This Row],[_Space]],DaybyDay[[#This Row],[Ret-Act-RU]]/DaybyDay[[#This Row],[Serv-Act-RU]],"")</f>
        <v>#DIV/0!</v>
      </c>
      <c r="AB1073" s="50" t="e">
        <f>IF(DaybyDay[[#This Row],[_Space]],DaybyDay[[#This Row],[RETPEN-Act]]/DaybyDay[[#This Row],[RETPEN-Bud]],"")</f>
        <v>#DIV/0!</v>
      </c>
      <c r="AC1073" s="37" t="e">
        <f>IF(DaybyDay[[#This Row],[_Space]],DaybyDay[[#This Row],[Ret-Bud-RU]]/DaybyDay[[#This Row],[Serv-Bud-RU]],"")</f>
        <v>#DIV/0!</v>
      </c>
      <c r="AD1073" s="37" t="e">
        <f>IF(DaybyDay[[#This Row],[_Space]],DaybyDay[[#This Row],[Ret-LY-RU]]/DaybyDay[[#This Row],[Serv-LY-RU]],"")</f>
        <v>#DIV/0!</v>
      </c>
      <c r="AE1073" s="30">
        <f>WEEKDAY(DaybyDay[[#This Row],[LY-Date]])</f>
        <v>3</v>
      </c>
      <c r="AF1073" s="38">
        <f>$E$2+_xlfn.DAYS(DaybyDay[[#This Row],[Date]],minDate)</f>
        <v>43438</v>
      </c>
      <c r="AG1073" s="39" cm="1">
        <f t="array" ref="AG1073">IFERROR(INDEX(DaybyDay[],DaybyDay[[#This Row],[FORM_MATCH_HELPER]],8),"")</f>
        <v>13</v>
      </c>
      <c r="AH1073" s="39" cm="1">
        <f t="array" ref="AH1073">IFERROR(INDEX(DaybyDay[],DaybyDay[[#This Row],[FORM_MATCH_HELPER]],10),"")</f>
        <v>3727</v>
      </c>
      <c r="AI1073" s="39" cm="1">
        <f t="array" ref="AI1073">IFERROR(INDEX(DaybyDay[],DaybyDay[[#This Row],[FORM_MATCH_HELPER]],12),"")</f>
        <v>1341.5</v>
      </c>
      <c r="AJ1073" s="32">
        <f>IFERROR(DaybyDay[[#This Row],[Serv-LY-RU]]+DaybyDay[[#This Row],[Ret-LY-RU]],"")</f>
        <v>0</v>
      </c>
      <c r="AK10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3" s="77"/>
      <c r="AM1073" s="40" t="str">
        <f>IF(DaybyDay[[#This Row],[Admin Hours]]&gt;0,DaybyDay[[#This Row],[Admin Hours]]*$AM$2+$AM$3,"")</f>
        <v/>
      </c>
      <c r="AN1073" s="40">
        <f>SUMIFS(DaybyDay[Est-Admin-Payroll],DaybyDay[Date],"&gt;="&amp;$C$5,DaybyDay[RowYear],"&gt;="&amp;$C$4,DaybyDay[Date],"&lt;="&amp;DaybyDay[[#This Row],[Date]])</f>
        <v>0</v>
      </c>
      <c r="AO1073" s="41" t="str">
        <f>IF(AND(DaybyDay[[#This Row],[_Space]],ISNUMBER(DaybyDay[[#This Row],[Admin Hours]])),DaybyDay[[#This Row],[Est-Admin-Payroll]]/(DaybyDay[[#This Row],[Service-Actuals]]+DaybyDay[[#This Row],[Retail-Actuals]]),"")</f>
        <v/>
      </c>
      <c r="AP1073" s="41" t="e">
        <f>DaybyDay[[#This Row],[Estimated-Payroll-Rollup]]/DaybyDay[[#This Row],[Simple-Forecast]]</f>
        <v>#DIV/0!</v>
      </c>
      <c r="AQ10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3" s="77"/>
      <c r="AS1073" s="40" t="str">
        <f>IF(DaybyDay[[#This Row],[Retail Hours]]&gt;0,DaybyDay[[#This Row],[Retail Hours]]*$AS$2,"")</f>
        <v/>
      </c>
      <c r="AT1073" s="40">
        <f>SUMIFS(DaybyDay[Est-Retail-Payroll],DaybyDay[Date],"&gt;="&amp;$C$5,DaybyDay[RowYear],"&gt;="&amp;$C$4,DaybyDay[Date],"&lt;="&amp;DaybyDay[[#This Row],[Date]])</f>
        <v>0</v>
      </c>
      <c r="AU1073" s="82" t="str">
        <f>IF(AND(DaybyDay[[#This Row],[_Space]],ISNUMBER(DaybyDay[[#This Row],[Retail Hours]])),DaybyDay[[#This Row],[Est-Retail-Payroll]]/(DaybyDay[[#This Row],[Retail-Actuals]]),"")</f>
        <v/>
      </c>
      <c r="AV1073" s="82" t="e">
        <f>DaybyDay[[#This Row],[Est-Retail-PayrollRU]]/DaybyDay[[#This Row],[Simple-Forecast-Retail]]</f>
        <v>#DIV/0!</v>
      </c>
      <c r="AW1073" s="8"/>
      <c r="AX1073" s="15"/>
      <c r="AY1073" s="8"/>
    </row>
    <row r="1074" spans="3:51" hidden="1" x14ac:dyDescent="0.25">
      <c r="C1074" s="26" t="str">
        <f>Tools!$C$1</f>
        <v>Example</v>
      </c>
      <c r="D1074" s="27" t="s">
        <v>79</v>
      </c>
      <c r="E1074" s="28">
        <v>2019</v>
      </c>
      <c r="F1074" s="28">
        <f>MATCH(DaybyDay[[#This Row],[RowMonth]],Table3[SummaryMonth],0)</f>
        <v>12</v>
      </c>
      <c r="G1074" s="29">
        <f>MATCH(DaybyDay[[#This Row],[LY-Date]],DaybyDay[Date],0)</f>
        <v>704</v>
      </c>
      <c r="H1074" s="30">
        <f>WEEKDAY(DaybyDay[[#This Row],[Date]])</f>
        <v>4</v>
      </c>
      <c r="I1074" s="31">
        <v>43803</v>
      </c>
      <c r="J1074" s="74">
        <v>19</v>
      </c>
      <c r="K1074" s="32">
        <f>SUMIFS(BudgetSeasonality[365 Seasonality],BudgetSeasonality[MonthAdjustment],DaybyDay[[#This Row],[Date]])*SUMIFS(Budgets[Service-Budget],Budgets[BudgetMonth],DaybyDay[[#This Row],[RowMonth]],Budgets[BudgetYear],DaybyDay[[#This Row],[RowYear]])</f>
        <v>5055.4562065080599</v>
      </c>
      <c r="L1074" s="75">
        <v>3450.8</v>
      </c>
      <c r="M1074" s="32">
        <f>INDEX(BudgetSeasonality[365 Seasonality],MATCH(DaybyDay[[#This Row],[Date]],BudgetSeasonality[MonthAdjustment],0))*SUMIFS(Budgets[Retail-Budget],Budgets[BudgetMonth],DaybyDay[[#This Row],[RowMonth]],Budgets[BudgetYear],DaybyDay[[#This Row],[RowYear]])</f>
        <v>1253.4621577295654</v>
      </c>
      <c r="N1074" s="75">
        <v>1528.7</v>
      </c>
      <c r="O1074" s="33">
        <f>SUMIFS(DaybyDay[Service-Budgets],DaybyDay[Date],"&gt;="&amp;$C$5,DaybyDay[RowYear],"&gt;="&amp;$C$4,DaybyDay[Date],"&lt;="&amp;DaybyDay[[#This Row],[Date]])</f>
        <v>0</v>
      </c>
      <c r="P1074" s="33">
        <f>SUMIFS(DaybyDay[Retail-Budgets],DaybyDay[Date],"&gt;="&amp;$C$5,DaybyDay[RowYear],"&gt;="&amp;$C$4,DaybyDay[Date],"&lt;="&amp;DaybyDay[[#This Row],[Date]])</f>
        <v>0</v>
      </c>
      <c r="Q1074" s="34">
        <f>SUMIFS(DaybyDay[Service-Actuals],DaybyDay[Date],"&gt;="&amp;$C$5,DaybyDay[RowYear],"&gt;="&amp;$C$4,DaybyDay[Date],"&lt;="&amp;DaybyDay[[#This Row],[Date]])</f>
        <v>0</v>
      </c>
      <c r="R1074" s="34">
        <f>SUMIFS(DaybyDay[Retail-Actuals],DaybyDay[Date],"&gt;="&amp;$C$5,DaybyDay[RowYear],"&gt;="&amp;$C$4,DaybyDay[Date],"&lt;="&amp;DaybyDay[[#This Row],[Date]])</f>
        <v>0</v>
      </c>
      <c r="S1074" s="35">
        <f>SUMIFS(DaybyDay[Service-LY],DaybyDay[Date],"&gt;="&amp;$C$5,DaybyDay[RowYear],"&gt;="&amp;$C$4,DaybyDay[Date],"&lt;="&amp;DaybyDay[[#This Row],[Date]])</f>
        <v>0</v>
      </c>
      <c r="T1074" s="35">
        <f>SUMIFS(DaybyDay[Retail-LY],DaybyDay[Date],"&gt;="&amp;$C$5,DaybyDay[RowYear],"&gt;="&amp;$C$4,DaybyDay[Date],"&lt;="&amp;DaybyDay[[#This Row],[Date]])</f>
        <v>0</v>
      </c>
      <c r="U1074" s="32">
        <f>DaybyDay[[#This Row],[Serv-Bud-RU]]+DaybyDay[[#This Row],[Ret-Bud-RU]]</f>
        <v>0</v>
      </c>
      <c r="V1074" s="32">
        <f>DaybyDay[[#This Row],[Serv-Act-RU]]+DaybyDay[[#This Row],[Ret-Act-RU]]</f>
        <v>0</v>
      </c>
      <c r="W1074" s="36">
        <f>IF(DaybyDay[[#This Row],[_Space]],IFERROR(
((DaybyDay[[#This Row],[Actual-Rollup]]-DaybyDay[[#This Row],[Budget-Rollup]])/DaybyDay[[#This Row],[Budget-Rollup]]),0),"")</f>
        <v>0</v>
      </c>
      <c r="X1074" t="b">
        <f>NOT(AND(ISBLANK(DaybyDay[[#This Row],[Appts]]),ISBLANK(DaybyDay[[#This Row],[Service-Actuals]]),ISBLANK(DaybyDay[[#This Row],[Retail-Actuals]])))</f>
        <v>1</v>
      </c>
      <c r="Y1074" s="36">
        <f>IF(DaybyDay[[#This Row],[_Space]],IFERROR(
((DaybyDay[[#This Row],[Actual-Rollup]]-DaybyDay[[#This Row],[LY-Rollup]])/DaybyDay[[#This Row],[LY-Rollup]]),0),"")</f>
        <v>0</v>
      </c>
      <c r="Z1074"/>
      <c r="AA1074" s="37" t="e">
        <f>IF(DaybyDay[[#This Row],[_Space]],DaybyDay[[#This Row],[Ret-Act-RU]]/DaybyDay[[#This Row],[Serv-Act-RU]],"")</f>
        <v>#DIV/0!</v>
      </c>
      <c r="AB1074" s="50" t="e">
        <f>IF(DaybyDay[[#This Row],[_Space]],DaybyDay[[#This Row],[RETPEN-Act]]/DaybyDay[[#This Row],[RETPEN-Bud]],"")</f>
        <v>#DIV/0!</v>
      </c>
      <c r="AC1074" s="37" t="e">
        <f>IF(DaybyDay[[#This Row],[_Space]],DaybyDay[[#This Row],[Ret-Bud-RU]]/DaybyDay[[#This Row],[Serv-Bud-RU]],"")</f>
        <v>#DIV/0!</v>
      </c>
      <c r="AD1074" s="37" t="e">
        <f>IF(DaybyDay[[#This Row],[_Space]],DaybyDay[[#This Row],[Ret-LY-RU]]/DaybyDay[[#This Row],[Serv-LY-RU]],"")</f>
        <v>#DIV/0!</v>
      </c>
      <c r="AE1074" s="30">
        <f>WEEKDAY(DaybyDay[[#This Row],[LY-Date]])</f>
        <v>4</v>
      </c>
      <c r="AF1074" s="38">
        <f>$E$2+_xlfn.DAYS(DaybyDay[[#This Row],[Date]],minDate)</f>
        <v>43439</v>
      </c>
      <c r="AG1074" s="39" cm="1">
        <f t="array" ref="AG1074">IFERROR(INDEX(DaybyDay[],DaybyDay[[#This Row],[FORM_MATCH_HELPER]],8),"")</f>
        <v>27</v>
      </c>
      <c r="AH1074" s="39" cm="1">
        <f t="array" ref="AH1074">IFERROR(INDEX(DaybyDay[],DaybyDay[[#This Row],[FORM_MATCH_HELPER]],10),"")</f>
        <v>6240.1</v>
      </c>
      <c r="AI1074" s="39" cm="1">
        <f t="array" ref="AI1074">IFERROR(INDEX(DaybyDay[],DaybyDay[[#This Row],[FORM_MATCH_HELPER]],12),"")</f>
        <v>376.5</v>
      </c>
      <c r="AJ1074" s="32">
        <f>IFERROR(DaybyDay[[#This Row],[Serv-LY-RU]]+DaybyDay[[#This Row],[Ret-LY-RU]],"")</f>
        <v>0</v>
      </c>
      <c r="AK10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4" s="77"/>
      <c r="AM1074" s="40" t="str">
        <f>IF(DaybyDay[[#This Row],[Admin Hours]]&gt;0,DaybyDay[[#This Row],[Admin Hours]]*$AM$2+$AM$3,"")</f>
        <v/>
      </c>
      <c r="AN1074" s="40">
        <f>SUMIFS(DaybyDay[Est-Admin-Payroll],DaybyDay[Date],"&gt;="&amp;$C$5,DaybyDay[RowYear],"&gt;="&amp;$C$4,DaybyDay[Date],"&lt;="&amp;DaybyDay[[#This Row],[Date]])</f>
        <v>0</v>
      </c>
      <c r="AO1074" s="41" t="str">
        <f>IF(AND(DaybyDay[[#This Row],[_Space]],ISNUMBER(DaybyDay[[#This Row],[Admin Hours]])),DaybyDay[[#This Row],[Est-Admin-Payroll]]/(DaybyDay[[#This Row],[Service-Actuals]]+DaybyDay[[#This Row],[Retail-Actuals]]),"")</f>
        <v/>
      </c>
      <c r="AP1074" s="41" t="e">
        <f>DaybyDay[[#This Row],[Estimated-Payroll-Rollup]]/DaybyDay[[#This Row],[Simple-Forecast]]</f>
        <v>#DIV/0!</v>
      </c>
      <c r="AQ10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4" s="77"/>
      <c r="AS1074" s="40" t="str">
        <f>IF(DaybyDay[[#This Row],[Retail Hours]]&gt;0,DaybyDay[[#This Row],[Retail Hours]]*$AS$2,"")</f>
        <v/>
      </c>
      <c r="AT1074" s="40">
        <f>SUMIFS(DaybyDay[Est-Retail-Payroll],DaybyDay[Date],"&gt;="&amp;$C$5,DaybyDay[RowYear],"&gt;="&amp;$C$4,DaybyDay[Date],"&lt;="&amp;DaybyDay[[#This Row],[Date]])</f>
        <v>0</v>
      </c>
      <c r="AU1074" s="82" t="str">
        <f>IF(AND(DaybyDay[[#This Row],[_Space]],ISNUMBER(DaybyDay[[#This Row],[Retail Hours]])),DaybyDay[[#This Row],[Est-Retail-Payroll]]/(DaybyDay[[#This Row],[Retail-Actuals]]),"")</f>
        <v/>
      </c>
      <c r="AV1074" s="82" t="e">
        <f>DaybyDay[[#This Row],[Est-Retail-PayrollRU]]/DaybyDay[[#This Row],[Simple-Forecast-Retail]]</f>
        <v>#DIV/0!</v>
      </c>
      <c r="AW1074" s="8"/>
      <c r="AX1074" s="15"/>
      <c r="AY1074" s="8"/>
    </row>
    <row r="1075" spans="3:51" hidden="1" x14ac:dyDescent="0.25">
      <c r="C1075" s="26" t="str">
        <f>Tools!$C$1</f>
        <v>Example</v>
      </c>
      <c r="D1075" s="27" t="s">
        <v>79</v>
      </c>
      <c r="E1075" s="28">
        <v>2019</v>
      </c>
      <c r="F1075" s="28">
        <f>MATCH(DaybyDay[[#This Row],[RowMonth]],Table3[SummaryMonth],0)</f>
        <v>12</v>
      </c>
      <c r="G1075" s="29">
        <f>MATCH(DaybyDay[[#This Row],[LY-Date]],DaybyDay[Date],0)</f>
        <v>705</v>
      </c>
      <c r="H1075" s="30">
        <f>WEEKDAY(DaybyDay[[#This Row],[Date]])</f>
        <v>5</v>
      </c>
      <c r="I1075" s="31">
        <v>43804</v>
      </c>
      <c r="J1075" s="74">
        <v>9</v>
      </c>
      <c r="K1075" s="32">
        <f>SUMIFS(BudgetSeasonality[365 Seasonality],BudgetSeasonality[MonthAdjustment],DaybyDay[[#This Row],[Date]])*SUMIFS(Budgets[Service-Budget],Budgets[BudgetMonth],DaybyDay[[#This Row],[RowMonth]],Budgets[BudgetYear],DaybyDay[[#This Row],[RowYear]])</f>
        <v>5231.3747630174867</v>
      </c>
      <c r="L1075" s="75">
        <v>2820.7</v>
      </c>
      <c r="M1075" s="32">
        <f>INDEX(BudgetSeasonality[365 Seasonality],MATCH(DaybyDay[[#This Row],[Date]],BudgetSeasonality[MonthAdjustment],0))*SUMIFS(Budgets[Retail-Budget],Budgets[BudgetMonth],DaybyDay[[#This Row],[RowMonth]],Budgets[BudgetYear],DaybyDay[[#This Row],[RowYear]])</f>
        <v>1297.0798342397704</v>
      </c>
      <c r="N1075" s="75">
        <v>710.55</v>
      </c>
      <c r="O1075" s="33">
        <f>SUMIFS(DaybyDay[Service-Budgets],DaybyDay[Date],"&gt;="&amp;$C$5,DaybyDay[RowYear],"&gt;="&amp;$C$4,DaybyDay[Date],"&lt;="&amp;DaybyDay[[#This Row],[Date]])</f>
        <v>0</v>
      </c>
      <c r="P1075" s="33">
        <f>SUMIFS(DaybyDay[Retail-Budgets],DaybyDay[Date],"&gt;="&amp;$C$5,DaybyDay[RowYear],"&gt;="&amp;$C$4,DaybyDay[Date],"&lt;="&amp;DaybyDay[[#This Row],[Date]])</f>
        <v>0</v>
      </c>
      <c r="Q1075" s="34">
        <f>SUMIFS(DaybyDay[Service-Actuals],DaybyDay[Date],"&gt;="&amp;$C$5,DaybyDay[RowYear],"&gt;="&amp;$C$4,DaybyDay[Date],"&lt;="&amp;DaybyDay[[#This Row],[Date]])</f>
        <v>0</v>
      </c>
      <c r="R1075" s="34">
        <f>SUMIFS(DaybyDay[Retail-Actuals],DaybyDay[Date],"&gt;="&amp;$C$5,DaybyDay[RowYear],"&gt;="&amp;$C$4,DaybyDay[Date],"&lt;="&amp;DaybyDay[[#This Row],[Date]])</f>
        <v>0</v>
      </c>
      <c r="S1075" s="35">
        <f>SUMIFS(DaybyDay[Service-LY],DaybyDay[Date],"&gt;="&amp;$C$5,DaybyDay[RowYear],"&gt;="&amp;$C$4,DaybyDay[Date],"&lt;="&amp;DaybyDay[[#This Row],[Date]])</f>
        <v>0</v>
      </c>
      <c r="T1075" s="35">
        <f>SUMIFS(DaybyDay[Retail-LY],DaybyDay[Date],"&gt;="&amp;$C$5,DaybyDay[RowYear],"&gt;="&amp;$C$4,DaybyDay[Date],"&lt;="&amp;DaybyDay[[#This Row],[Date]])</f>
        <v>0</v>
      </c>
      <c r="U1075" s="32">
        <f>DaybyDay[[#This Row],[Serv-Bud-RU]]+DaybyDay[[#This Row],[Ret-Bud-RU]]</f>
        <v>0</v>
      </c>
      <c r="V1075" s="32">
        <f>DaybyDay[[#This Row],[Serv-Act-RU]]+DaybyDay[[#This Row],[Ret-Act-RU]]</f>
        <v>0</v>
      </c>
      <c r="W1075" s="36">
        <f>IF(DaybyDay[[#This Row],[_Space]],IFERROR(
((DaybyDay[[#This Row],[Actual-Rollup]]-DaybyDay[[#This Row],[Budget-Rollup]])/DaybyDay[[#This Row],[Budget-Rollup]]),0),"")</f>
        <v>0</v>
      </c>
      <c r="X1075" t="b">
        <f>NOT(AND(ISBLANK(DaybyDay[[#This Row],[Appts]]),ISBLANK(DaybyDay[[#This Row],[Service-Actuals]]),ISBLANK(DaybyDay[[#This Row],[Retail-Actuals]])))</f>
        <v>1</v>
      </c>
      <c r="Y1075" s="36">
        <f>IF(DaybyDay[[#This Row],[_Space]],IFERROR(
((DaybyDay[[#This Row],[Actual-Rollup]]-DaybyDay[[#This Row],[LY-Rollup]])/DaybyDay[[#This Row],[LY-Rollup]]),0),"")</f>
        <v>0</v>
      </c>
      <c r="Z1075"/>
      <c r="AA1075" s="37" t="e">
        <f>IF(DaybyDay[[#This Row],[_Space]],DaybyDay[[#This Row],[Ret-Act-RU]]/DaybyDay[[#This Row],[Serv-Act-RU]],"")</f>
        <v>#DIV/0!</v>
      </c>
      <c r="AB1075" s="50" t="e">
        <f>IF(DaybyDay[[#This Row],[_Space]],DaybyDay[[#This Row],[RETPEN-Act]]/DaybyDay[[#This Row],[RETPEN-Bud]],"")</f>
        <v>#DIV/0!</v>
      </c>
      <c r="AC1075" s="37" t="e">
        <f>IF(DaybyDay[[#This Row],[_Space]],DaybyDay[[#This Row],[Ret-Bud-RU]]/DaybyDay[[#This Row],[Serv-Bud-RU]],"")</f>
        <v>#DIV/0!</v>
      </c>
      <c r="AD1075" s="37" t="e">
        <f>IF(DaybyDay[[#This Row],[_Space]],DaybyDay[[#This Row],[Ret-LY-RU]]/DaybyDay[[#This Row],[Serv-LY-RU]],"")</f>
        <v>#DIV/0!</v>
      </c>
      <c r="AE1075" s="30">
        <f>WEEKDAY(DaybyDay[[#This Row],[LY-Date]])</f>
        <v>5</v>
      </c>
      <c r="AF1075" s="38">
        <f>$E$2+_xlfn.DAYS(DaybyDay[[#This Row],[Date]],minDate)</f>
        <v>43440</v>
      </c>
      <c r="AG1075" s="39" cm="1">
        <f t="array" ref="AG1075">IFERROR(INDEX(DaybyDay[],DaybyDay[[#This Row],[FORM_MATCH_HELPER]],8),"")</f>
        <v>23</v>
      </c>
      <c r="AH1075" s="39" cm="1">
        <f t="array" ref="AH1075">IFERROR(INDEX(DaybyDay[],DaybyDay[[#This Row],[FORM_MATCH_HELPER]],10),"")</f>
        <v>5249.4</v>
      </c>
      <c r="AI1075" s="39" cm="1">
        <f t="array" ref="AI1075">IFERROR(INDEX(DaybyDay[],DaybyDay[[#This Row],[FORM_MATCH_HELPER]],12),"")</f>
        <v>736.5</v>
      </c>
      <c r="AJ1075" s="32">
        <f>IFERROR(DaybyDay[[#This Row],[Serv-LY-RU]]+DaybyDay[[#This Row],[Ret-LY-RU]],"")</f>
        <v>0</v>
      </c>
      <c r="AK10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5" s="77"/>
      <c r="AM1075" s="40" t="str">
        <f>IF(DaybyDay[[#This Row],[Admin Hours]]&gt;0,DaybyDay[[#This Row],[Admin Hours]]*$AM$2+$AM$3,"")</f>
        <v/>
      </c>
      <c r="AN1075" s="40">
        <f>SUMIFS(DaybyDay[Est-Admin-Payroll],DaybyDay[Date],"&gt;="&amp;$C$5,DaybyDay[RowYear],"&gt;="&amp;$C$4,DaybyDay[Date],"&lt;="&amp;DaybyDay[[#This Row],[Date]])</f>
        <v>0</v>
      </c>
      <c r="AO1075" s="41" t="str">
        <f>IF(AND(DaybyDay[[#This Row],[_Space]],ISNUMBER(DaybyDay[[#This Row],[Admin Hours]])),DaybyDay[[#This Row],[Est-Admin-Payroll]]/(DaybyDay[[#This Row],[Service-Actuals]]+DaybyDay[[#This Row],[Retail-Actuals]]),"")</f>
        <v/>
      </c>
      <c r="AP1075" s="41" t="e">
        <f>DaybyDay[[#This Row],[Estimated-Payroll-Rollup]]/DaybyDay[[#This Row],[Simple-Forecast]]</f>
        <v>#DIV/0!</v>
      </c>
      <c r="AQ10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5" s="77"/>
      <c r="AS1075" s="40" t="str">
        <f>IF(DaybyDay[[#This Row],[Retail Hours]]&gt;0,DaybyDay[[#This Row],[Retail Hours]]*$AS$2,"")</f>
        <v/>
      </c>
      <c r="AT1075" s="40">
        <f>SUMIFS(DaybyDay[Est-Retail-Payroll],DaybyDay[Date],"&gt;="&amp;$C$5,DaybyDay[RowYear],"&gt;="&amp;$C$4,DaybyDay[Date],"&lt;="&amp;DaybyDay[[#This Row],[Date]])</f>
        <v>0</v>
      </c>
      <c r="AU1075" s="82" t="str">
        <f>IF(AND(DaybyDay[[#This Row],[_Space]],ISNUMBER(DaybyDay[[#This Row],[Retail Hours]])),DaybyDay[[#This Row],[Est-Retail-Payroll]]/(DaybyDay[[#This Row],[Retail-Actuals]]),"")</f>
        <v/>
      </c>
      <c r="AV1075" s="82" t="e">
        <f>DaybyDay[[#This Row],[Est-Retail-PayrollRU]]/DaybyDay[[#This Row],[Simple-Forecast-Retail]]</f>
        <v>#DIV/0!</v>
      </c>
      <c r="AW1075" s="8"/>
      <c r="AX1075" s="15"/>
      <c r="AY1075" s="8"/>
    </row>
    <row r="1076" spans="3:51" hidden="1" x14ac:dyDescent="0.25">
      <c r="C1076" s="26" t="str">
        <f>Tools!$C$1</f>
        <v>Example</v>
      </c>
      <c r="D1076" s="27" t="s">
        <v>79</v>
      </c>
      <c r="E1076" s="28">
        <v>2019</v>
      </c>
      <c r="F1076" s="28">
        <f>MATCH(DaybyDay[[#This Row],[RowMonth]],Table3[SummaryMonth],0)</f>
        <v>12</v>
      </c>
      <c r="G1076" s="29">
        <f>MATCH(DaybyDay[[#This Row],[LY-Date]],DaybyDay[Date],0)</f>
        <v>706</v>
      </c>
      <c r="H1076" s="30">
        <f>WEEKDAY(DaybyDay[[#This Row],[Date]])</f>
        <v>6</v>
      </c>
      <c r="I1076" s="31">
        <v>43805</v>
      </c>
      <c r="J1076" s="74">
        <v>37</v>
      </c>
      <c r="K1076" s="32">
        <f>SUMIFS(BudgetSeasonality[365 Seasonality],BudgetSeasonality[MonthAdjustment],DaybyDay[[#This Row],[Date]])*SUMIFS(Budgets[Service-Budget],Budgets[BudgetMonth],DaybyDay[[#This Row],[RowMonth]],Budgets[BudgetYear],DaybyDay[[#This Row],[RowYear]])</f>
        <v>6453.4280333052275</v>
      </c>
      <c r="L1076" s="75">
        <v>7597.4</v>
      </c>
      <c r="M1076" s="32">
        <f>INDEX(BudgetSeasonality[365 Seasonality],MATCH(DaybyDay[[#This Row],[Date]],BudgetSeasonality[MonthAdjustment],0))*SUMIFS(Budgets[Retail-Budget],Budgets[BudgetMonth],DaybyDay[[#This Row],[RowMonth]],Budgets[BudgetYear],DaybyDay[[#This Row],[RowYear]])</f>
        <v>1600.0787064411375</v>
      </c>
      <c r="N1076" s="75">
        <v>564</v>
      </c>
      <c r="O1076" s="33">
        <f>SUMIFS(DaybyDay[Service-Budgets],DaybyDay[Date],"&gt;="&amp;$C$5,DaybyDay[RowYear],"&gt;="&amp;$C$4,DaybyDay[Date],"&lt;="&amp;DaybyDay[[#This Row],[Date]])</f>
        <v>0</v>
      </c>
      <c r="P1076" s="33">
        <f>SUMIFS(DaybyDay[Retail-Budgets],DaybyDay[Date],"&gt;="&amp;$C$5,DaybyDay[RowYear],"&gt;="&amp;$C$4,DaybyDay[Date],"&lt;="&amp;DaybyDay[[#This Row],[Date]])</f>
        <v>0</v>
      </c>
      <c r="Q1076" s="34">
        <f>SUMIFS(DaybyDay[Service-Actuals],DaybyDay[Date],"&gt;="&amp;$C$5,DaybyDay[RowYear],"&gt;="&amp;$C$4,DaybyDay[Date],"&lt;="&amp;DaybyDay[[#This Row],[Date]])</f>
        <v>0</v>
      </c>
      <c r="R1076" s="34">
        <f>SUMIFS(DaybyDay[Retail-Actuals],DaybyDay[Date],"&gt;="&amp;$C$5,DaybyDay[RowYear],"&gt;="&amp;$C$4,DaybyDay[Date],"&lt;="&amp;DaybyDay[[#This Row],[Date]])</f>
        <v>0</v>
      </c>
      <c r="S1076" s="35">
        <f>SUMIFS(DaybyDay[Service-LY],DaybyDay[Date],"&gt;="&amp;$C$5,DaybyDay[RowYear],"&gt;="&amp;$C$4,DaybyDay[Date],"&lt;="&amp;DaybyDay[[#This Row],[Date]])</f>
        <v>0</v>
      </c>
      <c r="T1076" s="35">
        <f>SUMIFS(DaybyDay[Retail-LY],DaybyDay[Date],"&gt;="&amp;$C$5,DaybyDay[RowYear],"&gt;="&amp;$C$4,DaybyDay[Date],"&lt;="&amp;DaybyDay[[#This Row],[Date]])</f>
        <v>0</v>
      </c>
      <c r="U1076" s="32">
        <f>DaybyDay[[#This Row],[Serv-Bud-RU]]+DaybyDay[[#This Row],[Ret-Bud-RU]]</f>
        <v>0</v>
      </c>
      <c r="V1076" s="32">
        <f>DaybyDay[[#This Row],[Serv-Act-RU]]+DaybyDay[[#This Row],[Ret-Act-RU]]</f>
        <v>0</v>
      </c>
      <c r="W1076" s="36">
        <f>IF(DaybyDay[[#This Row],[_Space]],IFERROR(
((DaybyDay[[#This Row],[Actual-Rollup]]-DaybyDay[[#This Row],[Budget-Rollup]])/DaybyDay[[#This Row],[Budget-Rollup]]),0),"")</f>
        <v>0</v>
      </c>
      <c r="X1076" t="b">
        <f>NOT(AND(ISBLANK(DaybyDay[[#This Row],[Appts]]),ISBLANK(DaybyDay[[#This Row],[Service-Actuals]]),ISBLANK(DaybyDay[[#This Row],[Retail-Actuals]])))</f>
        <v>1</v>
      </c>
      <c r="Y1076" s="36">
        <f>IF(DaybyDay[[#This Row],[_Space]],IFERROR(
((DaybyDay[[#This Row],[Actual-Rollup]]-DaybyDay[[#This Row],[LY-Rollup]])/DaybyDay[[#This Row],[LY-Rollup]]),0),"")</f>
        <v>0</v>
      </c>
      <c r="Z1076"/>
      <c r="AA1076" s="37" t="e">
        <f>IF(DaybyDay[[#This Row],[_Space]],DaybyDay[[#This Row],[Ret-Act-RU]]/DaybyDay[[#This Row],[Serv-Act-RU]],"")</f>
        <v>#DIV/0!</v>
      </c>
      <c r="AB1076" s="50" t="e">
        <f>IF(DaybyDay[[#This Row],[_Space]],DaybyDay[[#This Row],[RETPEN-Act]]/DaybyDay[[#This Row],[RETPEN-Bud]],"")</f>
        <v>#DIV/0!</v>
      </c>
      <c r="AC1076" s="37" t="e">
        <f>IF(DaybyDay[[#This Row],[_Space]],DaybyDay[[#This Row],[Ret-Bud-RU]]/DaybyDay[[#This Row],[Serv-Bud-RU]],"")</f>
        <v>#DIV/0!</v>
      </c>
      <c r="AD1076" s="37" t="e">
        <f>IF(DaybyDay[[#This Row],[_Space]],DaybyDay[[#This Row],[Ret-LY-RU]]/DaybyDay[[#This Row],[Serv-LY-RU]],"")</f>
        <v>#DIV/0!</v>
      </c>
      <c r="AE1076" s="30">
        <f>WEEKDAY(DaybyDay[[#This Row],[LY-Date]])</f>
        <v>6</v>
      </c>
      <c r="AF1076" s="38">
        <f>$E$2+_xlfn.DAYS(DaybyDay[[#This Row],[Date]],minDate)</f>
        <v>43441</v>
      </c>
      <c r="AG1076" s="39" cm="1">
        <f t="array" ref="AG1076">IFERROR(INDEX(DaybyDay[],DaybyDay[[#This Row],[FORM_MATCH_HELPER]],8),"")</f>
        <v>30</v>
      </c>
      <c r="AH1076" s="39" cm="1">
        <f t="array" ref="AH1076">IFERROR(INDEX(DaybyDay[],DaybyDay[[#This Row],[FORM_MATCH_HELPER]],10),"")</f>
        <v>7281.8</v>
      </c>
      <c r="AI1076" s="39" cm="1">
        <f t="array" ref="AI1076">IFERROR(INDEX(DaybyDay[],DaybyDay[[#This Row],[FORM_MATCH_HELPER]],12),"")</f>
        <v>2083</v>
      </c>
      <c r="AJ1076" s="32">
        <f>IFERROR(DaybyDay[[#This Row],[Serv-LY-RU]]+DaybyDay[[#This Row],[Ret-LY-RU]],"")</f>
        <v>0</v>
      </c>
      <c r="AK10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6" s="77"/>
      <c r="AM1076" s="40" t="str">
        <f>IF(DaybyDay[[#This Row],[Admin Hours]]&gt;0,DaybyDay[[#This Row],[Admin Hours]]*$AM$2+$AM$3,"")</f>
        <v/>
      </c>
      <c r="AN1076" s="40">
        <f>SUMIFS(DaybyDay[Est-Admin-Payroll],DaybyDay[Date],"&gt;="&amp;$C$5,DaybyDay[RowYear],"&gt;="&amp;$C$4,DaybyDay[Date],"&lt;="&amp;DaybyDay[[#This Row],[Date]])</f>
        <v>0</v>
      </c>
      <c r="AO1076" s="41" t="str">
        <f>IF(AND(DaybyDay[[#This Row],[_Space]],ISNUMBER(DaybyDay[[#This Row],[Admin Hours]])),DaybyDay[[#This Row],[Est-Admin-Payroll]]/(DaybyDay[[#This Row],[Service-Actuals]]+DaybyDay[[#This Row],[Retail-Actuals]]),"")</f>
        <v/>
      </c>
      <c r="AP1076" s="41" t="e">
        <f>DaybyDay[[#This Row],[Estimated-Payroll-Rollup]]/DaybyDay[[#This Row],[Simple-Forecast]]</f>
        <v>#DIV/0!</v>
      </c>
      <c r="AQ10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6" s="77"/>
      <c r="AS1076" s="40" t="str">
        <f>IF(DaybyDay[[#This Row],[Retail Hours]]&gt;0,DaybyDay[[#This Row],[Retail Hours]]*$AS$2,"")</f>
        <v/>
      </c>
      <c r="AT1076" s="40">
        <f>SUMIFS(DaybyDay[Est-Retail-Payroll],DaybyDay[Date],"&gt;="&amp;$C$5,DaybyDay[RowYear],"&gt;="&amp;$C$4,DaybyDay[Date],"&lt;="&amp;DaybyDay[[#This Row],[Date]])</f>
        <v>0</v>
      </c>
      <c r="AU1076" s="82" t="str">
        <f>IF(AND(DaybyDay[[#This Row],[_Space]],ISNUMBER(DaybyDay[[#This Row],[Retail Hours]])),DaybyDay[[#This Row],[Est-Retail-Payroll]]/(DaybyDay[[#This Row],[Retail-Actuals]]),"")</f>
        <v/>
      </c>
      <c r="AV1076" s="82" t="e">
        <f>DaybyDay[[#This Row],[Est-Retail-PayrollRU]]/DaybyDay[[#This Row],[Simple-Forecast-Retail]]</f>
        <v>#DIV/0!</v>
      </c>
      <c r="AW1076" s="8"/>
      <c r="AX1076" s="15"/>
      <c r="AY1076" s="8"/>
    </row>
    <row r="1077" spans="3:51" hidden="1" x14ac:dyDescent="0.25">
      <c r="C1077" s="26" t="str">
        <f>Tools!$C$1</f>
        <v>Example</v>
      </c>
      <c r="D1077" s="27" t="s">
        <v>79</v>
      </c>
      <c r="E1077" s="28">
        <v>2019</v>
      </c>
      <c r="F1077" s="28">
        <f>MATCH(DaybyDay[[#This Row],[RowMonth]],Table3[SummaryMonth],0)</f>
        <v>12</v>
      </c>
      <c r="G1077" s="29">
        <f>MATCH(DaybyDay[[#This Row],[LY-Date]],DaybyDay[Date],0)</f>
        <v>707</v>
      </c>
      <c r="H1077" s="30">
        <f>WEEKDAY(DaybyDay[[#This Row],[Date]])</f>
        <v>7</v>
      </c>
      <c r="I1077" s="31">
        <v>43806</v>
      </c>
      <c r="J1077" s="74">
        <v>34</v>
      </c>
      <c r="K1077" s="32">
        <f>SUMIFS(BudgetSeasonality[365 Seasonality],BudgetSeasonality[MonthAdjustment],DaybyDay[[#This Row],[Date]])*SUMIFS(Budgets[Service-Budget],Budgets[BudgetMonth],DaybyDay[[#This Row],[RowMonth]],Budgets[BudgetYear],DaybyDay[[#This Row],[RowYear]])</f>
        <v>8988.7192150210321</v>
      </c>
      <c r="L1077" s="75">
        <v>8137.6</v>
      </c>
      <c r="M1077" s="32">
        <f>INDEX(BudgetSeasonality[365 Seasonality],MATCH(DaybyDay[[#This Row],[Date]],BudgetSeasonality[MonthAdjustment],0))*SUMIFS(Budgets[Retail-Budget],Budgets[BudgetMonth],DaybyDay[[#This Row],[RowMonth]],Budgets[BudgetYear],DaybyDay[[#This Row],[RowYear]])</f>
        <v>2228.6849934494639</v>
      </c>
      <c r="N1077" s="75">
        <v>3225</v>
      </c>
      <c r="O1077" s="33">
        <f>SUMIFS(DaybyDay[Service-Budgets],DaybyDay[Date],"&gt;="&amp;$C$5,DaybyDay[RowYear],"&gt;="&amp;$C$4,DaybyDay[Date],"&lt;="&amp;DaybyDay[[#This Row],[Date]])</f>
        <v>0</v>
      </c>
      <c r="P1077" s="33">
        <f>SUMIFS(DaybyDay[Retail-Budgets],DaybyDay[Date],"&gt;="&amp;$C$5,DaybyDay[RowYear],"&gt;="&amp;$C$4,DaybyDay[Date],"&lt;="&amp;DaybyDay[[#This Row],[Date]])</f>
        <v>0</v>
      </c>
      <c r="Q1077" s="34">
        <f>SUMIFS(DaybyDay[Service-Actuals],DaybyDay[Date],"&gt;="&amp;$C$5,DaybyDay[RowYear],"&gt;="&amp;$C$4,DaybyDay[Date],"&lt;="&amp;DaybyDay[[#This Row],[Date]])</f>
        <v>0</v>
      </c>
      <c r="R1077" s="34">
        <f>SUMIFS(DaybyDay[Retail-Actuals],DaybyDay[Date],"&gt;="&amp;$C$5,DaybyDay[RowYear],"&gt;="&amp;$C$4,DaybyDay[Date],"&lt;="&amp;DaybyDay[[#This Row],[Date]])</f>
        <v>0</v>
      </c>
      <c r="S1077" s="35">
        <f>SUMIFS(DaybyDay[Service-LY],DaybyDay[Date],"&gt;="&amp;$C$5,DaybyDay[RowYear],"&gt;="&amp;$C$4,DaybyDay[Date],"&lt;="&amp;DaybyDay[[#This Row],[Date]])</f>
        <v>0</v>
      </c>
      <c r="T1077" s="35">
        <f>SUMIFS(DaybyDay[Retail-LY],DaybyDay[Date],"&gt;="&amp;$C$5,DaybyDay[RowYear],"&gt;="&amp;$C$4,DaybyDay[Date],"&lt;="&amp;DaybyDay[[#This Row],[Date]])</f>
        <v>0</v>
      </c>
      <c r="U1077" s="32">
        <f>DaybyDay[[#This Row],[Serv-Bud-RU]]+DaybyDay[[#This Row],[Ret-Bud-RU]]</f>
        <v>0</v>
      </c>
      <c r="V1077" s="32">
        <f>DaybyDay[[#This Row],[Serv-Act-RU]]+DaybyDay[[#This Row],[Ret-Act-RU]]</f>
        <v>0</v>
      </c>
      <c r="W1077" s="36">
        <f>IF(DaybyDay[[#This Row],[_Space]],IFERROR(
((DaybyDay[[#This Row],[Actual-Rollup]]-DaybyDay[[#This Row],[Budget-Rollup]])/DaybyDay[[#This Row],[Budget-Rollup]]),0),"")</f>
        <v>0</v>
      </c>
      <c r="X1077" t="b">
        <f>NOT(AND(ISBLANK(DaybyDay[[#This Row],[Appts]]),ISBLANK(DaybyDay[[#This Row],[Service-Actuals]]),ISBLANK(DaybyDay[[#This Row],[Retail-Actuals]])))</f>
        <v>1</v>
      </c>
      <c r="Y1077" s="36">
        <f>IF(DaybyDay[[#This Row],[_Space]],IFERROR(
((DaybyDay[[#This Row],[Actual-Rollup]]-DaybyDay[[#This Row],[LY-Rollup]])/DaybyDay[[#This Row],[LY-Rollup]]),0),"")</f>
        <v>0</v>
      </c>
      <c r="Z1077"/>
      <c r="AA1077" s="37" t="e">
        <f>IF(DaybyDay[[#This Row],[_Space]],DaybyDay[[#This Row],[Ret-Act-RU]]/DaybyDay[[#This Row],[Serv-Act-RU]],"")</f>
        <v>#DIV/0!</v>
      </c>
      <c r="AB1077" s="50" t="e">
        <f>IF(DaybyDay[[#This Row],[_Space]],DaybyDay[[#This Row],[RETPEN-Act]]/DaybyDay[[#This Row],[RETPEN-Bud]],"")</f>
        <v>#DIV/0!</v>
      </c>
      <c r="AC1077" s="37" t="e">
        <f>IF(DaybyDay[[#This Row],[_Space]],DaybyDay[[#This Row],[Ret-Bud-RU]]/DaybyDay[[#This Row],[Serv-Bud-RU]],"")</f>
        <v>#DIV/0!</v>
      </c>
      <c r="AD1077" s="37" t="e">
        <f>IF(DaybyDay[[#This Row],[_Space]],DaybyDay[[#This Row],[Ret-LY-RU]]/DaybyDay[[#This Row],[Serv-LY-RU]],"")</f>
        <v>#DIV/0!</v>
      </c>
      <c r="AE1077" s="30">
        <f>WEEKDAY(DaybyDay[[#This Row],[LY-Date]])</f>
        <v>7</v>
      </c>
      <c r="AF1077" s="38">
        <f>$E$2+_xlfn.DAYS(DaybyDay[[#This Row],[Date]],minDate)</f>
        <v>43442</v>
      </c>
      <c r="AG1077" s="39" cm="1">
        <f t="array" ref="AG1077">IFERROR(INDEX(DaybyDay[],DaybyDay[[#This Row],[FORM_MATCH_HELPER]],8),"")</f>
        <v>32</v>
      </c>
      <c r="AH1077" s="39" cm="1">
        <f t="array" ref="AH1077">IFERROR(INDEX(DaybyDay[],DaybyDay[[#This Row],[FORM_MATCH_HELPER]],10),"")</f>
        <v>8187</v>
      </c>
      <c r="AI1077" s="39" cm="1">
        <f t="array" ref="AI1077">IFERROR(INDEX(DaybyDay[],DaybyDay[[#This Row],[FORM_MATCH_HELPER]],12),"")</f>
        <v>700</v>
      </c>
      <c r="AJ1077" s="32">
        <f>IFERROR(DaybyDay[[#This Row],[Serv-LY-RU]]+DaybyDay[[#This Row],[Ret-LY-RU]],"")</f>
        <v>0</v>
      </c>
      <c r="AK10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7" s="77"/>
      <c r="AM1077" s="40" t="str">
        <f>IF(DaybyDay[[#This Row],[Admin Hours]]&gt;0,DaybyDay[[#This Row],[Admin Hours]]*$AM$2+$AM$3,"")</f>
        <v/>
      </c>
      <c r="AN1077" s="40">
        <f>SUMIFS(DaybyDay[Est-Admin-Payroll],DaybyDay[Date],"&gt;="&amp;$C$5,DaybyDay[RowYear],"&gt;="&amp;$C$4,DaybyDay[Date],"&lt;="&amp;DaybyDay[[#This Row],[Date]])</f>
        <v>0</v>
      </c>
      <c r="AO1077" s="41" t="str">
        <f>IF(AND(DaybyDay[[#This Row],[_Space]],ISNUMBER(DaybyDay[[#This Row],[Admin Hours]])),DaybyDay[[#This Row],[Est-Admin-Payroll]]/(DaybyDay[[#This Row],[Service-Actuals]]+DaybyDay[[#This Row],[Retail-Actuals]]),"")</f>
        <v/>
      </c>
      <c r="AP1077" s="41" t="e">
        <f>DaybyDay[[#This Row],[Estimated-Payroll-Rollup]]/DaybyDay[[#This Row],[Simple-Forecast]]</f>
        <v>#DIV/0!</v>
      </c>
      <c r="AQ10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7" s="77"/>
      <c r="AS1077" s="40" t="str">
        <f>IF(DaybyDay[[#This Row],[Retail Hours]]&gt;0,DaybyDay[[#This Row],[Retail Hours]]*$AS$2,"")</f>
        <v/>
      </c>
      <c r="AT1077" s="40">
        <f>SUMIFS(DaybyDay[Est-Retail-Payroll],DaybyDay[Date],"&gt;="&amp;$C$5,DaybyDay[RowYear],"&gt;="&amp;$C$4,DaybyDay[Date],"&lt;="&amp;DaybyDay[[#This Row],[Date]])</f>
        <v>0</v>
      </c>
      <c r="AU1077" s="82" t="str">
        <f>IF(AND(DaybyDay[[#This Row],[_Space]],ISNUMBER(DaybyDay[[#This Row],[Retail Hours]])),DaybyDay[[#This Row],[Est-Retail-Payroll]]/(DaybyDay[[#This Row],[Retail-Actuals]]),"")</f>
        <v/>
      </c>
      <c r="AV1077" s="82" t="e">
        <f>DaybyDay[[#This Row],[Est-Retail-PayrollRU]]/DaybyDay[[#This Row],[Simple-Forecast-Retail]]</f>
        <v>#DIV/0!</v>
      </c>
      <c r="AW1077" s="8"/>
      <c r="AX1077" s="15"/>
      <c r="AY1077" s="8"/>
    </row>
    <row r="1078" spans="3:51" hidden="1" x14ac:dyDescent="0.25">
      <c r="C1078" s="26" t="str">
        <f>Tools!$C$1</f>
        <v>Example</v>
      </c>
      <c r="D1078" s="27" t="s">
        <v>79</v>
      </c>
      <c r="E1078" s="28">
        <v>2019</v>
      </c>
      <c r="F1078" s="28">
        <f>MATCH(DaybyDay[[#This Row],[RowMonth]],Table3[SummaryMonth],0)</f>
        <v>12</v>
      </c>
      <c r="G1078" s="29">
        <f>MATCH(DaybyDay[[#This Row],[LY-Date]],DaybyDay[Date],0)</f>
        <v>708</v>
      </c>
      <c r="H1078" s="30">
        <f>WEEKDAY(DaybyDay[[#This Row],[Date]])</f>
        <v>1</v>
      </c>
      <c r="I1078" s="31">
        <v>43807</v>
      </c>
      <c r="J1078" s="74">
        <v>17</v>
      </c>
      <c r="K1078" s="32">
        <f>SUMIFS(BudgetSeasonality[365 Seasonality],BudgetSeasonality[MonthAdjustment],DaybyDay[[#This Row],[Date]])*SUMIFS(Budgets[Service-Budget],Budgets[BudgetMonth],DaybyDay[[#This Row],[RowMonth]],Budgets[BudgetYear],DaybyDay[[#This Row],[RowYear]])</f>
        <v>7214.7652015834074</v>
      </c>
      <c r="L1078" s="75">
        <v>4459.2</v>
      </c>
      <c r="M1078" s="32">
        <f>INDEX(BudgetSeasonality[365 Seasonality],MATCH(DaybyDay[[#This Row],[Date]],BudgetSeasonality[MonthAdjustment],0))*SUMIFS(Budgets[Retail-Budget],Budgets[BudgetMonth],DaybyDay[[#This Row],[RowMonth]],Budgets[BudgetYear],DaybyDay[[#This Row],[RowYear]])</f>
        <v>1788.8465031992564</v>
      </c>
      <c r="N1078" s="75">
        <v>516.21</v>
      </c>
      <c r="O1078" s="33">
        <f>SUMIFS(DaybyDay[Service-Budgets],DaybyDay[Date],"&gt;="&amp;$C$5,DaybyDay[RowYear],"&gt;="&amp;$C$4,DaybyDay[Date],"&lt;="&amp;DaybyDay[[#This Row],[Date]])</f>
        <v>0</v>
      </c>
      <c r="P1078" s="33">
        <f>SUMIFS(DaybyDay[Retail-Budgets],DaybyDay[Date],"&gt;="&amp;$C$5,DaybyDay[RowYear],"&gt;="&amp;$C$4,DaybyDay[Date],"&lt;="&amp;DaybyDay[[#This Row],[Date]])</f>
        <v>0</v>
      </c>
      <c r="Q1078" s="34">
        <f>SUMIFS(DaybyDay[Service-Actuals],DaybyDay[Date],"&gt;="&amp;$C$5,DaybyDay[RowYear],"&gt;="&amp;$C$4,DaybyDay[Date],"&lt;="&amp;DaybyDay[[#This Row],[Date]])</f>
        <v>0</v>
      </c>
      <c r="R1078" s="34">
        <f>SUMIFS(DaybyDay[Retail-Actuals],DaybyDay[Date],"&gt;="&amp;$C$5,DaybyDay[RowYear],"&gt;="&amp;$C$4,DaybyDay[Date],"&lt;="&amp;DaybyDay[[#This Row],[Date]])</f>
        <v>0</v>
      </c>
      <c r="S1078" s="35">
        <f>SUMIFS(DaybyDay[Service-LY],DaybyDay[Date],"&gt;="&amp;$C$5,DaybyDay[RowYear],"&gt;="&amp;$C$4,DaybyDay[Date],"&lt;="&amp;DaybyDay[[#This Row],[Date]])</f>
        <v>0</v>
      </c>
      <c r="T1078" s="35">
        <f>SUMIFS(DaybyDay[Retail-LY],DaybyDay[Date],"&gt;="&amp;$C$5,DaybyDay[RowYear],"&gt;="&amp;$C$4,DaybyDay[Date],"&lt;="&amp;DaybyDay[[#This Row],[Date]])</f>
        <v>0</v>
      </c>
      <c r="U1078" s="32">
        <f>DaybyDay[[#This Row],[Serv-Bud-RU]]+DaybyDay[[#This Row],[Ret-Bud-RU]]</f>
        <v>0</v>
      </c>
      <c r="V1078" s="32">
        <f>DaybyDay[[#This Row],[Serv-Act-RU]]+DaybyDay[[#This Row],[Ret-Act-RU]]</f>
        <v>0</v>
      </c>
      <c r="W1078" s="36">
        <f>IF(DaybyDay[[#This Row],[_Space]],IFERROR(
((DaybyDay[[#This Row],[Actual-Rollup]]-DaybyDay[[#This Row],[Budget-Rollup]])/DaybyDay[[#This Row],[Budget-Rollup]]),0),"")</f>
        <v>0</v>
      </c>
      <c r="X1078" t="b">
        <f>NOT(AND(ISBLANK(DaybyDay[[#This Row],[Appts]]),ISBLANK(DaybyDay[[#This Row],[Service-Actuals]]),ISBLANK(DaybyDay[[#This Row],[Retail-Actuals]])))</f>
        <v>1</v>
      </c>
      <c r="Y1078" s="36">
        <f>IF(DaybyDay[[#This Row],[_Space]],IFERROR(
((DaybyDay[[#This Row],[Actual-Rollup]]-DaybyDay[[#This Row],[LY-Rollup]])/DaybyDay[[#This Row],[LY-Rollup]]),0),"")</f>
        <v>0</v>
      </c>
      <c r="Z1078"/>
      <c r="AA1078" s="37" t="e">
        <f>IF(DaybyDay[[#This Row],[_Space]],DaybyDay[[#This Row],[Ret-Act-RU]]/DaybyDay[[#This Row],[Serv-Act-RU]],"")</f>
        <v>#DIV/0!</v>
      </c>
      <c r="AB1078" s="50" t="e">
        <f>IF(DaybyDay[[#This Row],[_Space]],DaybyDay[[#This Row],[RETPEN-Act]]/DaybyDay[[#This Row],[RETPEN-Bud]],"")</f>
        <v>#DIV/0!</v>
      </c>
      <c r="AC1078" s="37" t="e">
        <f>IF(DaybyDay[[#This Row],[_Space]],DaybyDay[[#This Row],[Ret-Bud-RU]]/DaybyDay[[#This Row],[Serv-Bud-RU]],"")</f>
        <v>#DIV/0!</v>
      </c>
      <c r="AD1078" s="37" t="e">
        <f>IF(DaybyDay[[#This Row],[_Space]],DaybyDay[[#This Row],[Ret-LY-RU]]/DaybyDay[[#This Row],[Serv-LY-RU]],"")</f>
        <v>#DIV/0!</v>
      </c>
      <c r="AE1078" s="30">
        <f>WEEKDAY(DaybyDay[[#This Row],[LY-Date]])</f>
        <v>1</v>
      </c>
      <c r="AF1078" s="38">
        <f>$E$2+_xlfn.DAYS(DaybyDay[[#This Row],[Date]],minDate)</f>
        <v>43443</v>
      </c>
      <c r="AG1078" s="39" cm="1">
        <f t="array" ref="AG1078">IFERROR(INDEX(DaybyDay[],DaybyDay[[#This Row],[FORM_MATCH_HELPER]],8),"")</f>
        <v>42</v>
      </c>
      <c r="AH1078" s="39" cm="1">
        <f t="array" ref="AH1078">IFERROR(INDEX(DaybyDay[],DaybyDay[[#This Row],[FORM_MATCH_HELPER]],10),"")</f>
        <v>7533</v>
      </c>
      <c r="AI1078" s="39" cm="1">
        <f t="array" ref="AI1078">IFERROR(INDEX(DaybyDay[],DaybyDay[[#This Row],[FORM_MATCH_HELPER]],12),"")</f>
        <v>1587</v>
      </c>
      <c r="AJ1078" s="32">
        <f>IFERROR(DaybyDay[[#This Row],[Serv-LY-RU]]+DaybyDay[[#This Row],[Ret-LY-RU]],"")</f>
        <v>0</v>
      </c>
      <c r="AK10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8" s="77"/>
      <c r="AM1078" s="40" t="str">
        <f>IF(DaybyDay[[#This Row],[Admin Hours]]&gt;0,DaybyDay[[#This Row],[Admin Hours]]*$AM$2+$AM$3,"")</f>
        <v/>
      </c>
      <c r="AN1078" s="40">
        <f>SUMIFS(DaybyDay[Est-Admin-Payroll],DaybyDay[Date],"&gt;="&amp;$C$5,DaybyDay[RowYear],"&gt;="&amp;$C$4,DaybyDay[Date],"&lt;="&amp;DaybyDay[[#This Row],[Date]])</f>
        <v>0</v>
      </c>
      <c r="AO1078" s="41" t="str">
        <f>IF(AND(DaybyDay[[#This Row],[_Space]],ISNUMBER(DaybyDay[[#This Row],[Admin Hours]])),DaybyDay[[#This Row],[Est-Admin-Payroll]]/(DaybyDay[[#This Row],[Service-Actuals]]+DaybyDay[[#This Row],[Retail-Actuals]]),"")</f>
        <v/>
      </c>
      <c r="AP1078" s="41" t="e">
        <f>DaybyDay[[#This Row],[Estimated-Payroll-Rollup]]/DaybyDay[[#This Row],[Simple-Forecast]]</f>
        <v>#DIV/0!</v>
      </c>
      <c r="AQ10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8" s="77"/>
      <c r="AS1078" s="40" t="str">
        <f>IF(DaybyDay[[#This Row],[Retail Hours]]&gt;0,DaybyDay[[#This Row],[Retail Hours]]*$AS$2,"")</f>
        <v/>
      </c>
      <c r="AT1078" s="40">
        <f>SUMIFS(DaybyDay[Est-Retail-Payroll],DaybyDay[Date],"&gt;="&amp;$C$5,DaybyDay[RowYear],"&gt;="&amp;$C$4,DaybyDay[Date],"&lt;="&amp;DaybyDay[[#This Row],[Date]])</f>
        <v>0</v>
      </c>
      <c r="AU1078" s="82" t="str">
        <f>IF(AND(DaybyDay[[#This Row],[_Space]],ISNUMBER(DaybyDay[[#This Row],[Retail Hours]])),DaybyDay[[#This Row],[Est-Retail-Payroll]]/(DaybyDay[[#This Row],[Retail-Actuals]]),"")</f>
        <v/>
      </c>
      <c r="AV1078" s="82" t="e">
        <f>DaybyDay[[#This Row],[Est-Retail-PayrollRU]]/DaybyDay[[#This Row],[Simple-Forecast-Retail]]</f>
        <v>#DIV/0!</v>
      </c>
      <c r="AW1078" s="8"/>
      <c r="AX1078" s="15"/>
      <c r="AY1078" s="8"/>
    </row>
    <row r="1079" spans="3:51" hidden="1" x14ac:dyDescent="0.25">
      <c r="C1079" s="26" t="str">
        <f>Tools!$C$1</f>
        <v>Example</v>
      </c>
      <c r="D1079" s="27" t="s">
        <v>79</v>
      </c>
      <c r="E1079" s="28">
        <v>2019</v>
      </c>
      <c r="F1079" s="28">
        <f>MATCH(DaybyDay[[#This Row],[RowMonth]],Table3[SummaryMonth],0)</f>
        <v>12</v>
      </c>
      <c r="G1079" s="29">
        <f>MATCH(DaybyDay[[#This Row],[LY-Date]],DaybyDay[Date],0)</f>
        <v>709</v>
      </c>
      <c r="H1079" s="30">
        <f>WEEKDAY(DaybyDay[[#This Row],[Date]])</f>
        <v>2</v>
      </c>
      <c r="I1079" s="31">
        <v>43808</v>
      </c>
      <c r="J1079" s="74">
        <v>8</v>
      </c>
      <c r="K1079" s="32">
        <f>SUMIFS(BudgetSeasonality[365 Seasonality],BudgetSeasonality[MonthAdjustment],DaybyDay[[#This Row],[Date]])*SUMIFS(Budgets[Service-Budget],Budgets[BudgetMonth],DaybyDay[[#This Row],[RowMonth]],Budgets[BudgetYear],DaybyDay[[#This Row],[RowYear]])</f>
        <v>4603.0120053513756</v>
      </c>
      <c r="L1079" s="75">
        <v>1984.3999999999999</v>
      </c>
      <c r="M1079" s="32">
        <f>INDEX(BudgetSeasonality[365 Seasonality],MATCH(DaybyDay[[#This Row],[Date]],BudgetSeasonality[MonthAdjustment],0))*SUMIFS(Budgets[Retail-Budget],Budgets[BudgetMonth],DaybyDay[[#This Row],[RowMonth]],Budgets[BudgetYear],DaybyDay[[#This Row],[RowYear]])</f>
        <v>1141.2820375845204</v>
      </c>
      <c r="N1079" s="75">
        <v>2030.8</v>
      </c>
      <c r="O1079" s="33">
        <f>SUMIFS(DaybyDay[Service-Budgets],DaybyDay[Date],"&gt;="&amp;$C$5,DaybyDay[RowYear],"&gt;="&amp;$C$4,DaybyDay[Date],"&lt;="&amp;DaybyDay[[#This Row],[Date]])</f>
        <v>0</v>
      </c>
      <c r="P1079" s="33">
        <f>SUMIFS(DaybyDay[Retail-Budgets],DaybyDay[Date],"&gt;="&amp;$C$5,DaybyDay[RowYear],"&gt;="&amp;$C$4,DaybyDay[Date],"&lt;="&amp;DaybyDay[[#This Row],[Date]])</f>
        <v>0</v>
      </c>
      <c r="Q1079" s="34">
        <f>SUMIFS(DaybyDay[Service-Actuals],DaybyDay[Date],"&gt;="&amp;$C$5,DaybyDay[RowYear],"&gt;="&amp;$C$4,DaybyDay[Date],"&lt;="&amp;DaybyDay[[#This Row],[Date]])</f>
        <v>0</v>
      </c>
      <c r="R1079" s="34">
        <f>SUMIFS(DaybyDay[Retail-Actuals],DaybyDay[Date],"&gt;="&amp;$C$5,DaybyDay[RowYear],"&gt;="&amp;$C$4,DaybyDay[Date],"&lt;="&amp;DaybyDay[[#This Row],[Date]])</f>
        <v>0</v>
      </c>
      <c r="S1079" s="35">
        <f>SUMIFS(DaybyDay[Service-LY],DaybyDay[Date],"&gt;="&amp;$C$5,DaybyDay[RowYear],"&gt;="&amp;$C$4,DaybyDay[Date],"&lt;="&amp;DaybyDay[[#This Row],[Date]])</f>
        <v>0</v>
      </c>
      <c r="T1079" s="35">
        <f>SUMIFS(DaybyDay[Retail-LY],DaybyDay[Date],"&gt;="&amp;$C$5,DaybyDay[RowYear],"&gt;="&amp;$C$4,DaybyDay[Date],"&lt;="&amp;DaybyDay[[#This Row],[Date]])</f>
        <v>0</v>
      </c>
      <c r="U1079" s="32">
        <f>DaybyDay[[#This Row],[Serv-Bud-RU]]+DaybyDay[[#This Row],[Ret-Bud-RU]]</f>
        <v>0</v>
      </c>
      <c r="V1079" s="32">
        <f>DaybyDay[[#This Row],[Serv-Act-RU]]+DaybyDay[[#This Row],[Ret-Act-RU]]</f>
        <v>0</v>
      </c>
      <c r="W1079" s="36">
        <f>IF(DaybyDay[[#This Row],[_Space]],IFERROR(
((DaybyDay[[#This Row],[Actual-Rollup]]-DaybyDay[[#This Row],[Budget-Rollup]])/DaybyDay[[#This Row],[Budget-Rollup]]),0),"")</f>
        <v>0</v>
      </c>
      <c r="X1079" t="b">
        <f>NOT(AND(ISBLANK(DaybyDay[[#This Row],[Appts]]),ISBLANK(DaybyDay[[#This Row],[Service-Actuals]]),ISBLANK(DaybyDay[[#This Row],[Retail-Actuals]])))</f>
        <v>1</v>
      </c>
      <c r="Y1079" s="36">
        <f>IF(DaybyDay[[#This Row],[_Space]],IFERROR(
((DaybyDay[[#This Row],[Actual-Rollup]]-DaybyDay[[#This Row],[LY-Rollup]])/DaybyDay[[#This Row],[LY-Rollup]]),0),"")</f>
        <v>0</v>
      </c>
      <c r="Z1079"/>
      <c r="AA1079" s="37" t="e">
        <f>IF(DaybyDay[[#This Row],[_Space]],DaybyDay[[#This Row],[Ret-Act-RU]]/DaybyDay[[#This Row],[Serv-Act-RU]],"")</f>
        <v>#DIV/0!</v>
      </c>
      <c r="AB1079" s="50" t="e">
        <f>IF(DaybyDay[[#This Row],[_Space]],DaybyDay[[#This Row],[RETPEN-Act]]/DaybyDay[[#This Row],[RETPEN-Bud]],"")</f>
        <v>#DIV/0!</v>
      </c>
      <c r="AC1079" s="37" t="e">
        <f>IF(DaybyDay[[#This Row],[_Space]],DaybyDay[[#This Row],[Ret-Bud-RU]]/DaybyDay[[#This Row],[Serv-Bud-RU]],"")</f>
        <v>#DIV/0!</v>
      </c>
      <c r="AD1079" s="37" t="e">
        <f>IF(DaybyDay[[#This Row],[_Space]],DaybyDay[[#This Row],[Ret-LY-RU]]/DaybyDay[[#This Row],[Serv-LY-RU]],"")</f>
        <v>#DIV/0!</v>
      </c>
      <c r="AE1079" s="30">
        <f>WEEKDAY(DaybyDay[[#This Row],[LY-Date]])</f>
        <v>2</v>
      </c>
      <c r="AF1079" s="38">
        <f>$E$2+_xlfn.DAYS(DaybyDay[[#This Row],[Date]],minDate)</f>
        <v>43444</v>
      </c>
      <c r="AG1079" s="39" cm="1">
        <f t="array" ref="AG1079">IFERROR(INDEX(DaybyDay[],DaybyDay[[#This Row],[FORM_MATCH_HELPER]],8),"")</f>
        <v>23</v>
      </c>
      <c r="AH1079" s="39" cm="1">
        <f t="array" ref="AH1079">IFERROR(INDEX(DaybyDay[],DaybyDay[[#This Row],[FORM_MATCH_HELPER]],10),"")</f>
        <v>4419.1499999999996</v>
      </c>
      <c r="AI1079" s="39" cm="1">
        <f t="array" ref="AI1079">IFERROR(INDEX(DaybyDay[],DaybyDay[[#This Row],[FORM_MATCH_HELPER]],12),"")</f>
        <v>794.5</v>
      </c>
      <c r="AJ1079" s="32">
        <f>IFERROR(DaybyDay[[#This Row],[Serv-LY-RU]]+DaybyDay[[#This Row],[Ret-LY-RU]],"")</f>
        <v>0</v>
      </c>
      <c r="AK10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79" s="77"/>
      <c r="AM1079" s="40" t="str">
        <f>IF(DaybyDay[[#This Row],[Admin Hours]]&gt;0,DaybyDay[[#This Row],[Admin Hours]]*$AM$2+$AM$3,"")</f>
        <v/>
      </c>
      <c r="AN1079" s="40">
        <f>SUMIFS(DaybyDay[Est-Admin-Payroll],DaybyDay[Date],"&gt;="&amp;$C$5,DaybyDay[RowYear],"&gt;="&amp;$C$4,DaybyDay[Date],"&lt;="&amp;DaybyDay[[#This Row],[Date]])</f>
        <v>0</v>
      </c>
      <c r="AO1079" s="41" t="str">
        <f>IF(AND(DaybyDay[[#This Row],[_Space]],ISNUMBER(DaybyDay[[#This Row],[Admin Hours]])),DaybyDay[[#This Row],[Est-Admin-Payroll]]/(DaybyDay[[#This Row],[Service-Actuals]]+DaybyDay[[#This Row],[Retail-Actuals]]),"")</f>
        <v/>
      </c>
      <c r="AP1079" s="41" t="e">
        <f>DaybyDay[[#This Row],[Estimated-Payroll-Rollup]]/DaybyDay[[#This Row],[Simple-Forecast]]</f>
        <v>#DIV/0!</v>
      </c>
      <c r="AQ10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79" s="77"/>
      <c r="AS1079" s="40" t="str">
        <f>IF(DaybyDay[[#This Row],[Retail Hours]]&gt;0,DaybyDay[[#This Row],[Retail Hours]]*$AS$2,"")</f>
        <v/>
      </c>
      <c r="AT1079" s="40">
        <f>SUMIFS(DaybyDay[Est-Retail-Payroll],DaybyDay[Date],"&gt;="&amp;$C$5,DaybyDay[RowYear],"&gt;="&amp;$C$4,DaybyDay[Date],"&lt;="&amp;DaybyDay[[#This Row],[Date]])</f>
        <v>0</v>
      </c>
      <c r="AU1079" s="82" t="str">
        <f>IF(AND(DaybyDay[[#This Row],[_Space]],ISNUMBER(DaybyDay[[#This Row],[Retail Hours]])),DaybyDay[[#This Row],[Est-Retail-Payroll]]/(DaybyDay[[#This Row],[Retail-Actuals]]),"")</f>
        <v/>
      </c>
      <c r="AV1079" s="82" t="e">
        <f>DaybyDay[[#This Row],[Est-Retail-PayrollRU]]/DaybyDay[[#This Row],[Simple-Forecast-Retail]]</f>
        <v>#DIV/0!</v>
      </c>
      <c r="AW1079" s="8"/>
      <c r="AX1079" s="15"/>
      <c r="AY1079" s="8"/>
    </row>
    <row r="1080" spans="3:51" hidden="1" x14ac:dyDescent="0.25">
      <c r="C1080" s="26" t="str">
        <f>Tools!$C$1</f>
        <v>Example</v>
      </c>
      <c r="D1080" s="27" t="s">
        <v>79</v>
      </c>
      <c r="E1080" s="28">
        <v>2019</v>
      </c>
      <c r="F1080" s="28">
        <f>MATCH(DaybyDay[[#This Row],[RowMonth]],Table3[SummaryMonth],0)</f>
        <v>12</v>
      </c>
      <c r="G1080" s="29">
        <f>MATCH(DaybyDay[[#This Row],[LY-Date]],DaybyDay[Date],0)</f>
        <v>710</v>
      </c>
      <c r="H1080" s="30">
        <f>WEEKDAY(DaybyDay[[#This Row],[Date]])</f>
        <v>3</v>
      </c>
      <c r="I1080" s="31">
        <v>43809</v>
      </c>
      <c r="J1080" s="74">
        <v>19</v>
      </c>
      <c r="K1080" s="32">
        <f>SUMIFS(BudgetSeasonality[365 Seasonality],BudgetSeasonality[MonthAdjustment],DaybyDay[[#This Row],[Date]])*SUMIFS(Budgets[Service-Budget],Budgets[BudgetMonth],DaybyDay[[#This Row],[RowMonth]],Budgets[BudgetYear],DaybyDay[[#This Row],[RowYear]])</f>
        <v>4810.4761587461662</v>
      </c>
      <c r="L1080" s="75">
        <v>5069.2</v>
      </c>
      <c r="M1080" s="32">
        <f>INDEX(BudgetSeasonality[365 Seasonality],MATCH(DaybyDay[[#This Row],[Date]],BudgetSeasonality[MonthAdjustment],0))*SUMIFS(Budgets[Retail-Budget],Budgets[BudgetMonth],DaybyDay[[#This Row],[RowMonth]],Budgets[BudgetYear],DaybyDay[[#This Row],[RowYear]])</f>
        <v>1192.7212064237247</v>
      </c>
      <c r="N1080" s="75">
        <v>1802.08</v>
      </c>
      <c r="O1080" s="33">
        <f>SUMIFS(DaybyDay[Service-Budgets],DaybyDay[Date],"&gt;="&amp;$C$5,DaybyDay[RowYear],"&gt;="&amp;$C$4,DaybyDay[Date],"&lt;="&amp;DaybyDay[[#This Row],[Date]])</f>
        <v>0</v>
      </c>
      <c r="P1080" s="33">
        <f>SUMIFS(DaybyDay[Retail-Budgets],DaybyDay[Date],"&gt;="&amp;$C$5,DaybyDay[RowYear],"&gt;="&amp;$C$4,DaybyDay[Date],"&lt;="&amp;DaybyDay[[#This Row],[Date]])</f>
        <v>0</v>
      </c>
      <c r="Q1080" s="34">
        <f>SUMIFS(DaybyDay[Service-Actuals],DaybyDay[Date],"&gt;="&amp;$C$5,DaybyDay[RowYear],"&gt;="&amp;$C$4,DaybyDay[Date],"&lt;="&amp;DaybyDay[[#This Row],[Date]])</f>
        <v>0</v>
      </c>
      <c r="R1080" s="34">
        <f>SUMIFS(DaybyDay[Retail-Actuals],DaybyDay[Date],"&gt;="&amp;$C$5,DaybyDay[RowYear],"&gt;="&amp;$C$4,DaybyDay[Date],"&lt;="&amp;DaybyDay[[#This Row],[Date]])</f>
        <v>0</v>
      </c>
      <c r="S1080" s="35">
        <f>SUMIFS(DaybyDay[Service-LY],DaybyDay[Date],"&gt;="&amp;$C$5,DaybyDay[RowYear],"&gt;="&amp;$C$4,DaybyDay[Date],"&lt;="&amp;DaybyDay[[#This Row],[Date]])</f>
        <v>0</v>
      </c>
      <c r="T1080" s="35">
        <f>SUMIFS(DaybyDay[Retail-LY],DaybyDay[Date],"&gt;="&amp;$C$5,DaybyDay[RowYear],"&gt;="&amp;$C$4,DaybyDay[Date],"&lt;="&amp;DaybyDay[[#This Row],[Date]])</f>
        <v>0</v>
      </c>
      <c r="U1080" s="32">
        <f>DaybyDay[[#This Row],[Serv-Bud-RU]]+DaybyDay[[#This Row],[Ret-Bud-RU]]</f>
        <v>0</v>
      </c>
      <c r="V1080" s="32">
        <f>DaybyDay[[#This Row],[Serv-Act-RU]]+DaybyDay[[#This Row],[Ret-Act-RU]]</f>
        <v>0</v>
      </c>
      <c r="W1080" s="36">
        <f>IF(DaybyDay[[#This Row],[_Space]],IFERROR(
((DaybyDay[[#This Row],[Actual-Rollup]]-DaybyDay[[#This Row],[Budget-Rollup]])/DaybyDay[[#This Row],[Budget-Rollup]]),0),"")</f>
        <v>0</v>
      </c>
      <c r="X1080" t="b">
        <f>NOT(AND(ISBLANK(DaybyDay[[#This Row],[Appts]]),ISBLANK(DaybyDay[[#This Row],[Service-Actuals]]),ISBLANK(DaybyDay[[#This Row],[Retail-Actuals]])))</f>
        <v>1</v>
      </c>
      <c r="Y1080" s="36">
        <f>IF(DaybyDay[[#This Row],[_Space]],IFERROR(
((DaybyDay[[#This Row],[Actual-Rollup]]-DaybyDay[[#This Row],[LY-Rollup]])/DaybyDay[[#This Row],[LY-Rollup]]),0),"")</f>
        <v>0</v>
      </c>
      <c r="Z1080"/>
      <c r="AA1080" s="37" t="e">
        <f>IF(DaybyDay[[#This Row],[_Space]],DaybyDay[[#This Row],[Ret-Act-RU]]/DaybyDay[[#This Row],[Serv-Act-RU]],"")</f>
        <v>#DIV/0!</v>
      </c>
      <c r="AB1080" s="50" t="e">
        <f>IF(DaybyDay[[#This Row],[_Space]],DaybyDay[[#This Row],[RETPEN-Act]]/DaybyDay[[#This Row],[RETPEN-Bud]],"")</f>
        <v>#DIV/0!</v>
      </c>
      <c r="AC1080" s="37" t="e">
        <f>IF(DaybyDay[[#This Row],[_Space]],DaybyDay[[#This Row],[Ret-Bud-RU]]/DaybyDay[[#This Row],[Serv-Bud-RU]],"")</f>
        <v>#DIV/0!</v>
      </c>
      <c r="AD1080" s="37" t="e">
        <f>IF(DaybyDay[[#This Row],[_Space]],DaybyDay[[#This Row],[Ret-LY-RU]]/DaybyDay[[#This Row],[Serv-LY-RU]],"")</f>
        <v>#DIV/0!</v>
      </c>
      <c r="AE1080" s="30">
        <f>WEEKDAY(DaybyDay[[#This Row],[LY-Date]])</f>
        <v>3</v>
      </c>
      <c r="AF1080" s="38">
        <f>$E$2+_xlfn.DAYS(DaybyDay[[#This Row],[Date]],minDate)</f>
        <v>43445</v>
      </c>
      <c r="AG1080" s="39" cm="1">
        <f t="array" ref="AG1080">IFERROR(INDEX(DaybyDay[],DaybyDay[[#This Row],[FORM_MATCH_HELPER]],8),"")</f>
        <v>24</v>
      </c>
      <c r="AH1080" s="39" cm="1">
        <f t="array" ref="AH1080">IFERROR(INDEX(DaybyDay[],DaybyDay[[#This Row],[FORM_MATCH_HELPER]],10),"")</f>
        <v>3999.4</v>
      </c>
      <c r="AI1080" s="39" cm="1">
        <f t="array" ref="AI1080">IFERROR(INDEX(DaybyDay[],DaybyDay[[#This Row],[FORM_MATCH_HELPER]],12),"")</f>
        <v>379</v>
      </c>
      <c r="AJ1080" s="32">
        <f>IFERROR(DaybyDay[[#This Row],[Serv-LY-RU]]+DaybyDay[[#This Row],[Ret-LY-RU]],"")</f>
        <v>0</v>
      </c>
      <c r="AK10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0" s="77"/>
      <c r="AM1080" s="40" t="str">
        <f>IF(DaybyDay[[#This Row],[Admin Hours]]&gt;0,DaybyDay[[#This Row],[Admin Hours]]*$AM$2+$AM$3,"")</f>
        <v/>
      </c>
      <c r="AN1080" s="40">
        <f>SUMIFS(DaybyDay[Est-Admin-Payroll],DaybyDay[Date],"&gt;="&amp;$C$5,DaybyDay[RowYear],"&gt;="&amp;$C$4,DaybyDay[Date],"&lt;="&amp;DaybyDay[[#This Row],[Date]])</f>
        <v>0</v>
      </c>
      <c r="AO1080" s="41" t="str">
        <f>IF(AND(DaybyDay[[#This Row],[_Space]],ISNUMBER(DaybyDay[[#This Row],[Admin Hours]])),DaybyDay[[#This Row],[Est-Admin-Payroll]]/(DaybyDay[[#This Row],[Service-Actuals]]+DaybyDay[[#This Row],[Retail-Actuals]]),"")</f>
        <v/>
      </c>
      <c r="AP1080" s="41" t="e">
        <f>DaybyDay[[#This Row],[Estimated-Payroll-Rollup]]/DaybyDay[[#This Row],[Simple-Forecast]]</f>
        <v>#DIV/0!</v>
      </c>
      <c r="AQ10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0" s="77"/>
      <c r="AS1080" s="40" t="str">
        <f>IF(DaybyDay[[#This Row],[Retail Hours]]&gt;0,DaybyDay[[#This Row],[Retail Hours]]*$AS$2,"")</f>
        <v/>
      </c>
      <c r="AT1080" s="40">
        <f>SUMIFS(DaybyDay[Est-Retail-Payroll],DaybyDay[Date],"&gt;="&amp;$C$5,DaybyDay[RowYear],"&gt;="&amp;$C$4,DaybyDay[Date],"&lt;="&amp;DaybyDay[[#This Row],[Date]])</f>
        <v>0</v>
      </c>
      <c r="AU1080" s="82" t="str">
        <f>IF(AND(DaybyDay[[#This Row],[_Space]],ISNUMBER(DaybyDay[[#This Row],[Retail Hours]])),DaybyDay[[#This Row],[Est-Retail-Payroll]]/(DaybyDay[[#This Row],[Retail-Actuals]]),"")</f>
        <v/>
      </c>
      <c r="AV1080" s="82" t="e">
        <f>DaybyDay[[#This Row],[Est-Retail-PayrollRU]]/DaybyDay[[#This Row],[Simple-Forecast-Retail]]</f>
        <v>#DIV/0!</v>
      </c>
      <c r="AW1080" s="8"/>
      <c r="AX1080" s="15"/>
      <c r="AY1080" s="8"/>
    </row>
    <row r="1081" spans="3:51" hidden="1" x14ac:dyDescent="0.25">
      <c r="C1081" s="26" t="str">
        <f>Tools!$C$1</f>
        <v>Example</v>
      </c>
      <c r="D1081" s="27" t="s">
        <v>79</v>
      </c>
      <c r="E1081" s="28">
        <v>2019</v>
      </c>
      <c r="F1081" s="28">
        <f>MATCH(DaybyDay[[#This Row],[RowMonth]],Table3[SummaryMonth],0)</f>
        <v>12</v>
      </c>
      <c r="G1081" s="29">
        <f>MATCH(DaybyDay[[#This Row],[LY-Date]],DaybyDay[Date],0)</f>
        <v>711</v>
      </c>
      <c r="H1081" s="30">
        <f>WEEKDAY(DaybyDay[[#This Row],[Date]])</f>
        <v>4</v>
      </c>
      <c r="I1081" s="31">
        <v>43810</v>
      </c>
      <c r="J1081" s="74">
        <v>32</v>
      </c>
      <c r="K1081" s="32">
        <f>SUMIFS(BudgetSeasonality[365 Seasonality],BudgetSeasonality[MonthAdjustment],DaybyDay[[#This Row],[Date]])*SUMIFS(Budgets[Service-Budget],Budgets[BudgetMonth],DaybyDay[[#This Row],[RowMonth]],Budgets[BudgetYear],DaybyDay[[#This Row],[RowYear]])</f>
        <v>5512.7598726695114</v>
      </c>
      <c r="L1081" s="75">
        <v>6966.91</v>
      </c>
      <c r="M1081" s="32">
        <f>INDEX(BudgetSeasonality[365 Seasonality],MATCH(DaybyDay[[#This Row],[Date]],BudgetSeasonality[MonthAdjustment],0))*SUMIFS(Budgets[Retail-Budget],Budgets[BudgetMonth],DaybyDay[[#This Row],[RowMonth]],Budgets[BudgetYear],DaybyDay[[#This Row],[RowYear]])</f>
        <v>1366.8471454951516</v>
      </c>
      <c r="N1081" s="75">
        <v>3617</v>
      </c>
      <c r="O1081" s="33">
        <f>SUMIFS(DaybyDay[Service-Budgets],DaybyDay[Date],"&gt;="&amp;$C$5,DaybyDay[RowYear],"&gt;="&amp;$C$4,DaybyDay[Date],"&lt;="&amp;DaybyDay[[#This Row],[Date]])</f>
        <v>0</v>
      </c>
      <c r="P1081" s="33">
        <f>SUMIFS(DaybyDay[Retail-Budgets],DaybyDay[Date],"&gt;="&amp;$C$5,DaybyDay[RowYear],"&gt;="&amp;$C$4,DaybyDay[Date],"&lt;="&amp;DaybyDay[[#This Row],[Date]])</f>
        <v>0</v>
      </c>
      <c r="Q1081" s="34">
        <f>SUMIFS(DaybyDay[Service-Actuals],DaybyDay[Date],"&gt;="&amp;$C$5,DaybyDay[RowYear],"&gt;="&amp;$C$4,DaybyDay[Date],"&lt;="&amp;DaybyDay[[#This Row],[Date]])</f>
        <v>0</v>
      </c>
      <c r="R1081" s="34">
        <f>SUMIFS(DaybyDay[Retail-Actuals],DaybyDay[Date],"&gt;="&amp;$C$5,DaybyDay[RowYear],"&gt;="&amp;$C$4,DaybyDay[Date],"&lt;="&amp;DaybyDay[[#This Row],[Date]])</f>
        <v>0</v>
      </c>
      <c r="S1081" s="35">
        <f>SUMIFS(DaybyDay[Service-LY],DaybyDay[Date],"&gt;="&amp;$C$5,DaybyDay[RowYear],"&gt;="&amp;$C$4,DaybyDay[Date],"&lt;="&amp;DaybyDay[[#This Row],[Date]])</f>
        <v>0</v>
      </c>
      <c r="T1081" s="35">
        <f>SUMIFS(DaybyDay[Retail-LY],DaybyDay[Date],"&gt;="&amp;$C$5,DaybyDay[RowYear],"&gt;="&amp;$C$4,DaybyDay[Date],"&lt;="&amp;DaybyDay[[#This Row],[Date]])</f>
        <v>0</v>
      </c>
      <c r="U1081" s="32">
        <f>DaybyDay[[#This Row],[Serv-Bud-RU]]+DaybyDay[[#This Row],[Ret-Bud-RU]]</f>
        <v>0</v>
      </c>
      <c r="V1081" s="32">
        <f>DaybyDay[[#This Row],[Serv-Act-RU]]+DaybyDay[[#This Row],[Ret-Act-RU]]</f>
        <v>0</v>
      </c>
      <c r="W1081" s="36">
        <f>IF(DaybyDay[[#This Row],[_Space]],IFERROR(
((DaybyDay[[#This Row],[Actual-Rollup]]-DaybyDay[[#This Row],[Budget-Rollup]])/DaybyDay[[#This Row],[Budget-Rollup]]),0),"")</f>
        <v>0</v>
      </c>
      <c r="X1081" t="b">
        <f>NOT(AND(ISBLANK(DaybyDay[[#This Row],[Appts]]),ISBLANK(DaybyDay[[#This Row],[Service-Actuals]]),ISBLANK(DaybyDay[[#This Row],[Retail-Actuals]])))</f>
        <v>1</v>
      </c>
      <c r="Y1081" s="36">
        <f>IF(DaybyDay[[#This Row],[_Space]],IFERROR(
((DaybyDay[[#This Row],[Actual-Rollup]]-DaybyDay[[#This Row],[LY-Rollup]])/DaybyDay[[#This Row],[LY-Rollup]]),0),"")</f>
        <v>0</v>
      </c>
      <c r="Z1081"/>
      <c r="AA1081" s="37" t="e">
        <f>IF(DaybyDay[[#This Row],[_Space]],DaybyDay[[#This Row],[Ret-Act-RU]]/DaybyDay[[#This Row],[Serv-Act-RU]],"")</f>
        <v>#DIV/0!</v>
      </c>
      <c r="AB1081" s="50" t="e">
        <f>IF(DaybyDay[[#This Row],[_Space]],DaybyDay[[#This Row],[RETPEN-Act]]/DaybyDay[[#This Row],[RETPEN-Bud]],"")</f>
        <v>#DIV/0!</v>
      </c>
      <c r="AC1081" s="37" t="e">
        <f>IF(DaybyDay[[#This Row],[_Space]],DaybyDay[[#This Row],[Ret-Bud-RU]]/DaybyDay[[#This Row],[Serv-Bud-RU]],"")</f>
        <v>#DIV/0!</v>
      </c>
      <c r="AD1081" s="37" t="e">
        <f>IF(DaybyDay[[#This Row],[_Space]],DaybyDay[[#This Row],[Ret-LY-RU]]/DaybyDay[[#This Row],[Serv-LY-RU]],"")</f>
        <v>#DIV/0!</v>
      </c>
      <c r="AE1081" s="30">
        <f>WEEKDAY(DaybyDay[[#This Row],[LY-Date]])</f>
        <v>4</v>
      </c>
      <c r="AF1081" s="38">
        <f>$E$2+_xlfn.DAYS(DaybyDay[[#This Row],[Date]],minDate)</f>
        <v>43446</v>
      </c>
      <c r="AG1081" s="39" cm="1">
        <f t="array" ref="AG1081">IFERROR(INDEX(DaybyDay[],DaybyDay[[#This Row],[FORM_MATCH_HELPER]],8),"")</f>
        <v>27</v>
      </c>
      <c r="AH1081" s="39" cm="1">
        <f t="array" ref="AH1081">IFERROR(INDEX(DaybyDay[],DaybyDay[[#This Row],[FORM_MATCH_HELPER]],10),"")</f>
        <v>5126.7</v>
      </c>
      <c r="AI1081" s="39" cm="1">
        <f t="array" ref="AI1081">IFERROR(INDEX(DaybyDay[],DaybyDay[[#This Row],[FORM_MATCH_HELPER]],12),"")</f>
        <v>1599.5</v>
      </c>
      <c r="AJ1081" s="32">
        <f>IFERROR(DaybyDay[[#This Row],[Serv-LY-RU]]+DaybyDay[[#This Row],[Ret-LY-RU]],"")</f>
        <v>0</v>
      </c>
      <c r="AK10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1" s="77"/>
      <c r="AM1081" s="40" t="str">
        <f>IF(DaybyDay[[#This Row],[Admin Hours]]&gt;0,DaybyDay[[#This Row],[Admin Hours]]*$AM$2+$AM$3,"")</f>
        <v/>
      </c>
      <c r="AN1081" s="40">
        <f>SUMIFS(DaybyDay[Est-Admin-Payroll],DaybyDay[Date],"&gt;="&amp;$C$5,DaybyDay[RowYear],"&gt;="&amp;$C$4,DaybyDay[Date],"&lt;="&amp;DaybyDay[[#This Row],[Date]])</f>
        <v>0</v>
      </c>
      <c r="AO1081" s="41" t="str">
        <f>IF(AND(DaybyDay[[#This Row],[_Space]],ISNUMBER(DaybyDay[[#This Row],[Admin Hours]])),DaybyDay[[#This Row],[Est-Admin-Payroll]]/(DaybyDay[[#This Row],[Service-Actuals]]+DaybyDay[[#This Row],[Retail-Actuals]]),"")</f>
        <v/>
      </c>
      <c r="AP1081" s="41" t="e">
        <f>DaybyDay[[#This Row],[Estimated-Payroll-Rollup]]/DaybyDay[[#This Row],[Simple-Forecast]]</f>
        <v>#DIV/0!</v>
      </c>
      <c r="AQ10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1" s="77"/>
      <c r="AS1081" s="40" t="str">
        <f>IF(DaybyDay[[#This Row],[Retail Hours]]&gt;0,DaybyDay[[#This Row],[Retail Hours]]*$AS$2,"")</f>
        <v/>
      </c>
      <c r="AT1081" s="40">
        <f>SUMIFS(DaybyDay[Est-Retail-Payroll],DaybyDay[Date],"&gt;="&amp;$C$5,DaybyDay[RowYear],"&gt;="&amp;$C$4,DaybyDay[Date],"&lt;="&amp;DaybyDay[[#This Row],[Date]])</f>
        <v>0</v>
      </c>
      <c r="AU1081" s="82" t="str">
        <f>IF(AND(DaybyDay[[#This Row],[_Space]],ISNUMBER(DaybyDay[[#This Row],[Retail Hours]])),DaybyDay[[#This Row],[Est-Retail-Payroll]]/(DaybyDay[[#This Row],[Retail-Actuals]]),"")</f>
        <v/>
      </c>
      <c r="AV1081" s="82" t="e">
        <f>DaybyDay[[#This Row],[Est-Retail-PayrollRU]]/DaybyDay[[#This Row],[Simple-Forecast-Retail]]</f>
        <v>#DIV/0!</v>
      </c>
      <c r="AW1081" s="8"/>
      <c r="AX1081" s="15"/>
      <c r="AY1081" s="8"/>
    </row>
    <row r="1082" spans="3:51" hidden="1" x14ac:dyDescent="0.25">
      <c r="C1082" s="26" t="str">
        <f>Tools!$C$1</f>
        <v>Example</v>
      </c>
      <c r="D1082" s="27" t="s">
        <v>79</v>
      </c>
      <c r="E1082" s="28">
        <v>2019</v>
      </c>
      <c r="F1082" s="28">
        <f>MATCH(DaybyDay[[#This Row],[RowMonth]],Table3[SummaryMonth],0)</f>
        <v>12</v>
      </c>
      <c r="G1082" s="29">
        <f>MATCH(DaybyDay[[#This Row],[LY-Date]],DaybyDay[Date],0)</f>
        <v>712</v>
      </c>
      <c r="H1082" s="30">
        <f>WEEKDAY(DaybyDay[[#This Row],[Date]])</f>
        <v>5</v>
      </c>
      <c r="I1082" s="31">
        <v>43811</v>
      </c>
      <c r="J1082" s="74">
        <v>24</v>
      </c>
      <c r="K1082" s="32">
        <f>SUMIFS(BudgetSeasonality[365 Seasonality],BudgetSeasonality[MonthAdjustment],DaybyDay[[#This Row],[Date]])*SUMIFS(Budgets[Service-Budget],Budgets[BudgetMonth],DaybyDay[[#This Row],[RowMonth]],Budgets[BudgetYear],DaybyDay[[#This Row],[RowYear]])</f>
        <v>5713.4296175672225</v>
      </c>
      <c r="L1082" s="75">
        <v>4779</v>
      </c>
      <c r="M1082" s="32">
        <f>INDEX(BudgetSeasonality[365 Seasonality],MATCH(DaybyDay[[#This Row],[Date]],BudgetSeasonality[MonthAdjustment],0))*SUMIFS(Budgets[Retail-Budget],Budgets[BudgetMonth],DaybyDay[[#This Row],[RowMonth]],Budgets[BudgetYear],DaybyDay[[#This Row],[RowYear]])</f>
        <v>1416.6016920990212</v>
      </c>
      <c r="N1082" s="75">
        <v>530</v>
      </c>
      <c r="O1082" s="33">
        <f>SUMIFS(DaybyDay[Service-Budgets],DaybyDay[Date],"&gt;="&amp;$C$5,DaybyDay[RowYear],"&gt;="&amp;$C$4,DaybyDay[Date],"&lt;="&amp;DaybyDay[[#This Row],[Date]])</f>
        <v>0</v>
      </c>
      <c r="P1082" s="33">
        <f>SUMIFS(DaybyDay[Retail-Budgets],DaybyDay[Date],"&gt;="&amp;$C$5,DaybyDay[RowYear],"&gt;="&amp;$C$4,DaybyDay[Date],"&lt;="&amp;DaybyDay[[#This Row],[Date]])</f>
        <v>0</v>
      </c>
      <c r="Q1082" s="34">
        <f>SUMIFS(DaybyDay[Service-Actuals],DaybyDay[Date],"&gt;="&amp;$C$5,DaybyDay[RowYear],"&gt;="&amp;$C$4,DaybyDay[Date],"&lt;="&amp;DaybyDay[[#This Row],[Date]])</f>
        <v>0</v>
      </c>
      <c r="R1082" s="34">
        <f>SUMIFS(DaybyDay[Retail-Actuals],DaybyDay[Date],"&gt;="&amp;$C$5,DaybyDay[RowYear],"&gt;="&amp;$C$4,DaybyDay[Date],"&lt;="&amp;DaybyDay[[#This Row],[Date]])</f>
        <v>0</v>
      </c>
      <c r="S1082" s="35">
        <f>SUMIFS(DaybyDay[Service-LY],DaybyDay[Date],"&gt;="&amp;$C$5,DaybyDay[RowYear],"&gt;="&amp;$C$4,DaybyDay[Date],"&lt;="&amp;DaybyDay[[#This Row],[Date]])</f>
        <v>0</v>
      </c>
      <c r="T1082" s="35">
        <f>SUMIFS(DaybyDay[Retail-LY],DaybyDay[Date],"&gt;="&amp;$C$5,DaybyDay[RowYear],"&gt;="&amp;$C$4,DaybyDay[Date],"&lt;="&amp;DaybyDay[[#This Row],[Date]])</f>
        <v>0</v>
      </c>
      <c r="U1082" s="32">
        <f>DaybyDay[[#This Row],[Serv-Bud-RU]]+DaybyDay[[#This Row],[Ret-Bud-RU]]</f>
        <v>0</v>
      </c>
      <c r="V1082" s="32">
        <f>DaybyDay[[#This Row],[Serv-Act-RU]]+DaybyDay[[#This Row],[Ret-Act-RU]]</f>
        <v>0</v>
      </c>
      <c r="W1082" s="36">
        <f>IF(DaybyDay[[#This Row],[_Space]],IFERROR(
((DaybyDay[[#This Row],[Actual-Rollup]]-DaybyDay[[#This Row],[Budget-Rollup]])/DaybyDay[[#This Row],[Budget-Rollup]]),0),"")</f>
        <v>0</v>
      </c>
      <c r="X1082" t="b">
        <f>NOT(AND(ISBLANK(DaybyDay[[#This Row],[Appts]]),ISBLANK(DaybyDay[[#This Row],[Service-Actuals]]),ISBLANK(DaybyDay[[#This Row],[Retail-Actuals]])))</f>
        <v>1</v>
      </c>
      <c r="Y1082" s="36">
        <f>IF(DaybyDay[[#This Row],[_Space]],IFERROR(
((DaybyDay[[#This Row],[Actual-Rollup]]-DaybyDay[[#This Row],[LY-Rollup]])/DaybyDay[[#This Row],[LY-Rollup]]),0),"")</f>
        <v>0</v>
      </c>
      <c r="Z1082"/>
      <c r="AA1082" s="37" t="e">
        <f>IF(DaybyDay[[#This Row],[_Space]],DaybyDay[[#This Row],[Ret-Act-RU]]/DaybyDay[[#This Row],[Serv-Act-RU]],"")</f>
        <v>#DIV/0!</v>
      </c>
      <c r="AB1082" s="50" t="e">
        <f>IF(DaybyDay[[#This Row],[_Space]],DaybyDay[[#This Row],[RETPEN-Act]]/DaybyDay[[#This Row],[RETPEN-Bud]],"")</f>
        <v>#DIV/0!</v>
      </c>
      <c r="AC1082" s="37" t="e">
        <f>IF(DaybyDay[[#This Row],[_Space]],DaybyDay[[#This Row],[Ret-Bud-RU]]/DaybyDay[[#This Row],[Serv-Bud-RU]],"")</f>
        <v>#DIV/0!</v>
      </c>
      <c r="AD1082" s="37" t="e">
        <f>IF(DaybyDay[[#This Row],[_Space]],DaybyDay[[#This Row],[Ret-LY-RU]]/DaybyDay[[#This Row],[Serv-LY-RU]],"")</f>
        <v>#DIV/0!</v>
      </c>
      <c r="AE1082" s="30">
        <f>WEEKDAY(DaybyDay[[#This Row],[LY-Date]])</f>
        <v>5</v>
      </c>
      <c r="AF1082" s="38">
        <f>$E$2+_xlfn.DAYS(DaybyDay[[#This Row],[Date]],minDate)</f>
        <v>43447</v>
      </c>
      <c r="AG1082" s="39" cm="1">
        <f t="array" ref="AG1082">IFERROR(INDEX(DaybyDay[],DaybyDay[[#This Row],[FORM_MATCH_HELPER]],8),"")</f>
        <v>33</v>
      </c>
      <c r="AH1082" s="39" cm="1">
        <f t="array" ref="AH1082">IFERROR(INDEX(DaybyDay[],DaybyDay[[#This Row],[FORM_MATCH_HELPER]],10),"")</f>
        <v>4895.3999999999996</v>
      </c>
      <c r="AI1082" s="39" cm="1">
        <f t="array" ref="AI1082">IFERROR(INDEX(DaybyDay[],DaybyDay[[#This Row],[FORM_MATCH_HELPER]],12),"")</f>
        <v>2005</v>
      </c>
      <c r="AJ1082" s="32">
        <f>IFERROR(DaybyDay[[#This Row],[Serv-LY-RU]]+DaybyDay[[#This Row],[Ret-LY-RU]],"")</f>
        <v>0</v>
      </c>
      <c r="AK10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2" s="77"/>
      <c r="AM1082" s="40" t="str">
        <f>IF(DaybyDay[[#This Row],[Admin Hours]]&gt;0,DaybyDay[[#This Row],[Admin Hours]]*$AM$2+$AM$3,"")</f>
        <v/>
      </c>
      <c r="AN1082" s="40">
        <f>SUMIFS(DaybyDay[Est-Admin-Payroll],DaybyDay[Date],"&gt;="&amp;$C$5,DaybyDay[RowYear],"&gt;="&amp;$C$4,DaybyDay[Date],"&lt;="&amp;DaybyDay[[#This Row],[Date]])</f>
        <v>0</v>
      </c>
      <c r="AO1082" s="41" t="str">
        <f>IF(AND(DaybyDay[[#This Row],[_Space]],ISNUMBER(DaybyDay[[#This Row],[Admin Hours]])),DaybyDay[[#This Row],[Est-Admin-Payroll]]/(DaybyDay[[#This Row],[Service-Actuals]]+DaybyDay[[#This Row],[Retail-Actuals]]),"")</f>
        <v/>
      </c>
      <c r="AP1082" s="41" t="e">
        <f>DaybyDay[[#This Row],[Estimated-Payroll-Rollup]]/DaybyDay[[#This Row],[Simple-Forecast]]</f>
        <v>#DIV/0!</v>
      </c>
      <c r="AQ10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2" s="77"/>
      <c r="AS1082" s="40" t="str">
        <f>IF(DaybyDay[[#This Row],[Retail Hours]]&gt;0,DaybyDay[[#This Row],[Retail Hours]]*$AS$2,"")</f>
        <v/>
      </c>
      <c r="AT1082" s="40">
        <f>SUMIFS(DaybyDay[Est-Retail-Payroll],DaybyDay[Date],"&gt;="&amp;$C$5,DaybyDay[RowYear],"&gt;="&amp;$C$4,DaybyDay[Date],"&lt;="&amp;DaybyDay[[#This Row],[Date]])</f>
        <v>0</v>
      </c>
      <c r="AU1082" s="82" t="str">
        <f>IF(AND(DaybyDay[[#This Row],[_Space]],ISNUMBER(DaybyDay[[#This Row],[Retail Hours]])),DaybyDay[[#This Row],[Est-Retail-Payroll]]/(DaybyDay[[#This Row],[Retail-Actuals]]),"")</f>
        <v/>
      </c>
      <c r="AV1082" s="82" t="e">
        <f>DaybyDay[[#This Row],[Est-Retail-PayrollRU]]/DaybyDay[[#This Row],[Simple-Forecast-Retail]]</f>
        <v>#DIV/0!</v>
      </c>
      <c r="AW1082" s="8"/>
      <c r="AX1082" s="15"/>
      <c r="AY1082" s="8"/>
    </row>
    <row r="1083" spans="3:51" hidden="1" x14ac:dyDescent="0.25">
      <c r="C1083" s="26" t="str">
        <f>Tools!$C$1</f>
        <v>Example</v>
      </c>
      <c r="D1083" s="27" t="s">
        <v>79</v>
      </c>
      <c r="E1083" s="28">
        <v>2019</v>
      </c>
      <c r="F1083" s="28">
        <f>MATCH(DaybyDay[[#This Row],[RowMonth]],Table3[SummaryMonth],0)</f>
        <v>12</v>
      </c>
      <c r="G1083" s="29">
        <f>MATCH(DaybyDay[[#This Row],[LY-Date]],DaybyDay[Date],0)</f>
        <v>713</v>
      </c>
      <c r="H1083" s="30">
        <f>WEEKDAY(DaybyDay[[#This Row],[Date]])</f>
        <v>6</v>
      </c>
      <c r="I1083" s="31">
        <v>43812</v>
      </c>
      <c r="J1083" s="74">
        <v>31</v>
      </c>
      <c r="K1083" s="32">
        <f>SUMIFS(BudgetSeasonality[365 Seasonality],BudgetSeasonality[MonthAdjustment],DaybyDay[[#This Row],[Date]])*SUMIFS(Budgets[Service-Budget],Budgets[BudgetMonth],DaybyDay[[#This Row],[RowMonth]],Budgets[BudgetYear],DaybyDay[[#This Row],[RowYear]])</f>
        <v>6953.3792943588624</v>
      </c>
      <c r="L1083" s="75">
        <v>5327.27</v>
      </c>
      <c r="M1083" s="32">
        <f>INDEX(BudgetSeasonality[365 Seasonality],MATCH(DaybyDay[[#This Row],[Date]],BudgetSeasonality[MonthAdjustment],0))*SUMIFS(Budgets[Retail-Budget],Budgets[BudgetMonth],DaybyDay[[#This Row],[RowMonth]],Budgets[BudgetYear],DaybyDay[[#This Row],[RowYear]])</f>
        <v>1724.0378430336316</v>
      </c>
      <c r="N1083" s="75">
        <v>1174.5</v>
      </c>
      <c r="O1083" s="33">
        <f>SUMIFS(DaybyDay[Service-Budgets],DaybyDay[Date],"&gt;="&amp;$C$5,DaybyDay[RowYear],"&gt;="&amp;$C$4,DaybyDay[Date],"&lt;="&amp;DaybyDay[[#This Row],[Date]])</f>
        <v>0</v>
      </c>
      <c r="P1083" s="33">
        <f>SUMIFS(DaybyDay[Retail-Budgets],DaybyDay[Date],"&gt;="&amp;$C$5,DaybyDay[RowYear],"&gt;="&amp;$C$4,DaybyDay[Date],"&lt;="&amp;DaybyDay[[#This Row],[Date]])</f>
        <v>0</v>
      </c>
      <c r="Q1083" s="34">
        <f>SUMIFS(DaybyDay[Service-Actuals],DaybyDay[Date],"&gt;="&amp;$C$5,DaybyDay[RowYear],"&gt;="&amp;$C$4,DaybyDay[Date],"&lt;="&amp;DaybyDay[[#This Row],[Date]])</f>
        <v>0</v>
      </c>
      <c r="R1083" s="34">
        <f>SUMIFS(DaybyDay[Retail-Actuals],DaybyDay[Date],"&gt;="&amp;$C$5,DaybyDay[RowYear],"&gt;="&amp;$C$4,DaybyDay[Date],"&lt;="&amp;DaybyDay[[#This Row],[Date]])</f>
        <v>0</v>
      </c>
      <c r="S1083" s="35">
        <f>SUMIFS(DaybyDay[Service-LY],DaybyDay[Date],"&gt;="&amp;$C$5,DaybyDay[RowYear],"&gt;="&amp;$C$4,DaybyDay[Date],"&lt;="&amp;DaybyDay[[#This Row],[Date]])</f>
        <v>0</v>
      </c>
      <c r="T1083" s="35">
        <f>SUMIFS(DaybyDay[Retail-LY],DaybyDay[Date],"&gt;="&amp;$C$5,DaybyDay[RowYear],"&gt;="&amp;$C$4,DaybyDay[Date],"&lt;="&amp;DaybyDay[[#This Row],[Date]])</f>
        <v>0</v>
      </c>
      <c r="U1083" s="32">
        <f>DaybyDay[[#This Row],[Serv-Bud-RU]]+DaybyDay[[#This Row],[Ret-Bud-RU]]</f>
        <v>0</v>
      </c>
      <c r="V1083" s="32">
        <f>DaybyDay[[#This Row],[Serv-Act-RU]]+DaybyDay[[#This Row],[Ret-Act-RU]]</f>
        <v>0</v>
      </c>
      <c r="W1083" s="36">
        <f>IF(DaybyDay[[#This Row],[_Space]],IFERROR(
((DaybyDay[[#This Row],[Actual-Rollup]]-DaybyDay[[#This Row],[Budget-Rollup]])/DaybyDay[[#This Row],[Budget-Rollup]]),0),"")</f>
        <v>0</v>
      </c>
      <c r="X1083" t="b">
        <f>NOT(AND(ISBLANK(DaybyDay[[#This Row],[Appts]]),ISBLANK(DaybyDay[[#This Row],[Service-Actuals]]),ISBLANK(DaybyDay[[#This Row],[Retail-Actuals]])))</f>
        <v>1</v>
      </c>
      <c r="Y1083" s="36">
        <f>IF(DaybyDay[[#This Row],[_Space]],IFERROR(
((DaybyDay[[#This Row],[Actual-Rollup]]-DaybyDay[[#This Row],[LY-Rollup]])/DaybyDay[[#This Row],[LY-Rollup]]),0),"")</f>
        <v>0</v>
      </c>
      <c r="Z1083"/>
      <c r="AA1083" s="37" t="e">
        <f>IF(DaybyDay[[#This Row],[_Space]],DaybyDay[[#This Row],[Ret-Act-RU]]/DaybyDay[[#This Row],[Serv-Act-RU]],"")</f>
        <v>#DIV/0!</v>
      </c>
      <c r="AB1083" s="50" t="e">
        <f>IF(DaybyDay[[#This Row],[_Space]],DaybyDay[[#This Row],[RETPEN-Act]]/DaybyDay[[#This Row],[RETPEN-Bud]],"")</f>
        <v>#DIV/0!</v>
      </c>
      <c r="AC1083" s="37" t="e">
        <f>IF(DaybyDay[[#This Row],[_Space]],DaybyDay[[#This Row],[Ret-Bud-RU]]/DaybyDay[[#This Row],[Serv-Bud-RU]],"")</f>
        <v>#DIV/0!</v>
      </c>
      <c r="AD1083" s="37" t="e">
        <f>IF(DaybyDay[[#This Row],[_Space]],DaybyDay[[#This Row],[Ret-LY-RU]]/DaybyDay[[#This Row],[Serv-LY-RU]],"")</f>
        <v>#DIV/0!</v>
      </c>
      <c r="AE1083" s="30">
        <f>WEEKDAY(DaybyDay[[#This Row],[LY-Date]])</f>
        <v>6</v>
      </c>
      <c r="AF1083" s="38">
        <f>$E$2+_xlfn.DAYS(DaybyDay[[#This Row],[Date]],minDate)</f>
        <v>43448</v>
      </c>
      <c r="AG1083" s="39" cm="1">
        <f t="array" ref="AG1083">IFERROR(INDEX(DaybyDay[],DaybyDay[[#This Row],[FORM_MATCH_HELPER]],8),"")</f>
        <v>36</v>
      </c>
      <c r="AH1083" s="39" cm="1">
        <f t="array" ref="AH1083">IFERROR(INDEX(DaybyDay[],DaybyDay[[#This Row],[FORM_MATCH_HELPER]],10),"")</f>
        <v>7182.25</v>
      </c>
      <c r="AI1083" s="39" cm="1">
        <f t="array" ref="AI1083">IFERROR(INDEX(DaybyDay[],DaybyDay[[#This Row],[FORM_MATCH_HELPER]],12),"")</f>
        <v>0</v>
      </c>
      <c r="AJ1083" s="32">
        <f>IFERROR(DaybyDay[[#This Row],[Serv-LY-RU]]+DaybyDay[[#This Row],[Ret-LY-RU]],"")</f>
        <v>0</v>
      </c>
      <c r="AK10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3" s="77"/>
      <c r="AM1083" s="40" t="str">
        <f>IF(DaybyDay[[#This Row],[Admin Hours]]&gt;0,DaybyDay[[#This Row],[Admin Hours]]*$AM$2+$AM$3,"")</f>
        <v/>
      </c>
      <c r="AN1083" s="40">
        <f>SUMIFS(DaybyDay[Est-Admin-Payroll],DaybyDay[Date],"&gt;="&amp;$C$5,DaybyDay[RowYear],"&gt;="&amp;$C$4,DaybyDay[Date],"&lt;="&amp;DaybyDay[[#This Row],[Date]])</f>
        <v>0</v>
      </c>
      <c r="AO1083" s="41" t="str">
        <f>IF(AND(DaybyDay[[#This Row],[_Space]],ISNUMBER(DaybyDay[[#This Row],[Admin Hours]])),DaybyDay[[#This Row],[Est-Admin-Payroll]]/(DaybyDay[[#This Row],[Service-Actuals]]+DaybyDay[[#This Row],[Retail-Actuals]]),"")</f>
        <v/>
      </c>
      <c r="AP1083" s="41" t="e">
        <f>DaybyDay[[#This Row],[Estimated-Payroll-Rollup]]/DaybyDay[[#This Row],[Simple-Forecast]]</f>
        <v>#DIV/0!</v>
      </c>
      <c r="AQ10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3" s="77"/>
      <c r="AS1083" s="40" t="str">
        <f>IF(DaybyDay[[#This Row],[Retail Hours]]&gt;0,DaybyDay[[#This Row],[Retail Hours]]*$AS$2,"")</f>
        <v/>
      </c>
      <c r="AT1083" s="40">
        <f>SUMIFS(DaybyDay[Est-Retail-Payroll],DaybyDay[Date],"&gt;="&amp;$C$5,DaybyDay[RowYear],"&gt;="&amp;$C$4,DaybyDay[Date],"&lt;="&amp;DaybyDay[[#This Row],[Date]])</f>
        <v>0</v>
      </c>
      <c r="AU1083" s="82" t="str">
        <f>IF(AND(DaybyDay[[#This Row],[_Space]],ISNUMBER(DaybyDay[[#This Row],[Retail Hours]])),DaybyDay[[#This Row],[Est-Retail-Payroll]]/(DaybyDay[[#This Row],[Retail-Actuals]]),"")</f>
        <v/>
      </c>
      <c r="AV1083" s="82" t="e">
        <f>DaybyDay[[#This Row],[Est-Retail-PayrollRU]]/DaybyDay[[#This Row],[Simple-Forecast-Retail]]</f>
        <v>#DIV/0!</v>
      </c>
      <c r="AW1083" s="8"/>
      <c r="AX1083" s="15"/>
      <c r="AY1083" s="8"/>
    </row>
    <row r="1084" spans="3:51" hidden="1" x14ac:dyDescent="0.25">
      <c r="C1084" s="26" t="str">
        <f>Tools!$C$1</f>
        <v>Example</v>
      </c>
      <c r="D1084" s="27" t="s">
        <v>79</v>
      </c>
      <c r="E1084" s="28">
        <v>2019</v>
      </c>
      <c r="F1084" s="28">
        <f>MATCH(DaybyDay[[#This Row],[RowMonth]],Table3[SummaryMonth],0)</f>
        <v>12</v>
      </c>
      <c r="G1084" s="29">
        <f>MATCH(DaybyDay[[#This Row],[LY-Date]],DaybyDay[Date],0)</f>
        <v>714</v>
      </c>
      <c r="H1084" s="30">
        <f>WEEKDAY(DaybyDay[[#This Row],[Date]])</f>
        <v>7</v>
      </c>
      <c r="I1084" s="31">
        <v>43813</v>
      </c>
      <c r="J1084" s="74">
        <v>48</v>
      </c>
      <c r="K1084" s="32">
        <f>SUMIFS(BudgetSeasonality[365 Seasonality],BudgetSeasonality[MonthAdjustment],DaybyDay[[#This Row],[Date]])*SUMIFS(Budgets[Service-Budget],Budgets[BudgetMonth],DaybyDay[[#This Row],[RowMonth]],Budgets[BudgetYear],DaybyDay[[#This Row],[RowYear]])</f>
        <v>9499.2787542637489</v>
      </c>
      <c r="L1084" s="75">
        <v>10745.369999999999</v>
      </c>
      <c r="M1084" s="32">
        <f>INDEX(BudgetSeasonality[365 Seasonality],MATCH(DaybyDay[[#This Row],[Date]],BudgetSeasonality[MonthAdjustment],0))*SUMIFS(Budgets[Retail-Budget],Budgets[BudgetMonth],DaybyDay[[#This Row],[RowMonth]],Budgets[BudgetYear],DaybyDay[[#This Row],[RowYear]])</f>
        <v>2355.2743724425482</v>
      </c>
      <c r="N1084" s="75">
        <v>3755.19</v>
      </c>
      <c r="O1084" s="33">
        <f>SUMIFS(DaybyDay[Service-Budgets],DaybyDay[Date],"&gt;="&amp;$C$5,DaybyDay[RowYear],"&gt;="&amp;$C$4,DaybyDay[Date],"&lt;="&amp;DaybyDay[[#This Row],[Date]])</f>
        <v>0</v>
      </c>
      <c r="P1084" s="33">
        <f>SUMIFS(DaybyDay[Retail-Budgets],DaybyDay[Date],"&gt;="&amp;$C$5,DaybyDay[RowYear],"&gt;="&amp;$C$4,DaybyDay[Date],"&lt;="&amp;DaybyDay[[#This Row],[Date]])</f>
        <v>0</v>
      </c>
      <c r="Q1084" s="34">
        <f>SUMIFS(DaybyDay[Service-Actuals],DaybyDay[Date],"&gt;="&amp;$C$5,DaybyDay[RowYear],"&gt;="&amp;$C$4,DaybyDay[Date],"&lt;="&amp;DaybyDay[[#This Row],[Date]])</f>
        <v>0</v>
      </c>
      <c r="R1084" s="34">
        <f>SUMIFS(DaybyDay[Retail-Actuals],DaybyDay[Date],"&gt;="&amp;$C$5,DaybyDay[RowYear],"&gt;="&amp;$C$4,DaybyDay[Date],"&lt;="&amp;DaybyDay[[#This Row],[Date]])</f>
        <v>0</v>
      </c>
      <c r="S1084" s="35">
        <f>SUMIFS(DaybyDay[Service-LY],DaybyDay[Date],"&gt;="&amp;$C$5,DaybyDay[RowYear],"&gt;="&amp;$C$4,DaybyDay[Date],"&lt;="&amp;DaybyDay[[#This Row],[Date]])</f>
        <v>0</v>
      </c>
      <c r="T1084" s="35">
        <f>SUMIFS(DaybyDay[Retail-LY],DaybyDay[Date],"&gt;="&amp;$C$5,DaybyDay[RowYear],"&gt;="&amp;$C$4,DaybyDay[Date],"&lt;="&amp;DaybyDay[[#This Row],[Date]])</f>
        <v>0</v>
      </c>
      <c r="U1084" s="32">
        <f>DaybyDay[[#This Row],[Serv-Bud-RU]]+DaybyDay[[#This Row],[Ret-Bud-RU]]</f>
        <v>0</v>
      </c>
      <c r="V1084" s="32">
        <f>DaybyDay[[#This Row],[Serv-Act-RU]]+DaybyDay[[#This Row],[Ret-Act-RU]]</f>
        <v>0</v>
      </c>
      <c r="W1084" s="36">
        <f>IF(DaybyDay[[#This Row],[_Space]],IFERROR(
((DaybyDay[[#This Row],[Actual-Rollup]]-DaybyDay[[#This Row],[Budget-Rollup]])/DaybyDay[[#This Row],[Budget-Rollup]]),0),"")</f>
        <v>0</v>
      </c>
      <c r="X1084" t="b">
        <f>NOT(AND(ISBLANK(DaybyDay[[#This Row],[Appts]]),ISBLANK(DaybyDay[[#This Row],[Service-Actuals]]),ISBLANK(DaybyDay[[#This Row],[Retail-Actuals]])))</f>
        <v>1</v>
      </c>
      <c r="Y1084" s="36">
        <f>IF(DaybyDay[[#This Row],[_Space]],IFERROR(
((DaybyDay[[#This Row],[Actual-Rollup]]-DaybyDay[[#This Row],[LY-Rollup]])/DaybyDay[[#This Row],[LY-Rollup]]),0),"")</f>
        <v>0</v>
      </c>
      <c r="Z1084"/>
      <c r="AA1084" s="37" t="e">
        <f>IF(DaybyDay[[#This Row],[_Space]],DaybyDay[[#This Row],[Ret-Act-RU]]/DaybyDay[[#This Row],[Serv-Act-RU]],"")</f>
        <v>#DIV/0!</v>
      </c>
      <c r="AB1084" s="50" t="e">
        <f>IF(DaybyDay[[#This Row],[_Space]],DaybyDay[[#This Row],[RETPEN-Act]]/DaybyDay[[#This Row],[RETPEN-Bud]],"")</f>
        <v>#DIV/0!</v>
      </c>
      <c r="AC1084" s="37" t="e">
        <f>IF(DaybyDay[[#This Row],[_Space]],DaybyDay[[#This Row],[Ret-Bud-RU]]/DaybyDay[[#This Row],[Serv-Bud-RU]],"")</f>
        <v>#DIV/0!</v>
      </c>
      <c r="AD1084" s="37" t="e">
        <f>IF(DaybyDay[[#This Row],[_Space]],DaybyDay[[#This Row],[Ret-LY-RU]]/DaybyDay[[#This Row],[Serv-LY-RU]],"")</f>
        <v>#DIV/0!</v>
      </c>
      <c r="AE1084" s="30">
        <f>WEEKDAY(DaybyDay[[#This Row],[LY-Date]])</f>
        <v>7</v>
      </c>
      <c r="AF1084" s="38">
        <f>$E$2+_xlfn.DAYS(DaybyDay[[#This Row],[Date]],minDate)</f>
        <v>43449</v>
      </c>
      <c r="AG1084" s="39" cm="1">
        <f t="array" ref="AG1084">IFERROR(INDEX(DaybyDay[],DaybyDay[[#This Row],[FORM_MATCH_HELPER]],8),"")</f>
        <v>41</v>
      </c>
      <c r="AH1084" s="39" cm="1">
        <f t="array" ref="AH1084">IFERROR(INDEX(DaybyDay[],DaybyDay[[#This Row],[FORM_MATCH_HELPER]],10),"")</f>
        <v>9409</v>
      </c>
      <c r="AI1084" s="39" cm="1">
        <f t="array" ref="AI1084">IFERROR(INDEX(DaybyDay[],DaybyDay[[#This Row],[FORM_MATCH_HELPER]],12),"")</f>
        <v>893</v>
      </c>
      <c r="AJ1084" s="32">
        <f>IFERROR(DaybyDay[[#This Row],[Serv-LY-RU]]+DaybyDay[[#This Row],[Ret-LY-RU]],"")</f>
        <v>0</v>
      </c>
      <c r="AK10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4" s="77"/>
      <c r="AM1084" s="40" t="str">
        <f>IF(DaybyDay[[#This Row],[Admin Hours]]&gt;0,DaybyDay[[#This Row],[Admin Hours]]*$AM$2+$AM$3,"")</f>
        <v/>
      </c>
      <c r="AN1084" s="40">
        <f>SUMIFS(DaybyDay[Est-Admin-Payroll],DaybyDay[Date],"&gt;="&amp;$C$5,DaybyDay[RowYear],"&gt;="&amp;$C$4,DaybyDay[Date],"&lt;="&amp;DaybyDay[[#This Row],[Date]])</f>
        <v>0</v>
      </c>
      <c r="AO1084" s="41" t="str">
        <f>IF(AND(DaybyDay[[#This Row],[_Space]],ISNUMBER(DaybyDay[[#This Row],[Admin Hours]])),DaybyDay[[#This Row],[Est-Admin-Payroll]]/(DaybyDay[[#This Row],[Service-Actuals]]+DaybyDay[[#This Row],[Retail-Actuals]]),"")</f>
        <v/>
      </c>
      <c r="AP1084" s="41" t="e">
        <f>DaybyDay[[#This Row],[Estimated-Payroll-Rollup]]/DaybyDay[[#This Row],[Simple-Forecast]]</f>
        <v>#DIV/0!</v>
      </c>
      <c r="AQ10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4" s="77"/>
      <c r="AS1084" s="40" t="str">
        <f>IF(DaybyDay[[#This Row],[Retail Hours]]&gt;0,DaybyDay[[#This Row],[Retail Hours]]*$AS$2,"")</f>
        <v/>
      </c>
      <c r="AT1084" s="40">
        <f>SUMIFS(DaybyDay[Est-Retail-Payroll],DaybyDay[Date],"&gt;="&amp;$C$5,DaybyDay[RowYear],"&gt;="&amp;$C$4,DaybyDay[Date],"&lt;="&amp;DaybyDay[[#This Row],[Date]])</f>
        <v>0</v>
      </c>
      <c r="AU1084" s="82" t="str">
        <f>IF(AND(DaybyDay[[#This Row],[_Space]],ISNUMBER(DaybyDay[[#This Row],[Retail Hours]])),DaybyDay[[#This Row],[Est-Retail-Payroll]]/(DaybyDay[[#This Row],[Retail-Actuals]]),"")</f>
        <v/>
      </c>
      <c r="AV1084" s="82" t="e">
        <f>DaybyDay[[#This Row],[Est-Retail-PayrollRU]]/DaybyDay[[#This Row],[Simple-Forecast-Retail]]</f>
        <v>#DIV/0!</v>
      </c>
      <c r="AW1084" s="8"/>
      <c r="AX1084" s="15"/>
      <c r="AY1084" s="8"/>
    </row>
    <row r="1085" spans="3:51" hidden="1" x14ac:dyDescent="0.25">
      <c r="C1085" s="26" t="str">
        <f>Tools!$C$1</f>
        <v>Example</v>
      </c>
      <c r="D1085" s="27" t="s">
        <v>79</v>
      </c>
      <c r="E1085" s="28">
        <v>2019</v>
      </c>
      <c r="F1085" s="28">
        <f>MATCH(DaybyDay[[#This Row],[RowMonth]],Table3[SummaryMonth],0)</f>
        <v>12</v>
      </c>
      <c r="G1085" s="29">
        <f>MATCH(DaybyDay[[#This Row],[LY-Date]],DaybyDay[Date],0)</f>
        <v>715</v>
      </c>
      <c r="H1085" s="30">
        <f>WEEKDAY(DaybyDay[[#This Row],[Date]])</f>
        <v>1</v>
      </c>
      <c r="I1085" s="31">
        <v>43814</v>
      </c>
      <c r="J1085" s="74">
        <v>39</v>
      </c>
      <c r="K1085" s="32">
        <f>SUMIFS(BudgetSeasonality[365 Seasonality],BudgetSeasonality[MonthAdjustment],DaybyDay[[#This Row],[Date]])*SUMIFS(Budgets[Service-Budget],Budgets[BudgetMonth],DaybyDay[[#This Row],[RowMonth]],Budgets[BudgetYear],DaybyDay[[#This Row],[RowYear]])</f>
        <v>7728.3587267826188</v>
      </c>
      <c r="L1085" s="75">
        <v>7117.8</v>
      </c>
      <c r="M1085" s="32">
        <f>INDEX(BudgetSeasonality[365 Seasonality],MATCH(DaybyDay[[#This Row],[Date]],BudgetSeasonality[MonthAdjustment],0))*SUMIFS(Budgets[Retail-Budget],Budgets[BudgetMonth],DaybyDay[[#This Row],[RowMonth]],Budgets[BudgetYear],DaybyDay[[#This Row],[RowYear]])</f>
        <v>1916.1881360796658</v>
      </c>
      <c r="N1085" s="75">
        <v>4470.45</v>
      </c>
      <c r="O1085" s="33">
        <f>SUMIFS(DaybyDay[Service-Budgets],DaybyDay[Date],"&gt;="&amp;$C$5,DaybyDay[RowYear],"&gt;="&amp;$C$4,DaybyDay[Date],"&lt;="&amp;DaybyDay[[#This Row],[Date]])</f>
        <v>0</v>
      </c>
      <c r="P1085" s="33">
        <f>SUMIFS(DaybyDay[Retail-Budgets],DaybyDay[Date],"&gt;="&amp;$C$5,DaybyDay[RowYear],"&gt;="&amp;$C$4,DaybyDay[Date],"&lt;="&amp;DaybyDay[[#This Row],[Date]])</f>
        <v>0</v>
      </c>
      <c r="Q1085" s="34">
        <f>SUMIFS(DaybyDay[Service-Actuals],DaybyDay[Date],"&gt;="&amp;$C$5,DaybyDay[RowYear],"&gt;="&amp;$C$4,DaybyDay[Date],"&lt;="&amp;DaybyDay[[#This Row],[Date]])</f>
        <v>0</v>
      </c>
      <c r="R1085" s="34">
        <f>SUMIFS(DaybyDay[Retail-Actuals],DaybyDay[Date],"&gt;="&amp;$C$5,DaybyDay[RowYear],"&gt;="&amp;$C$4,DaybyDay[Date],"&lt;="&amp;DaybyDay[[#This Row],[Date]])</f>
        <v>0</v>
      </c>
      <c r="S1085" s="35">
        <f>SUMIFS(DaybyDay[Service-LY],DaybyDay[Date],"&gt;="&amp;$C$5,DaybyDay[RowYear],"&gt;="&amp;$C$4,DaybyDay[Date],"&lt;="&amp;DaybyDay[[#This Row],[Date]])</f>
        <v>0</v>
      </c>
      <c r="T1085" s="35">
        <f>SUMIFS(DaybyDay[Retail-LY],DaybyDay[Date],"&gt;="&amp;$C$5,DaybyDay[RowYear],"&gt;="&amp;$C$4,DaybyDay[Date],"&lt;="&amp;DaybyDay[[#This Row],[Date]])</f>
        <v>0</v>
      </c>
      <c r="U1085" s="32">
        <f>DaybyDay[[#This Row],[Serv-Bud-RU]]+DaybyDay[[#This Row],[Ret-Bud-RU]]</f>
        <v>0</v>
      </c>
      <c r="V1085" s="32">
        <f>DaybyDay[[#This Row],[Serv-Act-RU]]+DaybyDay[[#This Row],[Ret-Act-RU]]</f>
        <v>0</v>
      </c>
      <c r="W1085" s="36">
        <f>IF(DaybyDay[[#This Row],[_Space]],IFERROR(
((DaybyDay[[#This Row],[Actual-Rollup]]-DaybyDay[[#This Row],[Budget-Rollup]])/DaybyDay[[#This Row],[Budget-Rollup]]),0),"")</f>
        <v>0</v>
      </c>
      <c r="X1085" t="b">
        <f>NOT(AND(ISBLANK(DaybyDay[[#This Row],[Appts]]),ISBLANK(DaybyDay[[#This Row],[Service-Actuals]]),ISBLANK(DaybyDay[[#This Row],[Retail-Actuals]])))</f>
        <v>1</v>
      </c>
      <c r="Y1085" s="36">
        <f>IF(DaybyDay[[#This Row],[_Space]],IFERROR(
((DaybyDay[[#This Row],[Actual-Rollup]]-DaybyDay[[#This Row],[LY-Rollup]])/DaybyDay[[#This Row],[LY-Rollup]]),0),"")</f>
        <v>0</v>
      </c>
      <c r="Z1085"/>
      <c r="AA1085" s="37" t="e">
        <f>IF(DaybyDay[[#This Row],[_Space]],DaybyDay[[#This Row],[Ret-Act-RU]]/DaybyDay[[#This Row],[Serv-Act-RU]],"")</f>
        <v>#DIV/0!</v>
      </c>
      <c r="AB1085" s="50" t="e">
        <f>IF(DaybyDay[[#This Row],[_Space]],DaybyDay[[#This Row],[RETPEN-Act]]/DaybyDay[[#This Row],[RETPEN-Bud]],"")</f>
        <v>#DIV/0!</v>
      </c>
      <c r="AC1085" s="37" t="e">
        <f>IF(DaybyDay[[#This Row],[_Space]],DaybyDay[[#This Row],[Ret-Bud-RU]]/DaybyDay[[#This Row],[Serv-Bud-RU]],"")</f>
        <v>#DIV/0!</v>
      </c>
      <c r="AD1085" s="37" t="e">
        <f>IF(DaybyDay[[#This Row],[_Space]],DaybyDay[[#This Row],[Ret-LY-RU]]/DaybyDay[[#This Row],[Serv-LY-RU]],"")</f>
        <v>#DIV/0!</v>
      </c>
      <c r="AE1085" s="30">
        <f>WEEKDAY(DaybyDay[[#This Row],[LY-Date]])</f>
        <v>1</v>
      </c>
      <c r="AF1085" s="38">
        <f>$E$2+_xlfn.DAYS(DaybyDay[[#This Row],[Date]],minDate)</f>
        <v>43450</v>
      </c>
      <c r="AG1085" s="39" cm="1">
        <f t="array" ref="AG1085">IFERROR(INDEX(DaybyDay[],DaybyDay[[#This Row],[FORM_MATCH_HELPER]],8),"")</f>
        <v>37</v>
      </c>
      <c r="AH1085" s="39" cm="1">
        <f t="array" ref="AH1085">IFERROR(INDEX(DaybyDay[],DaybyDay[[#This Row],[FORM_MATCH_HELPER]],10),"")</f>
        <v>8005.6</v>
      </c>
      <c r="AI1085" s="39" cm="1">
        <f t="array" ref="AI1085">IFERROR(INDEX(DaybyDay[],DaybyDay[[#This Row],[FORM_MATCH_HELPER]],12),"")</f>
        <v>1684</v>
      </c>
      <c r="AJ1085" s="32">
        <f>IFERROR(DaybyDay[[#This Row],[Serv-LY-RU]]+DaybyDay[[#This Row],[Ret-LY-RU]],"")</f>
        <v>0</v>
      </c>
      <c r="AK10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5" s="77"/>
      <c r="AM1085" s="40" t="str">
        <f>IF(DaybyDay[[#This Row],[Admin Hours]]&gt;0,DaybyDay[[#This Row],[Admin Hours]]*$AM$2+$AM$3,"")</f>
        <v/>
      </c>
      <c r="AN1085" s="40">
        <f>SUMIFS(DaybyDay[Est-Admin-Payroll],DaybyDay[Date],"&gt;="&amp;$C$5,DaybyDay[RowYear],"&gt;="&amp;$C$4,DaybyDay[Date],"&lt;="&amp;DaybyDay[[#This Row],[Date]])</f>
        <v>0</v>
      </c>
      <c r="AO1085" s="41" t="str">
        <f>IF(AND(DaybyDay[[#This Row],[_Space]],ISNUMBER(DaybyDay[[#This Row],[Admin Hours]])),DaybyDay[[#This Row],[Est-Admin-Payroll]]/(DaybyDay[[#This Row],[Service-Actuals]]+DaybyDay[[#This Row],[Retail-Actuals]]),"")</f>
        <v/>
      </c>
      <c r="AP1085" s="41" t="e">
        <f>DaybyDay[[#This Row],[Estimated-Payroll-Rollup]]/DaybyDay[[#This Row],[Simple-Forecast]]</f>
        <v>#DIV/0!</v>
      </c>
      <c r="AQ10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5" s="77"/>
      <c r="AS1085" s="40" t="str">
        <f>IF(DaybyDay[[#This Row],[Retail Hours]]&gt;0,DaybyDay[[#This Row],[Retail Hours]]*$AS$2,"")</f>
        <v/>
      </c>
      <c r="AT1085" s="40">
        <f>SUMIFS(DaybyDay[Est-Retail-Payroll],DaybyDay[Date],"&gt;="&amp;$C$5,DaybyDay[RowYear],"&gt;="&amp;$C$4,DaybyDay[Date],"&lt;="&amp;DaybyDay[[#This Row],[Date]])</f>
        <v>0</v>
      </c>
      <c r="AU1085" s="82" t="str">
        <f>IF(AND(DaybyDay[[#This Row],[_Space]],ISNUMBER(DaybyDay[[#This Row],[Retail Hours]])),DaybyDay[[#This Row],[Est-Retail-Payroll]]/(DaybyDay[[#This Row],[Retail-Actuals]]),"")</f>
        <v/>
      </c>
      <c r="AV1085" s="82" t="e">
        <f>DaybyDay[[#This Row],[Est-Retail-PayrollRU]]/DaybyDay[[#This Row],[Simple-Forecast-Retail]]</f>
        <v>#DIV/0!</v>
      </c>
      <c r="AW1085" s="8"/>
      <c r="AX1085" s="15"/>
      <c r="AY1085" s="8"/>
    </row>
    <row r="1086" spans="3:51" hidden="1" x14ac:dyDescent="0.25">
      <c r="C1086" s="26" t="str">
        <f>Tools!$C$1</f>
        <v>Example</v>
      </c>
      <c r="D1086" s="27" t="s">
        <v>79</v>
      </c>
      <c r="E1086" s="28">
        <v>2019</v>
      </c>
      <c r="F1086" s="28">
        <f>MATCH(DaybyDay[[#This Row],[RowMonth]],Table3[SummaryMonth],0)</f>
        <v>12</v>
      </c>
      <c r="G1086" s="29">
        <f>MATCH(DaybyDay[[#This Row],[LY-Date]],DaybyDay[Date],0)</f>
        <v>716</v>
      </c>
      <c r="H1086" s="30">
        <f>WEEKDAY(DaybyDay[[#This Row],[Date]])</f>
        <v>2</v>
      </c>
      <c r="I1086" s="31">
        <v>43815</v>
      </c>
      <c r="J1086" s="74">
        <v>23</v>
      </c>
      <c r="K1086" s="32">
        <f>SUMIFS(BudgetSeasonality[365 Seasonality],BudgetSeasonality[MonthAdjustment],DaybyDay[[#This Row],[Date]])*SUMIFS(Budgets[Service-Budget],Budgets[BudgetMonth],DaybyDay[[#This Row],[RowMonth]],Budgets[BudgetYear],DaybyDay[[#This Row],[RowYear]])</f>
        <v>5111.9326466911834</v>
      </c>
      <c r="L1086" s="75">
        <v>4783.0999999999995</v>
      </c>
      <c r="M1086" s="32">
        <f>INDEX(BudgetSeasonality[365 Seasonality],MATCH(DaybyDay[[#This Row],[Date]],BudgetSeasonality[MonthAdjustment],0))*SUMIFS(Budgets[Retail-Budget],Budgets[BudgetMonth],DaybyDay[[#This Row],[RowMonth]],Budgets[BudgetYear],DaybyDay[[#This Row],[RowYear]])</f>
        <v>1267.4650642292183</v>
      </c>
      <c r="N1086" s="75">
        <v>156.30000000000001</v>
      </c>
      <c r="O1086" s="33">
        <f>SUMIFS(DaybyDay[Service-Budgets],DaybyDay[Date],"&gt;="&amp;$C$5,DaybyDay[RowYear],"&gt;="&amp;$C$4,DaybyDay[Date],"&lt;="&amp;DaybyDay[[#This Row],[Date]])</f>
        <v>0</v>
      </c>
      <c r="P1086" s="33">
        <f>SUMIFS(DaybyDay[Retail-Budgets],DaybyDay[Date],"&gt;="&amp;$C$5,DaybyDay[RowYear],"&gt;="&amp;$C$4,DaybyDay[Date],"&lt;="&amp;DaybyDay[[#This Row],[Date]])</f>
        <v>0</v>
      </c>
      <c r="Q1086" s="34">
        <f>SUMIFS(DaybyDay[Service-Actuals],DaybyDay[Date],"&gt;="&amp;$C$5,DaybyDay[RowYear],"&gt;="&amp;$C$4,DaybyDay[Date],"&lt;="&amp;DaybyDay[[#This Row],[Date]])</f>
        <v>0</v>
      </c>
      <c r="R1086" s="34">
        <f>SUMIFS(DaybyDay[Retail-Actuals],DaybyDay[Date],"&gt;="&amp;$C$5,DaybyDay[RowYear],"&gt;="&amp;$C$4,DaybyDay[Date],"&lt;="&amp;DaybyDay[[#This Row],[Date]])</f>
        <v>0</v>
      </c>
      <c r="S1086" s="35">
        <f>SUMIFS(DaybyDay[Service-LY],DaybyDay[Date],"&gt;="&amp;$C$5,DaybyDay[RowYear],"&gt;="&amp;$C$4,DaybyDay[Date],"&lt;="&amp;DaybyDay[[#This Row],[Date]])</f>
        <v>0</v>
      </c>
      <c r="T1086" s="35">
        <f>SUMIFS(DaybyDay[Retail-LY],DaybyDay[Date],"&gt;="&amp;$C$5,DaybyDay[RowYear],"&gt;="&amp;$C$4,DaybyDay[Date],"&lt;="&amp;DaybyDay[[#This Row],[Date]])</f>
        <v>0</v>
      </c>
      <c r="U1086" s="32">
        <f>DaybyDay[[#This Row],[Serv-Bud-RU]]+DaybyDay[[#This Row],[Ret-Bud-RU]]</f>
        <v>0</v>
      </c>
      <c r="V1086" s="32">
        <f>DaybyDay[[#This Row],[Serv-Act-RU]]+DaybyDay[[#This Row],[Ret-Act-RU]]</f>
        <v>0</v>
      </c>
      <c r="W1086" s="36">
        <f>IF(DaybyDay[[#This Row],[_Space]],IFERROR(
((DaybyDay[[#This Row],[Actual-Rollup]]-DaybyDay[[#This Row],[Budget-Rollup]])/DaybyDay[[#This Row],[Budget-Rollup]]),0),"")</f>
        <v>0</v>
      </c>
      <c r="X1086" t="b">
        <f>NOT(AND(ISBLANK(DaybyDay[[#This Row],[Appts]]),ISBLANK(DaybyDay[[#This Row],[Service-Actuals]]),ISBLANK(DaybyDay[[#This Row],[Retail-Actuals]])))</f>
        <v>1</v>
      </c>
      <c r="Y1086" s="36">
        <f>IF(DaybyDay[[#This Row],[_Space]],IFERROR(
((DaybyDay[[#This Row],[Actual-Rollup]]-DaybyDay[[#This Row],[LY-Rollup]])/DaybyDay[[#This Row],[LY-Rollup]]),0),"")</f>
        <v>0</v>
      </c>
      <c r="Z1086"/>
      <c r="AA1086" s="37" t="e">
        <f>IF(DaybyDay[[#This Row],[_Space]],DaybyDay[[#This Row],[Ret-Act-RU]]/DaybyDay[[#This Row],[Serv-Act-RU]],"")</f>
        <v>#DIV/0!</v>
      </c>
      <c r="AB1086" s="50" t="e">
        <f>IF(DaybyDay[[#This Row],[_Space]],DaybyDay[[#This Row],[RETPEN-Act]]/DaybyDay[[#This Row],[RETPEN-Bud]],"")</f>
        <v>#DIV/0!</v>
      </c>
      <c r="AC1086" s="37" t="e">
        <f>IF(DaybyDay[[#This Row],[_Space]],DaybyDay[[#This Row],[Ret-Bud-RU]]/DaybyDay[[#This Row],[Serv-Bud-RU]],"")</f>
        <v>#DIV/0!</v>
      </c>
      <c r="AD1086" s="37" t="e">
        <f>IF(DaybyDay[[#This Row],[_Space]],DaybyDay[[#This Row],[Ret-LY-RU]]/DaybyDay[[#This Row],[Serv-LY-RU]],"")</f>
        <v>#DIV/0!</v>
      </c>
      <c r="AE1086" s="30">
        <f>WEEKDAY(DaybyDay[[#This Row],[LY-Date]])</f>
        <v>2</v>
      </c>
      <c r="AF1086" s="38">
        <f>$E$2+_xlfn.DAYS(DaybyDay[[#This Row],[Date]],minDate)</f>
        <v>43451</v>
      </c>
      <c r="AG1086" s="39" cm="1">
        <f t="array" ref="AG1086">IFERROR(INDEX(DaybyDay[],DaybyDay[[#This Row],[FORM_MATCH_HELPER]],8),"")</f>
        <v>25</v>
      </c>
      <c r="AH1086" s="39" cm="1">
        <f t="array" ref="AH1086">IFERROR(INDEX(DaybyDay[],DaybyDay[[#This Row],[FORM_MATCH_HELPER]],10),"")</f>
        <v>5221.3999999999996</v>
      </c>
      <c r="AI1086" s="39" cm="1">
        <f t="array" ref="AI1086">IFERROR(INDEX(DaybyDay[],DaybyDay[[#This Row],[FORM_MATCH_HELPER]],12),"")</f>
        <v>1364.5</v>
      </c>
      <c r="AJ1086" s="32">
        <f>IFERROR(DaybyDay[[#This Row],[Serv-LY-RU]]+DaybyDay[[#This Row],[Ret-LY-RU]],"")</f>
        <v>0</v>
      </c>
      <c r="AK10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6" s="77"/>
      <c r="AM1086" s="40" t="str">
        <f>IF(DaybyDay[[#This Row],[Admin Hours]]&gt;0,DaybyDay[[#This Row],[Admin Hours]]*$AM$2+$AM$3,"")</f>
        <v/>
      </c>
      <c r="AN1086" s="40">
        <f>SUMIFS(DaybyDay[Est-Admin-Payroll],DaybyDay[Date],"&gt;="&amp;$C$5,DaybyDay[RowYear],"&gt;="&amp;$C$4,DaybyDay[Date],"&lt;="&amp;DaybyDay[[#This Row],[Date]])</f>
        <v>0</v>
      </c>
      <c r="AO1086" s="41" t="str">
        <f>IF(AND(DaybyDay[[#This Row],[_Space]],ISNUMBER(DaybyDay[[#This Row],[Admin Hours]])),DaybyDay[[#This Row],[Est-Admin-Payroll]]/(DaybyDay[[#This Row],[Service-Actuals]]+DaybyDay[[#This Row],[Retail-Actuals]]),"")</f>
        <v/>
      </c>
      <c r="AP1086" s="41" t="e">
        <f>DaybyDay[[#This Row],[Estimated-Payroll-Rollup]]/DaybyDay[[#This Row],[Simple-Forecast]]</f>
        <v>#DIV/0!</v>
      </c>
      <c r="AQ10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6" s="77"/>
      <c r="AS1086" s="40" t="str">
        <f>IF(DaybyDay[[#This Row],[Retail Hours]]&gt;0,DaybyDay[[#This Row],[Retail Hours]]*$AS$2,"")</f>
        <v/>
      </c>
      <c r="AT1086" s="40">
        <f>SUMIFS(DaybyDay[Est-Retail-Payroll],DaybyDay[Date],"&gt;="&amp;$C$5,DaybyDay[RowYear],"&gt;="&amp;$C$4,DaybyDay[Date],"&lt;="&amp;DaybyDay[[#This Row],[Date]])</f>
        <v>0</v>
      </c>
      <c r="AU1086" s="82" t="str">
        <f>IF(AND(DaybyDay[[#This Row],[_Space]],ISNUMBER(DaybyDay[[#This Row],[Retail Hours]])),DaybyDay[[#This Row],[Est-Retail-Payroll]]/(DaybyDay[[#This Row],[Retail-Actuals]]),"")</f>
        <v/>
      </c>
      <c r="AV1086" s="82" t="e">
        <f>DaybyDay[[#This Row],[Est-Retail-PayrollRU]]/DaybyDay[[#This Row],[Simple-Forecast-Retail]]</f>
        <v>#DIV/0!</v>
      </c>
      <c r="AW1086" s="8"/>
      <c r="AX1086" s="15"/>
      <c r="AY1086" s="8"/>
    </row>
    <row r="1087" spans="3:51" hidden="1" x14ac:dyDescent="0.25">
      <c r="C1087" s="26" t="str">
        <f>Tools!$C$1</f>
        <v>Example</v>
      </c>
      <c r="D1087" s="27" t="s">
        <v>79</v>
      </c>
      <c r="E1087" s="28">
        <v>2019</v>
      </c>
      <c r="F1087" s="28">
        <f>MATCH(DaybyDay[[#This Row],[RowMonth]],Table3[SummaryMonth],0)</f>
        <v>12</v>
      </c>
      <c r="G1087" s="29">
        <f>MATCH(DaybyDay[[#This Row],[LY-Date]],DaybyDay[Date],0)</f>
        <v>717</v>
      </c>
      <c r="H1087" s="30">
        <f>WEEKDAY(DaybyDay[[#This Row],[Date]])</f>
        <v>3</v>
      </c>
      <c r="I1087" s="31">
        <v>43816</v>
      </c>
      <c r="J1087" s="74">
        <v>21</v>
      </c>
      <c r="K1087" s="32">
        <f>SUMIFS(BudgetSeasonality[365 Seasonality],BudgetSeasonality[MonthAdjustment],DaybyDay[[#This Row],[Date]])*SUMIFS(Budgets[Service-Budget],Budgets[BudgetMonth],DaybyDay[[#This Row],[RowMonth]],Budgets[BudgetYear],DaybyDay[[#This Row],[RowYear]])</f>
        <v>5307.0408746112698</v>
      </c>
      <c r="L1087" s="75">
        <v>5565.6</v>
      </c>
      <c r="M1087" s="32">
        <f>INDEX(BudgetSeasonality[365 Seasonality],MATCH(DaybyDay[[#This Row],[Date]],BudgetSeasonality[MonthAdjustment],0))*SUMIFS(Budgets[Retail-Budget],Budgets[BudgetMonth],DaybyDay[[#This Row],[RowMonth]],Budgets[BudgetYear],DaybyDay[[#This Row],[RowYear]])</f>
        <v>1315.8406747319207</v>
      </c>
      <c r="N1087" s="75">
        <v>1066.9000000000001</v>
      </c>
      <c r="O1087" s="33">
        <f>SUMIFS(DaybyDay[Service-Budgets],DaybyDay[Date],"&gt;="&amp;$C$5,DaybyDay[RowYear],"&gt;="&amp;$C$4,DaybyDay[Date],"&lt;="&amp;DaybyDay[[#This Row],[Date]])</f>
        <v>0</v>
      </c>
      <c r="P1087" s="33">
        <f>SUMIFS(DaybyDay[Retail-Budgets],DaybyDay[Date],"&gt;="&amp;$C$5,DaybyDay[RowYear],"&gt;="&amp;$C$4,DaybyDay[Date],"&lt;="&amp;DaybyDay[[#This Row],[Date]])</f>
        <v>0</v>
      </c>
      <c r="Q1087" s="34">
        <f>SUMIFS(DaybyDay[Service-Actuals],DaybyDay[Date],"&gt;="&amp;$C$5,DaybyDay[RowYear],"&gt;="&amp;$C$4,DaybyDay[Date],"&lt;="&amp;DaybyDay[[#This Row],[Date]])</f>
        <v>0</v>
      </c>
      <c r="R1087" s="34">
        <f>SUMIFS(DaybyDay[Retail-Actuals],DaybyDay[Date],"&gt;="&amp;$C$5,DaybyDay[RowYear],"&gt;="&amp;$C$4,DaybyDay[Date],"&lt;="&amp;DaybyDay[[#This Row],[Date]])</f>
        <v>0</v>
      </c>
      <c r="S1087" s="35">
        <f>SUMIFS(DaybyDay[Service-LY],DaybyDay[Date],"&gt;="&amp;$C$5,DaybyDay[RowYear],"&gt;="&amp;$C$4,DaybyDay[Date],"&lt;="&amp;DaybyDay[[#This Row],[Date]])</f>
        <v>0</v>
      </c>
      <c r="T1087" s="35">
        <f>SUMIFS(DaybyDay[Retail-LY],DaybyDay[Date],"&gt;="&amp;$C$5,DaybyDay[RowYear],"&gt;="&amp;$C$4,DaybyDay[Date],"&lt;="&amp;DaybyDay[[#This Row],[Date]])</f>
        <v>0</v>
      </c>
      <c r="U1087" s="32">
        <f>DaybyDay[[#This Row],[Serv-Bud-RU]]+DaybyDay[[#This Row],[Ret-Bud-RU]]</f>
        <v>0</v>
      </c>
      <c r="V1087" s="32">
        <f>DaybyDay[[#This Row],[Serv-Act-RU]]+DaybyDay[[#This Row],[Ret-Act-RU]]</f>
        <v>0</v>
      </c>
      <c r="W1087" s="36">
        <f>IF(DaybyDay[[#This Row],[_Space]],IFERROR(
((DaybyDay[[#This Row],[Actual-Rollup]]-DaybyDay[[#This Row],[Budget-Rollup]])/DaybyDay[[#This Row],[Budget-Rollup]]),0),"")</f>
        <v>0</v>
      </c>
      <c r="X1087" t="b">
        <f>NOT(AND(ISBLANK(DaybyDay[[#This Row],[Appts]]),ISBLANK(DaybyDay[[#This Row],[Service-Actuals]]),ISBLANK(DaybyDay[[#This Row],[Retail-Actuals]])))</f>
        <v>1</v>
      </c>
      <c r="Y1087" s="36">
        <f>IF(DaybyDay[[#This Row],[_Space]],IFERROR(
((DaybyDay[[#This Row],[Actual-Rollup]]-DaybyDay[[#This Row],[LY-Rollup]])/DaybyDay[[#This Row],[LY-Rollup]]),0),"")</f>
        <v>0</v>
      </c>
      <c r="Z1087"/>
      <c r="AA1087" s="37" t="e">
        <f>IF(DaybyDay[[#This Row],[_Space]],DaybyDay[[#This Row],[Ret-Act-RU]]/DaybyDay[[#This Row],[Serv-Act-RU]],"")</f>
        <v>#DIV/0!</v>
      </c>
      <c r="AB1087" s="50" t="e">
        <f>IF(DaybyDay[[#This Row],[_Space]],DaybyDay[[#This Row],[RETPEN-Act]]/DaybyDay[[#This Row],[RETPEN-Bud]],"")</f>
        <v>#DIV/0!</v>
      </c>
      <c r="AC1087" s="37" t="e">
        <f>IF(DaybyDay[[#This Row],[_Space]],DaybyDay[[#This Row],[Ret-Bud-RU]]/DaybyDay[[#This Row],[Serv-Bud-RU]],"")</f>
        <v>#DIV/0!</v>
      </c>
      <c r="AD1087" s="37" t="e">
        <f>IF(DaybyDay[[#This Row],[_Space]],DaybyDay[[#This Row],[Ret-LY-RU]]/DaybyDay[[#This Row],[Serv-LY-RU]],"")</f>
        <v>#DIV/0!</v>
      </c>
      <c r="AE1087" s="30">
        <f>WEEKDAY(DaybyDay[[#This Row],[LY-Date]])</f>
        <v>3</v>
      </c>
      <c r="AF1087" s="38">
        <f>$E$2+_xlfn.DAYS(DaybyDay[[#This Row],[Date]],minDate)</f>
        <v>43452</v>
      </c>
      <c r="AG1087" s="39" cm="1">
        <f t="array" ref="AG1087">IFERROR(INDEX(DaybyDay[],DaybyDay[[#This Row],[FORM_MATCH_HELPER]],8),"")</f>
        <v>29</v>
      </c>
      <c r="AH1087" s="39" cm="1">
        <f t="array" ref="AH1087">IFERROR(INDEX(DaybyDay[],DaybyDay[[#This Row],[FORM_MATCH_HELPER]],10),"")</f>
        <v>6032.2</v>
      </c>
      <c r="AI1087" s="39" cm="1">
        <f t="array" ref="AI1087">IFERROR(INDEX(DaybyDay[],DaybyDay[[#This Row],[FORM_MATCH_HELPER]],12),"")</f>
        <v>3340.5</v>
      </c>
      <c r="AJ1087" s="32">
        <f>IFERROR(DaybyDay[[#This Row],[Serv-LY-RU]]+DaybyDay[[#This Row],[Ret-LY-RU]],"")</f>
        <v>0</v>
      </c>
      <c r="AK10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7" s="77"/>
      <c r="AM1087" s="40" t="str">
        <f>IF(DaybyDay[[#This Row],[Admin Hours]]&gt;0,DaybyDay[[#This Row],[Admin Hours]]*$AM$2+$AM$3,"")</f>
        <v/>
      </c>
      <c r="AN1087" s="40">
        <f>SUMIFS(DaybyDay[Est-Admin-Payroll],DaybyDay[Date],"&gt;="&amp;$C$5,DaybyDay[RowYear],"&gt;="&amp;$C$4,DaybyDay[Date],"&lt;="&amp;DaybyDay[[#This Row],[Date]])</f>
        <v>0</v>
      </c>
      <c r="AO1087" s="41" t="str">
        <f>IF(AND(DaybyDay[[#This Row],[_Space]],ISNUMBER(DaybyDay[[#This Row],[Admin Hours]])),DaybyDay[[#This Row],[Est-Admin-Payroll]]/(DaybyDay[[#This Row],[Service-Actuals]]+DaybyDay[[#This Row],[Retail-Actuals]]),"")</f>
        <v/>
      </c>
      <c r="AP1087" s="41" t="e">
        <f>DaybyDay[[#This Row],[Estimated-Payroll-Rollup]]/DaybyDay[[#This Row],[Simple-Forecast]]</f>
        <v>#DIV/0!</v>
      </c>
      <c r="AQ10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7" s="77"/>
      <c r="AS1087" s="40" t="str">
        <f>IF(DaybyDay[[#This Row],[Retail Hours]]&gt;0,DaybyDay[[#This Row],[Retail Hours]]*$AS$2,"")</f>
        <v/>
      </c>
      <c r="AT1087" s="40">
        <f>SUMIFS(DaybyDay[Est-Retail-Payroll],DaybyDay[Date],"&gt;="&amp;$C$5,DaybyDay[RowYear],"&gt;="&amp;$C$4,DaybyDay[Date],"&lt;="&amp;DaybyDay[[#This Row],[Date]])</f>
        <v>0</v>
      </c>
      <c r="AU1087" s="82" t="str">
        <f>IF(AND(DaybyDay[[#This Row],[_Space]],ISNUMBER(DaybyDay[[#This Row],[Retail Hours]])),DaybyDay[[#This Row],[Est-Retail-Payroll]]/(DaybyDay[[#This Row],[Retail-Actuals]]),"")</f>
        <v/>
      </c>
      <c r="AV1087" s="82" t="e">
        <f>DaybyDay[[#This Row],[Est-Retail-PayrollRU]]/DaybyDay[[#This Row],[Simple-Forecast-Retail]]</f>
        <v>#DIV/0!</v>
      </c>
      <c r="AW1087" s="8"/>
      <c r="AX1087" s="15"/>
      <c r="AY1087" s="8"/>
    </row>
    <row r="1088" spans="3:51" hidden="1" x14ac:dyDescent="0.25">
      <c r="C1088" s="26" t="str">
        <f>Tools!$C$1</f>
        <v>Example</v>
      </c>
      <c r="D1088" s="27" t="s">
        <v>79</v>
      </c>
      <c r="E1088" s="28">
        <v>2019</v>
      </c>
      <c r="F1088" s="28">
        <f>MATCH(DaybyDay[[#This Row],[RowMonth]],Table3[SummaryMonth],0)</f>
        <v>12</v>
      </c>
      <c r="G1088" s="29">
        <f>MATCH(DaybyDay[[#This Row],[LY-Date]],DaybyDay[Date],0)</f>
        <v>718</v>
      </c>
      <c r="H1088" s="30">
        <f>WEEKDAY(DaybyDay[[#This Row],[Date]])</f>
        <v>4</v>
      </c>
      <c r="I1088" s="31">
        <v>43817</v>
      </c>
      <c r="J1088" s="74">
        <v>35</v>
      </c>
      <c r="K1088" s="32">
        <f>SUMIFS(BudgetSeasonality[365 Seasonality],BudgetSeasonality[MonthAdjustment],DaybyDay[[#This Row],[Date]])*SUMIFS(Budgets[Service-Budget],Budgets[BudgetMonth],DaybyDay[[#This Row],[RowMonth]],Budgets[BudgetYear],DaybyDay[[#This Row],[RowYear]])</f>
        <v>5989.4650451773623</v>
      </c>
      <c r="L1088" s="75">
        <v>6996.67</v>
      </c>
      <c r="M1088" s="32">
        <f>INDEX(BudgetSeasonality[365 Seasonality],MATCH(DaybyDay[[#This Row],[Date]],BudgetSeasonality[MonthAdjustment],0))*SUMIFS(Budgets[Retail-Budget],Budgets[BudgetMonth],DaybyDay[[#This Row],[RowMonth]],Budgets[BudgetYear],DaybyDay[[#This Row],[RowYear]])</f>
        <v>1485.042590124523</v>
      </c>
      <c r="N1088" s="75">
        <v>2967</v>
      </c>
      <c r="O1088" s="33">
        <f>SUMIFS(DaybyDay[Service-Budgets],DaybyDay[Date],"&gt;="&amp;$C$5,DaybyDay[RowYear],"&gt;="&amp;$C$4,DaybyDay[Date],"&lt;="&amp;DaybyDay[[#This Row],[Date]])</f>
        <v>0</v>
      </c>
      <c r="P1088" s="33">
        <f>SUMIFS(DaybyDay[Retail-Budgets],DaybyDay[Date],"&gt;="&amp;$C$5,DaybyDay[RowYear],"&gt;="&amp;$C$4,DaybyDay[Date],"&lt;="&amp;DaybyDay[[#This Row],[Date]])</f>
        <v>0</v>
      </c>
      <c r="Q1088" s="34">
        <f>SUMIFS(DaybyDay[Service-Actuals],DaybyDay[Date],"&gt;="&amp;$C$5,DaybyDay[RowYear],"&gt;="&amp;$C$4,DaybyDay[Date],"&lt;="&amp;DaybyDay[[#This Row],[Date]])</f>
        <v>0</v>
      </c>
      <c r="R1088" s="34">
        <f>SUMIFS(DaybyDay[Retail-Actuals],DaybyDay[Date],"&gt;="&amp;$C$5,DaybyDay[RowYear],"&gt;="&amp;$C$4,DaybyDay[Date],"&lt;="&amp;DaybyDay[[#This Row],[Date]])</f>
        <v>0</v>
      </c>
      <c r="S1088" s="35">
        <f>SUMIFS(DaybyDay[Service-LY],DaybyDay[Date],"&gt;="&amp;$C$5,DaybyDay[RowYear],"&gt;="&amp;$C$4,DaybyDay[Date],"&lt;="&amp;DaybyDay[[#This Row],[Date]])</f>
        <v>0</v>
      </c>
      <c r="T1088" s="35">
        <f>SUMIFS(DaybyDay[Retail-LY],DaybyDay[Date],"&gt;="&amp;$C$5,DaybyDay[RowYear],"&gt;="&amp;$C$4,DaybyDay[Date],"&lt;="&amp;DaybyDay[[#This Row],[Date]])</f>
        <v>0</v>
      </c>
      <c r="U1088" s="32">
        <f>DaybyDay[[#This Row],[Serv-Bud-RU]]+DaybyDay[[#This Row],[Ret-Bud-RU]]</f>
        <v>0</v>
      </c>
      <c r="V1088" s="32">
        <f>DaybyDay[[#This Row],[Serv-Act-RU]]+DaybyDay[[#This Row],[Ret-Act-RU]]</f>
        <v>0</v>
      </c>
      <c r="W1088" s="36">
        <f>IF(DaybyDay[[#This Row],[_Space]],IFERROR(
((DaybyDay[[#This Row],[Actual-Rollup]]-DaybyDay[[#This Row],[Budget-Rollup]])/DaybyDay[[#This Row],[Budget-Rollup]]),0),"")</f>
        <v>0</v>
      </c>
      <c r="X1088" t="b">
        <f>NOT(AND(ISBLANK(DaybyDay[[#This Row],[Appts]]),ISBLANK(DaybyDay[[#This Row],[Service-Actuals]]),ISBLANK(DaybyDay[[#This Row],[Retail-Actuals]])))</f>
        <v>1</v>
      </c>
      <c r="Y1088" s="36">
        <f>IF(DaybyDay[[#This Row],[_Space]],IFERROR(
((DaybyDay[[#This Row],[Actual-Rollup]]-DaybyDay[[#This Row],[LY-Rollup]])/DaybyDay[[#This Row],[LY-Rollup]]),0),"")</f>
        <v>0</v>
      </c>
      <c r="Z1088"/>
      <c r="AA1088" s="37" t="e">
        <f>IF(DaybyDay[[#This Row],[_Space]],DaybyDay[[#This Row],[Ret-Act-RU]]/DaybyDay[[#This Row],[Serv-Act-RU]],"")</f>
        <v>#DIV/0!</v>
      </c>
      <c r="AB1088" s="50" t="e">
        <f>IF(DaybyDay[[#This Row],[_Space]],DaybyDay[[#This Row],[RETPEN-Act]]/DaybyDay[[#This Row],[RETPEN-Bud]],"")</f>
        <v>#DIV/0!</v>
      </c>
      <c r="AC1088" s="37" t="e">
        <f>IF(DaybyDay[[#This Row],[_Space]],DaybyDay[[#This Row],[Ret-Bud-RU]]/DaybyDay[[#This Row],[Serv-Bud-RU]],"")</f>
        <v>#DIV/0!</v>
      </c>
      <c r="AD1088" s="37" t="e">
        <f>IF(DaybyDay[[#This Row],[_Space]],DaybyDay[[#This Row],[Ret-LY-RU]]/DaybyDay[[#This Row],[Serv-LY-RU]],"")</f>
        <v>#DIV/0!</v>
      </c>
      <c r="AE1088" s="30">
        <f>WEEKDAY(DaybyDay[[#This Row],[LY-Date]])</f>
        <v>4</v>
      </c>
      <c r="AF1088" s="38">
        <f>$E$2+_xlfn.DAYS(DaybyDay[[#This Row],[Date]],minDate)</f>
        <v>43453</v>
      </c>
      <c r="AG1088" s="39" cm="1">
        <f t="array" ref="AG1088">IFERROR(INDEX(DaybyDay[],DaybyDay[[#This Row],[FORM_MATCH_HELPER]],8),"")</f>
        <v>25</v>
      </c>
      <c r="AH1088" s="39" cm="1">
        <f t="array" ref="AH1088">IFERROR(INDEX(DaybyDay[],DaybyDay[[#This Row],[FORM_MATCH_HELPER]],10),"")</f>
        <v>6027.8</v>
      </c>
      <c r="AI1088" s="39" cm="1">
        <f t="array" ref="AI1088">IFERROR(INDEX(DaybyDay[],DaybyDay[[#This Row],[FORM_MATCH_HELPER]],12),"")</f>
        <v>752</v>
      </c>
      <c r="AJ1088" s="32">
        <f>IFERROR(DaybyDay[[#This Row],[Serv-LY-RU]]+DaybyDay[[#This Row],[Ret-LY-RU]],"")</f>
        <v>0</v>
      </c>
      <c r="AK10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8" s="77"/>
      <c r="AM1088" s="40" t="str">
        <f>IF(DaybyDay[[#This Row],[Admin Hours]]&gt;0,DaybyDay[[#This Row],[Admin Hours]]*$AM$2+$AM$3,"")</f>
        <v/>
      </c>
      <c r="AN1088" s="40">
        <f>SUMIFS(DaybyDay[Est-Admin-Payroll],DaybyDay[Date],"&gt;="&amp;$C$5,DaybyDay[RowYear],"&gt;="&amp;$C$4,DaybyDay[Date],"&lt;="&amp;DaybyDay[[#This Row],[Date]])</f>
        <v>0</v>
      </c>
      <c r="AO1088" s="41" t="str">
        <f>IF(AND(DaybyDay[[#This Row],[_Space]],ISNUMBER(DaybyDay[[#This Row],[Admin Hours]])),DaybyDay[[#This Row],[Est-Admin-Payroll]]/(DaybyDay[[#This Row],[Service-Actuals]]+DaybyDay[[#This Row],[Retail-Actuals]]),"")</f>
        <v/>
      </c>
      <c r="AP1088" s="41" t="e">
        <f>DaybyDay[[#This Row],[Estimated-Payroll-Rollup]]/DaybyDay[[#This Row],[Simple-Forecast]]</f>
        <v>#DIV/0!</v>
      </c>
      <c r="AQ10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8" s="77"/>
      <c r="AS1088" s="40" t="str">
        <f>IF(DaybyDay[[#This Row],[Retail Hours]]&gt;0,DaybyDay[[#This Row],[Retail Hours]]*$AS$2,"")</f>
        <v/>
      </c>
      <c r="AT1088" s="40">
        <f>SUMIFS(DaybyDay[Est-Retail-Payroll],DaybyDay[Date],"&gt;="&amp;$C$5,DaybyDay[RowYear],"&gt;="&amp;$C$4,DaybyDay[Date],"&lt;="&amp;DaybyDay[[#This Row],[Date]])</f>
        <v>0</v>
      </c>
      <c r="AU1088" s="82" t="str">
        <f>IF(AND(DaybyDay[[#This Row],[_Space]],ISNUMBER(DaybyDay[[#This Row],[Retail Hours]])),DaybyDay[[#This Row],[Est-Retail-Payroll]]/(DaybyDay[[#This Row],[Retail-Actuals]]),"")</f>
        <v/>
      </c>
      <c r="AV1088" s="82" t="e">
        <f>DaybyDay[[#This Row],[Est-Retail-PayrollRU]]/DaybyDay[[#This Row],[Simple-Forecast-Retail]]</f>
        <v>#DIV/0!</v>
      </c>
      <c r="AW1088" s="8"/>
      <c r="AX1088" s="15"/>
      <c r="AY1088" s="8"/>
    </row>
    <row r="1089" spans="3:51" hidden="1" x14ac:dyDescent="0.25">
      <c r="C1089" s="26" t="str">
        <f>Tools!$C$1</f>
        <v>Example</v>
      </c>
      <c r="D1089" s="27" t="s">
        <v>79</v>
      </c>
      <c r="E1089" s="28">
        <v>2019</v>
      </c>
      <c r="F1089" s="28">
        <f>MATCH(DaybyDay[[#This Row],[RowMonth]],Table3[SummaryMonth],0)</f>
        <v>12</v>
      </c>
      <c r="G1089" s="29">
        <f>MATCH(DaybyDay[[#This Row],[LY-Date]],DaybyDay[Date],0)</f>
        <v>719</v>
      </c>
      <c r="H1089" s="30">
        <f>WEEKDAY(DaybyDay[[#This Row],[Date]])</f>
        <v>5</v>
      </c>
      <c r="I1089" s="31">
        <v>43818</v>
      </c>
      <c r="J1089" s="74">
        <v>25</v>
      </c>
      <c r="K1089" s="32">
        <f>SUMIFS(BudgetSeasonality[365 Seasonality],BudgetSeasonality[MonthAdjustment],DaybyDay[[#This Row],[Date]])*SUMIFS(Budgets[Service-Budget],Budgets[BudgetMonth],DaybyDay[[#This Row],[RowMonth]],Budgets[BudgetYear],DaybyDay[[#This Row],[RowYear]])</f>
        <v>6163.1022625417918</v>
      </c>
      <c r="L1089" s="75">
        <v>5795</v>
      </c>
      <c r="M1089" s="32">
        <f>INDEX(BudgetSeasonality[365 Seasonality],MATCH(DaybyDay[[#This Row],[Date]],BudgetSeasonality[MonthAdjustment],0))*SUMIFS(Budgets[Retail-Budget],Budgets[BudgetMonth],DaybyDay[[#This Row],[RowMonth]],Budgets[BudgetYear],DaybyDay[[#This Row],[RowYear]])</f>
        <v>1528.0946258358779</v>
      </c>
      <c r="N1089" s="75">
        <v>9838.25</v>
      </c>
      <c r="O1089" s="33">
        <f>SUMIFS(DaybyDay[Service-Budgets],DaybyDay[Date],"&gt;="&amp;$C$5,DaybyDay[RowYear],"&gt;="&amp;$C$4,DaybyDay[Date],"&lt;="&amp;DaybyDay[[#This Row],[Date]])</f>
        <v>0</v>
      </c>
      <c r="P1089" s="33">
        <f>SUMIFS(DaybyDay[Retail-Budgets],DaybyDay[Date],"&gt;="&amp;$C$5,DaybyDay[RowYear],"&gt;="&amp;$C$4,DaybyDay[Date],"&lt;="&amp;DaybyDay[[#This Row],[Date]])</f>
        <v>0</v>
      </c>
      <c r="Q1089" s="34">
        <f>SUMIFS(DaybyDay[Service-Actuals],DaybyDay[Date],"&gt;="&amp;$C$5,DaybyDay[RowYear],"&gt;="&amp;$C$4,DaybyDay[Date],"&lt;="&amp;DaybyDay[[#This Row],[Date]])</f>
        <v>0</v>
      </c>
      <c r="R1089" s="34">
        <f>SUMIFS(DaybyDay[Retail-Actuals],DaybyDay[Date],"&gt;="&amp;$C$5,DaybyDay[RowYear],"&gt;="&amp;$C$4,DaybyDay[Date],"&lt;="&amp;DaybyDay[[#This Row],[Date]])</f>
        <v>0</v>
      </c>
      <c r="S1089" s="35">
        <f>SUMIFS(DaybyDay[Service-LY],DaybyDay[Date],"&gt;="&amp;$C$5,DaybyDay[RowYear],"&gt;="&amp;$C$4,DaybyDay[Date],"&lt;="&amp;DaybyDay[[#This Row],[Date]])</f>
        <v>0</v>
      </c>
      <c r="T1089" s="35">
        <f>SUMIFS(DaybyDay[Retail-LY],DaybyDay[Date],"&gt;="&amp;$C$5,DaybyDay[RowYear],"&gt;="&amp;$C$4,DaybyDay[Date],"&lt;="&amp;DaybyDay[[#This Row],[Date]])</f>
        <v>0</v>
      </c>
      <c r="U1089" s="32">
        <f>DaybyDay[[#This Row],[Serv-Bud-RU]]+DaybyDay[[#This Row],[Ret-Bud-RU]]</f>
        <v>0</v>
      </c>
      <c r="V1089" s="32">
        <f>DaybyDay[[#This Row],[Serv-Act-RU]]+DaybyDay[[#This Row],[Ret-Act-RU]]</f>
        <v>0</v>
      </c>
      <c r="W1089" s="36">
        <f>IF(DaybyDay[[#This Row],[_Space]],IFERROR(
((DaybyDay[[#This Row],[Actual-Rollup]]-DaybyDay[[#This Row],[Budget-Rollup]])/DaybyDay[[#This Row],[Budget-Rollup]]),0),"")</f>
        <v>0</v>
      </c>
      <c r="X1089" t="b">
        <f>NOT(AND(ISBLANK(DaybyDay[[#This Row],[Appts]]),ISBLANK(DaybyDay[[#This Row],[Service-Actuals]]),ISBLANK(DaybyDay[[#This Row],[Retail-Actuals]])))</f>
        <v>1</v>
      </c>
      <c r="Y1089" s="36">
        <f>IF(DaybyDay[[#This Row],[_Space]],IFERROR(
((DaybyDay[[#This Row],[Actual-Rollup]]-DaybyDay[[#This Row],[LY-Rollup]])/DaybyDay[[#This Row],[LY-Rollup]]),0),"")</f>
        <v>0</v>
      </c>
      <c r="Z1089"/>
      <c r="AA1089" s="37" t="e">
        <f>IF(DaybyDay[[#This Row],[_Space]],DaybyDay[[#This Row],[Ret-Act-RU]]/DaybyDay[[#This Row],[Serv-Act-RU]],"")</f>
        <v>#DIV/0!</v>
      </c>
      <c r="AB1089" s="50" t="e">
        <f>IF(DaybyDay[[#This Row],[_Space]],DaybyDay[[#This Row],[RETPEN-Act]]/DaybyDay[[#This Row],[RETPEN-Bud]],"")</f>
        <v>#DIV/0!</v>
      </c>
      <c r="AC1089" s="37" t="e">
        <f>IF(DaybyDay[[#This Row],[_Space]],DaybyDay[[#This Row],[Ret-Bud-RU]]/DaybyDay[[#This Row],[Serv-Bud-RU]],"")</f>
        <v>#DIV/0!</v>
      </c>
      <c r="AD1089" s="37" t="e">
        <f>IF(DaybyDay[[#This Row],[_Space]],DaybyDay[[#This Row],[Ret-LY-RU]]/DaybyDay[[#This Row],[Serv-LY-RU]],"")</f>
        <v>#DIV/0!</v>
      </c>
      <c r="AE1089" s="30">
        <f>WEEKDAY(DaybyDay[[#This Row],[LY-Date]])</f>
        <v>5</v>
      </c>
      <c r="AF1089" s="38">
        <f>$E$2+_xlfn.DAYS(DaybyDay[[#This Row],[Date]],minDate)</f>
        <v>43454</v>
      </c>
      <c r="AG1089" s="39" cm="1">
        <f t="array" ref="AG1089">IFERROR(INDEX(DaybyDay[],DaybyDay[[#This Row],[FORM_MATCH_HELPER]],8),"")</f>
        <v>29</v>
      </c>
      <c r="AH1089" s="39" cm="1">
        <f t="array" ref="AH1089">IFERROR(INDEX(DaybyDay[],DaybyDay[[#This Row],[FORM_MATCH_HELPER]],10),"")</f>
        <v>5647.7</v>
      </c>
      <c r="AI1089" s="39" cm="1">
        <f t="array" ref="AI1089">IFERROR(INDEX(DaybyDay[],DaybyDay[[#This Row],[FORM_MATCH_HELPER]],12),"")</f>
        <v>6622.75</v>
      </c>
      <c r="AJ1089" s="32">
        <f>IFERROR(DaybyDay[[#This Row],[Serv-LY-RU]]+DaybyDay[[#This Row],[Ret-LY-RU]],"")</f>
        <v>0</v>
      </c>
      <c r="AK10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89" s="77"/>
      <c r="AM1089" s="40" t="str">
        <f>IF(DaybyDay[[#This Row],[Admin Hours]]&gt;0,DaybyDay[[#This Row],[Admin Hours]]*$AM$2+$AM$3,"")</f>
        <v/>
      </c>
      <c r="AN1089" s="40">
        <f>SUMIFS(DaybyDay[Est-Admin-Payroll],DaybyDay[Date],"&gt;="&amp;$C$5,DaybyDay[RowYear],"&gt;="&amp;$C$4,DaybyDay[Date],"&lt;="&amp;DaybyDay[[#This Row],[Date]])</f>
        <v>0</v>
      </c>
      <c r="AO1089" s="41" t="str">
        <f>IF(AND(DaybyDay[[#This Row],[_Space]],ISNUMBER(DaybyDay[[#This Row],[Admin Hours]])),DaybyDay[[#This Row],[Est-Admin-Payroll]]/(DaybyDay[[#This Row],[Service-Actuals]]+DaybyDay[[#This Row],[Retail-Actuals]]),"")</f>
        <v/>
      </c>
      <c r="AP1089" s="41" t="e">
        <f>DaybyDay[[#This Row],[Estimated-Payroll-Rollup]]/DaybyDay[[#This Row],[Simple-Forecast]]</f>
        <v>#DIV/0!</v>
      </c>
      <c r="AQ10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89" s="77"/>
      <c r="AS1089" s="40" t="str">
        <f>IF(DaybyDay[[#This Row],[Retail Hours]]&gt;0,DaybyDay[[#This Row],[Retail Hours]]*$AS$2,"")</f>
        <v/>
      </c>
      <c r="AT1089" s="40">
        <f>SUMIFS(DaybyDay[Est-Retail-Payroll],DaybyDay[Date],"&gt;="&amp;$C$5,DaybyDay[RowYear],"&gt;="&amp;$C$4,DaybyDay[Date],"&lt;="&amp;DaybyDay[[#This Row],[Date]])</f>
        <v>0</v>
      </c>
      <c r="AU1089" s="82" t="str">
        <f>IF(AND(DaybyDay[[#This Row],[_Space]],ISNUMBER(DaybyDay[[#This Row],[Retail Hours]])),DaybyDay[[#This Row],[Est-Retail-Payroll]]/(DaybyDay[[#This Row],[Retail-Actuals]]),"")</f>
        <v/>
      </c>
      <c r="AV1089" s="82" t="e">
        <f>DaybyDay[[#This Row],[Est-Retail-PayrollRU]]/DaybyDay[[#This Row],[Simple-Forecast-Retail]]</f>
        <v>#DIV/0!</v>
      </c>
      <c r="AW1089" s="8"/>
      <c r="AX1089" s="15"/>
      <c r="AY1089" s="8"/>
    </row>
    <row r="1090" spans="3:51" hidden="1" x14ac:dyDescent="0.25">
      <c r="C1090" s="26" t="str">
        <f>Tools!$C$1</f>
        <v>Example</v>
      </c>
      <c r="D1090" s="27" t="s">
        <v>79</v>
      </c>
      <c r="E1090" s="28">
        <v>2019</v>
      </c>
      <c r="F1090" s="28">
        <f>MATCH(DaybyDay[[#This Row],[RowMonth]],Table3[SummaryMonth],0)</f>
        <v>12</v>
      </c>
      <c r="G1090" s="29">
        <f>MATCH(DaybyDay[[#This Row],[LY-Date]],DaybyDay[Date],0)</f>
        <v>720</v>
      </c>
      <c r="H1090" s="30">
        <f>WEEKDAY(DaybyDay[[#This Row],[Date]])</f>
        <v>6</v>
      </c>
      <c r="I1090" s="31">
        <v>43819</v>
      </c>
      <c r="J1090" s="74">
        <v>39</v>
      </c>
      <c r="K1090" s="32">
        <f>SUMIFS(BudgetSeasonality[365 Seasonality],BudgetSeasonality[MonthAdjustment],DaybyDay[[#This Row],[Date]])*SUMIFS(Budgets[Service-Budget],Budgets[BudgetMonth],DaybyDay[[#This Row],[RowMonth]],Budgets[BudgetYear],DaybyDay[[#This Row],[RowYear]])</f>
        <v>7369.3204962873115</v>
      </c>
      <c r="L1090" s="75">
        <v>7591.3700000000008</v>
      </c>
      <c r="M1090" s="32">
        <f>INDEX(BudgetSeasonality[365 Seasonality],MATCH(DaybyDay[[#This Row],[Date]],BudgetSeasonality[MonthAdjustment],0))*SUMIFS(Budgets[Retail-Budget],Budgets[BudgetMonth],DaybyDay[[#This Row],[RowMonth]],Budgets[BudgetYear],DaybyDay[[#This Row],[RowYear]])</f>
        <v>1827.1673204063543</v>
      </c>
      <c r="N1090" s="75">
        <v>4268.75</v>
      </c>
      <c r="O1090" s="33">
        <f>SUMIFS(DaybyDay[Service-Budgets],DaybyDay[Date],"&gt;="&amp;$C$5,DaybyDay[RowYear],"&gt;="&amp;$C$4,DaybyDay[Date],"&lt;="&amp;DaybyDay[[#This Row],[Date]])</f>
        <v>0</v>
      </c>
      <c r="P1090" s="33">
        <f>SUMIFS(DaybyDay[Retail-Budgets],DaybyDay[Date],"&gt;="&amp;$C$5,DaybyDay[RowYear],"&gt;="&amp;$C$4,DaybyDay[Date],"&lt;="&amp;DaybyDay[[#This Row],[Date]])</f>
        <v>0</v>
      </c>
      <c r="Q1090" s="34">
        <f>SUMIFS(DaybyDay[Service-Actuals],DaybyDay[Date],"&gt;="&amp;$C$5,DaybyDay[RowYear],"&gt;="&amp;$C$4,DaybyDay[Date],"&lt;="&amp;DaybyDay[[#This Row],[Date]])</f>
        <v>0</v>
      </c>
      <c r="R1090" s="34">
        <f>SUMIFS(DaybyDay[Retail-Actuals],DaybyDay[Date],"&gt;="&amp;$C$5,DaybyDay[RowYear],"&gt;="&amp;$C$4,DaybyDay[Date],"&lt;="&amp;DaybyDay[[#This Row],[Date]])</f>
        <v>0</v>
      </c>
      <c r="S1090" s="35">
        <f>SUMIFS(DaybyDay[Service-LY],DaybyDay[Date],"&gt;="&amp;$C$5,DaybyDay[RowYear],"&gt;="&amp;$C$4,DaybyDay[Date],"&lt;="&amp;DaybyDay[[#This Row],[Date]])</f>
        <v>0</v>
      </c>
      <c r="T1090" s="35">
        <f>SUMIFS(DaybyDay[Retail-LY],DaybyDay[Date],"&gt;="&amp;$C$5,DaybyDay[RowYear],"&gt;="&amp;$C$4,DaybyDay[Date],"&lt;="&amp;DaybyDay[[#This Row],[Date]])</f>
        <v>0</v>
      </c>
      <c r="U1090" s="32">
        <f>DaybyDay[[#This Row],[Serv-Bud-RU]]+DaybyDay[[#This Row],[Ret-Bud-RU]]</f>
        <v>0</v>
      </c>
      <c r="V1090" s="32">
        <f>DaybyDay[[#This Row],[Serv-Act-RU]]+DaybyDay[[#This Row],[Ret-Act-RU]]</f>
        <v>0</v>
      </c>
      <c r="W1090" s="36">
        <f>IF(DaybyDay[[#This Row],[_Space]],IFERROR(
((DaybyDay[[#This Row],[Actual-Rollup]]-DaybyDay[[#This Row],[Budget-Rollup]])/DaybyDay[[#This Row],[Budget-Rollup]]),0),"")</f>
        <v>0</v>
      </c>
      <c r="X1090" t="b">
        <f>NOT(AND(ISBLANK(DaybyDay[[#This Row],[Appts]]),ISBLANK(DaybyDay[[#This Row],[Service-Actuals]]),ISBLANK(DaybyDay[[#This Row],[Retail-Actuals]])))</f>
        <v>1</v>
      </c>
      <c r="Y1090" s="36">
        <f>IF(DaybyDay[[#This Row],[_Space]],IFERROR(
((DaybyDay[[#This Row],[Actual-Rollup]]-DaybyDay[[#This Row],[LY-Rollup]])/DaybyDay[[#This Row],[LY-Rollup]]),0),"")</f>
        <v>0</v>
      </c>
      <c r="Z1090"/>
      <c r="AA1090" s="37" t="e">
        <f>IF(DaybyDay[[#This Row],[_Space]],DaybyDay[[#This Row],[Ret-Act-RU]]/DaybyDay[[#This Row],[Serv-Act-RU]],"")</f>
        <v>#DIV/0!</v>
      </c>
      <c r="AB1090" s="50" t="e">
        <f>IF(DaybyDay[[#This Row],[_Space]],DaybyDay[[#This Row],[RETPEN-Act]]/DaybyDay[[#This Row],[RETPEN-Bud]],"")</f>
        <v>#DIV/0!</v>
      </c>
      <c r="AC1090" s="37" t="e">
        <f>IF(DaybyDay[[#This Row],[_Space]],DaybyDay[[#This Row],[Ret-Bud-RU]]/DaybyDay[[#This Row],[Serv-Bud-RU]],"")</f>
        <v>#DIV/0!</v>
      </c>
      <c r="AD1090" s="37" t="e">
        <f>IF(DaybyDay[[#This Row],[_Space]],DaybyDay[[#This Row],[Ret-LY-RU]]/DaybyDay[[#This Row],[Serv-LY-RU]],"")</f>
        <v>#DIV/0!</v>
      </c>
      <c r="AE1090" s="30">
        <f>WEEKDAY(DaybyDay[[#This Row],[LY-Date]])</f>
        <v>6</v>
      </c>
      <c r="AF1090" s="38">
        <f>$E$2+_xlfn.DAYS(DaybyDay[[#This Row],[Date]],minDate)</f>
        <v>43455</v>
      </c>
      <c r="AG1090" s="39" cm="1">
        <f t="array" ref="AG1090">IFERROR(INDEX(DaybyDay[],DaybyDay[[#This Row],[FORM_MATCH_HELPER]],8),"")</f>
        <v>26</v>
      </c>
      <c r="AH1090" s="39" cm="1">
        <f t="array" ref="AH1090">IFERROR(INDEX(DaybyDay[],DaybyDay[[#This Row],[FORM_MATCH_HELPER]],10),"")</f>
        <v>6605.4</v>
      </c>
      <c r="AI1090" s="39" cm="1">
        <f t="array" ref="AI1090">IFERROR(INDEX(DaybyDay[],DaybyDay[[#This Row],[FORM_MATCH_HELPER]],12),"")</f>
        <v>1221.5</v>
      </c>
      <c r="AJ1090" s="32">
        <f>IFERROR(DaybyDay[[#This Row],[Serv-LY-RU]]+DaybyDay[[#This Row],[Ret-LY-RU]],"")</f>
        <v>0</v>
      </c>
      <c r="AK10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0" s="77"/>
      <c r="AM1090" s="40" t="str">
        <f>IF(DaybyDay[[#This Row],[Admin Hours]]&gt;0,DaybyDay[[#This Row],[Admin Hours]]*$AM$2+$AM$3,"")</f>
        <v/>
      </c>
      <c r="AN1090" s="40">
        <f>SUMIFS(DaybyDay[Est-Admin-Payroll],DaybyDay[Date],"&gt;="&amp;$C$5,DaybyDay[RowYear],"&gt;="&amp;$C$4,DaybyDay[Date],"&lt;="&amp;DaybyDay[[#This Row],[Date]])</f>
        <v>0</v>
      </c>
      <c r="AO1090" s="41" t="str">
        <f>IF(AND(DaybyDay[[#This Row],[_Space]],ISNUMBER(DaybyDay[[#This Row],[Admin Hours]])),DaybyDay[[#This Row],[Est-Admin-Payroll]]/(DaybyDay[[#This Row],[Service-Actuals]]+DaybyDay[[#This Row],[Retail-Actuals]]),"")</f>
        <v/>
      </c>
      <c r="AP1090" s="41" t="e">
        <f>DaybyDay[[#This Row],[Estimated-Payroll-Rollup]]/DaybyDay[[#This Row],[Simple-Forecast]]</f>
        <v>#DIV/0!</v>
      </c>
      <c r="AQ10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0" s="77"/>
      <c r="AS1090" s="40" t="str">
        <f>IF(DaybyDay[[#This Row],[Retail Hours]]&gt;0,DaybyDay[[#This Row],[Retail Hours]]*$AS$2,"")</f>
        <v/>
      </c>
      <c r="AT1090" s="40">
        <f>SUMIFS(DaybyDay[Est-Retail-Payroll],DaybyDay[Date],"&gt;="&amp;$C$5,DaybyDay[RowYear],"&gt;="&amp;$C$4,DaybyDay[Date],"&lt;="&amp;DaybyDay[[#This Row],[Date]])</f>
        <v>0</v>
      </c>
      <c r="AU1090" s="82" t="str">
        <f>IF(AND(DaybyDay[[#This Row],[_Space]],ISNUMBER(DaybyDay[[#This Row],[Retail Hours]])),DaybyDay[[#This Row],[Est-Retail-Payroll]]/(DaybyDay[[#This Row],[Retail-Actuals]]),"")</f>
        <v/>
      </c>
      <c r="AV1090" s="82" t="e">
        <f>DaybyDay[[#This Row],[Est-Retail-PayrollRU]]/DaybyDay[[#This Row],[Simple-Forecast-Retail]]</f>
        <v>#DIV/0!</v>
      </c>
      <c r="AW1090" s="8"/>
      <c r="AX1090" s="15"/>
      <c r="AY1090" s="8"/>
    </row>
    <row r="1091" spans="3:51" hidden="1" x14ac:dyDescent="0.25">
      <c r="C1091" s="26" t="str">
        <f>Tools!$C$1</f>
        <v>Example</v>
      </c>
      <c r="D1091" s="27" t="s">
        <v>79</v>
      </c>
      <c r="E1091" s="28">
        <v>2019</v>
      </c>
      <c r="F1091" s="28">
        <f>MATCH(DaybyDay[[#This Row],[RowMonth]],Table3[SummaryMonth],0)</f>
        <v>12</v>
      </c>
      <c r="G1091" s="29">
        <f>MATCH(DaybyDay[[#This Row],[LY-Date]],DaybyDay[Date],0)</f>
        <v>721</v>
      </c>
      <c r="H1091" s="30">
        <f>WEEKDAY(DaybyDay[[#This Row],[Date]])</f>
        <v>7</v>
      </c>
      <c r="I1091" s="31">
        <v>43820</v>
      </c>
      <c r="J1091" s="74">
        <v>48</v>
      </c>
      <c r="K1091" s="32">
        <f>SUMIFS(BudgetSeasonality[365 Seasonality],BudgetSeasonality[MonthAdjustment],DaybyDay[[#This Row],[Date]])*SUMIFS(Budgets[Service-Budget],Budgets[BudgetMonth],DaybyDay[[#This Row],[RowMonth]],Budgets[BudgetYear],DaybyDay[[#This Row],[RowYear]])</f>
        <v>9875.3961407567895</v>
      </c>
      <c r="L1091" s="75">
        <v>9231</v>
      </c>
      <c r="M1091" s="32">
        <f>INDEX(BudgetSeasonality[365 Seasonality],MATCH(DaybyDay[[#This Row],[Date]],BudgetSeasonality[MonthAdjustment],0))*SUMIFS(Budgets[Retail-Budget],Budgets[BudgetMonth],DaybyDay[[#This Row],[RowMonth]],Budgets[BudgetYear],DaybyDay[[#This Row],[RowYear]])</f>
        <v>2448.5298357628039</v>
      </c>
      <c r="N1091" s="75">
        <v>1643.8</v>
      </c>
      <c r="O1091" s="33">
        <f>SUMIFS(DaybyDay[Service-Budgets],DaybyDay[Date],"&gt;="&amp;$C$5,DaybyDay[RowYear],"&gt;="&amp;$C$4,DaybyDay[Date],"&lt;="&amp;DaybyDay[[#This Row],[Date]])</f>
        <v>0</v>
      </c>
      <c r="P1091" s="33">
        <f>SUMIFS(DaybyDay[Retail-Budgets],DaybyDay[Date],"&gt;="&amp;$C$5,DaybyDay[RowYear],"&gt;="&amp;$C$4,DaybyDay[Date],"&lt;="&amp;DaybyDay[[#This Row],[Date]])</f>
        <v>0</v>
      </c>
      <c r="Q1091" s="34">
        <f>SUMIFS(DaybyDay[Service-Actuals],DaybyDay[Date],"&gt;="&amp;$C$5,DaybyDay[RowYear],"&gt;="&amp;$C$4,DaybyDay[Date],"&lt;="&amp;DaybyDay[[#This Row],[Date]])</f>
        <v>0</v>
      </c>
      <c r="R1091" s="34">
        <f>SUMIFS(DaybyDay[Retail-Actuals],DaybyDay[Date],"&gt;="&amp;$C$5,DaybyDay[RowYear],"&gt;="&amp;$C$4,DaybyDay[Date],"&lt;="&amp;DaybyDay[[#This Row],[Date]])</f>
        <v>0</v>
      </c>
      <c r="S1091" s="35">
        <f>SUMIFS(DaybyDay[Service-LY],DaybyDay[Date],"&gt;="&amp;$C$5,DaybyDay[RowYear],"&gt;="&amp;$C$4,DaybyDay[Date],"&lt;="&amp;DaybyDay[[#This Row],[Date]])</f>
        <v>0</v>
      </c>
      <c r="T1091" s="35">
        <f>SUMIFS(DaybyDay[Retail-LY],DaybyDay[Date],"&gt;="&amp;$C$5,DaybyDay[RowYear],"&gt;="&amp;$C$4,DaybyDay[Date],"&lt;="&amp;DaybyDay[[#This Row],[Date]])</f>
        <v>0</v>
      </c>
      <c r="U1091" s="32">
        <f>DaybyDay[[#This Row],[Serv-Bud-RU]]+DaybyDay[[#This Row],[Ret-Bud-RU]]</f>
        <v>0</v>
      </c>
      <c r="V1091" s="32">
        <f>DaybyDay[[#This Row],[Serv-Act-RU]]+DaybyDay[[#This Row],[Ret-Act-RU]]</f>
        <v>0</v>
      </c>
      <c r="W1091" s="36">
        <f>IF(DaybyDay[[#This Row],[_Space]],IFERROR(
((DaybyDay[[#This Row],[Actual-Rollup]]-DaybyDay[[#This Row],[Budget-Rollup]])/DaybyDay[[#This Row],[Budget-Rollup]]),0),"")</f>
        <v>0</v>
      </c>
      <c r="X1091" t="b">
        <f>NOT(AND(ISBLANK(DaybyDay[[#This Row],[Appts]]),ISBLANK(DaybyDay[[#This Row],[Service-Actuals]]),ISBLANK(DaybyDay[[#This Row],[Retail-Actuals]])))</f>
        <v>1</v>
      </c>
      <c r="Y1091" s="36">
        <f>IF(DaybyDay[[#This Row],[_Space]],IFERROR(
((DaybyDay[[#This Row],[Actual-Rollup]]-DaybyDay[[#This Row],[LY-Rollup]])/DaybyDay[[#This Row],[LY-Rollup]]),0),"")</f>
        <v>0</v>
      </c>
      <c r="Z1091"/>
      <c r="AA1091" s="37" t="e">
        <f>IF(DaybyDay[[#This Row],[_Space]],DaybyDay[[#This Row],[Ret-Act-RU]]/DaybyDay[[#This Row],[Serv-Act-RU]],"")</f>
        <v>#DIV/0!</v>
      </c>
      <c r="AB1091" s="50" t="e">
        <f>IF(DaybyDay[[#This Row],[_Space]],DaybyDay[[#This Row],[RETPEN-Act]]/DaybyDay[[#This Row],[RETPEN-Bud]],"")</f>
        <v>#DIV/0!</v>
      </c>
      <c r="AC1091" s="37" t="e">
        <f>IF(DaybyDay[[#This Row],[_Space]],DaybyDay[[#This Row],[Ret-Bud-RU]]/DaybyDay[[#This Row],[Serv-Bud-RU]],"")</f>
        <v>#DIV/0!</v>
      </c>
      <c r="AD1091" s="37" t="e">
        <f>IF(DaybyDay[[#This Row],[_Space]],DaybyDay[[#This Row],[Ret-LY-RU]]/DaybyDay[[#This Row],[Serv-LY-RU]],"")</f>
        <v>#DIV/0!</v>
      </c>
      <c r="AE1091" s="30">
        <f>WEEKDAY(DaybyDay[[#This Row],[LY-Date]])</f>
        <v>7</v>
      </c>
      <c r="AF1091" s="38">
        <f>$E$2+_xlfn.DAYS(DaybyDay[[#This Row],[Date]],minDate)</f>
        <v>43456</v>
      </c>
      <c r="AG1091" s="39" cm="1">
        <f t="array" ref="AG1091">IFERROR(INDEX(DaybyDay[],DaybyDay[[#This Row],[FORM_MATCH_HELPER]],8),"")</f>
        <v>30</v>
      </c>
      <c r="AH1091" s="39" cm="1">
        <f t="array" ref="AH1091">IFERROR(INDEX(DaybyDay[],DaybyDay[[#This Row],[FORM_MATCH_HELPER]],10),"")</f>
        <v>7689.5</v>
      </c>
      <c r="AI1091" s="39" cm="1">
        <f t="array" ref="AI1091">IFERROR(INDEX(DaybyDay[],DaybyDay[[#This Row],[FORM_MATCH_HELPER]],12),"")</f>
        <v>799.5</v>
      </c>
      <c r="AJ1091" s="32">
        <f>IFERROR(DaybyDay[[#This Row],[Serv-LY-RU]]+DaybyDay[[#This Row],[Ret-LY-RU]],"")</f>
        <v>0</v>
      </c>
      <c r="AK10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1" s="77"/>
      <c r="AM1091" s="40" t="str">
        <f>IF(DaybyDay[[#This Row],[Admin Hours]]&gt;0,DaybyDay[[#This Row],[Admin Hours]]*$AM$2+$AM$3,"")</f>
        <v/>
      </c>
      <c r="AN1091" s="40">
        <f>SUMIFS(DaybyDay[Est-Admin-Payroll],DaybyDay[Date],"&gt;="&amp;$C$5,DaybyDay[RowYear],"&gt;="&amp;$C$4,DaybyDay[Date],"&lt;="&amp;DaybyDay[[#This Row],[Date]])</f>
        <v>0</v>
      </c>
      <c r="AO1091" s="41" t="str">
        <f>IF(AND(DaybyDay[[#This Row],[_Space]],ISNUMBER(DaybyDay[[#This Row],[Admin Hours]])),DaybyDay[[#This Row],[Est-Admin-Payroll]]/(DaybyDay[[#This Row],[Service-Actuals]]+DaybyDay[[#This Row],[Retail-Actuals]]),"")</f>
        <v/>
      </c>
      <c r="AP1091" s="41" t="e">
        <f>DaybyDay[[#This Row],[Estimated-Payroll-Rollup]]/DaybyDay[[#This Row],[Simple-Forecast]]</f>
        <v>#DIV/0!</v>
      </c>
      <c r="AQ10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1" s="77"/>
      <c r="AS1091" s="40" t="str">
        <f>IF(DaybyDay[[#This Row],[Retail Hours]]&gt;0,DaybyDay[[#This Row],[Retail Hours]]*$AS$2,"")</f>
        <v/>
      </c>
      <c r="AT1091" s="40">
        <f>SUMIFS(DaybyDay[Est-Retail-Payroll],DaybyDay[Date],"&gt;="&amp;$C$5,DaybyDay[RowYear],"&gt;="&amp;$C$4,DaybyDay[Date],"&lt;="&amp;DaybyDay[[#This Row],[Date]])</f>
        <v>0</v>
      </c>
      <c r="AU1091" s="82" t="str">
        <f>IF(AND(DaybyDay[[#This Row],[_Space]],ISNUMBER(DaybyDay[[#This Row],[Retail Hours]])),DaybyDay[[#This Row],[Est-Retail-Payroll]]/(DaybyDay[[#This Row],[Retail-Actuals]]),"")</f>
        <v/>
      </c>
      <c r="AV1091" s="82" t="e">
        <f>DaybyDay[[#This Row],[Est-Retail-PayrollRU]]/DaybyDay[[#This Row],[Simple-Forecast-Retail]]</f>
        <v>#DIV/0!</v>
      </c>
      <c r="AW1091" s="8"/>
      <c r="AX1091" s="15"/>
      <c r="AY1091" s="8"/>
    </row>
    <row r="1092" spans="3:51" hidden="1" x14ac:dyDescent="0.25">
      <c r="C1092" s="26" t="str">
        <f>Tools!$C$1</f>
        <v>Example</v>
      </c>
      <c r="D1092" s="27" t="s">
        <v>79</v>
      </c>
      <c r="E1092" s="28">
        <v>2019</v>
      </c>
      <c r="F1092" s="28">
        <f>MATCH(DaybyDay[[#This Row],[RowMonth]],Table3[SummaryMonth],0)</f>
        <v>12</v>
      </c>
      <c r="G1092" s="29">
        <f>MATCH(DaybyDay[[#This Row],[LY-Date]],DaybyDay[Date],0)</f>
        <v>722</v>
      </c>
      <c r="H1092" s="30">
        <f>WEEKDAY(DaybyDay[[#This Row],[Date]])</f>
        <v>1</v>
      </c>
      <c r="I1092" s="31">
        <v>43821</v>
      </c>
      <c r="J1092" s="74">
        <v>38</v>
      </c>
      <c r="K1092" s="32">
        <f>SUMIFS(BudgetSeasonality[365 Seasonality],BudgetSeasonality[MonthAdjustment],DaybyDay[[#This Row],[Date]])*SUMIFS(Budgets[Service-Budget],Budgets[BudgetMonth],DaybyDay[[#This Row],[RowMonth]],Budgets[BudgetYear],DaybyDay[[#This Row],[RowYear]])</f>
        <v>8059.2851336254171</v>
      </c>
      <c r="L1092" s="75">
        <v>7488.7999999999993</v>
      </c>
      <c r="M1092" s="32">
        <f>INDEX(BudgetSeasonality[365 Seasonality],MATCH(DaybyDay[[#This Row],[Date]],BudgetSeasonality[MonthAdjustment],0))*SUMIFS(Budgets[Retail-Budget],Budgets[BudgetMonth],DaybyDay[[#This Row],[RowMonth]],Budgets[BudgetYear],DaybyDay[[#This Row],[RowYear]])</f>
        <v>1998.2388375449216</v>
      </c>
      <c r="N1092" s="75">
        <v>949.1</v>
      </c>
      <c r="O1092" s="33">
        <f>SUMIFS(DaybyDay[Service-Budgets],DaybyDay[Date],"&gt;="&amp;$C$5,DaybyDay[RowYear],"&gt;="&amp;$C$4,DaybyDay[Date],"&lt;="&amp;DaybyDay[[#This Row],[Date]])</f>
        <v>0</v>
      </c>
      <c r="P1092" s="33">
        <f>SUMIFS(DaybyDay[Retail-Budgets],DaybyDay[Date],"&gt;="&amp;$C$5,DaybyDay[RowYear],"&gt;="&amp;$C$4,DaybyDay[Date],"&lt;="&amp;DaybyDay[[#This Row],[Date]])</f>
        <v>0</v>
      </c>
      <c r="Q1092" s="34">
        <f>SUMIFS(DaybyDay[Service-Actuals],DaybyDay[Date],"&gt;="&amp;$C$5,DaybyDay[RowYear],"&gt;="&amp;$C$4,DaybyDay[Date],"&lt;="&amp;DaybyDay[[#This Row],[Date]])</f>
        <v>0</v>
      </c>
      <c r="R1092" s="34">
        <f>SUMIFS(DaybyDay[Retail-Actuals],DaybyDay[Date],"&gt;="&amp;$C$5,DaybyDay[RowYear],"&gt;="&amp;$C$4,DaybyDay[Date],"&lt;="&amp;DaybyDay[[#This Row],[Date]])</f>
        <v>0</v>
      </c>
      <c r="S1092" s="35">
        <f>SUMIFS(DaybyDay[Service-LY],DaybyDay[Date],"&gt;="&amp;$C$5,DaybyDay[RowYear],"&gt;="&amp;$C$4,DaybyDay[Date],"&lt;="&amp;DaybyDay[[#This Row],[Date]])</f>
        <v>0</v>
      </c>
      <c r="T1092" s="35">
        <f>SUMIFS(DaybyDay[Retail-LY],DaybyDay[Date],"&gt;="&amp;$C$5,DaybyDay[RowYear],"&gt;="&amp;$C$4,DaybyDay[Date],"&lt;="&amp;DaybyDay[[#This Row],[Date]])</f>
        <v>0</v>
      </c>
      <c r="U1092" s="32">
        <f>DaybyDay[[#This Row],[Serv-Bud-RU]]+DaybyDay[[#This Row],[Ret-Bud-RU]]</f>
        <v>0</v>
      </c>
      <c r="V1092" s="32">
        <f>DaybyDay[[#This Row],[Serv-Act-RU]]+DaybyDay[[#This Row],[Ret-Act-RU]]</f>
        <v>0</v>
      </c>
      <c r="W1092" s="36">
        <f>IF(DaybyDay[[#This Row],[_Space]],IFERROR(
((DaybyDay[[#This Row],[Actual-Rollup]]-DaybyDay[[#This Row],[Budget-Rollup]])/DaybyDay[[#This Row],[Budget-Rollup]]),0),"")</f>
        <v>0</v>
      </c>
      <c r="X1092" t="b">
        <f>NOT(AND(ISBLANK(DaybyDay[[#This Row],[Appts]]),ISBLANK(DaybyDay[[#This Row],[Service-Actuals]]),ISBLANK(DaybyDay[[#This Row],[Retail-Actuals]])))</f>
        <v>1</v>
      </c>
      <c r="Y1092" s="36">
        <f>IF(DaybyDay[[#This Row],[_Space]],IFERROR(
((DaybyDay[[#This Row],[Actual-Rollup]]-DaybyDay[[#This Row],[LY-Rollup]])/DaybyDay[[#This Row],[LY-Rollup]]),0),"")</f>
        <v>0</v>
      </c>
      <c r="Z1092"/>
      <c r="AA1092" s="37" t="e">
        <f>IF(DaybyDay[[#This Row],[_Space]],DaybyDay[[#This Row],[Ret-Act-RU]]/DaybyDay[[#This Row],[Serv-Act-RU]],"")</f>
        <v>#DIV/0!</v>
      </c>
      <c r="AB1092" s="50" t="e">
        <f>IF(DaybyDay[[#This Row],[_Space]],DaybyDay[[#This Row],[RETPEN-Act]]/DaybyDay[[#This Row],[RETPEN-Bud]],"")</f>
        <v>#DIV/0!</v>
      </c>
      <c r="AC1092" s="37" t="e">
        <f>IF(DaybyDay[[#This Row],[_Space]],DaybyDay[[#This Row],[Ret-Bud-RU]]/DaybyDay[[#This Row],[Serv-Bud-RU]],"")</f>
        <v>#DIV/0!</v>
      </c>
      <c r="AD1092" s="37" t="e">
        <f>IF(DaybyDay[[#This Row],[_Space]],DaybyDay[[#This Row],[Ret-LY-RU]]/DaybyDay[[#This Row],[Serv-LY-RU]],"")</f>
        <v>#DIV/0!</v>
      </c>
      <c r="AE1092" s="30">
        <f>WEEKDAY(DaybyDay[[#This Row],[LY-Date]])</f>
        <v>1</v>
      </c>
      <c r="AF1092" s="38">
        <f>$E$2+_xlfn.DAYS(DaybyDay[[#This Row],[Date]],minDate)</f>
        <v>43457</v>
      </c>
      <c r="AG1092" s="39" cm="1">
        <f t="array" ref="AG1092">IFERROR(INDEX(DaybyDay[],DaybyDay[[#This Row],[FORM_MATCH_HELPER]],8),"")</f>
        <v>26</v>
      </c>
      <c r="AH1092" s="39" cm="1">
        <f t="array" ref="AH1092">IFERROR(INDEX(DaybyDay[],DaybyDay[[#This Row],[FORM_MATCH_HELPER]],10),"")</f>
        <v>7208.7</v>
      </c>
      <c r="AI1092" s="39" cm="1">
        <f t="array" ref="AI1092">IFERROR(INDEX(DaybyDay[],DaybyDay[[#This Row],[FORM_MATCH_HELPER]],12),"")</f>
        <v>2080</v>
      </c>
      <c r="AJ1092" s="32">
        <f>IFERROR(DaybyDay[[#This Row],[Serv-LY-RU]]+DaybyDay[[#This Row],[Ret-LY-RU]],"")</f>
        <v>0</v>
      </c>
      <c r="AK10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2" s="77"/>
      <c r="AM1092" s="40" t="str">
        <f>IF(DaybyDay[[#This Row],[Admin Hours]]&gt;0,DaybyDay[[#This Row],[Admin Hours]]*$AM$2+$AM$3,"")</f>
        <v/>
      </c>
      <c r="AN1092" s="40">
        <f>SUMIFS(DaybyDay[Est-Admin-Payroll],DaybyDay[Date],"&gt;="&amp;$C$5,DaybyDay[RowYear],"&gt;="&amp;$C$4,DaybyDay[Date],"&lt;="&amp;DaybyDay[[#This Row],[Date]])</f>
        <v>0</v>
      </c>
      <c r="AO1092" s="41" t="str">
        <f>IF(AND(DaybyDay[[#This Row],[_Space]],ISNUMBER(DaybyDay[[#This Row],[Admin Hours]])),DaybyDay[[#This Row],[Est-Admin-Payroll]]/(DaybyDay[[#This Row],[Service-Actuals]]+DaybyDay[[#This Row],[Retail-Actuals]]),"")</f>
        <v/>
      </c>
      <c r="AP1092" s="41" t="e">
        <f>DaybyDay[[#This Row],[Estimated-Payroll-Rollup]]/DaybyDay[[#This Row],[Simple-Forecast]]</f>
        <v>#DIV/0!</v>
      </c>
      <c r="AQ10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2" s="77"/>
      <c r="AS1092" s="40" t="str">
        <f>IF(DaybyDay[[#This Row],[Retail Hours]]&gt;0,DaybyDay[[#This Row],[Retail Hours]]*$AS$2,"")</f>
        <v/>
      </c>
      <c r="AT1092" s="40">
        <f>SUMIFS(DaybyDay[Est-Retail-Payroll],DaybyDay[Date],"&gt;="&amp;$C$5,DaybyDay[RowYear],"&gt;="&amp;$C$4,DaybyDay[Date],"&lt;="&amp;DaybyDay[[#This Row],[Date]])</f>
        <v>0</v>
      </c>
      <c r="AU1092" s="82" t="str">
        <f>IF(AND(DaybyDay[[#This Row],[_Space]],ISNUMBER(DaybyDay[[#This Row],[Retail Hours]])),DaybyDay[[#This Row],[Est-Retail-Payroll]]/(DaybyDay[[#This Row],[Retail-Actuals]]),"")</f>
        <v/>
      </c>
      <c r="AV1092" s="82" t="e">
        <f>DaybyDay[[#This Row],[Est-Retail-PayrollRU]]/DaybyDay[[#This Row],[Simple-Forecast-Retail]]</f>
        <v>#DIV/0!</v>
      </c>
      <c r="AW1092" s="8"/>
      <c r="AX1092" s="15"/>
      <c r="AY1092" s="8"/>
    </row>
    <row r="1093" spans="3:51" hidden="1" x14ac:dyDescent="0.25">
      <c r="C1093" s="26" t="str">
        <f>Tools!$C$1</f>
        <v>Example</v>
      </c>
      <c r="D1093" s="27" t="s">
        <v>79</v>
      </c>
      <c r="E1093" s="28">
        <v>2019</v>
      </c>
      <c r="F1093" s="28">
        <f>MATCH(DaybyDay[[#This Row],[RowMonth]],Table3[SummaryMonth],0)</f>
        <v>12</v>
      </c>
      <c r="G1093" s="29">
        <f>MATCH(DaybyDay[[#This Row],[LY-Date]],DaybyDay[Date],0)</f>
        <v>723</v>
      </c>
      <c r="H1093" s="30">
        <f>WEEKDAY(DaybyDay[[#This Row],[Date]])</f>
        <v>2</v>
      </c>
      <c r="I1093" s="31">
        <v>43822</v>
      </c>
      <c r="J1093" s="74">
        <v>29</v>
      </c>
      <c r="K1093" s="32">
        <f>SUMIFS(BudgetSeasonality[365 Seasonality],BudgetSeasonality[MonthAdjustment],DaybyDay[[#This Row],[Date]])*SUMIFS(Budgets[Service-Budget],Budgets[BudgetMonth],DaybyDay[[#This Row],[RowMonth]],Budgets[BudgetYear],DaybyDay[[#This Row],[RowYear]])</f>
        <v>5393.1285008004779</v>
      </c>
      <c r="L1093" s="75">
        <v>6580.3200000000006</v>
      </c>
      <c r="M1093" s="32">
        <f>INDEX(BudgetSeasonality[365 Seasonality],MATCH(DaybyDay[[#This Row],[Date]],BudgetSeasonality[MonthAdjustment],0))*SUMIFS(Budgets[Retail-Budget],Budgets[BudgetMonth],DaybyDay[[#This Row],[RowMonth]],Budgets[BudgetYear],DaybyDay[[#This Row],[RowYear]])</f>
        <v>1337.1854510031558</v>
      </c>
      <c r="N1093" s="75">
        <v>3346.2</v>
      </c>
      <c r="O1093" s="33">
        <f>SUMIFS(DaybyDay[Service-Budgets],DaybyDay[Date],"&gt;="&amp;$C$5,DaybyDay[RowYear],"&gt;="&amp;$C$4,DaybyDay[Date],"&lt;="&amp;DaybyDay[[#This Row],[Date]])</f>
        <v>0</v>
      </c>
      <c r="P1093" s="33">
        <f>SUMIFS(DaybyDay[Retail-Budgets],DaybyDay[Date],"&gt;="&amp;$C$5,DaybyDay[RowYear],"&gt;="&amp;$C$4,DaybyDay[Date],"&lt;="&amp;DaybyDay[[#This Row],[Date]])</f>
        <v>0</v>
      </c>
      <c r="Q1093" s="34">
        <f>SUMIFS(DaybyDay[Service-Actuals],DaybyDay[Date],"&gt;="&amp;$C$5,DaybyDay[RowYear],"&gt;="&amp;$C$4,DaybyDay[Date],"&lt;="&amp;DaybyDay[[#This Row],[Date]])</f>
        <v>0</v>
      </c>
      <c r="R1093" s="34">
        <f>SUMIFS(DaybyDay[Retail-Actuals],DaybyDay[Date],"&gt;="&amp;$C$5,DaybyDay[RowYear],"&gt;="&amp;$C$4,DaybyDay[Date],"&lt;="&amp;DaybyDay[[#This Row],[Date]])</f>
        <v>0</v>
      </c>
      <c r="S1093" s="35">
        <f>SUMIFS(DaybyDay[Service-LY],DaybyDay[Date],"&gt;="&amp;$C$5,DaybyDay[RowYear],"&gt;="&amp;$C$4,DaybyDay[Date],"&lt;="&amp;DaybyDay[[#This Row],[Date]])</f>
        <v>0</v>
      </c>
      <c r="T1093" s="35">
        <f>SUMIFS(DaybyDay[Retail-LY],DaybyDay[Date],"&gt;="&amp;$C$5,DaybyDay[RowYear],"&gt;="&amp;$C$4,DaybyDay[Date],"&lt;="&amp;DaybyDay[[#This Row],[Date]])</f>
        <v>0</v>
      </c>
      <c r="U1093" s="32">
        <f>DaybyDay[[#This Row],[Serv-Bud-RU]]+DaybyDay[[#This Row],[Ret-Bud-RU]]</f>
        <v>0</v>
      </c>
      <c r="V1093" s="32">
        <f>DaybyDay[[#This Row],[Serv-Act-RU]]+DaybyDay[[#This Row],[Ret-Act-RU]]</f>
        <v>0</v>
      </c>
      <c r="W1093" s="36">
        <f>IF(DaybyDay[[#This Row],[_Space]],IFERROR(
((DaybyDay[[#This Row],[Actual-Rollup]]-DaybyDay[[#This Row],[Budget-Rollup]])/DaybyDay[[#This Row],[Budget-Rollup]]),0),"")</f>
        <v>0</v>
      </c>
      <c r="X1093" t="b">
        <f>NOT(AND(ISBLANK(DaybyDay[[#This Row],[Appts]]),ISBLANK(DaybyDay[[#This Row],[Service-Actuals]]),ISBLANK(DaybyDay[[#This Row],[Retail-Actuals]])))</f>
        <v>1</v>
      </c>
      <c r="Y1093" s="36">
        <f>IF(DaybyDay[[#This Row],[_Space]],IFERROR(
((DaybyDay[[#This Row],[Actual-Rollup]]-DaybyDay[[#This Row],[LY-Rollup]])/DaybyDay[[#This Row],[LY-Rollup]]),0),"")</f>
        <v>0</v>
      </c>
      <c r="Z1093"/>
      <c r="AA1093" s="37" t="e">
        <f>IF(DaybyDay[[#This Row],[_Space]],DaybyDay[[#This Row],[Ret-Act-RU]]/DaybyDay[[#This Row],[Serv-Act-RU]],"")</f>
        <v>#DIV/0!</v>
      </c>
      <c r="AB1093" s="50" t="e">
        <f>IF(DaybyDay[[#This Row],[_Space]],DaybyDay[[#This Row],[RETPEN-Act]]/DaybyDay[[#This Row],[RETPEN-Bud]],"")</f>
        <v>#DIV/0!</v>
      </c>
      <c r="AC1093" s="37" t="e">
        <f>IF(DaybyDay[[#This Row],[_Space]],DaybyDay[[#This Row],[Ret-Bud-RU]]/DaybyDay[[#This Row],[Serv-Bud-RU]],"")</f>
        <v>#DIV/0!</v>
      </c>
      <c r="AD1093" s="37" t="e">
        <f>IF(DaybyDay[[#This Row],[_Space]],DaybyDay[[#This Row],[Ret-LY-RU]]/DaybyDay[[#This Row],[Serv-LY-RU]],"")</f>
        <v>#DIV/0!</v>
      </c>
      <c r="AE1093" s="30">
        <f>WEEKDAY(DaybyDay[[#This Row],[LY-Date]])</f>
        <v>2</v>
      </c>
      <c r="AF1093" s="38">
        <f>$E$2+_xlfn.DAYS(DaybyDay[[#This Row],[Date]],minDate)</f>
        <v>43458</v>
      </c>
      <c r="AG1093" s="39" cm="1">
        <f t="array" ref="AG1093">IFERROR(INDEX(DaybyDay[],DaybyDay[[#This Row],[FORM_MATCH_HELPER]],8),"")</f>
        <v>18</v>
      </c>
      <c r="AH1093" s="39" cm="1">
        <f t="array" ref="AH1093">IFERROR(INDEX(DaybyDay[],DaybyDay[[#This Row],[FORM_MATCH_HELPER]],10),"")</f>
        <v>3248.3</v>
      </c>
      <c r="AI1093" s="39" cm="1">
        <f t="array" ref="AI1093">IFERROR(INDEX(DaybyDay[],DaybyDay[[#This Row],[FORM_MATCH_HELPER]],12),"")</f>
        <v>1767</v>
      </c>
      <c r="AJ1093" s="32">
        <f>IFERROR(DaybyDay[[#This Row],[Serv-LY-RU]]+DaybyDay[[#This Row],[Ret-LY-RU]],"")</f>
        <v>0</v>
      </c>
      <c r="AK10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3" s="77"/>
      <c r="AM1093" s="40" t="str">
        <f>IF(DaybyDay[[#This Row],[Admin Hours]]&gt;0,DaybyDay[[#This Row],[Admin Hours]]*$AM$2+$AM$3,"")</f>
        <v/>
      </c>
      <c r="AN1093" s="40">
        <f>SUMIFS(DaybyDay[Est-Admin-Payroll],DaybyDay[Date],"&gt;="&amp;$C$5,DaybyDay[RowYear],"&gt;="&amp;$C$4,DaybyDay[Date],"&lt;="&amp;DaybyDay[[#This Row],[Date]])</f>
        <v>0</v>
      </c>
      <c r="AO1093" s="41" t="str">
        <f>IF(AND(DaybyDay[[#This Row],[_Space]],ISNUMBER(DaybyDay[[#This Row],[Admin Hours]])),DaybyDay[[#This Row],[Est-Admin-Payroll]]/(DaybyDay[[#This Row],[Service-Actuals]]+DaybyDay[[#This Row],[Retail-Actuals]]),"")</f>
        <v/>
      </c>
      <c r="AP1093" s="41" t="e">
        <f>DaybyDay[[#This Row],[Estimated-Payroll-Rollup]]/DaybyDay[[#This Row],[Simple-Forecast]]</f>
        <v>#DIV/0!</v>
      </c>
      <c r="AQ10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3" s="77"/>
      <c r="AS1093" s="40" t="str">
        <f>IF(DaybyDay[[#This Row],[Retail Hours]]&gt;0,DaybyDay[[#This Row],[Retail Hours]]*$AS$2,"")</f>
        <v/>
      </c>
      <c r="AT1093" s="40">
        <f>SUMIFS(DaybyDay[Est-Retail-Payroll],DaybyDay[Date],"&gt;="&amp;$C$5,DaybyDay[RowYear],"&gt;="&amp;$C$4,DaybyDay[Date],"&lt;="&amp;DaybyDay[[#This Row],[Date]])</f>
        <v>0</v>
      </c>
      <c r="AU1093" s="82" t="str">
        <f>IF(AND(DaybyDay[[#This Row],[_Space]],ISNUMBER(DaybyDay[[#This Row],[Retail Hours]])),DaybyDay[[#This Row],[Est-Retail-Payroll]]/(DaybyDay[[#This Row],[Retail-Actuals]]),"")</f>
        <v/>
      </c>
      <c r="AV1093" s="82" t="e">
        <f>DaybyDay[[#This Row],[Est-Retail-PayrollRU]]/DaybyDay[[#This Row],[Simple-Forecast-Retail]]</f>
        <v>#DIV/0!</v>
      </c>
      <c r="AW1093" s="8"/>
      <c r="AX1093" s="15"/>
      <c r="AY1093" s="8"/>
    </row>
    <row r="1094" spans="3:51" hidden="1" x14ac:dyDescent="0.25">
      <c r="C1094" s="26" t="str">
        <f>Tools!$C$1</f>
        <v>Example</v>
      </c>
      <c r="D1094" s="27" t="s">
        <v>79</v>
      </c>
      <c r="E1094" s="28">
        <v>2019</v>
      </c>
      <c r="F1094" s="28">
        <f>MATCH(DaybyDay[[#This Row],[RowMonth]],Table3[SummaryMonth],0)</f>
        <v>12</v>
      </c>
      <c r="G1094" s="29">
        <f>MATCH(DaybyDay[[#This Row],[LY-Date]],DaybyDay[Date],0)</f>
        <v>724</v>
      </c>
      <c r="H1094" s="30">
        <f>WEEKDAY(DaybyDay[[#This Row],[Date]])</f>
        <v>3</v>
      </c>
      <c r="I1094" s="31">
        <v>43823</v>
      </c>
      <c r="J1094" s="74">
        <v>21</v>
      </c>
      <c r="K1094" s="32">
        <f>SUMIFS(BudgetSeasonality[365 Seasonality],BudgetSeasonality[MonthAdjustment],DaybyDay[[#This Row],[Date]])*SUMIFS(Budgets[Service-Budget],Budgets[BudgetMonth],DaybyDay[[#This Row],[RowMonth]],Budgets[BudgetYear],DaybyDay[[#This Row],[RowYear]])</f>
        <v>5534.8782449051187</v>
      </c>
      <c r="L1094" s="75">
        <v>4336.6000000000004</v>
      </c>
      <c r="M1094" s="32">
        <f>INDEX(BudgetSeasonality[365 Seasonality],MATCH(DaybyDay[[#This Row],[Date]],BudgetSeasonality[MonthAdjustment],0))*SUMIFS(Budgets[Retail-Budget],Budgets[BudgetMonth],DaybyDay[[#This Row],[RowMonth]],Budgets[BudgetYear],DaybyDay[[#This Row],[RowYear]])</f>
        <v>1372.3312287223428</v>
      </c>
      <c r="N1094" s="75">
        <v>2246.15</v>
      </c>
      <c r="O1094" s="33">
        <f>SUMIFS(DaybyDay[Service-Budgets],DaybyDay[Date],"&gt;="&amp;$C$5,DaybyDay[RowYear],"&gt;="&amp;$C$4,DaybyDay[Date],"&lt;="&amp;DaybyDay[[#This Row],[Date]])</f>
        <v>0</v>
      </c>
      <c r="P1094" s="33">
        <f>SUMIFS(DaybyDay[Retail-Budgets],DaybyDay[Date],"&gt;="&amp;$C$5,DaybyDay[RowYear],"&gt;="&amp;$C$4,DaybyDay[Date],"&lt;="&amp;DaybyDay[[#This Row],[Date]])</f>
        <v>0</v>
      </c>
      <c r="Q1094" s="34">
        <f>SUMIFS(DaybyDay[Service-Actuals],DaybyDay[Date],"&gt;="&amp;$C$5,DaybyDay[RowYear],"&gt;="&amp;$C$4,DaybyDay[Date],"&lt;="&amp;DaybyDay[[#This Row],[Date]])</f>
        <v>0</v>
      </c>
      <c r="R1094" s="34">
        <f>SUMIFS(DaybyDay[Retail-Actuals],DaybyDay[Date],"&gt;="&amp;$C$5,DaybyDay[RowYear],"&gt;="&amp;$C$4,DaybyDay[Date],"&lt;="&amp;DaybyDay[[#This Row],[Date]])</f>
        <v>0</v>
      </c>
      <c r="S1094" s="35">
        <f>SUMIFS(DaybyDay[Service-LY],DaybyDay[Date],"&gt;="&amp;$C$5,DaybyDay[RowYear],"&gt;="&amp;$C$4,DaybyDay[Date],"&lt;="&amp;DaybyDay[[#This Row],[Date]])</f>
        <v>0</v>
      </c>
      <c r="T1094" s="35">
        <f>SUMIFS(DaybyDay[Retail-LY],DaybyDay[Date],"&gt;="&amp;$C$5,DaybyDay[RowYear],"&gt;="&amp;$C$4,DaybyDay[Date],"&lt;="&amp;DaybyDay[[#This Row],[Date]])</f>
        <v>0</v>
      </c>
      <c r="U1094" s="32">
        <f>DaybyDay[[#This Row],[Serv-Bud-RU]]+DaybyDay[[#This Row],[Ret-Bud-RU]]</f>
        <v>0</v>
      </c>
      <c r="V1094" s="32">
        <f>DaybyDay[[#This Row],[Serv-Act-RU]]+DaybyDay[[#This Row],[Ret-Act-RU]]</f>
        <v>0</v>
      </c>
      <c r="W1094" s="36">
        <f>IF(DaybyDay[[#This Row],[_Space]],IFERROR(
((DaybyDay[[#This Row],[Actual-Rollup]]-DaybyDay[[#This Row],[Budget-Rollup]])/DaybyDay[[#This Row],[Budget-Rollup]]),0),"")</f>
        <v>0</v>
      </c>
      <c r="X1094" t="b">
        <f>NOT(AND(ISBLANK(DaybyDay[[#This Row],[Appts]]),ISBLANK(DaybyDay[[#This Row],[Service-Actuals]]),ISBLANK(DaybyDay[[#This Row],[Retail-Actuals]])))</f>
        <v>1</v>
      </c>
      <c r="Y1094" s="36">
        <f>IF(DaybyDay[[#This Row],[_Space]],IFERROR(
((DaybyDay[[#This Row],[Actual-Rollup]]-DaybyDay[[#This Row],[LY-Rollup]])/DaybyDay[[#This Row],[LY-Rollup]]),0),"")</f>
        <v>0</v>
      </c>
      <c r="Z1094"/>
      <c r="AA1094" s="37" t="e">
        <f>IF(DaybyDay[[#This Row],[_Space]],DaybyDay[[#This Row],[Ret-Act-RU]]/DaybyDay[[#This Row],[Serv-Act-RU]],"")</f>
        <v>#DIV/0!</v>
      </c>
      <c r="AB1094" s="50" t="e">
        <f>IF(DaybyDay[[#This Row],[_Space]],DaybyDay[[#This Row],[RETPEN-Act]]/DaybyDay[[#This Row],[RETPEN-Bud]],"")</f>
        <v>#DIV/0!</v>
      </c>
      <c r="AC1094" s="37" t="e">
        <f>IF(DaybyDay[[#This Row],[_Space]],DaybyDay[[#This Row],[Ret-Bud-RU]]/DaybyDay[[#This Row],[Serv-Bud-RU]],"")</f>
        <v>#DIV/0!</v>
      </c>
      <c r="AD1094" s="37" t="e">
        <f>IF(DaybyDay[[#This Row],[_Space]],DaybyDay[[#This Row],[Ret-LY-RU]]/DaybyDay[[#This Row],[Serv-LY-RU]],"")</f>
        <v>#DIV/0!</v>
      </c>
      <c r="AE1094" s="30">
        <f>WEEKDAY(DaybyDay[[#This Row],[LY-Date]])</f>
        <v>3</v>
      </c>
      <c r="AF1094" s="38">
        <f>$E$2+_xlfn.DAYS(DaybyDay[[#This Row],[Date]],minDate)</f>
        <v>43459</v>
      </c>
      <c r="AG1094" s="39" cm="1">
        <f t="array" ref="AG1094">IFERROR(INDEX(DaybyDay[],DaybyDay[[#This Row],[FORM_MATCH_HELPER]],8),"")</f>
        <v>12</v>
      </c>
      <c r="AH1094" s="39" cm="1">
        <f t="array" ref="AH1094">IFERROR(INDEX(DaybyDay[],DaybyDay[[#This Row],[FORM_MATCH_HELPER]],10),"")</f>
        <v>3801</v>
      </c>
      <c r="AI1094" s="39" cm="1">
        <f t="array" ref="AI1094">IFERROR(INDEX(DaybyDay[],DaybyDay[[#This Row],[FORM_MATCH_HELPER]],12),"")</f>
        <v>192.95</v>
      </c>
      <c r="AJ1094" s="32">
        <f>IFERROR(DaybyDay[[#This Row],[Serv-LY-RU]]+DaybyDay[[#This Row],[Ret-LY-RU]],"")</f>
        <v>0</v>
      </c>
      <c r="AK10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4" s="77"/>
      <c r="AM1094" s="40" t="str">
        <f>IF(DaybyDay[[#This Row],[Admin Hours]]&gt;0,DaybyDay[[#This Row],[Admin Hours]]*$AM$2+$AM$3,"")</f>
        <v/>
      </c>
      <c r="AN1094" s="40">
        <f>SUMIFS(DaybyDay[Est-Admin-Payroll],DaybyDay[Date],"&gt;="&amp;$C$5,DaybyDay[RowYear],"&gt;="&amp;$C$4,DaybyDay[Date],"&lt;="&amp;DaybyDay[[#This Row],[Date]])</f>
        <v>0</v>
      </c>
      <c r="AO1094" s="41" t="str">
        <f>IF(AND(DaybyDay[[#This Row],[_Space]],ISNUMBER(DaybyDay[[#This Row],[Admin Hours]])),DaybyDay[[#This Row],[Est-Admin-Payroll]]/(DaybyDay[[#This Row],[Service-Actuals]]+DaybyDay[[#This Row],[Retail-Actuals]]),"")</f>
        <v/>
      </c>
      <c r="AP1094" s="41" t="e">
        <f>DaybyDay[[#This Row],[Estimated-Payroll-Rollup]]/DaybyDay[[#This Row],[Simple-Forecast]]</f>
        <v>#DIV/0!</v>
      </c>
      <c r="AQ10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4" s="77"/>
      <c r="AS1094" s="40" t="str">
        <f>IF(DaybyDay[[#This Row],[Retail Hours]]&gt;0,DaybyDay[[#This Row],[Retail Hours]]*$AS$2,"")</f>
        <v/>
      </c>
      <c r="AT1094" s="40">
        <f>SUMIFS(DaybyDay[Est-Retail-Payroll],DaybyDay[Date],"&gt;="&amp;$C$5,DaybyDay[RowYear],"&gt;="&amp;$C$4,DaybyDay[Date],"&lt;="&amp;DaybyDay[[#This Row],[Date]])</f>
        <v>0</v>
      </c>
      <c r="AU1094" s="82" t="str">
        <f>IF(AND(DaybyDay[[#This Row],[_Space]],ISNUMBER(DaybyDay[[#This Row],[Retail Hours]])),DaybyDay[[#This Row],[Est-Retail-Payroll]]/(DaybyDay[[#This Row],[Retail-Actuals]]),"")</f>
        <v/>
      </c>
      <c r="AV1094" s="82" t="e">
        <f>DaybyDay[[#This Row],[Est-Retail-PayrollRU]]/DaybyDay[[#This Row],[Simple-Forecast-Retail]]</f>
        <v>#DIV/0!</v>
      </c>
      <c r="AW1094" s="8"/>
      <c r="AX1094" s="15"/>
      <c r="AY1094" s="8"/>
    </row>
    <row r="1095" spans="3:51" hidden="1" x14ac:dyDescent="0.25">
      <c r="C1095" s="26" t="str">
        <f>Tools!$C$1</f>
        <v>Example</v>
      </c>
      <c r="D1095" s="27" t="s">
        <v>79</v>
      </c>
      <c r="E1095" s="28">
        <v>2019</v>
      </c>
      <c r="F1095" s="28">
        <f>MATCH(DaybyDay[[#This Row],[RowMonth]],Table3[SummaryMonth],0)</f>
        <v>12</v>
      </c>
      <c r="G1095" s="29">
        <f>MATCH(DaybyDay[[#This Row],[LY-Date]],DaybyDay[Date],0)</f>
        <v>725</v>
      </c>
      <c r="H1095" s="30">
        <f>WEEKDAY(DaybyDay[[#This Row],[Date]])</f>
        <v>4</v>
      </c>
      <c r="I1095" s="31">
        <v>43824</v>
      </c>
      <c r="J1095" s="74">
        <v>15</v>
      </c>
      <c r="K1095" s="32">
        <f>SUMIFS(BudgetSeasonality[365 Seasonality],BudgetSeasonality[MonthAdjustment],DaybyDay[[#This Row],[Date]])*SUMIFS(Budgets[Service-Budget],Budgets[BudgetMonth],DaybyDay[[#This Row],[RowMonth]],Budgets[BudgetYear],DaybyDay[[#This Row],[RowYear]])</f>
        <v>5166.2246255074406</v>
      </c>
      <c r="L1095" s="75">
        <v>3774</v>
      </c>
      <c r="M1095" s="32">
        <f>INDEX(BudgetSeasonality[365 Seasonality],MATCH(DaybyDay[[#This Row],[Date]],BudgetSeasonality[MonthAdjustment],0))*SUMIFS(Budgets[Retail-Budget],Budgets[BudgetMonth],DaybyDay[[#This Row],[RowMonth]],Budgets[BudgetYear],DaybyDay[[#This Row],[RowYear]])</f>
        <v>1280.9263500429154</v>
      </c>
      <c r="N1095" s="75">
        <v>361</v>
      </c>
      <c r="O1095" s="33">
        <f>SUMIFS(DaybyDay[Service-Budgets],DaybyDay[Date],"&gt;="&amp;$C$5,DaybyDay[RowYear],"&gt;="&amp;$C$4,DaybyDay[Date],"&lt;="&amp;DaybyDay[[#This Row],[Date]])</f>
        <v>0</v>
      </c>
      <c r="P1095" s="33">
        <f>SUMIFS(DaybyDay[Retail-Budgets],DaybyDay[Date],"&gt;="&amp;$C$5,DaybyDay[RowYear],"&gt;="&amp;$C$4,DaybyDay[Date],"&lt;="&amp;DaybyDay[[#This Row],[Date]])</f>
        <v>0</v>
      </c>
      <c r="Q1095" s="34">
        <f>SUMIFS(DaybyDay[Service-Actuals],DaybyDay[Date],"&gt;="&amp;$C$5,DaybyDay[RowYear],"&gt;="&amp;$C$4,DaybyDay[Date],"&lt;="&amp;DaybyDay[[#This Row],[Date]])</f>
        <v>0</v>
      </c>
      <c r="R1095" s="34">
        <f>SUMIFS(DaybyDay[Retail-Actuals],DaybyDay[Date],"&gt;="&amp;$C$5,DaybyDay[RowYear],"&gt;="&amp;$C$4,DaybyDay[Date],"&lt;="&amp;DaybyDay[[#This Row],[Date]])</f>
        <v>0</v>
      </c>
      <c r="S1095" s="35">
        <f>SUMIFS(DaybyDay[Service-LY],DaybyDay[Date],"&gt;="&amp;$C$5,DaybyDay[RowYear],"&gt;="&amp;$C$4,DaybyDay[Date],"&lt;="&amp;DaybyDay[[#This Row],[Date]])</f>
        <v>0</v>
      </c>
      <c r="T1095" s="35">
        <f>SUMIFS(DaybyDay[Retail-LY],DaybyDay[Date],"&gt;="&amp;$C$5,DaybyDay[RowYear],"&gt;="&amp;$C$4,DaybyDay[Date],"&lt;="&amp;DaybyDay[[#This Row],[Date]])</f>
        <v>0</v>
      </c>
      <c r="U1095" s="32">
        <f>DaybyDay[[#This Row],[Serv-Bud-RU]]+DaybyDay[[#This Row],[Ret-Bud-RU]]</f>
        <v>0</v>
      </c>
      <c r="V1095" s="32">
        <f>DaybyDay[[#This Row],[Serv-Act-RU]]+DaybyDay[[#This Row],[Ret-Act-RU]]</f>
        <v>0</v>
      </c>
      <c r="W1095" s="36">
        <f>IF(DaybyDay[[#This Row],[_Space]],IFERROR(
((DaybyDay[[#This Row],[Actual-Rollup]]-DaybyDay[[#This Row],[Budget-Rollup]])/DaybyDay[[#This Row],[Budget-Rollup]]),0),"")</f>
        <v>0</v>
      </c>
      <c r="X1095" t="b">
        <f>NOT(AND(ISBLANK(DaybyDay[[#This Row],[Appts]]),ISBLANK(DaybyDay[[#This Row],[Service-Actuals]]),ISBLANK(DaybyDay[[#This Row],[Retail-Actuals]])))</f>
        <v>1</v>
      </c>
      <c r="Y1095" s="36">
        <f>IF(DaybyDay[[#This Row],[_Space]],IFERROR(
((DaybyDay[[#This Row],[Actual-Rollup]]-DaybyDay[[#This Row],[LY-Rollup]])/DaybyDay[[#This Row],[LY-Rollup]]),0),"")</f>
        <v>0</v>
      </c>
      <c r="Z1095"/>
      <c r="AA1095" s="37" t="e">
        <f>IF(DaybyDay[[#This Row],[_Space]],DaybyDay[[#This Row],[Ret-Act-RU]]/DaybyDay[[#This Row],[Serv-Act-RU]],"")</f>
        <v>#DIV/0!</v>
      </c>
      <c r="AB1095" s="50" t="e">
        <f>IF(DaybyDay[[#This Row],[_Space]],DaybyDay[[#This Row],[RETPEN-Act]]/DaybyDay[[#This Row],[RETPEN-Bud]],"")</f>
        <v>#DIV/0!</v>
      </c>
      <c r="AC1095" s="37" t="e">
        <f>IF(DaybyDay[[#This Row],[_Space]],DaybyDay[[#This Row],[Ret-Bud-RU]]/DaybyDay[[#This Row],[Serv-Bud-RU]],"")</f>
        <v>#DIV/0!</v>
      </c>
      <c r="AD1095" s="37" t="e">
        <f>IF(DaybyDay[[#This Row],[_Space]],DaybyDay[[#This Row],[Ret-LY-RU]]/DaybyDay[[#This Row],[Serv-LY-RU]],"")</f>
        <v>#DIV/0!</v>
      </c>
      <c r="AE1095" s="30">
        <f>WEEKDAY(DaybyDay[[#This Row],[LY-Date]])</f>
        <v>4</v>
      </c>
      <c r="AF1095" s="38">
        <f>$E$2+_xlfn.DAYS(DaybyDay[[#This Row],[Date]],minDate)</f>
        <v>43460</v>
      </c>
      <c r="AG1095" s="39" cm="1">
        <f t="array" ref="AG1095">IFERROR(INDEX(DaybyDay[],DaybyDay[[#This Row],[FORM_MATCH_HELPER]],8),"")</f>
        <v>14</v>
      </c>
      <c r="AH1095" s="39" cm="1">
        <f t="array" ref="AH1095">IFERROR(INDEX(DaybyDay[],DaybyDay[[#This Row],[FORM_MATCH_HELPER]],10),"")</f>
        <v>2701.05</v>
      </c>
      <c r="AI1095" s="39" cm="1">
        <f t="array" ref="AI1095">IFERROR(INDEX(DaybyDay[],DaybyDay[[#This Row],[FORM_MATCH_HELPER]],12),"")</f>
        <v>208</v>
      </c>
      <c r="AJ1095" s="32">
        <f>IFERROR(DaybyDay[[#This Row],[Serv-LY-RU]]+DaybyDay[[#This Row],[Ret-LY-RU]],"")</f>
        <v>0</v>
      </c>
      <c r="AK10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5" s="77"/>
      <c r="AM1095" s="40" t="str">
        <f>IF(DaybyDay[[#This Row],[Admin Hours]]&gt;0,DaybyDay[[#This Row],[Admin Hours]]*$AM$2+$AM$3,"")</f>
        <v/>
      </c>
      <c r="AN1095" s="40">
        <f>SUMIFS(DaybyDay[Est-Admin-Payroll],DaybyDay[Date],"&gt;="&amp;$C$5,DaybyDay[RowYear],"&gt;="&amp;$C$4,DaybyDay[Date],"&lt;="&amp;DaybyDay[[#This Row],[Date]])</f>
        <v>0</v>
      </c>
      <c r="AO1095" s="41" t="str">
        <f>IF(AND(DaybyDay[[#This Row],[_Space]],ISNUMBER(DaybyDay[[#This Row],[Admin Hours]])),DaybyDay[[#This Row],[Est-Admin-Payroll]]/(DaybyDay[[#This Row],[Service-Actuals]]+DaybyDay[[#This Row],[Retail-Actuals]]),"")</f>
        <v/>
      </c>
      <c r="AP1095" s="41" t="e">
        <f>DaybyDay[[#This Row],[Estimated-Payroll-Rollup]]/DaybyDay[[#This Row],[Simple-Forecast]]</f>
        <v>#DIV/0!</v>
      </c>
      <c r="AQ10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5" s="77"/>
      <c r="AS1095" s="40" t="str">
        <f>IF(DaybyDay[[#This Row],[Retail Hours]]&gt;0,DaybyDay[[#This Row],[Retail Hours]]*$AS$2,"")</f>
        <v/>
      </c>
      <c r="AT1095" s="40">
        <f>SUMIFS(DaybyDay[Est-Retail-Payroll],DaybyDay[Date],"&gt;="&amp;$C$5,DaybyDay[RowYear],"&gt;="&amp;$C$4,DaybyDay[Date],"&lt;="&amp;DaybyDay[[#This Row],[Date]])</f>
        <v>0</v>
      </c>
      <c r="AU1095" s="82" t="str">
        <f>IF(AND(DaybyDay[[#This Row],[_Space]],ISNUMBER(DaybyDay[[#This Row],[Retail Hours]])),DaybyDay[[#This Row],[Est-Retail-Payroll]]/(DaybyDay[[#This Row],[Retail-Actuals]]),"")</f>
        <v/>
      </c>
      <c r="AV1095" s="82" t="e">
        <f>DaybyDay[[#This Row],[Est-Retail-PayrollRU]]/DaybyDay[[#This Row],[Simple-Forecast-Retail]]</f>
        <v>#DIV/0!</v>
      </c>
      <c r="AW1095" s="8"/>
      <c r="AX1095" s="15"/>
      <c r="AY1095" s="8"/>
    </row>
    <row r="1096" spans="3:51" hidden="1" x14ac:dyDescent="0.25">
      <c r="C1096" s="26" t="str">
        <f>Tools!$C$1</f>
        <v>Example</v>
      </c>
      <c r="D1096" s="27" t="s">
        <v>79</v>
      </c>
      <c r="E1096" s="28">
        <v>2019</v>
      </c>
      <c r="F1096" s="28">
        <f>MATCH(DaybyDay[[#This Row],[RowMonth]],Table3[SummaryMonth],0)</f>
        <v>12</v>
      </c>
      <c r="G1096" s="29">
        <f>MATCH(DaybyDay[[#This Row],[LY-Date]],DaybyDay[Date],0)</f>
        <v>726</v>
      </c>
      <c r="H1096" s="30">
        <f>WEEKDAY(DaybyDay[[#This Row],[Date]])</f>
        <v>5</v>
      </c>
      <c r="I1096" s="31">
        <v>43825</v>
      </c>
      <c r="J1096" s="74">
        <v>24</v>
      </c>
      <c r="K1096" s="32">
        <f>SUMIFS(BudgetSeasonality[365 Seasonality],BudgetSeasonality[MonthAdjustment],DaybyDay[[#This Row],[Date]])*SUMIFS(Budgets[Service-Budget],Budgets[BudgetMonth],DaybyDay[[#This Row],[RowMonth]],Budgets[BudgetYear],DaybyDay[[#This Row],[RowYear]])</f>
        <v>4372.7856672836324</v>
      </c>
      <c r="L1096" s="75">
        <v>5242.8</v>
      </c>
      <c r="M1096" s="32">
        <f>INDEX(BudgetSeasonality[365 Seasonality],MATCH(DaybyDay[[#This Row],[Date]],BudgetSeasonality[MonthAdjustment],0))*SUMIFS(Budgets[Retail-Budget],Budgets[BudgetMonth],DaybyDay[[#This Row],[RowMonth]],Budgets[BudgetYear],DaybyDay[[#This Row],[RowYear]])</f>
        <v>1084.1991570901605</v>
      </c>
      <c r="N1096" s="75">
        <v>156.30000000000001</v>
      </c>
      <c r="O1096" s="33">
        <f>SUMIFS(DaybyDay[Service-Budgets],DaybyDay[Date],"&gt;="&amp;$C$5,DaybyDay[RowYear],"&gt;="&amp;$C$4,DaybyDay[Date],"&lt;="&amp;DaybyDay[[#This Row],[Date]])</f>
        <v>0</v>
      </c>
      <c r="P1096" s="33">
        <f>SUMIFS(DaybyDay[Retail-Budgets],DaybyDay[Date],"&gt;="&amp;$C$5,DaybyDay[RowYear],"&gt;="&amp;$C$4,DaybyDay[Date],"&lt;="&amp;DaybyDay[[#This Row],[Date]])</f>
        <v>0</v>
      </c>
      <c r="Q1096" s="34">
        <f>SUMIFS(DaybyDay[Service-Actuals],DaybyDay[Date],"&gt;="&amp;$C$5,DaybyDay[RowYear],"&gt;="&amp;$C$4,DaybyDay[Date],"&lt;="&amp;DaybyDay[[#This Row],[Date]])</f>
        <v>0</v>
      </c>
      <c r="R1096" s="34">
        <f>SUMIFS(DaybyDay[Retail-Actuals],DaybyDay[Date],"&gt;="&amp;$C$5,DaybyDay[RowYear],"&gt;="&amp;$C$4,DaybyDay[Date],"&lt;="&amp;DaybyDay[[#This Row],[Date]])</f>
        <v>0</v>
      </c>
      <c r="S1096" s="35">
        <f>SUMIFS(DaybyDay[Service-LY],DaybyDay[Date],"&gt;="&amp;$C$5,DaybyDay[RowYear],"&gt;="&amp;$C$4,DaybyDay[Date],"&lt;="&amp;DaybyDay[[#This Row],[Date]])</f>
        <v>0</v>
      </c>
      <c r="T1096" s="35">
        <f>SUMIFS(DaybyDay[Retail-LY],DaybyDay[Date],"&gt;="&amp;$C$5,DaybyDay[RowYear],"&gt;="&amp;$C$4,DaybyDay[Date],"&lt;="&amp;DaybyDay[[#This Row],[Date]])</f>
        <v>0</v>
      </c>
      <c r="U1096" s="32">
        <f>DaybyDay[[#This Row],[Serv-Bud-RU]]+DaybyDay[[#This Row],[Ret-Bud-RU]]</f>
        <v>0</v>
      </c>
      <c r="V1096" s="32">
        <f>DaybyDay[[#This Row],[Serv-Act-RU]]+DaybyDay[[#This Row],[Ret-Act-RU]]</f>
        <v>0</v>
      </c>
      <c r="W1096" s="36">
        <f>IF(DaybyDay[[#This Row],[_Space]],IFERROR(
((DaybyDay[[#This Row],[Actual-Rollup]]-DaybyDay[[#This Row],[Budget-Rollup]])/DaybyDay[[#This Row],[Budget-Rollup]]),0),"")</f>
        <v>0</v>
      </c>
      <c r="X1096" t="b">
        <f>NOT(AND(ISBLANK(DaybyDay[[#This Row],[Appts]]),ISBLANK(DaybyDay[[#This Row],[Service-Actuals]]),ISBLANK(DaybyDay[[#This Row],[Retail-Actuals]])))</f>
        <v>1</v>
      </c>
      <c r="Y1096" s="36">
        <f>IF(DaybyDay[[#This Row],[_Space]],IFERROR(
((DaybyDay[[#This Row],[Actual-Rollup]]-DaybyDay[[#This Row],[LY-Rollup]])/DaybyDay[[#This Row],[LY-Rollup]]),0),"")</f>
        <v>0</v>
      </c>
      <c r="Z1096"/>
      <c r="AA1096" s="37" t="e">
        <f>IF(DaybyDay[[#This Row],[_Space]],DaybyDay[[#This Row],[Ret-Act-RU]]/DaybyDay[[#This Row],[Serv-Act-RU]],"")</f>
        <v>#DIV/0!</v>
      </c>
      <c r="AB1096" s="50" t="e">
        <f>IF(DaybyDay[[#This Row],[_Space]],DaybyDay[[#This Row],[RETPEN-Act]]/DaybyDay[[#This Row],[RETPEN-Bud]],"")</f>
        <v>#DIV/0!</v>
      </c>
      <c r="AC1096" s="37" t="e">
        <f>IF(DaybyDay[[#This Row],[_Space]],DaybyDay[[#This Row],[Ret-Bud-RU]]/DaybyDay[[#This Row],[Serv-Bud-RU]],"")</f>
        <v>#DIV/0!</v>
      </c>
      <c r="AD1096" s="37" t="e">
        <f>IF(DaybyDay[[#This Row],[_Space]],DaybyDay[[#This Row],[Ret-LY-RU]]/DaybyDay[[#This Row],[Serv-LY-RU]],"")</f>
        <v>#DIV/0!</v>
      </c>
      <c r="AE1096" s="30">
        <f>WEEKDAY(DaybyDay[[#This Row],[LY-Date]])</f>
        <v>5</v>
      </c>
      <c r="AF1096" s="38">
        <f>$E$2+_xlfn.DAYS(DaybyDay[[#This Row],[Date]],minDate)</f>
        <v>43461</v>
      </c>
      <c r="AG1096" s="39" cm="1">
        <f t="array" ref="AG1096">IFERROR(INDEX(DaybyDay[],DaybyDay[[#This Row],[FORM_MATCH_HELPER]],8),"")</f>
        <v>28</v>
      </c>
      <c r="AH1096" s="39" cm="1">
        <f t="array" ref="AH1096">IFERROR(INDEX(DaybyDay[],DaybyDay[[#This Row],[FORM_MATCH_HELPER]],10),"")</f>
        <v>5702.05</v>
      </c>
      <c r="AI1096" s="39" cm="1">
        <f t="array" ref="AI1096">IFERROR(INDEX(DaybyDay[],DaybyDay[[#This Row],[FORM_MATCH_HELPER]],12),"")</f>
        <v>2146</v>
      </c>
      <c r="AJ1096" s="32">
        <f>IFERROR(DaybyDay[[#This Row],[Serv-LY-RU]]+DaybyDay[[#This Row],[Ret-LY-RU]],"")</f>
        <v>0</v>
      </c>
      <c r="AK10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6" s="77"/>
      <c r="AM1096" s="40" t="str">
        <f>IF(DaybyDay[[#This Row],[Admin Hours]]&gt;0,DaybyDay[[#This Row],[Admin Hours]]*$AM$2+$AM$3,"")</f>
        <v/>
      </c>
      <c r="AN1096" s="40">
        <f>SUMIFS(DaybyDay[Est-Admin-Payroll],DaybyDay[Date],"&gt;="&amp;$C$5,DaybyDay[RowYear],"&gt;="&amp;$C$4,DaybyDay[Date],"&lt;="&amp;DaybyDay[[#This Row],[Date]])</f>
        <v>0</v>
      </c>
      <c r="AO1096" s="41" t="str">
        <f>IF(AND(DaybyDay[[#This Row],[_Space]],ISNUMBER(DaybyDay[[#This Row],[Admin Hours]])),DaybyDay[[#This Row],[Est-Admin-Payroll]]/(DaybyDay[[#This Row],[Service-Actuals]]+DaybyDay[[#This Row],[Retail-Actuals]]),"")</f>
        <v/>
      </c>
      <c r="AP1096" s="41" t="e">
        <f>DaybyDay[[#This Row],[Estimated-Payroll-Rollup]]/DaybyDay[[#This Row],[Simple-Forecast]]</f>
        <v>#DIV/0!</v>
      </c>
      <c r="AQ10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6" s="77"/>
      <c r="AS1096" s="40" t="str">
        <f>IF(DaybyDay[[#This Row],[Retail Hours]]&gt;0,DaybyDay[[#This Row],[Retail Hours]]*$AS$2,"")</f>
        <v/>
      </c>
      <c r="AT1096" s="40">
        <f>SUMIFS(DaybyDay[Est-Retail-Payroll],DaybyDay[Date],"&gt;="&amp;$C$5,DaybyDay[RowYear],"&gt;="&amp;$C$4,DaybyDay[Date],"&lt;="&amp;DaybyDay[[#This Row],[Date]])</f>
        <v>0</v>
      </c>
      <c r="AU1096" s="82" t="str">
        <f>IF(AND(DaybyDay[[#This Row],[_Space]],ISNUMBER(DaybyDay[[#This Row],[Retail Hours]])),DaybyDay[[#This Row],[Est-Retail-Payroll]]/(DaybyDay[[#This Row],[Retail-Actuals]]),"")</f>
        <v/>
      </c>
      <c r="AV1096" s="82" t="e">
        <f>DaybyDay[[#This Row],[Est-Retail-PayrollRU]]/DaybyDay[[#This Row],[Simple-Forecast-Retail]]</f>
        <v>#DIV/0!</v>
      </c>
      <c r="AW1096" s="8"/>
      <c r="AX1096" s="15"/>
      <c r="AY1096" s="8"/>
    </row>
    <row r="1097" spans="3:51" hidden="1" x14ac:dyDescent="0.25">
      <c r="C1097" s="26" t="str">
        <f>Tools!$C$1</f>
        <v>Example</v>
      </c>
      <c r="D1097" s="27" t="s">
        <v>79</v>
      </c>
      <c r="E1097" s="28">
        <v>2019</v>
      </c>
      <c r="F1097" s="28">
        <f>MATCH(DaybyDay[[#This Row],[RowMonth]],Table3[SummaryMonth],0)</f>
        <v>12</v>
      </c>
      <c r="G1097" s="29">
        <f>MATCH(DaybyDay[[#This Row],[LY-Date]],DaybyDay[Date],0)</f>
        <v>727</v>
      </c>
      <c r="H1097" s="30">
        <f>WEEKDAY(DaybyDay[[#This Row],[Date]])</f>
        <v>6</v>
      </c>
      <c r="I1097" s="31">
        <v>43826</v>
      </c>
      <c r="J1097" s="74">
        <v>34</v>
      </c>
      <c r="K1097" s="32">
        <f>SUMIFS(BudgetSeasonality[365 Seasonality],BudgetSeasonality[MonthAdjustment],DaybyDay[[#This Row],[Date]])*SUMIFS(Budgets[Service-Budget],Budgets[BudgetMonth],DaybyDay[[#This Row],[RowMonth]],Budgets[BudgetYear],DaybyDay[[#This Row],[RowYear]])</f>
        <v>7425.2672165444328</v>
      </c>
      <c r="L1097" s="75">
        <v>6646.0999999999995</v>
      </c>
      <c r="M1097" s="32">
        <f>INDEX(BudgetSeasonality[365 Seasonality],MATCH(DaybyDay[[#This Row],[Date]],BudgetSeasonality[MonthAdjustment],0))*SUMIFS(Budgets[Retail-Budget],Budgets[BudgetMonth],DaybyDay[[#This Row],[RowMonth]],Budgets[BudgetYear],DaybyDay[[#This Row],[RowYear]])</f>
        <v>1841.0388868539296</v>
      </c>
      <c r="N1097" s="75">
        <v>2846.8</v>
      </c>
      <c r="O1097" s="33">
        <f>SUMIFS(DaybyDay[Service-Budgets],DaybyDay[Date],"&gt;="&amp;$C$5,DaybyDay[RowYear],"&gt;="&amp;$C$4,DaybyDay[Date],"&lt;="&amp;DaybyDay[[#This Row],[Date]])</f>
        <v>0</v>
      </c>
      <c r="P1097" s="33">
        <f>SUMIFS(DaybyDay[Retail-Budgets],DaybyDay[Date],"&gt;="&amp;$C$5,DaybyDay[RowYear],"&gt;="&amp;$C$4,DaybyDay[Date],"&lt;="&amp;DaybyDay[[#This Row],[Date]])</f>
        <v>0</v>
      </c>
      <c r="Q1097" s="34">
        <f>SUMIFS(DaybyDay[Service-Actuals],DaybyDay[Date],"&gt;="&amp;$C$5,DaybyDay[RowYear],"&gt;="&amp;$C$4,DaybyDay[Date],"&lt;="&amp;DaybyDay[[#This Row],[Date]])</f>
        <v>0</v>
      </c>
      <c r="R1097" s="34">
        <f>SUMIFS(DaybyDay[Retail-Actuals],DaybyDay[Date],"&gt;="&amp;$C$5,DaybyDay[RowYear],"&gt;="&amp;$C$4,DaybyDay[Date],"&lt;="&amp;DaybyDay[[#This Row],[Date]])</f>
        <v>0</v>
      </c>
      <c r="S1097" s="35">
        <f>SUMIFS(DaybyDay[Service-LY],DaybyDay[Date],"&gt;="&amp;$C$5,DaybyDay[RowYear],"&gt;="&amp;$C$4,DaybyDay[Date],"&lt;="&amp;DaybyDay[[#This Row],[Date]])</f>
        <v>0</v>
      </c>
      <c r="T1097" s="35">
        <f>SUMIFS(DaybyDay[Retail-LY],DaybyDay[Date],"&gt;="&amp;$C$5,DaybyDay[RowYear],"&gt;="&amp;$C$4,DaybyDay[Date],"&lt;="&amp;DaybyDay[[#This Row],[Date]])</f>
        <v>0</v>
      </c>
      <c r="U1097" s="32">
        <f>DaybyDay[[#This Row],[Serv-Bud-RU]]+DaybyDay[[#This Row],[Ret-Bud-RU]]</f>
        <v>0</v>
      </c>
      <c r="V1097" s="32">
        <f>DaybyDay[[#This Row],[Serv-Act-RU]]+DaybyDay[[#This Row],[Ret-Act-RU]]</f>
        <v>0</v>
      </c>
      <c r="W1097" s="36">
        <f>IF(DaybyDay[[#This Row],[_Space]],IFERROR(
((DaybyDay[[#This Row],[Actual-Rollup]]-DaybyDay[[#This Row],[Budget-Rollup]])/DaybyDay[[#This Row],[Budget-Rollup]]),0),"")</f>
        <v>0</v>
      </c>
      <c r="X1097" t="b">
        <f>NOT(AND(ISBLANK(DaybyDay[[#This Row],[Appts]]),ISBLANK(DaybyDay[[#This Row],[Service-Actuals]]),ISBLANK(DaybyDay[[#This Row],[Retail-Actuals]])))</f>
        <v>1</v>
      </c>
      <c r="Y1097" s="36">
        <f>IF(DaybyDay[[#This Row],[_Space]],IFERROR(
((DaybyDay[[#This Row],[Actual-Rollup]]-DaybyDay[[#This Row],[LY-Rollup]])/DaybyDay[[#This Row],[LY-Rollup]]),0),"")</f>
        <v>0</v>
      </c>
      <c r="Z1097"/>
      <c r="AA1097" s="37" t="e">
        <f>IF(DaybyDay[[#This Row],[_Space]],DaybyDay[[#This Row],[Ret-Act-RU]]/DaybyDay[[#This Row],[Serv-Act-RU]],"")</f>
        <v>#DIV/0!</v>
      </c>
      <c r="AB1097" s="50" t="e">
        <f>IF(DaybyDay[[#This Row],[_Space]],DaybyDay[[#This Row],[RETPEN-Act]]/DaybyDay[[#This Row],[RETPEN-Bud]],"")</f>
        <v>#DIV/0!</v>
      </c>
      <c r="AC1097" s="37" t="e">
        <f>IF(DaybyDay[[#This Row],[_Space]],DaybyDay[[#This Row],[Ret-Bud-RU]]/DaybyDay[[#This Row],[Serv-Bud-RU]],"")</f>
        <v>#DIV/0!</v>
      </c>
      <c r="AD1097" s="37" t="e">
        <f>IF(DaybyDay[[#This Row],[_Space]],DaybyDay[[#This Row],[Ret-LY-RU]]/DaybyDay[[#This Row],[Serv-LY-RU]],"")</f>
        <v>#DIV/0!</v>
      </c>
      <c r="AE1097" s="30">
        <f>WEEKDAY(DaybyDay[[#This Row],[LY-Date]])</f>
        <v>6</v>
      </c>
      <c r="AF1097" s="38">
        <f>$E$2+_xlfn.DAYS(DaybyDay[[#This Row],[Date]],minDate)</f>
        <v>43462</v>
      </c>
      <c r="AG1097" s="39" cm="1">
        <f t="array" ref="AG1097">IFERROR(INDEX(DaybyDay[],DaybyDay[[#This Row],[FORM_MATCH_HELPER]],8),"")</f>
        <v>28</v>
      </c>
      <c r="AH1097" s="39" cm="1">
        <f t="array" ref="AH1097">IFERROR(INDEX(DaybyDay[],DaybyDay[[#This Row],[FORM_MATCH_HELPER]],10),"")</f>
        <v>7004.2</v>
      </c>
      <c r="AI1097" s="39" cm="1">
        <f t="array" ref="AI1097">IFERROR(INDEX(DaybyDay[],DaybyDay[[#This Row],[FORM_MATCH_HELPER]],12),"")</f>
        <v>1128.5</v>
      </c>
      <c r="AJ1097" s="32">
        <f>IFERROR(DaybyDay[[#This Row],[Serv-LY-RU]]+DaybyDay[[#This Row],[Ret-LY-RU]],"")</f>
        <v>0</v>
      </c>
      <c r="AK10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7" s="77"/>
      <c r="AM1097" s="40" t="str">
        <f>IF(DaybyDay[[#This Row],[Admin Hours]]&gt;0,DaybyDay[[#This Row],[Admin Hours]]*$AM$2+$AM$3,"")</f>
        <v/>
      </c>
      <c r="AN1097" s="40">
        <f>SUMIFS(DaybyDay[Est-Admin-Payroll],DaybyDay[Date],"&gt;="&amp;$C$5,DaybyDay[RowYear],"&gt;="&amp;$C$4,DaybyDay[Date],"&lt;="&amp;DaybyDay[[#This Row],[Date]])</f>
        <v>0</v>
      </c>
      <c r="AO1097" s="41" t="str">
        <f>IF(AND(DaybyDay[[#This Row],[_Space]],ISNUMBER(DaybyDay[[#This Row],[Admin Hours]])),DaybyDay[[#This Row],[Est-Admin-Payroll]]/(DaybyDay[[#This Row],[Service-Actuals]]+DaybyDay[[#This Row],[Retail-Actuals]]),"")</f>
        <v/>
      </c>
      <c r="AP1097" s="41" t="e">
        <f>DaybyDay[[#This Row],[Estimated-Payroll-Rollup]]/DaybyDay[[#This Row],[Simple-Forecast]]</f>
        <v>#DIV/0!</v>
      </c>
      <c r="AQ10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7" s="77"/>
      <c r="AS1097" s="40" t="str">
        <f>IF(DaybyDay[[#This Row],[Retail Hours]]&gt;0,DaybyDay[[#This Row],[Retail Hours]]*$AS$2,"")</f>
        <v/>
      </c>
      <c r="AT1097" s="40">
        <f>SUMIFS(DaybyDay[Est-Retail-Payroll],DaybyDay[Date],"&gt;="&amp;$C$5,DaybyDay[RowYear],"&gt;="&amp;$C$4,DaybyDay[Date],"&lt;="&amp;DaybyDay[[#This Row],[Date]])</f>
        <v>0</v>
      </c>
      <c r="AU1097" s="82" t="str">
        <f>IF(AND(DaybyDay[[#This Row],[_Space]],ISNUMBER(DaybyDay[[#This Row],[Retail Hours]])),DaybyDay[[#This Row],[Est-Retail-Payroll]]/(DaybyDay[[#This Row],[Retail-Actuals]]),"")</f>
        <v/>
      </c>
      <c r="AV1097" s="82" t="e">
        <f>DaybyDay[[#This Row],[Est-Retail-PayrollRU]]/DaybyDay[[#This Row],[Simple-Forecast-Retail]]</f>
        <v>#DIV/0!</v>
      </c>
      <c r="AW1097" s="8"/>
      <c r="AX1097" s="15"/>
      <c r="AY1097" s="8"/>
    </row>
    <row r="1098" spans="3:51" hidden="1" x14ac:dyDescent="0.25">
      <c r="C1098" s="26" t="str">
        <f>Tools!$C$1</f>
        <v>Example</v>
      </c>
      <c r="D1098" s="27" t="s">
        <v>79</v>
      </c>
      <c r="E1098" s="28">
        <v>2019</v>
      </c>
      <c r="F1098" s="28">
        <f>MATCH(DaybyDay[[#This Row],[RowMonth]],Table3[SummaryMonth],0)</f>
        <v>12</v>
      </c>
      <c r="G1098" s="29">
        <f>MATCH(DaybyDay[[#This Row],[LY-Date]],DaybyDay[Date],0)</f>
        <v>728</v>
      </c>
      <c r="H1098" s="30">
        <f>WEEKDAY(DaybyDay[[#This Row],[Date]])</f>
        <v>7</v>
      </c>
      <c r="I1098" s="31">
        <v>43827</v>
      </c>
      <c r="J1098" s="74">
        <v>43</v>
      </c>
      <c r="K1098" s="32">
        <f>SUMIFS(BudgetSeasonality[365 Seasonality],BudgetSeasonality[MonthAdjustment],DaybyDay[[#This Row],[Date]])*SUMIFS(Budgets[Service-Budget],Budgets[BudgetMonth],DaybyDay[[#This Row],[RowMonth]],Budgets[BudgetYear],DaybyDay[[#This Row],[RowYear]])</f>
        <v>9873.5549190270758</v>
      </c>
      <c r="L1098" s="75">
        <v>10632.77</v>
      </c>
      <c r="M1098" s="32">
        <f>INDEX(BudgetSeasonality[365 Seasonality],MATCH(DaybyDay[[#This Row],[Date]],BudgetSeasonality[MonthAdjustment],0))*SUMIFS(Budgets[Retail-Budget],Budgets[BudgetMonth],DaybyDay[[#This Row],[RowMonth]],Budgets[BudgetYear],DaybyDay[[#This Row],[RowYear]])</f>
        <v>2448.0733187507062</v>
      </c>
      <c r="N1098" s="75">
        <v>1803</v>
      </c>
      <c r="O1098" s="33">
        <f>SUMIFS(DaybyDay[Service-Budgets],DaybyDay[Date],"&gt;="&amp;$C$5,DaybyDay[RowYear],"&gt;="&amp;$C$4,DaybyDay[Date],"&lt;="&amp;DaybyDay[[#This Row],[Date]])</f>
        <v>0</v>
      </c>
      <c r="P1098" s="33">
        <f>SUMIFS(DaybyDay[Retail-Budgets],DaybyDay[Date],"&gt;="&amp;$C$5,DaybyDay[RowYear],"&gt;="&amp;$C$4,DaybyDay[Date],"&lt;="&amp;DaybyDay[[#This Row],[Date]])</f>
        <v>0</v>
      </c>
      <c r="Q1098" s="34">
        <f>SUMIFS(DaybyDay[Service-Actuals],DaybyDay[Date],"&gt;="&amp;$C$5,DaybyDay[RowYear],"&gt;="&amp;$C$4,DaybyDay[Date],"&lt;="&amp;DaybyDay[[#This Row],[Date]])</f>
        <v>0</v>
      </c>
      <c r="R1098" s="34">
        <f>SUMIFS(DaybyDay[Retail-Actuals],DaybyDay[Date],"&gt;="&amp;$C$5,DaybyDay[RowYear],"&gt;="&amp;$C$4,DaybyDay[Date],"&lt;="&amp;DaybyDay[[#This Row],[Date]])</f>
        <v>0</v>
      </c>
      <c r="S1098" s="35">
        <f>SUMIFS(DaybyDay[Service-LY],DaybyDay[Date],"&gt;="&amp;$C$5,DaybyDay[RowYear],"&gt;="&amp;$C$4,DaybyDay[Date],"&lt;="&amp;DaybyDay[[#This Row],[Date]])</f>
        <v>0</v>
      </c>
      <c r="T1098" s="35">
        <f>SUMIFS(DaybyDay[Retail-LY],DaybyDay[Date],"&gt;="&amp;$C$5,DaybyDay[RowYear],"&gt;="&amp;$C$4,DaybyDay[Date],"&lt;="&amp;DaybyDay[[#This Row],[Date]])</f>
        <v>0</v>
      </c>
      <c r="U1098" s="32">
        <f>DaybyDay[[#This Row],[Serv-Bud-RU]]+DaybyDay[[#This Row],[Ret-Bud-RU]]</f>
        <v>0</v>
      </c>
      <c r="V1098" s="32">
        <f>DaybyDay[[#This Row],[Serv-Act-RU]]+DaybyDay[[#This Row],[Ret-Act-RU]]</f>
        <v>0</v>
      </c>
      <c r="W1098" s="36">
        <f>IF(DaybyDay[[#This Row],[_Space]],IFERROR(
((DaybyDay[[#This Row],[Actual-Rollup]]-DaybyDay[[#This Row],[Budget-Rollup]])/DaybyDay[[#This Row],[Budget-Rollup]]),0),"")</f>
        <v>0</v>
      </c>
      <c r="X1098" t="b">
        <f>NOT(AND(ISBLANK(DaybyDay[[#This Row],[Appts]]),ISBLANK(DaybyDay[[#This Row],[Service-Actuals]]),ISBLANK(DaybyDay[[#This Row],[Retail-Actuals]])))</f>
        <v>1</v>
      </c>
      <c r="Y1098" s="36">
        <f>IF(DaybyDay[[#This Row],[_Space]],IFERROR(
((DaybyDay[[#This Row],[Actual-Rollup]]-DaybyDay[[#This Row],[LY-Rollup]])/DaybyDay[[#This Row],[LY-Rollup]]),0),"")</f>
        <v>0</v>
      </c>
      <c r="Z1098"/>
      <c r="AA1098" s="37" t="e">
        <f>IF(DaybyDay[[#This Row],[_Space]],DaybyDay[[#This Row],[Ret-Act-RU]]/DaybyDay[[#This Row],[Serv-Act-RU]],"")</f>
        <v>#DIV/0!</v>
      </c>
      <c r="AB1098" s="50" t="e">
        <f>IF(DaybyDay[[#This Row],[_Space]],DaybyDay[[#This Row],[RETPEN-Act]]/DaybyDay[[#This Row],[RETPEN-Bud]],"")</f>
        <v>#DIV/0!</v>
      </c>
      <c r="AC1098" s="37" t="e">
        <f>IF(DaybyDay[[#This Row],[_Space]],DaybyDay[[#This Row],[Ret-Bud-RU]]/DaybyDay[[#This Row],[Serv-Bud-RU]],"")</f>
        <v>#DIV/0!</v>
      </c>
      <c r="AD1098" s="37" t="e">
        <f>IF(DaybyDay[[#This Row],[_Space]],DaybyDay[[#This Row],[Ret-LY-RU]]/DaybyDay[[#This Row],[Serv-LY-RU]],"")</f>
        <v>#DIV/0!</v>
      </c>
      <c r="AE1098" s="30">
        <f>WEEKDAY(DaybyDay[[#This Row],[LY-Date]])</f>
        <v>7</v>
      </c>
      <c r="AF1098" s="38">
        <f>$E$2+_xlfn.DAYS(DaybyDay[[#This Row],[Date]],minDate)</f>
        <v>43463</v>
      </c>
      <c r="AG1098" s="39" cm="1">
        <f t="array" ref="AG1098">IFERROR(INDEX(DaybyDay[],DaybyDay[[#This Row],[FORM_MATCH_HELPER]],8),"")</f>
        <v>30</v>
      </c>
      <c r="AH1098" s="39" cm="1">
        <f t="array" ref="AH1098">IFERROR(INDEX(DaybyDay[],DaybyDay[[#This Row],[FORM_MATCH_HELPER]],10),"")</f>
        <v>8035</v>
      </c>
      <c r="AI1098" s="39" cm="1">
        <f t="array" ref="AI1098">IFERROR(INDEX(DaybyDay[],DaybyDay[[#This Row],[FORM_MATCH_HELPER]],12),"")</f>
        <v>716</v>
      </c>
      <c r="AJ1098" s="32">
        <f>IFERROR(DaybyDay[[#This Row],[Serv-LY-RU]]+DaybyDay[[#This Row],[Ret-LY-RU]],"")</f>
        <v>0</v>
      </c>
      <c r="AK10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8" s="77"/>
      <c r="AM1098" s="40" t="str">
        <f>IF(DaybyDay[[#This Row],[Admin Hours]]&gt;0,DaybyDay[[#This Row],[Admin Hours]]*$AM$2+$AM$3,"")</f>
        <v/>
      </c>
      <c r="AN1098" s="40">
        <f>SUMIFS(DaybyDay[Est-Admin-Payroll],DaybyDay[Date],"&gt;="&amp;$C$5,DaybyDay[RowYear],"&gt;="&amp;$C$4,DaybyDay[Date],"&lt;="&amp;DaybyDay[[#This Row],[Date]])</f>
        <v>0</v>
      </c>
      <c r="AO1098" s="41" t="str">
        <f>IF(AND(DaybyDay[[#This Row],[_Space]],ISNUMBER(DaybyDay[[#This Row],[Admin Hours]])),DaybyDay[[#This Row],[Est-Admin-Payroll]]/(DaybyDay[[#This Row],[Service-Actuals]]+DaybyDay[[#This Row],[Retail-Actuals]]),"")</f>
        <v/>
      </c>
      <c r="AP1098" s="41" t="e">
        <f>DaybyDay[[#This Row],[Estimated-Payroll-Rollup]]/DaybyDay[[#This Row],[Simple-Forecast]]</f>
        <v>#DIV/0!</v>
      </c>
      <c r="AQ10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8" s="77"/>
      <c r="AS1098" s="40" t="str">
        <f>IF(DaybyDay[[#This Row],[Retail Hours]]&gt;0,DaybyDay[[#This Row],[Retail Hours]]*$AS$2,"")</f>
        <v/>
      </c>
      <c r="AT1098" s="40">
        <f>SUMIFS(DaybyDay[Est-Retail-Payroll],DaybyDay[Date],"&gt;="&amp;$C$5,DaybyDay[RowYear],"&gt;="&amp;$C$4,DaybyDay[Date],"&lt;="&amp;DaybyDay[[#This Row],[Date]])</f>
        <v>0</v>
      </c>
      <c r="AU1098" s="82" t="str">
        <f>IF(AND(DaybyDay[[#This Row],[_Space]],ISNUMBER(DaybyDay[[#This Row],[Retail Hours]])),DaybyDay[[#This Row],[Est-Retail-Payroll]]/(DaybyDay[[#This Row],[Retail-Actuals]]),"")</f>
        <v/>
      </c>
      <c r="AV1098" s="82" t="e">
        <f>DaybyDay[[#This Row],[Est-Retail-PayrollRU]]/DaybyDay[[#This Row],[Simple-Forecast-Retail]]</f>
        <v>#DIV/0!</v>
      </c>
      <c r="AW1098" s="8"/>
      <c r="AX1098" s="15"/>
      <c r="AY1098" s="8"/>
    </row>
    <row r="1099" spans="3:51" hidden="1" x14ac:dyDescent="0.25">
      <c r="C1099" s="26" t="str">
        <f>Tools!$C$1</f>
        <v>Example</v>
      </c>
      <c r="D1099" s="27" t="s">
        <v>79</v>
      </c>
      <c r="E1099" s="28">
        <v>2019</v>
      </c>
      <c r="F1099" s="28">
        <f>MATCH(DaybyDay[[#This Row],[RowMonth]],Table3[SummaryMonth],0)</f>
        <v>12</v>
      </c>
      <c r="G1099" s="29">
        <f>MATCH(DaybyDay[[#This Row],[LY-Date]],DaybyDay[Date],0)</f>
        <v>729</v>
      </c>
      <c r="H1099" s="30">
        <f>WEEKDAY(DaybyDay[[#This Row],[Date]])</f>
        <v>1</v>
      </c>
      <c r="I1099" s="31">
        <v>43828</v>
      </c>
      <c r="J1099" s="74">
        <v>32</v>
      </c>
      <c r="K1099" s="32">
        <f>SUMIFS(BudgetSeasonality[365 Seasonality],BudgetSeasonality[MonthAdjustment],DaybyDay[[#This Row],[Date]])*SUMIFS(Budgets[Service-Budget],Budgets[BudgetMonth],DaybyDay[[#This Row],[RowMonth]],Budgets[BudgetYear],DaybyDay[[#This Row],[RowYear]])</f>
        <v>8001.1241177389556</v>
      </c>
      <c r="L1099" s="75">
        <v>6952</v>
      </c>
      <c r="M1099" s="32">
        <f>INDEX(BudgetSeasonality[365 Seasonality],MATCH(DaybyDay[[#This Row],[Date]],BudgetSeasonality[MonthAdjustment],0))*SUMIFS(Budgets[Retail-Budget],Budgets[BudgetMonth],DaybyDay[[#This Row],[RowMonth]],Budgets[BudgetYear],DaybyDay[[#This Row],[RowYear]])</f>
        <v>1983.8182532314943</v>
      </c>
      <c r="N1099" s="75">
        <v>392.5</v>
      </c>
      <c r="O1099" s="33">
        <f>SUMIFS(DaybyDay[Service-Budgets],DaybyDay[Date],"&gt;="&amp;$C$5,DaybyDay[RowYear],"&gt;="&amp;$C$4,DaybyDay[Date],"&lt;="&amp;DaybyDay[[#This Row],[Date]])</f>
        <v>0</v>
      </c>
      <c r="P1099" s="33">
        <f>SUMIFS(DaybyDay[Retail-Budgets],DaybyDay[Date],"&gt;="&amp;$C$5,DaybyDay[RowYear],"&gt;="&amp;$C$4,DaybyDay[Date],"&lt;="&amp;DaybyDay[[#This Row],[Date]])</f>
        <v>0</v>
      </c>
      <c r="Q1099" s="34">
        <f>SUMIFS(DaybyDay[Service-Actuals],DaybyDay[Date],"&gt;="&amp;$C$5,DaybyDay[RowYear],"&gt;="&amp;$C$4,DaybyDay[Date],"&lt;="&amp;DaybyDay[[#This Row],[Date]])</f>
        <v>0</v>
      </c>
      <c r="R1099" s="34">
        <f>SUMIFS(DaybyDay[Retail-Actuals],DaybyDay[Date],"&gt;="&amp;$C$5,DaybyDay[RowYear],"&gt;="&amp;$C$4,DaybyDay[Date],"&lt;="&amp;DaybyDay[[#This Row],[Date]])</f>
        <v>0</v>
      </c>
      <c r="S1099" s="35">
        <f>SUMIFS(DaybyDay[Service-LY],DaybyDay[Date],"&gt;="&amp;$C$5,DaybyDay[RowYear],"&gt;="&amp;$C$4,DaybyDay[Date],"&lt;="&amp;DaybyDay[[#This Row],[Date]])</f>
        <v>0</v>
      </c>
      <c r="T1099" s="35">
        <f>SUMIFS(DaybyDay[Retail-LY],DaybyDay[Date],"&gt;="&amp;$C$5,DaybyDay[RowYear],"&gt;="&amp;$C$4,DaybyDay[Date],"&lt;="&amp;DaybyDay[[#This Row],[Date]])</f>
        <v>0</v>
      </c>
      <c r="U1099" s="32">
        <f>DaybyDay[[#This Row],[Serv-Bud-RU]]+DaybyDay[[#This Row],[Ret-Bud-RU]]</f>
        <v>0</v>
      </c>
      <c r="V1099" s="32">
        <f>DaybyDay[[#This Row],[Serv-Act-RU]]+DaybyDay[[#This Row],[Ret-Act-RU]]</f>
        <v>0</v>
      </c>
      <c r="W1099" s="36">
        <f>IF(DaybyDay[[#This Row],[_Space]],IFERROR(
((DaybyDay[[#This Row],[Actual-Rollup]]-DaybyDay[[#This Row],[Budget-Rollup]])/DaybyDay[[#This Row],[Budget-Rollup]]),0),"")</f>
        <v>0</v>
      </c>
      <c r="X1099" t="b">
        <f>NOT(AND(ISBLANK(DaybyDay[[#This Row],[Appts]]),ISBLANK(DaybyDay[[#This Row],[Service-Actuals]]),ISBLANK(DaybyDay[[#This Row],[Retail-Actuals]])))</f>
        <v>1</v>
      </c>
      <c r="Y1099" s="36">
        <f>IF(DaybyDay[[#This Row],[_Space]],IFERROR(
((DaybyDay[[#This Row],[Actual-Rollup]]-DaybyDay[[#This Row],[LY-Rollup]])/DaybyDay[[#This Row],[LY-Rollup]]),0),"")</f>
        <v>0</v>
      </c>
      <c r="Z1099"/>
      <c r="AA1099" s="37" t="e">
        <f>IF(DaybyDay[[#This Row],[_Space]],DaybyDay[[#This Row],[Ret-Act-RU]]/DaybyDay[[#This Row],[Serv-Act-RU]],"")</f>
        <v>#DIV/0!</v>
      </c>
      <c r="AB1099" s="50" t="e">
        <f>IF(DaybyDay[[#This Row],[_Space]],DaybyDay[[#This Row],[RETPEN-Act]]/DaybyDay[[#This Row],[RETPEN-Bud]],"")</f>
        <v>#DIV/0!</v>
      </c>
      <c r="AC1099" s="37" t="e">
        <f>IF(DaybyDay[[#This Row],[_Space]],DaybyDay[[#This Row],[Ret-Bud-RU]]/DaybyDay[[#This Row],[Serv-Bud-RU]],"")</f>
        <v>#DIV/0!</v>
      </c>
      <c r="AD1099" s="37" t="e">
        <f>IF(DaybyDay[[#This Row],[_Space]],DaybyDay[[#This Row],[Ret-LY-RU]]/DaybyDay[[#This Row],[Serv-LY-RU]],"")</f>
        <v>#DIV/0!</v>
      </c>
      <c r="AE1099" s="30">
        <f>WEEKDAY(DaybyDay[[#This Row],[LY-Date]])</f>
        <v>1</v>
      </c>
      <c r="AF1099" s="38">
        <f>$E$2+_xlfn.DAYS(DaybyDay[[#This Row],[Date]],minDate)</f>
        <v>43464</v>
      </c>
      <c r="AG1099" s="39" cm="1">
        <f t="array" ref="AG1099">IFERROR(INDEX(DaybyDay[],DaybyDay[[#This Row],[FORM_MATCH_HELPER]],8),"")</f>
        <v>40</v>
      </c>
      <c r="AH1099" s="39" cm="1">
        <f t="array" ref="AH1099">IFERROR(INDEX(DaybyDay[],DaybyDay[[#This Row],[FORM_MATCH_HELPER]],10),"")</f>
        <v>7773.2</v>
      </c>
      <c r="AI1099" s="39" cm="1">
        <f t="array" ref="AI1099">IFERROR(INDEX(DaybyDay[],DaybyDay[[#This Row],[FORM_MATCH_HELPER]],12),"")</f>
        <v>1662.5</v>
      </c>
      <c r="AJ1099" s="32">
        <f>IFERROR(DaybyDay[[#This Row],[Serv-LY-RU]]+DaybyDay[[#This Row],[Ret-LY-RU]],"")</f>
        <v>0</v>
      </c>
      <c r="AK10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099" s="77"/>
      <c r="AM1099" s="40" t="str">
        <f>IF(DaybyDay[[#This Row],[Admin Hours]]&gt;0,DaybyDay[[#This Row],[Admin Hours]]*$AM$2+$AM$3,"")</f>
        <v/>
      </c>
      <c r="AN1099" s="40">
        <f>SUMIFS(DaybyDay[Est-Admin-Payroll],DaybyDay[Date],"&gt;="&amp;$C$5,DaybyDay[RowYear],"&gt;="&amp;$C$4,DaybyDay[Date],"&lt;="&amp;DaybyDay[[#This Row],[Date]])</f>
        <v>0</v>
      </c>
      <c r="AO1099" s="41" t="str">
        <f>IF(AND(DaybyDay[[#This Row],[_Space]],ISNUMBER(DaybyDay[[#This Row],[Admin Hours]])),DaybyDay[[#This Row],[Est-Admin-Payroll]]/(DaybyDay[[#This Row],[Service-Actuals]]+DaybyDay[[#This Row],[Retail-Actuals]]),"")</f>
        <v/>
      </c>
      <c r="AP1099" s="41" t="e">
        <f>DaybyDay[[#This Row],[Estimated-Payroll-Rollup]]/DaybyDay[[#This Row],[Simple-Forecast]]</f>
        <v>#DIV/0!</v>
      </c>
      <c r="AQ10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099" s="77"/>
      <c r="AS1099" s="40" t="str">
        <f>IF(DaybyDay[[#This Row],[Retail Hours]]&gt;0,DaybyDay[[#This Row],[Retail Hours]]*$AS$2,"")</f>
        <v/>
      </c>
      <c r="AT1099" s="40">
        <f>SUMIFS(DaybyDay[Est-Retail-Payroll],DaybyDay[Date],"&gt;="&amp;$C$5,DaybyDay[RowYear],"&gt;="&amp;$C$4,DaybyDay[Date],"&lt;="&amp;DaybyDay[[#This Row],[Date]])</f>
        <v>0</v>
      </c>
      <c r="AU1099" s="82" t="str">
        <f>IF(AND(DaybyDay[[#This Row],[_Space]],ISNUMBER(DaybyDay[[#This Row],[Retail Hours]])),DaybyDay[[#This Row],[Est-Retail-Payroll]]/(DaybyDay[[#This Row],[Retail-Actuals]]),"")</f>
        <v/>
      </c>
      <c r="AV1099" s="82" t="e">
        <f>DaybyDay[[#This Row],[Est-Retail-PayrollRU]]/DaybyDay[[#This Row],[Simple-Forecast-Retail]]</f>
        <v>#DIV/0!</v>
      </c>
      <c r="AW1099" s="8"/>
      <c r="AX1099" s="15"/>
      <c r="AY1099" s="8"/>
    </row>
    <row r="1100" spans="3:51" hidden="1" x14ac:dyDescent="0.25">
      <c r="C1100" s="26" t="str">
        <f>Tools!$C$1</f>
        <v>Example</v>
      </c>
      <c r="D1100" s="27" t="s">
        <v>79</v>
      </c>
      <c r="E1100" s="28">
        <v>2019</v>
      </c>
      <c r="F1100" s="28">
        <f>MATCH(DaybyDay[[#This Row],[RowMonth]],Table3[SummaryMonth],0)</f>
        <v>12</v>
      </c>
      <c r="G1100" s="29">
        <f>MATCH(DaybyDay[[#This Row],[LY-Date]],DaybyDay[Date],0)</f>
        <v>730</v>
      </c>
      <c r="H1100" s="30">
        <f>WEEKDAY(DaybyDay[[#This Row],[Date]])</f>
        <v>2</v>
      </c>
      <c r="I1100" s="31">
        <v>43829</v>
      </c>
      <c r="J1100" s="74">
        <v>37</v>
      </c>
      <c r="K1100" s="32">
        <f>SUMIFS(BudgetSeasonality[365 Seasonality],BudgetSeasonality[MonthAdjustment],DaybyDay[[#This Row],[Date]])*SUMIFS(Budgets[Service-Budget],Budgets[BudgetMonth],DaybyDay[[#This Row],[RowMonth]],Budgets[BudgetYear],DaybyDay[[#This Row],[RowYear]])</f>
        <v>5281.0945592341286</v>
      </c>
      <c r="L1100" s="75">
        <v>7094</v>
      </c>
      <c r="M1100" s="32">
        <f>INDEX(BudgetSeasonality[365 Seasonality],MATCH(DaybyDay[[#This Row],[Date]],BudgetSeasonality[MonthAdjustment],0))*SUMIFS(Budgets[Retail-Budget],Budgets[BudgetMonth],DaybyDay[[#This Row],[RowMonth]],Budgets[BudgetYear],DaybyDay[[#This Row],[RowYear]])</f>
        <v>1309.4074819340292</v>
      </c>
      <c r="N1100" s="75">
        <v>1154.25</v>
      </c>
      <c r="O1100" s="33">
        <f>SUMIFS(DaybyDay[Service-Budgets],DaybyDay[Date],"&gt;="&amp;$C$5,DaybyDay[RowYear],"&gt;="&amp;$C$4,DaybyDay[Date],"&lt;="&amp;DaybyDay[[#This Row],[Date]])</f>
        <v>0</v>
      </c>
      <c r="P1100" s="33">
        <f>SUMIFS(DaybyDay[Retail-Budgets],DaybyDay[Date],"&gt;="&amp;$C$5,DaybyDay[RowYear],"&gt;="&amp;$C$4,DaybyDay[Date],"&lt;="&amp;DaybyDay[[#This Row],[Date]])</f>
        <v>0</v>
      </c>
      <c r="Q1100" s="34">
        <f>SUMIFS(DaybyDay[Service-Actuals],DaybyDay[Date],"&gt;="&amp;$C$5,DaybyDay[RowYear],"&gt;="&amp;$C$4,DaybyDay[Date],"&lt;="&amp;DaybyDay[[#This Row],[Date]])</f>
        <v>0</v>
      </c>
      <c r="R1100" s="34">
        <f>SUMIFS(DaybyDay[Retail-Actuals],DaybyDay[Date],"&gt;="&amp;$C$5,DaybyDay[RowYear],"&gt;="&amp;$C$4,DaybyDay[Date],"&lt;="&amp;DaybyDay[[#This Row],[Date]])</f>
        <v>0</v>
      </c>
      <c r="S1100" s="35">
        <f>SUMIFS(DaybyDay[Service-LY],DaybyDay[Date],"&gt;="&amp;$C$5,DaybyDay[RowYear],"&gt;="&amp;$C$4,DaybyDay[Date],"&lt;="&amp;DaybyDay[[#This Row],[Date]])</f>
        <v>0</v>
      </c>
      <c r="T1100" s="35">
        <f>SUMIFS(DaybyDay[Retail-LY],DaybyDay[Date],"&gt;="&amp;$C$5,DaybyDay[RowYear],"&gt;="&amp;$C$4,DaybyDay[Date],"&lt;="&amp;DaybyDay[[#This Row],[Date]])</f>
        <v>0</v>
      </c>
      <c r="U1100" s="32">
        <f>DaybyDay[[#This Row],[Serv-Bud-RU]]+DaybyDay[[#This Row],[Ret-Bud-RU]]</f>
        <v>0</v>
      </c>
      <c r="V1100" s="32">
        <f>DaybyDay[[#This Row],[Serv-Act-RU]]+DaybyDay[[#This Row],[Ret-Act-RU]]</f>
        <v>0</v>
      </c>
      <c r="W1100" s="36">
        <f>IF(DaybyDay[[#This Row],[_Space]],IFERROR(
((DaybyDay[[#This Row],[Actual-Rollup]]-DaybyDay[[#This Row],[Budget-Rollup]])/DaybyDay[[#This Row],[Budget-Rollup]]),0),"")</f>
        <v>0</v>
      </c>
      <c r="X1100" t="b">
        <f>NOT(AND(ISBLANK(DaybyDay[[#This Row],[Appts]]),ISBLANK(DaybyDay[[#This Row],[Service-Actuals]]),ISBLANK(DaybyDay[[#This Row],[Retail-Actuals]])))</f>
        <v>1</v>
      </c>
      <c r="Y1100" s="36">
        <f>IF(DaybyDay[[#This Row],[_Space]],IFERROR(
((DaybyDay[[#This Row],[Actual-Rollup]]-DaybyDay[[#This Row],[LY-Rollup]])/DaybyDay[[#This Row],[LY-Rollup]]),0),"")</f>
        <v>0</v>
      </c>
      <c r="Z1100"/>
      <c r="AA1100" s="37" t="e">
        <f>IF(DaybyDay[[#This Row],[_Space]],DaybyDay[[#This Row],[Ret-Act-RU]]/DaybyDay[[#This Row],[Serv-Act-RU]],"")</f>
        <v>#DIV/0!</v>
      </c>
      <c r="AB1100" s="50" t="e">
        <f>IF(DaybyDay[[#This Row],[_Space]],DaybyDay[[#This Row],[RETPEN-Act]]/DaybyDay[[#This Row],[RETPEN-Bud]],"")</f>
        <v>#DIV/0!</v>
      </c>
      <c r="AC1100" s="37" t="e">
        <f>IF(DaybyDay[[#This Row],[_Space]],DaybyDay[[#This Row],[Ret-Bud-RU]]/DaybyDay[[#This Row],[Serv-Bud-RU]],"")</f>
        <v>#DIV/0!</v>
      </c>
      <c r="AD1100" s="37" t="e">
        <f>IF(DaybyDay[[#This Row],[_Space]],DaybyDay[[#This Row],[Ret-LY-RU]]/DaybyDay[[#This Row],[Serv-LY-RU]],"")</f>
        <v>#DIV/0!</v>
      </c>
      <c r="AE1100" s="30">
        <f>WEEKDAY(DaybyDay[[#This Row],[LY-Date]])</f>
        <v>2</v>
      </c>
      <c r="AF1100" s="38">
        <f>$E$2+_xlfn.DAYS(DaybyDay[[#This Row],[Date]],minDate)</f>
        <v>43465</v>
      </c>
      <c r="AG1100" s="39" cm="1">
        <f t="array" ref="AG1100">IFERROR(INDEX(DaybyDay[],DaybyDay[[#This Row],[FORM_MATCH_HELPER]],8),"")</f>
        <v>26</v>
      </c>
      <c r="AH1100" s="39" cm="1">
        <f t="array" ref="AH1100">IFERROR(INDEX(DaybyDay[],DaybyDay[[#This Row],[FORM_MATCH_HELPER]],10),"")</f>
        <v>5772.55</v>
      </c>
      <c r="AI1100" s="39" cm="1">
        <f t="array" ref="AI1100">IFERROR(INDEX(DaybyDay[],DaybyDay[[#This Row],[FORM_MATCH_HELPER]],12),"")</f>
        <v>738</v>
      </c>
      <c r="AJ1100" s="32">
        <f>IFERROR(DaybyDay[[#This Row],[Serv-LY-RU]]+DaybyDay[[#This Row],[Ret-LY-RU]],"")</f>
        <v>0</v>
      </c>
      <c r="AK11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00" s="77"/>
      <c r="AM1100" s="40" t="str">
        <f>IF(DaybyDay[[#This Row],[Admin Hours]]&gt;0,DaybyDay[[#This Row],[Admin Hours]]*$AM$2+$AM$3,"")</f>
        <v/>
      </c>
      <c r="AN1100" s="40">
        <f>SUMIFS(DaybyDay[Est-Admin-Payroll],DaybyDay[Date],"&gt;="&amp;$C$5,DaybyDay[RowYear],"&gt;="&amp;$C$4,DaybyDay[Date],"&lt;="&amp;DaybyDay[[#This Row],[Date]])</f>
        <v>0</v>
      </c>
      <c r="AO1100" s="41" t="str">
        <f>IF(AND(DaybyDay[[#This Row],[_Space]],ISNUMBER(DaybyDay[[#This Row],[Admin Hours]])),DaybyDay[[#This Row],[Est-Admin-Payroll]]/(DaybyDay[[#This Row],[Service-Actuals]]+DaybyDay[[#This Row],[Retail-Actuals]]),"")</f>
        <v/>
      </c>
      <c r="AP1100" s="41" t="e">
        <f>DaybyDay[[#This Row],[Estimated-Payroll-Rollup]]/DaybyDay[[#This Row],[Simple-Forecast]]</f>
        <v>#DIV/0!</v>
      </c>
      <c r="AQ11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00" s="77"/>
      <c r="AS1100" s="40" t="str">
        <f>IF(DaybyDay[[#This Row],[Retail Hours]]&gt;0,DaybyDay[[#This Row],[Retail Hours]]*$AS$2,"")</f>
        <v/>
      </c>
      <c r="AT1100" s="40">
        <f>SUMIFS(DaybyDay[Est-Retail-Payroll],DaybyDay[Date],"&gt;="&amp;$C$5,DaybyDay[RowYear],"&gt;="&amp;$C$4,DaybyDay[Date],"&lt;="&amp;DaybyDay[[#This Row],[Date]])</f>
        <v>0</v>
      </c>
      <c r="AU1100" s="82" t="str">
        <f>IF(AND(DaybyDay[[#This Row],[_Space]],ISNUMBER(DaybyDay[[#This Row],[Retail Hours]])),DaybyDay[[#This Row],[Est-Retail-Payroll]]/(DaybyDay[[#This Row],[Retail-Actuals]]),"")</f>
        <v/>
      </c>
      <c r="AV1100" s="82" t="e">
        <f>DaybyDay[[#This Row],[Est-Retail-PayrollRU]]/DaybyDay[[#This Row],[Simple-Forecast-Retail]]</f>
        <v>#DIV/0!</v>
      </c>
      <c r="AW1100" s="8"/>
      <c r="AX1100" s="15"/>
      <c r="AY1100" s="8"/>
    </row>
    <row r="1101" spans="3:51" hidden="1" x14ac:dyDescent="0.25">
      <c r="C1101" s="26" t="str">
        <f>Tools!$C$1</f>
        <v>Example</v>
      </c>
      <c r="D1101" s="27" t="s">
        <v>79</v>
      </c>
      <c r="E1101" s="28">
        <v>2019</v>
      </c>
      <c r="F1101" s="28">
        <f>MATCH(DaybyDay[[#This Row],[RowMonth]],Table3[SummaryMonth],0)</f>
        <v>12</v>
      </c>
      <c r="G1101" s="29">
        <f>MATCH(DaybyDay[[#This Row],[LY-Date]],DaybyDay[Date],0)</f>
        <v>731</v>
      </c>
      <c r="H1101" s="30">
        <f>WEEKDAY(DaybyDay[[#This Row],[Date]])</f>
        <v>3</v>
      </c>
      <c r="I1101" s="31">
        <v>43830</v>
      </c>
      <c r="J1101" s="74">
        <v>19</v>
      </c>
      <c r="K1101" s="32">
        <f>SUMIFS(BudgetSeasonality[365 Seasonality],BudgetSeasonality[MonthAdjustment],DaybyDay[[#This Row],[Date]])*SUMIFS(Budgets[Service-Budget],Budgets[BudgetMonth],DaybyDay[[#This Row],[RowMonth]],Budgets[BudgetYear],DaybyDay[[#This Row],[RowYear]])</f>
        <v>5372.3370625479583</v>
      </c>
      <c r="L1101" s="75">
        <v>4270.8</v>
      </c>
      <c r="M1101" s="32">
        <f>INDEX(BudgetSeasonality[365 Seasonality],MATCH(DaybyDay[[#This Row],[Date]],BudgetSeasonality[MonthAdjustment],0))*SUMIFS(Budgets[Retail-Budget],Budgets[BudgetMonth],DaybyDay[[#This Row],[RowMonth]],Budgets[BudgetYear],DaybyDay[[#This Row],[RowYear]])</f>
        <v>1332.030371028226</v>
      </c>
      <c r="N1101" s="75">
        <v>439.9</v>
      </c>
      <c r="O1101" s="33">
        <f>SUMIFS(DaybyDay[Service-Budgets],DaybyDay[Date],"&gt;="&amp;$C$5,DaybyDay[RowYear],"&gt;="&amp;$C$4,DaybyDay[Date],"&lt;="&amp;DaybyDay[[#This Row],[Date]])</f>
        <v>0</v>
      </c>
      <c r="P1101" s="33">
        <f>SUMIFS(DaybyDay[Retail-Budgets],DaybyDay[Date],"&gt;="&amp;$C$5,DaybyDay[RowYear],"&gt;="&amp;$C$4,DaybyDay[Date],"&lt;="&amp;DaybyDay[[#This Row],[Date]])</f>
        <v>0</v>
      </c>
      <c r="Q1101" s="34">
        <f>SUMIFS(DaybyDay[Service-Actuals],DaybyDay[Date],"&gt;="&amp;$C$5,DaybyDay[RowYear],"&gt;="&amp;$C$4,DaybyDay[Date],"&lt;="&amp;DaybyDay[[#This Row],[Date]])</f>
        <v>0</v>
      </c>
      <c r="R1101" s="34">
        <f>SUMIFS(DaybyDay[Retail-Actuals],DaybyDay[Date],"&gt;="&amp;$C$5,DaybyDay[RowYear],"&gt;="&amp;$C$4,DaybyDay[Date],"&lt;="&amp;DaybyDay[[#This Row],[Date]])</f>
        <v>0</v>
      </c>
      <c r="S1101" s="35">
        <f>SUMIFS(DaybyDay[Service-LY],DaybyDay[Date],"&gt;="&amp;$C$5,DaybyDay[RowYear],"&gt;="&amp;$C$4,DaybyDay[Date],"&lt;="&amp;DaybyDay[[#This Row],[Date]])</f>
        <v>0</v>
      </c>
      <c r="T1101" s="35">
        <f>SUMIFS(DaybyDay[Retail-LY],DaybyDay[Date],"&gt;="&amp;$C$5,DaybyDay[RowYear],"&gt;="&amp;$C$4,DaybyDay[Date],"&lt;="&amp;DaybyDay[[#This Row],[Date]])</f>
        <v>0</v>
      </c>
      <c r="U1101" s="32">
        <f>DaybyDay[[#This Row],[Serv-Bud-RU]]+DaybyDay[[#This Row],[Ret-Bud-RU]]</f>
        <v>0</v>
      </c>
      <c r="V1101" s="32">
        <f>DaybyDay[[#This Row],[Serv-Act-RU]]+DaybyDay[[#This Row],[Ret-Act-RU]]</f>
        <v>0</v>
      </c>
      <c r="W1101" s="36">
        <f>IF(DaybyDay[[#This Row],[_Space]],IFERROR(
((DaybyDay[[#This Row],[Actual-Rollup]]-DaybyDay[[#This Row],[Budget-Rollup]])/DaybyDay[[#This Row],[Budget-Rollup]]),0),"")</f>
        <v>0</v>
      </c>
      <c r="X1101" t="b">
        <f>NOT(AND(ISBLANK(DaybyDay[[#This Row],[Appts]]),ISBLANK(DaybyDay[[#This Row],[Service-Actuals]]),ISBLANK(DaybyDay[[#This Row],[Retail-Actuals]])))</f>
        <v>1</v>
      </c>
      <c r="Y1101" s="36">
        <f>IF(DaybyDay[[#This Row],[_Space]],IFERROR(
((DaybyDay[[#This Row],[Actual-Rollup]]-DaybyDay[[#This Row],[LY-Rollup]])/DaybyDay[[#This Row],[LY-Rollup]]),0),"")</f>
        <v>0</v>
      </c>
      <c r="Z1101"/>
      <c r="AA1101" s="37" t="e">
        <f>IF(DaybyDay[[#This Row],[_Space]],DaybyDay[[#This Row],[Ret-Act-RU]]/DaybyDay[[#This Row],[Serv-Act-RU]],"")</f>
        <v>#DIV/0!</v>
      </c>
      <c r="AB1101" s="50" t="e">
        <f>IF(DaybyDay[[#This Row],[_Space]],DaybyDay[[#This Row],[RETPEN-Act]]/DaybyDay[[#This Row],[RETPEN-Bud]],"")</f>
        <v>#DIV/0!</v>
      </c>
      <c r="AC1101" s="37" t="e">
        <f>IF(DaybyDay[[#This Row],[_Space]],DaybyDay[[#This Row],[Ret-Bud-RU]]/DaybyDay[[#This Row],[Serv-Bud-RU]],"")</f>
        <v>#DIV/0!</v>
      </c>
      <c r="AD1101" s="37" t="e">
        <f>IF(DaybyDay[[#This Row],[_Space]],DaybyDay[[#This Row],[Ret-LY-RU]]/DaybyDay[[#This Row],[Serv-LY-RU]],"")</f>
        <v>#DIV/0!</v>
      </c>
      <c r="AE1101" s="30">
        <f>WEEKDAY(DaybyDay[[#This Row],[LY-Date]])</f>
        <v>3</v>
      </c>
      <c r="AF1101" s="38">
        <f>$E$2+_xlfn.DAYS(DaybyDay[[#This Row],[Date]],minDate)</f>
        <v>43466</v>
      </c>
      <c r="AG1101" s="39" cm="1">
        <f t="array" ref="AG1101">IFERROR(INDEX(DaybyDay[],DaybyDay[[#This Row],[FORM_MATCH_HELPER]],8),"")</f>
        <v>18</v>
      </c>
      <c r="AH1101" s="39" cm="1">
        <f t="array" ref="AH1101">IFERROR(INDEX(DaybyDay[],DaybyDay[[#This Row],[FORM_MATCH_HELPER]],10),"")</f>
        <v>4615.5</v>
      </c>
      <c r="AI1101" s="39" cm="1">
        <f t="array" ref="AI1101">IFERROR(INDEX(DaybyDay[],DaybyDay[[#This Row],[FORM_MATCH_HELPER]],12),"")</f>
        <v>223</v>
      </c>
      <c r="AJ1101" s="32">
        <f>IFERROR(DaybyDay[[#This Row],[Serv-LY-RU]]+DaybyDay[[#This Row],[Ret-LY-RU]],"")</f>
        <v>0</v>
      </c>
      <c r="AK11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01" s="77"/>
      <c r="AM1101" s="40" t="str">
        <f>IF(DaybyDay[[#This Row],[Admin Hours]]&gt;0,DaybyDay[[#This Row],[Admin Hours]]*$AM$2+$AM$3,"")</f>
        <v/>
      </c>
      <c r="AN1101" s="40">
        <f>SUMIFS(DaybyDay[Est-Admin-Payroll],DaybyDay[Date],"&gt;="&amp;$C$5,DaybyDay[RowYear],"&gt;="&amp;$C$4,DaybyDay[Date],"&lt;="&amp;DaybyDay[[#This Row],[Date]])</f>
        <v>0</v>
      </c>
      <c r="AO1101" s="41" t="str">
        <f>IF(AND(DaybyDay[[#This Row],[_Space]],ISNUMBER(DaybyDay[[#This Row],[Admin Hours]])),DaybyDay[[#This Row],[Est-Admin-Payroll]]/(DaybyDay[[#This Row],[Service-Actuals]]+DaybyDay[[#This Row],[Retail-Actuals]]),"")</f>
        <v/>
      </c>
      <c r="AP1101" s="41" t="e">
        <f>DaybyDay[[#This Row],[Estimated-Payroll-Rollup]]/DaybyDay[[#This Row],[Simple-Forecast]]</f>
        <v>#DIV/0!</v>
      </c>
      <c r="AQ11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01" s="77"/>
      <c r="AS1101" s="40" t="str">
        <f>IF(DaybyDay[[#This Row],[Retail Hours]]&gt;0,DaybyDay[[#This Row],[Retail Hours]]*$AS$2,"")</f>
        <v/>
      </c>
      <c r="AT1101" s="40">
        <f>SUMIFS(DaybyDay[Est-Retail-Payroll],DaybyDay[Date],"&gt;="&amp;$C$5,DaybyDay[RowYear],"&gt;="&amp;$C$4,DaybyDay[Date],"&lt;="&amp;DaybyDay[[#This Row],[Date]])</f>
        <v>0</v>
      </c>
      <c r="AU1101" s="82" t="str">
        <f>IF(AND(DaybyDay[[#This Row],[_Space]],ISNUMBER(DaybyDay[[#This Row],[Retail Hours]])),DaybyDay[[#This Row],[Est-Retail-Payroll]]/(DaybyDay[[#This Row],[Retail-Actuals]]),"")</f>
        <v/>
      </c>
      <c r="AV1101" s="82" t="e">
        <f>DaybyDay[[#This Row],[Est-Retail-PayrollRU]]/DaybyDay[[#This Row],[Simple-Forecast-Retail]]</f>
        <v>#DIV/0!</v>
      </c>
      <c r="AW1101" s="8"/>
      <c r="AX1101" s="15"/>
      <c r="AY1101" s="8"/>
    </row>
    <row r="1102" spans="3:51" hidden="1" x14ac:dyDescent="0.25">
      <c r="C1102" s="26" t="str">
        <f>Tools!$C$1</f>
        <v>Example</v>
      </c>
      <c r="D1102" s="27" t="s">
        <v>79</v>
      </c>
      <c r="E1102" s="28">
        <v>2019</v>
      </c>
      <c r="F1102" s="28">
        <f>MATCH(DaybyDay[[#This Row],[RowMonth]],Table3[SummaryMonth],0)</f>
        <v>12</v>
      </c>
      <c r="G1102" s="29">
        <f>MATCH(DaybyDay[[#This Row],[LY-Date]],DaybyDay[Date],0)</f>
        <v>732</v>
      </c>
      <c r="H1102" s="30">
        <f>WEEKDAY(DaybyDay[[#This Row],[Date]])</f>
        <v>4</v>
      </c>
      <c r="I1102" s="31">
        <v>43831</v>
      </c>
      <c r="J1102" s="74">
        <v>15</v>
      </c>
      <c r="K1102" s="32">
        <f>SUMIFS(BudgetSeasonality[365 Seasonality],BudgetSeasonality[MonthAdjustment],DaybyDay[[#This Row],[Date]])*SUMIFS(Budgets[Service-Budget],Budgets[BudgetMonth],DaybyDay[[#This Row],[RowMonth]],Budgets[BudgetYear],DaybyDay[[#This Row],[RowYear]])</f>
        <v>5952.4509323495431</v>
      </c>
      <c r="L1102" s="75">
        <v>4734</v>
      </c>
      <c r="M1102" s="32">
        <f>INDEX(BudgetSeasonality[365 Seasonality],MATCH(DaybyDay[[#This Row],[Date]],BudgetSeasonality[MonthAdjustment],0))*SUMIFS(Budgets[Retail-Budget],Budgets[BudgetMonth],DaybyDay[[#This Row],[RowMonth]],Budgets[BudgetYear],DaybyDay[[#This Row],[RowYear]])</f>
        <v>1475.8652205981336</v>
      </c>
      <c r="N1102" s="75">
        <v>188</v>
      </c>
      <c r="O1102" s="33">
        <f>SUMIFS(DaybyDay[Service-Budgets],DaybyDay[Date],"&gt;="&amp;$C$5,DaybyDay[RowYear],"&gt;="&amp;$C$4,DaybyDay[Date],"&lt;="&amp;DaybyDay[[#This Row],[Date]])</f>
        <v>0</v>
      </c>
      <c r="P1102" s="33">
        <f>SUMIFS(DaybyDay[Retail-Budgets],DaybyDay[Date],"&gt;="&amp;$C$5,DaybyDay[RowYear],"&gt;="&amp;$C$4,DaybyDay[Date],"&lt;="&amp;DaybyDay[[#This Row],[Date]])</f>
        <v>0</v>
      </c>
      <c r="Q1102" s="34">
        <f>SUMIFS(DaybyDay[Service-Actuals],DaybyDay[Date],"&gt;="&amp;$C$5,DaybyDay[RowYear],"&gt;="&amp;$C$4,DaybyDay[Date],"&lt;="&amp;DaybyDay[[#This Row],[Date]])</f>
        <v>0</v>
      </c>
      <c r="R1102" s="34">
        <f>SUMIFS(DaybyDay[Retail-Actuals],DaybyDay[Date],"&gt;="&amp;$C$5,DaybyDay[RowYear],"&gt;="&amp;$C$4,DaybyDay[Date],"&lt;="&amp;DaybyDay[[#This Row],[Date]])</f>
        <v>0</v>
      </c>
      <c r="S1102" s="35">
        <f>SUMIFS(DaybyDay[Service-LY],DaybyDay[Date],"&gt;="&amp;$C$5,DaybyDay[RowYear],"&gt;="&amp;$C$4,DaybyDay[Date],"&lt;="&amp;DaybyDay[[#This Row],[Date]])</f>
        <v>0</v>
      </c>
      <c r="T1102" s="35">
        <f>SUMIFS(DaybyDay[Retail-LY],DaybyDay[Date],"&gt;="&amp;$C$5,DaybyDay[RowYear],"&gt;="&amp;$C$4,DaybyDay[Date],"&lt;="&amp;DaybyDay[[#This Row],[Date]])</f>
        <v>0</v>
      </c>
      <c r="U1102" s="32">
        <f>DaybyDay[[#This Row],[Serv-Bud-RU]]+DaybyDay[[#This Row],[Ret-Bud-RU]]</f>
        <v>0</v>
      </c>
      <c r="V1102" s="32">
        <f>DaybyDay[[#This Row],[Serv-Act-RU]]+DaybyDay[[#This Row],[Ret-Act-RU]]</f>
        <v>0</v>
      </c>
      <c r="W1102" s="36">
        <f>IF(DaybyDay[[#This Row],[_Space]],IFERROR(
((DaybyDay[[#This Row],[Actual-Rollup]]-DaybyDay[[#This Row],[Budget-Rollup]])/DaybyDay[[#This Row],[Budget-Rollup]]),0),"")</f>
        <v>0</v>
      </c>
      <c r="X1102" t="b">
        <f>NOT(AND(ISBLANK(DaybyDay[[#This Row],[Appts]]),ISBLANK(DaybyDay[[#This Row],[Service-Actuals]]),ISBLANK(DaybyDay[[#This Row],[Retail-Actuals]])))</f>
        <v>1</v>
      </c>
      <c r="Y1102" s="36">
        <f>IF(DaybyDay[[#This Row],[_Space]],IFERROR(
((DaybyDay[[#This Row],[Actual-Rollup]]-DaybyDay[[#This Row],[LY-Rollup]])/DaybyDay[[#This Row],[LY-Rollup]]),0),"")</f>
        <v>0</v>
      </c>
      <c r="Z1102"/>
      <c r="AA1102" s="37" t="e">
        <f>IF(DaybyDay[[#This Row],[_Space]],DaybyDay[[#This Row],[Ret-Act-RU]]/DaybyDay[[#This Row],[Serv-Act-RU]],"")</f>
        <v>#DIV/0!</v>
      </c>
      <c r="AB1102" s="50" t="e">
        <f>IF(DaybyDay[[#This Row],[_Space]],DaybyDay[[#This Row],[RETPEN-Act]]/DaybyDay[[#This Row],[RETPEN-Bud]],"")</f>
        <v>#DIV/0!</v>
      </c>
      <c r="AC1102" s="37" t="e">
        <f>IF(DaybyDay[[#This Row],[_Space]],DaybyDay[[#This Row],[Ret-Bud-RU]]/DaybyDay[[#This Row],[Serv-Bud-RU]],"")</f>
        <v>#DIV/0!</v>
      </c>
      <c r="AD1102" s="37" t="e">
        <f>IF(DaybyDay[[#This Row],[_Space]],DaybyDay[[#This Row],[Ret-LY-RU]]/DaybyDay[[#This Row],[Serv-LY-RU]],"")</f>
        <v>#DIV/0!</v>
      </c>
      <c r="AE1102" s="30">
        <f>WEEKDAY(DaybyDay[[#This Row],[LY-Date]])</f>
        <v>4</v>
      </c>
      <c r="AF1102" s="38">
        <f>$E$2+_xlfn.DAYS(DaybyDay[[#This Row],[Date]],minDate)</f>
        <v>43467</v>
      </c>
      <c r="AG1102" s="39" cm="1">
        <f t="array" ref="AG1102">IFERROR(INDEX(DaybyDay[],DaybyDay[[#This Row],[FORM_MATCH_HELPER]],8),"")</f>
        <v>25</v>
      </c>
      <c r="AH1102" s="39" cm="1">
        <f t="array" ref="AH1102">IFERROR(INDEX(DaybyDay[],DaybyDay[[#This Row],[FORM_MATCH_HELPER]],10),"")</f>
        <v>5214.37</v>
      </c>
      <c r="AI1102" s="39" cm="1">
        <f t="array" ref="AI1102">IFERROR(INDEX(DaybyDay[],DaybyDay[[#This Row],[FORM_MATCH_HELPER]],12),"")</f>
        <v>1676</v>
      </c>
      <c r="AJ1102" s="32">
        <f>IFERROR(DaybyDay[[#This Row],[Serv-LY-RU]]+DaybyDay[[#This Row],[Ret-LY-RU]],"")</f>
        <v>0</v>
      </c>
      <c r="AK11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02" s="77"/>
      <c r="AM1102" s="40" t="str">
        <f>IF(DaybyDay[[#This Row],[Admin Hours]]&gt;0,DaybyDay[[#This Row],[Admin Hours]]*$AM$2+$AM$3,"")</f>
        <v/>
      </c>
      <c r="AN1102" s="40">
        <f>SUMIFS(DaybyDay[Est-Admin-Payroll],DaybyDay[Date],"&gt;="&amp;$C$5,DaybyDay[RowYear],"&gt;="&amp;$C$4,DaybyDay[Date],"&lt;="&amp;DaybyDay[[#This Row],[Date]])</f>
        <v>0</v>
      </c>
      <c r="AO1102" s="41" t="str">
        <f>IF(AND(DaybyDay[[#This Row],[_Space]],ISNUMBER(DaybyDay[[#This Row],[Admin Hours]])),DaybyDay[[#This Row],[Est-Admin-Payroll]]/(DaybyDay[[#This Row],[Service-Actuals]]+DaybyDay[[#This Row],[Retail-Actuals]]),"")</f>
        <v/>
      </c>
      <c r="AP1102" s="41" t="e">
        <f>DaybyDay[[#This Row],[Estimated-Payroll-Rollup]]/DaybyDay[[#This Row],[Simple-Forecast]]</f>
        <v>#DIV/0!</v>
      </c>
      <c r="AQ11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02" s="77"/>
      <c r="AS1102" s="40" t="str">
        <f>IF(DaybyDay[[#This Row],[Retail Hours]]&gt;0,DaybyDay[[#This Row],[Retail Hours]]*$AS$2,"")</f>
        <v/>
      </c>
      <c r="AT1102" s="40">
        <f>SUMIFS(DaybyDay[Est-Retail-Payroll],DaybyDay[Date],"&gt;="&amp;$C$5,DaybyDay[RowYear],"&gt;="&amp;$C$4,DaybyDay[Date],"&lt;="&amp;DaybyDay[[#This Row],[Date]])</f>
        <v>0</v>
      </c>
      <c r="AU1102" s="82" t="str">
        <f>IF(AND(DaybyDay[[#This Row],[_Space]],ISNUMBER(DaybyDay[[#This Row],[Retail Hours]])),DaybyDay[[#This Row],[Est-Retail-Payroll]]/(DaybyDay[[#This Row],[Retail-Actuals]]),"")</f>
        <v/>
      </c>
      <c r="AV1102" s="82" t="e">
        <f>DaybyDay[[#This Row],[Est-Retail-PayrollRU]]/DaybyDay[[#This Row],[Simple-Forecast-Retail]]</f>
        <v>#DIV/0!</v>
      </c>
      <c r="AW1102" s="8"/>
      <c r="AX1102" s="15"/>
      <c r="AY1102" s="8"/>
    </row>
    <row r="1103" spans="3:51" hidden="1" x14ac:dyDescent="0.25">
      <c r="C1103" s="26" t="str">
        <f>Tools!$C$1</f>
        <v>Example</v>
      </c>
      <c r="D1103" s="27" t="s">
        <v>79</v>
      </c>
      <c r="E1103" s="28">
        <v>2019</v>
      </c>
      <c r="F1103" s="28">
        <f>MATCH(DaybyDay[[#This Row],[RowMonth]],Table3[SummaryMonth],0)</f>
        <v>12</v>
      </c>
      <c r="G1103" s="29">
        <f>MATCH(DaybyDay[[#This Row],[LY-Date]],DaybyDay[Date],0)</f>
        <v>733</v>
      </c>
      <c r="H1103" s="30">
        <f>WEEKDAY(DaybyDay[[#This Row],[Date]])</f>
        <v>5</v>
      </c>
      <c r="I1103" s="31">
        <v>43832</v>
      </c>
      <c r="J1103" s="74">
        <v>24</v>
      </c>
      <c r="K1103" s="32">
        <f>SUMIFS(BudgetSeasonality[365 Seasonality],BudgetSeasonality[MonthAdjustment],DaybyDay[[#This Row],[Date]])*SUMIFS(Budgets[Service-Budget],Budgets[BudgetMonth],DaybyDay[[#This Row],[RowMonth]],Budgets[BudgetYear],DaybyDay[[#This Row],[RowYear]])</f>
        <v>6027.1022336639708</v>
      </c>
      <c r="L1103" s="75">
        <v>4033.8</v>
      </c>
      <c r="M1103" s="32">
        <f>INDEX(BudgetSeasonality[365 Seasonality],MATCH(DaybyDay[[#This Row],[Date]],BudgetSeasonality[MonthAdjustment],0))*SUMIFS(Budgets[Retail-Budget],Budgets[BudgetMonth],DaybyDay[[#This Row],[RowMonth]],Budgets[BudgetYear],DaybyDay[[#This Row],[RowYear]])</f>
        <v>1494.3744465513607</v>
      </c>
      <c r="N1103" s="75">
        <v>234</v>
      </c>
      <c r="O1103" s="33">
        <f>SUMIFS(DaybyDay[Service-Budgets],DaybyDay[Date],"&gt;="&amp;$C$5,DaybyDay[RowYear],"&gt;="&amp;$C$4,DaybyDay[Date],"&lt;="&amp;DaybyDay[[#This Row],[Date]])</f>
        <v>0</v>
      </c>
      <c r="P1103" s="33">
        <f>SUMIFS(DaybyDay[Retail-Budgets],DaybyDay[Date],"&gt;="&amp;$C$5,DaybyDay[RowYear],"&gt;="&amp;$C$4,DaybyDay[Date],"&lt;="&amp;DaybyDay[[#This Row],[Date]])</f>
        <v>0</v>
      </c>
      <c r="Q1103" s="34">
        <f>SUMIFS(DaybyDay[Service-Actuals],DaybyDay[Date],"&gt;="&amp;$C$5,DaybyDay[RowYear],"&gt;="&amp;$C$4,DaybyDay[Date],"&lt;="&amp;DaybyDay[[#This Row],[Date]])</f>
        <v>0</v>
      </c>
      <c r="R1103" s="34">
        <f>SUMIFS(DaybyDay[Retail-Actuals],DaybyDay[Date],"&gt;="&amp;$C$5,DaybyDay[RowYear],"&gt;="&amp;$C$4,DaybyDay[Date],"&lt;="&amp;DaybyDay[[#This Row],[Date]])</f>
        <v>0</v>
      </c>
      <c r="S1103" s="35">
        <f>SUMIFS(DaybyDay[Service-LY],DaybyDay[Date],"&gt;="&amp;$C$5,DaybyDay[RowYear],"&gt;="&amp;$C$4,DaybyDay[Date],"&lt;="&amp;DaybyDay[[#This Row],[Date]])</f>
        <v>0</v>
      </c>
      <c r="T1103" s="35">
        <f>SUMIFS(DaybyDay[Retail-LY],DaybyDay[Date],"&gt;="&amp;$C$5,DaybyDay[RowYear],"&gt;="&amp;$C$4,DaybyDay[Date],"&lt;="&amp;DaybyDay[[#This Row],[Date]])</f>
        <v>0</v>
      </c>
      <c r="U1103" s="32">
        <f>DaybyDay[[#This Row],[Serv-Bud-RU]]+DaybyDay[[#This Row],[Ret-Bud-RU]]</f>
        <v>0</v>
      </c>
      <c r="V1103" s="32">
        <f>DaybyDay[[#This Row],[Serv-Act-RU]]+DaybyDay[[#This Row],[Ret-Act-RU]]</f>
        <v>0</v>
      </c>
      <c r="W1103" s="36">
        <f>IF(DaybyDay[[#This Row],[_Space]],IFERROR(
((DaybyDay[[#This Row],[Actual-Rollup]]-DaybyDay[[#This Row],[Budget-Rollup]])/DaybyDay[[#This Row],[Budget-Rollup]]),0),"")</f>
        <v>0</v>
      </c>
      <c r="X1103" t="b">
        <f>NOT(AND(ISBLANK(DaybyDay[[#This Row],[Appts]]),ISBLANK(DaybyDay[[#This Row],[Service-Actuals]]),ISBLANK(DaybyDay[[#This Row],[Retail-Actuals]])))</f>
        <v>1</v>
      </c>
      <c r="Y1103" s="36">
        <f>IF(DaybyDay[[#This Row],[_Space]],IFERROR(
((DaybyDay[[#This Row],[Actual-Rollup]]-DaybyDay[[#This Row],[LY-Rollup]])/DaybyDay[[#This Row],[LY-Rollup]]),0),"")</f>
        <v>0</v>
      </c>
      <c r="Z1103"/>
      <c r="AA1103" s="37" t="e">
        <f>IF(DaybyDay[[#This Row],[_Space]],DaybyDay[[#This Row],[Ret-Act-RU]]/DaybyDay[[#This Row],[Serv-Act-RU]],"")</f>
        <v>#DIV/0!</v>
      </c>
      <c r="AB1103" s="50" t="e">
        <f>IF(DaybyDay[[#This Row],[_Space]],DaybyDay[[#This Row],[RETPEN-Act]]/DaybyDay[[#This Row],[RETPEN-Bud]],"")</f>
        <v>#DIV/0!</v>
      </c>
      <c r="AC1103" s="37" t="e">
        <f>IF(DaybyDay[[#This Row],[_Space]],DaybyDay[[#This Row],[Ret-Bud-RU]]/DaybyDay[[#This Row],[Serv-Bud-RU]],"")</f>
        <v>#DIV/0!</v>
      </c>
      <c r="AD1103" s="37" t="e">
        <f>IF(DaybyDay[[#This Row],[_Space]],DaybyDay[[#This Row],[Ret-LY-RU]]/DaybyDay[[#This Row],[Serv-LY-RU]],"")</f>
        <v>#DIV/0!</v>
      </c>
      <c r="AE1103" s="30">
        <f>WEEKDAY(DaybyDay[[#This Row],[LY-Date]])</f>
        <v>5</v>
      </c>
      <c r="AF1103" s="38">
        <f>$E$2+_xlfn.DAYS(DaybyDay[[#This Row],[Date]],minDate)</f>
        <v>43468</v>
      </c>
      <c r="AG1103" s="39" cm="1">
        <f t="array" ref="AG1103">IFERROR(INDEX(DaybyDay[],DaybyDay[[#This Row],[FORM_MATCH_HELPER]],8),"")</f>
        <v>25</v>
      </c>
      <c r="AH1103" s="39" cm="1">
        <f t="array" ref="AH1103">IFERROR(INDEX(DaybyDay[],DaybyDay[[#This Row],[FORM_MATCH_HELPER]],10),"")</f>
        <v>4670.1499999999996</v>
      </c>
      <c r="AI1103" s="39" cm="1">
        <f t="array" ref="AI1103">IFERROR(INDEX(DaybyDay[],DaybyDay[[#This Row],[FORM_MATCH_HELPER]],12),"")</f>
        <v>1264.7</v>
      </c>
      <c r="AJ1103" s="32">
        <f>IFERROR(DaybyDay[[#This Row],[Serv-LY-RU]]+DaybyDay[[#This Row],[Ret-LY-RU]],"")</f>
        <v>0</v>
      </c>
      <c r="AK11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03" s="77"/>
      <c r="AM1103" s="40" t="str">
        <f>IF(DaybyDay[[#This Row],[Admin Hours]]&gt;0,DaybyDay[[#This Row],[Admin Hours]]*$AM$2+$AM$3,"")</f>
        <v/>
      </c>
      <c r="AN1103" s="40">
        <f>SUMIFS(DaybyDay[Est-Admin-Payroll],DaybyDay[Date],"&gt;="&amp;$C$5,DaybyDay[RowYear],"&gt;="&amp;$C$4,DaybyDay[Date],"&lt;="&amp;DaybyDay[[#This Row],[Date]])</f>
        <v>0</v>
      </c>
      <c r="AO1103" s="41" t="str">
        <f>IF(AND(DaybyDay[[#This Row],[_Space]],ISNUMBER(DaybyDay[[#This Row],[Admin Hours]])),DaybyDay[[#This Row],[Est-Admin-Payroll]]/(DaybyDay[[#This Row],[Service-Actuals]]+DaybyDay[[#This Row],[Retail-Actuals]]),"")</f>
        <v/>
      </c>
      <c r="AP1103" s="41" t="e">
        <f>DaybyDay[[#This Row],[Estimated-Payroll-Rollup]]/DaybyDay[[#This Row],[Simple-Forecast]]</f>
        <v>#DIV/0!</v>
      </c>
      <c r="AQ11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03" s="77"/>
      <c r="AS1103" s="40" t="str">
        <f>IF(DaybyDay[[#This Row],[Retail Hours]]&gt;0,DaybyDay[[#This Row],[Retail Hours]]*$AS$2,"")</f>
        <v/>
      </c>
      <c r="AT1103" s="40">
        <f>SUMIFS(DaybyDay[Est-Retail-Payroll],DaybyDay[Date],"&gt;="&amp;$C$5,DaybyDay[RowYear],"&gt;="&amp;$C$4,DaybyDay[Date],"&lt;="&amp;DaybyDay[[#This Row],[Date]])</f>
        <v>0</v>
      </c>
      <c r="AU1103" s="82" t="str">
        <f>IF(AND(DaybyDay[[#This Row],[_Space]],ISNUMBER(DaybyDay[[#This Row],[Retail Hours]])),DaybyDay[[#This Row],[Est-Retail-Payroll]]/(DaybyDay[[#This Row],[Retail-Actuals]]),"")</f>
        <v/>
      </c>
      <c r="AV1103" s="82" t="e">
        <f>DaybyDay[[#This Row],[Est-Retail-PayrollRU]]/DaybyDay[[#This Row],[Simple-Forecast-Retail]]</f>
        <v>#DIV/0!</v>
      </c>
      <c r="AW1103" s="8"/>
      <c r="AX1103" s="15"/>
      <c r="AY1103" s="8"/>
    </row>
    <row r="1104" spans="3:51" hidden="1" x14ac:dyDescent="0.25">
      <c r="C1104" s="26" t="str">
        <f>Tools!$C$1</f>
        <v>Example</v>
      </c>
      <c r="D1104" s="27" t="s">
        <v>79</v>
      </c>
      <c r="E1104" s="28">
        <v>2019</v>
      </c>
      <c r="F1104" s="28">
        <f>MATCH(DaybyDay[[#This Row],[RowMonth]],Table3[SummaryMonth],0)</f>
        <v>12</v>
      </c>
      <c r="G1104" s="29">
        <f>MATCH(DaybyDay[[#This Row],[LY-Date]],DaybyDay[Date],0)</f>
        <v>734</v>
      </c>
      <c r="H1104" s="30">
        <f>WEEKDAY(DaybyDay[[#This Row],[Date]])</f>
        <v>6</v>
      </c>
      <c r="I1104" s="31">
        <v>43833</v>
      </c>
      <c r="J1104" s="74">
        <v>31</v>
      </c>
      <c r="K1104" s="32">
        <f>SUMIFS(BudgetSeasonality[365 Seasonality],BudgetSeasonality[MonthAdjustment],DaybyDay[[#This Row],[Date]])*SUMIFS(Budgets[Service-Budget],Budgets[BudgetMonth],DaybyDay[[#This Row],[RowMonth]],Budgets[BudgetYear],DaybyDay[[#This Row],[RowYear]])</f>
        <v>7139.3450404900659</v>
      </c>
      <c r="L1104" s="75">
        <v>6731.5300000000007</v>
      </c>
      <c r="M1104" s="32">
        <f>INDEX(BudgetSeasonality[365 Seasonality],MATCH(DaybyDay[[#This Row],[Date]],BudgetSeasonality[MonthAdjustment],0))*SUMIFS(Budgets[Retail-Budget],Budgets[BudgetMonth],DaybyDay[[#This Row],[RowMonth]],Budgets[BudgetYear],DaybyDay[[#This Row],[RowYear]])</f>
        <v>1770.146644274819</v>
      </c>
      <c r="N1104" s="75">
        <v>615.26</v>
      </c>
      <c r="O1104" s="33">
        <f>SUMIFS(DaybyDay[Service-Budgets],DaybyDay[Date],"&gt;="&amp;$C$5,DaybyDay[RowYear],"&gt;="&amp;$C$4,DaybyDay[Date],"&lt;="&amp;DaybyDay[[#This Row],[Date]])</f>
        <v>0</v>
      </c>
      <c r="P1104" s="33">
        <f>SUMIFS(DaybyDay[Retail-Budgets],DaybyDay[Date],"&gt;="&amp;$C$5,DaybyDay[RowYear],"&gt;="&amp;$C$4,DaybyDay[Date],"&lt;="&amp;DaybyDay[[#This Row],[Date]])</f>
        <v>0</v>
      </c>
      <c r="Q1104" s="34">
        <f>SUMIFS(DaybyDay[Service-Actuals],DaybyDay[Date],"&gt;="&amp;$C$5,DaybyDay[RowYear],"&gt;="&amp;$C$4,DaybyDay[Date],"&lt;="&amp;DaybyDay[[#This Row],[Date]])</f>
        <v>0</v>
      </c>
      <c r="R1104" s="34">
        <f>SUMIFS(DaybyDay[Retail-Actuals],DaybyDay[Date],"&gt;="&amp;$C$5,DaybyDay[RowYear],"&gt;="&amp;$C$4,DaybyDay[Date],"&lt;="&amp;DaybyDay[[#This Row],[Date]])</f>
        <v>0</v>
      </c>
      <c r="S1104" s="35">
        <f>SUMIFS(DaybyDay[Service-LY],DaybyDay[Date],"&gt;="&amp;$C$5,DaybyDay[RowYear],"&gt;="&amp;$C$4,DaybyDay[Date],"&lt;="&amp;DaybyDay[[#This Row],[Date]])</f>
        <v>0</v>
      </c>
      <c r="T1104" s="35">
        <f>SUMIFS(DaybyDay[Retail-LY],DaybyDay[Date],"&gt;="&amp;$C$5,DaybyDay[RowYear],"&gt;="&amp;$C$4,DaybyDay[Date],"&lt;="&amp;DaybyDay[[#This Row],[Date]])</f>
        <v>0</v>
      </c>
      <c r="U1104" s="32">
        <f>DaybyDay[[#This Row],[Serv-Bud-RU]]+DaybyDay[[#This Row],[Ret-Bud-RU]]</f>
        <v>0</v>
      </c>
      <c r="V1104" s="32">
        <f>DaybyDay[[#This Row],[Serv-Act-RU]]+DaybyDay[[#This Row],[Ret-Act-RU]]</f>
        <v>0</v>
      </c>
      <c r="W1104" s="36">
        <f>IF(DaybyDay[[#This Row],[_Space]],IFERROR(
((DaybyDay[[#This Row],[Actual-Rollup]]-DaybyDay[[#This Row],[Budget-Rollup]])/DaybyDay[[#This Row],[Budget-Rollup]]),0),"")</f>
        <v>0</v>
      </c>
      <c r="X1104" t="b">
        <f>NOT(AND(ISBLANK(DaybyDay[[#This Row],[Appts]]),ISBLANK(DaybyDay[[#This Row],[Service-Actuals]]),ISBLANK(DaybyDay[[#This Row],[Retail-Actuals]])))</f>
        <v>1</v>
      </c>
      <c r="Y1104" s="36">
        <f>IF(DaybyDay[[#This Row],[_Space]],IFERROR(
((DaybyDay[[#This Row],[Actual-Rollup]]-DaybyDay[[#This Row],[LY-Rollup]])/DaybyDay[[#This Row],[LY-Rollup]]),0),"")</f>
        <v>0</v>
      </c>
      <c r="Z1104"/>
      <c r="AA1104" s="37" t="e">
        <f>IF(DaybyDay[[#This Row],[_Space]],DaybyDay[[#This Row],[Ret-Act-RU]]/DaybyDay[[#This Row],[Serv-Act-RU]],"")</f>
        <v>#DIV/0!</v>
      </c>
      <c r="AB1104" s="50" t="e">
        <f>IF(DaybyDay[[#This Row],[_Space]],DaybyDay[[#This Row],[RETPEN-Act]]/DaybyDay[[#This Row],[RETPEN-Bud]],"")</f>
        <v>#DIV/0!</v>
      </c>
      <c r="AC1104" s="37" t="e">
        <f>IF(DaybyDay[[#This Row],[_Space]],DaybyDay[[#This Row],[Ret-Bud-RU]]/DaybyDay[[#This Row],[Serv-Bud-RU]],"")</f>
        <v>#DIV/0!</v>
      </c>
      <c r="AD1104" s="37" t="e">
        <f>IF(DaybyDay[[#This Row],[_Space]],DaybyDay[[#This Row],[Ret-LY-RU]]/DaybyDay[[#This Row],[Serv-LY-RU]],"")</f>
        <v>#DIV/0!</v>
      </c>
      <c r="AE1104" s="30">
        <f>WEEKDAY(DaybyDay[[#This Row],[LY-Date]])</f>
        <v>6</v>
      </c>
      <c r="AF1104" s="38">
        <f>$E$2+_xlfn.DAYS(DaybyDay[[#This Row],[Date]],minDate)</f>
        <v>43469</v>
      </c>
      <c r="AG1104" s="39" cm="1">
        <f t="array" ref="AG1104">IFERROR(INDEX(DaybyDay[],DaybyDay[[#This Row],[FORM_MATCH_HELPER]],8),"")</f>
        <v>21</v>
      </c>
      <c r="AH1104" s="39" cm="1">
        <f t="array" ref="AH1104">IFERROR(INDEX(DaybyDay[],DaybyDay[[#This Row],[FORM_MATCH_HELPER]],10),"")</f>
        <v>4711.8</v>
      </c>
      <c r="AI1104" s="39" cm="1">
        <f t="array" ref="AI1104">IFERROR(INDEX(DaybyDay[],DaybyDay[[#This Row],[FORM_MATCH_HELPER]],12),"")</f>
        <v>68.5</v>
      </c>
      <c r="AJ1104" s="32">
        <f>IFERROR(DaybyDay[[#This Row],[Serv-LY-RU]]+DaybyDay[[#This Row],[Ret-LY-RU]],"")</f>
        <v>0</v>
      </c>
      <c r="AK11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04" s="77"/>
      <c r="AM1104" s="40" t="str">
        <f>IF(DaybyDay[[#This Row],[Admin Hours]]&gt;0,DaybyDay[[#This Row],[Admin Hours]]*$AM$2+$AM$3,"")</f>
        <v/>
      </c>
      <c r="AN1104" s="40">
        <f>SUMIFS(DaybyDay[Est-Admin-Payroll],DaybyDay[Date],"&gt;="&amp;$C$5,DaybyDay[RowYear],"&gt;="&amp;$C$4,DaybyDay[Date],"&lt;="&amp;DaybyDay[[#This Row],[Date]])</f>
        <v>0</v>
      </c>
      <c r="AO1104" s="41" t="str">
        <f>IF(AND(DaybyDay[[#This Row],[_Space]],ISNUMBER(DaybyDay[[#This Row],[Admin Hours]])),DaybyDay[[#This Row],[Est-Admin-Payroll]]/(DaybyDay[[#This Row],[Service-Actuals]]+DaybyDay[[#This Row],[Retail-Actuals]]),"")</f>
        <v/>
      </c>
      <c r="AP1104" s="41" t="e">
        <f>DaybyDay[[#This Row],[Estimated-Payroll-Rollup]]/DaybyDay[[#This Row],[Simple-Forecast]]</f>
        <v>#DIV/0!</v>
      </c>
      <c r="AQ11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04" s="77"/>
      <c r="AS1104" s="40" t="str">
        <f>IF(DaybyDay[[#This Row],[Retail Hours]]&gt;0,DaybyDay[[#This Row],[Retail Hours]]*$AS$2,"")</f>
        <v/>
      </c>
      <c r="AT1104" s="40">
        <f>SUMIFS(DaybyDay[Est-Retail-Payroll],DaybyDay[Date],"&gt;="&amp;$C$5,DaybyDay[RowYear],"&gt;="&amp;$C$4,DaybyDay[Date],"&lt;="&amp;DaybyDay[[#This Row],[Date]])</f>
        <v>0</v>
      </c>
      <c r="AU1104" s="82" t="str">
        <f>IF(AND(DaybyDay[[#This Row],[_Space]],ISNUMBER(DaybyDay[[#This Row],[Retail Hours]])),DaybyDay[[#This Row],[Est-Retail-Payroll]]/(DaybyDay[[#This Row],[Retail-Actuals]]),"")</f>
        <v/>
      </c>
      <c r="AV1104" s="82" t="e">
        <f>DaybyDay[[#This Row],[Est-Retail-PayrollRU]]/DaybyDay[[#This Row],[Simple-Forecast-Retail]]</f>
        <v>#DIV/0!</v>
      </c>
      <c r="AW1104" s="8"/>
      <c r="AX1104" s="15"/>
      <c r="AY1104" s="8"/>
    </row>
    <row r="1105" spans="3:51" hidden="1" x14ac:dyDescent="0.25">
      <c r="C1105" s="26" t="str">
        <f>Tools!$C$1</f>
        <v>Example</v>
      </c>
      <c r="D1105" s="27" t="s">
        <v>79</v>
      </c>
      <c r="E1105" s="28">
        <v>2019</v>
      </c>
      <c r="F1105" s="28">
        <f>MATCH(DaybyDay[[#This Row],[RowMonth]],Table3[SummaryMonth],0)</f>
        <v>12</v>
      </c>
      <c r="G1105" s="29">
        <f>MATCH(DaybyDay[[#This Row],[LY-Date]],DaybyDay[Date],0)</f>
        <v>735</v>
      </c>
      <c r="H1105" s="30">
        <f>WEEKDAY(DaybyDay[[#This Row],[Date]])</f>
        <v>7</v>
      </c>
      <c r="I1105" s="31">
        <v>43834</v>
      </c>
      <c r="J1105" s="74">
        <v>36</v>
      </c>
      <c r="K1105" s="32">
        <f>SUMIFS(BudgetSeasonality[365 Seasonality],BudgetSeasonality[MonthAdjustment],DaybyDay[[#This Row],[Date]])*SUMIFS(Budgets[Service-Budget],Budgets[BudgetMonth],DaybyDay[[#This Row],[RowMonth]],Budgets[BudgetYear],DaybyDay[[#This Row],[RowYear]])</f>
        <v>9558.0273545161654</v>
      </c>
      <c r="L1105" s="75">
        <v>9217.33</v>
      </c>
      <c r="M1105" s="32">
        <f>INDEX(BudgetSeasonality[365 Seasonality],MATCH(DaybyDay[[#This Row],[Date]],BudgetSeasonality[MonthAdjustment],0))*SUMIFS(Budgets[Retail-Budget],Budgets[BudgetMonth],DaybyDay[[#This Row],[RowMonth]],Budgets[BudgetYear],DaybyDay[[#This Row],[RowYear]])</f>
        <v>2369.8406438586053</v>
      </c>
      <c r="N1105" s="75">
        <v>1384</v>
      </c>
      <c r="O1105" s="33">
        <f>SUMIFS(DaybyDay[Service-Budgets],DaybyDay[Date],"&gt;="&amp;$C$5,DaybyDay[RowYear],"&gt;="&amp;$C$4,DaybyDay[Date],"&lt;="&amp;DaybyDay[[#This Row],[Date]])</f>
        <v>0</v>
      </c>
      <c r="P1105" s="33">
        <f>SUMIFS(DaybyDay[Retail-Budgets],DaybyDay[Date],"&gt;="&amp;$C$5,DaybyDay[RowYear],"&gt;="&amp;$C$4,DaybyDay[Date],"&lt;="&amp;DaybyDay[[#This Row],[Date]])</f>
        <v>0</v>
      </c>
      <c r="Q1105" s="34">
        <f>SUMIFS(DaybyDay[Service-Actuals],DaybyDay[Date],"&gt;="&amp;$C$5,DaybyDay[RowYear],"&gt;="&amp;$C$4,DaybyDay[Date],"&lt;="&amp;DaybyDay[[#This Row],[Date]])</f>
        <v>0</v>
      </c>
      <c r="R1105" s="34">
        <f>SUMIFS(DaybyDay[Retail-Actuals],DaybyDay[Date],"&gt;="&amp;$C$5,DaybyDay[RowYear],"&gt;="&amp;$C$4,DaybyDay[Date],"&lt;="&amp;DaybyDay[[#This Row],[Date]])</f>
        <v>0</v>
      </c>
      <c r="S1105" s="35">
        <f>SUMIFS(DaybyDay[Service-LY],DaybyDay[Date],"&gt;="&amp;$C$5,DaybyDay[RowYear],"&gt;="&amp;$C$4,DaybyDay[Date],"&lt;="&amp;DaybyDay[[#This Row],[Date]])</f>
        <v>0</v>
      </c>
      <c r="T1105" s="35">
        <f>SUMIFS(DaybyDay[Retail-LY],DaybyDay[Date],"&gt;="&amp;$C$5,DaybyDay[RowYear],"&gt;="&amp;$C$4,DaybyDay[Date],"&lt;="&amp;DaybyDay[[#This Row],[Date]])</f>
        <v>0</v>
      </c>
      <c r="U1105" s="32">
        <f>DaybyDay[[#This Row],[Serv-Bud-RU]]+DaybyDay[[#This Row],[Ret-Bud-RU]]</f>
        <v>0</v>
      </c>
      <c r="V1105" s="32">
        <f>DaybyDay[[#This Row],[Serv-Act-RU]]+DaybyDay[[#This Row],[Ret-Act-RU]]</f>
        <v>0</v>
      </c>
      <c r="W1105" s="36">
        <f>IF(DaybyDay[[#This Row],[_Space]],IFERROR(
((DaybyDay[[#This Row],[Actual-Rollup]]-DaybyDay[[#This Row],[Budget-Rollup]])/DaybyDay[[#This Row],[Budget-Rollup]]),0),"")</f>
        <v>0</v>
      </c>
      <c r="X1105" t="b">
        <f>NOT(AND(ISBLANK(DaybyDay[[#This Row],[Appts]]),ISBLANK(DaybyDay[[#This Row],[Service-Actuals]]),ISBLANK(DaybyDay[[#This Row],[Retail-Actuals]])))</f>
        <v>1</v>
      </c>
      <c r="Y1105" s="36">
        <f>IF(DaybyDay[[#This Row],[_Space]],IFERROR(
((DaybyDay[[#This Row],[Actual-Rollup]]-DaybyDay[[#This Row],[LY-Rollup]])/DaybyDay[[#This Row],[LY-Rollup]]),0),"")</f>
        <v>0</v>
      </c>
      <c r="Z1105"/>
      <c r="AA1105" s="37" t="e">
        <f>IF(DaybyDay[[#This Row],[_Space]],DaybyDay[[#This Row],[Ret-Act-RU]]/DaybyDay[[#This Row],[Serv-Act-RU]],"")</f>
        <v>#DIV/0!</v>
      </c>
      <c r="AB1105" s="50" t="e">
        <f>IF(DaybyDay[[#This Row],[_Space]],DaybyDay[[#This Row],[RETPEN-Act]]/DaybyDay[[#This Row],[RETPEN-Bud]],"")</f>
        <v>#DIV/0!</v>
      </c>
      <c r="AC1105" s="37" t="e">
        <f>IF(DaybyDay[[#This Row],[_Space]],DaybyDay[[#This Row],[Ret-Bud-RU]]/DaybyDay[[#This Row],[Serv-Bud-RU]],"")</f>
        <v>#DIV/0!</v>
      </c>
      <c r="AD1105" s="37" t="e">
        <f>IF(DaybyDay[[#This Row],[_Space]],DaybyDay[[#This Row],[Ret-LY-RU]]/DaybyDay[[#This Row],[Serv-LY-RU]],"")</f>
        <v>#DIV/0!</v>
      </c>
      <c r="AE1105" s="30">
        <f>WEEKDAY(DaybyDay[[#This Row],[LY-Date]])</f>
        <v>7</v>
      </c>
      <c r="AF1105" s="38">
        <f>$E$2+_xlfn.DAYS(DaybyDay[[#This Row],[Date]],minDate)</f>
        <v>43470</v>
      </c>
      <c r="AG1105" s="39" cm="1">
        <f t="array" ref="AG1105">IFERROR(INDEX(DaybyDay[],DaybyDay[[#This Row],[FORM_MATCH_HELPER]],8),"")</f>
        <v>18</v>
      </c>
      <c r="AH1105" s="39" cm="1">
        <f t="array" ref="AH1105">IFERROR(INDEX(DaybyDay[],DaybyDay[[#This Row],[FORM_MATCH_HELPER]],10),"")</f>
        <v>4603</v>
      </c>
      <c r="AI1105" s="39" cm="1">
        <f t="array" ref="AI1105">IFERROR(INDEX(DaybyDay[],DaybyDay[[#This Row],[FORM_MATCH_HELPER]],12),"")</f>
        <v>450</v>
      </c>
      <c r="AJ1105" s="32">
        <f>IFERROR(DaybyDay[[#This Row],[Serv-LY-RU]]+DaybyDay[[#This Row],[Ret-LY-RU]],"")</f>
        <v>0</v>
      </c>
      <c r="AK11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0</v>
      </c>
      <c r="AL1105" s="77"/>
      <c r="AM1105" s="40" t="str">
        <f>IF(DaybyDay[[#This Row],[Admin Hours]]&gt;0,DaybyDay[[#This Row],[Admin Hours]]*$AM$2+$AM$3,"")</f>
        <v/>
      </c>
      <c r="AN1105" s="40">
        <f>SUMIFS(DaybyDay[Est-Admin-Payroll],DaybyDay[Date],"&gt;="&amp;$C$5,DaybyDay[RowYear],"&gt;="&amp;$C$4,DaybyDay[Date],"&lt;="&amp;DaybyDay[[#This Row],[Date]])</f>
        <v>0</v>
      </c>
      <c r="AO1105" s="41" t="str">
        <f>IF(AND(DaybyDay[[#This Row],[_Space]],ISNUMBER(DaybyDay[[#This Row],[Admin Hours]])),DaybyDay[[#This Row],[Est-Admin-Payroll]]/(DaybyDay[[#This Row],[Service-Actuals]]+DaybyDay[[#This Row],[Retail-Actuals]]),"")</f>
        <v/>
      </c>
      <c r="AP1105" s="41" t="e">
        <f>DaybyDay[[#This Row],[Estimated-Payroll-Rollup]]/DaybyDay[[#This Row],[Simple-Forecast]]</f>
        <v>#DIV/0!</v>
      </c>
      <c r="AQ11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0</v>
      </c>
      <c r="AR1105" s="77"/>
      <c r="AS1105" s="40" t="str">
        <f>IF(DaybyDay[[#This Row],[Retail Hours]]&gt;0,DaybyDay[[#This Row],[Retail Hours]]*$AS$2,"")</f>
        <v/>
      </c>
      <c r="AT1105" s="40">
        <f>SUMIFS(DaybyDay[Est-Retail-Payroll],DaybyDay[Date],"&gt;="&amp;$C$5,DaybyDay[RowYear],"&gt;="&amp;$C$4,DaybyDay[Date],"&lt;="&amp;DaybyDay[[#This Row],[Date]])</f>
        <v>0</v>
      </c>
      <c r="AU1105" s="82" t="str">
        <f>IF(AND(DaybyDay[[#This Row],[_Space]],ISNUMBER(DaybyDay[[#This Row],[Retail Hours]])),DaybyDay[[#This Row],[Est-Retail-Payroll]]/(DaybyDay[[#This Row],[Retail-Actuals]]),"")</f>
        <v/>
      </c>
      <c r="AV1105" s="82" t="e">
        <f>DaybyDay[[#This Row],[Est-Retail-PayrollRU]]/DaybyDay[[#This Row],[Simple-Forecast-Retail]]</f>
        <v>#DIV/0!</v>
      </c>
      <c r="AW1105" s="8"/>
      <c r="AX1105" s="15"/>
      <c r="AY1105" s="8"/>
    </row>
    <row r="1106" spans="3:51" x14ac:dyDescent="0.25">
      <c r="C1106" s="26" t="str">
        <f>Tools!$C$1</f>
        <v>Example</v>
      </c>
      <c r="D1106" s="27" t="s">
        <v>68</v>
      </c>
      <c r="E1106" s="28">
        <v>2020</v>
      </c>
      <c r="F1106" s="28">
        <f>MATCH(DaybyDay[[#This Row],[RowMonth]],Table3[SummaryMonth],0)</f>
        <v>1</v>
      </c>
      <c r="G1106" s="29">
        <f>MATCH(DaybyDay[[#This Row],[LY-Date]],DaybyDay[Date],0)</f>
        <v>736</v>
      </c>
      <c r="H1106" s="30">
        <f>WEEKDAY(DaybyDay[[#This Row],[Date]])</f>
        <v>1</v>
      </c>
      <c r="I1106" s="31">
        <v>43835</v>
      </c>
      <c r="J1106" s="74">
        <v>35</v>
      </c>
      <c r="K1106" s="32">
        <f>SUMIFS(BudgetSeasonality[365 Seasonality],BudgetSeasonality[MonthAdjustment],DaybyDay[[#This Row],[Date]])*SUMIFS(Budgets[Service-Budget],Budgets[BudgetMonth],DaybyDay[[#This Row],[RowMonth]],Budgets[BudgetYear],DaybyDay[[#This Row],[RowYear]])</f>
        <v>6562.5011493768025</v>
      </c>
      <c r="L1106" s="75">
        <v>8430.17</v>
      </c>
      <c r="M1106" s="32">
        <f>INDEX(BudgetSeasonality[365 Seasonality],MATCH(DaybyDay[[#This Row],[Date]],BudgetSeasonality[MonthAdjustment],0))*SUMIFS(Budgets[Retail-Budget],Budgets[BudgetMonth],DaybyDay[[#This Row],[RowMonth]],Budgets[BudgetYear],DaybyDay[[#This Row],[RowYear]])</f>
        <v>1609.1368646955314</v>
      </c>
      <c r="N1106" s="75">
        <v>1166.5</v>
      </c>
      <c r="O1106" s="33">
        <f>SUMIFS(DaybyDay[Service-Budgets],DaybyDay[Date],"&gt;="&amp;$C$5,DaybyDay[RowYear],"&gt;="&amp;$C$4,DaybyDay[Date],"&lt;="&amp;DaybyDay[[#This Row],[Date]])</f>
        <v>6562.5011493768025</v>
      </c>
      <c r="P1106" s="33">
        <f>SUMIFS(DaybyDay[Retail-Budgets],DaybyDay[Date],"&gt;="&amp;$C$5,DaybyDay[RowYear],"&gt;="&amp;$C$4,DaybyDay[Date],"&lt;="&amp;DaybyDay[[#This Row],[Date]])</f>
        <v>1609.1368646955314</v>
      </c>
      <c r="Q1106" s="34">
        <f>SUMIFS(DaybyDay[Service-Actuals],DaybyDay[Date],"&gt;="&amp;$C$5,DaybyDay[RowYear],"&gt;="&amp;$C$4,DaybyDay[Date],"&lt;="&amp;DaybyDay[[#This Row],[Date]])</f>
        <v>8430.17</v>
      </c>
      <c r="R1106" s="34">
        <f>SUMIFS(DaybyDay[Retail-Actuals],DaybyDay[Date],"&gt;="&amp;$C$5,DaybyDay[RowYear],"&gt;="&amp;$C$4,DaybyDay[Date],"&lt;="&amp;DaybyDay[[#This Row],[Date]])</f>
        <v>1166.5</v>
      </c>
      <c r="S1106" s="35">
        <f>SUMIFS(DaybyDay[Service-LY],DaybyDay[Date],"&gt;="&amp;$C$5,DaybyDay[RowYear],"&gt;="&amp;$C$4,DaybyDay[Date],"&lt;="&amp;DaybyDay[[#This Row],[Date]])</f>
        <v>5580.05</v>
      </c>
      <c r="T1106" s="35">
        <f>SUMIFS(DaybyDay[Retail-LY],DaybyDay[Date],"&gt;="&amp;$C$5,DaybyDay[RowYear],"&gt;="&amp;$C$4,DaybyDay[Date],"&lt;="&amp;DaybyDay[[#This Row],[Date]])</f>
        <v>766.25</v>
      </c>
      <c r="U1106" s="32">
        <f>DaybyDay[[#This Row],[Serv-Bud-RU]]+DaybyDay[[#This Row],[Ret-Bud-RU]]</f>
        <v>8171.638014072334</v>
      </c>
      <c r="V1106" s="32">
        <f>DaybyDay[[#This Row],[Serv-Act-RU]]+DaybyDay[[#This Row],[Ret-Act-RU]]</f>
        <v>9596.67</v>
      </c>
      <c r="W1106" s="36">
        <f>IF(DaybyDay[[#This Row],[_Space]],IFERROR(
((DaybyDay[[#This Row],[Actual-Rollup]]-DaybyDay[[#This Row],[Budget-Rollup]])/DaybyDay[[#This Row],[Budget-Rollup]]),0),"")</f>
        <v>0.17438755650625076</v>
      </c>
      <c r="X1106" t="b">
        <f>NOT(AND(ISBLANK(DaybyDay[[#This Row],[Appts]]),ISBLANK(DaybyDay[[#This Row],[Service-Actuals]]),ISBLANK(DaybyDay[[#This Row],[Retail-Actuals]])))</f>
        <v>1</v>
      </c>
      <c r="Y1106" s="36">
        <f>IF(DaybyDay[[#This Row],[_Space]],IFERROR(
((DaybyDay[[#This Row],[Actual-Rollup]]-DaybyDay[[#This Row],[LY-Rollup]])/DaybyDay[[#This Row],[LY-Rollup]]),0),"")</f>
        <v>0.51216771977372644</v>
      </c>
      <c r="Z1106"/>
      <c r="AA1106" s="37">
        <f>IF(DaybyDay[[#This Row],[_Space]],DaybyDay[[#This Row],[Ret-Act-RU]]/DaybyDay[[#This Row],[Serv-Act-RU]],"")</f>
        <v>0.13837206129888246</v>
      </c>
      <c r="AB1106" s="50">
        <f>IF(DaybyDay[[#This Row],[_Space]],DaybyDay[[#This Row],[RETPEN-Act]]/DaybyDay[[#This Row],[RETPEN-Bud]],"")</f>
        <v>0.56431918952237226</v>
      </c>
      <c r="AC1106" s="37">
        <f>IF(DaybyDay[[#This Row],[_Space]],DaybyDay[[#This Row],[Ret-Bud-RU]]/DaybyDay[[#This Row],[Serv-Bud-RU]],"")</f>
        <v>0.24520176500819973</v>
      </c>
      <c r="AD1106" s="37">
        <f>IF(DaybyDay[[#This Row],[_Space]],DaybyDay[[#This Row],[Ret-LY-RU]]/DaybyDay[[#This Row],[Serv-LY-RU]],"")</f>
        <v>0.13731955806847609</v>
      </c>
      <c r="AE1106" s="30">
        <f>WEEKDAY(DaybyDay[[#This Row],[LY-Date]])</f>
        <v>1</v>
      </c>
      <c r="AF1106" s="38">
        <f>$E$2+_xlfn.DAYS(DaybyDay[[#This Row],[Date]],minDate)</f>
        <v>43471</v>
      </c>
      <c r="AG1106" s="39" cm="1">
        <f t="array" ref="AG1106">IFERROR(INDEX(DaybyDay[],DaybyDay[[#This Row],[FORM_MATCH_HELPER]],8),"")</f>
        <v>29</v>
      </c>
      <c r="AH1106" s="39" cm="1">
        <f t="array" ref="AH1106">IFERROR(INDEX(DaybyDay[],DaybyDay[[#This Row],[FORM_MATCH_HELPER]],10),"")</f>
        <v>5580.05</v>
      </c>
      <c r="AI1106" s="39" cm="1">
        <f t="array" ref="AI1106">IFERROR(INDEX(DaybyDay[],DaybyDay[[#This Row],[FORM_MATCH_HELPER]],12),"")</f>
        <v>766.25</v>
      </c>
      <c r="AJ1106" s="32">
        <f>IFERROR(DaybyDay[[#This Row],[Serv-LY-RU]]+DaybyDay[[#This Row],[Ret-LY-RU]],"")</f>
        <v>6346.3</v>
      </c>
      <c r="AK11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9596.67</v>
      </c>
      <c r="AL1106" s="77"/>
      <c r="AM1106" s="40" t="str">
        <f>IF(DaybyDay[[#This Row],[Admin Hours]]&gt;0,DaybyDay[[#This Row],[Admin Hours]]*$AM$2+$AM$3,"")</f>
        <v/>
      </c>
      <c r="AN1106" s="40">
        <f>SUMIFS(DaybyDay[Est-Admin-Payroll],DaybyDay[Date],"&gt;="&amp;$C$5,DaybyDay[RowYear],"&gt;="&amp;$C$4,DaybyDay[Date],"&lt;="&amp;DaybyDay[[#This Row],[Date]])</f>
        <v>0</v>
      </c>
      <c r="AO1106" s="41" t="str">
        <f>IF(AND(DaybyDay[[#This Row],[_Space]],ISNUMBER(DaybyDay[[#This Row],[Admin Hours]])),DaybyDay[[#This Row],[Est-Admin-Payroll]]/(DaybyDay[[#This Row],[Service-Actuals]]+DaybyDay[[#This Row],[Retail-Actuals]]),"")</f>
        <v/>
      </c>
      <c r="AP1106" s="41">
        <f>DaybyDay[[#This Row],[Estimated-Payroll-Rollup]]/DaybyDay[[#This Row],[Simple-Forecast]]</f>
        <v>0</v>
      </c>
      <c r="AQ11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1166.5</v>
      </c>
      <c r="AR1106" s="77"/>
      <c r="AS1106" s="40" t="str">
        <f>IF(DaybyDay[[#This Row],[Retail Hours]]&gt;0,DaybyDay[[#This Row],[Retail Hours]]*$AS$2,"")</f>
        <v/>
      </c>
      <c r="AT1106" s="40">
        <f>SUMIFS(DaybyDay[Est-Retail-Payroll],DaybyDay[Date],"&gt;="&amp;$C$5,DaybyDay[RowYear],"&gt;="&amp;$C$4,DaybyDay[Date],"&lt;="&amp;DaybyDay[[#This Row],[Date]])</f>
        <v>0</v>
      </c>
      <c r="AU1106" s="82" t="str">
        <f>IF(AND(DaybyDay[[#This Row],[_Space]],ISNUMBER(DaybyDay[[#This Row],[Retail Hours]])),DaybyDay[[#This Row],[Est-Retail-Payroll]]/(DaybyDay[[#This Row],[Retail-Actuals]]),"")</f>
        <v/>
      </c>
      <c r="AV1106" s="82">
        <f>DaybyDay[[#This Row],[Est-Retail-PayrollRU]]/DaybyDay[[#This Row],[Simple-Forecast-Retail]]</f>
        <v>0</v>
      </c>
      <c r="AW1106" s="8"/>
      <c r="AX1106" s="15"/>
      <c r="AY1106" s="8"/>
    </row>
    <row r="1107" spans="3:51" x14ac:dyDescent="0.25">
      <c r="C1107" s="26" t="str">
        <f>Tools!$C$1</f>
        <v>Example</v>
      </c>
      <c r="D1107" s="27" t="s">
        <v>68</v>
      </c>
      <c r="E1107" s="28">
        <v>2020</v>
      </c>
      <c r="F1107" s="28">
        <f>MATCH(DaybyDay[[#This Row],[RowMonth]],Table3[SummaryMonth],0)</f>
        <v>1</v>
      </c>
      <c r="G1107" s="29">
        <f>MATCH(DaybyDay[[#This Row],[LY-Date]],DaybyDay[Date],0)</f>
        <v>737</v>
      </c>
      <c r="H1107" s="30">
        <f>WEEKDAY(DaybyDay[[#This Row],[Date]])</f>
        <v>2</v>
      </c>
      <c r="I1107" s="31">
        <v>43836</v>
      </c>
      <c r="J1107" s="74">
        <v>12</v>
      </c>
      <c r="K1107" s="32">
        <f>SUMIFS(BudgetSeasonality[365 Seasonality],BudgetSeasonality[MonthAdjustment],DaybyDay[[#This Row],[Date]])*SUMIFS(Budgets[Service-Budget],Budgets[BudgetMonth],DaybyDay[[#This Row],[RowMonth]],Budgets[BudgetYear],DaybyDay[[#This Row],[RowYear]])</f>
        <v>4219.0515060366761</v>
      </c>
      <c r="L1107" s="75">
        <v>3211.2</v>
      </c>
      <c r="M1107" s="32">
        <f>INDEX(BudgetSeasonality[365 Seasonality],MATCH(DaybyDay[[#This Row],[Date]],BudgetSeasonality[MonthAdjustment],0))*SUMIFS(Budgets[Retail-Budget],Budgets[BudgetMonth],DaybyDay[[#This Row],[RowMonth]],Budgets[BudgetYear],DaybyDay[[#This Row],[RowYear]])</f>
        <v>1034.5188759406963</v>
      </c>
      <c r="N1107" s="75">
        <v>130</v>
      </c>
      <c r="O1107" s="33">
        <f>SUMIFS(DaybyDay[Service-Budgets],DaybyDay[Date],"&gt;="&amp;$C$5,DaybyDay[RowYear],"&gt;="&amp;$C$4,DaybyDay[Date],"&lt;="&amp;DaybyDay[[#This Row],[Date]])</f>
        <v>10781.552655413478</v>
      </c>
      <c r="P1107" s="33">
        <f>SUMIFS(DaybyDay[Retail-Budgets],DaybyDay[Date],"&gt;="&amp;$C$5,DaybyDay[RowYear],"&gt;="&amp;$C$4,DaybyDay[Date],"&lt;="&amp;DaybyDay[[#This Row],[Date]])</f>
        <v>2643.6557406362276</v>
      </c>
      <c r="Q1107" s="34">
        <f>SUMIFS(DaybyDay[Service-Actuals],DaybyDay[Date],"&gt;="&amp;$C$5,DaybyDay[RowYear],"&gt;="&amp;$C$4,DaybyDay[Date],"&lt;="&amp;DaybyDay[[#This Row],[Date]])</f>
        <v>11641.369999999999</v>
      </c>
      <c r="R1107" s="34">
        <f>SUMIFS(DaybyDay[Retail-Actuals],DaybyDay[Date],"&gt;="&amp;$C$5,DaybyDay[RowYear],"&gt;="&amp;$C$4,DaybyDay[Date],"&lt;="&amp;DaybyDay[[#This Row],[Date]])</f>
        <v>1296.5</v>
      </c>
      <c r="S1107" s="35">
        <f>SUMIFS(DaybyDay[Service-LY],DaybyDay[Date],"&gt;="&amp;$C$5,DaybyDay[RowYear],"&gt;="&amp;$C$4,DaybyDay[Date],"&lt;="&amp;DaybyDay[[#This Row],[Date]])</f>
        <v>7511.05</v>
      </c>
      <c r="T1107" s="35">
        <f>SUMIFS(DaybyDay[Retail-LY],DaybyDay[Date],"&gt;="&amp;$C$5,DaybyDay[RowYear],"&gt;="&amp;$C$4,DaybyDay[Date],"&lt;="&amp;DaybyDay[[#This Row],[Date]])</f>
        <v>973.25</v>
      </c>
      <c r="U1107" s="32">
        <f>DaybyDay[[#This Row],[Serv-Bud-RU]]+DaybyDay[[#This Row],[Ret-Bud-RU]]</f>
        <v>13425.208396049706</v>
      </c>
      <c r="V1107" s="32">
        <f>DaybyDay[[#This Row],[Serv-Act-RU]]+DaybyDay[[#This Row],[Ret-Act-RU]]</f>
        <v>12937.869999999999</v>
      </c>
      <c r="W1107" s="36">
        <f>IF(DaybyDay[[#This Row],[_Space]],IFERROR(
((DaybyDay[[#This Row],[Actual-Rollup]]-DaybyDay[[#This Row],[Budget-Rollup]])/DaybyDay[[#This Row],[Budget-Rollup]]),0),"")</f>
        <v>-3.6300248135671648E-2</v>
      </c>
      <c r="X1107" t="b">
        <f>NOT(AND(ISBLANK(DaybyDay[[#This Row],[Appts]]),ISBLANK(DaybyDay[[#This Row],[Service-Actuals]]),ISBLANK(DaybyDay[[#This Row],[Retail-Actuals]])))</f>
        <v>1</v>
      </c>
      <c r="Y1107" s="36">
        <f>IF(DaybyDay[[#This Row],[_Space]],IFERROR(
((DaybyDay[[#This Row],[Actual-Rollup]]-DaybyDay[[#This Row],[LY-Rollup]])/DaybyDay[[#This Row],[LY-Rollup]]),0),"")</f>
        <v>0.52491896797614424</v>
      </c>
      <c r="Z1107"/>
      <c r="AA1107" s="37">
        <f>IF(DaybyDay[[#This Row],[_Space]],DaybyDay[[#This Row],[Ret-Act-RU]]/DaybyDay[[#This Row],[Serv-Act-RU]],"")</f>
        <v>0.11137005352462813</v>
      </c>
      <c r="AB1107" s="50">
        <f>IF(DaybyDay[[#This Row],[_Space]],DaybyDay[[#This Row],[RETPEN-Act]]/DaybyDay[[#This Row],[RETPEN-Bud]],"")</f>
        <v>0.45419760139533993</v>
      </c>
      <c r="AC1107" s="37">
        <f>IF(DaybyDay[[#This Row],[_Space]],DaybyDay[[#This Row],[Ret-Bud-RU]]/DaybyDay[[#This Row],[Serv-Bud-RU]],"")</f>
        <v>0.24520176500819976</v>
      </c>
      <c r="AD1107" s="37">
        <f>IF(DaybyDay[[#This Row],[_Space]],DaybyDay[[#This Row],[Ret-LY-RU]]/DaybyDay[[#This Row],[Serv-LY-RU]],"")</f>
        <v>0.12957575838264956</v>
      </c>
      <c r="AE1107" s="30">
        <f>WEEKDAY(DaybyDay[[#This Row],[LY-Date]])</f>
        <v>2</v>
      </c>
      <c r="AF1107" s="38">
        <f>$E$2+_xlfn.DAYS(DaybyDay[[#This Row],[Date]],minDate)</f>
        <v>43472</v>
      </c>
      <c r="AG1107" s="39" cm="1">
        <f t="array" ref="AG1107">IFERROR(INDEX(DaybyDay[],DaybyDay[[#This Row],[FORM_MATCH_HELPER]],8),"")</f>
        <v>10</v>
      </c>
      <c r="AH1107" s="39" cm="1">
        <f t="array" ref="AH1107">IFERROR(INDEX(DaybyDay[],DaybyDay[[#This Row],[FORM_MATCH_HELPER]],10),"")</f>
        <v>1931</v>
      </c>
      <c r="AI1107" s="39" cm="1">
        <f t="array" ref="AI1107">IFERROR(INDEX(DaybyDay[],DaybyDay[[#This Row],[FORM_MATCH_HELPER]],12),"")</f>
        <v>207</v>
      </c>
      <c r="AJ1107" s="32">
        <f>IFERROR(DaybyDay[[#This Row],[Serv-LY-RU]]+DaybyDay[[#This Row],[Ret-LY-RU]],"")</f>
        <v>8484.2999999999993</v>
      </c>
      <c r="AK11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12937.869999999999</v>
      </c>
      <c r="AL1107" s="77"/>
      <c r="AM1107" s="40" t="str">
        <f>IF(DaybyDay[[#This Row],[Admin Hours]]&gt;0,DaybyDay[[#This Row],[Admin Hours]]*$AM$2+$AM$3,"")</f>
        <v/>
      </c>
      <c r="AN1107" s="40">
        <f>SUMIFS(DaybyDay[Est-Admin-Payroll],DaybyDay[Date],"&gt;="&amp;$C$5,DaybyDay[RowYear],"&gt;="&amp;$C$4,DaybyDay[Date],"&lt;="&amp;DaybyDay[[#This Row],[Date]])</f>
        <v>0</v>
      </c>
      <c r="AO1107" s="41" t="str">
        <f>IF(AND(DaybyDay[[#This Row],[_Space]],ISNUMBER(DaybyDay[[#This Row],[Admin Hours]])),DaybyDay[[#This Row],[Est-Admin-Payroll]]/(DaybyDay[[#This Row],[Service-Actuals]]+DaybyDay[[#This Row],[Retail-Actuals]]),"")</f>
        <v/>
      </c>
      <c r="AP1107" s="41">
        <f>DaybyDay[[#This Row],[Estimated-Payroll-Rollup]]/DaybyDay[[#This Row],[Simple-Forecast]]</f>
        <v>0</v>
      </c>
      <c r="AQ11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1296.5</v>
      </c>
      <c r="AR1107" s="77"/>
      <c r="AS1107" s="40" t="str">
        <f>IF(DaybyDay[[#This Row],[Retail Hours]]&gt;0,DaybyDay[[#This Row],[Retail Hours]]*$AS$2,"")</f>
        <v/>
      </c>
      <c r="AT1107" s="40">
        <f>SUMIFS(DaybyDay[Est-Retail-Payroll],DaybyDay[Date],"&gt;="&amp;$C$5,DaybyDay[RowYear],"&gt;="&amp;$C$4,DaybyDay[Date],"&lt;="&amp;DaybyDay[[#This Row],[Date]])</f>
        <v>0</v>
      </c>
      <c r="AU1107" s="82" t="str">
        <f>IF(AND(DaybyDay[[#This Row],[_Space]],ISNUMBER(DaybyDay[[#This Row],[Retail Hours]])),DaybyDay[[#This Row],[Est-Retail-Payroll]]/(DaybyDay[[#This Row],[Retail-Actuals]]),"")</f>
        <v/>
      </c>
      <c r="AV1107" s="82">
        <f>DaybyDay[[#This Row],[Est-Retail-PayrollRU]]/DaybyDay[[#This Row],[Simple-Forecast-Retail]]</f>
        <v>0</v>
      </c>
      <c r="AW1107" s="8"/>
      <c r="AX1107" s="15"/>
      <c r="AY1107" s="8"/>
    </row>
    <row r="1108" spans="3:51" x14ac:dyDescent="0.25">
      <c r="C1108" s="26" t="str">
        <f>Tools!$C$1</f>
        <v>Example</v>
      </c>
      <c r="D1108" s="27" t="s">
        <v>68</v>
      </c>
      <c r="E1108" s="28">
        <v>2020</v>
      </c>
      <c r="F1108" s="28">
        <f>MATCH(DaybyDay[[#This Row],[RowMonth]],Table3[SummaryMonth],0)</f>
        <v>1</v>
      </c>
      <c r="G1108" s="29">
        <f>MATCH(DaybyDay[[#This Row],[LY-Date]],DaybyDay[Date],0)</f>
        <v>738</v>
      </c>
      <c r="H1108" s="30">
        <f>WEEKDAY(DaybyDay[[#This Row],[Date]])</f>
        <v>3</v>
      </c>
      <c r="I1108" s="31">
        <v>43837</v>
      </c>
      <c r="J1108" s="74">
        <v>17</v>
      </c>
      <c r="K1108" s="32">
        <f>SUMIFS(BudgetSeasonality[365 Seasonality],BudgetSeasonality[MonthAdjustment],DaybyDay[[#This Row],[Date]])*SUMIFS(Budgets[Service-Budget],Budgets[BudgetMonth],DaybyDay[[#This Row],[RowMonth]],Budgets[BudgetYear],DaybyDay[[#This Row],[RowYear]])</f>
        <v>4289.2638022562978</v>
      </c>
      <c r="L1108" s="75">
        <v>3239</v>
      </c>
      <c r="M1108" s="32">
        <f>INDEX(BudgetSeasonality[365 Seasonality],MATCH(DaybyDay[[#This Row],[Date]],BudgetSeasonality[MonthAdjustment],0))*SUMIFS(Budgets[Retail-Budget],Budgets[BudgetMonth],DaybyDay[[#This Row],[RowMonth]],Budgets[BudgetYear],DaybyDay[[#This Row],[RowYear]])</f>
        <v>1051.735054899026</v>
      </c>
      <c r="N1108" s="75">
        <v>498.2</v>
      </c>
      <c r="O1108" s="33">
        <f>SUMIFS(DaybyDay[Service-Budgets],DaybyDay[Date],"&gt;="&amp;$C$5,DaybyDay[RowYear],"&gt;="&amp;$C$4,DaybyDay[Date],"&lt;="&amp;DaybyDay[[#This Row],[Date]])</f>
        <v>15070.816457669775</v>
      </c>
      <c r="P1108" s="33">
        <f>SUMIFS(DaybyDay[Retail-Budgets],DaybyDay[Date],"&gt;="&amp;$C$5,DaybyDay[RowYear],"&gt;="&amp;$C$4,DaybyDay[Date],"&lt;="&amp;DaybyDay[[#This Row],[Date]])</f>
        <v>3695.3907955352533</v>
      </c>
      <c r="Q1108" s="34">
        <f>SUMIFS(DaybyDay[Service-Actuals],DaybyDay[Date],"&gt;="&amp;$C$5,DaybyDay[RowYear],"&gt;="&amp;$C$4,DaybyDay[Date],"&lt;="&amp;DaybyDay[[#This Row],[Date]])</f>
        <v>14880.369999999999</v>
      </c>
      <c r="R1108" s="34">
        <f>SUMIFS(DaybyDay[Retail-Actuals],DaybyDay[Date],"&gt;="&amp;$C$5,DaybyDay[RowYear],"&gt;="&amp;$C$4,DaybyDay[Date],"&lt;="&amp;DaybyDay[[#This Row],[Date]])</f>
        <v>1794.7</v>
      </c>
      <c r="S1108" s="35">
        <f>SUMIFS(DaybyDay[Service-LY],DaybyDay[Date],"&gt;="&amp;$C$5,DaybyDay[RowYear],"&gt;="&amp;$C$4,DaybyDay[Date],"&lt;="&amp;DaybyDay[[#This Row],[Date]])</f>
        <v>11468.05</v>
      </c>
      <c r="T1108" s="35">
        <f>SUMIFS(DaybyDay[Retail-LY],DaybyDay[Date],"&gt;="&amp;$C$5,DaybyDay[RowYear],"&gt;="&amp;$C$4,DaybyDay[Date],"&lt;="&amp;DaybyDay[[#This Row],[Date]])</f>
        <v>1713.1799999999998</v>
      </c>
      <c r="U1108" s="32">
        <f>DaybyDay[[#This Row],[Serv-Bud-RU]]+DaybyDay[[#This Row],[Ret-Bud-RU]]</f>
        <v>18766.20725320503</v>
      </c>
      <c r="V1108" s="32">
        <f>DaybyDay[[#This Row],[Serv-Act-RU]]+DaybyDay[[#This Row],[Ret-Act-RU]]</f>
        <v>16675.07</v>
      </c>
      <c r="W1108" s="36">
        <f>IF(DaybyDay[[#This Row],[_Space]],IFERROR(
((DaybyDay[[#This Row],[Actual-Rollup]]-DaybyDay[[#This Row],[Budget-Rollup]])/DaybyDay[[#This Row],[Budget-Rollup]]),0),"")</f>
        <v>-0.11143100068064581</v>
      </c>
      <c r="X1108" t="b">
        <f>NOT(AND(ISBLANK(DaybyDay[[#This Row],[Appts]]),ISBLANK(DaybyDay[[#This Row],[Service-Actuals]]),ISBLANK(DaybyDay[[#This Row],[Retail-Actuals]])))</f>
        <v>1</v>
      </c>
      <c r="Y1108" s="36">
        <f>IF(DaybyDay[[#This Row],[_Space]],IFERROR(
((DaybyDay[[#This Row],[Actual-Rollup]]-DaybyDay[[#This Row],[LY-Rollup]])/DaybyDay[[#This Row],[LY-Rollup]]),0),"")</f>
        <v>0.26506175827293815</v>
      </c>
      <c r="Z1108"/>
      <c r="AA1108" s="37">
        <f>IF(DaybyDay[[#This Row],[_Space]],DaybyDay[[#This Row],[Ret-Act-RU]]/DaybyDay[[#This Row],[Serv-Act-RU]],"")</f>
        <v>0.12060856013660952</v>
      </c>
      <c r="AB1108" s="50">
        <f>IF(DaybyDay[[#This Row],[_Space]],DaybyDay[[#This Row],[RETPEN-Act]]/DaybyDay[[#This Row],[RETPEN-Bud]],"")</f>
        <v>0.49187476335081143</v>
      </c>
      <c r="AC1108" s="37">
        <f>IF(DaybyDay[[#This Row],[_Space]],DaybyDay[[#This Row],[Ret-Bud-RU]]/DaybyDay[[#This Row],[Serv-Bud-RU]],"")</f>
        <v>0.24520176500819973</v>
      </c>
      <c r="AD1108" s="37">
        <f>IF(DaybyDay[[#This Row],[_Space]],DaybyDay[[#This Row],[Ret-LY-RU]]/DaybyDay[[#This Row],[Serv-LY-RU]],"")</f>
        <v>0.14938721055454066</v>
      </c>
      <c r="AE1108" s="30">
        <f>WEEKDAY(DaybyDay[[#This Row],[LY-Date]])</f>
        <v>3</v>
      </c>
      <c r="AF1108" s="38">
        <f>$E$2+_xlfn.DAYS(DaybyDay[[#This Row],[Date]],minDate)</f>
        <v>43473</v>
      </c>
      <c r="AG1108" s="39" cm="1">
        <f t="array" ref="AG1108">IFERROR(INDEX(DaybyDay[],DaybyDay[[#This Row],[FORM_MATCH_HELPER]],8),"")</f>
        <v>17</v>
      </c>
      <c r="AH1108" s="39" cm="1">
        <f t="array" ref="AH1108">IFERROR(INDEX(DaybyDay[],DaybyDay[[#This Row],[FORM_MATCH_HELPER]],10),"")</f>
        <v>3957</v>
      </c>
      <c r="AI1108" s="39" cm="1">
        <f t="array" ref="AI1108">IFERROR(INDEX(DaybyDay[],DaybyDay[[#This Row],[FORM_MATCH_HELPER]],12),"")</f>
        <v>739.93</v>
      </c>
      <c r="AJ1108" s="32">
        <f>IFERROR(DaybyDay[[#This Row],[Serv-LY-RU]]+DaybyDay[[#This Row],[Ret-LY-RU]],"")</f>
        <v>13181.23</v>
      </c>
      <c r="AK11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16675.07</v>
      </c>
      <c r="AL1108" s="77"/>
      <c r="AM1108" s="40" t="str">
        <f>IF(DaybyDay[[#This Row],[Admin Hours]]&gt;0,DaybyDay[[#This Row],[Admin Hours]]*$AM$2+$AM$3,"")</f>
        <v/>
      </c>
      <c r="AN1108" s="40">
        <f>SUMIFS(DaybyDay[Est-Admin-Payroll],DaybyDay[Date],"&gt;="&amp;$C$5,DaybyDay[RowYear],"&gt;="&amp;$C$4,DaybyDay[Date],"&lt;="&amp;DaybyDay[[#This Row],[Date]])</f>
        <v>0</v>
      </c>
      <c r="AO1108" s="41" t="str">
        <f>IF(AND(DaybyDay[[#This Row],[_Space]],ISNUMBER(DaybyDay[[#This Row],[Admin Hours]])),DaybyDay[[#This Row],[Est-Admin-Payroll]]/(DaybyDay[[#This Row],[Service-Actuals]]+DaybyDay[[#This Row],[Retail-Actuals]]),"")</f>
        <v/>
      </c>
      <c r="AP1108" s="41">
        <f>DaybyDay[[#This Row],[Estimated-Payroll-Rollup]]/DaybyDay[[#This Row],[Simple-Forecast]]</f>
        <v>0</v>
      </c>
      <c r="AQ11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1794.7</v>
      </c>
      <c r="AR1108" s="77"/>
      <c r="AS1108" s="40" t="str">
        <f>IF(DaybyDay[[#This Row],[Retail Hours]]&gt;0,DaybyDay[[#This Row],[Retail Hours]]*$AS$2,"")</f>
        <v/>
      </c>
      <c r="AT1108" s="40">
        <f>SUMIFS(DaybyDay[Est-Retail-Payroll],DaybyDay[Date],"&gt;="&amp;$C$5,DaybyDay[RowYear],"&gt;="&amp;$C$4,DaybyDay[Date],"&lt;="&amp;DaybyDay[[#This Row],[Date]])</f>
        <v>0</v>
      </c>
      <c r="AU1108" s="82" t="str">
        <f>IF(AND(DaybyDay[[#This Row],[_Space]],ISNUMBER(DaybyDay[[#This Row],[Retail Hours]])),DaybyDay[[#This Row],[Est-Retail-Payroll]]/(DaybyDay[[#This Row],[Retail-Actuals]]),"")</f>
        <v/>
      </c>
      <c r="AV1108" s="82">
        <f>DaybyDay[[#This Row],[Est-Retail-PayrollRU]]/DaybyDay[[#This Row],[Simple-Forecast-Retail]]</f>
        <v>0</v>
      </c>
      <c r="AW1108" s="8"/>
      <c r="AX1108" s="15"/>
      <c r="AY1108" s="8"/>
    </row>
    <row r="1109" spans="3:51" x14ac:dyDescent="0.25">
      <c r="C1109" s="26" t="str">
        <f>Tools!$C$1</f>
        <v>Example</v>
      </c>
      <c r="D1109" s="27" t="s">
        <v>68</v>
      </c>
      <c r="E1109" s="28">
        <v>2020</v>
      </c>
      <c r="F1109" s="28">
        <f>MATCH(DaybyDay[[#This Row],[RowMonth]],Table3[SummaryMonth],0)</f>
        <v>1</v>
      </c>
      <c r="G1109" s="29">
        <f>MATCH(DaybyDay[[#This Row],[LY-Date]],DaybyDay[Date],0)</f>
        <v>739</v>
      </c>
      <c r="H1109" s="30">
        <f>WEEKDAY(DaybyDay[[#This Row],[Date]])</f>
        <v>4</v>
      </c>
      <c r="I1109" s="31">
        <v>43838</v>
      </c>
      <c r="J1109" s="74">
        <v>26</v>
      </c>
      <c r="K1109" s="32">
        <f>SUMIFS(BudgetSeasonality[365 Seasonality],BudgetSeasonality[MonthAdjustment],DaybyDay[[#This Row],[Date]])*SUMIFS(Budgets[Service-Budget],Budgets[BudgetMonth],DaybyDay[[#This Row],[RowMonth]],Budgets[BudgetYear],DaybyDay[[#This Row],[RowYear]])</f>
        <v>4784.1621262163262</v>
      </c>
      <c r="L1109" s="75">
        <v>3479.8</v>
      </c>
      <c r="M1109" s="32">
        <f>INDEX(BudgetSeasonality[365 Seasonality],MATCH(DaybyDay[[#This Row],[Date]],BudgetSeasonality[MonthAdjustment],0))*SUMIFS(Budgets[Retail-Budget],Budgets[BudgetMonth],DaybyDay[[#This Row],[RowMonth]],Budgets[BudgetYear],DaybyDay[[#This Row],[RowYear]])</f>
        <v>1173.0849974336247</v>
      </c>
      <c r="N1109" s="75">
        <v>1042</v>
      </c>
      <c r="O1109" s="33">
        <f>SUMIFS(DaybyDay[Service-Budgets],DaybyDay[Date],"&gt;="&amp;$C$5,DaybyDay[RowYear],"&gt;="&amp;$C$4,DaybyDay[Date],"&lt;="&amp;DaybyDay[[#This Row],[Date]])</f>
        <v>19854.978583886099</v>
      </c>
      <c r="P1109" s="33">
        <f>SUMIFS(DaybyDay[Retail-Budgets],DaybyDay[Date],"&gt;="&amp;$C$5,DaybyDay[RowYear],"&gt;="&amp;$C$4,DaybyDay[Date],"&lt;="&amp;DaybyDay[[#This Row],[Date]])</f>
        <v>4868.4757929688785</v>
      </c>
      <c r="Q1109" s="34">
        <f>SUMIFS(DaybyDay[Service-Actuals],DaybyDay[Date],"&gt;="&amp;$C$5,DaybyDay[RowYear],"&gt;="&amp;$C$4,DaybyDay[Date],"&lt;="&amp;DaybyDay[[#This Row],[Date]])</f>
        <v>18360.169999999998</v>
      </c>
      <c r="R1109" s="34">
        <f>SUMIFS(DaybyDay[Retail-Actuals],DaybyDay[Date],"&gt;="&amp;$C$5,DaybyDay[RowYear],"&gt;="&amp;$C$4,DaybyDay[Date],"&lt;="&amp;DaybyDay[[#This Row],[Date]])</f>
        <v>2836.7</v>
      </c>
      <c r="S1109" s="35">
        <f>SUMIFS(DaybyDay[Service-LY],DaybyDay[Date],"&gt;="&amp;$C$5,DaybyDay[RowYear],"&gt;="&amp;$C$4,DaybyDay[Date],"&lt;="&amp;DaybyDay[[#This Row],[Date]])</f>
        <v>14883.349999999999</v>
      </c>
      <c r="T1109" s="35">
        <f>SUMIFS(DaybyDay[Retail-LY],DaybyDay[Date],"&gt;="&amp;$C$5,DaybyDay[RowYear],"&gt;="&amp;$C$4,DaybyDay[Date],"&lt;="&amp;DaybyDay[[#This Row],[Date]])</f>
        <v>2357.89</v>
      </c>
      <c r="U1109" s="32">
        <f>DaybyDay[[#This Row],[Serv-Bud-RU]]+DaybyDay[[#This Row],[Ret-Bud-RU]]</f>
        <v>24723.454376854977</v>
      </c>
      <c r="V1109" s="32">
        <f>DaybyDay[[#This Row],[Serv-Act-RU]]+DaybyDay[[#This Row],[Ret-Act-RU]]</f>
        <v>21196.87</v>
      </c>
      <c r="W1109" s="36">
        <f>IF(DaybyDay[[#This Row],[_Space]],IFERROR(
((DaybyDay[[#This Row],[Actual-Rollup]]-DaybyDay[[#This Row],[Budget-Rollup]])/DaybyDay[[#This Row],[Budget-Rollup]]),0),"")</f>
        <v>-0.14264124758215072</v>
      </c>
      <c r="X1109" t="b">
        <f>NOT(AND(ISBLANK(DaybyDay[[#This Row],[Appts]]),ISBLANK(DaybyDay[[#This Row],[Service-Actuals]]),ISBLANK(DaybyDay[[#This Row],[Retail-Actuals]])))</f>
        <v>1</v>
      </c>
      <c r="Y1109" s="36">
        <f>IF(DaybyDay[[#This Row],[_Space]],IFERROR(
((DaybyDay[[#This Row],[Actual-Rollup]]-DaybyDay[[#This Row],[LY-Rollup]])/DaybyDay[[#This Row],[LY-Rollup]]),0),"")</f>
        <v>0.22942839378142185</v>
      </c>
      <c r="Z1109"/>
      <c r="AA1109" s="37">
        <f>IF(DaybyDay[[#This Row],[_Space]],DaybyDay[[#This Row],[Ret-Act-RU]]/DaybyDay[[#This Row],[Serv-Act-RU]],"")</f>
        <v>0.15450292671582017</v>
      </c>
      <c r="AB1109" s="50">
        <f>IF(DaybyDay[[#This Row],[_Space]],DaybyDay[[#This Row],[RETPEN-Act]]/DaybyDay[[#This Row],[RETPEN-Bud]],"")</f>
        <v>0.63010527966898378</v>
      </c>
      <c r="AC1109" s="37">
        <f>IF(DaybyDay[[#This Row],[_Space]],DaybyDay[[#This Row],[Ret-Bud-RU]]/DaybyDay[[#This Row],[Serv-Bud-RU]],"")</f>
        <v>0.24520176500819979</v>
      </c>
      <c r="AD1109" s="37">
        <f>IF(DaybyDay[[#This Row],[_Space]],DaybyDay[[#This Row],[Ret-LY-RU]]/DaybyDay[[#This Row],[Serv-LY-RU]],"")</f>
        <v>0.15842468261513706</v>
      </c>
      <c r="AE1109" s="30">
        <f>WEEKDAY(DaybyDay[[#This Row],[LY-Date]])</f>
        <v>4</v>
      </c>
      <c r="AF1109" s="38">
        <f>$E$2+_xlfn.DAYS(DaybyDay[[#This Row],[Date]],minDate)</f>
        <v>43474</v>
      </c>
      <c r="AG1109" s="39" cm="1">
        <f t="array" ref="AG1109">IFERROR(INDEX(DaybyDay[],DaybyDay[[#This Row],[FORM_MATCH_HELPER]],8),"")</f>
        <v>17</v>
      </c>
      <c r="AH1109" s="39" cm="1">
        <f t="array" ref="AH1109">IFERROR(INDEX(DaybyDay[],DaybyDay[[#This Row],[FORM_MATCH_HELPER]],10),"")</f>
        <v>3415.3</v>
      </c>
      <c r="AI1109" s="39" cm="1">
        <f t="array" ref="AI1109">IFERROR(INDEX(DaybyDay[],DaybyDay[[#This Row],[FORM_MATCH_HELPER]],12),"")</f>
        <v>644.71</v>
      </c>
      <c r="AJ1109" s="32">
        <f>IFERROR(DaybyDay[[#This Row],[Serv-LY-RU]]+DaybyDay[[#This Row],[Ret-LY-RU]],"")</f>
        <v>17241.239999999998</v>
      </c>
      <c r="AK11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21196.87</v>
      </c>
      <c r="AL1109" s="77"/>
      <c r="AM1109" s="40" t="str">
        <f>IF(DaybyDay[[#This Row],[Admin Hours]]&gt;0,DaybyDay[[#This Row],[Admin Hours]]*$AM$2+$AM$3,"")</f>
        <v/>
      </c>
      <c r="AN1109" s="40">
        <f>SUMIFS(DaybyDay[Est-Admin-Payroll],DaybyDay[Date],"&gt;="&amp;$C$5,DaybyDay[RowYear],"&gt;="&amp;$C$4,DaybyDay[Date],"&lt;="&amp;DaybyDay[[#This Row],[Date]])</f>
        <v>0</v>
      </c>
      <c r="AO1109" s="41" t="str">
        <f>IF(AND(DaybyDay[[#This Row],[_Space]],ISNUMBER(DaybyDay[[#This Row],[Admin Hours]])),DaybyDay[[#This Row],[Est-Admin-Payroll]]/(DaybyDay[[#This Row],[Service-Actuals]]+DaybyDay[[#This Row],[Retail-Actuals]]),"")</f>
        <v/>
      </c>
      <c r="AP1109" s="41">
        <f>DaybyDay[[#This Row],[Estimated-Payroll-Rollup]]/DaybyDay[[#This Row],[Simple-Forecast]]</f>
        <v>0</v>
      </c>
      <c r="AQ11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2836.7</v>
      </c>
      <c r="AR1109" s="77"/>
      <c r="AS1109" s="40" t="str">
        <f>IF(DaybyDay[[#This Row],[Retail Hours]]&gt;0,DaybyDay[[#This Row],[Retail Hours]]*$AS$2,"")</f>
        <v/>
      </c>
      <c r="AT1109" s="40">
        <f>SUMIFS(DaybyDay[Est-Retail-Payroll],DaybyDay[Date],"&gt;="&amp;$C$5,DaybyDay[RowYear],"&gt;="&amp;$C$4,DaybyDay[Date],"&lt;="&amp;DaybyDay[[#This Row],[Date]])</f>
        <v>0</v>
      </c>
      <c r="AU1109" s="82" t="str">
        <f>IF(AND(DaybyDay[[#This Row],[_Space]],ISNUMBER(DaybyDay[[#This Row],[Retail Hours]])),DaybyDay[[#This Row],[Est-Retail-Payroll]]/(DaybyDay[[#This Row],[Retail-Actuals]]),"")</f>
        <v/>
      </c>
      <c r="AV1109" s="82">
        <f>DaybyDay[[#This Row],[Est-Retail-PayrollRU]]/DaybyDay[[#This Row],[Simple-Forecast-Retail]]</f>
        <v>0</v>
      </c>
      <c r="AW1109" s="8"/>
      <c r="AX1109" s="15"/>
      <c r="AY1109" s="8"/>
    </row>
    <row r="1110" spans="3:51" x14ac:dyDescent="0.25">
      <c r="C1110" s="26" t="str">
        <f>Tools!$C$1</f>
        <v>Example</v>
      </c>
      <c r="D1110" s="27" t="s">
        <v>68</v>
      </c>
      <c r="E1110" s="28">
        <v>2020</v>
      </c>
      <c r="F1110" s="28">
        <f>MATCH(DaybyDay[[#This Row],[RowMonth]],Table3[SummaryMonth],0)</f>
        <v>1</v>
      </c>
      <c r="G1110" s="29">
        <f>MATCH(DaybyDay[[#This Row],[LY-Date]],DaybyDay[Date],0)</f>
        <v>740</v>
      </c>
      <c r="H1110" s="30">
        <f>WEEKDAY(DaybyDay[[#This Row],[Date]])</f>
        <v>5</v>
      </c>
      <c r="I1110" s="31">
        <v>43839</v>
      </c>
      <c r="J1110" s="74">
        <v>10</v>
      </c>
      <c r="K1110" s="32">
        <f>SUMIFS(BudgetSeasonality[365 Seasonality],BudgetSeasonality[MonthAdjustment],DaybyDay[[#This Row],[Date]])*SUMIFS(Budgets[Service-Budget],Budgets[BudgetMonth],DaybyDay[[#This Row],[RowMonth]],Budgets[BudgetYear],DaybyDay[[#This Row],[RowYear]])</f>
        <v>4852.0728865081646</v>
      </c>
      <c r="L1110" s="75">
        <v>2475.6999999999998</v>
      </c>
      <c r="M1110" s="32">
        <f>INDEX(BudgetSeasonality[365 Seasonality],MATCH(DaybyDay[[#This Row],[Date]],BudgetSeasonality[MonthAdjustment],0))*SUMIFS(Budgets[Retail-Budget],Budgets[BudgetMonth],DaybyDay[[#This Row],[RowMonth]],Budgets[BudgetYear],DaybyDay[[#This Row],[RowYear]])</f>
        <v>1189.7368357202324</v>
      </c>
      <c r="N1110" s="75">
        <v>671</v>
      </c>
      <c r="O1110" s="33">
        <f>SUMIFS(DaybyDay[Service-Budgets],DaybyDay[Date],"&gt;="&amp;$C$5,DaybyDay[RowYear],"&gt;="&amp;$C$4,DaybyDay[Date],"&lt;="&amp;DaybyDay[[#This Row],[Date]])</f>
        <v>24707.051470394264</v>
      </c>
      <c r="P1110" s="33">
        <f>SUMIFS(DaybyDay[Retail-Budgets],DaybyDay[Date],"&gt;="&amp;$C$5,DaybyDay[RowYear],"&gt;="&amp;$C$4,DaybyDay[Date],"&lt;="&amp;DaybyDay[[#This Row],[Date]])</f>
        <v>6058.2126286891107</v>
      </c>
      <c r="Q1110" s="34">
        <f>SUMIFS(DaybyDay[Service-Actuals],DaybyDay[Date],"&gt;="&amp;$C$5,DaybyDay[RowYear],"&gt;="&amp;$C$4,DaybyDay[Date],"&lt;="&amp;DaybyDay[[#This Row],[Date]])</f>
        <v>20835.87</v>
      </c>
      <c r="R1110" s="34">
        <f>SUMIFS(DaybyDay[Retail-Actuals],DaybyDay[Date],"&gt;="&amp;$C$5,DaybyDay[RowYear],"&gt;="&amp;$C$4,DaybyDay[Date],"&lt;="&amp;DaybyDay[[#This Row],[Date]])</f>
        <v>3507.7</v>
      </c>
      <c r="S1110" s="35">
        <f>SUMIFS(DaybyDay[Service-LY],DaybyDay[Date],"&gt;="&amp;$C$5,DaybyDay[RowYear],"&gt;="&amp;$C$4,DaybyDay[Date],"&lt;="&amp;DaybyDay[[#This Row],[Date]])</f>
        <v>17403.949999999997</v>
      </c>
      <c r="T1110" s="35">
        <f>SUMIFS(DaybyDay[Retail-LY],DaybyDay[Date],"&gt;="&amp;$C$5,DaybyDay[RowYear],"&gt;="&amp;$C$4,DaybyDay[Date],"&lt;="&amp;DaybyDay[[#This Row],[Date]])</f>
        <v>2942.89</v>
      </c>
      <c r="U1110" s="32">
        <f>DaybyDay[[#This Row],[Serv-Bud-RU]]+DaybyDay[[#This Row],[Ret-Bud-RU]]</f>
        <v>30765.264099083375</v>
      </c>
      <c r="V1110" s="32">
        <f>DaybyDay[[#This Row],[Serv-Act-RU]]+DaybyDay[[#This Row],[Ret-Act-RU]]</f>
        <v>24343.57</v>
      </c>
      <c r="W1110" s="36">
        <f>IF(DaybyDay[[#This Row],[_Space]],IFERROR(
((DaybyDay[[#This Row],[Actual-Rollup]]-DaybyDay[[#This Row],[Budget-Rollup]])/DaybyDay[[#This Row],[Budget-Rollup]]),0),"")</f>
        <v>-0.20873196727326987</v>
      </c>
      <c r="X1110" t="b">
        <f>NOT(AND(ISBLANK(DaybyDay[[#This Row],[Appts]]),ISBLANK(DaybyDay[[#This Row],[Service-Actuals]]),ISBLANK(DaybyDay[[#This Row],[Retail-Actuals]])))</f>
        <v>1</v>
      </c>
      <c r="Y1110" s="36">
        <f>IF(DaybyDay[[#This Row],[_Space]],IFERROR(
((DaybyDay[[#This Row],[Actual-Rollup]]-DaybyDay[[#This Row],[LY-Rollup]])/DaybyDay[[#This Row],[LY-Rollup]]),0),"")</f>
        <v>0.19643001075351277</v>
      </c>
      <c r="Z1110"/>
      <c r="AA1110" s="37">
        <f>IF(DaybyDay[[#This Row],[_Space]],DaybyDay[[#This Row],[Ret-Act-RU]]/DaybyDay[[#This Row],[Serv-Act-RU]],"")</f>
        <v>0.16834910181336321</v>
      </c>
      <c r="AB1110" s="50">
        <f>IF(DaybyDay[[#This Row],[_Space]],DaybyDay[[#This Row],[RETPEN-Act]]/DaybyDay[[#This Row],[RETPEN-Bud]],"")</f>
        <v>0.68657377652943674</v>
      </c>
      <c r="AC1110" s="37">
        <f>IF(DaybyDay[[#This Row],[_Space]],DaybyDay[[#This Row],[Ret-Bud-RU]]/DaybyDay[[#This Row],[Serv-Bud-RU]],"")</f>
        <v>0.24520176500819976</v>
      </c>
      <c r="AD1110" s="37">
        <f>IF(DaybyDay[[#This Row],[_Space]],DaybyDay[[#This Row],[Ret-LY-RU]]/DaybyDay[[#This Row],[Serv-LY-RU]],"")</f>
        <v>0.16909322309016059</v>
      </c>
      <c r="AE1110" s="30">
        <f>WEEKDAY(DaybyDay[[#This Row],[LY-Date]])</f>
        <v>5</v>
      </c>
      <c r="AF1110" s="38">
        <f>$E$2+_xlfn.DAYS(DaybyDay[[#This Row],[Date]],minDate)</f>
        <v>43475</v>
      </c>
      <c r="AG1110" s="39" cm="1">
        <f t="array" ref="AG1110">IFERROR(INDEX(DaybyDay[],DaybyDay[[#This Row],[FORM_MATCH_HELPER]],8),"")</f>
        <v>9</v>
      </c>
      <c r="AH1110" s="39" cm="1">
        <f t="array" ref="AH1110">IFERROR(INDEX(DaybyDay[],DaybyDay[[#This Row],[FORM_MATCH_HELPER]],10),"")</f>
        <v>2520.6</v>
      </c>
      <c r="AI1110" s="39" cm="1">
        <f t="array" ref="AI1110">IFERROR(INDEX(DaybyDay[],DaybyDay[[#This Row],[FORM_MATCH_HELPER]],12),"")</f>
        <v>585</v>
      </c>
      <c r="AJ1110" s="32">
        <f>IFERROR(DaybyDay[[#This Row],[Serv-LY-RU]]+DaybyDay[[#This Row],[Ret-LY-RU]],"")</f>
        <v>20346.839999999997</v>
      </c>
      <c r="AK11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24343.57</v>
      </c>
      <c r="AL1110" s="77"/>
      <c r="AM1110" s="40" t="str">
        <f>IF(DaybyDay[[#This Row],[Admin Hours]]&gt;0,DaybyDay[[#This Row],[Admin Hours]]*$AM$2+$AM$3,"")</f>
        <v/>
      </c>
      <c r="AN1110" s="40">
        <f>SUMIFS(DaybyDay[Est-Admin-Payroll],DaybyDay[Date],"&gt;="&amp;$C$5,DaybyDay[RowYear],"&gt;="&amp;$C$4,DaybyDay[Date],"&lt;="&amp;DaybyDay[[#This Row],[Date]])</f>
        <v>0</v>
      </c>
      <c r="AO1110" s="41" t="str">
        <f>IF(AND(DaybyDay[[#This Row],[_Space]],ISNUMBER(DaybyDay[[#This Row],[Admin Hours]])),DaybyDay[[#This Row],[Est-Admin-Payroll]]/(DaybyDay[[#This Row],[Service-Actuals]]+DaybyDay[[#This Row],[Retail-Actuals]]),"")</f>
        <v/>
      </c>
      <c r="AP1110" s="41">
        <f>DaybyDay[[#This Row],[Estimated-Payroll-Rollup]]/DaybyDay[[#This Row],[Simple-Forecast]]</f>
        <v>0</v>
      </c>
      <c r="AQ11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3507.7</v>
      </c>
      <c r="AR1110" s="77"/>
      <c r="AS1110" s="40" t="str">
        <f>IF(DaybyDay[[#This Row],[Retail Hours]]&gt;0,DaybyDay[[#This Row],[Retail Hours]]*$AS$2,"")</f>
        <v/>
      </c>
      <c r="AT1110" s="40">
        <f>SUMIFS(DaybyDay[Est-Retail-Payroll],DaybyDay[Date],"&gt;="&amp;$C$5,DaybyDay[RowYear],"&gt;="&amp;$C$4,DaybyDay[Date],"&lt;="&amp;DaybyDay[[#This Row],[Date]])</f>
        <v>0</v>
      </c>
      <c r="AU1110" s="82" t="str">
        <f>IF(AND(DaybyDay[[#This Row],[_Space]],ISNUMBER(DaybyDay[[#This Row],[Retail Hours]])),DaybyDay[[#This Row],[Est-Retail-Payroll]]/(DaybyDay[[#This Row],[Retail-Actuals]]),"")</f>
        <v/>
      </c>
      <c r="AV1110" s="82">
        <f>DaybyDay[[#This Row],[Est-Retail-PayrollRU]]/DaybyDay[[#This Row],[Simple-Forecast-Retail]]</f>
        <v>0</v>
      </c>
      <c r="AW1110" s="8"/>
      <c r="AX1110" s="15"/>
      <c r="AY1110" s="8"/>
    </row>
    <row r="1111" spans="3:51" x14ac:dyDescent="0.25">
      <c r="C1111" s="26" t="str">
        <f>Tools!$C$1</f>
        <v>Example</v>
      </c>
      <c r="D1111" s="27" t="s">
        <v>68</v>
      </c>
      <c r="E1111" s="28">
        <v>2020</v>
      </c>
      <c r="F1111" s="28">
        <f>MATCH(DaybyDay[[#This Row],[RowMonth]],Table3[SummaryMonth],0)</f>
        <v>1</v>
      </c>
      <c r="G1111" s="29">
        <f>MATCH(DaybyDay[[#This Row],[LY-Date]],DaybyDay[Date],0)</f>
        <v>741</v>
      </c>
      <c r="H1111" s="30">
        <f>WEEKDAY(DaybyDay[[#This Row],[Date]])</f>
        <v>6</v>
      </c>
      <c r="I1111" s="31">
        <v>43840</v>
      </c>
      <c r="J1111" s="74">
        <v>21</v>
      </c>
      <c r="K1111" s="32">
        <f>SUMIFS(BudgetSeasonality[365 Seasonality],BudgetSeasonality[MonthAdjustment],DaybyDay[[#This Row],[Date]])*SUMIFS(Budgets[Service-Budget],Budgets[BudgetMonth],DaybyDay[[#This Row],[RowMonth]],Budgets[BudgetYear],DaybyDay[[#This Row],[RowYear]])</f>
        <v>5814.3405603611254</v>
      </c>
      <c r="L1111" s="75">
        <v>4718.2</v>
      </c>
      <c r="M1111" s="32">
        <f>INDEX(BudgetSeasonality[365 Seasonality],MATCH(DaybyDay[[#This Row],[Date]],BudgetSeasonality[MonthAdjustment],0))*SUMIFS(Budgets[Retail-Budget],Budgets[BudgetMonth],DaybyDay[[#This Row],[RowMonth]],Budgets[BudgetYear],DaybyDay[[#This Row],[RowYear]])</f>
        <v>1425.686567759313</v>
      </c>
      <c r="N1111" s="75">
        <v>1276.9000000000001</v>
      </c>
      <c r="O1111" s="33">
        <f>SUMIFS(DaybyDay[Service-Budgets],DaybyDay[Date],"&gt;="&amp;$C$5,DaybyDay[RowYear],"&gt;="&amp;$C$4,DaybyDay[Date],"&lt;="&amp;DaybyDay[[#This Row],[Date]])</f>
        <v>30521.392030755389</v>
      </c>
      <c r="P1111" s="33">
        <f>SUMIFS(DaybyDay[Retail-Budgets],DaybyDay[Date],"&gt;="&amp;$C$5,DaybyDay[RowYear],"&gt;="&amp;$C$4,DaybyDay[Date],"&lt;="&amp;DaybyDay[[#This Row],[Date]])</f>
        <v>7483.8991964484239</v>
      </c>
      <c r="Q1111" s="34">
        <f>SUMIFS(DaybyDay[Service-Actuals],DaybyDay[Date],"&gt;="&amp;$C$5,DaybyDay[RowYear],"&gt;="&amp;$C$4,DaybyDay[Date],"&lt;="&amp;DaybyDay[[#This Row],[Date]])</f>
        <v>25554.07</v>
      </c>
      <c r="R1111" s="34">
        <f>SUMIFS(DaybyDay[Retail-Actuals],DaybyDay[Date],"&gt;="&amp;$C$5,DaybyDay[RowYear],"&gt;="&amp;$C$4,DaybyDay[Date],"&lt;="&amp;DaybyDay[[#This Row],[Date]])</f>
        <v>4784.6000000000004</v>
      </c>
      <c r="S1111" s="35">
        <f>SUMIFS(DaybyDay[Service-LY],DaybyDay[Date],"&gt;="&amp;$C$5,DaybyDay[RowYear],"&gt;="&amp;$C$4,DaybyDay[Date],"&lt;="&amp;DaybyDay[[#This Row],[Date]])</f>
        <v>22499.949999999997</v>
      </c>
      <c r="T1111" s="35">
        <f>SUMIFS(DaybyDay[Retail-LY],DaybyDay[Date],"&gt;="&amp;$C$5,DaybyDay[RowYear],"&gt;="&amp;$C$4,DaybyDay[Date],"&lt;="&amp;DaybyDay[[#This Row],[Date]])</f>
        <v>3550.89</v>
      </c>
      <c r="U1111" s="32">
        <f>DaybyDay[[#This Row],[Serv-Bud-RU]]+DaybyDay[[#This Row],[Ret-Bud-RU]]</f>
        <v>38005.291227203816</v>
      </c>
      <c r="V1111" s="32">
        <f>DaybyDay[[#This Row],[Serv-Act-RU]]+DaybyDay[[#This Row],[Ret-Act-RU]]</f>
        <v>30338.67</v>
      </c>
      <c r="W1111" s="36">
        <f>IF(DaybyDay[[#This Row],[_Space]],IFERROR(
((DaybyDay[[#This Row],[Actual-Rollup]]-DaybyDay[[#This Row],[Budget-Rollup]])/DaybyDay[[#This Row],[Budget-Rollup]]),0),"")</f>
        <v>-0.20172510141735542</v>
      </c>
      <c r="X1111" t="b">
        <f>NOT(AND(ISBLANK(DaybyDay[[#This Row],[Appts]]),ISBLANK(DaybyDay[[#This Row],[Service-Actuals]]),ISBLANK(DaybyDay[[#This Row],[Retail-Actuals]])))</f>
        <v>1</v>
      </c>
      <c r="Y1111" s="36">
        <f>IF(DaybyDay[[#This Row],[_Space]],IFERROR(
((DaybyDay[[#This Row],[Actual-Rollup]]-DaybyDay[[#This Row],[LY-Rollup]])/DaybyDay[[#This Row],[LY-Rollup]]),0),"")</f>
        <v>0.16459469253198755</v>
      </c>
      <c r="Z1111"/>
      <c r="AA1111" s="37">
        <f>IF(DaybyDay[[#This Row],[_Space]],DaybyDay[[#This Row],[Ret-Act-RU]]/DaybyDay[[#This Row],[Serv-Act-RU]],"")</f>
        <v>0.18723436227575491</v>
      </c>
      <c r="AB1111" s="50">
        <f>IF(DaybyDay[[#This Row],[_Space]],DaybyDay[[#This Row],[RETPEN-Act]]/DaybyDay[[#This Row],[RETPEN-Bud]],"")</f>
        <v>0.76359304456676169</v>
      </c>
      <c r="AC1111" s="37">
        <f>IF(DaybyDay[[#This Row],[_Space]],DaybyDay[[#This Row],[Ret-Bud-RU]]/DaybyDay[[#This Row],[Serv-Bud-RU]],"")</f>
        <v>0.24520176500819976</v>
      </c>
      <c r="AD1111" s="37">
        <f>IF(DaybyDay[[#This Row],[_Space]],DaybyDay[[#This Row],[Ret-LY-RU]]/DaybyDay[[#This Row],[Serv-LY-RU]],"")</f>
        <v>0.15781768403929788</v>
      </c>
      <c r="AE1111" s="30">
        <f>WEEKDAY(DaybyDay[[#This Row],[LY-Date]])</f>
        <v>6</v>
      </c>
      <c r="AF1111" s="38">
        <f>$E$2+_xlfn.DAYS(DaybyDay[[#This Row],[Date]],minDate)</f>
        <v>43476</v>
      </c>
      <c r="AG1111" s="39" cm="1">
        <f t="array" ref="AG1111">IFERROR(INDEX(DaybyDay[],DaybyDay[[#This Row],[FORM_MATCH_HELPER]],8),"")</f>
        <v>25</v>
      </c>
      <c r="AH1111" s="39" cm="1">
        <f t="array" ref="AH1111">IFERROR(INDEX(DaybyDay[],DaybyDay[[#This Row],[FORM_MATCH_HELPER]],10),"")</f>
        <v>5096</v>
      </c>
      <c r="AI1111" s="39" cm="1">
        <f t="array" ref="AI1111">IFERROR(INDEX(DaybyDay[],DaybyDay[[#This Row],[FORM_MATCH_HELPER]],12),"")</f>
        <v>608</v>
      </c>
      <c r="AJ1111" s="32">
        <f>IFERROR(DaybyDay[[#This Row],[Serv-LY-RU]]+DaybyDay[[#This Row],[Ret-LY-RU]],"")</f>
        <v>26050.839999999997</v>
      </c>
      <c r="AK11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30338.67</v>
      </c>
      <c r="AL1111" s="77"/>
      <c r="AM1111" s="40" t="str">
        <f>IF(DaybyDay[[#This Row],[Admin Hours]]&gt;0,DaybyDay[[#This Row],[Admin Hours]]*$AM$2+$AM$3,"")</f>
        <v/>
      </c>
      <c r="AN1111" s="40">
        <f>SUMIFS(DaybyDay[Est-Admin-Payroll],DaybyDay[Date],"&gt;="&amp;$C$5,DaybyDay[RowYear],"&gt;="&amp;$C$4,DaybyDay[Date],"&lt;="&amp;DaybyDay[[#This Row],[Date]])</f>
        <v>0</v>
      </c>
      <c r="AO1111" s="41" t="str">
        <f>IF(AND(DaybyDay[[#This Row],[_Space]],ISNUMBER(DaybyDay[[#This Row],[Admin Hours]])),DaybyDay[[#This Row],[Est-Admin-Payroll]]/(DaybyDay[[#This Row],[Service-Actuals]]+DaybyDay[[#This Row],[Retail-Actuals]]),"")</f>
        <v/>
      </c>
      <c r="AP1111" s="41">
        <f>DaybyDay[[#This Row],[Estimated-Payroll-Rollup]]/DaybyDay[[#This Row],[Simple-Forecast]]</f>
        <v>0</v>
      </c>
      <c r="AQ11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4784.6000000000004</v>
      </c>
      <c r="AR1111" s="77"/>
      <c r="AS1111" s="40" t="str">
        <f>IF(DaybyDay[[#This Row],[Retail Hours]]&gt;0,DaybyDay[[#This Row],[Retail Hours]]*$AS$2,"")</f>
        <v/>
      </c>
      <c r="AT1111" s="40">
        <f>SUMIFS(DaybyDay[Est-Retail-Payroll],DaybyDay[Date],"&gt;="&amp;$C$5,DaybyDay[RowYear],"&gt;="&amp;$C$4,DaybyDay[Date],"&lt;="&amp;DaybyDay[[#This Row],[Date]])</f>
        <v>0</v>
      </c>
      <c r="AU1111" s="82" t="str">
        <f>IF(AND(DaybyDay[[#This Row],[_Space]],ISNUMBER(DaybyDay[[#This Row],[Retail Hours]])),DaybyDay[[#This Row],[Est-Retail-Payroll]]/(DaybyDay[[#This Row],[Retail-Actuals]]),"")</f>
        <v/>
      </c>
      <c r="AV1111" s="82">
        <f>DaybyDay[[#This Row],[Est-Retail-PayrollRU]]/DaybyDay[[#This Row],[Simple-Forecast-Retail]]</f>
        <v>0</v>
      </c>
      <c r="AW1111" s="8"/>
      <c r="AX1111" s="15"/>
      <c r="AY1111" s="8"/>
    </row>
    <row r="1112" spans="3:51" x14ac:dyDescent="0.25">
      <c r="C1112" s="26" t="str">
        <f>Tools!$C$1</f>
        <v>Example</v>
      </c>
      <c r="D1112" s="27" t="s">
        <v>68</v>
      </c>
      <c r="E1112" s="28">
        <v>2020</v>
      </c>
      <c r="F1112" s="28">
        <f>MATCH(DaybyDay[[#This Row],[RowMonth]],Table3[SummaryMonth],0)</f>
        <v>1</v>
      </c>
      <c r="G1112" s="29">
        <f>MATCH(DaybyDay[[#This Row],[LY-Date]],DaybyDay[Date],0)</f>
        <v>742</v>
      </c>
      <c r="H1112" s="30">
        <f>WEEKDAY(DaybyDay[[#This Row],[Date]])</f>
        <v>7</v>
      </c>
      <c r="I1112" s="31">
        <v>43841</v>
      </c>
      <c r="J1112" s="74">
        <v>44</v>
      </c>
      <c r="K1112" s="32">
        <f>SUMIFS(BudgetSeasonality[365 Seasonality],BudgetSeasonality[MonthAdjustment],DaybyDay[[#This Row],[Date]])*SUMIFS(Budgets[Service-Budget],Budgets[BudgetMonth],DaybyDay[[#This Row],[RowMonth]],Budgets[BudgetYear],DaybyDay[[#This Row],[RowYear]])</f>
        <v>7900.9319369469104</v>
      </c>
      <c r="L1112" s="75">
        <v>8867.4</v>
      </c>
      <c r="M1112" s="32">
        <f>INDEX(BudgetSeasonality[365 Seasonality],MATCH(DaybyDay[[#This Row],[Date]],BudgetSeasonality[MonthAdjustment],0))*SUMIFS(Budgets[Retail-Budget],Budgets[BudgetMonth],DaybyDay[[#This Row],[RowMonth]],Budgets[BudgetYear],DaybyDay[[#This Row],[RowYear]])</f>
        <v>1937.3224561490367</v>
      </c>
      <c r="N1112" s="75">
        <v>430.9</v>
      </c>
      <c r="O1112" s="33">
        <f>SUMIFS(DaybyDay[Service-Budgets],DaybyDay[Date],"&gt;="&amp;$C$5,DaybyDay[RowYear],"&gt;="&amp;$C$4,DaybyDay[Date],"&lt;="&amp;DaybyDay[[#This Row],[Date]])</f>
        <v>38422.323967702301</v>
      </c>
      <c r="P1112" s="33">
        <f>SUMIFS(DaybyDay[Retail-Budgets],DaybyDay[Date],"&gt;="&amp;$C$5,DaybyDay[RowYear],"&gt;="&amp;$C$4,DaybyDay[Date],"&lt;="&amp;DaybyDay[[#This Row],[Date]])</f>
        <v>9421.22165259746</v>
      </c>
      <c r="Q1112" s="34">
        <f>SUMIFS(DaybyDay[Service-Actuals],DaybyDay[Date],"&gt;="&amp;$C$5,DaybyDay[RowYear],"&gt;="&amp;$C$4,DaybyDay[Date],"&lt;="&amp;DaybyDay[[#This Row],[Date]])</f>
        <v>34421.47</v>
      </c>
      <c r="R1112" s="34">
        <f>SUMIFS(DaybyDay[Retail-Actuals],DaybyDay[Date],"&gt;="&amp;$C$5,DaybyDay[RowYear],"&gt;="&amp;$C$4,DaybyDay[Date],"&lt;="&amp;DaybyDay[[#This Row],[Date]])</f>
        <v>5215.5</v>
      </c>
      <c r="S1112" s="35">
        <f>SUMIFS(DaybyDay[Service-LY],DaybyDay[Date],"&gt;="&amp;$C$5,DaybyDay[RowYear],"&gt;="&amp;$C$4,DaybyDay[Date],"&lt;="&amp;DaybyDay[[#This Row],[Date]])</f>
        <v>29445.909999999996</v>
      </c>
      <c r="T1112" s="35">
        <f>SUMIFS(DaybyDay[Retail-LY],DaybyDay[Date],"&gt;="&amp;$C$5,DaybyDay[RowYear],"&gt;="&amp;$C$4,DaybyDay[Date],"&lt;="&amp;DaybyDay[[#This Row],[Date]])</f>
        <v>4277.8899999999994</v>
      </c>
      <c r="U1112" s="32">
        <f>DaybyDay[[#This Row],[Serv-Bud-RU]]+DaybyDay[[#This Row],[Ret-Bud-RU]]</f>
        <v>47843.545620299759</v>
      </c>
      <c r="V1112" s="32">
        <f>DaybyDay[[#This Row],[Serv-Act-RU]]+DaybyDay[[#This Row],[Ret-Act-RU]]</f>
        <v>39636.97</v>
      </c>
      <c r="W1112" s="36">
        <f>IF(DaybyDay[[#This Row],[_Space]],IFERROR(
((DaybyDay[[#This Row],[Actual-Rollup]]-DaybyDay[[#This Row],[Budget-Rollup]])/DaybyDay[[#This Row],[Budget-Rollup]]),0),"")</f>
        <v>-0.17152941977648395</v>
      </c>
      <c r="X1112" t="b">
        <f>NOT(AND(ISBLANK(DaybyDay[[#This Row],[Appts]]),ISBLANK(DaybyDay[[#This Row],[Service-Actuals]]),ISBLANK(DaybyDay[[#This Row],[Retail-Actuals]])))</f>
        <v>1</v>
      </c>
      <c r="Y1112" s="36">
        <f>IF(DaybyDay[[#This Row],[_Space]],IFERROR(
((DaybyDay[[#This Row],[Actual-Rollup]]-DaybyDay[[#This Row],[LY-Rollup]])/DaybyDay[[#This Row],[LY-Rollup]]),0),"")</f>
        <v>0.17534115372526246</v>
      </c>
      <c r="Z1112"/>
      <c r="AA1112" s="37">
        <f>IF(DaybyDay[[#This Row],[_Space]],DaybyDay[[#This Row],[Ret-Act-RU]]/DaybyDay[[#This Row],[Serv-Act-RU]],"")</f>
        <v>0.15151880497840448</v>
      </c>
      <c r="AB1112" s="50">
        <f>IF(DaybyDay[[#This Row],[_Space]],DaybyDay[[#This Row],[RETPEN-Act]]/DaybyDay[[#This Row],[RETPEN-Bud]],"")</f>
        <v>0.61793521336739798</v>
      </c>
      <c r="AC1112" s="37">
        <f>IF(DaybyDay[[#This Row],[_Space]],DaybyDay[[#This Row],[Ret-Bud-RU]]/DaybyDay[[#This Row],[Serv-Bud-RU]],"")</f>
        <v>0.24520176500819973</v>
      </c>
      <c r="AD1112" s="37">
        <f>IF(DaybyDay[[#This Row],[_Space]],DaybyDay[[#This Row],[Ret-LY-RU]]/DaybyDay[[#This Row],[Serv-LY-RU]],"")</f>
        <v>0.14527959910221827</v>
      </c>
      <c r="AE1112" s="30">
        <f>WEEKDAY(DaybyDay[[#This Row],[LY-Date]])</f>
        <v>7</v>
      </c>
      <c r="AF1112" s="38">
        <f>$E$2+_xlfn.DAYS(DaybyDay[[#This Row],[Date]],minDate)</f>
        <v>43477</v>
      </c>
      <c r="AG1112" s="39" cm="1">
        <f t="array" ref="AG1112">IFERROR(INDEX(DaybyDay[],DaybyDay[[#This Row],[FORM_MATCH_HELPER]],8),"")</f>
        <v>30</v>
      </c>
      <c r="AH1112" s="39" cm="1">
        <f t="array" ref="AH1112">IFERROR(INDEX(DaybyDay[],DaybyDay[[#This Row],[FORM_MATCH_HELPER]],10),"")</f>
        <v>6945.96</v>
      </c>
      <c r="AI1112" s="39" cm="1">
        <f t="array" ref="AI1112">IFERROR(INDEX(DaybyDay[],DaybyDay[[#This Row],[FORM_MATCH_HELPER]],12),"")</f>
        <v>727</v>
      </c>
      <c r="AJ1112" s="32">
        <f>IFERROR(DaybyDay[[#This Row],[Serv-LY-RU]]+DaybyDay[[#This Row],[Ret-LY-RU]],"")</f>
        <v>33723.799999999996</v>
      </c>
      <c r="AK11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39636.97</v>
      </c>
      <c r="AL1112" s="77"/>
      <c r="AM1112" s="40" t="str">
        <f>IF(DaybyDay[[#This Row],[Admin Hours]]&gt;0,DaybyDay[[#This Row],[Admin Hours]]*$AM$2+$AM$3,"")</f>
        <v/>
      </c>
      <c r="AN1112" s="40">
        <f>SUMIFS(DaybyDay[Est-Admin-Payroll],DaybyDay[Date],"&gt;="&amp;$C$5,DaybyDay[RowYear],"&gt;="&amp;$C$4,DaybyDay[Date],"&lt;="&amp;DaybyDay[[#This Row],[Date]])</f>
        <v>0</v>
      </c>
      <c r="AO1112" s="41" t="str">
        <f>IF(AND(DaybyDay[[#This Row],[_Space]],ISNUMBER(DaybyDay[[#This Row],[Admin Hours]])),DaybyDay[[#This Row],[Est-Admin-Payroll]]/(DaybyDay[[#This Row],[Service-Actuals]]+DaybyDay[[#This Row],[Retail-Actuals]]),"")</f>
        <v/>
      </c>
      <c r="AP1112" s="41">
        <f>DaybyDay[[#This Row],[Estimated-Payroll-Rollup]]/DaybyDay[[#This Row],[Simple-Forecast]]</f>
        <v>0</v>
      </c>
      <c r="AQ11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5215.5</v>
      </c>
      <c r="AR1112" s="77"/>
      <c r="AS1112" s="40" t="str">
        <f>IF(DaybyDay[[#This Row],[Retail Hours]]&gt;0,DaybyDay[[#This Row],[Retail Hours]]*$AS$2,"")</f>
        <v/>
      </c>
      <c r="AT1112" s="40">
        <f>SUMIFS(DaybyDay[Est-Retail-Payroll],DaybyDay[Date],"&gt;="&amp;$C$5,DaybyDay[RowYear],"&gt;="&amp;$C$4,DaybyDay[Date],"&lt;="&amp;DaybyDay[[#This Row],[Date]])</f>
        <v>0</v>
      </c>
      <c r="AU1112" s="82" t="str">
        <f>IF(AND(DaybyDay[[#This Row],[_Space]],ISNUMBER(DaybyDay[[#This Row],[Retail Hours]])),DaybyDay[[#This Row],[Est-Retail-Payroll]]/(DaybyDay[[#This Row],[Retail-Actuals]]),"")</f>
        <v/>
      </c>
      <c r="AV1112" s="82">
        <f>DaybyDay[[#This Row],[Est-Retail-PayrollRU]]/DaybyDay[[#This Row],[Simple-Forecast-Retail]]</f>
        <v>0</v>
      </c>
      <c r="AW1112" s="8"/>
      <c r="AX1112" s="15"/>
      <c r="AY1112" s="8"/>
    </row>
    <row r="1113" spans="3:51" x14ac:dyDescent="0.25">
      <c r="C1113" s="26" t="str">
        <f>Tools!$C$1</f>
        <v>Example</v>
      </c>
      <c r="D1113" s="27" t="s">
        <v>68</v>
      </c>
      <c r="E1113" s="28">
        <v>2020</v>
      </c>
      <c r="F1113" s="28">
        <f>MATCH(DaybyDay[[#This Row],[RowMonth]],Table3[SummaryMonth],0)</f>
        <v>1</v>
      </c>
      <c r="G1113" s="29">
        <f>MATCH(DaybyDay[[#This Row],[LY-Date]],DaybyDay[Date],0)</f>
        <v>743</v>
      </c>
      <c r="H1113" s="30">
        <f>WEEKDAY(DaybyDay[[#This Row],[Date]])</f>
        <v>1</v>
      </c>
      <c r="I1113" s="31">
        <v>43842</v>
      </c>
      <c r="J1113" s="74">
        <v>45</v>
      </c>
      <c r="K1113" s="32">
        <f>SUMIFS(BudgetSeasonality[365 Seasonality],BudgetSeasonality[MonthAdjustment],DaybyDay[[#This Row],[Date]])*SUMIFS(Budgets[Service-Budget],Budgets[BudgetMonth],DaybyDay[[#This Row],[RowMonth]],Budgets[BudgetYear],DaybyDay[[#This Row],[RowYear]])</f>
        <v>6297.7523613613967</v>
      </c>
      <c r="L1113" s="75">
        <v>6800.4</v>
      </c>
      <c r="M1113" s="32">
        <f>INDEX(BudgetSeasonality[365 Seasonality],MATCH(DaybyDay[[#This Row],[Date]],BudgetSeasonality[MonthAdjustment],0))*SUMIFS(Budgets[Retail-Budget],Budgets[BudgetMonth],DaybyDay[[#This Row],[RowMonth]],Budgets[BudgetYear],DaybyDay[[#This Row],[RowYear]])</f>
        <v>1544.2199945903722</v>
      </c>
      <c r="N1113" s="75">
        <v>362</v>
      </c>
      <c r="O1113" s="33">
        <f>SUMIFS(DaybyDay[Service-Budgets],DaybyDay[Date],"&gt;="&amp;$C$5,DaybyDay[RowYear],"&gt;="&amp;$C$4,DaybyDay[Date],"&lt;="&amp;DaybyDay[[#This Row],[Date]])</f>
        <v>44720.076329063697</v>
      </c>
      <c r="P1113" s="33">
        <f>SUMIFS(DaybyDay[Retail-Budgets],DaybyDay[Date],"&gt;="&amp;$C$5,DaybyDay[RowYear],"&gt;="&amp;$C$4,DaybyDay[Date],"&lt;="&amp;DaybyDay[[#This Row],[Date]])</f>
        <v>10965.441647187832</v>
      </c>
      <c r="Q1113" s="34">
        <f>SUMIFS(DaybyDay[Service-Actuals],DaybyDay[Date],"&gt;="&amp;$C$5,DaybyDay[RowYear],"&gt;="&amp;$C$4,DaybyDay[Date],"&lt;="&amp;DaybyDay[[#This Row],[Date]])</f>
        <v>41221.870000000003</v>
      </c>
      <c r="R1113" s="34">
        <f>SUMIFS(DaybyDay[Retail-Actuals],DaybyDay[Date],"&gt;="&amp;$C$5,DaybyDay[RowYear],"&gt;="&amp;$C$4,DaybyDay[Date],"&lt;="&amp;DaybyDay[[#This Row],[Date]])</f>
        <v>5577.5</v>
      </c>
      <c r="S1113" s="35">
        <f>SUMIFS(DaybyDay[Service-LY],DaybyDay[Date],"&gt;="&amp;$C$5,DaybyDay[RowYear],"&gt;="&amp;$C$4,DaybyDay[Date],"&lt;="&amp;DaybyDay[[#This Row],[Date]])</f>
        <v>36318.509999999995</v>
      </c>
      <c r="T1113" s="35">
        <f>SUMIFS(DaybyDay[Retail-LY],DaybyDay[Date],"&gt;="&amp;$C$5,DaybyDay[RowYear],"&gt;="&amp;$C$4,DaybyDay[Date],"&lt;="&amp;DaybyDay[[#This Row],[Date]])</f>
        <v>4890.8899999999994</v>
      </c>
      <c r="U1113" s="32">
        <f>DaybyDay[[#This Row],[Serv-Bud-RU]]+DaybyDay[[#This Row],[Ret-Bud-RU]]</f>
        <v>55685.517976251533</v>
      </c>
      <c r="V1113" s="32">
        <f>DaybyDay[[#This Row],[Serv-Act-RU]]+DaybyDay[[#This Row],[Ret-Act-RU]]</f>
        <v>46799.37</v>
      </c>
      <c r="W1113" s="36">
        <f>IF(DaybyDay[[#This Row],[_Space]],IFERROR(
((DaybyDay[[#This Row],[Actual-Rollup]]-DaybyDay[[#This Row],[Budget-Rollup]])/DaybyDay[[#This Row],[Budget-Rollup]]),0),"")</f>
        <v>-0.15957736049148807</v>
      </c>
      <c r="X1113" t="b">
        <f>NOT(AND(ISBLANK(DaybyDay[[#This Row],[Appts]]),ISBLANK(DaybyDay[[#This Row],[Service-Actuals]]),ISBLANK(DaybyDay[[#This Row],[Retail-Actuals]])))</f>
        <v>1</v>
      </c>
      <c r="Y1113" s="36">
        <f>IF(DaybyDay[[#This Row],[_Space]],IFERROR(
((DaybyDay[[#This Row],[Actual-Rollup]]-DaybyDay[[#This Row],[LY-Rollup]])/DaybyDay[[#This Row],[LY-Rollup]]),0),"")</f>
        <v>0.13564793469451167</v>
      </c>
      <c r="Z1113"/>
      <c r="AA1113" s="37">
        <f>IF(DaybyDay[[#This Row],[_Space]],DaybyDay[[#This Row],[Ret-Act-RU]]/DaybyDay[[#This Row],[Serv-Act-RU]],"")</f>
        <v>0.13530439060624858</v>
      </c>
      <c r="AB1113" s="50">
        <f>IF(DaybyDay[[#This Row],[_Space]],DaybyDay[[#This Row],[RETPEN-Act]]/DaybyDay[[#This Row],[RETPEN-Bud]],"")</f>
        <v>0.55180838768319584</v>
      </c>
      <c r="AC1113" s="37">
        <f>IF(DaybyDay[[#This Row],[_Space]],DaybyDay[[#This Row],[Ret-Bud-RU]]/DaybyDay[[#This Row],[Serv-Bud-RU]],"")</f>
        <v>0.24520176500819973</v>
      </c>
      <c r="AD1113" s="37">
        <f>IF(DaybyDay[[#This Row],[_Space]],DaybyDay[[#This Row],[Ret-LY-RU]]/DaybyDay[[#This Row],[Serv-LY-RU]],"")</f>
        <v>0.13466659287509317</v>
      </c>
      <c r="AE1113" s="30">
        <f>WEEKDAY(DaybyDay[[#This Row],[LY-Date]])</f>
        <v>1</v>
      </c>
      <c r="AF1113" s="38">
        <f>$E$2+_xlfn.DAYS(DaybyDay[[#This Row],[Date]],minDate)</f>
        <v>43478</v>
      </c>
      <c r="AG1113" s="39" cm="1">
        <f t="array" ref="AG1113">IFERROR(INDEX(DaybyDay[],DaybyDay[[#This Row],[FORM_MATCH_HELPER]],8),"")</f>
        <v>31</v>
      </c>
      <c r="AH1113" s="39" cm="1">
        <f t="array" ref="AH1113">IFERROR(INDEX(DaybyDay[],DaybyDay[[#This Row],[FORM_MATCH_HELPER]],10),"")</f>
        <v>6872.6</v>
      </c>
      <c r="AI1113" s="39" cm="1">
        <f t="array" ref="AI1113">IFERROR(INDEX(DaybyDay[],DaybyDay[[#This Row],[FORM_MATCH_HELPER]],12),"")</f>
        <v>613</v>
      </c>
      <c r="AJ1113" s="32">
        <f>IFERROR(DaybyDay[[#This Row],[Serv-LY-RU]]+DaybyDay[[#This Row],[Ret-LY-RU]],"")</f>
        <v>41209.399999999994</v>
      </c>
      <c r="AK11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46799.37</v>
      </c>
      <c r="AL1113" s="77"/>
      <c r="AM1113" s="40" t="str">
        <f>IF(DaybyDay[[#This Row],[Admin Hours]]&gt;0,DaybyDay[[#This Row],[Admin Hours]]*$AM$2+$AM$3,"")</f>
        <v/>
      </c>
      <c r="AN1113" s="40">
        <f>SUMIFS(DaybyDay[Est-Admin-Payroll],DaybyDay[Date],"&gt;="&amp;$C$5,DaybyDay[RowYear],"&gt;="&amp;$C$4,DaybyDay[Date],"&lt;="&amp;DaybyDay[[#This Row],[Date]])</f>
        <v>0</v>
      </c>
      <c r="AO1113" s="41" t="str">
        <f>IF(AND(DaybyDay[[#This Row],[_Space]],ISNUMBER(DaybyDay[[#This Row],[Admin Hours]])),DaybyDay[[#This Row],[Est-Admin-Payroll]]/(DaybyDay[[#This Row],[Service-Actuals]]+DaybyDay[[#This Row],[Retail-Actuals]]),"")</f>
        <v/>
      </c>
      <c r="AP1113" s="41">
        <f>DaybyDay[[#This Row],[Estimated-Payroll-Rollup]]/DaybyDay[[#This Row],[Simple-Forecast]]</f>
        <v>0</v>
      </c>
      <c r="AQ11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5577.5</v>
      </c>
      <c r="AR1113" s="77"/>
      <c r="AS1113" s="40" t="str">
        <f>IF(DaybyDay[[#This Row],[Retail Hours]]&gt;0,DaybyDay[[#This Row],[Retail Hours]]*$AS$2,"")</f>
        <v/>
      </c>
      <c r="AT1113" s="40">
        <f>SUMIFS(DaybyDay[Est-Retail-Payroll],DaybyDay[Date],"&gt;="&amp;$C$5,DaybyDay[RowYear],"&gt;="&amp;$C$4,DaybyDay[Date],"&lt;="&amp;DaybyDay[[#This Row],[Date]])</f>
        <v>0</v>
      </c>
      <c r="AU1113" s="82" t="str">
        <f>IF(AND(DaybyDay[[#This Row],[_Space]],ISNUMBER(DaybyDay[[#This Row],[Retail Hours]])),DaybyDay[[#This Row],[Est-Retail-Payroll]]/(DaybyDay[[#This Row],[Retail-Actuals]]),"")</f>
        <v/>
      </c>
      <c r="AV1113" s="82">
        <f>DaybyDay[[#This Row],[Est-Retail-PayrollRU]]/DaybyDay[[#This Row],[Simple-Forecast-Retail]]</f>
        <v>0</v>
      </c>
      <c r="AW1113" s="8"/>
      <c r="AX1113" s="15"/>
      <c r="AY1113" s="8"/>
    </row>
    <row r="1114" spans="3:51" x14ac:dyDescent="0.25">
      <c r="C1114" s="26" t="str">
        <f>Tools!$C$1</f>
        <v>Example</v>
      </c>
      <c r="D1114" s="27" t="s">
        <v>68</v>
      </c>
      <c r="E1114" s="28">
        <v>2020</v>
      </c>
      <c r="F1114" s="28">
        <f>MATCH(DaybyDay[[#This Row],[RowMonth]],Table3[SummaryMonth],0)</f>
        <v>1</v>
      </c>
      <c r="G1114" s="29">
        <f>MATCH(DaybyDay[[#This Row],[LY-Date]],DaybyDay[Date],0)</f>
        <v>744</v>
      </c>
      <c r="H1114" s="30">
        <f>WEEKDAY(DaybyDay[[#This Row],[Date]])</f>
        <v>2</v>
      </c>
      <c r="I1114" s="31">
        <v>43843</v>
      </c>
      <c r="J1114" s="74">
        <v>13</v>
      </c>
      <c r="K1114" s="32">
        <f>SUMIFS(BudgetSeasonality[365 Seasonality],BudgetSeasonality[MonthAdjustment],DaybyDay[[#This Row],[Date]])*SUMIFS(Budgets[Service-Budget],Budgets[BudgetMonth],DaybyDay[[#This Row],[RowMonth]],Budgets[BudgetYear],DaybyDay[[#This Row],[RowYear]])</f>
        <v>3979.108520111894</v>
      </c>
      <c r="L1114" s="75">
        <v>3286.4</v>
      </c>
      <c r="M1114" s="32">
        <f>INDEX(BudgetSeasonality[365 Seasonality],MATCH(DaybyDay[[#This Row],[Date]],BudgetSeasonality[MonthAdjustment],0))*SUMIFS(Budgets[Retail-Budget],Budgets[BudgetMonth],DaybyDay[[#This Row],[RowMonth]],Budgets[BudgetYear],DaybyDay[[#This Row],[RowYear]])</f>
        <v>975.6844322906021</v>
      </c>
      <c r="N1114" s="75">
        <v>874</v>
      </c>
      <c r="O1114" s="33">
        <f>SUMIFS(DaybyDay[Service-Budgets],DaybyDay[Date],"&gt;="&amp;$C$5,DaybyDay[RowYear],"&gt;="&amp;$C$4,DaybyDay[Date],"&lt;="&amp;DaybyDay[[#This Row],[Date]])</f>
        <v>48699.184849175588</v>
      </c>
      <c r="P1114" s="33">
        <f>SUMIFS(DaybyDay[Retail-Budgets],DaybyDay[Date],"&gt;="&amp;$C$5,DaybyDay[RowYear],"&gt;="&amp;$C$4,DaybyDay[Date],"&lt;="&amp;DaybyDay[[#This Row],[Date]])</f>
        <v>11941.126079478434</v>
      </c>
      <c r="Q1114" s="34">
        <f>SUMIFS(DaybyDay[Service-Actuals],DaybyDay[Date],"&gt;="&amp;$C$5,DaybyDay[RowYear],"&gt;="&amp;$C$4,DaybyDay[Date],"&lt;="&amp;DaybyDay[[#This Row],[Date]])</f>
        <v>44508.270000000004</v>
      </c>
      <c r="R1114" s="34">
        <f>SUMIFS(DaybyDay[Retail-Actuals],DaybyDay[Date],"&gt;="&amp;$C$5,DaybyDay[RowYear],"&gt;="&amp;$C$4,DaybyDay[Date],"&lt;="&amp;DaybyDay[[#This Row],[Date]])</f>
        <v>6451.5</v>
      </c>
      <c r="S1114" s="35">
        <f>SUMIFS(DaybyDay[Service-LY],DaybyDay[Date],"&gt;="&amp;$C$5,DaybyDay[RowYear],"&gt;="&amp;$C$4,DaybyDay[Date],"&lt;="&amp;DaybyDay[[#This Row],[Date]])</f>
        <v>40105.909999999996</v>
      </c>
      <c r="T1114" s="35">
        <f>SUMIFS(DaybyDay[Retail-LY],DaybyDay[Date],"&gt;="&amp;$C$5,DaybyDay[RowYear],"&gt;="&amp;$C$4,DaybyDay[Date],"&lt;="&amp;DaybyDay[[#This Row],[Date]])</f>
        <v>5019.3899999999994</v>
      </c>
      <c r="U1114" s="32">
        <f>DaybyDay[[#This Row],[Serv-Bud-RU]]+DaybyDay[[#This Row],[Ret-Bud-RU]]</f>
        <v>60640.31092865402</v>
      </c>
      <c r="V1114" s="32">
        <f>DaybyDay[[#This Row],[Serv-Act-RU]]+DaybyDay[[#This Row],[Ret-Act-RU]]</f>
        <v>50959.770000000004</v>
      </c>
      <c r="W1114" s="36">
        <f>IF(DaybyDay[[#This Row],[_Space]],IFERROR(
((DaybyDay[[#This Row],[Actual-Rollup]]-DaybyDay[[#This Row],[Budget-Rollup]])/DaybyDay[[#This Row],[Budget-Rollup]]),0),"")</f>
        <v>-0.15963870864784313</v>
      </c>
      <c r="X1114" t="b">
        <f>NOT(AND(ISBLANK(DaybyDay[[#This Row],[Appts]]),ISBLANK(DaybyDay[[#This Row],[Service-Actuals]]),ISBLANK(DaybyDay[[#This Row],[Retail-Actuals]])))</f>
        <v>1</v>
      </c>
      <c r="Y1114" s="36">
        <f>IF(DaybyDay[[#This Row],[_Space]],IFERROR(
((DaybyDay[[#This Row],[Actual-Rollup]]-DaybyDay[[#This Row],[LY-Rollup]])/DaybyDay[[#This Row],[LY-Rollup]]),0),"")</f>
        <v>0.12929487449390939</v>
      </c>
      <c r="Z1114"/>
      <c r="AA1114" s="37">
        <f>IF(DaybyDay[[#This Row],[_Space]],DaybyDay[[#This Row],[Ret-Act-RU]]/DaybyDay[[#This Row],[Serv-Act-RU]],"")</f>
        <v>0.14495059008134892</v>
      </c>
      <c r="AB1114" s="50">
        <f>IF(DaybyDay[[#This Row],[_Space]],DaybyDay[[#This Row],[RETPEN-Act]]/DaybyDay[[#This Row],[RETPEN-Bud]],"")</f>
        <v>0.59114823287059803</v>
      </c>
      <c r="AC1114" s="37">
        <f>IF(DaybyDay[[#This Row],[_Space]],DaybyDay[[#This Row],[Ret-Bud-RU]]/DaybyDay[[#This Row],[Serv-Bud-RU]],"")</f>
        <v>0.24520176500819973</v>
      </c>
      <c r="AD1114" s="37">
        <f>IF(DaybyDay[[#This Row],[_Space]],DaybyDay[[#This Row],[Ret-LY-RU]]/DaybyDay[[#This Row],[Serv-LY-RU]],"")</f>
        <v>0.12515337515094407</v>
      </c>
      <c r="AE1114" s="30">
        <f>WEEKDAY(DaybyDay[[#This Row],[LY-Date]])</f>
        <v>2</v>
      </c>
      <c r="AF1114" s="38">
        <f>$E$2+_xlfn.DAYS(DaybyDay[[#This Row],[Date]],minDate)</f>
        <v>43479</v>
      </c>
      <c r="AG1114" s="39" cm="1">
        <f t="array" ref="AG1114">IFERROR(INDEX(DaybyDay[],DaybyDay[[#This Row],[FORM_MATCH_HELPER]],8),"")</f>
        <v>12</v>
      </c>
      <c r="AH1114" s="39" cm="1">
        <f t="array" ref="AH1114">IFERROR(INDEX(DaybyDay[],DaybyDay[[#This Row],[FORM_MATCH_HELPER]],10),"")</f>
        <v>3787.4</v>
      </c>
      <c r="AI1114" s="39" cm="1">
        <f t="array" ref="AI1114">IFERROR(INDEX(DaybyDay[],DaybyDay[[#This Row],[FORM_MATCH_HELPER]],12),"")</f>
        <v>128.5</v>
      </c>
      <c r="AJ1114" s="32">
        <f>IFERROR(DaybyDay[[#This Row],[Serv-LY-RU]]+DaybyDay[[#This Row],[Ret-LY-RU]],"")</f>
        <v>45125.299999999996</v>
      </c>
      <c r="AK11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50959.770000000004</v>
      </c>
      <c r="AL1114" s="77"/>
      <c r="AM1114" s="40" t="str">
        <f>IF(DaybyDay[[#This Row],[Admin Hours]]&gt;0,DaybyDay[[#This Row],[Admin Hours]]*$AM$2+$AM$3,"")</f>
        <v/>
      </c>
      <c r="AN1114" s="40">
        <f>SUMIFS(DaybyDay[Est-Admin-Payroll],DaybyDay[Date],"&gt;="&amp;$C$5,DaybyDay[RowYear],"&gt;="&amp;$C$4,DaybyDay[Date],"&lt;="&amp;DaybyDay[[#This Row],[Date]])</f>
        <v>0</v>
      </c>
      <c r="AO1114" s="41" t="str">
        <f>IF(AND(DaybyDay[[#This Row],[_Space]],ISNUMBER(DaybyDay[[#This Row],[Admin Hours]])),DaybyDay[[#This Row],[Est-Admin-Payroll]]/(DaybyDay[[#This Row],[Service-Actuals]]+DaybyDay[[#This Row],[Retail-Actuals]]),"")</f>
        <v/>
      </c>
      <c r="AP1114" s="41">
        <f>DaybyDay[[#This Row],[Estimated-Payroll-Rollup]]/DaybyDay[[#This Row],[Simple-Forecast]]</f>
        <v>0</v>
      </c>
      <c r="AQ11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6451.5</v>
      </c>
      <c r="AR1114" s="77"/>
      <c r="AS1114" s="40" t="str">
        <f>IF(DaybyDay[[#This Row],[Retail Hours]]&gt;0,DaybyDay[[#This Row],[Retail Hours]]*$AS$2,"")</f>
        <v/>
      </c>
      <c r="AT1114" s="40">
        <f>SUMIFS(DaybyDay[Est-Retail-Payroll],DaybyDay[Date],"&gt;="&amp;$C$5,DaybyDay[RowYear],"&gt;="&amp;$C$4,DaybyDay[Date],"&lt;="&amp;DaybyDay[[#This Row],[Date]])</f>
        <v>0</v>
      </c>
      <c r="AU1114" s="82" t="str">
        <f>IF(AND(DaybyDay[[#This Row],[_Space]],ISNUMBER(DaybyDay[[#This Row],[Retail Hours]])),DaybyDay[[#This Row],[Est-Retail-Payroll]]/(DaybyDay[[#This Row],[Retail-Actuals]]),"")</f>
        <v/>
      </c>
      <c r="AV1114" s="82">
        <f>DaybyDay[[#This Row],[Est-Retail-PayrollRU]]/DaybyDay[[#This Row],[Simple-Forecast-Retail]]</f>
        <v>0</v>
      </c>
      <c r="AW1114" s="8"/>
      <c r="AX1114" s="15"/>
      <c r="AY1114" s="8"/>
    </row>
    <row r="1115" spans="3:51" x14ac:dyDescent="0.25">
      <c r="C1115" s="26" t="str">
        <f>Tools!$C$1</f>
        <v>Example</v>
      </c>
      <c r="D1115" s="27" t="s">
        <v>68</v>
      </c>
      <c r="E1115" s="28">
        <v>2020</v>
      </c>
      <c r="F1115" s="28">
        <f>MATCH(DaybyDay[[#This Row],[RowMonth]],Table3[SummaryMonth],0)</f>
        <v>1</v>
      </c>
      <c r="G1115" s="29">
        <f>MATCH(DaybyDay[[#This Row],[LY-Date]],DaybyDay[Date],0)</f>
        <v>745</v>
      </c>
      <c r="H1115" s="30">
        <f>WEEKDAY(DaybyDay[[#This Row],[Date]])</f>
        <v>3</v>
      </c>
      <c r="I1115" s="31">
        <v>43844</v>
      </c>
      <c r="J1115" s="74">
        <v>14</v>
      </c>
      <c r="K1115" s="32">
        <f>SUMIFS(BudgetSeasonality[365 Seasonality],BudgetSeasonality[MonthAdjustment],DaybyDay[[#This Row],[Date]])*SUMIFS(Budgets[Service-Budget],Budgets[BudgetMonth],DaybyDay[[#This Row],[RowMonth]],Budgets[BudgetYear],DaybyDay[[#This Row],[RowYear]])</f>
        <v>4078.2117966282399</v>
      </c>
      <c r="L1115" s="75">
        <v>2463.3000000000002</v>
      </c>
      <c r="M1115" s="32">
        <f>INDEX(BudgetSeasonality[365 Seasonality],MATCH(DaybyDay[[#This Row],[Date]],BudgetSeasonality[MonthAdjustment],0))*SUMIFS(Budgets[Retail-Budget],Budgets[BudgetMonth],DaybyDay[[#This Row],[RowMonth]],Budgets[BudgetYear],DaybyDay[[#This Row],[RowYear]])</f>
        <v>999.98473061050572</v>
      </c>
      <c r="N1115" s="75">
        <v>62.35</v>
      </c>
      <c r="O1115" s="33">
        <f>SUMIFS(DaybyDay[Service-Budgets],DaybyDay[Date],"&gt;="&amp;$C$5,DaybyDay[RowYear],"&gt;="&amp;$C$4,DaybyDay[Date],"&lt;="&amp;DaybyDay[[#This Row],[Date]])</f>
        <v>52777.396645803827</v>
      </c>
      <c r="P1115" s="33">
        <f>SUMIFS(DaybyDay[Retail-Budgets],DaybyDay[Date],"&gt;="&amp;$C$5,DaybyDay[RowYear],"&gt;="&amp;$C$4,DaybyDay[Date],"&lt;="&amp;DaybyDay[[#This Row],[Date]])</f>
        <v>12941.11081008894</v>
      </c>
      <c r="Q1115" s="34">
        <f>SUMIFS(DaybyDay[Service-Actuals],DaybyDay[Date],"&gt;="&amp;$C$5,DaybyDay[RowYear],"&gt;="&amp;$C$4,DaybyDay[Date],"&lt;="&amp;DaybyDay[[#This Row],[Date]])</f>
        <v>46971.570000000007</v>
      </c>
      <c r="R1115" s="34">
        <f>SUMIFS(DaybyDay[Retail-Actuals],DaybyDay[Date],"&gt;="&amp;$C$5,DaybyDay[RowYear],"&gt;="&amp;$C$4,DaybyDay[Date],"&lt;="&amp;DaybyDay[[#This Row],[Date]])</f>
        <v>6513.85</v>
      </c>
      <c r="S1115" s="35">
        <f>SUMIFS(DaybyDay[Service-LY],DaybyDay[Date],"&gt;="&amp;$C$5,DaybyDay[RowYear],"&gt;="&amp;$C$4,DaybyDay[Date],"&lt;="&amp;DaybyDay[[#This Row],[Date]])</f>
        <v>42110.71</v>
      </c>
      <c r="T1115" s="35">
        <f>SUMIFS(DaybyDay[Retail-LY],DaybyDay[Date],"&gt;="&amp;$C$5,DaybyDay[RowYear],"&gt;="&amp;$C$4,DaybyDay[Date],"&lt;="&amp;DaybyDay[[#This Row],[Date]])</f>
        <v>5019.3899999999994</v>
      </c>
      <c r="U1115" s="32">
        <f>DaybyDay[[#This Row],[Serv-Bud-RU]]+DaybyDay[[#This Row],[Ret-Bud-RU]]</f>
        <v>65718.507455892774</v>
      </c>
      <c r="V1115" s="32">
        <f>DaybyDay[[#This Row],[Serv-Act-RU]]+DaybyDay[[#This Row],[Ret-Act-RU]]</f>
        <v>53485.420000000006</v>
      </c>
      <c r="W1115" s="36">
        <f>IF(DaybyDay[[#This Row],[_Space]],IFERROR(
((DaybyDay[[#This Row],[Actual-Rollup]]-DaybyDay[[#This Row],[Budget-Rollup]])/DaybyDay[[#This Row],[Budget-Rollup]]),0),"")</f>
        <v>-0.18614372007920374</v>
      </c>
      <c r="X1115" t="b">
        <f>NOT(AND(ISBLANK(DaybyDay[[#This Row],[Appts]]),ISBLANK(DaybyDay[[#This Row],[Service-Actuals]]),ISBLANK(DaybyDay[[#This Row],[Retail-Actuals]])))</f>
        <v>1</v>
      </c>
      <c r="Y1115" s="36">
        <f>IF(DaybyDay[[#This Row],[_Space]],IFERROR(
((DaybyDay[[#This Row],[Actual-Rollup]]-DaybyDay[[#This Row],[LY-Rollup]])/DaybyDay[[#This Row],[LY-Rollup]]),0),"")</f>
        <v>0.13484630841012446</v>
      </c>
      <c r="Z1115"/>
      <c r="AA1115" s="37">
        <f>IF(DaybyDay[[#This Row],[_Space]],DaybyDay[[#This Row],[Ret-Act-RU]]/DaybyDay[[#This Row],[Serv-Act-RU]],"")</f>
        <v>0.13867643768347535</v>
      </c>
      <c r="AB1115" s="50">
        <f>IF(DaybyDay[[#This Row],[_Space]],DaybyDay[[#This Row],[RETPEN-Act]]/DaybyDay[[#This Row],[RETPEN-Bud]],"")</f>
        <v>0.56556051983899003</v>
      </c>
      <c r="AC1115" s="37">
        <f>IF(DaybyDay[[#This Row],[_Space]],DaybyDay[[#This Row],[Ret-Bud-RU]]/DaybyDay[[#This Row],[Serv-Bud-RU]],"")</f>
        <v>0.24520176500819976</v>
      </c>
      <c r="AD1115" s="37">
        <f>IF(DaybyDay[[#This Row],[_Space]],DaybyDay[[#This Row],[Ret-LY-RU]]/DaybyDay[[#This Row],[Serv-LY-RU]],"")</f>
        <v>0.11919509312476563</v>
      </c>
      <c r="AE1115" s="30">
        <f>WEEKDAY(DaybyDay[[#This Row],[LY-Date]])</f>
        <v>3</v>
      </c>
      <c r="AF1115" s="38">
        <f>$E$2+_xlfn.DAYS(DaybyDay[[#This Row],[Date]],minDate)</f>
        <v>43480</v>
      </c>
      <c r="AG1115" s="39" cm="1">
        <f t="array" ref="AG1115">IFERROR(INDEX(DaybyDay[],DaybyDay[[#This Row],[FORM_MATCH_HELPER]],8),"")</f>
        <v>11</v>
      </c>
      <c r="AH1115" s="39" cm="1">
        <f t="array" ref="AH1115">IFERROR(INDEX(DaybyDay[],DaybyDay[[#This Row],[FORM_MATCH_HELPER]],10),"")</f>
        <v>2004.8</v>
      </c>
      <c r="AI1115" s="39" cm="1">
        <f t="array" ref="AI1115">IFERROR(INDEX(DaybyDay[],DaybyDay[[#This Row],[FORM_MATCH_HELPER]],12),"")</f>
        <v>0</v>
      </c>
      <c r="AJ1115" s="32">
        <f>IFERROR(DaybyDay[[#This Row],[Serv-LY-RU]]+DaybyDay[[#This Row],[Ret-LY-RU]],"")</f>
        <v>47130.1</v>
      </c>
      <c r="AK11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53485.420000000006</v>
      </c>
      <c r="AL1115" s="77"/>
      <c r="AM1115" s="40" t="str">
        <f>IF(DaybyDay[[#This Row],[Admin Hours]]&gt;0,DaybyDay[[#This Row],[Admin Hours]]*$AM$2+$AM$3,"")</f>
        <v/>
      </c>
      <c r="AN1115" s="40">
        <f>SUMIFS(DaybyDay[Est-Admin-Payroll],DaybyDay[Date],"&gt;="&amp;$C$5,DaybyDay[RowYear],"&gt;="&amp;$C$4,DaybyDay[Date],"&lt;="&amp;DaybyDay[[#This Row],[Date]])</f>
        <v>0</v>
      </c>
      <c r="AO1115" s="41" t="str">
        <f>IF(AND(DaybyDay[[#This Row],[_Space]],ISNUMBER(DaybyDay[[#This Row],[Admin Hours]])),DaybyDay[[#This Row],[Est-Admin-Payroll]]/(DaybyDay[[#This Row],[Service-Actuals]]+DaybyDay[[#This Row],[Retail-Actuals]]),"")</f>
        <v/>
      </c>
      <c r="AP1115" s="41">
        <f>DaybyDay[[#This Row],[Estimated-Payroll-Rollup]]/DaybyDay[[#This Row],[Simple-Forecast]]</f>
        <v>0</v>
      </c>
      <c r="AQ11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6513.85</v>
      </c>
      <c r="AR1115" s="77"/>
      <c r="AS1115" s="40" t="str">
        <f>IF(DaybyDay[[#This Row],[Retail Hours]]&gt;0,DaybyDay[[#This Row],[Retail Hours]]*$AS$2,"")</f>
        <v/>
      </c>
      <c r="AT1115" s="40">
        <f>SUMIFS(DaybyDay[Est-Retail-Payroll],DaybyDay[Date],"&gt;="&amp;$C$5,DaybyDay[RowYear],"&gt;="&amp;$C$4,DaybyDay[Date],"&lt;="&amp;DaybyDay[[#This Row],[Date]])</f>
        <v>0</v>
      </c>
      <c r="AU1115" s="82" t="str">
        <f>IF(AND(DaybyDay[[#This Row],[_Space]],ISNUMBER(DaybyDay[[#This Row],[Retail Hours]])),DaybyDay[[#This Row],[Est-Retail-Payroll]]/(DaybyDay[[#This Row],[Retail-Actuals]]),"")</f>
        <v/>
      </c>
      <c r="AV1115" s="82">
        <f>DaybyDay[[#This Row],[Est-Retail-PayrollRU]]/DaybyDay[[#This Row],[Simple-Forecast-Retail]]</f>
        <v>0</v>
      </c>
      <c r="AW1115" s="8"/>
      <c r="AX1115" s="15"/>
      <c r="AY1115" s="8"/>
    </row>
    <row r="1116" spans="3:51" x14ac:dyDescent="0.25">
      <c r="C1116" s="26" t="str">
        <f>Tools!$C$1</f>
        <v>Example</v>
      </c>
      <c r="D1116" s="27" t="s">
        <v>68</v>
      </c>
      <c r="E1116" s="28">
        <v>2020</v>
      </c>
      <c r="F1116" s="28">
        <f>MATCH(DaybyDay[[#This Row],[RowMonth]],Table3[SummaryMonth],0)</f>
        <v>1</v>
      </c>
      <c r="G1116" s="29">
        <f>MATCH(DaybyDay[[#This Row],[LY-Date]],DaybyDay[Date],0)</f>
        <v>746</v>
      </c>
      <c r="H1116" s="30">
        <f>WEEKDAY(DaybyDay[[#This Row],[Date]])</f>
        <v>4</v>
      </c>
      <c r="I1116" s="31">
        <v>43845</v>
      </c>
      <c r="J1116" s="74">
        <v>20</v>
      </c>
      <c r="K1116" s="32">
        <f>SUMIFS(BudgetSeasonality[365 Seasonality],BudgetSeasonality[MonthAdjustment],DaybyDay[[#This Row],[Date]])*SUMIFS(Budgets[Service-Budget],Budgets[BudgetMonth],DaybyDay[[#This Row],[RowMonth]],Budgets[BudgetYear],DaybyDay[[#This Row],[RowYear]])</f>
        <v>4605.5040574517361</v>
      </c>
      <c r="L1116" s="75">
        <v>4010</v>
      </c>
      <c r="M1116" s="32">
        <f>INDEX(BudgetSeasonality[365 Seasonality],MATCH(DaybyDay[[#This Row],[Date]],BudgetSeasonality[MonthAdjustment],0))*SUMIFS(Budgets[Retail-Budget],Budgets[BudgetMonth],DaybyDay[[#This Row],[RowMonth]],Budgets[BudgetYear],DaybyDay[[#This Row],[RowYear]])</f>
        <v>1129.2777236395912</v>
      </c>
      <c r="N1116" s="75">
        <v>0</v>
      </c>
      <c r="O1116" s="33">
        <f>SUMIFS(DaybyDay[Service-Budgets],DaybyDay[Date],"&gt;="&amp;$C$5,DaybyDay[RowYear],"&gt;="&amp;$C$4,DaybyDay[Date],"&lt;="&amp;DaybyDay[[#This Row],[Date]])</f>
        <v>57382.90070325556</v>
      </c>
      <c r="P1116" s="33">
        <f>SUMIFS(DaybyDay[Retail-Budgets],DaybyDay[Date],"&gt;="&amp;$C$5,DaybyDay[RowYear],"&gt;="&amp;$C$4,DaybyDay[Date],"&lt;="&amp;DaybyDay[[#This Row],[Date]])</f>
        <v>14070.38853372853</v>
      </c>
      <c r="Q1116" s="34">
        <f>SUMIFS(DaybyDay[Service-Actuals],DaybyDay[Date],"&gt;="&amp;$C$5,DaybyDay[RowYear],"&gt;="&amp;$C$4,DaybyDay[Date],"&lt;="&amp;DaybyDay[[#This Row],[Date]])</f>
        <v>50981.570000000007</v>
      </c>
      <c r="R1116" s="34">
        <f>SUMIFS(DaybyDay[Retail-Actuals],DaybyDay[Date],"&gt;="&amp;$C$5,DaybyDay[RowYear],"&gt;="&amp;$C$4,DaybyDay[Date],"&lt;="&amp;DaybyDay[[#This Row],[Date]])</f>
        <v>6513.85</v>
      </c>
      <c r="S1116" s="35">
        <f>SUMIFS(DaybyDay[Service-LY],DaybyDay[Date],"&gt;="&amp;$C$5,DaybyDay[RowYear],"&gt;="&amp;$C$4,DaybyDay[Date],"&lt;="&amp;DaybyDay[[#This Row],[Date]])</f>
        <v>46340.3</v>
      </c>
      <c r="T1116" s="35">
        <f>SUMIFS(DaybyDay[Retail-LY],DaybyDay[Date],"&gt;="&amp;$C$5,DaybyDay[RowYear],"&gt;="&amp;$C$4,DaybyDay[Date],"&lt;="&amp;DaybyDay[[#This Row],[Date]])</f>
        <v>8493.89</v>
      </c>
      <c r="U1116" s="32">
        <f>DaybyDay[[#This Row],[Serv-Bud-RU]]+DaybyDay[[#This Row],[Ret-Bud-RU]]</f>
        <v>71453.289236984085</v>
      </c>
      <c r="V1116" s="32">
        <f>DaybyDay[[#This Row],[Serv-Act-RU]]+DaybyDay[[#This Row],[Ret-Act-RU]]</f>
        <v>57495.420000000006</v>
      </c>
      <c r="W1116" s="36">
        <f>IF(DaybyDay[[#This Row],[_Space]],IFERROR(
((DaybyDay[[#This Row],[Actual-Rollup]]-DaybyDay[[#This Row],[Budget-Rollup]])/DaybyDay[[#This Row],[Budget-Rollup]]),0),"")</f>
        <v>-0.19534257115429632</v>
      </c>
      <c r="X1116" t="b">
        <f>NOT(AND(ISBLANK(DaybyDay[[#This Row],[Appts]]),ISBLANK(DaybyDay[[#This Row],[Service-Actuals]]),ISBLANK(DaybyDay[[#This Row],[Retail-Actuals]])))</f>
        <v>1</v>
      </c>
      <c r="Y1116" s="36">
        <f>IF(DaybyDay[[#This Row],[_Space]],IFERROR(
((DaybyDay[[#This Row],[Actual-Rollup]]-DaybyDay[[#This Row],[LY-Rollup]])/DaybyDay[[#This Row],[LY-Rollup]]),0),"")</f>
        <v>4.8532311683641229E-2</v>
      </c>
      <c r="Z1116"/>
      <c r="AA1116" s="37">
        <f>IF(DaybyDay[[#This Row],[_Space]],DaybyDay[[#This Row],[Ret-Act-RU]]/DaybyDay[[#This Row],[Serv-Act-RU]],"")</f>
        <v>0.12776872112804685</v>
      </c>
      <c r="AB1116" s="50">
        <f>IF(DaybyDay[[#This Row],[_Space]],DaybyDay[[#This Row],[RETPEN-Act]]/DaybyDay[[#This Row],[RETPEN-Bud]],"")</f>
        <v>0.52107586225480129</v>
      </c>
      <c r="AC1116" s="37">
        <f>IF(DaybyDay[[#This Row],[_Space]],DaybyDay[[#This Row],[Ret-Bud-RU]]/DaybyDay[[#This Row],[Serv-Bud-RU]],"")</f>
        <v>0.24520176500819976</v>
      </c>
      <c r="AD1116" s="37">
        <f>IF(DaybyDay[[#This Row],[_Space]],DaybyDay[[#This Row],[Ret-LY-RU]]/DaybyDay[[#This Row],[Serv-LY-RU]],"")</f>
        <v>0.18329380690241537</v>
      </c>
      <c r="AE1116" s="30">
        <f>WEEKDAY(DaybyDay[[#This Row],[LY-Date]])</f>
        <v>4</v>
      </c>
      <c r="AF1116" s="38">
        <f>$E$2+_xlfn.DAYS(DaybyDay[[#This Row],[Date]],minDate)</f>
        <v>43481</v>
      </c>
      <c r="AG1116" s="39" cm="1">
        <f t="array" ref="AG1116">IFERROR(INDEX(DaybyDay[],DaybyDay[[#This Row],[FORM_MATCH_HELPER]],8),"")</f>
        <v>18</v>
      </c>
      <c r="AH1116" s="39" cm="1">
        <f t="array" ref="AH1116">IFERROR(INDEX(DaybyDay[],DaybyDay[[#This Row],[FORM_MATCH_HELPER]],10),"")</f>
        <v>4229.59</v>
      </c>
      <c r="AI1116" s="39" cm="1">
        <f t="array" ref="AI1116">IFERROR(INDEX(DaybyDay[],DaybyDay[[#This Row],[FORM_MATCH_HELPER]],12),"")</f>
        <v>3474.5</v>
      </c>
      <c r="AJ1116" s="32">
        <f>IFERROR(DaybyDay[[#This Row],[Serv-LY-RU]]+DaybyDay[[#This Row],[Ret-LY-RU]],"")</f>
        <v>54834.19</v>
      </c>
      <c r="AK11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57495.420000000006</v>
      </c>
      <c r="AL1116" s="77"/>
      <c r="AM1116" s="40" t="str">
        <f>IF(DaybyDay[[#This Row],[Admin Hours]]&gt;0,DaybyDay[[#This Row],[Admin Hours]]*$AM$2+$AM$3,"")</f>
        <v/>
      </c>
      <c r="AN1116" s="40">
        <f>SUMIFS(DaybyDay[Est-Admin-Payroll],DaybyDay[Date],"&gt;="&amp;$C$5,DaybyDay[RowYear],"&gt;="&amp;$C$4,DaybyDay[Date],"&lt;="&amp;DaybyDay[[#This Row],[Date]])</f>
        <v>0</v>
      </c>
      <c r="AO1116" s="41" t="str">
        <f>IF(AND(DaybyDay[[#This Row],[_Space]],ISNUMBER(DaybyDay[[#This Row],[Admin Hours]])),DaybyDay[[#This Row],[Est-Admin-Payroll]]/(DaybyDay[[#This Row],[Service-Actuals]]+DaybyDay[[#This Row],[Retail-Actuals]]),"")</f>
        <v/>
      </c>
      <c r="AP1116" s="41">
        <f>DaybyDay[[#This Row],[Estimated-Payroll-Rollup]]/DaybyDay[[#This Row],[Simple-Forecast]]</f>
        <v>0</v>
      </c>
      <c r="AQ11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6513.85</v>
      </c>
      <c r="AR1116" s="77"/>
      <c r="AS1116" s="40" t="str">
        <f>IF(DaybyDay[[#This Row],[Retail Hours]]&gt;0,DaybyDay[[#This Row],[Retail Hours]]*$AS$2,"")</f>
        <v/>
      </c>
      <c r="AT1116" s="40">
        <f>SUMIFS(DaybyDay[Est-Retail-Payroll],DaybyDay[Date],"&gt;="&amp;$C$5,DaybyDay[RowYear],"&gt;="&amp;$C$4,DaybyDay[Date],"&lt;="&amp;DaybyDay[[#This Row],[Date]])</f>
        <v>0</v>
      </c>
      <c r="AU1116" s="82" t="str">
        <f>IF(AND(DaybyDay[[#This Row],[_Space]],ISNUMBER(DaybyDay[[#This Row],[Retail Hours]])),DaybyDay[[#This Row],[Est-Retail-Payroll]]/(DaybyDay[[#This Row],[Retail-Actuals]]),"")</f>
        <v/>
      </c>
      <c r="AV1116" s="82">
        <f>DaybyDay[[#This Row],[Est-Retail-PayrollRU]]/DaybyDay[[#This Row],[Simple-Forecast-Retail]]</f>
        <v>0</v>
      </c>
      <c r="AW1116" s="8"/>
      <c r="AX1116" s="15"/>
      <c r="AY1116" s="8"/>
    </row>
    <row r="1117" spans="3:51" x14ac:dyDescent="0.25">
      <c r="C1117" s="26" t="str">
        <f>Tools!$C$1</f>
        <v>Example</v>
      </c>
      <c r="D1117" s="27" t="s">
        <v>68</v>
      </c>
      <c r="E1117" s="28">
        <v>2020</v>
      </c>
      <c r="F1117" s="28">
        <f>MATCH(DaybyDay[[#This Row],[RowMonth]],Table3[SummaryMonth],0)</f>
        <v>1</v>
      </c>
      <c r="G1117" s="29">
        <f>MATCH(DaybyDay[[#This Row],[LY-Date]],DaybyDay[Date],0)</f>
        <v>747</v>
      </c>
      <c r="H1117" s="30">
        <f>WEEKDAY(DaybyDay[[#This Row],[Date]])</f>
        <v>5</v>
      </c>
      <c r="I1117" s="31">
        <v>43846</v>
      </c>
      <c r="J1117" s="74">
        <v>17</v>
      </c>
      <c r="K1117" s="32">
        <f>SUMIFS(BudgetSeasonality[365 Seasonality],BudgetSeasonality[MonthAdjustment],DaybyDay[[#This Row],[Date]])*SUMIFS(Budgets[Service-Budget],Budgets[BudgetMonth],DaybyDay[[#This Row],[RowMonth]],Budgets[BudgetYear],DaybyDay[[#This Row],[RowYear]])</f>
        <v>4708.6819323787995</v>
      </c>
      <c r="L1117" s="75">
        <v>2998.8</v>
      </c>
      <c r="M1117" s="32">
        <f>INDEX(BudgetSeasonality[365 Seasonality],MATCH(DaybyDay[[#This Row],[Date]],BudgetSeasonality[MonthAdjustment],0))*SUMIFS(Budgets[Retail-Budget],Budgets[BudgetMonth],DaybyDay[[#This Row],[RowMonth]],Budgets[BudgetYear],DaybyDay[[#This Row],[RowYear]])</f>
        <v>1154.5771206815023</v>
      </c>
      <c r="N1117" s="75">
        <v>577.4</v>
      </c>
      <c r="O1117" s="33">
        <f>SUMIFS(DaybyDay[Service-Budgets],DaybyDay[Date],"&gt;="&amp;$C$5,DaybyDay[RowYear],"&gt;="&amp;$C$4,DaybyDay[Date],"&lt;="&amp;DaybyDay[[#This Row],[Date]])</f>
        <v>62091.58263563436</v>
      </c>
      <c r="P1117" s="33">
        <f>SUMIFS(DaybyDay[Retail-Budgets],DaybyDay[Date],"&gt;="&amp;$C$5,DaybyDay[RowYear],"&gt;="&amp;$C$4,DaybyDay[Date],"&lt;="&amp;DaybyDay[[#This Row],[Date]])</f>
        <v>15224.965654410033</v>
      </c>
      <c r="Q1117" s="34">
        <f>SUMIFS(DaybyDay[Service-Actuals],DaybyDay[Date],"&gt;="&amp;$C$5,DaybyDay[RowYear],"&gt;="&amp;$C$4,DaybyDay[Date],"&lt;="&amp;DaybyDay[[#This Row],[Date]])</f>
        <v>53980.37000000001</v>
      </c>
      <c r="R1117" s="34">
        <f>SUMIFS(DaybyDay[Retail-Actuals],DaybyDay[Date],"&gt;="&amp;$C$5,DaybyDay[RowYear],"&gt;="&amp;$C$4,DaybyDay[Date],"&lt;="&amp;DaybyDay[[#This Row],[Date]])</f>
        <v>7091.25</v>
      </c>
      <c r="S1117" s="35">
        <f>SUMIFS(DaybyDay[Service-LY],DaybyDay[Date],"&gt;="&amp;$C$5,DaybyDay[RowYear],"&gt;="&amp;$C$4,DaybyDay[Date],"&lt;="&amp;DaybyDay[[#This Row],[Date]])</f>
        <v>49692.68</v>
      </c>
      <c r="T1117" s="35">
        <f>SUMIFS(DaybyDay[Retail-LY],DaybyDay[Date],"&gt;="&amp;$C$5,DaybyDay[RowYear],"&gt;="&amp;$C$4,DaybyDay[Date],"&lt;="&amp;DaybyDay[[#This Row],[Date]])</f>
        <v>8616.25</v>
      </c>
      <c r="U1117" s="32">
        <f>DaybyDay[[#This Row],[Serv-Bud-RU]]+DaybyDay[[#This Row],[Ret-Bud-RU]]</f>
        <v>77316.548290044389</v>
      </c>
      <c r="V1117" s="32">
        <f>DaybyDay[[#This Row],[Serv-Act-RU]]+DaybyDay[[#This Row],[Ret-Act-RU]]</f>
        <v>61071.62000000001</v>
      </c>
      <c r="W1117" s="36">
        <f>IF(DaybyDay[[#This Row],[_Space]],IFERROR(
((DaybyDay[[#This Row],[Actual-Rollup]]-DaybyDay[[#This Row],[Budget-Rollup]])/DaybyDay[[#This Row],[Budget-Rollup]]),0),"")</f>
        <v>-0.21010933169317578</v>
      </c>
      <c r="X1117" t="b">
        <f>NOT(AND(ISBLANK(DaybyDay[[#This Row],[Appts]]),ISBLANK(DaybyDay[[#This Row],[Service-Actuals]]),ISBLANK(DaybyDay[[#This Row],[Retail-Actuals]])))</f>
        <v>1</v>
      </c>
      <c r="Y1117" s="36">
        <f>IF(DaybyDay[[#This Row],[_Space]],IFERROR(
((DaybyDay[[#This Row],[Actual-Rollup]]-DaybyDay[[#This Row],[LY-Rollup]])/DaybyDay[[#This Row],[LY-Rollup]]),0),"")</f>
        <v>4.7380221177099453E-2</v>
      </c>
      <c r="Z1117"/>
      <c r="AA1117" s="37">
        <f>IF(DaybyDay[[#This Row],[_Space]],DaybyDay[[#This Row],[Ret-Act-RU]]/DaybyDay[[#This Row],[Serv-Act-RU]],"")</f>
        <v>0.13136719885395373</v>
      </c>
      <c r="AB1117" s="50">
        <f>IF(DaybyDay[[#This Row],[_Space]],DaybyDay[[#This Row],[RETPEN-Act]]/DaybyDay[[#This Row],[RETPEN-Bud]],"")</f>
        <v>0.53575144065362135</v>
      </c>
      <c r="AC1117" s="37">
        <f>IF(DaybyDay[[#This Row],[_Space]],DaybyDay[[#This Row],[Ret-Bud-RU]]/DaybyDay[[#This Row],[Serv-Bud-RU]],"")</f>
        <v>0.24520176500819976</v>
      </c>
      <c r="AD1117" s="37">
        <f>IF(DaybyDay[[#This Row],[_Space]],DaybyDay[[#This Row],[Ret-LY-RU]]/DaybyDay[[#This Row],[Serv-LY-RU]],"")</f>
        <v>0.17339072877534478</v>
      </c>
      <c r="AE1117" s="30">
        <f>WEEKDAY(DaybyDay[[#This Row],[LY-Date]])</f>
        <v>5</v>
      </c>
      <c r="AF1117" s="38">
        <f>$E$2+_xlfn.DAYS(DaybyDay[[#This Row],[Date]],minDate)</f>
        <v>43482</v>
      </c>
      <c r="AG1117" s="39" cm="1">
        <f t="array" ref="AG1117">IFERROR(INDEX(DaybyDay[],DaybyDay[[#This Row],[FORM_MATCH_HELPER]],8),"")</f>
        <v>14</v>
      </c>
      <c r="AH1117" s="39" cm="1">
        <f t="array" ref="AH1117">IFERROR(INDEX(DaybyDay[],DaybyDay[[#This Row],[FORM_MATCH_HELPER]],10),"")</f>
        <v>3352.38</v>
      </c>
      <c r="AI1117" s="39" cm="1">
        <f t="array" ref="AI1117">IFERROR(INDEX(DaybyDay[],DaybyDay[[#This Row],[FORM_MATCH_HELPER]],12),"")</f>
        <v>122.36</v>
      </c>
      <c r="AJ1117" s="32">
        <f>IFERROR(DaybyDay[[#This Row],[Serv-LY-RU]]+DaybyDay[[#This Row],[Ret-LY-RU]],"")</f>
        <v>58308.93</v>
      </c>
      <c r="AK11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61071.62000000001</v>
      </c>
      <c r="AL1117" s="77"/>
      <c r="AM1117" s="40" t="str">
        <f>IF(DaybyDay[[#This Row],[Admin Hours]]&gt;0,DaybyDay[[#This Row],[Admin Hours]]*$AM$2+$AM$3,"")</f>
        <v/>
      </c>
      <c r="AN1117" s="40">
        <f>SUMIFS(DaybyDay[Est-Admin-Payroll],DaybyDay[Date],"&gt;="&amp;$C$5,DaybyDay[RowYear],"&gt;="&amp;$C$4,DaybyDay[Date],"&lt;="&amp;DaybyDay[[#This Row],[Date]])</f>
        <v>0</v>
      </c>
      <c r="AO1117" s="41" t="str">
        <f>IF(AND(DaybyDay[[#This Row],[_Space]],ISNUMBER(DaybyDay[[#This Row],[Admin Hours]])),DaybyDay[[#This Row],[Est-Admin-Payroll]]/(DaybyDay[[#This Row],[Service-Actuals]]+DaybyDay[[#This Row],[Retail-Actuals]]),"")</f>
        <v/>
      </c>
      <c r="AP1117" s="41">
        <f>DaybyDay[[#This Row],[Estimated-Payroll-Rollup]]/DaybyDay[[#This Row],[Simple-Forecast]]</f>
        <v>0</v>
      </c>
      <c r="AQ11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7091.25</v>
      </c>
      <c r="AR1117" s="77"/>
      <c r="AS1117" s="40" t="str">
        <f>IF(DaybyDay[[#This Row],[Retail Hours]]&gt;0,DaybyDay[[#This Row],[Retail Hours]]*$AS$2,"")</f>
        <v/>
      </c>
      <c r="AT1117" s="40">
        <f>SUMIFS(DaybyDay[Est-Retail-Payroll],DaybyDay[Date],"&gt;="&amp;$C$5,DaybyDay[RowYear],"&gt;="&amp;$C$4,DaybyDay[Date],"&lt;="&amp;DaybyDay[[#This Row],[Date]])</f>
        <v>0</v>
      </c>
      <c r="AU1117" s="82" t="str">
        <f>IF(AND(DaybyDay[[#This Row],[_Space]],ISNUMBER(DaybyDay[[#This Row],[Retail Hours]])),DaybyDay[[#This Row],[Est-Retail-Payroll]]/(DaybyDay[[#This Row],[Retail-Actuals]]),"")</f>
        <v/>
      </c>
      <c r="AV1117" s="82">
        <f>DaybyDay[[#This Row],[Est-Retail-PayrollRU]]/DaybyDay[[#This Row],[Simple-Forecast-Retail]]</f>
        <v>0</v>
      </c>
      <c r="AW1117" s="8"/>
      <c r="AX1117" s="15"/>
      <c r="AY1117" s="8"/>
    </row>
    <row r="1118" spans="3:51" x14ac:dyDescent="0.25">
      <c r="C1118" s="26" t="str">
        <f>Tools!$C$1</f>
        <v>Example</v>
      </c>
      <c r="D1118" s="27" t="s">
        <v>68</v>
      </c>
      <c r="E1118" s="28">
        <v>2020</v>
      </c>
      <c r="F1118" s="28">
        <f>MATCH(DaybyDay[[#This Row],[RowMonth]],Table3[SummaryMonth],0)</f>
        <v>1</v>
      </c>
      <c r="G1118" s="29">
        <f>MATCH(DaybyDay[[#This Row],[LY-Date]],DaybyDay[Date],0)</f>
        <v>748</v>
      </c>
      <c r="H1118" s="30">
        <f>WEEKDAY(DaybyDay[[#This Row],[Date]])</f>
        <v>6</v>
      </c>
      <c r="I1118" s="31">
        <v>43847</v>
      </c>
      <c r="J1118" s="74">
        <v>32</v>
      </c>
      <c r="K1118" s="32">
        <f>SUMIFS(BudgetSeasonality[365 Seasonality],BudgetSeasonality[MonthAdjustment],DaybyDay[[#This Row],[Date]])*SUMIFS(Budgets[Service-Budget],Budgets[BudgetMonth],DaybyDay[[#This Row],[RowMonth]],Budgets[BudgetYear],DaybyDay[[#This Row],[RowYear]])</f>
        <v>5708.42404605102</v>
      </c>
      <c r="L1118" s="75">
        <v>4351.82</v>
      </c>
      <c r="M1118" s="32">
        <f>INDEX(BudgetSeasonality[365 Seasonality],MATCH(DaybyDay[[#This Row],[Date]],BudgetSeasonality[MonthAdjustment],0))*SUMIFS(Budgets[Retail-Budget],Budgets[BudgetMonth],DaybyDay[[#This Row],[RowMonth]],Budgets[BudgetYear],DaybyDay[[#This Row],[RowYear]])</f>
        <v>1399.7156515069589</v>
      </c>
      <c r="N1118" s="75">
        <v>5438.18</v>
      </c>
      <c r="O1118" s="33">
        <f>SUMIFS(DaybyDay[Service-Budgets],DaybyDay[Date],"&gt;="&amp;$C$5,DaybyDay[RowYear],"&gt;="&amp;$C$4,DaybyDay[Date],"&lt;="&amp;DaybyDay[[#This Row],[Date]])</f>
        <v>67800.00668168538</v>
      </c>
      <c r="P1118" s="33">
        <f>SUMIFS(DaybyDay[Retail-Budgets],DaybyDay[Date],"&gt;="&amp;$C$5,DaybyDay[RowYear],"&gt;="&amp;$C$4,DaybyDay[Date],"&lt;="&amp;DaybyDay[[#This Row],[Date]])</f>
        <v>16624.681305916991</v>
      </c>
      <c r="Q1118" s="34">
        <f>SUMIFS(DaybyDay[Service-Actuals],DaybyDay[Date],"&gt;="&amp;$C$5,DaybyDay[RowYear],"&gt;="&amp;$C$4,DaybyDay[Date],"&lt;="&amp;DaybyDay[[#This Row],[Date]])</f>
        <v>58332.19000000001</v>
      </c>
      <c r="R1118" s="34">
        <f>SUMIFS(DaybyDay[Retail-Actuals],DaybyDay[Date],"&gt;="&amp;$C$5,DaybyDay[RowYear],"&gt;="&amp;$C$4,DaybyDay[Date],"&lt;="&amp;DaybyDay[[#This Row],[Date]])</f>
        <v>12529.43</v>
      </c>
      <c r="S1118" s="35">
        <f>SUMIFS(DaybyDay[Service-LY],DaybyDay[Date],"&gt;="&amp;$C$5,DaybyDay[RowYear],"&gt;="&amp;$C$4,DaybyDay[Date],"&lt;="&amp;DaybyDay[[#This Row],[Date]])</f>
        <v>53971.38</v>
      </c>
      <c r="T1118" s="35">
        <f>SUMIFS(DaybyDay[Retail-LY],DaybyDay[Date],"&gt;="&amp;$C$5,DaybyDay[RowYear],"&gt;="&amp;$C$4,DaybyDay[Date],"&lt;="&amp;DaybyDay[[#This Row],[Date]])</f>
        <v>8673.25</v>
      </c>
      <c r="U1118" s="32">
        <f>DaybyDay[[#This Row],[Serv-Bud-RU]]+DaybyDay[[#This Row],[Ret-Bud-RU]]</f>
        <v>84424.687987602374</v>
      </c>
      <c r="V1118" s="32">
        <f>DaybyDay[[#This Row],[Serv-Act-RU]]+DaybyDay[[#This Row],[Ret-Act-RU]]</f>
        <v>70861.62000000001</v>
      </c>
      <c r="W1118" s="36">
        <f>IF(DaybyDay[[#This Row],[_Space]],IFERROR(
((DaybyDay[[#This Row],[Actual-Rollup]]-DaybyDay[[#This Row],[Budget-Rollup]])/DaybyDay[[#This Row],[Budget-Rollup]]),0),"")</f>
        <v>-0.16065286483017951</v>
      </c>
      <c r="X1118" t="b">
        <f>NOT(AND(ISBLANK(DaybyDay[[#This Row],[Appts]]),ISBLANK(DaybyDay[[#This Row],[Service-Actuals]]),ISBLANK(DaybyDay[[#This Row],[Retail-Actuals]])))</f>
        <v>1</v>
      </c>
      <c r="Y1118" s="36">
        <f>IF(DaybyDay[[#This Row],[_Space]],IFERROR(
((DaybyDay[[#This Row],[Actual-Rollup]]-DaybyDay[[#This Row],[LY-Rollup]])/DaybyDay[[#This Row],[LY-Rollup]]),0),"")</f>
        <v>0.13116830604634447</v>
      </c>
      <c r="Z1118"/>
      <c r="AA1118" s="37">
        <f>IF(DaybyDay[[#This Row],[_Space]],DaybyDay[[#This Row],[Ret-Act-RU]]/DaybyDay[[#This Row],[Serv-Act-RU]],"")</f>
        <v>0.21479443854242397</v>
      </c>
      <c r="AB1118" s="50">
        <f>IF(DaybyDay[[#This Row],[_Space]],DaybyDay[[#This Row],[RETPEN-Act]]/DaybyDay[[#This Row],[RETPEN-Bud]],"")</f>
        <v>0.87599058895534898</v>
      </c>
      <c r="AC1118" s="37">
        <f>IF(DaybyDay[[#This Row],[_Space]],DaybyDay[[#This Row],[Ret-Bud-RU]]/DaybyDay[[#This Row],[Serv-Bud-RU]],"")</f>
        <v>0.24520176500819973</v>
      </c>
      <c r="AD1118" s="37">
        <f>IF(DaybyDay[[#This Row],[_Space]],DaybyDay[[#This Row],[Ret-LY-RU]]/DaybyDay[[#This Row],[Serv-LY-RU]],"")</f>
        <v>0.16070091222421959</v>
      </c>
      <c r="AE1118" s="30">
        <f>WEEKDAY(DaybyDay[[#This Row],[LY-Date]])</f>
        <v>6</v>
      </c>
      <c r="AF1118" s="38">
        <f>$E$2+_xlfn.DAYS(DaybyDay[[#This Row],[Date]],minDate)</f>
        <v>43483</v>
      </c>
      <c r="AG1118" s="39" cm="1">
        <f t="array" ref="AG1118">IFERROR(INDEX(DaybyDay[],DaybyDay[[#This Row],[FORM_MATCH_HELPER]],8),"")</f>
        <v>20</v>
      </c>
      <c r="AH1118" s="39" cm="1">
        <f t="array" ref="AH1118">IFERROR(INDEX(DaybyDay[],DaybyDay[[#This Row],[FORM_MATCH_HELPER]],10),"")</f>
        <v>4278.7</v>
      </c>
      <c r="AI1118" s="39" cm="1">
        <f t="array" ref="AI1118">IFERROR(INDEX(DaybyDay[],DaybyDay[[#This Row],[FORM_MATCH_HELPER]],12),"")</f>
        <v>57</v>
      </c>
      <c r="AJ1118" s="32">
        <f>IFERROR(DaybyDay[[#This Row],[Serv-LY-RU]]+DaybyDay[[#This Row],[Ret-LY-RU]],"")</f>
        <v>62644.63</v>
      </c>
      <c r="AK11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70861.62000000001</v>
      </c>
      <c r="AL1118" s="77"/>
      <c r="AM1118" s="40" t="str">
        <f>IF(DaybyDay[[#This Row],[Admin Hours]]&gt;0,DaybyDay[[#This Row],[Admin Hours]]*$AM$2+$AM$3,"")</f>
        <v/>
      </c>
      <c r="AN1118" s="40">
        <f>SUMIFS(DaybyDay[Est-Admin-Payroll],DaybyDay[Date],"&gt;="&amp;$C$5,DaybyDay[RowYear],"&gt;="&amp;$C$4,DaybyDay[Date],"&lt;="&amp;DaybyDay[[#This Row],[Date]])</f>
        <v>0</v>
      </c>
      <c r="AO1118" s="41" t="str">
        <f>IF(AND(DaybyDay[[#This Row],[_Space]],ISNUMBER(DaybyDay[[#This Row],[Admin Hours]])),DaybyDay[[#This Row],[Est-Admin-Payroll]]/(DaybyDay[[#This Row],[Service-Actuals]]+DaybyDay[[#This Row],[Retail-Actuals]]),"")</f>
        <v/>
      </c>
      <c r="AP1118" s="41">
        <f>DaybyDay[[#This Row],[Estimated-Payroll-Rollup]]/DaybyDay[[#This Row],[Simple-Forecast]]</f>
        <v>0</v>
      </c>
      <c r="AQ11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12529.43</v>
      </c>
      <c r="AR1118" s="77"/>
      <c r="AS1118" s="40" t="str">
        <f>IF(DaybyDay[[#This Row],[Retail Hours]]&gt;0,DaybyDay[[#This Row],[Retail Hours]]*$AS$2,"")</f>
        <v/>
      </c>
      <c r="AT1118" s="40">
        <f>SUMIFS(DaybyDay[Est-Retail-Payroll],DaybyDay[Date],"&gt;="&amp;$C$5,DaybyDay[RowYear],"&gt;="&amp;$C$4,DaybyDay[Date],"&lt;="&amp;DaybyDay[[#This Row],[Date]])</f>
        <v>0</v>
      </c>
      <c r="AU1118" s="82" t="str">
        <f>IF(AND(DaybyDay[[#This Row],[_Space]],ISNUMBER(DaybyDay[[#This Row],[Retail Hours]])),DaybyDay[[#This Row],[Est-Retail-Payroll]]/(DaybyDay[[#This Row],[Retail-Actuals]]),"")</f>
        <v/>
      </c>
      <c r="AV1118" s="82">
        <f>DaybyDay[[#This Row],[Est-Retail-PayrollRU]]/DaybyDay[[#This Row],[Simple-Forecast-Retail]]</f>
        <v>0</v>
      </c>
      <c r="AW1118" s="8"/>
      <c r="AX1118" s="15"/>
      <c r="AY1118" s="8"/>
    </row>
    <row r="1119" spans="3:51" x14ac:dyDescent="0.25">
      <c r="C1119" s="26" t="str">
        <f>Tools!$C$1</f>
        <v>Example</v>
      </c>
      <c r="D1119" s="27" t="s">
        <v>68</v>
      </c>
      <c r="E1119" s="28">
        <v>2020</v>
      </c>
      <c r="F1119" s="28">
        <f>MATCH(DaybyDay[[#This Row],[RowMonth]],Table3[SummaryMonth],0)</f>
        <v>1</v>
      </c>
      <c r="G1119" s="29">
        <f>MATCH(DaybyDay[[#This Row],[LY-Date]],DaybyDay[Date],0)</f>
        <v>749</v>
      </c>
      <c r="H1119" s="30">
        <f>WEEKDAY(DaybyDay[[#This Row],[Date]])</f>
        <v>7</v>
      </c>
      <c r="I1119" s="31">
        <v>43848</v>
      </c>
      <c r="J1119" s="74">
        <v>51</v>
      </c>
      <c r="K1119" s="32">
        <f>SUMIFS(BudgetSeasonality[365 Seasonality],BudgetSeasonality[MonthAdjustment],DaybyDay[[#This Row],[Date]])*SUMIFS(Budgets[Service-Budget],Budgets[BudgetMonth],DaybyDay[[#This Row],[RowMonth]],Budgets[BudgetYear],DaybyDay[[#This Row],[RowYear]])</f>
        <v>7834.0067310350605</v>
      </c>
      <c r="L1119" s="75">
        <v>12342.15</v>
      </c>
      <c r="M1119" s="32">
        <f>INDEX(BudgetSeasonality[365 Seasonality],MATCH(DaybyDay[[#This Row],[Date]],BudgetSeasonality[MonthAdjustment],0))*SUMIFS(Budgets[Retail-Budget],Budgets[BudgetMonth],DaybyDay[[#This Row],[RowMonth]],Budgets[BudgetYear],DaybyDay[[#This Row],[RowYear]])</f>
        <v>1920.912277535914</v>
      </c>
      <c r="N1119" s="75">
        <v>2233.1999999999998</v>
      </c>
      <c r="O1119" s="33">
        <f>SUMIFS(DaybyDay[Service-Budgets],DaybyDay[Date],"&gt;="&amp;$C$5,DaybyDay[RowYear],"&gt;="&amp;$C$4,DaybyDay[Date],"&lt;="&amp;DaybyDay[[#This Row],[Date]])</f>
        <v>75634.013412720436</v>
      </c>
      <c r="P1119" s="33">
        <f>SUMIFS(DaybyDay[Retail-Budgets],DaybyDay[Date],"&gt;="&amp;$C$5,DaybyDay[RowYear],"&gt;="&amp;$C$4,DaybyDay[Date],"&lt;="&amp;DaybyDay[[#This Row],[Date]])</f>
        <v>18545.593583452905</v>
      </c>
      <c r="Q1119" s="34">
        <f>SUMIFS(DaybyDay[Service-Actuals],DaybyDay[Date],"&gt;="&amp;$C$5,DaybyDay[RowYear],"&gt;="&amp;$C$4,DaybyDay[Date],"&lt;="&amp;DaybyDay[[#This Row],[Date]])</f>
        <v>70674.340000000011</v>
      </c>
      <c r="R1119" s="34">
        <f>SUMIFS(DaybyDay[Retail-Actuals],DaybyDay[Date],"&gt;="&amp;$C$5,DaybyDay[RowYear],"&gt;="&amp;$C$4,DaybyDay[Date],"&lt;="&amp;DaybyDay[[#This Row],[Date]])</f>
        <v>14762.630000000001</v>
      </c>
      <c r="S1119" s="35">
        <f>SUMIFS(DaybyDay[Service-LY],DaybyDay[Date],"&gt;="&amp;$C$5,DaybyDay[RowYear],"&gt;="&amp;$C$4,DaybyDay[Date],"&lt;="&amp;DaybyDay[[#This Row],[Date]])</f>
        <v>62917.38</v>
      </c>
      <c r="T1119" s="35">
        <f>SUMIFS(DaybyDay[Retail-LY],DaybyDay[Date],"&gt;="&amp;$C$5,DaybyDay[RowYear],"&gt;="&amp;$C$4,DaybyDay[Date],"&lt;="&amp;DaybyDay[[#This Row],[Date]])</f>
        <v>8792.0499999999993</v>
      </c>
      <c r="U1119" s="32">
        <f>DaybyDay[[#This Row],[Serv-Bud-RU]]+DaybyDay[[#This Row],[Ret-Bud-RU]]</f>
        <v>94179.606996173345</v>
      </c>
      <c r="V1119" s="32">
        <f>DaybyDay[[#This Row],[Serv-Act-RU]]+DaybyDay[[#This Row],[Ret-Act-RU]]</f>
        <v>85436.970000000016</v>
      </c>
      <c r="W1119" s="36">
        <f>IF(DaybyDay[[#This Row],[_Space]],IFERROR(
((DaybyDay[[#This Row],[Actual-Rollup]]-DaybyDay[[#This Row],[Budget-Rollup]])/DaybyDay[[#This Row],[Budget-Rollup]]),0),"")</f>
        <v>-9.2829406227279698E-2</v>
      </c>
      <c r="X1119" t="b">
        <f>NOT(AND(ISBLANK(DaybyDay[[#This Row],[Appts]]),ISBLANK(DaybyDay[[#This Row],[Service-Actuals]]),ISBLANK(DaybyDay[[#This Row],[Retail-Actuals]])))</f>
        <v>1</v>
      </c>
      <c r="Y1119" s="36">
        <f>IF(DaybyDay[[#This Row],[_Space]],IFERROR(
((DaybyDay[[#This Row],[Actual-Rollup]]-DaybyDay[[#This Row],[LY-Rollup]])/DaybyDay[[#This Row],[LY-Rollup]]),0),"")</f>
        <v>0.19143284223567283</v>
      </c>
      <c r="Z1119"/>
      <c r="AA1119" s="37">
        <f>IF(DaybyDay[[#This Row],[_Space]],DaybyDay[[#This Row],[Ret-Act-RU]]/DaybyDay[[#This Row],[Serv-Act-RU]],"")</f>
        <v>0.20888246002721778</v>
      </c>
      <c r="AB1119" s="50">
        <f>IF(DaybyDay[[#This Row],[_Space]],DaybyDay[[#This Row],[RETPEN-Act]]/DaybyDay[[#This Row],[RETPEN-Bud]],"")</f>
        <v>0.85187992027803128</v>
      </c>
      <c r="AC1119" s="37">
        <f>IF(DaybyDay[[#This Row],[_Space]],DaybyDay[[#This Row],[Ret-Bud-RU]]/DaybyDay[[#This Row],[Serv-Bud-RU]],"")</f>
        <v>0.24520176500819976</v>
      </c>
      <c r="AD1119" s="37">
        <f>IF(DaybyDay[[#This Row],[_Space]],DaybyDay[[#This Row],[Ret-LY-RU]]/DaybyDay[[#This Row],[Serv-LY-RU]],"")</f>
        <v>0.13973960772047406</v>
      </c>
      <c r="AE1119" s="30">
        <f>WEEKDAY(DaybyDay[[#This Row],[LY-Date]])</f>
        <v>7</v>
      </c>
      <c r="AF1119" s="38">
        <f>$E$2+_xlfn.DAYS(DaybyDay[[#This Row],[Date]],minDate)</f>
        <v>43484</v>
      </c>
      <c r="AG1119" s="39" cm="1">
        <f t="array" ref="AG1119">IFERROR(INDEX(DaybyDay[],DaybyDay[[#This Row],[FORM_MATCH_HELPER]],8),"")</f>
        <v>33</v>
      </c>
      <c r="AH1119" s="39" cm="1">
        <f t="array" ref="AH1119">IFERROR(INDEX(DaybyDay[],DaybyDay[[#This Row],[FORM_MATCH_HELPER]],10),"")</f>
        <v>8946</v>
      </c>
      <c r="AI1119" s="39" cm="1">
        <f t="array" ref="AI1119">IFERROR(INDEX(DaybyDay[],DaybyDay[[#This Row],[FORM_MATCH_HELPER]],12),"")</f>
        <v>118.8</v>
      </c>
      <c r="AJ1119" s="32">
        <f>IFERROR(DaybyDay[[#This Row],[Serv-LY-RU]]+DaybyDay[[#This Row],[Ret-LY-RU]],"")</f>
        <v>71709.429999999993</v>
      </c>
      <c r="AK11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85436.970000000016</v>
      </c>
      <c r="AL1119" s="77"/>
      <c r="AM1119" s="40" t="str">
        <f>IF(DaybyDay[[#This Row],[Admin Hours]]&gt;0,DaybyDay[[#This Row],[Admin Hours]]*$AM$2+$AM$3,"")</f>
        <v/>
      </c>
      <c r="AN1119" s="40">
        <f>SUMIFS(DaybyDay[Est-Admin-Payroll],DaybyDay[Date],"&gt;="&amp;$C$5,DaybyDay[RowYear],"&gt;="&amp;$C$4,DaybyDay[Date],"&lt;="&amp;DaybyDay[[#This Row],[Date]])</f>
        <v>0</v>
      </c>
      <c r="AO1119" s="41" t="str">
        <f>IF(AND(DaybyDay[[#This Row],[_Space]],ISNUMBER(DaybyDay[[#This Row],[Admin Hours]])),DaybyDay[[#This Row],[Est-Admin-Payroll]]/(DaybyDay[[#This Row],[Service-Actuals]]+DaybyDay[[#This Row],[Retail-Actuals]]),"")</f>
        <v/>
      </c>
      <c r="AP1119" s="41">
        <f>DaybyDay[[#This Row],[Estimated-Payroll-Rollup]]/DaybyDay[[#This Row],[Simple-Forecast]]</f>
        <v>0</v>
      </c>
      <c r="AQ11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14762.630000000001</v>
      </c>
      <c r="AR1119" s="77"/>
      <c r="AS1119" s="40" t="str">
        <f>IF(DaybyDay[[#This Row],[Retail Hours]]&gt;0,DaybyDay[[#This Row],[Retail Hours]]*$AS$2,"")</f>
        <v/>
      </c>
      <c r="AT1119" s="40">
        <f>SUMIFS(DaybyDay[Est-Retail-Payroll],DaybyDay[Date],"&gt;="&amp;$C$5,DaybyDay[RowYear],"&gt;="&amp;$C$4,DaybyDay[Date],"&lt;="&amp;DaybyDay[[#This Row],[Date]])</f>
        <v>0</v>
      </c>
      <c r="AU1119" s="82" t="str">
        <f>IF(AND(DaybyDay[[#This Row],[_Space]],ISNUMBER(DaybyDay[[#This Row],[Retail Hours]])),DaybyDay[[#This Row],[Est-Retail-Payroll]]/(DaybyDay[[#This Row],[Retail-Actuals]]),"")</f>
        <v/>
      </c>
      <c r="AV1119" s="82">
        <f>DaybyDay[[#This Row],[Est-Retail-PayrollRU]]/DaybyDay[[#This Row],[Simple-Forecast-Retail]]</f>
        <v>0</v>
      </c>
      <c r="AW1119" s="8"/>
      <c r="AX1119" s="15"/>
      <c r="AY1119" s="8"/>
    </row>
    <row r="1120" spans="3:51" x14ac:dyDescent="0.25">
      <c r="C1120" s="26" t="str">
        <f>Tools!$C$1</f>
        <v>Example</v>
      </c>
      <c r="D1120" s="27" t="s">
        <v>68</v>
      </c>
      <c r="E1120" s="28">
        <v>2020</v>
      </c>
      <c r="F1120" s="28">
        <f>MATCH(DaybyDay[[#This Row],[RowMonth]],Table3[SummaryMonth],0)</f>
        <v>1</v>
      </c>
      <c r="G1120" s="29">
        <f>MATCH(DaybyDay[[#This Row],[LY-Date]],DaybyDay[Date],0)</f>
        <v>750</v>
      </c>
      <c r="H1120" s="30">
        <f>WEEKDAY(DaybyDay[[#This Row],[Date]])</f>
        <v>1</v>
      </c>
      <c r="I1120" s="31">
        <v>43849</v>
      </c>
      <c r="J1120" s="74">
        <v>45</v>
      </c>
      <c r="K1120" s="32">
        <f>SUMIFS(BudgetSeasonality[365 Seasonality],BudgetSeasonality[MonthAdjustment],DaybyDay[[#This Row],[Date]])*SUMIFS(Budgets[Service-Budget],Budgets[BudgetMonth],DaybyDay[[#This Row],[RowMonth]],Budgets[BudgetYear],DaybyDay[[#This Row],[RowYear]])</f>
        <v>6270.6315241801631</v>
      </c>
      <c r="L1120" s="75">
        <v>7841.65</v>
      </c>
      <c r="M1120" s="32">
        <f>INDEX(BudgetSeasonality[365 Seasonality],MATCH(DaybyDay[[#This Row],[Date]],BudgetSeasonality[MonthAdjustment],0))*SUMIFS(Budgets[Retail-Budget],Budgets[BudgetMonth],DaybyDay[[#This Row],[RowMonth]],Budgets[BudgetYear],DaybyDay[[#This Row],[RowYear]])</f>
        <v>1537.5699174450338</v>
      </c>
      <c r="N1120" s="75">
        <v>2238.5</v>
      </c>
      <c r="O1120" s="33">
        <f>SUMIFS(DaybyDay[Service-Budgets],DaybyDay[Date],"&gt;="&amp;$C$5,DaybyDay[RowYear],"&gt;="&amp;$C$4,DaybyDay[Date],"&lt;="&amp;DaybyDay[[#This Row],[Date]])</f>
        <v>81904.6449369006</v>
      </c>
      <c r="P1120" s="33">
        <f>SUMIFS(DaybyDay[Retail-Budgets],DaybyDay[Date],"&gt;="&amp;$C$5,DaybyDay[RowYear],"&gt;="&amp;$C$4,DaybyDay[Date],"&lt;="&amp;DaybyDay[[#This Row],[Date]])</f>
        <v>20083.163500897939</v>
      </c>
      <c r="Q1120" s="34">
        <f>SUMIFS(DaybyDay[Service-Actuals],DaybyDay[Date],"&gt;="&amp;$C$5,DaybyDay[RowYear],"&gt;="&amp;$C$4,DaybyDay[Date],"&lt;="&amp;DaybyDay[[#This Row],[Date]])</f>
        <v>78515.990000000005</v>
      </c>
      <c r="R1120" s="34">
        <f>SUMIFS(DaybyDay[Retail-Actuals],DaybyDay[Date],"&gt;="&amp;$C$5,DaybyDay[RowYear],"&gt;="&amp;$C$4,DaybyDay[Date],"&lt;="&amp;DaybyDay[[#This Row],[Date]])</f>
        <v>17001.13</v>
      </c>
      <c r="S1120" s="35">
        <f>SUMIFS(DaybyDay[Service-LY],DaybyDay[Date],"&gt;="&amp;$C$5,DaybyDay[RowYear],"&gt;="&amp;$C$4,DaybyDay[Date],"&lt;="&amp;DaybyDay[[#This Row],[Date]])</f>
        <v>70268.98</v>
      </c>
      <c r="T1120" s="35">
        <f>SUMIFS(DaybyDay[Retail-LY],DaybyDay[Date],"&gt;="&amp;$C$5,DaybyDay[RowYear],"&gt;="&amp;$C$4,DaybyDay[Date],"&lt;="&amp;DaybyDay[[#This Row],[Date]])</f>
        <v>9266.8499999999985</v>
      </c>
      <c r="U1120" s="32">
        <f>DaybyDay[[#This Row],[Serv-Bud-RU]]+DaybyDay[[#This Row],[Ret-Bud-RU]]</f>
        <v>101987.80843779854</v>
      </c>
      <c r="V1120" s="32">
        <f>DaybyDay[[#This Row],[Serv-Act-RU]]+DaybyDay[[#This Row],[Ret-Act-RU]]</f>
        <v>95517.12000000001</v>
      </c>
      <c r="W1120" s="36">
        <f>IF(DaybyDay[[#This Row],[_Space]],IFERROR(
((DaybyDay[[#This Row],[Actual-Rollup]]-DaybyDay[[#This Row],[Budget-Rollup]])/DaybyDay[[#This Row],[Budget-Rollup]]),0),"")</f>
        <v>-6.3445705294716104E-2</v>
      </c>
      <c r="X1120" t="b">
        <f>NOT(AND(ISBLANK(DaybyDay[[#This Row],[Appts]]),ISBLANK(DaybyDay[[#This Row],[Service-Actuals]]),ISBLANK(DaybyDay[[#This Row],[Retail-Actuals]])))</f>
        <v>1</v>
      </c>
      <c r="Y1120" s="36">
        <f>IF(DaybyDay[[#This Row],[_Space]],IFERROR(
((DaybyDay[[#This Row],[Actual-Rollup]]-DaybyDay[[#This Row],[LY-Rollup]])/DaybyDay[[#This Row],[LY-Rollup]]),0),"")</f>
        <v>0.2009319573329407</v>
      </c>
      <c r="Z1120"/>
      <c r="AA1120" s="37">
        <f>IF(DaybyDay[[#This Row],[_Space]],DaybyDay[[#This Row],[Ret-Act-RU]]/DaybyDay[[#This Row],[Serv-Act-RU]],"")</f>
        <v>0.21653079837622885</v>
      </c>
      <c r="AB1120" s="50">
        <f>IF(DaybyDay[[#This Row],[_Space]],DaybyDay[[#This Row],[RETPEN-Act]]/DaybyDay[[#This Row],[RETPEN-Bud]],"")</f>
        <v>0.88307194024067437</v>
      </c>
      <c r="AC1120" s="37">
        <f>IF(DaybyDay[[#This Row],[_Space]],DaybyDay[[#This Row],[Ret-Bud-RU]]/DaybyDay[[#This Row],[Serv-Bud-RU]],"")</f>
        <v>0.24520176500819976</v>
      </c>
      <c r="AD1120" s="37">
        <f>IF(DaybyDay[[#This Row],[_Space]],DaybyDay[[#This Row],[Ret-LY-RU]]/DaybyDay[[#This Row],[Serv-LY-RU]],"")</f>
        <v>0.1318768253075539</v>
      </c>
      <c r="AE1120" s="30">
        <f>WEEKDAY(DaybyDay[[#This Row],[LY-Date]])</f>
        <v>1</v>
      </c>
      <c r="AF1120" s="38">
        <f>$E$2+_xlfn.DAYS(DaybyDay[[#This Row],[Date]],minDate)</f>
        <v>43485</v>
      </c>
      <c r="AG1120" s="39" cm="1">
        <f t="array" ref="AG1120">IFERROR(INDEX(DaybyDay[],DaybyDay[[#This Row],[FORM_MATCH_HELPER]],8),"")</f>
        <v>27</v>
      </c>
      <c r="AH1120" s="39" cm="1">
        <f t="array" ref="AH1120">IFERROR(INDEX(DaybyDay[],DaybyDay[[#This Row],[FORM_MATCH_HELPER]],10),"")</f>
        <v>7351.6</v>
      </c>
      <c r="AI1120" s="39" cm="1">
        <f t="array" ref="AI1120">IFERROR(INDEX(DaybyDay[],DaybyDay[[#This Row],[FORM_MATCH_HELPER]],12),"")</f>
        <v>474.8</v>
      </c>
      <c r="AJ1120" s="32">
        <f>IFERROR(DaybyDay[[#This Row],[Serv-LY-RU]]+DaybyDay[[#This Row],[Ret-LY-RU]],"")</f>
        <v>79535.829999999987</v>
      </c>
      <c r="AK11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95517.12000000001</v>
      </c>
      <c r="AL1120" s="77"/>
      <c r="AM1120" s="40" t="str">
        <f>IF(DaybyDay[[#This Row],[Admin Hours]]&gt;0,DaybyDay[[#This Row],[Admin Hours]]*$AM$2+$AM$3,"")</f>
        <v/>
      </c>
      <c r="AN1120" s="40">
        <f>SUMIFS(DaybyDay[Est-Admin-Payroll],DaybyDay[Date],"&gt;="&amp;$C$5,DaybyDay[RowYear],"&gt;="&amp;$C$4,DaybyDay[Date],"&lt;="&amp;DaybyDay[[#This Row],[Date]])</f>
        <v>0</v>
      </c>
      <c r="AO1120" s="41" t="str">
        <f>IF(AND(DaybyDay[[#This Row],[_Space]],ISNUMBER(DaybyDay[[#This Row],[Admin Hours]])),DaybyDay[[#This Row],[Est-Admin-Payroll]]/(DaybyDay[[#This Row],[Service-Actuals]]+DaybyDay[[#This Row],[Retail-Actuals]]),"")</f>
        <v/>
      </c>
      <c r="AP1120" s="41">
        <f>DaybyDay[[#This Row],[Estimated-Payroll-Rollup]]/DaybyDay[[#This Row],[Simple-Forecast]]</f>
        <v>0</v>
      </c>
      <c r="AQ11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17001.13</v>
      </c>
      <c r="AR1120" s="77"/>
      <c r="AS1120" s="40" t="str">
        <f>IF(DaybyDay[[#This Row],[Retail Hours]]&gt;0,DaybyDay[[#This Row],[Retail Hours]]*$AS$2,"")</f>
        <v/>
      </c>
      <c r="AT1120" s="40">
        <f>SUMIFS(DaybyDay[Est-Retail-Payroll],DaybyDay[Date],"&gt;="&amp;$C$5,DaybyDay[RowYear],"&gt;="&amp;$C$4,DaybyDay[Date],"&lt;="&amp;DaybyDay[[#This Row],[Date]])</f>
        <v>0</v>
      </c>
      <c r="AU1120" s="82" t="str">
        <f>IF(AND(DaybyDay[[#This Row],[_Space]],ISNUMBER(DaybyDay[[#This Row],[Retail Hours]])),DaybyDay[[#This Row],[Est-Retail-Payroll]]/(DaybyDay[[#This Row],[Retail-Actuals]]),"")</f>
        <v/>
      </c>
      <c r="AV1120" s="82">
        <f>DaybyDay[[#This Row],[Est-Retail-PayrollRU]]/DaybyDay[[#This Row],[Simple-Forecast-Retail]]</f>
        <v>0</v>
      </c>
      <c r="AW1120" s="8"/>
      <c r="AX1120" s="15"/>
      <c r="AY1120" s="8"/>
    </row>
    <row r="1121" spans="3:51" x14ac:dyDescent="0.25">
      <c r="C1121" s="26" t="str">
        <f>Tools!$C$1</f>
        <v>Example</v>
      </c>
      <c r="D1121" s="27" t="s">
        <v>68</v>
      </c>
      <c r="E1121" s="28">
        <v>2020</v>
      </c>
      <c r="F1121" s="28">
        <f>MATCH(DaybyDay[[#This Row],[RowMonth]],Table3[SummaryMonth],0)</f>
        <v>1</v>
      </c>
      <c r="G1121" s="29">
        <f>MATCH(DaybyDay[[#This Row],[LY-Date]],DaybyDay[Date],0)</f>
        <v>751</v>
      </c>
      <c r="H1121" s="30">
        <f>WEEKDAY(DaybyDay[[#This Row],[Date]])</f>
        <v>2</v>
      </c>
      <c r="I1121" s="31">
        <v>43850</v>
      </c>
      <c r="J1121" s="74">
        <v>27</v>
      </c>
      <c r="K1121" s="32">
        <f>SUMIFS(BudgetSeasonality[365 Seasonality],BudgetSeasonality[MonthAdjustment],DaybyDay[[#This Row],[Date]])*SUMIFS(Budgets[Service-Budget],Budgets[BudgetMonth],DaybyDay[[#This Row],[RowMonth]],Budgets[BudgetYear],DaybyDay[[#This Row],[RowYear]])</f>
        <v>3991.8988143262877</v>
      </c>
      <c r="L1121" s="75">
        <v>5971.67</v>
      </c>
      <c r="M1121" s="32">
        <f>INDEX(BudgetSeasonality[365 Seasonality],MATCH(DaybyDay[[#This Row],[Date]],BudgetSeasonality[MonthAdjustment],0))*SUMIFS(Budgets[Retail-Budget],Budgets[BudgetMonth],DaybyDay[[#This Row],[RowMonth]],Budgets[BudgetYear],DaybyDay[[#This Row],[RowYear]])</f>
        <v>978.82063500694551</v>
      </c>
      <c r="N1121" s="75">
        <v>807.5</v>
      </c>
      <c r="O1121" s="33">
        <f>SUMIFS(DaybyDay[Service-Budgets],DaybyDay[Date],"&gt;="&amp;$C$5,DaybyDay[RowYear],"&gt;="&amp;$C$4,DaybyDay[Date],"&lt;="&amp;DaybyDay[[#This Row],[Date]])</f>
        <v>85896.543751226884</v>
      </c>
      <c r="P1121" s="33">
        <f>SUMIFS(DaybyDay[Retail-Budgets],DaybyDay[Date],"&gt;="&amp;$C$5,DaybyDay[RowYear],"&gt;="&amp;$C$4,DaybyDay[Date],"&lt;="&amp;DaybyDay[[#This Row],[Date]])</f>
        <v>21061.984135904884</v>
      </c>
      <c r="Q1121" s="34">
        <f>SUMIFS(DaybyDay[Service-Actuals],DaybyDay[Date],"&gt;="&amp;$C$5,DaybyDay[RowYear],"&gt;="&amp;$C$4,DaybyDay[Date],"&lt;="&amp;DaybyDay[[#This Row],[Date]])</f>
        <v>84487.66</v>
      </c>
      <c r="R1121" s="34">
        <f>SUMIFS(DaybyDay[Retail-Actuals],DaybyDay[Date],"&gt;="&amp;$C$5,DaybyDay[RowYear],"&gt;="&amp;$C$4,DaybyDay[Date],"&lt;="&amp;DaybyDay[[#This Row],[Date]])</f>
        <v>17808.63</v>
      </c>
      <c r="S1121" s="35">
        <f>SUMIFS(DaybyDay[Service-LY],DaybyDay[Date],"&gt;="&amp;$C$5,DaybyDay[RowYear],"&gt;="&amp;$C$4,DaybyDay[Date],"&lt;="&amp;DaybyDay[[#This Row],[Date]])</f>
        <v>76030.78</v>
      </c>
      <c r="T1121" s="35">
        <f>SUMIFS(DaybyDay[Retail-LY],DaybyDay[Date],"&gt;="&amp;$C$5,DaybyDay[RowYear],"&gt;="&amp;$C$4,DaybyDay[Date],"&lt;="&amp;DaybyDay[[#This Row],[Date]])</f>
        <v>10339.349999999999</v>
      </c>
      <c r="U1121" s="32">
        <f>DaybyDay[[#This Row],[Serv-Bud-RU]]+DaybyDay[[#This Row],[Ret-Bud-RU]]</f>
        <v>106958.52788713177</v>
      </c>
      <c r="V1121" s="32">
        <f>DaybyDay[[#This Row],[Serv-Act-RU]]+DaybyDay[[#This Row],[Ret-Act-RU]]</f>
        <v>102296.29000000001</v>
      </c>
      <c r="W1121" s="36">
        <f>IF(DaybyDay[[#This Row],[_Space]],IFERROR(
((DaybyDay[[#This Row],[Actual-Rollup]]-DaybyDay[[#This Row],[Budget-Rollup]])/DaybyDay[[#This Row],[Budget-Rollup]]),0),"")</f>
        <v>-4.3589211437648059E-2</v>
      </c>
      <c r="X1121" t="b">
        <f>NOT(AND(ISBLANK(DaybyDay[[#This Row],[Appts]]),ISBLANK(DaybyDay[[#This Row],[Service-Actuals]]),ISBLANK(DaybyDay[[#This Row],[Retail-Actuals]])))</f>
        <v>1</v>
      </c>
      <c r="Y1121" s="36">
        <f>IF(DaybyDay[[#This Row],[_Space]],IFERROR(
((DaybyDay[[#This Row],[Actual-Rollup]]-DaybyDay[[#This Row],[LY-Rollup]])/DaybyDay[[#This Row],[LY-Rollup]]),0),"")</f>
        <v>0.18439430391039127</v>
      </c>
      <c r="Z1121"/>
      <c r="AA1121" s="37">
        <f>IF(DaybyDay[[#This Row],[_Space]],DaybyDay[[#This Row],[Ret-Act-RU]]/DaybyDay[[#This Row],[Serv-Act-RU]],"")</f>
        <v>0.21078379966967958</v>
      </c>
      <c r="AB1121" s="50">
        <f>IF(DaybyDay[[#This Row],[_Space]],DaybyDay[[#This Row],[RETPEN-Act]]/DaybyDay[[#This Row],[RETPEN-Bud]],"")</f>
        <v>0.85963410443897414</v>
      </c>
      <c r="AC1121" s="37">
        <f>IF(DaybyDay[[#This Row],[_Space]],DaybyDay[[#This Row],[Ret-Bud-RU]]/DaybyDay[[#This Row],[Serv-Bud-RU]],"")</f>
        <v>0.24520176500819976</v>
      </c>
      <c r="AD1121" s="37">
        <f>IF(DaybyDay[[#This Row],[_Space]],DaybyDay[[#This Row],[Ret-LY-RU]]/DaybyDay[[#This Row],[Serv-LY-RU]],"")</f>
        <v>0.13598900340099102</v>
      </c>
      <c r="AE1121" s="30">
        <f>WEEKDAY(DaybyDay[[#This Row],[LY-Date]])</f>
        <v>2</v>
      </c>
      <c r="AF1121" s="38">
        <f>$E$2+_xlfn.DAYS(DaybyDay[[#This Row],[Date]],minDate)</f>
        <v>43486</v>
      </c>
      <c r="AG1121" s="39" cm="1">
        <f t="array" ref="AG1121">IFERROR(INDEX(DaybyDay[],DaybyDay[[#This Row],[FORM_MATCH_HELPER]],8),"")</f>
        <v>26</v>
      </c>
      <c r="AH1121" s="39" cm="1">
        <f t="array" ref="AH1121">IFERROR(INDEX(DaybyDay[],DaybyDay[[#This Row],[FORM_MATCH_HELPER]],10),"")</f>
        <v>5761.8</v>
      </c>
      <c r="AI1121" s="39" cm="1">
        <f t="array" ref="AI1121">IFERROR(INDEX(DaybyDay[],DaybyDay[[#This Row],[FORM_MATCH_HELPER]],12),"")</f>
        <v>1072.5</v>
      </c>
      <c r="AJ1121" s="32">
        <f>IFERROR(DaybyDay[[#This Row],[Serv-LY-RU]]+DaybyDay[[#This Row],[Ret-LY-RU]],"")</f>
        <v>86370.13</v>
      </c>
      <c r="AK11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102296.29000000001</v>
      </c>
      <c r="AL1121" s="77"/>
      <c r="AM1121" s="40" t="str">
        <f>IF(DaybyDay[[#This Row],[Admin Hours]]&gt;0,DaybyDay[[#This Row],[Admin Hours]]*$AM$2+$AM$3,"")</f>
        <v/>
      </c>
      <c r="AN1121" s="40">
        <f>SUMIFS(DaybyDay[Est-Admin-Payroll],DaybyDay[Date],"&gt;="&amp;$C$5,DaybyDay[RowYear],"&gt;="&amp;$C$4,DaybyDay[Date],"&lt;="&amp;DaybyDay[[#This Row],[Date]])</f>
        <v>0</v>
      </c>
      <c r="AO1121" s="41" t="str">
        <f>IF(AND(DaybyDay[[#This Row],[_Space]],ISNUMBER(DaybyDay[[#This Row],[Admin Hours]])),DaybyDay[[#This Row],[Est-Admin-Payroll]]/(DaybyDay[[#This Row],[Service-Actuals]]+DaybyDay[[#This Row],[Retail-Actuals]]),"")</f>
        <v/>
      </c>
      <c r="AP1121" s="41">
        <f>DaybyDay[[#This Row],[Estimated-Payroll-Rollup]]/DaybyDay[[#This Row],[Simple-Forecast]]</f>
        <v>0</v>
      </c>
      <c r="AQ11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17808.63</v>
      </c>
      <c r="AR1121" s="77"/>
      <c r="AS1121" s="40" t="str">
        <f>IF(DaybyDay[[#This Row],[Retail Hours]]&gt;0,DaybyDay[[#This Row],[Retail Hours]]*$AS$2,"")</f>
        <v/>
      </c>
      <c r="AT1121" s="40">
        <f>SUMIFS(DaybyDay[Est-Retail-Payroll],DaybyDay[Date],"&gt;="&amp;$C$5,DaybyDay[RowYear],"&gt;="&amp;$C$4,DaybyDay[Date],"&lt;="&amp;DaybyDay[[#This Row],[Date]])</f>
        <v>0</v>
      </c>
      <c r="AU1121" s="82" t="str">
        <f>IF(AND(DaybyDay[[#This Row],[_Space]],ISNUMBER(DaybyDay[[#This Row],[Retail Hours]])),DaybyDay[[#This Row],[Est-Retail-Payroll]]/(DaybyDay[[#This Row],[Retail-Actuals]]),"")</f>
        <v/>
      </c>
      <c r="AV1121" s="82">
        <f>DaybyDay[[#This Row],[Est-Retail-PayrollRU]]/DaybyDay[[#This Row],[Simple-Forecast-Retail]]</f>
        <v>0</v>
      </c>
      <c r="AW1121" s="8"/>
      <c r="AX1121" s="15"/>
      <c r="AY1121" s="8"/>
    </row>
    <row r="1122" spans="3:51" x14ac:dyDescent="0.25">
      <c r="C1122" s="26" t="str">
        <f>Tools!$C$1</f>
        <v>Example</v>
      </c>
      <c r="D1122" s="27" t="s">
        <v>68</v>
      </c>
      <c r="E1122" s="28">
        <v>2020</v>
      </c>
      <c r="F1122" s="28">
        <f>MATCH(DaybyDay[[#This Row],[RowMonth]],Table3[SummaryMonth],0)</f>
        <v>1</v>
      </c>
      <c r="G1122" s="29">
        <f>MATCH(DaybyDay[[#This Row],[LY-Date]],DaybyDay[Date],0)</f>
        <v>752</v>
      </c>
      <c r="H1122" s="30">
        <f>WEEKDAY(DaybyDay[[#This Row],[Date]])</f>
        <v>3</v>
      </c>
      <c r="I1122" s="31">
        <v>43851</v>
      </c>
      <c r="J1122" s="74">
        <v>12</v>
      </c>
      <c r="K1122" s="32">
        <f>SUMIFS(BudgetSeasonality[365 Seasonality],BudgetSeasonality[MonthAdjustment],DaybyDay[[#This Row],[Date]])*SUMIFS(Budgets[Service-Budget],Budgets[BudgetMonth],DaybyDay[[#This Row],[RowMonth]],Budgets[BudgetYear],DaybyDay[[#This Row],[RowYear]])</f>
        <v>4130.3215087725739</v>
      </c>
      <c r="L1122" s="75">
        <v>1557.8</v>
      </c>
      <c r="M1122" s="32">
        <f>INDEX(BudgetSeasonality[365 Seasonality],MATCH(DaybyDay[[#This Row],[Date]],BudgetSeasonality[MonthAdjustment],0))*SUMIFS(Budgets[Retail-Budget],Budgets[BudgetMonth],DaybyDay[[#This Row],[RowMonth]],Budgets[BudgetYear],DaybyDay[[#This Row],[RowYear]])</f>
        <v>1012.7621240023657</v>
      </c>
      <c r="N1122" s="75">
        <v>0</v>
      </c>
      <c r="O1122" s="33">
        <f>SUMIFS(DaybyDay[Service-Budgets],DaybyDay[Date],"&gt;="&amp;$C$5,DaybyDay[RowYear],"&gt;="&amp;$C$4,DaybyDay[Date],"&lt;="&amp;DaybyDay[[#This Row],[Date]])</f>
        <v>90026.865259999453</v>
      </c>
      <c r="P1122" s="33">
        <f>SUMIFS(DaybyDay[Retail-Budgets],DaybyDay[Date],"&gt;="&amp;$C$5,DaybyDay[RowYear],"&gt;="&amp;$C$4,DaybyDay[Date],"&lt;="&amp;DaybyDay[[#This Row],[Date]])</f>
        <v>22074.74625990725</v>
      </c>
      <c r="Q1122" s="34">
        <f>SUMIFS(DaybyDay[Service-Actuals],DaybyDay[Date],"&gt;="&amp;$C$5,DaybyDay[RowYear],"&gt;="&amp;$C$4,DaybyDay[Date],"&lt;="&amp;DaybyDay[[#This Row],[Date]])</f>
        <v>86045.46</v>
      </c>
      <c r="R1122" s="34">
        <f>SUMIFS(DaybyDay[Retail-Actuals],DaybyDay[Date],"&gt;="&amp;$C$5,DaybyDay[RowYear],"&gt;="&amp;$C$4,DaybyDay[Date],"&lt;="&amp;DaybyDay[[#This Row],[Date]])</f>
        <v>17808.63</v>
      </c>
      <c r="S1122" s="35">
        <f>SUMIFS(DaybyDay[Service-LY],DaybyDay[Date],"&gt;="&amp;$C$5,DaybyDay[RowYear],"&gt;="&amp;$C$4,DaybyDay[Date],"&lt;="&amp;DaybyDay[[#This Row],[Date]])</f>
        <v>79561.98</v>
      </c>
      <c r="T1122" s="35">
        <f>SUMIFS(DaybyDay[Retail-LY],DaybyDay[Date],"&gt;="&amp;$C$5,DaybyDay[RowYear],"&gt;="&amp;$C$4,DaybyDay[Date],"&lt;="&amp;DaybyDay[[#This Row],[Date]])</f>
        <v>10864.849999999999</v>
      </c>
      <c r="U1122" s="32">
        <f>DaybyDay[[#This Row],[Serv-Bud-RU]]+DaybyDay[[#This Row],[Ret-Bud-RU]]</f>
        <v>112101.6115199067</v>
      </c>
      <c r="V1122" s="32">
        <f>DaybyDay[[#This Row],[Serv-Act-RU]]+DaybyDay[[#This Row],[Ret-Act-RU]]</f>
        <v>103854.09000000001</v>
      </c>
      <c r="W1122" s="36">
        <f>IF(DaybyDay[[#This Row],[_Space]],IFERROR(
((DaybyDay[[#This Row],[Actual-Rollup]]-DaybyDay[[#This Row],[Budget-Rollup]])/DaybyDay[[#This Row],[Budget-Rollup]]),0),"")</f>
        <v>-7.3571837265177187E-2</v>
      </c>
      <c r="X1122" t="b">
        <f>NOT(AND(ISBLANK(DaybyDay[[#This Row],[Appts]]),ISBLANK(DaybyDay[[#This Row],[Service-Actuals]]),ISBLANK(DaybyDay[[#This Row],[Retail-Actuals]])))</f>
        <v>1</v>
      </c>
      <c r="Y1122" s="36">
        <f>IF(DaybyDay[[#This Row],[_Space]],IFERROR(
((DaybyDay[[#This Row],[Actual-Rollup]]-DaybyDay[[#This Row],[LY-Rollup]])/DaybyDay[[#This Row],[LY-Rollup]]),0),"")</f>
        <v>0.14848756724082915</v>
      </c>
      <c r="Z1122"/>
      <c r="AA1122" s="37">
        <f>IF(DaybyDay[[#This Row],[_Space]],DaybyDay[[#This Row],[Ret-Act-RU]]/DaybyDay[[#This Row],[Serv-Act-RU]],"")</f>
        <v>0.20696768894024159</v>
      </c>
      <c r="AB1122" s="50">
        <f>IF(DaybyDay[[#This Row],[_Space]],DaybyDay[[#This Row],[RETPEN-Act]]/DaybyDay[[#This Row],[RETPEN-Bud]],"")</f>
        <v>0.84407095900521112</v>
      </c>
      <c r="AC1122" s="37">
        <f>IF(DaybyDay[[#This Row],[_Space]],DaybyDay[[#This Row],[Ret-Bud-RU]]/DaybyDay[[#This Row],[Serv-Bud-RU]],"")</f>
        <v>0.24520176500819976</v>
      </c>
      <c r="AD1122" s="37">
        <f>IF(DaybyDay[[#This Row],[_Space]],DaybyDay[[#This Row],[Ret-LY-RU]]/DaybyDay[[#This Row],[Serv-LY-RU]],"")</f>
        <v>0.13655831591923678</v>
      </c>
      <c r="AE1122" s="30">
        <f>WEEKDAY(DaybyDay[[#This Row],[LY-Date]])</f>
        <v>3</v>
      </c>
      <c r="AF1122" s="38">
        <f>$E$2+_xlfn.DAYS(DaybyDay[[#This Row],[Date]],minDate)</f>
        <v>43487</v>
      </c>
      <c r="AG1122" s="39" cm="1">
        <f t="array" ref="AG1122">IFERROR(INDEX(DaybyDay[],DaybyDay[[#This Row],[FORM_MATCH_HELPER]],8),"")</f>
        <v>18</v>
      </c>
      <c r="AH1122" s="39" cm="1">
        <f t="array" ref="AH1122">IFERROR(INDEX(DaybyDay[],DaybyDay[[#This Row],[FORM_MATCH_HELPER]],10),"")</f>
        <v>3531.2</v>
      </c>
      <c r="AI1122" s="39" cm="1">
        <f t="array" ref="AI1122">IFERROR(INDEX(DaybyDay[],DaybyDay[[#This Row],[FORM_MATCH_HELPER]],12),"")</f>
        <v>525.5</v>
      </c>
      <c r="AJ1122" s="32">
        <f>IFERROR(DaybyDay[[#This Row],[Serv-LY-RU]]+DaybyDay[[#This Row],[Ret-LY-RU]],"")</f>
        <v>90426.829999999987</v>
      </c>
      <c r="AK11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103854.09000000001</v>
      </c>
      <c r="AL1122" s="77"/>
      <c r="AM1122" s="40" t="str">
        <f>IF(DaybyDay[[#This Row],[Admin Hours]]&gt;0,DaybyDay[[#This Row],[Admin Hours]]*$AM$2+$AM$3,"")</f>
        <v/>
      </c>
      <c r="AN1122" s="40">
        <f>SUMIFS(DaybyDay[Est-Admin-Payroll],DaybyDay[Date],"&gt;="&amp;$C$5,DaybyDay[RowYear],"&gt;="&amp;$C$4,DaybyDay[Date],"&lt;="&amp;DaybyDay[[#This Row],[Date]])</f>
        <v>0</v>
      </c>
      <c r="AO1122" s="41" t="str">
        <f>IF(AND(DaybyDay[[#This Row],[_Space]],ISNUMBER(DaybyDay[[#This Row],[Admin Hours]])),DaybyDay[[#This Row],[Est-Admin-Payroll]]/(DaybyDay[[#This Row],[Service-Actuals]]+DaybyDay[[#This Row],[Retail-Actuals]]),"")</f>
        <v/>
      </c>
      <c r="AP1122" s="41">
        <f>DaybyDay[[#This Row],[Estimated-Payroll-Rollup]]/DaybyDay[[#This Row],[Simple-Forecast]]</f>
        <v>0</v>
      </c>
      <c r="AQ11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17808.63</v>
      </c>
      <c r="AR1122" s="77"/>
      <c r="AS1122" s="40" t="str">
        <f>IF(DaybyDay[[#This Row],[Retail Hours]]&gt;0,DaybyDay[[#This Row],[Retail Hours]]*$AS$2,"")</f>
        <v/>
      </c>
      <c r="AT1122" s="40">
        <f>SUMIFS(DaybyDay[Est-Retail-Payroll],DaybyDay[Date],"&gt;="&amp;$C$5,DaybyDay[RowYear],"&gt;="&amp;$C$4,DaybyDay[Date],"&lt;="&amp;DaybyDay[[#This Row],[Date]])</f>
        <v>0</v>
      </c>
      <c r="AU1122" s="82" t="str">
        <f>IF(AND(DaybyDay[[#This Row],[_Space]],ISNUMBER(DaybyDay[[#This Row],[Retail Hours]])),DaybyDay[[#This Row],[Est-Retail-Payroll]]/(DaybyDay[[#This Row],[Retail-Actuals]]),"")</f>
        <v/>
      </c>
      <c r="AV1122" s="82">
        <f>DaybyDay[[#This Row],[Est-Retail-PayrollRU]]/DaybyDay[[#This Row],[Simple-Forecast-Retail]]</f>
        <v>0</v>
      </c>
      <c r="AW1122" s="8"/>
      <c r="AX1122" s="15"/>
      <c r="AY1122" s="8"/>
    </row>
    <row r="1123" spans="3:51" x14ac:dyDescent="0.25">
      <c r="C1123" s="26" t="str">
        <f>Tools!$C$1</f>
        <v>Example</v>
      </c>
      <c r="D1123" s="27" t="s">
        <v>68</v>
      </c>
      <c r="E1123" s="28">
        <v>2020</v>
      </c>
      <c r="F1123" s="28">
        <f>MATCH(DaybyDay[[#This Row],[RowMonth]],Table3[SummaryMonth],0)</f>
        <v>1</v>
      </c>
      <c r="G1123" s="29">
        <f>MATCH(DaybyDay[[#This Row],[LY-Date]],DaybyDay[Date],0)</f>
        <v>753</v>
      </c>
      <c r="H1123" s="30">
        <f>WEEKDAY(DaybyDay[[#This Row],[Date]])</f>
        <v>4</v>
      </c>
      <c r="I1123" s="31">
        <v>43852</v>
      </c>
      <c r="J1123" s="74">
        <v>16</v>
      </c>
      <c r="K1123" s="32">
        <f>SUMIFS(BudgetSeasonality[365 Seasonality],BudgetSeasonality[MonthAdjustment],DaybyDay[[#This Row],[Date]])*SUMIFS(Budgets[Service-Budget],Budgets[BudgetMonth],DaybyDay[[#This Row],[RowMonth]],Budgets[BudgetYear],DaybyDay[[#This Row],[RowYear]])</f>
        <v>4695.6604704602441</v>
      </c>
      <c r="L1123" s="75">
        <v>3027.8</v>
      </c>
      <c r="M1123" s="32">
        <f>INDEX(BudgetSeasonality[365 Seasonality],MATCH(DaybyDay[[#This Row],[Date]],BudgetSeasonality[MonthAdjustment],0))*SUMIFS(Budgets[Retail-Budget],Budgets[BudgetMonth],DaybyDay[[#This Row],[RowMonth]],Budgets[BudgetYear],DaybyDay[[#This Row],[RowYear]])</f>
        <v>1151.3842352360853</v>
      </c>
      <c r="N1123" s="75">
        <v>372.75</v>
      </c>
      <c r="O1123" s="33">
        <f>SUMIFS(DaybyDay[Service-Budgets],DaybyDay[Date],"&gt;="&amp;$C$5,DaybyDay[RowYear],"&gt;="&amp;$C$4,DaybyDay[Date],"&lt;="&amp;DaybyDay[[#This Row],[Date]])</f>
        <v>94722.525730459703</v>
      </c>
      <c r="P1123" s="33">
        <f>SUMIFS(DaybyDay[Retail-Budgets],DaybyDay[Date],"&gt;="&amp;$C$5,DaybyDay[RowYear],"&gt;="&amp;$C$4,DaybyDay[Date],"&lt;="&amp;DaybyDay[[#This Row],[Date]])</f>
        <v>23226.130495143334</v>
      </c>
      <c r="Q1123" s="34">
        <f>SUMIFS(DaybyDay[Service-Actuals],DaybyDay[Date],"&gt;="&amp;$C$5,DaybyDay[RowYear],"&gt;="&amp;$C$4,DaybyDay[Date],"&lt;="&amp;DaybyDay[[#This Row],[Date]])</f>
        <v>89073.260000000009</v>
      </c>
      <c r="R1123" s="34">
        <f>SUMIFS(DaybyDay[Retail-Actuals],DaybyDay[Date],"&gt;="&amp;$C$5,DaybyDay[RowYear],"&gt;="&amp;$C$4,DaybyDay[Date],"&lt;="&amp;DaybyDay[[#This Row],[Date]])</f>
        <v>18181.38</v>
      </c>
      <c r="S1123" s="35">
        <f>SUMIFS(DaybyDay[Service-LY],DaybyDay[Date],"&gt;="&amp;$C$5,DaybyDay[RowYear],"&gt;="&amp;$C$4,DaybyDay[Date],"&lt;="&amp;DaybyDay[[#This Row],[Date]])</f>
        <v>85136.98</v>
      </c>
      <c r="T1123" s="35">
        <f>SUMIFS(DaybyDay[Retail-LY],DaybyDay[Date],"&gt;="&amp;$C$5,DaybyDay[RowYear],"&gt;="&amp;$C$4,DaybyDay[Date],"&lt;="&amp;DaybyDay[[#This Row],[Date]])</f>
        <v>13620.719999999998</v>
      </c>
      <c r="U1123" s="32">
        <f>DaybyDay[[#This Row],[Serv-Bud-RU]]+DaybyDay[[#This Row],[Ret-Bud-RU]]</f>
        <v>117948.65622560304</v>
      </c>
      <c r="V1123" s="32">
        <f>DaybyDay[[#This Row],[Serv-Act-RU]]+DaybyDay[[#This Row],[Ret-Act-RU]]</f>
        <v>107254.64000000001</v>
      </c>
      <c r="W1123" s="36">
        <f>IF(DaybyDay[[#This Row],[_Space]],IFERROR(
((DaybyDay[[#This Row],[Actual-Rollup]]-DaybyDay[[#This Row],[Budget-Rollup]])/DaybyDay[[#This Row],[Budget-Rollup]]),0),"")</f>
        <v>-9.0666706750336737E-2</v>
      </c>
      <c r="X1123" t="b">
        <f>NOT(AND(ISBLANK(DaybyDay[[#This Row],[Appts]]),ISBLANK(DaybyDay[[#This Row],[Service-Actuals]]),ISBLANK(DaybyDay[[#This Row],[Retail-Actuals]])))</f>
        <v>1</v>
      </c>
      <c r="Y1123" s="36">
        <f>IF(DaybyDay[[#This Row],[_Space]],IFERROR(
((DaybyDay[[#This Row],[Actual-Rollup]]-DaybyDay[[#This Row],[LY-Rollup]])/DaybyDay[[#This Row],[LY-Rollup]]),0),"")</f>
        <v>8.6038253219749117E-2</v>
      </c>
      <c r="Z1123"/>
      <c r="AA1123" s="37">
        <f>IF(DaybyDay[[#This Row],[_Space]],DaybyDay[[#This Row],[Ret-Act-RU]]/DaybyDay[[#This Row],[Serv-Act-RU]],"")</f>
        <v>0.20411715030975625</v>
      </c>
      <c r="AB1123" s="50">
        <f>IF(DaybyDay[[#This Row],[_Space]],DaybyDay[[#This Row],[RETPEN-Act]]/DaybyDay[[#This Row],[RETPEN-Bud]],"")</f>
        <v>0.83244568122472695</v>
      </c>
      <c r="AC1123" s="37">
        <f>IF(DaybyDay[[#This Row],[_Space]],DaybyDay[[#This Row],[Ret-Bud-RU]]/DaybyDay[[#This Row],[Serv-Bud-RU]],"")</f>
        <v>0.24520176500819973</v>
      </c>
      <c r="AD1123" s="37">
        <f>IF(DaybyDay[[#This Row],[_Space]],DaybyDay[[#This Row],[Ret-LY-RU]]/DaybyDay[[#This Row],[Serv-LY-RU]],"")</f>
        <v>0.15998594265382679</v>
      </c>
      <c r="AE1123" s="30">
        <f>WEEKDAY(DaybyDay[[#This Row],[LY-Date]])</f>
        <v>4</v>
      </c>
      <c r="AF1123" s="38">
        <f>$E$2+_xlfn.DAYS(DaybyDay[[#This Row],[Date]],minDate)</f>
        <v>43488</v>
      </c>
      <c r="AG1123" s="39" cm="1">
        <f t="array" ref="AG1123">IFERROR(INDEX(DaybyDay[],DaybyDay[[#This Row],[FORM_MATCH_HELPER]],8),"")</f>
        <v>34</v>
      </c>
      <c r="AH1123" s="39" cm="1">
        <f t="array" ref="AH1123">IFERROR(INDEX(DaybyDay[],DaybyDay[[#This Row],[FORM_MATCH_HELPER]],10),"")</f>
        <v>5575</v>
      </c>
      <c r="AI1123" s="39" cm="1">
        <f t="array" ref="AI1123">IFERROR(INDEX(DaybyDay[],DaybyDay[[#This Row],[FORM_MATCH_HELPER]],12),"")</f>
        <v>2755.87</v>
      </c>
      <c r="AJ1123" s="32">
        <f>IFERROR(DaybyDay[[#This Row],[Serv-LY-RU]]+DaybyDay[[#This Row],[Ret-LY-RU]],"")</f>
        <v>98757.7</v>
      </c>
      <c r="AK11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107254.64000000001</v>
      </c>
      <c r="AL1123" s="77"/>
      <c r="AM1123" s="40" t="str">
        <f>IF(DaybyDay[[#This Row],[Admin Hours]]&gt;0,DaybyDay[[#This Row],[Admin Hours]]*$AM$2+$AM$3,"")</f>
        <v/>
      </c>
      <c r="AN1123" s="40">
        <f>SUMIFS(DaybyDay[Est-Admin-Payroll],DaybyDay[Date],"&gt;="&amp;$C$5,DaybyDay[RowYear],"&gt;="&amp;$C$4,DaybyDay[Date],"&lt;="&amp;DaybyDay[[#This Row],[Date]])</f>
        <v>0</v>
      </c>
      <c r="AO1123" s="41" t="str">
        <f>IF(AND(DaybyDay[[#This Row],[_Space]],ISNUMBER(DaybyDay[[#This Row],[Admin Hours]])),DaybyDay[[#This Row],[Est-Admin-Payroll]]/(DaybyDay[[#This Row],[Service-Actuals]]+DaybyDay[[#This Row],[Retail-Actuals]]),"")</f>
        <v/>
      </c>
      <c r="AP1123" s="41">
        <f>DaybyDay[[#This Row],[Estimated-Payroll-Rollup]]/DaybyDay[[#This Row],[Simple-Forecast]]</f>
        <v>0</v>
      </c>
      <c r="AQ11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18181.38</v>
      </c>
      <c r="AR1123" s="77"/>
      <c r="AS1123" s="40" t="str">
        <f>IF(DaybyDay[[#This Row],[Retail Hours]]&gt;0,DaybyDay[[#This Row],[Retail Hours]]*$AS$2,"")</f>
        <v/>
      </c>
      <c r="AT1123" s="40">
        <f>SUMIFS(DaybyDay[Est-Retail-Payroll],DaybyDay[Date],"&gt;="&amp;$C$5,DaybyDay[RowYear],"&gt;="&amp;$C$4,DaybyDay[Date],"&lt;="&amp;DaybyDay[[#This Row],[Date]])</f>
        <v>0</v>
      </c>
      <c r="AU1123" s="82" t="str">
        <f>IF(AND(DaybyDay[[#This Row],[_Space]],ISNUMBER(DaybyDay[[#This Row],[Retail Hours]])),DaybyDay[[#This Row],[Est-Retail-Payroll]]/(DaybyDay[[#This Row],[Retail-Actuals]]),"")</f>
        <v/>
      </c>
      <c r="AV1123" s="82">
        <f>DaybyDay[[#This Row],[Est-Retail-PayrollRU]]/DaybyDay[[#This Row],[Simple-Forecast-Retail]]</f>
        <v>0</v>
      </c>
      <c r="AW1123" s="8"/>
      <c r="AX1123" s="15"/>
      <c r="AY1123" s="8"/>
    </row>
    <row r="1124" spans="3:51" x14ac:dyDescent="0.25">
      <c r="C1124" s="26" t="str">
        <f>Tools!$C$1</f>
        <v>Example</v>
      </c>
      <c r="D1124" s="27" t="s">
        <v>68</v>
      </c>
      <c r="E1124" s="28">
        <v>2020</v>
      </c>
      <c r="F1124" s="28">
        <f>MATCH(DaybyDay[[#This Row],[RowMonth]],Table3[SummaryMonth],0)</f>
        <v>1</v>
      </c>
      <c r="G1124" s="29">
        <f>MATCH(DaybyDay[[#This Row],[LY-Date]],DaybyDay[Date],0)</f>
        <v>754</v>
      </c>
      <c r="H1124" s="30">
        <f>WEEKDAY(DaybyDay[[#This Row],[Date]])</f>
        <v>5</v>
      </c>
      <c r="I1124" s="31">
        <v>43853</v>
      </c>
      <c r="J1124" s="74">
        <v>19</v>
      </c>
      <c r="K1124" s="32">
        <f>SUMIFS(BudgetSeasonality[365 Seasonality],BudgetSeasonality[MonthAdjustment],DaybyDay[[#This Row],[Date]])*SUMIFS(Budgets[Service-Budget],Budgets[BudgetMonth],DaybyDay[[#This Row],[RowMonth]],Budgets[BudgetYear],DaybyDay[[#This Row],[RowYear]])</f>
        <v>4834.9577124746183</v>
      </c>
      <c r="L1124" s="75">
        <v>2830.65</v>
      </c>
      <c r="M1124" s="32">
        <f>INDEX(BudgetSeasonality[365 Seasonality],MATCH(DaybyDay[[#This Row],[Date]],BudgetSeasonality[MonthAdjustment],0))*SUMIFS(Budgets[Retail-Budget],Budgets[BudgetMonth],DaybyDay[[#This Row],[RowMonth]],Budgets[BudgetYear],DaybyDay[[#This Row],[RowYear]])</f>
        <v>1185.5401648387842</v>
      </c>
      <c r="N1124" s="75">
        <v>11470.75</v>
      </c>
      <c r="O1124" s="33">
        <f>SUMIFS(DaybyDay[Service-Budgets],DaybyDay[Date],"&gt;="&amp;$C$5,DaybyDay[RowYear],"&gt;="&amp;$C$4,DaybyDay[Date],"&lt;="&amp;DaybyDay[[#This Row],[Date]])</f>
        <v>99557.483442934317</v>
      </c>
      <c r="P1124" s="33">
        <f>SUMIFS(DaybyDay[Retail-Budgets],DaybyDay[Date],"&gt;="&amp;$C$5,DaybyDay[RowYear],"&gt;="&amp;$C$4,DaybyDay[Date],"&lt;="&amp;DaybyDay[[#This Row],[Date]])</f>
        <v>24411.670659982119</v>
      </c>
      <c r="Q1124" s="34">
        <f>SUMIFS(DaybyDay[Service-Actuals],DaybyDay[Date],"&gt;="&amp;$C$5,DaybyDay[RowYear],"&gt;="&amp;$C$4,DaybyDay[Date],"&lt;="&amp;DaybyDay[[#This Row],[Date]])</f>
        <v>91903.91</v>
      </c>
      <c r="R1124" s="34">
        <f>SUMIFS(DaybyDay[Retail-Actuals],DaybyDay[Date],"&gt;="&amp;$C$5,DaybyDay[RowYear],"&gt;="&amp;$C$4,DaybyDay[Date],"&lt;="&amp;DaybyDay[[#This Row],[Date]])</f>
        <v>29652.13</v>
      </c>
      <c r="S1124" s="35">
        <f>SUMIFS(DaybyDay[Service-LY],DaybyDay[Date],"&gt;="&amp;$C$5,DaybyDay[RowYear],"&gt;="&amp;$C$4,DaybyDay[Date],"&lt;="&amp;DaybyDay[[#This Row],[Date]])</f>
        <v>87871.37999999999</v>
      </c>
      <c r="T1124" s="35">
        <f>SUMIFS(DaybyDay[Retail-LY],DaybyDay[Date],"&gt;="&amp;$C$5,DaybyDay[RowYear],"&gt;="&amp;$C$4,DaybyDay[Date],"&lt;="&amp;DaybyDay[[#This Row],[Date]])</f>
        <v>13693.719999999998</v>
      </c>
      <c r="U1124" s="32">
        <f>DaybyDay[[#This Row],[Serv-Bud-RU]]+DaybyDay[[#This Row],[Ret-Bud-RU]]</f>
        <v>123969.15410291644</v>
      </c>
      <c r="V1124" s="32">
        <f>DaybyDay[[#This Row],[Serv-Act-RU]]+DaybyDay[[#This Row],[Ret-Act-RU]]</f>
        <v>121556.04000000001</v>
      </c>
      <c r="W1124" s="36">
        <f>IF(DaybyDay[[#This Row],[_Space]],IFERROR(
((DaybyDay[[#This Row],[Actual-Rollup]]-DaybyDay[[#This Row],[Budget-Rollup]])/DaybyDay[[#This Row],[Budget-Rollup]]),0),"")</f>
        <v>-1.9465439773131907E-2</v>
      </c>
      <c r="X1124" t="b">
        <f>NOT(AND(ISBLANK(DaybyDay[[#This Row],[Appts]]),ISBLANK(DaybyDay[[#This Row],[Service-Actuals]]),ISBLANK(DaybyDay[[#This Row],[Retail-Actuals]])))</f>
        <v>1</v>
      </c>
      <c r="Y1124" s="36">
        <f>IF(DaybyDay[[#This Row],[_Space]],IFERROR(
((DaybyDay[[#This Row],[Actual-Rollup]]-DaybyDay[[#This Row],[LY-Rollup]])/DaybyDay[[#This Row],[LY-Rollup]]),0),"")</f>
        <v>0.19682883195113302</v>
      </c>
      <c r="Z1124"/>
      <c r="AA1124" s="37">
        <f>IF(DaybyDay[[#This Row],[_Space]],DaybyDay[[#This Row],[Ret-Act-RU]]/DaybyDay[[#This Row],[Serv-Act-RU]],"")</f>
        <v>0.32264274719106073</v>
      </c>
      <c r="AB1124" s="50">
        <f>IF(DaybyDay[[#This Row],[_Space]],DaybyDay[[#This Row],[RETPEN-Act]]/DaybyDay[[#This Row],[RETPEN-Bud]],"")</f>
        <v>1.315825549543949</v>
      </c>
      <c r="AC1124" s="37">
        <f>IF(DaybyDay[[#This Row],[_Space]],DaybyDay[[#This Row],[Ret-Bud-RU]]/DaybyDay[[#This Row],[Serv-Bud-RU]],"")</f>
        <v>0.24520176500819976</v>
      </c>
      <c r="AD1124" s="37">
        <f>IF(DaybyDay[[#This Row],[_Space]],DaybyDay[[#This Row],[Ret-LY-RU]]/DaybyDay[[#This Row],[Serv-LY-RU]],"")</f>
        <v>0.15583822628027463</v>
      </c>
      <c r="AE1124" s="30">
        <f>WEEKDAY(DaybyDay[[#This Row],[LY-Date]])</f>
        <v>5</v>
      </c>
      <c r="AF1124" s="38">
        <f>$E$2+_xlfn.DAYS(DaybyDay[[#This Row],[Date]],minDate)</f>
        <v>43489</v>
      </c>
      <c r="AG1124" s="39" cm="1">
        <f t="array" ref="AG1124">IFERROR(INDEX(DaybyDay[],DaybyDay[[#This Row],[FORM_MATCH_HELPER]],8),"")</f>
        <v>14</v>
      </c>
      <c r="AH1124" s="39" cm="1">
        <f t="array" ref="AH1124">IFERROR(INDEX(DaybyDay[],DaybyDay[[#This Row],[FORM_MATCH_HELPER]],10),"")</f>
        <v>2734.4</v>
      </c>
      <c r="AI1124" s="39" cm="1">
        <f t="array" ref="AI1124">IFERROR(INDEX(DaybyDay[],DaybyDay[[#This Row],[FORM_MATCH_HELPER]],12),"")</f>
        <v>73</v>
      </c>
      <c r="AJ1124" s="32">
        <f>IFERROR(DaybyDay[[#This Row],[Serv-LY-RU]]+DaybyDay[[#This Row],[Ret-LY-RU]],"")</f>
        <v>101565.09999999999</v>
      </c>
      <c r="AK11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121556.04000000001</v>
      </c>
      <c r="AL1124" s="77"/>
      <c r="AM1124" s="40" t="str">
        <f>IF(DaybyDay[[#This Row],[Admin Hours]]&gt;0,DaybyDay[[#This Row],[Admin Hours]]*$AM$2+$AM$3,"")</f>
        <v/>
      </c>
      <c r="AN1124" s="40">
        <f>SUMIFS(DaybyDay[Est-Admin-Payroll],DaybyDay[Date],"&gt;="&amp;$C$5,DaybyDay[RowYear],"&gt;="&amp;$C$4,DaybyDay[Date],"&lt;="&amp;DaybyDay[[#This Row],[Date]])</f>
        <v>0</v>
      </c>
      <c r="AO1124" s="41" t="str">
        <f>IF(AND(DaybyDay[[#This Row],[_Space]],ISNUMBER(DaybyDay[[#This Row],[Admin Hours]])),DaybyDay[[#This Row],[Est-Admin-Payroll]]/(DaybyDay[[#This Row],[Service-Actuals]]+DaybyDay[[#This Row],[Retail-Actuals]]),"")</f>
        <v/>
      </c>
      <c r="AP1124" s="41">
        <f>DaybyDay[[#This Row],[Estimated-Payroll-Rollup]]/DaybyDay[[#This Row],[Simple-Forecast]]</f>
        <v>0</v>
      </c>
      <c r="AQ11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29652.13</v>
      </c>
      <c r="AR1124" s="77"/>
      <c r="AS1124" s="40" t="str">
        <f>IF(DaybyDay[[#This Row],[Retail Hours]]&gt;0,DaybyDay[[#This Row],[Retail Hours]]*$AS$2,"")</f>
        <v/>
      </c>
      <c r="AT1124" s="40">
        <f>SUMIFS(DaybyDay[Est-Retail-Payroll],DaybyDay[Date],"&gt;="&amp;$C$5,DaybyDay[RowYear],"&gt;="&amp;$C$4,DaybyDay[Date],"&lt;="&amp;DaybyDay[[#This Row],[Date]])</f>
        <v>0</v>
      </c>
      <c r="AU1124" s="82" t="str">
        <f>IF(AND(DaybyDay[[#This Row],[_Space]],ISNUMBER(DaybyDay[[#This Row],[Retail Hours]])),DaybyDay[[#This Row],[Est-Retail-Payroll]]/(DaybyDay[[#This Row],[Retail-Actuals]]),"")</f>
        <v/>
      </c>
      <c r="AV1124" s="82">
        <f>DaybyDay[[#This Row],[Est-Retail-PayrollRU]]/DaybyDay[[#This Row],[Simple-Forecast-Retail]]</f>
        <v>0</v>
      </c>
      <c r="AW1124" s="8"/>
      <c r="AX1124" s="15"/>
      <c r="AY1124" s="8"/>
    </row>
    <row r="1125" spans="3:51" x14ac:dyDescent="0.25">
      <c r="C1125" s="26" t="str">
        <f>Tools!$C$1</f>
        <v>Example</v>
      </c>
      <c r="D1125" s="27" t="s">
        <v>68</v>
      </c>
      <c r="E1125" s="28">
        <v>2020</v>
      </c>
      <c r="F1125" s="28">
        <f>MATCH(DaybyDay[[#This Row],[RowMonth]],Table3[SummaryMonth],0)</f>
        <v>1</v>
      </c>
      <c r="G1125" s="29">
        <f>MATCH(DaybyDay[[#This Row],[LY-Date]],DaybyDay[Date],0)</f>
        <v>755</v>
      </c>
      <c r="H1125" s="30">
        <f>WEEKDAY(DaybyDay[[#This Row],[Date]])</f>
        <v>6</v>
      </c>
      <c r="I1125" s="31">
        <v>43854</v>
      </c>
      <c r="J1125" s="74">
        <v>31</v>
      </c>
      <c r="K1125" s="32">
        <f>SUMIFS(BudgetSeasonality[365 Seasonality],BudgetSeasonality[MonthAdjustment],DaybyDay[[#This Row],[Date]])*SUMIFS(Budgets[Service-Budget],Budgets[BudgetMonth],DaybyDay[[#This Row],[RowMonth]],Budgets[BudgetYear],DaybyDay[[#This Row],[RowYear]])</f>
        <v>5868.2717433026855</v>
      </c>
      <c r="L1125" s="75">
        <v>6453.9</v>
      </c>
      <c r="M1125" s="32">
        <f>INDEX(BudgetSeasonality[365 Seasonality],MATCH(DaybyDay[[#This Row],[Date]],BudgetSeasonality[MonthAdjustment],0))*SUMIFS(Budgets[Retail-Budget],Budgets[BudgetMonth],DaybyDay[[#This Row],[RowMonth]],Budgets[BudgetYear],DaybyDay[[#This Row],[RowYear]])</f>
        <v>1438.9105890055639</v>
      </c>
      <c r="N1125" s="75">
        <v>1864.25</v>
      </c>
      <c r="O1125" s="33">
        <f>SUMIFS(DaybyDay[Service-Budgets],DaybyDay[Date],"&gt;="&amp;$C$5,DaybyDay[RowYear],"&gt;="&amp;$C$4,DaybyDay[Date],"&lt;="&amp;DaybyDay[[#This Row],[Date]])</f>
        <v>105425.755186237</v>
      </c>
      <c r="P1125" s="33">
        <f>SUMIFS(DaybyDay[Retail-Budgets],DaybyDay[Date],"&gt;="&amp;$C$5,DaybyDay[RowYear],"&gt;="&amp;$C$4,DaybyDay[Date],"&lt;="&amp;DaybyDay[[#This Row],[Date]])</f>
        <v>25850.581248987684</v>
      </c>
      <c r="Q1125" s="34">
        <f>SUMIFS(DaybyDay[Service-Actuals],DaybyDay[Date],"&gt;="&amp;$C$5,DaybyDay[RowYear],"&gt;="&amp;$C$4,DaybyDay[Date],"&lt;="&amp;DaybyDay[[#This Row],[Date]])</f>
        <v>98357.81</v>
      </c>
      <c r="R1125" s="34">
        <f>SUMIFS(DaybyDay[Retail-Actuals],DaybyDay[Date],"&gt;="&amp;$C$5,DaybyDay[RowYear],"&gt;="&amp;$C$4,DaybyDay[Date],"&lt;="&amp;DaybyDay[[#This Row],[Date]])</f>
        <v>31516.38</v>
      </c>
      <c r="S1125" s="35">
        <f>SUMIFS(DaybyDay[Service-LY],DaybyDay[Date],"&gt;="&amp;$C$5,DaybyDay[RowYear],"&gt;="&amp;$C$4,DaybyDay[Date],"&lt;="&amp;DaybyDay[[#This Row],[Date]])</f>
        <v>92732.579999999987</v>
      </c>
      <c r="T1125" s="35">
        <f>SUMIFS(DaybyDay[Retail-LY],DaybyDay[Date],"&gt;="&amp;$C$5,DaybyDay[RowYear],"&gt;="&amp;$C$4,DaybyDay[Date],"&lt;="&amp;DaybyDay[[#This Row],[Date]])</f>
        <v>14581.719999999998</v>
      </c>
      <c r="U1125" s="32">
        <f>DaybyDay[[#This Row],[Serv-Bud-RU]]+DaybyDay[[#This Row],[Ret-Bud-RU]]</f>
        <v>131276.33643522469</v>
      </c>
      <c r="V1125" s="32">
        <f>DaybyDay[[#This Row],[Serv-Act-RU]]+DaybyDay[[#This Row],[Ret-Act-RU]]</f>
        <v>129874.19</v>
      </c>
      <c r="W1125" s="36">
        <f>IF(DaybyDay[[#This Row],[_Space]],IFERROR(
((DaybyDay[[#This Row],[Actual-Rollup]]-DaybyDay[[#This Row],[Budget-Rollup]])/DaybyDay[[#This Row],[Budget-Rollup]]),0),"")</f>
        <v>-1.0680877249469414E-2</v>
      </c>
      <c r="X1125" t="b">
        <f>NOT(AND(ISBLANK(DaybyDay[[#This Row],[Appts]]),ISBLANK(DaybyDay[[#This Row],[Service-Actuals]]),ISBLANK(DaybyDay[[#This Row],[Retail-Actuals]])))</f>
        <v>1</v>
      </c>
      <c r="Y1125" s="36">
        <f>IF(DaybyDay[[#This Row],[_Space]],IFERROR(
((DaybyDay[[#This Row],[Actual-Rollup]]-DaybyDay[[#This Row],[LY-Rollup]])/DaybyDay[[#This Row],[LY-Rollup]]),0),"")</f>
        <v>0.21022258916099734</v>
      </c>
      <c r="Z1125"/>
      <c r="AA1125" s="37">
        <f>IF(DaybyDay[[#This Row],[_Space]],DaybyDay[[#This Row],[Ret-Act-RU]]/DaybyDay[[#This Row],[Serv-Act-RU]],"")</f>
        <v>0.32042580045245012</v>
      </c>
      <c r="AB1125" s="50">
        <f>IF(DaybyDay[[#This Row],[_Space]],DaybyDay[[#This Row],[RETPEN-Act]]/DaybyDay[[#This Row],[RETPEN-Bud]],"")</f>
        <v>1.306784233146669</v>
      </c>
      <c r="AC1125" s="37">
        <f>IF(DaybyDay[[#This Row],[_Space]],DaybyDay[[#This Row],[Ret-Bud-RU]]/DaybyDay[[#This Row],[Serv-Bud-RU]],"")</f>
        <v>0.24520176500819979</v>
      </c>
      <c r="AD1125" s="37">
        <f>IF(DaybyDay[[#This Row],[_Space]],DaybyDay[[#This Row],[Ret-LY-RU]]/DaybyDay[[#This Row],[Serv-LY-RU]],"")</f>
        <v>0.15724484318240686</v>
      </c>
      <c r="AE1125" s="30">
        <f>WEEKDAY(DaybyDay[[#This Row],[LY-Date]])</f>
        <v>6</v>
      </c>
      <c r="AF1125" s="38">
        <f>$E$2+_xlfn.DAYS(DaybyDay[[#This Row],[Date]],minDate)</f>
        <v>43490</v>
      </c>
      <c r="AG1125" s="39" cm="1">
        <f t="array" ref="AG1125">IFERROR(INDEX(DaybyDay[],DaybyDay[[#This Row],[FORM_MATCH_HELPER]],8),"")</f>
        <v>24</v>
      </c>
      <c r="AH1125" s="39" cm="1">
        <f t="array" ref="AH1125">IFERROR(INDEX(DaybyDay[],DaybyDay[[#This Row],[FORM_MATCH_HELPER]],10),"")</f>
        <v>4861.2</v>
      </c>
      <c r="AI1125" s="39" cm="1">
        <f t="array" ref="AI1125">IFERROR(INDEX(DaybyDay[],DaybyDay[[#This Row],[FORM_MATCH_HELPER]],12),"")</f>
        <v>888</v>
      </c>
      <c r="AJ1125" s="32">
        <f>IFERROR(DaybyDay[[#This Row],[Serv-LY-RU]]+DaybyDay[[#This Row],[Ret-LY-RU]],"")</f>
        <v>107314.29999999999</v>
      </c>
      <c r="AK11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129874.19</v>
      </c>
      <c r="AL1125" s="77"/>
      <c r="AM1125" s="40" t="str">
        <f>IF(DaybyDay[[#This Row],[Admin Hours]]&gt;0,DaybyDay[[#This Row],[Admin Hours]]*$AM$2+$AM$3,"")</f>
        <v/>
      </c>
      <c r="AN1125" s="40">
        <f>SUMIFS(DaybyDay[Est-Admin-Payroll],DaybyDay[Date],"&gt;="&amp;$C$5,DaybyDay[RowYear],"&gt;="&amp;$C$4,DaybyDay[Date],"&lt;="&amp;DaybyDay[[#This Row],[Date]])</f>
        <v>0</v>
      </c>
      <c r="AO1125" s="41" t="str">
        <f>IF(AND(DaybyDay[[#This Row],[_Space]],ISNUMBER(DaybyDay[[#This Row],[Admin Hours]])),DaybyDay[[#This Row],[Est-Admin-Payroll]]/(DaybyDay[[#This Row],[Service-Actuals]]+DaybyDay[[#This Row],[Retail-Actuals]]),"")</f>
        <v/>
      </c>
      <c r="AP1125" s="41">
        <f>DaybyDay[[#This Row],[Estimated-Payroll-Rollup]]/DaybyDay[[#This Row],[Simple-Forecast]]</f>
        <v>0</v>
      </c>
      <c r="AQ11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31516.38</v>
      </c>
      <c r="AR1125" s="77"/>
      <c r="AS1125" s="40" t="str">
        <f>IF(DaybyDay[[#This Row],[Retail Hours]]&gt;0,DaybyDay[[#This Row],[Retail Hours]]*$AS$2,"")</f>
        <v/>
      </c>
      <c r="AT1125" s="40">
        <f>SUMIFS(DaybyDay[Est-Retail-Payroll],DaybyDay[Date],"&gt;="&amp;$C$5,DaybyDay[RowYear],"&gt;="&amp;$C$4,DaybyDay[Date],"&lt;="&amp;DaybyDay[[#This Row],[Date]])</f>
        <v>0</v>
      </c>
      <c r="AU1125" s="82" t="str">
        <f>IF(AND(DaybyDay[[#This Row],[_Space]],ISNUMBER(DaybyDay[[#This Row],[Retail Hours]])),DaybyDay[[#This Row],[Est-Retail-Payroll]]/(DaybyDay[[#This Row],[Retail-Actuals]]),"")</f>
        <v/>
      </c>
      <c r="AV1125" s="82">
        <f>DaybyDay[[#This Row],[Est-Retail-PayrollRU]]/DaybyDay[[#This Row],[Simple-Forecast-Retail]]</f>
        <v>0</v>
      </c>
      <c r="AW1125" s="8"/>
      <c r="AX1125" s="15"/>
      <c r="AY1125" s="8"/>
    </row>
    <row r="1126" spans="3:51" x14ac:dyDescent="0.25">
      <c r="C1126" s="26" t="str">
        <f>Tools!$C$1</f>
        <v>Example</v>
      </c>
      <c r="D1126" s="27" t="s">
        <v>68</v>
      </c>
      <c r="E1126" s="28">
        <v>2020</v>
      </c>
      <c r="F1126" s="28">
        <f>MATCH(DaybyDay[[#This Row],[RowMonth]],Table3[SummaryMonth],0)</f>
        <v>1</v>
      </c>
      <c r="G1126" s="29">
        <f>MATCH(DaybyDay[[#This Row],[LY-Date]],DaybyDay[Date],0)</f>
        <v>756</v>
      </c>
      <c r="H1126" s="30">
        <f>WEEKDAY(DaybyDay[[#This Row],[Date]])</f>
        <v>7</v>
      </c>
      <c r="I1126" s="31">
        <v>43855</v>
      </c>
      <c r="J1126" s="74">
        <v>44</v>
      </c>
      <c r="K1126" s="32">
        <f>SUMIFS(BudgetSeasonality[365 Seasonality],BudgetSeasonality[MonthAdjustment],DaybyDay[[#This Row],[Date]])*SUMIFS(Budgets[Service-Budget],Budgets[BudgetMonth],DaybyDay[[#This Row],[RowMonth]],Budgets[BudgetYear],DaybyDay[[#This Row],[RowYear]])</f>
        <v>8024.3005880369501</v>
      </c>
      <c r="L1126" s="75">
        <v>9432.1</v>
      </c>
      <c r="M1126" s="32">
        <f>INDEX(BudgetSeasonality[365 Seasonality],MATCH(DaybyDay[[#This Row],[Date]],BudgetSeasonality[MonthAdjustment],0))*SUMIFS(Budgets[Retail-Budget],Budgets[BudgetMonth],DaybyDay[[#This Row],[RowMonth]],Budgets[BudgetYear],DaybyDay[[#This Row],[RowYear]])</f>
        <v>1967.5726671429952</v>
      </c>
      <c r="N1126" s="75">
        <v>3586.5</v>
      </c>
      <c r="O1126" s="33">
        <f>SUMIFS(DaybyDay[Service-Budgets],DaybyDay[Date],"&gt;="&amp;$C$5,DaybyDay[RowYear],"&gt;="&amp;$C$4,DaybyDay[Date],"&lt;="&amp;DaybyDay[[#This Row],[Date]])</f>
        <v>113450.05577427395</v>
      </c>
      <c r="P1126" s="33">
        <f>SUMIFS(DaybyDay[Retail-Budgets],DaybyDay[Date],"&gt;="&amp;$C$5,DaybyDay[RowYear],"&gt;="&amp;$C$4,DaybyDay[Date],"&lt;="&amp;DaybyDay[[#This Row],[Date]])</f>
        <v>27818.153916130679</v>
      </c>
      <c r="Q1126" s="34">
        <f>SUMIFS(DaybyDay[Service-Actuals],DaybyDay[Date],"&gt;="&amp;$C$5,DaybyDay[RowYear],"&gt;="&amp;$C$4,DaybyDay[Date],"&lt;="&amp;DaybyDay[[#This Row],[Date]])</f>
        <v>107789.91</v>
      </c>
      <c r="R1126" s="34">
        <f>SUMIFS(DaybyDay[Retail-Actuals],DaybyDay[Date],"&gt;="&amp;$C$5,DaybyDay[RowYear],"&gt;="&amp;$C$4,DaybyDay[Date],"&lt;="&amp;DaybyDay[[#This Row],[Date]])</f>
        <v>35102.880000000005</v>
      </c>
      <c r="S1126" s="35">
        <f>SUMIFS(DaybyDay[Service-LY],DaybyDay[Date],"&gt;="&amp;$C$5,DaybyDay[RowYear],"&gt;="&amp;$C$4,DaybyDay[Date],"&lt;="&amp;DaybyDay[[#This Row],[Date]])</f>
        <v>102281.57999999999</v>
      </c>
      <c r="T1126" s="35">
        <f>SUMIFS(DaybyDay[Retail-LY],DaybyDay[Date],"&gt;="&amp;$C$5,DaybyDay[RowYear],"&gt;="&amp;$C$4,DaybyDay[Date],"&lt;="&amp;DaybyDay[[#This Row],[Date]])</f>
        <v>15592.219999999998</v>
      </c>
      <c r="U1126" s="32">
        <f>DaybyDay[[#This Row],[Serv-Bud-RU]]+DaybyDay[[#This Row],[Ret-Bud-RU]]</f>
        <v>141268.20969040462</v>
      </c>
      <c r="V1126" s="32">
        <f>DaybyDay[[#This Row],[Serv-Act-RU]]+DaybyDay[[#This Row],[Ret-Act-RU]]</f>
        <v>142892.79</v>
      </c>
      <c r="W1126" s="36">
        <f>IF(DaybyDay[[#This Row],[_Space]],IFERROR(
((DaybyDay[[#This Row],[Actual-Rollup]]-DaybyDay[[#This Row],[Budget-Rollup]])/DaybyDay[[#This Row],[Budget-Rollup]]),0),"")</f>
        <v>1.1499970964137839E-2</v>
      </c>
      <c r="X1126" t="b">
        <f>NOT(AND(ISBLANK(DaybyDay[[#This Row],[Appts]]),ISBLANK(DaybyDay[[#This Row],[Service-Actuals]]),ISBLANK(DaybyDay[[#This Row],[Retail-Actuals]])))</f>
        <v>1</v>
      </c>
      <c r="Y1126" s="36">
        <f>IF(DaybyDay[[#This Row],[_Space]],IFERROR(
((DaybyDay[[#This Row],[Actual-Rollup]]-DaybyDay[[#This Row],[LY-Rollup]])/DaybyDay[[#This Row],[LY-Rollup]]),0),"")</f>
        <v>0.21225234106306934</v>
      </c>
      <c r="Z1126"/>
      <c r="AA1126" s="37">
        <f>IF(DaybyDay[[#This Row],[_Space]],DaybyDay[[#This Row],[Ret-Act-RU]]/DaybyDay[[#This Row],[Serv-Act-RU]],"")</f>
        <v>0.32566016615098764</v>
      </c>
      <c r="AB1126" s="50">
        <f>IF(DaybyDay[[#This Row],[_Space]],DaybyDay[[#This Row],[RETPEN-Act]]/DaybyDay[[#This Row],[RETPEN-Bud]],"")</f>
        <v>1.3281314110446849</v>
      </c>
      <c r="AC1126" s="37">
        <f>IF(DaybyDay[[#This Row],[_Space]],DaybyDay[[#This Row],[Ret-Bud-RU]]/DaybyDay[[#This Row],[Serv-Bud-RU]],"")</f>
        <v>0.24520176500819979</v>
      </c>
      <c r="AD1126" s="37">
        <f>IF(DaybyDay[[#This Row],[_Space]],DaybyDay[[#This Row],[Ret-LY-RU]]/DaybyDay[[#This Row],[Serv-LY-RU]],"")</f>
        <v>0.1524440666638118</v>
      </c>
      <c r="AE1126" s="30">
        <f>WEEKDAY(DaybyDay[[#This Row],[LY-Date]])</f>
        <v>7</v>
      </c>
      <c r="AF1126" s="38">
        <f>$E$2+_xlfn.DAYS(DaybyDay[[#This Row],[Date]],minDate)</f>
        <v>43491</v>
      </c>
      <c r="AG1126" s="39" cm="1">
        <f t="array" ref="AG1126">IFERROR(INDEX(DaybyDay[],DaybyDay[[#This Row],[FORM_MATCH_HELPER]],8),"")</f>
        <v>40</v>
      </c>
      <c r="AH1126" s="39" cm="1">
        <f t="array" ref="AH1126">IFERROR(INDEX(DaybyDay[],DaybyDay[[#This Row],[FORM_MATCH_HELPER]],10),"")</f>
        <v>9549</v>
      </c>
      <c r="AI1126" s="39" cm="1">
        <f t="array" ref="AI1126">IFERROR(INDEX(DaybyDay[],DaybyDay[[#This Row],[FORM_MATCH_HELPER]],12),"")</f>
        <v>1010.5</v>
      </c>
      <c r="AJ1126" s="32">
        <f>IFERROR(DaybyDay[[#This Row],[Serv-LY-RU]]+DaybyDay[[#This Row],[Ret-LY-RU]],"")</f>
        <v>117873.79999999999</v>
      </c>
      <c r="AK11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142892.79</v>
      </c>
      <c r="AL1126" s="77"/>
      <c r="AM1126" s="40" t="str">
        <f>IF(DaybyDay[[#This Row],[Admin Hours]]&gt;0,DaybyDay[[#This Row],[Admin Hours]]*$AM$2+$AM$3,"")</f>
        <v/>
      </c>
      <c r="AN1126" s="40">
        <f>SUMIFS(DaybyDay[Est-Admin-Payroll],DaybyDay[Date],"&gt;="&amp;$C$5,DaybyDay[RowYear],"&gt;="&amp;$C$4,DaybyDay[Date],"&lt;="&amp;DaybyDay[[#This Row],[Date]])</f>
        <v>0</v>
      </c>
      <c r="AO1126" s="41" t="str">
        <f>IF(AND(DaybyDay[[#This Row],[_Space]],ISNUMBER(DaybyDay[[#This Row],[Admin Hours]])),DaybyDay[[#This Row],[Est-Admin-Payroll]]/(DaybyDay[[#This Row],[Service-Actuals]]+DaybyDay[[#This Row],[Retail-Actuals]]),"")</f>
        <v/>
      </c>
      <c r="AP1126" s="41">
        <f>DaybyDay[[#This Row],[Estimated-Payroll-Rollup]]/DaybyDay[[#This Row],[Simple-Forecast]]</f>
        <v>0</v>
      </c>
      <c r="AQ11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35102.880000000005</v>
      </c>
      <c r="AR1126" s="77"/>
      <c r="AS1126" s="40" t="str">
        <f>IF(DaybyDay[[#This Row],[Retail Hours]]&gt;0,DaybyDay[[#This Row],[Retail Hours]]*$AS$2,"")</f>
        <v/>
      </c>
      <c r="AT1126" s="40">
        <f>SUMIFS(DaybyDay[Est-Retail-Payroll],DaybyDay[Date],"&gt;="&amp;$C$5,DaybyDay[RowYear],"&gt;="&amp;$C$4,DaybyDay[Date],"&lt;="&amp;DaybyDay[[#This Row],[Date]])</f>
        <v>0</v>
      </c>
      <c r="AU1126" s="82" t="str">
        <f>IF(AND(DaybyDay[[#This Row],[_Space]],ISNUMBER(DaybyDay[[#This Row],[Retail Hours]])),DaybyDay[[#This Row],[Est-Retail-Payroll]]/(DaybyDay[[#This Row],[Retail-Actuals]]),"")</f>
        <v/>
      </c>
      <c r="AV1126" s="82">
        <f>DaybyDay[[#This Row],[Est-Retail-PayrollRU]]/DaybyDay[[#This Row],[Simple-Forecast-Retail]]</f>
        <v>0</v>
      </c>
      <c r="AW1126" s="8"/>
      <c r="AX1126" s="15"/>
      <c r="AY1126" s="8"/>
    </row>
    <row r="1127" spans="3:51" x14ac:dyDescent="0.25">
      <c r="C1127" s="26" t="str">
        <f>Tools!$C$1</f>
        <v>Example</v>
      </c>
      <c r="D1127" s="27" t="s">
        <v>68</v>
      </c>
      <c r="E1127" s="28">
        <v>2020</v>
      </c>
      <c r="F1127" s="28">
        <f>MATCH(DaybyDay[[#This Row],[RowMonth]],Table3[SummaryMonth],0)</f>
        <v>1</v>
      </c>
      <c r="G1127" s="29">
        <f>MATCH(DaybyDay[[#This Row],[LY-Date]],DaybyDay[Date],0)</f>
        <v>757</v>
      </c>
      <c r="H1127" s="30">
        <f>WEEKDAY(DaybyDay[[#This Row],[Date]])</f>
        <v>1</v>
      </c>
      <c r="I1127" s="31">
        <v>43856</v>
      </c>
      <c r="J1127" s="74">
        <v>43</v>
      </c>
      <c r="K1127" s="32">
        <f>SUMIFS(BudgetSeasonality[365 Seasonality],BudgetSeasonality[MonthAdjustment],DaybyDay[[#This Row],[Date]])*SUMIFS(Budgets[Service-Budget],Budgets[BudgetMonth],DaybyDay[[#This Row],[RowMonth]],Budgets[BudgetYear],DaybyDay[[#This Row],[RowYear]])</f>
        <v>6487.7157679026541</v>
      </c>
      <c r="L1127" s="75">
        <v>7488.2</v>
      </c>
      <c r="M1127" s="32">
        <f>INDEX(BudgetSeasonality[365 Seasonality],MATCH(DaybyDay[[#This Row],[Date]],BudgetSeasonality[MonthAdjustment],0))*SUMIFS(Budgets[Retail-Budget],Budgets[BudgetMonth],DaybyDay[[#This Row],[RowMonth]],Budgets[BudgetYear],DaybyDay[[#This Row],[RowYear]])</f>
        <v>1590.7993571612587</v>
      </c>
      <c r="N1127" s="75">
        <v>161.08000000000001</v>
      </c>
      <c r="O1127" s="33">
        <f>SUMIFS(DaybyDay[Service-Budgets],DaybyDay[Date],"&gt;="&amp;$C$5,DaybyDay[RowYear],"&gt;="&amp;$C$4,DaybyDay[Date],"&lt;="&amp;DaybyDay[[#This Row],[Date]])</f>
        <v>119937.7715421766</v>
      </c>
      <c r="P1127" s="33">
        <f>SUMIFS(DaybyDay[Retail-Budgets],DaybyDay[Date],"&gt;="&amp;$C$5,DaybyDay[RowYear],"&gt;="&amp;$C$4,DaybyDay[Date],"&lt;="&amp;DaybyDay[[#This Row],[Date]])</f>
        <v>29408.95327329194</v>
      </c>
      <c r="Q1127" s="34">
        <f>SUMIFS(DaybyDay[Service-Actuals],DaybyDay[Date],"&gt;="&amp;$C$5,DaybyDay[RowYear],"&gt;="&amp;$C$4,DaybyDay[Date],"&lt;="&amp;DaybyDay[[#This Row],[Date]])</f>
        <v>115278.11</v>
      </c>
      <c r="R1127" s="34">
        <f>SUMIFS(DaybyDay[Retail-Actuals],DaybyDay[Date],"&gt;="&amp;$C$5,DaybyDay[RowYear],"&gt;="&amp;$C$4,DaybyDay[Date],"&lt;="&amp;DaybyDay[[#This Row],[Date]])</f>
        <v>35263.960000000006</v>
      </c>
      <c r="S1127" s="35">
        <f>SUMIFS(DaybyDay[Service-LY],DaybyDay[Date],"&gt;="&amp;$C$5,DaybyDay[RowYear],"&gt;="&amp;$C$4,DaybyDay[Date],"&lt;="&amp;DaybyDay[[#This Row],[Date]])</f>
        <v>108480.68999999999</v>
      </c>
      <c r="T1127" s="35">
        <f>SUMIFS(DaybyDay[Retail-LY],DaybyDay[Date],"&gt;="&amp;$C$5,DaybyDay[RowYear],"&gt;="&amp;$C$4,DaybyDay[Date],"&lt;="&amp;DaybyDay[[#This Row],[Date]])</f>
        <v>15592.219999999998</v>
      </c>
      <c r="U1127" s="32">
        <f>DaybyDay[[#This Row],[Serv-Bud-RU]]+DaybyDay[[#This Row],[Ret-Bud-RU]]</f>
        <v>149346.72481546854</v>
      </c>
      <c r="V1127" s="32">
        <f>DaybyDay[[#This Row],[Serv-Act-RU]]+DaybyDay[[#This Row],[Ret-Act-RU]]</f>
        <v>150542.07</v>
      </c>
      <c r="W1127" s="36">
        <f>IF(DaybyDay[[#This Row],[_Space]],IFERROR(
((DaybyDay[[#This Row],[Actual-Rollup]]-DaybyDay[[#This Row],[Budget-Rollup]])/DaybyDay[[#This Row],[Budget-Rollup]]),0),"")</f>
        <v>8.0038259024992221E-3</v>
      </c>
      <c r="X1127" t="b">
        <f>NOT(AND(ISBLANK(DaybyDay[[#This Row],[Appts]]),ISBLANK(DaybyDay[[#This Row],[Service-Actuals]]),ISBLANK(DaybyDay[[#This Row],[Retail-Actuals]])))</f>
        <v>1</v>
      </c>
      <c r="Y1127" s="36">
        <f>IF(DaybyDay[[#This Row],[_Space]],IFERROR(
((DaybyDay[[#This Row],[Actual-Rollup]]-DaybyDay[[#This Row],[LY-Rollup]])/DaybyDay[[#This Row],[LY-Rollup]]),0),"")</f>
        <v>0.21333552989125523</v>
      </c>
      <c r="Z1127"/>
      <c r="AA1127" s="37">
        <f>IF(DaybyDay[[#This Row],[_Space]],DaybyDay[[#This Row],[Ret-Act-RU]]/DaybyDay[[#This Row],[Serv-Act-RU]],"")</f>
        <v>0.30590334973396083</v>
      </c>
      <c r="AB1127" s="50">
        <f>IF(DaybyDay[[#This Row],[_Space]],DaybyDay[[#This Row],[RETPEN-Act]]/DaybyDay[[#This Row],[RETPEN-Bud]],"")</f>
        <v>1.247557698957555</v>
      </c>
      <c r="AC1127" s="37">
        <f>IF(DaybyDay[[#This Row],[_Space]],DaybyDay[[#This Row],[Ret-Bud-RU]]/DaybyDay[[#This Row],[Serv-Bud-RU]],"")</f>
        <v>0.24520176500819979</v>
      </c>
      <c r="AD1127" s="37">
        <f>IF(DaybyDay[[#This Row],[_Space]],DaybyDay[[#This Row],[Ret-LY-RU]]/DaybyDay[[#This Row],[Serv-LY-RU]],"")</f>
        <v>0.14373267721656269</v>
      </c>
      <c r="AE1127" s="30">
        <f>WEEKDAY(DaybyDay[[#This Row],[LY-Date]])</f>
        <v>1</v>
      </c>
      <c r="AF1127" s="38">
        <f>$E$2+_xlfn.DAYS(DaybyDay[[#This Row],[Date]],minDate)</f>
        <v>43492</v>
      </c>
      <c r="AG1127" s="39" cm="1">
        <f t="array" ref="AG1127">IFERROR(INDEX(DaybyDay[],DaybyDay[[#This Row],[FORM_MATCH_HELPER]],8),"")</f>
        <v>30</v>
      </c>
      <c r="AH1127" s="39" cm="1">
        <f t="array" ref="AH1127">IFERROR(INDEX(DaybyDay[],DaybyDay[[#This Row],[FORM_MATCH_HELPER]],10),"")</f>
        <v>6199.11</v>
      </c>
      <c r="AI1127" s="39" cm="1">
        <f t="array" ref="AI1127">IFERROR(INDEX(DaybyDay[],DaybyDay[[#This Row],[FORM_MATCH_HELPER]],12),"")</f>
        <v>0</v>
      </c>
      <c r="AJ1127" s="32">
        <f>IFERROR(DaybyDay[[#This Row],[Serv-LY-RU]]+DaybyDay[[#This Row],[Ret-LY-RU]],"")</f>
        <v>124072.90999999999</v>
      </c>
      <c r="AK11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150542.07</v>
      </c>
      <c r="AL1127" s="77"/>
      <c r="AM1127" s="40" t="str">
        <f>IF(DaybyDay[[#This Row],[Admin Hours]]&gt;0,DaybyDay[[#This Row],[Admin Hours]]*$AM$2+$AM$3,"")</f>
        <v/>
      </c>
      <c r="AN1127" s="40">
        <f>SUMIFS(DaybyDay[Est-Admin-Payroll],DaybyDay[Date],"&gt;="&amp;$C$5,DaybyDay[RowYear],"&gt;="&amp;$C$4,DaybyDay[Date],"&lt;="&amp;DaybyDay[[#This Row],[Date]])</f>
        <v>0</v>
      </c>
      <c r="AO1127" s="41" t="str">
        <f>IF(AND(DaybyDay[[#This Row],[_Space]],ISNUMBER(DaybyDay[[#This Row],[Admin Hours]])),DaybyDay[[#This Row],[Est-Admin-Payroll]]/(DaybyDay[[#This Row],[Service-Actuals]]+DaybyDay[[#This Row],[Retail-Actuals]]),"")</f>
        <v/>
      </c>
      <c r="AP1127" s="41">
        <f>DaybyDay[[#This Row],[Estimated-Payroll-Rollup]]/DaybyDay[[#This Row],[Simple-Forecast]]</f>
        <v>0</v>
      </c>
      <c r="AQ11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35263.960000000006</v>
      </c>
      <c r="AR1127" s="77"/>
      <c r="AS1127" s="40" t="str">
        <f>IF(DaybyDay[[#This Row],[Retail Hours]]&gt;0,DaybyDay[[#This Row],[Retail Hours]]*$AS$2,"")</f>
        <v/>
      </c>
      <c r="AT1127" s="40">
        <f>SUMIFS(DaybyDay[Est-Retail-Payroll],DaybyDay[Date],"&gt;="&amp;$C$5,DaybyDay[RowYear],"&gt;="&amp;$C$4,DaybyDay[Date],"&lt;="&amp;DaybyDay[[#This Row],[Date]])</f>
        <v>0</v>
      </c>
      <c r="AU1127" s="82" t="str">
        <f>IF(AND(DaybyDay[[#This Row],[_Space]],ISNUMBER(DaybyDay[[#This Row],[Retail Hours]])),DaybyDay[[#This Row],[Est-Retail-Payroll]]/(DaybyDay[[#This Row],[Retail-Actuals]]),"")</f>
        <v/>
      </c>
      <c r="AV1127" s="82">
        <f>DaybyDay[[#This Row],[Est-Retail-PayrollRU]]/DaybyDay[[#This Row],[Simple-Forecast-Retail]]</f>
        <v>0</v>
      </c>
      <c r="AW1127" s="8"/>
      <c r="AX1127" s="15"/>
      <c r="AY1127" s="8"/>
    </row>
    <row r="1128" spans="3:51" x14ac:dyDescent="0.25">
      <c r="C1128" s="26" t="str">
        <f>Tools!$C$1</f>
        <v>Example</v>
      </c>
      <c r="D1128" s="27" t="s">
        <v>68</v>
      </c>
      <c r="E1128" s="28">
        <v>2020</v>
      </c>
      <c r="F1128" s="28">
        <f>MATCH(DaybyDay[[#This Row],[RowMonth]],Table3[SummaryMonth],0)</f>
        <v>1</v>
      </c>
      <c r="G1128" s="29">
        <f>MATCH(DaybyDay[[#This Row],[LY-Date]],DaybyDay[Date],0)</f>
        <v>758</v>
      </c>
      <c r="H1128" s="30">
        <f>WEEKDAY(DaybyDay[[#This Row],[Date]])</f>
        <v>2</v>
      </c>
      <c r="I1128" s="31">
        <v>43857</v>
      </c>
      <c r="J1128" s="74">
        <v>16</v>
      </c>
      <c r="K1128" s="32">
        <f>SUMIFS(BudgetSeasonality[365 Seasonality],BudgetSeasonality[MonthAdjustment],DaybyDay[[#This Row],[Date]])*SUMIFS(Budgets[Service-Budget],Budgets[BudgetMonth],DaybyDay[[#This Row],[RowMonth]],Budgets[BudgetYear],DaybyDay[[#This Row],[RowYear]])</f>
        <v>4231.6416653840206</v>
      </c>
      <c r="L1128" s="75">
        <v>4042</v>
      </c>
      <c r="M1128" s="32">
        <f>INDEX(BudgetSeasonality[365 Seasonality],MATCH(DaybyDay[[#This Row],[Date]],BudgetSeasonality[MonthAdjustment],0))*SUMIFS(Budgets[Retail-Budget],Budgets[BudgetMonth],DaybyDay[[#This Row],[RowMonth]],Budgets[BudgetYear],DaybyDay[[#This Row],[RowYear]])</f>
        <v>1037.6060052343996</v>
      </c>
      <c r="N1128" s="75">
        <v>313.5</v>
      </c>
      <c r="O1128" s="33">
        <f>SUMIFS(DaybyDay[Service-Budgets],DaybyDay[Date],"&gt;="&amp;$C$5,DaybyDay[RowYear],"&gt;="&amp;$C$4,DaybyDay[Date],"&lt;="&amp;DaybyDay[[#This Row],[Date]])</f>
        <v>124169.41320756063</v>
      </c>
      <c r="P1128" s="33">
        <f>SUMIFS(DaybyDay[Retail-Budgets],DaybyDay[Date],"&gt;="&amp;$C$5,DaybyDay[RowYear],"&gt;="&amp;$C$4,DaybyDay[Date],"&lt;="&amp;DaybyDay[[#This Row],[Date]])</f>
        <v>30446.55927852634</v>
      </c>
      <c r="Q1128" s="34">
        <f>SUMIFS(DaybyDay[Service-Actuals],DaybyDay[Date],"&gt;="&amp;$C$5,DaybyDay[RowYear],"&gt;="&amp;$C$4,DaybyDay[Date],"&lt;="&amp;DaybyDay[[#This Row],[Date]])</f>
        <v>119320.11</v>
      </c>
      <c r="R1128" s="34">
        <f>SUMIFS(DaybyDay[Retail-Actuals],DaybyDay[Date],"&gt;="&amp;$C$5,DaybyDay[RowYear],"&gt;="&amp;$C$4,DaybyDay[Date],"&lt;="&amp;DaybyDay[[#This Row],[Date]])</f>
        <v>35577.460000000006</v>
      </c>
      <c r="S1128" s="35">
        <f>SUMIFS(DaybyDay[Service-LY],DaybyDay[Date],"&gt;="&amp;$C$5,DaybyDay[RowYear],"&gt;="&amp;$C$4,DaybyDay[Date],"&lt;="&amp;DaybyDay[[#This Row],[Date]])</f>
        <v>112121.29</v>
      </c>
      <c r="T1128" s="35">
        <f>SUMIFS(DaybyDay[Retail-LY],DaybyDay[Date],"&gt;="&amp;$C$5,DaybyDay[RowYear],"&gt;="&amp;$C$4,DaybyDay[Date],"&lt;="&amp;DaybyDay[[#This Row],[Date]])</f>
        <v>16564.219999999998</v>
      </c>
      <c r="U1128" s="32">
        <f>DaybyDay[[#This Row],[Serv-Bud-RU]]+DaybyDay[[#This Row],[Ret-Bud-RU]]</f>
        <v>154615.97248608698</v>
      </c>
      <c r="V1128" s="32">
        <f>DaybyDay[[#This Row],[Serv-Act-RU]]+DaybyDay[[#This Row],[Ret-Act-RU]]</f>
        <v>154897.57</v>
      </c>
      <c r="W1128" s="36">
        <f>IF(DaybyDay[[#This Row],[_Space]],IFERROR(
((DaybyDay[[#This Row],[Actual-Rollup]]-DaybyDay[[#This Row],[Budget-Rollup]])/DaybyDay[[#This Row],[Budget-Rollup]]),0),"")</f>
        <v>1.8212705284272673E-3</v>
      </c>
      <c r="X1128" t="b">
        <f>NOT(AND(ISBLANK(DaybyDay[[#This Row],[Appts]]),ISBLANK(DaybyDay[[#This Row],[Service-Actuals]]),ISBLANK(DaybyDay[[#This Row],[Retail-Actuals]])))</f>
        <v>1</v>
      </c>
      <c r="Y1128" s="36">
        <f>IF(DaybyDay[[#This Row],[_Space]],IFERROR(
((DaybyDay[[#This Row],[Actual-Rollup]]-DaybyDay[[#This Row],[LY-Rollup]])/DaybyDay[[#This Row],[LY-Rollup]]),0),"")</f>
        <v>0.20369084289287903</v>
      </c>
      <c r="Z1128"/>
      <c r="AA1128" s="37">
        <f>IF(DaybyDay[[#This Row],[_Space]],DaybyDay[[#This Row],[Ret-Act-RU]]/DaybyDay[[#This Row],[Serv-Act-RU]],"")</f>
        <v>0.29816817969745424</v>
      </c>
      <c r="AB1128" s="50">
        <f>IF(DaybyDay[[#This Row],[_Space]],DaybyDay[[#This Row],[RETPEN-Act]]/DaybyDay[[#This Row],[RETPEN-Bud]],"")</f>
        <v>1.2160115555753981</v>
      </c>
      <c r="AC1128" s="37">
        <f>IF(DaybyDay[[#This Row],[_Space]],DaybyDay[[#This Row],[Ret-Bud-RU]]/DaybyDay[[#This Row],[Serv-Bud-RU]],"")</f>
        <v>0.24520176500819979</v>
      </c>
      <c r="AD1128" s="37">
        <f>IF(DaybyDay[[#This Row],[_Space]],DaybyDay[[#This Row],[Ret-LY-RU]]/DaybyDay[[#This Row],[Serv-LY-RU]],"")</f>
        <v>0.14773483251931901</v>
      </c>
      <c r="AE1128" s="30">
        <f>WEEKDAY(DaybyDay[[#This Row],[LY-Date]])</f>
        <v>2</v>
      </c>
      <c r="AF1128" s="38">
        <f>$E$2+_xlfn.DAYS(DaybyDay[[#This Row],[Date]],minDate)</f>
        <v>43493</v>
      </c>
      <c r="AG1128" s="39" cm="1">
        <f t="array" ref="AG1128">IFERROR(INDEX(DaybyDay[],DaybyDay[[#This Row],[FORM_MATCH_HELPER]],8),"")</f>
        <v>15</v>
      </c>
      <c r="AH1128" s="39" cm="1">
        <f t="array" ref="AH1128">IFERROR(INDEX(DaybyDay[],DaybyDay[[#This Row],[FORM_MATCH_HELPER]],10),"")</f>
        <v>3640.6000000000004</v>
      </c>
      <c r="AI1128" s="39" cm="1">
        <f t="array" ref="AI1128">IFERROR(INDEX(DaybyDay[],DaybyDay[[#This Row],[FORM_MATCH_HELPER]],12),"")</f>
        <v>972</v>
      </c>
      <c r="AJ1128" s="32">
        <f>IFERROR(DaybyDay[[#This Row],[Serv-LY-RU]]+DaybyDay[[#This Row],[Ret-LY-RU]],"")</f>
        <v>128685.51</v>
      </c>
      <c r="AK11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154897.57</v>
      </c>
      <c r="AL1128" s="77"/>
      <c r="AM1128" s="40" t="str">
        <f>IF(DaybyDay[[#This Row],[Admin Hours]]&gt;0,DaybyDay[[#This Row],[Admin Hours]]*$AM$2+$AM$3,"")</f>
        <v/>
      </c>
      <c r="AN1128" s="40">
        <f>SUMIFS(DaybyDay[Est-Admin-Payroll],DaybyDay[Date],"&gt;="&amp;$C$5,DaybyDay[RowYear],"&gt;="&amp;$C$4,DaybyDay[Date],"&lt;="&amp;DaybyDay[[#This Row],[Date]])</f>
        <v>0</v>
      </c>
      <c r="AO1128" s="41" t="str">
        <f>IF(AND(DaybyDay[[#This Row],[_Space]],ISNUMBER(DaybyDay[[#This Row],[Admin Hours]])),DaybyDay[[#This Row],[Est-Admin-Payroll]]/(DaybyDay[[#This Row],[Service-Actuals]]+DaybyDay[[#This Row],[Retail-Actuals]]),"")</f>
        <v/>
      </c>
      <c r="AP1128" s="41">
        <f>DaybyDay[[#This Row],[Estimated-Payroll-Rollup]]/DaybyDay[[#This Row],[Simple-Forecast]]</f>
        <v>0</v>
      </c>
      <c r="AQ11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35577.460000000006</v>
      </c>
      <c r="AR1128" s="77"/>
      <c r="AS1128" s="40" t="str">
        <f>IF(DaybyDay[[#This Row],[Retail Hours]]&gt;0,DaybyDay[[#This Row],[Retail Hours]]*$AS$2,"")</f>
        <v/>
      </c>
      <c r="AT1128" s="40">
        <f>SUMIFS(DaybyDay[Est-Retail-Payroll],DaybyDay[Date],"&gt;="&amp;$C$5,DaybyDay[RowYear],"&gt;="&amp;$C$4,DaybyDay[Date],"&lt;="&amp;DaybyDay[[#This Row],[Date]])</f>
        <v>0</v>
      </c>
      <c r="AU1128" s="82" t="str">
        <f>IF(AND(DaybyDay[[#This Row],[_Space]],ISNUMBER(DaybyDay[[#This Row],[Retail Hours]])),DaybyDay[[#This Row],[Est-Retail-Payroll]]/(DaybyDay[[#This Row],[Retail-Actuals]]),"")</f>
        <v/>
      </c>
      <c r="AV1128" s="82">
        <f>DaybyDay[[#This Row],[Est-Retail-PayrollRU]]/DaybyDay[[#This Row],[Simple-Forecast-Retail]]</f>
        <v>0</v>
      </c>
      <c r="AW1128" s="8"/>
      <c r="AX1128" s="15"/>
      <c r="AY1128" s="8"/>
    </row>
    <row r="1129" spans="3:51" x14ac:dyDescent="0.25">
      <c r="C1129" s="26" t="str">
        <f>Tools!$C$1</f>
        <v>Example</v>
      </c>
      <c r="D1129" s="27" t="s">
        <v>68</v>
      </c>
      <c r="E1129" s="28">
        <v>2020</v>
      </c>
      <c r="F1129" s="28">
        <f>MATCH(DaybyDay[[#This Row],[RowMonth]],Table3[SummaryMonth],0)</f>
        <v>1</v>
      </c>
      <c r="G1129" s="29">
        <f>MATCH(DaybyDay[[#This Row],[LY-Date]],DaybyDay[Date],0)</f>
        <v>759</v>
      </c>
      <c r="H1129" s="30">
        <f>WEEKDAY(DaybyDay[[#This Row],[Date]])</f>
        <v>3</v>
      </c>
      <c r="I1129" s="31">
        <v>43858</v>
      </c>
      <c r="J1129" s="74">
        <v>14</v>
      </c>
      <c r="K1129" s="32">
        <f>SUMIFS(BudgetSeasonality[365 Seasonality],BudgetSeasonality[MonthAdjustment],DaybyDay[[#This Row],[Date]])*SUMIFS(Budgets[Service-Budget],Budgets[BudgetMonth],DaybyDay[[#This Row],[RowMonth]],Budgets[BudgetYear],DaybyDay[[#This Row],[RowYear]])</f>
        <v>4388.1741394475594</v>
      </c>
      <c r="L1129" s="75">
        <v>2898.4</v>
      </c>
      <c r="M1129" s="32">
        <f>INDEX(BudgetSeasonality[365 Seasonality],MATCH(DaybyDay[[#This Row],[Date]],BudgetSeasonality[MonthAdjustment],0))*SUMIFS(Budgets[Retail-Budget],Budgets[BudgetMonth],DaybyDay[[#This Row],[RowMonth]],Budgets[BudgetYear],DaybyDay[[#This Row],[RowYear]])</f>
        <v>1075.9880441558796</v>
      </c>
      <c r="N1129" s="75">
        <v>855</v>
      </c>
      <c r="O1129" s="33">
        <f>SUMIFS(DaybyDay[Service-Budgets],DaybyDay[Date],"&gt;="&amp;$C$5,DaybyDay[RowYear],"&gt;="&amp;$C$4,DaybyDay[Date],"&lt;="&amp;DaybyDay[[#This Row],[Date]])</f>
        <v>128557.58734700819</v>
      </c>
      <c r="P1129" s="33">
        <f>SUMIFS(DaybyDay[Retail-Budgets],DaybyDay[Date],"&gt;="&amp;$C$5,DaybyDay[RowYear],"&gt;="&amp;$C$4,DaybyDay[Date],"&lt;="&amp;DaybyDay[[#This Row],[Date]])</f>
        <v>31522.547322682218</v>
      </c>
      <c r="Q1129" s="34">
        <f>SUMIFS(DaybyDay[Service-Actuals],DaybyDay[Date],"&gt;="&amp;$C$5,DaybyDay[RowYear],"&gt;="&amp;$C$4,DaybyDay[Date],"&lt;="&amp;DaybyDay[[#This Row],[Date]])</f>
        <v>122218.51</v>
      </c>
      <c r="R1129" s="34">
        <f>SUMIFS(DaybyDay[Retail-Actuals],DaybyDay[Date],"&gt;="&amp;$C$5,DaybyDay[RowYear],"&gt;="&amp;$C$4,DaybyDay[Date],"&lt;="&amp;DaybyDay[[#This Row],[Date]])</f>
        <v>36432.460000000006</v>
      </c>
      <c r="S1129" s="35">
        <f>SUMIFS(DaybyDay[Service-LY],DaybyDay[Date],"&gt;="&amp;$C$5,DaybyDay[RowYear],"&gt;="&amp;$C$4,DaybyDay[Date],"&lt;="&amp;DaybyDay[[#This Row],[Date]])</f>
        <v>114263.29</v>
      </c>
      <c r="T1129" s="35">
        <f>SUMIFS(DaybyDay[Retail-LY],DaybyDay[Date],"&gt;="&amp;$C$5,DaybyDay[RowYear],"&gt;="&amp;$C$4,DaybyDay[Date],"&lt;="&amp;DaybyDay[[#This Row],[Date]])</f>
        <v>18144.219999999998</v>
      </c>
      <c r="U1129" s="32">
        <f>DaybyDay[[#This Row],[Serv-Bud-RU]]+DaybyDay[[#This Row],[Ret-Bud-RU]]</f>
        <v>160080.13466969039</v>
      </c>
      <c r="V1129" s="32">
        <f>DaybyDay[[#This Row],[Serv-Act-RU]]+DaybyDay[[#This Row],[Ret-Act-RU]]</f>
        <v>158650.97</v>
      </c>
      <c r="W1129" s="36">
        <f>IF(DaybyDay[[#This Row],[_Space]],IFERROR(
((DaybyDay[[#This Row],[Actual-Rollup]]-DaybyDay[[#This Row],[Budget-Rollup]])/DaybyDay[[#This Row],[Budget-Rollup]]),0),"")</f>
        <v>-8.9278077672743875E-3</v>
      </c>
      <c r="X1129" t="b">
        <f>NOT(AND(ISBLANK(DaybyDay[[#This Row],[Appts]]),ISBLANK(DaybyDay[[#This Row],[Service-Actuals]]),ISBLANK(DaybyDay[[#This Row],[Retail-Actuals]])))</f>
        <v>1</v>
      </c>
      <c r="Y1129" s="36">
        <f>IF(DaybyDay[[#This Row],[_Space]],IFERROR(
((DaybyDay[[#This Row],[Actual-Rollup]]-DaybyDay[[#This Row],[LY-Rollup]])/DaybyDay[[#This Row],[LY-Rollup]]),0),"")</f>
        <v>0.19820220167269986</v>
      </c>
      <c r="Z1129"/>
      <c r="AA1129" s="37">
        <f>IF(DaybyDay[[#This Row],[_Space]],DaybyDay[[#This Row],[Ret-Act-RU]]/DaybyDay[[#This Row],[Serv-Act-RU]],"")</f>
        <v>0.29809281752821243</v>
      </c>
      <c r="AB1129" s="50">
        <f>IF(DaybyDay[[#This Row],[_Space]],DaybyDay[[#This Row],[RETPEN-Act]]/DaybyDay[[#This Row],[RETPEN-Bud]],"")</f>
        <v>1.2157042079947669</v>
      </c>
      <c r="AC1129" s="37">
        <f>IF(DaybyDay[[#This Row],[_Space]],DaybyDay[[#This Row],[Ret-Bud-RU]]/DaybyDay[[#This Row],[Serv-Bud-RU]],"")</f>
        <v>0.24520176500819976</v>
      </c>
      <c r="AD1129" s="37">
        <f>IF(DaybyDay[[#This Row],[_Space]],DaybyDay[[#This Row],[Ret-LY-RU]]/DaybyDay[[#This Row],[Serv-LY-RU]],"")</f>
        <v>0.15879308218763874</v>
      </c>
      <c r="AE1129" s="30">
        <f>WEEKDAY(DaybyDay[[#This Row],[LY-Date]])</f>
        <v>3</v>
      </c>
      <c r="AF1129" s="38">
        <f>$E$2+_xlfn.DAYS(DaybyDay[[#This Row],[Date]],minDate)</f>
        <v>43494</v>
      </c>
      <c r="AG1129" s="39" cm="1">
        <f t="array" ref="AG1129">IFERROR(INDEX(DaybyDay[],DaybyDay[[#This Row],[FORM_MATCH_HELPER]],8),"")</f>
        <v>11</v>
      </c>
      <c r="AH1129" s="39" cm="1">
        <f t="array" ref="AH1129">IFERROR(INDEX(DaybyDay[],DaybyDay[[#This Row],[FORM_MATCH_HELPER]],10),"")</f>
        <v>2142</v>
      </c>
      <c r="AI1129" s="39" cm="1">
        <f t="array" ref="AI1129">IFERROR(INDEX(DaybyDay[],DaybyDay[[#This Row],[FORM_MATCH_HELPER]],12),"")</f>
        <v>1580</v>
      </c>
      <c r="AJ1129" s="32">
        <f>IFERROR(DaybyDay[[#This Row],[Serv-LY-RU]]+DaybyDay[[#This Row],[Ret-LY-RU]],"")</f>
        <v>132407.50999999998</v>
      </c>
      <c r="AK11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158650.97</v>
      </c>
      <c r="AL1129" s="77"/>
      <c r="AM1129" s="40" t="str">
        <f>IF(DaybyDay[[#This Row],[Admin Hours]]&gt;0,DaybyDay[[#This Row],[Admin Hours]]*$AM$2+$AM$3,"")</f>
        <v/>
      </c>
      <c r="AN1129" s="40">
        <f>SUMIFS(DaybyDay[Est-Admin-Payroll],DaybyDay[Date],"&gt;="&amp;$C$5,DaybyDay[RowYear],"&gt;="&amp;$C$4,DaybyDay[Date],"&lt;="&amp;DaybyDay[[#This Row],[Date]])</f>
        <v>0</v>
      </c>
      <c r="AO1129" s="41" t="str">
        <f>IF(AND(DaybyDay[[#This Row],[_Space]],ISNUMBER(DaybyDay[[#This Row],[Admin Hours]])),DaybyDay[[#This Row],[Est-Admin-Payroll]]/(DaybyDay[[#This Row],[Service-Actuals]]+DaybyDay[[#This Row],[Retail-Actuals]]),"")</f>
        <v/>
      </c>
      <c r="AP1129" s="41">
        <f>DaybyDay[[#This Row],[Estimated-Payroll-Rollup]]/DaybyDay[[#This Row],[Simple-Forecast]]</f>
        <v>0</v>
      </c>
      <c r="AQ11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36432.460000000006</v>
      </c>
      <c r="AR1129" s="77"/>
      <c r="AS1129" s="40" t="str">
        <f>IF(DaybyDay[[#This Row],[Retail Hours]]&gt;0,DaybyDay[[#This Row],[Retail Hours]]*$AS$2,"")</f>
        <v/>
      </c>
      <c r="AT1129" s="40">
        <f>SUMIFS(DaybyDay[Est-Retail-Payroll],DaybyDay[Date],"&gt;="&amp;$C$5,DaybyDay[RowYear],"&gt;="&amp;$C$4,DaybyDay[Date],"&lt;="&amp;DaybyDay[[#This Row],[Date]])</f>
        <v>0</v>
      </c>
      <c r="AU1129" s="82" t="str">
        <f>IF(AND(DaybyDay[[#This Row],[_Space]],ISNUMBER(DaybyDay[[#This Row],[Retail Hours]])),DaybyDay[[#This Row],[Est-Retail-Payroll]]/(DaybyDay[[#This Row],[Retail-Actuals]]),"")</f>
        <v/>
      </c>
      <c r="AV1129" s="82">
        <f>DaybyDay[[#This Row],[Est-Retail-PayrollRU]]/DaybyDay[[#This Row],[Simple-Forecast-Retail]]</f>
        <v>0</v>
      </c>
      <c r="AW1129" s="8"/>
      <c r="AX1129" s="15"/>
      <c r="AY1129" s="8"/>
    </row>
    <row r="1130" spans="3:51" x14ac:dyDescent="0.25">
      <c r="C1130" s="26" t="str">
        <f>Tools!$C$1</f>
        <v>Example</v>
      </c>
      <c r="D1130" s="27" t="s">
        <v>68</v>
      </c>
      <c r="E1130" s="28">
        <v>2020</v>
      </c>
      <c r="F1130" s="28">
        <f>MATCH(DaybyDay[[#This Row],[RowMonth]],Table3[SummaryMonth],0)</f>
        <v>1</v>
      </c>
      <c r="G1130" s="29">
        <f>MATCH(DaybyDay[[#This Row],[LY-Date]],DaybyDay[Date],0)</f>
        <v>760</v>
      </c>
      <c r="H1130" s="30">
        <f>WEEKDAY(DaybyDay[[#This Row],[Date]])</f>
        <v>4</v>
      </c>
      <c r="I1130" s="31">
        <v>43859</v>
      </c>
      <c r="J1130" s="74">
        <v>25</v>
      </c>
      <c r="K1130" s="32">
        <f>SUMIFS(BudgetSeasonality[365 Seasonality],BudgetSeasonality[MonthAdjustment],DaybyDay[[#This Row],[Date]])*SUMIFS(Budgets[Service-Budget],Budgets[BudgetMonth],DaybyDay[[#This Row],[RowMonth]],Budgets[BudgetYear],DaybyDay[[#This Row],[RowYear]])</f>
        <v>4966.7202437521673</v>
      </c>
      <c r="L1130" s="75">
        <v>3990.6</v>
      </c>
      <c r="M1130" s="32">
        <f>INDEX(BudgetSeasonality[365 Seasonality],MATCH(DaybyDay[[#This Row],[Date]],BudgetSeasonality[MonthAdjustment],0))*SUMIFS(Budgets[Retail-Budget],Budgets[BudgetMonth],DaybyDay[[#This Row],[RowMonth]],Budgets[BudgetYear],DaybyDay[[#This Row],[RowYear]])</f>
        <v>1217.8485700699873</v>
      </c>
      <c r="N1130" s="75">
        <v>859</v>
      </c>
      <c r="O1130" s="33">
        <f>SUMIFS(DaybyDay[Service-Budgets],DaybyDay[Date],"&gt;="&amp;$C$5,DaybyDay[RowYear],"&gt;="&amp;$C$4,DaybyDay[Date],"&lt;="&amp;DaybyDay[[#This Row],[Date]])</f>
        <v>133524.30759076035</v>
      </c>
      <c r="P1130" s="33">
        <f>SUMIFS(DaybyDay[Retail-Budgets],DaybyDay[Date],"&gt;="&amp;$C$5,DaybyDay[RowYear],"&gt;="&amp;$C$4,DaybyDay[Date],"&lt;="&amp;DaybyDay[[#This Row],[Date]])</f>
        <v>32740.395892752204</v>
      </c>
      <c r="Q1130" s="34">
        <f>SUMIFS(DaybyDay[Service-Actuals],DaybyDay[Date],"&gt;="&amp;$C$5,DaybyDay[RowYear],"&gt;="&amp;$C$4,DaybyDay[Date],"&lt;="&amp;DaybyDay[[#This Row],[Date]])</f>
        <v>126209.11</v>
      </c>
      <c r="R1130" s="34">
        <f>SUMIFS(DaybyDay[Retail-Actuals],DaybyDay[Date],"&gt;="&amp;$C$5,DaybyDay[RowYear],"&gt;="&amp;$C$4,DaybyDay[Date],"&lt;="&amp;DaybyDay[[#This Row],[Date]])</f>
        <v>37291.460000000006</v>
      </c>
      <c r="S1130" s="35">
        <f>SUMIFS(DaybyDay[Service-LY],DaybyDay[Date],"&gt;="&amp;$C$5,DaybyDay[RowYear],"&gt;="&amp;$C$4,DaybyDay[Date],"&lt;="&amp;DaybyDay[[#This Row],[Date]])</f>
        <v>117827.29</v>
      </c>
      <c r="T1130" s="35">
        <f>SUMIFS(DaybyDay[Retail-LY],DaybyDay[Date],"&gt;="&amp;$C$5,DaybyDay[RowYear],"&gt;="&amp;$C$4,DaybyDay[Date],"&lt;="&amp;DaybyDay[[#This Row],[Date]])</f>
        <v>18895.219999999998</v>
      </c>
      <c r="U1130" s="32">
        <f>DaybyDay[[#This Row],[Serv-Bud-RU]]+DaybyDay[[#This Row],[Ret-Bud-RU]]</f>
        <v>166264.70348351257</v>
      </c>
      <c r="V1130" s="32">
        <f>DaybyDay[[#This Row],[Serv-Act-RU]]+DaybyDay[[#This Row],[Ret-Act-RU]]</f>
        <v>163500.57</v>
      </c>
      <c r="W1130" s="36">
        <f>IF(DaybyDay[[#This Row],[_Space]],IFERROR(
((DaybyDay[[#This Row],[Actual-Rollup]]-DaybyDay[[#This Row],[Budget-Rollup]])/DaybyDay[[#This Row],[Budget-Rollup]]),0),"")</f>
        <v>-1.6624896478925014E-2</v>
      </c>
      <c r="X1130" t="b">
        <f>NOT(AND(ISBLANK(DaybyDay[[#This Row],[Appts]]),ISBLANK(DaybyDay[[#This Row],[Service-Actuals]]),ISBLANK(DaybyDay[[#This Row],[Retail-Actuals]])))</f>
        <v>1</v>
      </c>
      <c r="Y1130" s="36">
        <f>IF(DaybyDay[[#This Row],[_Space]],IFERROR(
((DaybyDay[[#This Row],[Actual-Rollup]]-DaybyDay[[#This Row],[LY-Rollup]])/DaybyDay[[#This Row],[LY-Rollup]]),0),"")</f>
        <v>0.19585699531116002</v>
      </c>
      <c r="Z1130"/>
      <c r="AA1130" s="37">
        <f>IF(DaybyDay[[#This Row],[_Space]],DaybyDay[[#This Row],[Ret-Act-RU]]/DaybyDay[[#This Row],[Serv-Act-RU]],"")</f>
        <v>0.29547359933050799</v>
      </c>
      <c r="AB1130" s="50">
        <f>IF(DaybyDay[[#This Row],[_Space]],DaybyDay[[#This Row],[RETPEN-Act]]/DaybyDay[[#This Row],[RETPEN-Bud]],"")</f>
        <v>1.2050223183370115</v>
      </c>
      <c r="AC1130" s="37">
        <f>IF(DaybyDay[[#This Row],[_Space]],DaybyDay[[#This Row],[Ret-Bud-RU]]/DaybyDay[[#This Row],[Serv-Bud-RU]],"")</f>
        <v>0.24520176500819976</v>
      </c>
      <c r="AD1130" s="37">
        <f>IF(DaybyDay[[#This Row],[_Space]],DaybyDay[[#This Row],[Ret-LY-RU]]/DaybyDay[[#This Row],[Serv-LY-RU]],"")</f>
        <v>0.16036369842673967</v>
      </c>
      <c r="AE1130" s="30">
        <f>WEEKDAY(DaybyDay[[#This Row],[LY-Date]])</f>
        <v>4</v>
      </c>
      <c r="AF1130" s="38">
        <f>$E$2+_xlfn.DAYS(DaybyDay[[#This Row],[Date]],minDate)</f>
        <v>43495</v>
      </c>
      <c r="AG1130" s="39" cm="1">
        <f t="array" ref="AG1130">IFERROR(INDEX(DaybyDay[],DaybyDay[[#This Row],[FORM_MATCH_HELPER]],8),"")</f>
        <v>18</v>
      </c>
      <c r="AH1130" s="39" cm="1">
        <f t="array" ref="AH1130">IFERROR(INDEX(DaybyDay[],DaybyDay[[#This Row],[FORM_MATCH_HELPER]],10),"")</f>
        <v>3564</v>
      </c>
      <c r="AI1130" s="39" cm="1">
        <f t="array" ref="AI1130">IFERROR(INDEX(DaybyDay[],DaybyDay[[#This Row],[FORM_MATCH_HELPER]],12),"")</f>
        <v>751</v>
      </c>
      <c r="AJ1130" s="32">
        <f>IFERROR(DaybyDay[[#This Row],[Serv-LY-RU]]+DaybyDay[[#This Row],[Ret-LY-RU]],"")</f>
        <v>136722.50999999998</v>
      </c>
      <c r="AK11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163500.57</v>
      </c>
      <c r="AL1130" s="77"/>
      <c r="AM1130" s="40" t="str">
        <f>IF(DaybyDay[[#This Row],[Admin Hours]]&gt;0,DaybyDay[[#This Row],[Admin Hours]]*$AM$2+$AM$3,"")</f>
        <v/>
      </c>
      <c r="AN1130" s="40">
        <f>SUMIFS(DaybyDay[Est-Admin-Payroll],DaybyDay[Date],"&gt;="&amp;$C$5,DaybyDay[RowYear],"&gt;="&amp;$C$4,DaybyDay[Date],"&lt;="&amp;DaybyDay[[#This Row],[Date]])</f>
        <v>0</v>
      </c>
      <c r="AO1130" s="41" t="str">
        <f>IF(AND(DaybyDay[[#This Row],[_Space]],ISNUMBER(DaybyDay[[#This Row],[Admin Hours]])),DaybyDay[[#This Row],[Est-Admin-Payroll]]/(DaybyDay[[#This Row],[Service-Actuals]]+DaybyDay[[#This Row],[Retail-Actuals]]),"")</f>
        <v/>
      </c>
      <c r="AP1130" s="41">
        <f>DaybyDay[[#This Row],[Estimated-Payroll-Rollup]]/DaybyDay[[#This Row],[Simple-Forecast]]</f>
        <v>0</v>
      </c>
      <c r="AQ11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37291.460000000006</v>
      </c>
      <c r="AR1130" s="77"/>
      <c r="AS1130" s="40" t="str">
        <f>IF(DaybyDay[[#This Row],[Retail Hours]]&gt;0,DaybyDay[[#This Row],[Retail Hours]]*$AS$2,"")</f>
        <v/>
      </c>
      <c r="AT1130" s="40">
        <f>SUMIFS(DaybyDay[Est-Retail-Payroll],DaybyDay[Date],"&gt;="&amp;$C$5,DaybyDay[RowYear],"&gt;="&amp;$C$4,DaybyDay[Date],"&lt;="&amp;DaybyDay[[#This Row],[Date]])</f>
        <v>0</v>
      </c>
      <c r="AU1130" s="82" t="str">
        <f>IF(AND(DaybyDay[[#This Row],[_Space]],ISNUMBER(DaybyDay[[#This Row],[Retail Hours]])),DaybyDay[[#This Row],[Est-Retail-Payroll]]/(DaybyDay[[#This Row],[Retail-Actuals]]),"")</f>
        <v/>
      </c>
      <c r="AV1130" s="82">
        <f>DaybyDay[[#This Row],[Est-Retail-PayrollRU]]/DaybyDay[[#This Row],[Simple-Forecast-Retail]]</f>
        <v>0</v>
      </c>
      <c r="AW1130" s="8"/>
      <c r="AX1130" s="15"/>
      <c r="AY1130" s="8"/>
    </row>
    <row r="1131" spans="3:51" x14ac:dyDescent="0.25">
      <c r="C1131" s="26" t="str">
        <f>Tools!$C$1</f>
        <v>Example</v>
      </c>
      <c r="D1131" s="27" t="s">
        <v>68</v>
      </c>
      <c r="E1131" s="28">
        <v>2020</v>
      </c>
      <c r="F1131" s="28">
        <f>MATCH(DaybyDay[[#This Row],[RowMonth]],Table3[SummaryMonth],0)</f>
        <v>1</v>
      </c>
      <c r="G1131" s="29">
        <f>MATCH(DaybyDay[[#This Row],[LY-Date]],DaybyDay[Date],0)</f>
        <v>761</v>
      </c>
      <c r="H1131" s="30">
        <f>WEEKDAY(DaybyDay[[#This Row],[Date]])</f>
        <v>5</v>
      </c>
      <c r="I1131" s="31">
        <v>43860</v>
      </c>
      <c r="J1131" s="74">
        <v>16</v>
      </c>
      <c r="K1131" s="32">
        <f>SUMIFS(BudgetSeasonality[365 Seasonality],BudgetSeasonality[MonthAdjustment],DaybyDay[[#This Row],[Date]])*SUMIFS(Budgets[Service-Budget],Budgets[BudgetMonth],DaybyDay[[#This Row],[RowMonth]],Budgets[BudgetYear],DaybyDay[[#This Row],[RowYear]])</f>
        <v>5114.035047067624</v>
      </c>
      <c r="L1131" s="75">
        <f>2537.6+149</f>
        <v>2686.6</v>
      </c>
      <c r="M1131" s="32">
        <f>INDEX(BudgetSeasonality[365 Seasonality],MATCH(DaybyDay[[#This Row],[Date]],BudgetSeasonality[MonthAdjustment],0))*SUMIFS(Budgets[Retail-Budget],Budgets[BudgetMonth],DaybyDay[[#This Row],[RowMonth]],Budgets[BudgetYear],DaybyDay[[#This Row],[RowYear]])</f>
        <v>1253.9704198547734</v>
      </c>
      <c r="N1131" s="75">
        <v>1327</v>
      </c>
      <c r="O1131" s="33">
        <f>SUMIFS(DaybyDay[Service-Budgets],DaybyDay[Date],"&gt;="&amp;$C$5,DaybyDay[RowYear],"&gt;="&amp;$C$4,DaybyDay[Date],"&lt;="&amp;DaybyDay[[#This Row],[Date]])</f>
        <v>138638.34263782797</v>
      </c>
      <c r="P1131" s="33">
        <f>SUMIFS(DaybyDay[Retail-Budgets],DaybyDay[Date],"&gt;="&amp;$C$5,DaybyDay[RowYear],"&gt;="&amp;$C$4,DaybyDay[Date],"&lt;="&amp;DaybyDay[[#This Row],[Date]])</f>
        <v>33994.366312606973</v>
      </c>
      <c r="Q1131" s="34">
        <f>SUMIFS(DaybyDay[Service-Actuals],DaybyDay[Date],"&gt;="&amp;$C$5,DaybyDay[RowYear],"&gt;="&amp;$C$4,DaybyDay[Date],"&lt;="&amp;DaybyDay[[#This Row],[Date]])</f>
        <v>128895.71</v>
      </c>
      <c r="R1131" s="34">
        <f>SUMIFS(DaybyDay[Retail-Actuals],DaybyDay[Date],"&gt;="&amp;$C$5,DaybyDay[RowYear],"&gt;="&amp;$C$4,DaybyDay[Date],"&lt;="&amp;DaybyDay[[#This Row],[Date]])</f>
        <v>38618.460000000006</v>
      </c>
      <c r="S1131" s="35">
        <f>SUMIFS(DaybyDay[Service-LY],DaybyDay[Date],"&gt;="&amp;$C$5,DaybyDay[RowYear],"&gt;="&amp;$C$4,DaybyDay[Date],"&lt;="&amp;DaybyDay[[#This Row],[Date]])</f>
        <v>122383.70999999999</v>
      </c>
      <c r="T1131" s="35">
        <f>SUMIFS(DaybyDay[Retail-LY],DaybyDay[Date],"&gt;="&amp;$C$5,DaybyDay[RowYear],"&gt;="&amp;$C$4,DaybyDay[Date],"&lt;="&amp;DaybyDay[[#This Row],[Date]])</f>
        <v>22916.719999999998</v>
      </c>
      <c r="U1131" s="32">
        <f>DaybyDay[[#This Row],[Serv-Bud-RU]]+DaybyDay[[#This Row],[Ret-Bud-RU]]</f>
        <v>172632.70895043493</v>
      </c>
      <c r="V1131" s="32">
        <f>DaybyDay[[#This Row],[Serv-Act-RU]]+DaybyDay[[#This Row],[Ret-Act-RU]]</f>
        <v>167514.17000000001</v>
      </c>
      <c r="W1131" s="36">
        <f>IF(DaybyDay[[#This Row],[_Space]],IFERROR(
((DaybyDay[[#This Row],[Actual-Rollup]]-DaybyDay[[#This Row],[Budget-Rollup]])/DaybyDay[[#This Row],[Budget-Rollup]]),0),"")</f>
        <v>-2.9649879107814459E-2</v>
      </c>
      <c r="X1131" t="b">
        <f>NOT(AND(ISBLANK(DaybyDay[[#This Row],[Appts]]),ISBLANK(DaybyDay[[#This Row],[Service-Actuals]]),ISBLANK(DaybyDay[[#This Row],[Retail-Actuals]])))</f>
        <v>1</v>
      </c>
      <c r="Y1131" s="36">
        <f>IF(DaybyDay[[#This Row],[_Space]],IFERROR(
((DaybyDay[[#This Row],[Actual-Rollup]]-DaybyDay[[#This Row],[LY-Rollup]])/DaybyDay[[#This Row],[LY-Rollup]]),0),"")</f>
        <v>0.15288144708174656</v>
      </c>
      <c r="Z1131"/>
      <c r="AA1131" s="37">
        <f>IF(DaybyDay[[#This Row],[_Space]],DaybyDay[[#This Row],[Ret-Act-RU]]/DaybyDay[[#This Row],[Serv-Act-RU]],"")</f>
        <v>0.29961012666752063</v>
      </c>
      <c r="AB1131" s="50">
        <f>IF(DaybyDay[[#This Row],[_Space]],DaybyDay[[#This Row],[RETPEN-Act]]/DaybyDay[[#This Row],[RETPEN-Bud]],"")</f>
        <v>1.2218922105128462</v>
      </c>
      <c r="AC1131" s="37">
        <f>IF(DaybyDay[[#This Row],[_Space]],DaybyDay[[#This Row],[Ret-Bud-RU]]/DaybyDay[[#This Row],[Serv-Bud-RU]],"")</f>
        <v>0.24520176500819973</v>
      </c>
      <c r="AD1131" s="37">
        <f>IF(DaybyDay[[#This Row],[_Space]],DaybyDay[[#This Row],[Ret-LY-RU]]/DaybyDay[[#This Row],[Serv-LY-RU]],"")</f>
        <v>0.18725302574991393</v>
      </c>
      <c r="AE1131" s="30">
        <f>WEEKDAY(DaybyDay[[#This Row],[LY-Date]])</f>
        <v>5</v>
      </c>
      <c r="AF1131" s="38">
        <f>$E$2+_xlfn.DAYS(DaybyDay[[#This Row],[Date]],minDate)</f>
        <v>43496</v>
      </c>
      <c r="AG1131" s="39" cm="1">
        <f t="array" ref="AG1131">IFERROR(INDEX(DaybyDay[],DaybyDay[[#This Row],[FORM_MATCH_HELPER]],8),"")</f>
        <v>22</v>
      </c>
      <c r="AH1131" s="39" cm="1">
        <f t="array" ref="AH1131">IFERROR(INDEX(DaybyDay[],DaybyDay[[#This Row],[FORM_MATCH_HELPER]],10),"")</f>
        <v>4556.42</v>
      </c>
      <c r="AI1131" s="39" cm="1">
        <f t="array" ref="AI1131">IFERROR(INDEX(DaybyDay[],DaybyDay[[#This Row],[FORM_MATCH_HELPER]],12),"")</f>
        <v>4021.5</v>
      </c>
      <c r="AJ1131" s="32">
        <f>IFERROR(DaybyDay[[#This Row],[Serv-LY-RU]]+DaybyDay[[#This Row],[Ret-LY-RU]],"")</f>
        <v>145300.43</v>
      </c>
      <c r="AK11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167514.17000000001</v>
      </c>
      <c r="AL1131" s="77"/>
      <c r="AM1131" s="40" t="str">
        <f>IF(DaybyDay[[#This Row],[Admin Hours]]&gt;0,DaybyDay[[#This Row],[Admin Hours]]*$AM$2+$AM$3,"")</f>
        <v/>
      </c>
      <c r="AN1131" s="40">
        <f>SUMIFS(DaybyDay[Est-Admin-Payroll],DaybyDay[Date],"&gt;="&amp;$C$5,DaybyDay[RowYear],"&gt;="&amp;$C$4,DaybyDay[Date],"&lt;="&amp;DaybyDay[[#This Row],[Date]])</f>
        <v>0</v>
      </c>
      <c r="AO1131" s="41" t="str">
        <f>IF(AND(DaybyDay[[#This Row],[_Space]],ISNUMBER(DaybyDay[[#This Row],[Admin Hours]])),DaybyDay[[#This Row],[Est-Admin-Payroll]]/(DaybyDay[[#This Row],[Service-Actuals]]+DaybyDay[[#This Row],[Retail-Actuals]]),"")</f>
        <v/>
      </c>
      <c r="AP1131" s="41">
        <f>DaybyDay[[#This Row],[Estimated-Payroll-Rollup]]/DaybyDay[[#This Row],[Simple-Forecast]]</f>
        <v>0</v>
      </c>
      <c r="AQ11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38618.460000000006</v>
      </c>
      <c r="AR1131" s="77"/>
      <c r="AS1131" s="40" t="str">
        <f>IF(DaybyDay[[#This Row],[Retail Hours]]&gt;0,DaybyDay[[#This Row],[Retail Hours]]*$AS$2,"")</f>
        <v/>
      </c>
      <c r="AT1131" s="40">
        <f>SUMIFS(DaybyDay[Est-Retail-Payroll],DaybyDay[Date],"&gt;="&amp;$C$5,DaybyDay[RowYear],"&gt;="&amp;$C$4,DaybyDay[Date],"&lt;="&amp;DaybyDay[[#This Row],[Date]])</f>
        <v>0</v>
      </c>
      <c r="AU1131" s="82" t="str">
        <f>IF(AND(DaybyDay[[#This Row],[_Space]],ISNUMBER(DaybyDay[[#This Row],[Retail Hours]])),DaybyDay[[#This Row],[Est-Retail-Payroll]]/(DaybyDay[[#This Row],[Retail-Actuals]]),"")</f>
        <v/>
      </c>
      <c r="AV1131" s="82">
        <f>DaybyDay[[#This Row],[Est-Retail-PayrollRU]]/DaybyDay[[#This Row],[Simple-Forecast-Retail]]</f>
        <v>0</v>
      </c>
      <c r="AW1131" s="8"/>
      <c r="AX1131" s="15"/>
      <c r="AY1131" s="8"/>
    </row>
    <row r="1132" spans="3:51" x14ac:dyDescent="0.25">
      <c r="C1132" s="26" t="str">
        <f>Tools!$C$1</f>
        <v>Example</v>
      </c>
      <c r="D1132" s="27" t="s">
        <v>68</v>
      </c>
      <c r="E1132" s="28">
        <v>2020</v>
      </c>
      <c r="F1132" s="28">
        <f>MATCH(DaybyDay[[#This Row],[RowMonth]],Table3[SummaryMonth],0)</f>
        <v>1</v>
      </c>
      <c r="G1132" s="29">
        <f>MATCH(DaybyDay[[#This Row],[LY-Date]],DaybyDay[Date],0)</f>
        <v>762</v>
      </c>
      <c r="H1132" s="30">
        <f>WEEKDAY(DaybyDay[[#This Row],[Date]])</f>
        <v>6</v>
      </c>
      <c r="I1132" s="31">
        <v>43861</v>
      </c>
      <c r="J1132" s="74">
        <v>32</v>
      </c>
      <c r="K1132" s="32">
        <f>SUMIFS(BudgetSeasonality[365 Seasonality],BudgetSeasonality[MonthAdjustment],DaybyDay[[#This Row],[Date]])*SUMIFS(Budgets[Service-Budget],Budgets[BudgetMonth],DaybyDay[[#This Row],[RowMonth]],Budgets[BudgetYear],DaybyDay[[#This Row],[RowYear]])</f>
        <v>6149.9600386270877</v>
      </c>
      <c r="L1132" s="75">
        <f>5326.6+149</f>
        <v>5475.6</v>
      </c>
      <c r="M1132" s="32">
        <f>INDEX(BudgetSeasonality[365 Seasonality],MATCH(DaybyDay[[#This Row],[Date]],BudgetSeasonality[MonthAdjustment],0))*SUMIFS(Budgets[Retail-Budget],Budgets[BudgetMonth],DaybyDay[[#This Row],[RowMonth]],Budgets[BudgetYear],DaybyDay[[#This Row],[RowYear]])</f>
        <v>1507.9810562012581</v>
      </c>
      <c r="N1132" s="75">
        <v>2342</v>
      </c>
      <c r="O1132" s="33">
        <f>SUMIFS(DaybyDay[Service-Budgets],DaybyDay[Date],"&gt;="&amp;$C$5,DaybyDay[RowYear],"&gt;="&amp;$C$4,DaybyDay[Date],"&lt;="&amp;DaybyDay[[#This Row],[Date]])</f>
        <v>144788.30267645506</v>
      </c>
      <c r="P1132" s="33">
        <f>SUMIFS(DaybyDay[Retail-Budgets],DaybyDay[Date],"&gt;="&amp;$C$5,DaybyDay[RowYear],"&gt;="&amp;$C$4,DaybyDay[Date],"&lt;="&amp;DaybyDay[[#This Row],[Date]])</f>
        <v>35502.34736880823</v>
      </c>
      <c r="Q1132" s="34">
        <f>SUMIFS(DaybyDay[Service-Actuals],DaybyDay[Date],"&gt;="&amp;$C$5,DaybyDay[RowYear],"&gt;="&amp;$C$4,DaybyDay[Date],"&lt;="&amp;DaybyDay[[#This Row],[Date]])</f>
        <v>134371.31</v>
      </c>
      <c r="R1132" s="34">
        <f>SUMIFS(DaybyDay[Retail-Actuals],DaybyDay[Date],"&gt;="&amp;$C$5,DaybyDay[RowYear],"&gt;="&amp;$C$4,DaybyDay[Date],"&lt;="&amp;DaybyDay[[#This Row],[Date]])</f>
        <v>40960.460000000006</v>
      </c>
      <c r="S1132" s="35">
        <f>SUMIFS(DaybyDay[Service-LY],DaybyDay[Date],"&gt;="&amp;$C$5,DaybyDay[RowYear],"&gt;="&amp;$C$4,DaybyDay[Date],"&lt;="&amp;DaybyDay[[#This Row],[Date]])</f>
        <v>127034.51</v>
      </c>
      <c r="T1132" s="35">
        <f>SUMIFS(DaybyDay[Retail-LY],DaybyDay[Date],"&gt;="&amp;$C$5,DaybyDay[RowYear],"&gt;="&amp;$C$4,DaybyDay[Date],"&lt;="&amp;DaybyDay[[#This Row],[Date]])</f>
        <v>23922.219999999998</v>
      </c>
      <c r="U1132" s="32">
        <f>DaybyDay[[#This Row],[Serv-Bud-RU]]+DaybyDay[[#This Row],[Ret-Bud-RU]]</f>
        <v>180290.65004526329</v>
      </c>
      <c r="V1132" s="32">
        <f>DaybyDay[[#This Row],[Serv-Act-RU]]+DaybyDay[[#This Row],[Ret-Act-RU]]</f>
        <v>175331.77000000002</v>
      </c>
      <c r="W1132" s="36">
        <f>IF(DaybyDay[[#This Row],[_Space]],IFERROR(
((DaybyDay[[#This Row],[Actual-Rollup]]-DaybyDay[[#This Row],[Budget-Rollup]])/DaybyDay[[#This Row],[Budget-Rollup]]),0),"")</f>
        <v>-2.7504920771089948E-2</v>
      </c>
      <c r="X1132" t="b">
        <f>NOT(AND(ISBLANK(DaybyDay[[#This Row],[Appts]]),ISBLANK(DaybyDay[[#This Row],[Service-Actuals]]),ISBLANK(DaybyDay[[#This Row],[Retail-Actuals]])))</f>
        <v>1</v>
      </c>
      <c r="Y1132" s="36">
        <f>IF(DaybyDay[[#This Row],[_Space]],IFERROR(
((DaybyDay[[#This Row],[Actual-Rollup]]-DaybyDay[[#This Row],[LY-Rollup]])/DaybyDay[[#This Row],[LY-Rollup]]),0),"")</f>
        <v>0.16147037631247074</v>
      </c>
      <c r="Z1132"/>
      <c r="AA1132" s="37">
        <f>IF(DaybyDay[[#This Row],[_Space]],DaybyDay[[#This Row],[Ret-Act-RU]]/DaybyDay[[#This Row],[Serv-Act-RU]],"")</f>
        <v>0.30483039869150647</v>
      </c>
      <c r="AB1132" s="50">
        <f>IF(DaybyDay[[#This Row],[_Space]],DaybyDay[[#This Row],[RETPEN-Act]]/DaybyDay[[#This Row],[RETPEN-Bud]],"")</f>
        <v>1.2431819105433957</v>
      </c>
      <c r="AC1132" s="37">
        <f>IF(DaybyDay[[#This Row],[_Space]],DaybyDay[[#This Row],[Ret-Bud-RU]]/DaybyDay[[#This Row],[Serv-Bud-RU]],"")</f>
        <v>0.24520176500819973</v>
      </c>
      <c r="AD1132" s="37">
        <f>IF(DaybyDay[[#This Row],[_Space]],DaybyDay[[#This Row],[Ret-LY-RU]]/DaybyDay[[#This Row],[Serv-LY-RU]],"")</f>
        <v>0.18831276634986824</v>
      </c>
      <c r="AE1132" s="30">
        <f>WEEKDAY(DaybyDay[[#This Row],[LY-Date]])</f>
        <v>6</v>
      </c>
      <c r="AF1132" s="38">
        <f>$E$2+_xlfn.DAYS(DaybyDay[[#This Row],[Date]],minDate)</f>
        <v>43497</v>
      </c>
      <c r="AG1132" s="39" cm="1">
        <f t="array" ref="AG1132">IFERROR(INDEX(DaybyDay[],DaybyDay[[#This Row],[FORM_MATCH_HELPER]],8),"")</f>
        <v>21</v>
      </c>
      <c r="AH1132" s="39" cm="1">
        <f t="array" ref="AH1132">IFERROR(INDEX(DaybyDay[],DaybyDay[[#This Row],[FORM_MATCH_HELPER]],10),"")</f>
        <v>4650.8</v>
      </c>
      <c r="AI1132" s="39" cm="1">
        <f t="array" ref="AI1132">IFERROR(INDEX(DaybyDay[],DaybyDay[[#This Row],[FORM_MATCH_HELPER]],12),"")</f>
        <v>1005.5</v>
      </c>
      <c r="AJ1132" s="32">
        <f>IFERROR(DaybyDay[[#This Row],[Serv-LY-RU]]+DaybyDay[[#This Row],[Ret-LY-RU]],"")</f>
        <v>150956.72999999998</v>
      </c>
      <c r="AK11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175331.77000000002</v>
      </c>
      <c r="AL1132" s="77"/>
      <c r="AM1132" s="40" t="str">
        <f>IF(DaybyDay[[#This Row],[Admin Hours]]&gt;0,DaybyDay[[#This Row],[Admin Hours]]*$AM$2+$AM$3,"")</f>
        <v/>
      </c>
      <c r="AN1132" s="40">
        <f>SUMIFS(DaybyDay[Est-Admin-Payroll],DaybyDay[Date],"&gt;="&amp;$C$5,DaybyDay[RowYear],"&gt;="&amp;$C$4,DaybyDay[Date],"&lt;="&amp;DaybyDay[[#This Row],[Date]])</f>
        <v>0</v>
      </c>
      <c r="AO1132" s="41" t="str">
        <f>IF(AND(DaybyDay[[#This Row],[_Space]],ISNUMBER(DaybyDay[[#This Row],[Admin Hours]])),DaybyDay[[#This Row],[Est-Admin-Payroll]]/(DaybyDay[[#This Row],[Service-Actuals]]+DaybyDay[[#This Row],[Retail-Actuals]]),"")</f>
        <v/>
      </c>
      <c r="AP1132" s="41">
        <f>DaybyDay[[#This Row],[Estimated-Payroll-Rollup]]/DaybyDay[[#This Row],[Simple-Forecast]]</f>
        <v>0</v>
      </c>
      <c r="AQ11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40960.460000000006</v>
      </c>
      <c r="AR1132" s="77"/>
      <c r="AS1132" s="40" t="str">
        <f>IF(DaybyDay[[#This Row],[Retail Hours]]&gt;0,DaybyDay[[#This Row],[Retail Hours]]*$AS$2,"")</f>
        <v/>
      </c>
      <c r="AT1132" s="40">
        <f>SUMIFS(DaybyDay[Est-Retail-Payroll],DaybyDay[Date],"&gt;="&amp;$C$5,DaybyDay[RowYear],"&gt;="&amp;$C$4,DaybyDay[Date],"&lt;="&amp;DaybyDay[[#This Row],[Date]])</f>
        <v>0</v>
      </c>
      <c r="AU1132" s="82" t="str">
        <f>IF(AND(DaybyDay[[#This Row],[_Space]],ISNUMBER(DaybyDay[[#This Row],[Retail Hours]])),DaybyDay[[#This Row],[Est-Retail-Payroll]]/(DaybyDay[[#This Row],[Retail-Actuals]]),"")</f>
        <v/>
      </c>
      <c r="AV1132" s="82">
        <f>DaybyDay[[#This Row],[Est-Retail-PayrollRU]]/DaybyDay[[#This Row],[Simple-Forecast-Retail]]</f>
        <v>0</v>
      </c>
      <c r="AW1132" s="8"/>
      <c r="AX1132" s="15"/>
      <c r="AY1132" s="8"/>
    </row>
    <row r="1133" spans="3:51" x14ac:dyDescent="0.25">
      <c r="C1133" s="26" t="str">
        <f>Tools!$C$1</f>
        <v>Example</v>
      </c>
      <c r="D1133" s="27" t="s">
        <v>68</v>
      </c>
      <c r="E1133" s="28">
        <v>2020</v>
      </c>
      <c r="F1133" s="28">
        <f>MATCH(DaybyDay[[#This Row],[RowMonth]],Table3[SummaryMonth],0)</f>
        <v>1</v>
      </c>
      <c r="G1133" s="29">
        <f>MATCH(DaybyDay[[#This Row],[LY-Date]],DaybyDay[Date],0)</f>
        <v>763</v>
      </c>
      <c r="H1133" s="30">
        <f>WEEKDAY(DaybyDay[[#This Row],[Date]])</f>
        <v>7</v>
      </c>
      <c r="I1133" s="31">
        <v>43862</v>
      </c>
      <c r="J1133" s="74">
        <v>64</v>
      </c>
      <c r="K1133" s="32">
        <f>SUMIFS(BudgetSeasonality[365 Seasonality],BudgetSeasonality[MonthAdjustment],DaybyDay[[#This Row],[Date]])*SUMIFS(Budgets[Service-Budget],Budgets[BudgetMonth],DaybyDay[[#This Row],[RowMonth]],Budgets[BudgetYear],DaybyDay[[#This Row],[RowYear]])</f>
        <v>8303.0486698087607</v>
      </c>
      <c r="L1133" s="75">
        <f>11725.9+447</f>
        <v>12172.9</v>
      </c>
      <c r="M1133" s="32">
        <f>INDEX(BudgetSeasonality[365 Seasonality],MATCH(DaybyDay[[#This Row],[Date]],BudgetSeasonality[MonthAdjustment],0))*SUMIFS(Budgets[Retail-Budget],Budgets[BudgetMonth],DaybyDay[[#This Row],[RowMonth]],Budgets[BudgetYear],DaybyDay[[#This Row],[RowYear]])</f>
        <v>2035.9221887860931</v>
      </c>
      <c r="N1133" s="75">
        <v>3284.1</v>
      </c>
      <c r="O1133" s="33">
        <f>SUMIFS(DaybyDay[Service-Budgets],DaybyDay[Date],"&gt;="&amp;$C$5,DaybyDay[RowYear],"&gt;="&amp;$C$4,DaybyDay[Date],"&lt;="&amp;DaybyDay[[#This Row],[Date]])</f>
        <v>153091.35134626381</v>
      </c>
      <c r="P1133" s="33">
        <f>SUMIFS(DaybyDay[Retail-Budgets],DaybyDay[Date],"&gt;="&amp;$C$5,DaybyDay[RowYear],"&gt;="&amp;$C$4,DaybyDay[Date],"&lt;="&amp;DaybyDay[[#This Row],[Date]])</f>
        <v>37538.269557594322</v>
      </c>
      <c r="Q1133" s="34">
        <f>SUMIFS(DaybyDay[Service-Actuals],DaybyDay[Date],"&gt;="&amp;$C$5,DaybyDay[RowYear],"&gt;="&amp;$C$4,DaybyDay[Date],"&lt;="&amp;DaybyDay[[#This Row],[Date]])</f>
        <v>146544.21</v>
      </c>
      <c r="R1133" s="34">
        <f>SUMIFS(DaybyDay[Retail-Actuals],DaybyDay[Date],"&gt;="&amp;$C$5,DaybyDay[RowYear],"&gt;="&amp;$C$4,DaybyDay[Date],"&lt;="&amp;DaybyDay[[#This Row],[Date]])</f>
        <v>44244.560000000005</v>
      </c>
      <c r="S1133" s="35">
        <f>SUMIFS(DaybyDay[Service-LY],DaybyDay[Date],"&gt;="&amp;$C$5,DaybyDay[RowYear],"&gt;="&amp;$C$4,DaybyDay[Date],"&lt;="&amp;DaybyDay[[#This Row],[Date]])</f>
        <v>135500.49</v>
      </c>
      <c r="T1133" s="35">
        <f>SUMIFS(DaybyDay[Retail-LY],DaybyDay[Date],"&gt;="&amp;$C$5,DaybyDay[RowYear],"&gt;="&amp;$C$4,DaybyDay[Date],"&lt;="&amp;DaybyDay[[#This Row],[Date]])</f>
        <v>28958.17</v>
      </c>
      <c r="U1133" s="32">
        <f>DaybyDay[[#This Row],[Serv-Bud-RU]]+DaybyDay[[#This Row],[Ret-Bud-RU]]</f>
        <v>190629.62090385813</v>
      </c>
      <c r="V1133" s="32">
        <f>DaybyDay[[#This Row],[Serv-Act-RU]]+DaybyDay[[#This Row],[Ret-Act-RU]]</f>
        <v>190788.77</v>
      </c>
      <c r="W1133" s="36">
        <f>IF(DaybyDay[[#This Row],[_Space]],IFERROR(
((DaybyDay[[#This Row],[Actual-Rollup]]-DaybyDay[[#This Row],[Budget-Rollup]])/DaybyDay[[#This Row],[Budget-Rollup]]),0),"")</f>
        <v>8.3486026666404261E-4</v>
      </c>
      <c r="X1133" t="b">
        <f>NOT(AND(ISBLANK(DaybyDay[[#This Row],[Appts]]),ISBLANK(DaybyDay[[#This Row],[Service-Actuals]]),ISBLANK(DaybyDay[[#This Row],[Retail-Actuals]])))</f>
        <v>1</v>
      </c>
      <c r="Y1133" s="36">
        <f>IF(DaybyDay[[#This Row],[_Space]],IFERROR(
((DaybyDay[[#This Row],[Actual-Rollup]]-DaybyDay[[#This Row],[LY-Rollup]])/DaybyDay[[#This Row],[LY-Rollup]]),0),"")</f>
        <v>0.16010169364142951</v>
      </c>
      <c r="Z1133"/>
      <c r="AA1133" s="37">
        <f>IF(DaybyDay[[#This Row],[_Space]],DaybyDay[[#This Row],[Ret-Act-RU]]/DaybyDay[[#This Row],[Serv-Act-RU]],"")</f>
        <v>0.3019195367732373</v>
      </c>
      <c r="AB1133" s="50">
        <f>IF(DaybyDay[[#This Row],[_Space]],DaybyDay[[#This Row],[RETPEN-Act]]/DaybyDay[[#This Row],[RETPEN-Bud]],"")</f>
        <v>1.2313106178625626</v>
      </c>
      <c r="AC1133" s="37">
        <f>IF(DaybyDay[[#This Row],[_Space]],DaybyDay[[#This Row],[Ret-Bud-RU]]/DaybyDay[[#This Row],[Serv-Bud-RU]],"")</f>
        <v>0.24520176500819973</v>
      </c>
      <c r="AD1133" s="37">
        <f>IF(DaybyDay[[#This Row],[_Space]],DaybyDay[[#This Row],[Ret-LY-RU]]/DaybyDay[[#This Row],[Serv-LY-RU]],"")</f>
        <v>0.21371265889887189</v>
      </c>
      <c r="AE1133" s="30">
        <f>WEEKDAY(DaybyDay[[#This Row],[LY-Date]])</f>
        <v>7</v>
      </c>
      <c r="AF1133" s="38">
        <f>$E$2+_xlfn.DAYS(DaybyDay[[#This Row],[Date]],minDate)</f>
        <v>43498</v>
      </c>
      <c r="AG1133" s="39" cm="1">
        <f t="array" ref="AG1133">IFERROR(INDEX(DaybyDay[],DaybyDay[[#This Row],[FORM_MATCH_HELPER]],8),"")</f>
        <v>47</v>
      </c>
      <c r="AH1133" s="39" cm="1">
        <f t="array" ref="AH1133">IFERROR(INDEX(DaybyDay[],DaybyDay[[#This Row],[FORM_MATCH_HELPER]],10),"")</f>
        <v>8465.98</v>
      </c>
      <c r="AI1133" s="39" cm="1">
        <f t="array" ref="AI1133">IFERROR(INDEX(DaybyDay[],DaybyDay[[#This Row],[FORM_MATCH_HELPER]],12),"")</f>
        <v>5035.95</v>
      </c>
      <c r="AJ1133" s="32">
        <f>IFERROR(DaybyDay[[#This Row],[Serv-LY-RU]]+DaybyDay[[#This Row],[Ret-LY-RU]],"")</f>
        <v>164458.65999999997</v>
      </c>
      <c r="AK11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190788.77</v>
      </c>
      <c r="AL1133" s="77"/>
      <c r="AM1133" s="40" t="str">
        <f>IF(DaybyDay[[#This Row],[Admin Hours]]&gt;0,DaybyDay[[#This Row],[Admin Hours]]*$AM$2+$AM$3,"")</f>
        <v/>
      </c>
      <c r="AN1133" s="40">
        <f>SUMIFS(DaybyDay[Est-Admin-Payroll],DaybyDay[Date],"&gt;="&amp;$C$5,DaybyDay[RowYear],"&gt;="&amp;$C$4,DaybyDay[Date],"&lt;="&amp;DaybyDay[[#This Row],[Date]])</f>
        <v>0</v>
      </c>
      <c r="AO1133" s="41" t="str">
        <f>IF(AND(DaybyDay[[#This Row],[_Space]],ISNUMBER(DaybyDay[[#This Row],[Admin Hours]])),DaybyDay[[#This Row],[Est-Admin-Payroll]]/(DaybyDay[[#This Row],[Service-Actuals]]+DaybyDay[[#This Row],[Retail-Actuals]]),"")</f>
        <v/>
      </c>
      <c r="AP1133" s="41">
        <f>DaybyDay[[#This Row],[Estimated-Payroll-Rollup]]/DaybyDay[[#This Row],[Simple-Forecast]]</f>
        <v>0</v>
      </c>
      <c r="AQ11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44244.560000000005</v>
      </c>
      <c r="AR1133" s="77"/>
      <c r="AS1133" s="40" t="str">
        <f>IF(DaybyDay[[#This Row],[Retail Hours]]&gt;0,DaybyDay[[#This Row],[Retail Hours]]*$AS$2,"")</f>
        <v/>
      </c>
      <c r="AT1133" s="40">
        <f>SUMIFS(DaybyDay[Est-Retail-Payroll],DaybyDay[Date],"&gt;="&amp;$C$5,DaybyDay[RowYear],"&gt;="&amp;$C$4,DaybyDay[Date],"&lt;="&amp;DaybyDay[[#This Row],[Date]])</f>
        <v>0</v>
      </c>
      <c r="AU1133" s="82" t="str">
        <f>IF(AND(DaybyDay[[#This Row],[_Space]],ISNUMBER(DaybyDay[[#This Row],[Retail Hours]])),DaybyDay[[#This Row],[Est-Retail-Payroll]]/(DaybyDay[[#This Row],[Retail-Actuals]]),"")</f>
        <v/>
      </c>
      <c r="AV1133" s="82">
        <f>DaybyDay[[#This Row],[Est-Retail-PayrollRU]]/DaybyDay[[#This Row],[Simple-Forecast-Retail]]</f>
        <v>0</v>
      </c>
      <c r="AW1133" s="8"/>
      <c r="AX1133" s="15"/>
      <c r="AY1133" s="8"/>
    </row>
    <row r="1134" spans="3:51" hidden="1" x14ac:dyDescent="0.25">
      <c r="C1134" s="26" t="str">
        <f>Tools!$C$1</f>
        <v>Example</v>
      </c>
      <c r="D1134" s="27" t="s">
        <v>69</v>
      </c>
      <c r="E1134" s="28">
        <v>2020</v>
      </c>
      <c r="F1134" s="28">
        <f>MATCH(DaybyDay[[#This Row],[RowMonth]],Table3[SummaryMonth],0)</f>
        <v>2</v>
      </c>
      <c r="G1134" s="29">
        <f>MATCH(DaybyDay[[#This Row],[LY-Date]],DaybyDay[Date],0)</f>
        <v>764</v>
      </c>
      <c r="H1134" s="30">
        <f>WEEKDAY(DaybyDay[[#This Row],[Date]])</f>
        <v>1</v>
      </c>
      <c r="I1134" s="31">
        <v>43863</v>
      </c>
      <c r="J1134" s="74">
        <v>30</v>
      </c>
      <c r="K1134" s="32">
        <f>SUMIFS(BudgetSeasonality[365 Seasonality],BudgetSeasonality[MonthAdjustment],DaybyDay[[#This Row],[Date]])*SUMIFS(Budgets[Service-Budget],Budgets[BudgetMonth],DaybyDay[[#This Row],[RowMonth]],Budgets[BudgetYear],DaybyDay[[#This Row],[RowYear]])</f>
        <v>7167.3974465496995</v>
      </c>
      <c r="L1134" s="75">
        <v>5808.8</v>
      </c>
      <c r="M1134" s="32">
        <f>INDEX(BudgetSeasonality[365 Seasonality],MATCH(DaybyDay[[#This Row],[Date]],BudgetSeasonality[MonthAdjustment],0))*SUMIFS(Budgets[Retail-Budget],Budgets[BudgetMonth],DaybyDay[[#This Row],[RowMonth]],Budgets[BudgetYear],DaybyDay[[#This Row],[RowYear]])</f>
        <v>1711.0583918728187</v>
      </c>
      <c r="N1134" s="75">
        <v>701.2</v>
      </c>
      <c r="O1134" s="33">
        <f>SUMIFS(DaybyDay[Service-Budgets],DaybyDay[Date],"&gt;="&amp;$C$5,DaybyDay[RowYear],"&gt;="&amp;$C$4,DaybyDay[Date],"&lt;="&amp;DaybyDay[[#This Row],[Date]])</f>
        <v>160258.74879281351</v>
      </c>
      <c r="P1134" s="33">
        <f>SUMIFS(DaybyDay[Retail-Budgets],DaybyDay[Date],"&gt;="&amp;$C$5,DaybyDay[RowYear],"&gt;="&amp;$C$4,DaybyDay[Date],"&lt;="&amp;DaybyDay[[#This Row],[Date]])</f>
        <v>39249.327949467137</v>
      </c>
      <c r="Q1134" s="34">
        <f>SUMIFS(DaybyDay[Service-Actuals],DaybyDay[Date],"&gt;="&amp;$C$5,DaybyDay[RowYear],"&gt;="&amp;$C$4,DaybyDay[Date],"&lt;="&amp;DaybyDay[[#This Row],[Date]])</f>
        <v>152353.00999999998</v>
      </c>
      <c r="R1134" s="34">
        <f>SUMIFS(DaybyDay[Retail-Actuals],DaybyDay[Date],"&gt;="&amp;$C$5,DaybyDay[RowYear],"&gt;="&amp;$C$4,DaybyDay[Date],"&lt;="&amp;DaybyDay[[#This Row],[Date]])</f>
        <v>44945.760000000002</v>
      </c>
      <c r="S1134" s="35">
        <f>SUMIFS(DaybyDay[Service-LY],DaybyDay[Date],"&gt;="&amp;$C$5,DaybyDay[RowYear],"&gt;="&amp;$C$4,DaybyDay[Date],"&lt;="&amp;DaybyDay[[#This Row],[Date]])</f>
        <v>143603.24</v>
      </c>
      <c r="T1134" s="35">
        <f>SUMIFS(DaybyDay[Retail-LY],DaybyDay[Date],"&gt;="&amp;$C$5,DaybyDay[RowYear],"&gt;="&amp;$C$4,DaybyDay[Date],"&lt;="&amp;DaybyDay[[#This Row],[Date]])</f>
        <v>31509.17</v>
      </c>
      <c r="U1134" s="32">
        <f>DaybyDay[[#This Row],[Serv-Bud-RU]]+DaybyDay[[#This Row],[Ret-Bud-RU]]</f>
        <v>199508.07674228065</v>
      </c>
      <c r="V1134" s="32">
        <f>DaybyDay[[#This Row],[Serv-Act-RU]]+DaybyDay[[#This Row],[Ret-Act-RU]]</f>
        <v>197298.77</v>
      </c>
      <c r="W1134" s="36">
        <f>IF(DaybyDay[[#This Row],[_Space]],IFERROR(
((DaybyDay[[#This Row],[Actual-Rollup]]-DaybyDay[[#This Row],[Budget-Rollup]])/DaybyDay[[#This Row],[Budget-Rollup]]),0),"")</f>
        <v>-1.1073770938780531E-2</v>
      </c>
      <c r="X1134" t="b">
        <f>NOT(AND(ISBLANK(DaybyDay[[#This Row],[Appts]]),ISBLANK(DaybyDay[[#This Row],[Service-Actuals]]),ISBLANK(DaybyDay[[#This Row],[Retail-Actuals]])))</f>
        <v>1</v>
      </c>
      <c r="Y1134" s="36">
        <f>IF(DaybyDay[[#This Row],[_Space]],IFERROR(
((DaybyDay[[#This Row],[Actual-Rollup]]-DaybyDay[[#This Row],[LY-Rollup]])/DaybyDay[[#This Row],[LY-Rollup]]),0),"")</f>
        <v>0.12669781656251558</v>
      </c>
      <c r="Z1134"/>
      <c r="AA1134" s="37">
        <f>IF(DaybyDay[[#This Row],[_Space]],DaybyDay[[#This Row],[Ret-Act-RU]]/DaybyDay[[#This Row],[Serv-Act-RU]],"")</f>
        <v>0.2950106466554222</v>
      </c>
      <c r="AB1134" s="50">
        <f>IF(DaybyDay[[#This Row],[_Space]],DaybyDay[[#This Row],[RETPEN-Act]]/DaybyDay[[#This Row],[RETPEN-Bud]],"")</f>
        <v>1.2045566022028829</v>
      </c>
      <c r="AC1134" s="37">
        <f>IF(DaybyDay[[#This Row],[_Space]],DaybyDay[[#This Row],[Ret-Bud-RU]]/DaybyDay[[#This Row],[Serv-Bud-RU]],"")</f>
        <v>0.24491223253096556</v>
      </c>
      <c r="AD1134" s="37">
        <f>IF(DaybyDay[[#This Row],[_Space]],DaybyDay[[#This Row],[Ret-LY-RU]]/DaybyDay[[#This Row],[Serv-LY-RU]],"")</f>
        <v>0.21941823875283037</v>
      </c>
      <c r="AE1134" s="30">
        <f>WEEKDAY(DaybyDay[[#This Row],[LY-Date]])</f>
        <v>1</v>
      </c>
      <c r="AF1134" s="38">
        <f>$E$2+_xlfn.DAYS(DaybyDay[[#This Row],[Date]],minDate)</f>
        <v>43499</v>
      </c>
      <c r="AG1134" s="39" cm="1">
        <f t="array" ref="AG1134">IFERROR(INDEX(DaybyDay[],DaybyDay[[#This Row],[FORM_MATCH_HELPER]],8),"")</f>
        <v>40</v>
      </c>
      <c r="AH1134" s="39" cm="1">
        <f t="array" ref="AH1134">IFERROR(INDEX(DaybyDay[],DaybyDay[[#This Row],[FORM_MATCH_HELPER]],10),"")</f>
        <v>8102.75</v>
      </c>
      <c r="AI1134" s="39" cm="1">
        <f t="array" ref="AI1134">IFERROR(INDEX(DaybyDay[],DaybyDay[[#This Row],[FORM_MATCH_HELPER]],12),"")</f>
        <v>2551</v>
      </c>
      <c r="AJ1134" s="32">
        <f>IFERROR(DaybyDay[[#This Row],[Serv-LY-RU]]+DaybyDay[[#This Row],[Ret-LY-RU]],"")</f>
        <v>175112.40999999997</v>
      </c>
      <c r="AK11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197298.77</v>
      </c>
      <c r="AL1134" s="77"/>
      <c r="AM1134" s="40" t="str">
        <f>IF(DaybyDay[[#This Row],[Admin Hours]]&gt;0,DaybyDay[[#This Row],[Admin Hours]]*$AM$2+$AM$3,"")</f>
        <v/>
      </c>
      <c r="AN1134" s="40">
        <f>SUMIFS(DaybyDay[Est-Admin-Payroll],DaybyDay[Date],"&gt;="&amp;$C$5,DaybyDay[RowYear],"&gt;="&amp;$C$4,DaybyDay[Date],"&lt;="&amp;DaybyDay[[#This Row],[Date]])</f>
        <v>0</v>
      </c>
      <c r="AO1134" s="41" t="str">
        <f>IF(AND(DaybyDay[[#This Row],[_Space]],ISNUMBER(DaybyDay[[#This Row],[Admin Hours]])),DaybyDay[[#This Row],[Est-Admin-Payroll]]/(DaybyDay[[#This Row],[Service-Actuals]]+DaybyDay[[#This Row],[Retail-Actuals]]),"")</f>
        <v/>
      </c>
      <c r="AP1134" s="41">
        <f>DaybyDay[[#This Row],[Estimated-Payroll-Rollup]]/DaybyDay[[#This Row],[Simple-Forecast]]</f>
        <v>0</v>
      </c>
      <c r="AQ11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44945.760000000002</v>
      </c>
      <c r="AR1134" s="77"/>
      <c r="AS1134" s="40" t="str">
        <f>IF(DaybyDay[[#This Row],[Retail Hours]]&gt;0,DaybyDay[[#This Row],[Retail Hours]]*$AS$2,"")</f>
        <v/>
      </c>
      <c r="AT1134" s="40">
        <f>SUMIFS(DaybyDay[Est-Retail-Payroll],DaybyDay[Date],"&gt;="&amp;$C$5,DaybyDay[RowYear],"&gt;="&amp;$C$4,DaybyDay[Date],"&lt;="&amp;DaybyDay[[#This Row],[Date]])</f>
        <v>0</v>
      </c>
      <c r="AU1134" s="82" t="str">
        <f>IF(AND(DaybyDay[[#This Row],[_Space]],ISNUMBER(DaybyDay[[#This Row],[Retail Hours]])),DaybyDay[[#This Row],[Est-Retail-Payroll]]/(DaybyDay[[#This Row],[Retail-Actuals]]),"")</f>
        <v/>
      </c>
      <c r="AV1134" s="82">
        <f>DaybyDay[[#This Row],[Est-Retail-PayrollRU]]/DaybyDay[[#This Row],[Simple-Forecast-Retail]]</f>
        <v>0</v>
      </c>
      <c r="AW1134" s="8"/>
      <c r="AX1134" s="15"/>
      <c r="AY1134" s="8"/>
    </row>
    <row r="1135" spans="3:51" hidden="1" x14ac:dyDescent="0.25">
      <c r="C1135" s="26" t="str">
        <f>Tools!$C$1</f>
        <v>Example</v>
      </c>
      <c r="D1135" s="27" t="s">
        <v>69</v>
      </c>
      <c r="E1135" s="28">
        <v>2020</v>
      </c>
      <c r="F1135" s="28">
        <f>MATCH(DaybyDay[[#This Row],[RowMonth]],Table3[SummaryMonth],0)</f>
        <v>2</v>
      </c>
      <c r="G1135" s="29">
        <f>MATCH(DaybyDay[[#This Row],[LY-Date]],DaybyDay[Date],0)</f>
        <v>765</v>
      </c>
      <c r="H1135" s="30">
        <f>WEEKDAY(DaybyDay[[#This Row],[Date]])</f>
        <v>2</v>
      </c>
      <c r="I1135" s="31">
        <v>43864</v>
      </c>
      <c r="J1135" s="74">
        <v>10</v>
      </c>
      <c r="K1135" s="32">
        <f>SUMIFS(BudgetSeasonality[365 Seasonality],BudgetSeasonality[MonthAdjustment],DaybyDay[[#This Row],[Date]])*SUMIFS(Budgets[Service-Budget],Budgets[BudgetMonth],DaybyDay[[#This Row],[RowMonth]],Budgets[BudgetYear],DaybyDay[[#This Row],[RowYear]])</f>
        <v>4759.5807204976509</v>
      </c>
      <c r="L1135" s="75">
        <v>1495.4</v>
      </c>
      <c r="M1135" s="32">
        <f>INDEX(BudgetSeasonality[365 Seasonality],MATCH(DaybyDay[[#This Row],[Date]],BudgetSeasonality[MonthAdjustment],0))*SUMIFS(Budgets[Retail-Budget],Budgets[BudgetMonth],DaybyDay[[#This Row],[RowMonth]],Budgets[BudgetYear],DaybyDay[[#This Row],[RowYear]])</f>
        <v>1136.2451425829565</v>
      </c>
      <c r="N1135" s="75">
        <v>50.5</v>
      </c>
      <c r="O1135" s="33">
        <f>SUMIFS(DaybyDay[Service-Budgets],DaybyDay[Date],"&gt;="&amp;$C$5,DaybyDay[RowYear],"&gt;="&amp;$C$4,DaybyDay[Date],"&lt;="&amp;DaybyDay[[#This Row],[Date]])</f>
        <v>165018.32951331115</v>
      </c>
      <c r="P1135" s="33">
        <f>SUMIFS(DaybyDay[Retail-Budgets],DaybyDay[Date],"&gt;="&amp;$C$5,DaybyDay[RowYear],"&gt;="&amp;$C$4,DaybyDay[Date],"&lt;="&amp;DaybyDay[[#This Row],[Date]])</f>
        <v>40385.573092050094</v>
      </c>
      <c r="Q1135" s="34">
        <f>SUMIFS(DaybyDay[Service-Actuals],DaybyDay[Date],"&gt;="&amp;$C$5,DaybyDay[RowYear],"&gt;="&amp;$C$4,DaybyDay[Date],"&lt;="&amp;DaybyDay[[#This Row],[Date]])</f>
        <v>153848.40999999997</v>
      </c>
      <c r="R1135" s="34">
        <f>SUMIFS(DaybyDay[Retail-Actuals],DaybyDay[Date],"&gt;="&amp;$C$5,DaybyDay[RowYear],"&gt;="&amp;$C$4,DaybyDay[Date],"&lt;="&amp;DaybyDay[[#This Row],[Date]])</f>
        <v>44996.26</v>
      </c>
      <c r="S1135" s="35">
        <f>SUMIFS(DaybyDay[Service-LY],DaybyDay[Date],"&gt;="&amp;$C$5,DaybyDay[RowYear],"&gt;="&amp;$C$4,DaybyDay[Date],"&lt;="&amp;DaybyDay[[#This Row],[Date]])</f>
        <v>148060.84</v>
      </c>
      <c r="T1135" s="35">
        <f>SUMIFS(DaybyDay[Retail-LY],DaybyDay[Date],"&gt;="&amp;$C$5,DaybyDay[RowYear],"&gt;="&amp;$C$4,DaybyDay[Date],"&lt;="&amp;DaybyDay[[#This Row],[Date]])</f>
        <v>32302.17</v>
      </c>
      <c r="U1135" s="32">
        <f>DaybyDay[[#This Row],[Serv-Bud-RU]]+DaybyDay[[#This Row],[Ret-Bud-RU]]</f>
        <v>205403.90260536125</v>
      </c>
      <c r="V1135" s="32">
        <f>DaybyDay[[#This Row],[Serv-Act-RU]]+DaybyDay[[#This Row],[Ret-Act-RU]]</f>
        <v>198844.66999999998</v>
      </c>
      <c r="W1135" s="36">
        <f>IF(DaybyDay[[#This Row],[_Space]],IFERROR(
((DaybyDay[[#This Row],[Actual-Rollup]]-DaybyDay[[#This Row],[Budget-Rollup]])/DaybyDay[[#This Row],[Budget-Rollup]]),0),"")</f>
        <v>-3.1933339737772154E-2</v>
      </c>
      <c r="X1135" t="b">
        <f>NOT(AND(ISBLANK(DaybyDay[[#This Row],[Appts]]),ISBLANK(DaybyDay[[#This Row],[Service-Actuals]]),ISBLANK(DaybyDay[[#This Row],[Retail-Actuals]])))</f>
        <v>1</v>
      </c>
      <c r="Y1135" s="36">
        <f>IF(DaybyDay[[#This Row],[_Space]],IFERROR(
((DaybyDay[[#This Row],[Actual-Rollup]]-DaybyDay[[#This Row],[LY-Rollup]])/DaybyDay[[#This Row],[LY-Rollup]]),0),"")</f>
        <v>0.10246923690173486</v>
      </c>
      <c r="Z1135"/>
      <c r="AA1135" s="37">
        <f>IF(DaybyDay[[#This Row],[_Space]],DaybyDay[[#This Row],[Ret-Act-RU]]/DaybyDay[[#This Row],[Serv-Act-RU]],"")</f>
        <v>0.29247140090690577</v>
      </c>
      <c r="AB1135" s="50">
        <f>IF(DaybyDay[[#This Row],[_Space]],DaybyDay[[#This Row],[RETPEN-Act]]/DaybyDay[[#This Row],[RETPEN-Bud]],"")</f>
        <v>1.1950589854963856</v>
      </c>
      <c r="AC1135" s="37">
        <f>IF(DaybyDay[[#This Row],[_Space]],DaybyDay[[#This Row],[Ret-Bud-RU]]/DaybyDay[[#This Row],[Serv-Bud-RU]],"")</f>
        <v>0.24473386205738074</v>
      </c>
      <c r="AD1135" s="37">
        <f>IF(DaybyDay[[#This Row],[_Space]],DaybyDay[[#This Row],[Ret-LY-RU]]/DaybyDay[[#This Row],[Serv-LY-RU]],"")</f>
        <v>0.2181682205774329</v>
      </c>
      <c r="AE1135" s="30">
        <f>WEEKDAY(DaybyDay[[#This Row],[LY-Date]])</f>
        <v>2</v>
      </c>
      <c r="AF1135" s="38">
        <f>$E$2+_xlfn.DAYS(DaybyDay[[#This Row],[Date]],minDate)</f>
        <v>43500</v>
      </c>
      <c r="AG1135" s="39" cm="1">
        <f t="array" ref="AG1135">IFERROR(INDEX(DaybyDay[],DaybyDay[[#This Row],[FORM_MATCH_HELPER]],8),"")</f>
        <v>18</v>
      </c>
      <c r="AH1135" s="39" cm="1">
        <f t="array" ref="AH1135">IFERROR(INDEX(DaybyDay[],DaybyDay[[#This Row],[FORM_MATCH_HELPER]],10),"")</f>
        <v>4457.6000000000004</v>
      </c>
      <c r="AI1135" s="39" cm="1">
        <f t="array" ref="AI1135">IFERROR(INDEX(DaybyDay[],DaybyDay[[#This Row],[FORM_MATCH_HELPER]],12),"")</f>
        <v>793</v>
      </c>
      <c r="AJ1135" s="32">
        <f>IFERROR(DaybyDay[[#This Row],[Serv-LY-RU]]+DaybyDay[[#This Row],[Ret-LY-RU]],"")</f>
        <v>180363.01</v>
      </c>
      <c r="AK11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198844.66999999998</v>
      </c>
      <c r="AL1135" s="77"/>
      <c r="AM1135" s="40" t="str">
        <f>IF(DaybyDay[[#This Row],[Admin Hours]]&gt;0,DaybyDay[[#This Row],[Admin Hours]]*$AM$2+$AM$3,"")</f>
        <v/>
      </c>
      <c r="AN1135" s="40">
        <f>SUMIFS(DaybyDay[Est-Admin-Payroll],DaybyDay[Date],"&gt;="&amp;$C$5,DaybyDay[RowYear],"&gt;="&amp;$C$4,DaybyDay[Date],"&lt;="&amp;DaybyDay[[#This Row],[Date]])</f>
        <v>0</v>
      </c>
      <c r="AO1135" s="41" t="str">
        <f>IF(AND(DaybyDay[[#This Row],[_Space]],ISNUMBER(DaybyDay[[#This Row],[Admin Hours]])),DaybyDay[[#This Row],[Est-Admin-Payroll]]/(DaybyDay[[#This Row],[Service-Actuals]]+DaybyDay[[#This Row],[Retail-Actuals]]),"")</f>
        <v/>
      </c>
      <c r="AP1135" s="41">
        <f>DaybyDay[[#This Row],[Estimated-Payroll-Rollup]]/DaybyDay[[#This Row],[Simple-Forecast]]</f>
        <v>0</v>
      </c>
      <c r="AQ11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44996.26</v>
      </c>
      <c r="AR1135" s="77"/>
      <c r="AS1135" s="40" t="str">
        <f>IF(DaybyDay[[#This Row],[Retail Hours]]&gt;0,DaybyDay[[#This Row],[Retail Hours]]*$AS$2,"")</f>
        <v/>
      </c>
      <c r="AT1135" s="40">
        <f>SUMIFS(DaybyDay[Est-Retail-Payroll],DaybyDay[Date],"&gt;="&amp;$C$5,DaybyDay[RowYear],"&gt;="&amp;$C$4,DaybyDay[Date],"&lt;="&amp;DaybyDay[[#This Row],[Date]])</f>
        <v>0</v>
      </c>
      <c r="AU1135" s="82" t="str">
        <f>IF(AND(DaybyDay[[#This Row],[_Space]],ISNUMBER(DaybyDay[[#This Row],[Retail Hours]])),DaybyDay[[#This Row],[Est-Retail-Payroll]]/(DaybyDay[[#This Row],[Retail-Actuals]]),"")</f>
        <v/>
      </c>
      <c r="AV1135" s="82">
        <f>DaybyDay[[#This Row],[Est-Retail-PayrollRU]]/DaybyDay[[#This Row],[Simple-Forecast-Retail]]</f>
        <v>0</v>
      </c>
      <c r="AW1135" s="8"/>
      <c r="AX1135" s="15"/>
      <c r="AY1135" s="8"/>
    </row>
    <row r="1136" spans="3:51" hidden="1" x14ac:dyDescent="0.25">
      <c r="C1136" s="26" t="str">
        <f>Tools!$C$1</f>
        <v>Example</v>
      </c>
      <c r="D1136" s="27" t="s">
        <v>69</v>
      </c>
      <c r="E1136" s="28">
        <v>2020</v>
      </c>
      <c r="F1136" s="28">
        <f>MATCH(DaybyDay[[#This Row],[RowMonth]],Table3[SummaryMonth],0)</f>
        <v>2</v>
      </c>
      <c r="G1136" s="29">
        <f>MATCH(DaybyDay[[#This Row],[LY-Date]],DaybyDay[Date],0)</f>
        <v>766</v>
      </c>
      <c r="H1136" s="30">
        <f>WEEKDAY(DaybyDay[[#This Row],[Date]])</f>
        <v>3</v>
      </c>
      <c r="I1136" s="31">
        <v>43865</v>
      </c>
      <c r="J1136" s="74">
        <v>16</v>
      </c>
      <c r="K1136" s="32">
        <f>SUMIFS(BudgetSeasonality[365 Seasonality],BudgetSeasonality[MonthAdjustment],DaybyDay[[#This Row],[Date]])*SUMIFS(Budgets[Service-Budget],Budgets[BudgetMonth],DaybyDay[[#This Row],[RowMonth]],Budgets[BudgetYear],DaybyDay[[#This Row],[RowYear]])</f>
        <v>4904.6950578693913</v>
      </c>
      <c r="L1136" s="75">
        <v>3384.2</v>
      </c>
      <c r="M1136" s="32">
        <f>INDEX(BudgetSeasonality[365 Seasonality],MATCH(DaybyDay[[#This Row],[Date]],BudgetSeasonality[MonthAdjustment],0))*SUMIFS(Budgets[Retail-Budget],Budgets[BudgetMonth],DaybyDay[[#This Row],[RowMonth]],Budgets[BudgetYear],DaybyDay[[#This Row],[RowYear]])</f>
        <v>1170.8879967838923</v>
      </c>
      <c r="N1136" s="75">
        <v>676.8</v>
      </c>
      <c r="O1136" s="33">
        <f>SUMIFS(DaybyDay[Service-Budgets],DaybyDay[Date],"&gt;="&amp;$C$5,DaybyDay[RowYear],"&gt;="&amp;$C$4,DaybyDay[Date],"&lt;="&amp;DaybyDay[[#This Row],[Date]])</f>
        <v>169923.02457118055</v>
      </c>
      <c r="P1136" s="33">
        <f>SUMIFS(DaybyDay[Retail-Budgets],DaybyDay[Date],"&gt;="&amp;$C$5,DaybyDay[RowYear],"&gt;="&amp;$C$4,DaybyDay[Date],"&lt;="&amp;DaybyDay[[#This Row],[Date]])</f>
        <v>41556.461088833988</v>
      </c>
      <c r="Q1136" s="34">
        <f>SUMIFS(DaybyDay[Service-Actuals],DaybyDay[Date],"&gt;="&amp;$C$5,DaybyDay[RowYear],"&gt;="&amp;$C$4,DaybyDay[Date],"&lt;="&amp;DaybyDay[[#This Row],[Date]])</f>
        <v>157232.60999999999</v>
      </c>
      <c r="R1136" s="34">
        <f>SUMIFS(DaybyDay[Retail-Actuals],DaybyDay[Date],"&gt;="&amp;$C$5,DaybyDay[RowYear],"&gt;="&amp;$C$4,DaybyDay[Date],"&lt;="&amp;DaybyDay[[#This Row],[Date]])</f>
        <v>45673.060000000005</v>
      </c>
      <c r="S1136" s="35">
        <f>SUMIFS(DaybyDay[Service-LY],DaybyDay[Date],"&gt;="&amp;$C$5,DaybyDay[RowYear],"&gt;="&amp;$C$4,DaybyDay[Date],"&lt;="&amp;DaybyDay[[#This Row],[Date]])</f>
        <v>151461.88999999998</v>
      </c>
      <c r="T1136" s="35">
        <f>SUMIFS(DaybyDay[Retail-LY],DaybyDay[Date],"&gt;="&amp;$C$5,DaybyDay[RowYear],"&gt;="&amp;$C$4,DaybyDay[Date],"&lt;="&amp;DaybyDay[[#This Row],[Date]])</f>
        <v>33267.67</v>
      </c>
      <c r="U1136" s="32">
        <f>DaybyDay[[#This Row],[Serv-Bud-RU]]+DaybyDay[[#This Row],[Ret-Bud-RU]]</f>
        <v>211479.48566001453</v>
      </c>
      <c r="V1136" s="32">
        <f>DaybyDay[[#This Row],[Serv-Act-RU]]+DaybyDay[[#This Row],[Ret-Act-RU]]</f>
        <v>202905.66999999998</v>
      </c>
      <c r="W1136" s="36">
        <f>IF(DaybyDay[[#This Row],[_Space]],IFERROR(
((DaybyDay[[#This Row],[Actual-Rollup]]-DaybyDay[[#This Row],[Budget-Rollup]])/DaybyDay[[#This Row],[Budget-Rollup]]),0),"")</f>
        <v>-4.054206786656489E-2</v>
      </c>
      <c r="X1136" t="b">
        <f>NOT(AND(ISBLANK(DaybyDay[[#This Row],[Appts]]),ISBLANK(DaybyDay[[#This Row],[Service-Actuals]]),ISBLANK(DaybyDay[[#This Row],[Retail-Actuals]])))</f>
        <v>1</v>
      </c>
      <c r="Y1136" s="36">
        <f>IF(DaybyDay[[#This Row],[_Space]],IFERROR(
((DaybyDay[[#This Row],[Actual-Rollup]]-DaybyDay[[#This Row],[LY-Rollup]])/DaybyDay[[#This Row],[LY-Rollup]]),0),"")</f>
        <v>9.8393077967597525E-2</v>
      </c>
      <c r="Z1136"/>
      <c r="AA1136" s="37">
        <f>IF(DaybyDay[[#This Row],[_Space]],DaybyDay[[#This Row],[Ret-Act-RU]]/DaybyDay[[#This Row],[Serv-Act-RU]],"")</f>
        <v>0.29048083600469399</v>
      </c>
      <c r="AB1136" s="50">
        <f>IF(DaybyDay[[#This Row],[_Space]],DaybyDay[[#This Row],[RETPEN-Act]]/DaybyDay[[#This Row],[RETPEN-Bud]],"")</f>
        <v>1.1877667380860133</v>
      </c>
      <c r="AC1136" s="37">
        <f>IF(DaybyDay[[#This Row],[_Space]],DaybyDay[[#This Row],[Ret-Bud-RU]]/DaybyDay[[#This Row],[Serv-Bud-RU]],"")</f>
        <v>0.24456050728679229</v>
      </c>
      <c r="AD1136" s="37">
        <f>IF(DaybyDay[[#This Row],[_Space]],DaybyDay[[#This Row],[Ret-LY-RU]]/DaybyDay[[#This Row],[Serv-LY-RU]],"")</f>
        <v>0.21964383251786967</v>
      </c>
      <c r="AE1136" s="30">
        <f>WEEKDAY(DaybyDay[[#This Row],[LY-Date]])</f>
        <v>3</v>
      </c>
      <c r="AF1136" s="38">
        <f>$E$2+_xlfn.DAYS(DaybyDay[[#This Row],[Date]],minDate)</f>
        <v>43501</v>
      </c>
      <c r="AG1136" s="39" cm="1">
        <f t="array" ref="AG1136">IFERROR(INDEX(DaybyDay[],DaybyDay[[#This Row],[FORM_MATCH_HELPER]],8),"")</f>
        <v>18</v>
      </c>
      <c r="AH1136" s="39" cm="1">
        <f t="array" ref="AH1136">IFERROR(INDEX(DaybyDay[],DaybyDay[[#This Row],[FORM_MATCH_HELPER]],10),"")</f>
        <v>3401.05</v>
      </c>
      <c r="AI1136" s="39" cm="1">
        <f t="array" ref="AI1136">IFERROR(INDEX(DaybyDay[],DaybyDay[[#This Row],[FORM_MATCH_HELPER]],12),"")</f>
        <v>965.5</v>
      </c>
      <c r="AJ1136" s="32">
        <f>IFERROR(DaybyDay[[#This Row],[Serv-LY-RU]]+DaybyDay[[#This Row],[Ret-LY-RU]],"")</f>
        <v>184729.56</v>
      </c>
      <c r="AK11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202905.66999999998</v>
      </c>
      <c r="AL1136" s="77"/>
      <c r="AM1136" s="40" t="str">
        <f>IF(DaybyDay[[#This Row],[Admin Hours]]&gt;0,DaybyDay[[#This Row],[Admin Hours]]*$AM$2+$AM$3,"")</f>
        <v/>
      </c>
      <c r="AN1136" s="40">
        <f>SUMIFS(DaybyDay[Est-Admin-Payroll],DaybyDay[Date],"&gt;="&amp;$C$5,DaybyDay[RowYear],"&gt;="&amp;$C$4,DaybyDay[Date],"&lt;="&amp;DaybyDay[[#This Row],[Date]])</f>
        <v>0</v>
      </c>
      <c r="AO1136" s="41" t="str">
        <f>IF(AND(DaybyDay[[#This Row],[_Space]],ISNUMBER(DaybyDay[[#This Row],[Admin Hours]])),DaybyDay[[#This Row],[Est-Admin-Payroll]]/(DaybyDay[[#This Row],[Service-Actuals]]+DaybyDay[[#This Row],[Retail-Actuals]]),"")</f>
        <v/>
      </c>
      <c r="AP1136" s="41">
        <f>DaybyDay[[#This Row],[Estimated-Payroll-Rollup]]/DaybyDay[[#This Row],[Simple-Forecast]]</f>
        <v>0</v>
      </c>
      <c r="AQ11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45673.060000000005</v>
      </c>
      <c r="AR1136" s="77"/>
      <c r="AS1136" s="40" t="str">
        <f>IF(DaybyDay[[#This Row],[Retail Hours]]&gt;0,DaybyDay[[#This Row],[Retail Hours]]*$AS$2,"")</f>
        <v/>
      </c>
      <c r="AT1136" s="40">
        <f>SUMIFS(DaybyDay[Est-Retail-Payroll],DaybyDay[Date],"&gt;="&amp;$C$5,DaybyDay[RowYear],"&gt;="&amp;$C$4,DaybyDay[Date],"&lt;="&amp;DaybyDay[[#This Row],[Date]])</f>
        <v>0</v>
      </c>
      <c r="AU1136" s="82" t="str">
        <f>IF(AND(DaybyDay[[#This Row],[_Space]],ISNUMBER(DaybyDay[[#This Row],[Retail Hours]])),DaybyDay[[#This Row],[Est-Retail-Payroll]]/(DaybyDay[[#This Row],[Retail-Actuals]]),"")</f>
        <v/>
      </c>
      <c r="AV1136" s="82">
        <f>DaybyDay[[#This Row],[Est-Retail-PayrollRU]]/DaybyDay[[#This Row],[Simple-Forecast-Retail]]</f>
        <v>0</v>
      </c>
      <c r="AW1136" s="8"/>
      <c r="AX1136" s="15"/>
      <c r="AY1136" s="8"/>
    </row>
    <row r="1137" spans="3:51" hidden="1" x14ac:dyDescent="0.25">
      <c r="C1137" s="26" t="str">
        <f>Tools!$C$1</f>
        <v>Example</v>
      </c>
      <c r="D1137" s="27" t="s">
        <v>69</v>
      </c>
      <c r="E1137" s="28">
        <v>2020</v>
      </c>
      <c r="F1137" s="28">
        <f>MATCH(DaybyDay[[#This Row],[RowMonth]],Table3[SummaryMonth],0)</f>
        <v>2</v>
      </c>
      <c r="G1137" s="29">
        <f>MATCH(DaybyDay[[#This Row],[LY-Date]],DaybyDay[Date],0)</f>
        <v>767</v>
      </c>
      <c r="H1137" s="30">
        <f>WEEKDAY(DaybyDay[[#This Row],[Date]])</f>
        <v>4</v>
      </c>
      <c r="I1137" s="31">
        <v>43866</v>
      </c>
      <c r="J1137" s="74">
        <v>28</v>
      </c>
      <c r="K1137" s="32">
        <f>SUMIFS(BudgetSeasonality[365 Seasonality],BudgetSeasonality[MonthAdjustment],DaybyDay[[#This Row],[Date]])*SUMIFS(Budgets[Service-Budget],Budgets[BudgetMonth],DaybyDay[[#This Row],[RowMonth]],Budgets[BudgetYear],DaybyDay[[#This Row],[RowYear]])</f>
        <v>5491.6982070834601</v>
      </c>
      <c r="L1137" s="75">
        <v>7604.2</v>
      </c>
      <c r="M1137" s="32">
        <f>INDEX(BudgetSeasonality[365 Seasonality],MATCH(DaybyDay[[#This Row],[Date]],BudgetSeasonality[MonthAdjustment],0))*SUMIFS(Budgets[Retail-Budget],Budgets[BudgetMonth],DaybyDay[[#This Row],[RowMonth]],Budgets[BudgetYear],DaybyDay[[#This Row],[RowYear]])</f>
        <v>1311.0220792048426</v>
      </c>
      <c r="N1137" s="75">
        <v>528.11</v>
      </c>
      <c r="O1137" s="33">
        <f>SUMIFS(DaybyDay[Service-Budgets],DaybyDay[Date],"&gt;="&amp;$C$5,DaybyDay[RowYear],"&gt;="&amp;$C$4,DaybyDay[Date],"&lt;="&amp;DaybyDay[[#This Row],[Date]])</f>
        <v>175414.722778264</v>
      </c>
      <c r="P1137" s="33">
        <f>SUMIFS(DaybyDay[Retail-Budgets],DaybyDay[Date],"&gt;="&amp;$C$5,DaybyDay[RowYear],"&gt;="&amp;$C$4,DaybyDay[Date],"&lt;="&amp;DaybyDay[[#This Row],[Date]])</f>
        <v>42867.483168038831</v>
      </c>
      <c r="Q1137" s="34">
        <f>SUMIFS(DaybyDay[Service-Actuals],DaybyDay[Date],"&gt;="&amp;$C$5,DaybyDay[RowYear],"&gt;="&amp;$C$4,DaybyDay[Date],"&lt;="&amp;DaybyDay[[#This Row],[Date]])</f>
        <v>164836.81</v>
      </c>
      <c r="R1137" s="34">
        <f>SUMIFS(DaybyDay[Retail-Actuals],DaybyDay[Date],"&gt;="&amp;$C$5,DaybyDay[RowYear],"&gt;="&amp;$C$4,DaybyDay[Date],"&lt;="&amp;DaybyDay[[#This Row],[Date]])</f>
        <v>46201.170000000006</v>
      </c>
      <c r="S1137" s="35">
        <f>SUMIFS(DaybyDay[Service-LY],DaybyDay[Date],"&gt;="&amp;$C$5,DaybyDay[RowYear],"&gt;="&amp;$C$4,DaybyDay[Date],"&lt;="&amp;DaybyDay[[#This Row],[Date]])</f>
        <v>154633.18999999997</v>
      </c>
      <c r="T1137" s="35">
        <f>SUMIFS(DaybyDay[Retail-LY],DaybyDay[Date],"&gt;="&amp;$C$5,DaybyDay[RowYear],"&gt;="&amp;$C$4,DaybyDay[Date],"&lt;="&amp;DaybyDay[[#This Row],[Date]])</f>
        <v>35247.17</v>
      </c>
      <c r="U1137" s="32">
        <f>DaybyDay[[#This Row],[Serv-Bud-RU]]+DaybyDay[[#This Row],[Ret-Bud-RU]]</f>
        <v>218282.20594630283</v>
      </c>
      <c r="V1137" s="32">
        <f>DaybyDay[[#This Row],[Serv-Act-RU]]+DaybyDay[[#This Row],[Ret-Act-RU]]</f>
        <v>211037.98</v>
      </c>
      <c r="W1137" s="36">
        <f>IF(DaybyDay[[#This Row],[_Space]],IFERROR(
((DaybyDay[[#This Row],[Actual-Rollup]]-DaybyDay[[#This Row],[Budget-Rollup]])/DaybyDay[[#This Row],[Budget-Rollup]]),0),"")</f>
        <v>-3.3187432364894132E-2</v>
      </c>
      <c r="X1137" t="b">
        <f>NOT(AND(ISBLANK(DaybyDay[[#This Row],[Appts]]),ISBLANK(DaybyDay[[#This Row],[Service-Actuals]]),ISBLANK(DaybyDay[[#This Row],[Retail-Actuals]])))</f>
        <v>1</v>
      </c>
      <c r="Y1137" s="36">
        <f>IF(DaybyDay[[#This Row],[_Space]],IFERROR(
((DaybyDay[[#This Row],[Actual-Rollup]]-DaybyDay[[#This Row],[LY-Rollup]])/DaybyDay[[#This Row],[LY-Rollup]]),0),"")</f>
        <v>0.11142605796618474</v>
      </c>
      <c r="Z1137"/>
      <c r="AA1137" s="37">
        <f>IF(DaybyDay[[#This Row],[_Space]],DaybyDay[[#This Row],[Ret-Act-RU]]/DaybyDay[[#This Row],[Serv-Act-RU]],"")</f>
        <v>0.2802843005758241</v>
      </c>
      <c r="AB1137" s="50">
        <f>IF(DaybyDay[[#This Row],[_Space]],DaybyDay[[#This Row],[RETPEN-Act]]/DaybyDay[[#This Row],[RETPEN-Bud]],"")</f>
        <v>1.1469297763966937</v>
      </c>
      <c r="AC1137" s="37">
        <f>IF(DaybyDay[[#This Row],[_Space]],DaybyDay[[#This Row],[Ret-Bud-RU]]/DaybyDay[[#This Row],[Serv-Bud-RU]],"")</f>
        <v>0.24437790904373638</v>
      </c>
      <c r="AD1137" s="37">
        <f>IF(DaybyDay[[#This Row],[_Space]],DaybyDay[[#This Row],[Ret-LY-RU]]/DaybyDay[[#This Row],[Serv-LY-RU]],"")</f>
        <v>0.2279405216952454</v>
      </c>
      <c r="AE1137" s="30">
        <f>WEEKDAY(DaybyDay[[#This Row],[LY-Date]])</f>
        <v>4</v>
      </c>
      <c r="AF1137" s="38">
        <f>$E$2+_xlfn.DAYS(DaybyDay[[#This Row],[Date]],minDate)</f>
        <v>43502</v>
      </c>
      <c r="AG1137" s="39" cm="1">
        <f t="array" ref="AG1137">IFERROR(INDEX(DaybyDay[],DaybyDay[[#This Row],[FORM_MATCH_HELPER]],8),"")</f>
        <v>16</v>
      </c>
      <c r="AH1137" s="39" cm="1">
        <f t="array" ref="AH1137">IFERROR(INDEX(DaybyDay[],DaybyDay[[#This Row],[FORM_MATCH_HELPER]],10),"")</f>
        <v>3171.3</v>
      </c>
      <c r="AI1137" s="39" cm="1">
        <f t="array" ref="AI1137">IFERROR(INDEX(DaybyDay[],DaybyDay[[#This Row],[FORM_MATCH_HELPER]],12),"")</f>
        <v>1979.5</v>
      </c>
      <c r="AJ1137" s="32">
        <f>IFERROR(DaybyDay[[#This Row],[Serv-LY-RU]]+DaybyDay[[#This Row],[Ret-LY-RU]],"")</f>
        <v>189880.36</v>
      </c>
      <c r="AK11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211037.98</v>
      </c>
      <c r="AL1137" s="77"/>
      <c r="AM1137" s="40" t="str">
        <f>IF(DaybyDay[[#This Row],[Admin Hours]]&gt;0,DaybyDay[[#This Row],[Admin Hours]]*$AM$2+$AM$3,"")</f>
        <v/>
      </c>
      <c r="AN1137" s="40">
        <f>SUMIFS(DaybyDay[Est-Admin-Payroll],DaybyDay[Date],"&gt;="&amp;$C$5,DaybyDay[RowYear],"&gt;="&amp;$C$4,DaybyDay[Date],"&lt;="&amp;DaybyDay[[#This Row],[Date]])</f>
        <v>0</v>
      </c>
      <c r="AO1137" s="41" t="str">
        <f>IF(AND(DaybyDay[[#This Row],[_Space]],ISNUMBER(DaybyDay[[#This Row],[Admin Hours]])),DaybyDay[[#This Row],[Est-Admin-Payroll]]/(DaybyDay[[#This Row],[Service-Actuals]]+DaybyDay[[#This Row],[Retail-Actuals]]),"")</f>
        <v/>
      </c>
      <c r="AP1137" s="41">
        <f>DaybyDay[[#This Row],[Estimated-Payroll-Rollup]]/DaybyDay[[#This Row],[Simple-Forecast]]</f>
        <v>0</v>
      </c>
      <c r="AQ11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46201.170000000006</v>
      </c>
      <c r="AR1137" s="77"/>
      <c r="AS1137" s="40" t="str">
        <f>IF(DaybyDay[[#This Row],[Retail Hours]]&gt;0,DaybyDay[[#This Row],[Retail Hours]]*$AS$2,"")</f>
        <v/>
      </c>
      <c r="AT1137" s="40">
        <f>SUMIFS(DaybyDay[Est-Retail-Payroll],DaybyDay[Date],"&gt;="&amp;$C$5,DaybyDay[RowYear],"&gt;="&amp;$C$4,DaybyDay[Date],"&lt;="&amp;DaybyDay[[#This Row],[Date]])</f>
        <v>0</v>
      </c>
      <c r="AU1137" s="82" t="str">
        <f>IF(AND(DaybyDay[[#This Row],[_Space]],ISNUMBER(DaybyDay[[#This Row],[Retail Hours]])),DaybyDay[[#This Row],[Est-Retail-Payroll]]/(DaybyDay[[#This Row],[Retail-Actuals]]),"")</f>
        <v/>
      </c>
      <c r="AV1137" s="82">
        <f>DaybyDay[[#This Row],[Est-Retail-PayrollRU]]/DaybyDay[[#This Row],[Simple-Forecast-Retail]]</f>
        <v>0</v>
      </c>
      <c r="AW1137" s="8"/>
      <c r="AX1137" s="15"/>
      <c r="AY1137" s="8"/>
    </row>
    <row r="1138" spans="3:51" hidden="1" x14ac:dyDescent="0.25">
      <c r="C1138" s="26" t="str">
        <f>Tools!$C$1</f>
        <v>Example</v>
      </c>
      <c r="D1138" s="27" t="s">
        <v>69</v>
      </c>
      <c r="E1138" s="28">
        <v>2020</v>
      </c>
      <c r="F1138" s="28">
        <f>MATCH(DaybyDay[[#This Row],[RowMonth]],Table3[SummaryMonth],0)</f>
        <v>2</v>
      </c>
      <c r="G1138" s="29">
        <f>MATCH(DaybyDay[[#This Row],[LY-Date]],DaybyDay[Date],0)</f>
        <v>768</v>
      </c>
      <c r="H1138" s="30">
        <f>WEEKDAY(DaybyDay[[#This Row],[Date]])</f>
        <v>5</v>
      </c>
      <c r="I1138" s="31">
        <v>43867</v>
      </c>
      <c r="J1138" s="74">
        <v>29</v>
      </c>
      <c r="K1138" s="32">
        <f>SUMIFS(BudgetSeasonality[365 Seasonality],BudgetSeasonality[MonthAdjustment],DaybyDay[[#This Row],[Date]])*SUMIFS(Budgets[Service-Budget],Budgets[BudgetMonth],DaybyDay[[#This Row],[RowMonth]],Budgets[BudgetYear],DaybyDay[[#This Row],[RowYear]])</f>
        <v>5615.8961710447329</v>
      </c>
      <c r="L1138" s="75">
        <v>5296.4</v>
      </c>
      <c r="M1138" s="32">
        <f>INDEX(BudgetSeasonality[365 Seasonality],MATCH(DaybyDay[[#This Row],[Date]],BudgetSeasonality[MonthAdjustment],0))*SUMIFS(Budgets[Retail-Budget],Budgets[BudgetMonth],DaybyDay[[#This Row],[RowMonth]],Budgets[BudgetYear],DaybyDay[[#This Row],[RowYear]])</f>
        <v>1340.6716096061118</v>
      </c>
      <c r="N1138" s="75">
        <v>1039.33</v>
      </c>
      <c r="O1138" s="33">
        <f>SUMIFS(DaybyDay[Service-Budgets],DaybyDay[Date],"&gt;="&amp;$C$5,DaybyDay[RowYear],"&gt;="&amp;$C$4,DaybyDay[Date],"&lt;="&amp;DaybyDay[[#This Row],[Date]])</f>
        <v>181030.61894930873</v>
      </c>
      <c r="P1138" s="33">
        <f>SUMIFS(DaybyDay[Retail-Budgets],DaybyDay[Date],"&gt;="&amp;$C$5,DaybyDay[RowYear],"&gt;="&amp;$C$4,DaybyDay[Date],"&lt;="&amp;DaybyDay[[#This Row],[Date]])</f>
        <v>44208.154777644944</v>
      </c>
      <c r="Q1138" s="34">
        <f>SUMIFS(DaybyDay[Service-Actuals],DaybyDay[Date],"&gt;="&amp;$C$5,DaybyDay[RowYear],"&gt;="&amp;$C$4,DaybyDay[Date],"&lt;="&amp;DaybyDay[[#This Row],[Date]])</f>
        <v>170133.21</v>
      </c>
      <c r="R1138" s="34">
        <f>SUMIFS(DaybyDay[Retail-Actuals],DaybyDay[Date],"&gt;="&amp;$C$5,DaybyDay[RowYear],"&gt;="&amp;$C$4,DaybyDay[Date],"&lt;="&amp;DaybyDay[[#This Row],[Date]])</f>
        <v>47240.500000000007</v>
      </c>
      <c r="S1138" s="35">
        <f>SUMIFS(DaybyDay[Service-LY],DaybyDay[Date],"&gt;="&amp;$C$5,DaybyDay[RowYear],"&gt;="&amp;$C$4,DaybyDay[Date],"&lt;="&amp;DaybyDay[[#This Row],[Date]])</f>
        <v>158245.88999999998</v>
      </c>
      <c r="T1138" s="35">
        <f>SUMIFS(DaybyDay[Retail-LY],DaybyDay[Date],"&gt;="&amp;$C$5,DaybyDay[RowYear],"&gt;="&amp;$C$4,DaybyDay[Date],"&lt;="&amp;DaybyDay[[#This Row],[Date]])</f>
        <v>35448.17</v>
      </c>
      <c r="U1138" s="32">
        <f>DaybyDay[[#This Row],[Serv-Bud-RU]]+DaybyDay[[#This Row],[Ret-Bud-RU]]</f>
        <v>225238.77372695366</v>
      </c>
      <c r="V1138" s="32">
        <f>DaybyDay[[#This Row],[Serv-Act-RU]]+DaybyDay[[#This Row],[Ret-Act-RU]]</f>
        <v>217373.71</v>
      </c>
      <c r="W1138" s="36">
        <f>IF(DaybyDay[[#This Row],[_Space]],IFERROR(
((DaybyDay[[#This Row],[Actual-Rollup]]-DaybyDay[[#This Row],[Budget-Rollup]])/DaybyDay[[#This Row],[Budget-Rollup]]),0),"")</f>
        <v>-3.4918782396178877E-2</v>
      </c>
      <c r="X1138" t="b">
        <f>NOT(AND(ISBLANK(DaybyDay[[#This Row],[Appts]]),ISBLANK(DaybyDay[[#This Row],[Service-Actuals]]),ISBLANK(DaybyDay[[#This Row],[Retail-Actuals]])))</f>
        <v>1</v>
      </c>
      <c r="Y1138" s="36">
        <f>IF(DaybyDay[[#This Row],[_Space]],IFERROR(
((DaybyDay[[#This Row],[Actual-Rollup]]-DaybyDay[[#This Row],[LY-Rollup]])/DaybyDay[[#This Row],[LY-Rollup]]),0),"")</f>
        <v>0.12225284554415347</v>
      </c>
      <c r="Z1138"/>
      <c r="AA1138" s="37">
        <f>IF(DaybyDay[[#This Row],[_Space]],DaybyDay[[#This Row],[Ret-Act-RU]]/DaybyDay[[#This Row],[Serv-Act-RU]],"")</f>
        <v>0.27766771696131526</v>
      </c>
      <c r="AB1138" s="50">
        <f>IF(DaybyDay[[#This Row],[_Space]],DaybyDay[[#This Row],[RETPEN-Act]]/DaybyDay[[#This Row],[RETPEN-Bud]],"")</f>
        <v>1.1370381531772713</v>
      </c>
      <c r="AC1138" s="37">
        <f>IF(DaybyDay[[#This Row],[_Space]],DaybyDay[[#This Row],[Ret-Bud-RU]]/DaybyDay[[#This Row],[Serv-Bud-RU]],"")</f>
        <v>0.24420263839468995</v>
      </c>
      <c r="AD1138" s="37">
        <f>IF(DaybyDay[[#This Row],[_Space]],DaybyDay[[#This Row],[Ret-LY-RU]]/DaybyDay[[#This Row],[Serv-LY-RU]],"")</f>
        <v>0.22400689205893437</v>
      </c>
      <c r="AE1138" s="30">
        <f>WEEKDAY(DaybyDay[[#This Row],[LY-Date]])</f>
        <v>5</v>
      </c>
      <c r="AF1138" s="38">
        <f>$E$2+_xlfn.DAYS(DaybyDay[[#This Row],[Date]],minDate)</f>
        <v>43503</v>
      </c>
      <c r="AG1138" s="39" cm="1">
        <f t="array" ref="AG1138">IFERROR(INDEX(DaybyDay[],DaybyDay[[#This Row],[FORM_MATCH_HELPER]],8),"")</f>
        <v>18</v>
      </c>
      <c r="AH1138" s="39" cm="1">
        <f t="array" ref="AH1138">IFERROR(INDEX(DaybyDay[],DaybyDay[[#This Row],[FORM_MATCH_HELPER]],10),"")</f>
        <v>3612.7</v>
      </c>
      <c r="AI1138" s="39" cm="1">
        <f t="array" ref="AI1138">IFERROR(INDEX(DaybyDay[],DaybyDay[[#This Row],[FORM_MATCH_HELPER]],12),"")</f>
        <v>201</v>
      </c>
      <c r="AJ1138" s="32">
        <f>IFERROR(DaybyDay[[#This Row],[Serv-LY-RU]]+DaybyDay[[#This Row],[Ret-LY-RU]],"")</f>
        <v>193694.06</v>
      </c>
      <c r="AK11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217373.71</v>
      </c>
      <c r="AL1138" s="77"/>
      <c r="AM1138" s="40" t="str">
        <f>IF(DaybyDay[[#This Row],[Admin Hours]]&gt;0,DaybyDay[[#This Row],[Admin Hours]]*$AM$2+$AM$3,"")</f>
        <v/>
      </c>
      <c r="AN1138" s="40">
        <f>SUMIFS(DaybyDay[Est-Admin-Payroll],DaybyDay[Date],"&gt;="&amp;$C$5,DaybyDay[RowYear],"&gt;="&amp;$C$4,DaybyDay[Date],"&lt;="&amp;DaybyDay[[#This Row],[Date]])</f>
        <v>0</v>
      </c>
      <c r="AO1138" s="41" t="str">
        <f>IF(AND(DaybyDay[[#This Row],[_Space]],ISNUMBER(DaybyDay[[#This Row],[Admin Hours]])),DaybyDay[[#This Row],[Est-Admin-Payroll]]/(DaybyDay[[#This Row],[Service-Actuals]]+DaybyDay[[#This Row],[Retail-Actuals]]),"")</f>
        <v/>
      </c>
      <c r="AP1138" s="41">
        <f>DaybyDay[[#This Row],[Estimated-Payroll-Rollup]]/DaybyDay[[#This Row],[Simple-Forecast]]</f>
        <v>0</v>
      </c>
      <c r="AQ11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47240.500000000007</v>
      </c>
      <c r="AR1138" s="77"/>
      <c r="AS1138" s="40" t="str">
        <f>IF(DaybyDay[[#This Row],[Retail Hours]]&gt;0,DaybyDay[[#This Row],[Retail Hours]]*$AS$2,"")</f>
        <v/>
      </c>
      <c r="AT1138" s="40">
        <f>SUMIFS(DaybyDay[Est-Retail-Payroll],DaybyDay[Date],"&gt;="&amp;$C$5,DaybyDay[RowYear],"&gt;="&amp;$C$4,DaybyDay[Date],"&lt;="&amp;DaybyDay[[#This Row],[Date]])</f>
        <v>0</v>
      </c>
      <c r="AU1138" s="82" t="str">
        <f>IF(AND(DaybyDay[[#This Row],[_Space]],ISNUMBER(DaybyDay[[#This Row],[Retail Hours]])),DaybyDay[[#This Row],[Est-Retail-Payroll]]/(DaybyDay[[#This Row],[Retail-Actuals]]),"")</f>
        <v/>
      </c>
      <c r="AV1138" s="82">
        <f>DaybyDay[[#This Row],[Est-Retail-PayrollRU]]/DaybyDay[[#This Row],[Simple-Forecast-Retail]]</f>
        <v>0</v>
      </c>
      <c r="AW1138" s="8"/>
      <c r="AX1138" s="15"/>
      <c r="AY1138" s="8"/>
    </row>
    <row r="1139" spans="3:51" hidden="1" x14ac:dyDescent="0.25">
      <c r="C1139" s="26" t="str">
        <f>Tools!$C$1</f>
        <v>Example</v>
      </c>
      <c r="D1139" s="27" t="s">
        <v>69</v>
      </c>
      <c r="E1139" s="28">
        <v>2020</v>
      </c>
      <c r="F1139" s="28">
        <f>MATCH(DaybyDay[[#This Row],[RowMonth]],Table3[SummaryMonth],0)</f>
        <v>2</v>
      </c>
      <c r="G1139" s="29">
        <f>MATCH(DaybyDay[[#This Row],[LY-Date]],DaybyDay[Date],0)</f>
        <v>769</v>
      </c>
      <c r="H1139" s="30">
        <f>WEEKDAY(DaybyDay[[#This Row],[Date]])</f>
        <v>6</v>
      </c>
      <c r="I1139" s="31">
        <v>43868</v>
      </c>
      <c r="J1139" s="74">
        <v>40</v>
      </c>
      <c r="K1139" s="32">
        <f>SUMIFS(BudgetSeasonality[365 Seasonality],BudgetSeasonality[MonthAdjustment],DaybyDay[[#This Row],[Date]])*SUMIFS(Budgets[Service-Budget],Budgets[BudgetMonth],DaybyDay[[#This Row],[RowMonth]],Budgets[BudgetYear],DaybyDay[[#This Row],[RowYear]])</f>
        <v>6677.4417179131815</v>
      </c>
      <c r="L1139" s="75">
        <v>7042</v>
      </c>
      <c r="M1139" s="32">
        <f>INDEX(BudgetSeasonality[365 Seasonality],MATCH(DaybyDay[[#This Row],[Date]],BudgetSeasonality[MonthAdjustment],0))*SUMIFS(Budgets[Retail-Budget],Budgets[BudgetMonth],DaybyDay[[#This Row],[RowMonth]],Budgets[BudgetYear],DaybyDay[[#This Row],[RowYear]])</f>
        <v>1594.0922451812821</v>
      </c>
      <c r="N1139" s="75">
        <v>1169.9000000000001</v>
      </c>
      <c r="O1139" s="33">
        <f>SUMIFS(DaybyDay[Service-Budgets],DaybyDay[Date],"&gt;="&amp;$C$5,DaybyDay[RowYear],"&gt;="&amp;$C$4,DaybyDay[Date],"&lt;="&amp;DaybyDay[[#This Row],[Date]])</f>
        <v>187708.0606672219</v>
      </c>
      <c r="P1139" s="33">
        <f>SUMIFS(DaybyDay[Retail-Budgets],DaybyDay[Date],"&gt;="&amp;$C$5,DaybyDay[RowYear],"&gt;="&amp;$C$4,DaybyDay[Date],"&lt;="&amp;DaybyDay[[#This Row],[Date]])</f>
        <v>45802.247022826225</v>
      </c>
      <c r="Q1139" s="34">
        <f>SUMIFS(DaybyDay[Service-Actuals],DaybyDay[Date],"&gt;="&amp;$C$5,DaybyDay[RowYear],"&gt;="&amp;$C$4,DaybyDay[Date],"&lt;="&amp;DaybyDay[[#This Row],[Date]])</f>
        <v>177175.21</v>
      </c>
      <c r="R1139" s="34">
        <f>SUMIFS(DaybyDay[Retail-Actuals],DaybyDay[Date],"&gt;="&amp;$C$5,DaybyDay[RowYear],"&gt;="&amp;$C$4,DaybyDay[Date],"&lt;="&amp;DaybyDay[[#This Row],[Date]])</f>
        <v>48410.400000000009</v>
      </c>
      <c r="S1139" s="35">
        <f>SUMIFS(DaybyDay[Service-LY],DaybyDay[Date],"&gt;="&amp;$C$5,DaybyDay[RowYear],"&gt;="&amp;$C$4,DaybyDay[Date],"&lt;="&amp;DaybyDay[[#This Row],[Date]])</f>
        <v>164304.03999999998</v>
      </c>
      <c r="T1139" s="35">
        <f>SUMIFS(DaybyDay[Retail-LY],DaybyDay[Date],"&gt;="&amp;$C$5,DaybyDay[RowYear],"&gt;="&amp;$C$4,DaybyDay[Date],"&lt;="&amp;DaybyDay[[#This Row],[Date]])</f>
        <v>35713.17</v>
      </c>
      <c r="U1139" s="32">
        <f>DaybyDay[[#This Row],[Serv-Bud-RU]]+DaybyDay[[#This Row],[Ret-Bud-RU]]</f>
        <v>233510.30769004812</v>
      </c>
      <c r="V1139" s="32">
        <f>DaybyDay[[#This Row],[Serv-Act-RU]]+DaybyDay[[#This Row],[Ret-Act-RU]]</f>
        <v>225585.61</v>
      </c>
      <c r="W1139" s="36">
        <f>IF(DaybyDay[[#This Row],[_Space]],IFERROR(
((DaybyDay[[#This Row],[Actual-Rollup]]-DaybyDay[[#This Row],[Budget-Rollup]])/DaybyDay[[#This Row],[Budget-Rollup]]),0),"")</f>
        <v>-3.393725000168752E-2</v>
      </c>
      <c r="X1139" t="b">
        <f>NOT(AND(ISBLANK(DaybyDay[[#This Row],[Appts]]),ISBLANK(DaybyDay[[#This Row],[Service-Actuals]]),ISBLANK(DaybyDay[[#This Row],[Retail-Actuals]])))</f>
        <v>1</v>
      </c>
      <c r="Y1139" s="36">
        <f>IF(DaybyDay[[#This Row],[_Space]],IFERROR(
((DaybyDay[[#This Row],[Actual-Rollup]]-DaybyDay[[#This Row],[LY-Rollup]])/DaybyDay[[#This Row],[LY-Rollup]]),0),"")</f>
        <v>0.12783100014243789</v>
      </c>
      <c r="Z1139"/>
      <c r="AA1139" s="37">
        <f>IF(DaybyDay[[#This Row],[_Space]],DaybyDay[[#This Row],[Ret-Act-RU]]/DaybyDay[[#This Row],[Serv-Act-RU]],"")</f>
        <v>0.27323461335251142</v>
      </c>
      <c r="AB1139" s="50">
        <f>IF(DaybyDay[[#This Row],[_Space]],DaybyDay[[#This Row],[RETPEN-Act]]/DaybyDay[[#This Row],[RETPEN-Bud]],"")</f>
        <v>1.1197777994166493</v>
      </c>
      <c r="AC1139" s="37">
        <f>IF(DaybyDay[[#This Row],[_Space]],DaybyDay[[#This Row],[Ret-Bud-RU]]/DaybyDay[[#This Row],[Serv-Bud-RU]],"")</f>
        <v>0.24400788575631127</v>
      </c>
      <c r="AD1139" s="37">
        <f>IF(DaybyDay[[#This Row],[_Space]],DaybyDay[[#This Row],[Ret-LY-RU]]/DaybyDay[[#This Row],[Serv-LY-RU]],"")</f>
        <v>0.21736026697821917</v>
      </c>
      <c r="AE1139" s="30">
        <f>WEEKDAY(DaybyDay[[#This Row],[LY-Date]])</f>
        <v>6</v>
      </c>
      <c r="AF1139" s="38">
        <f>$E$2+_xlfn.DAYS(DaybyDay[[#This Row],[Date]],minDate)</f>
        <v>43504</v>
      </c>
      <c r="AG1139" s="39" cm="1">
        <f t="array" ref="AG1139">IFERROR(INDEX(DaybyDay[],DaybyDay[[#This Row],[FORM_MATCH_HELPER]],8),"")</f>
        <v>33</v>
      </c>
      <c r="AH1139" s="39" cm="1">
        <f t="array" ref="AH1139">IFERROR(INDEX(DaybyDay[],DaybyDay[[#This Row],[FORM_MATCH_HELPER]],10),"")</f>
        <v>6058.15</v>
      </c>
      <c r="AI1139" s="39" cm="1">
        <f t="array" ref="AI1139">IFERROR(INDEX(DaybyDay[],DaybyDay[[#This Row],[FORM_MATCH_HELPER]],12),"")</f>
        <v>265</v>
      </c>
      <c r="AJ1139" s="32">
        <f>IFERROR(DaybyDay[[#This Row],[Serv-LY-RU]]+DaybyDay[[#This Row],[Ret-LY-RU]],"")</f>
        <v>200017.20999999996</v>
      </c>
      <c r="AK11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225585.61</v>
      </c>
      <c r="AL1139" s="77"/>
      <c r="AM1139" s="40" t="str">
        <f>IF(DaybyDay[[#This Row],[Admin Hours]]&gt;0,DaybyDay[[#This Row],[Admin Hours]]*$AM$2+$AM$3,"")</f>
        <v/>
      </c>
      <c r="AN1139" s="40">
        <f>SUMIFS(DaybyDay[Est-Admin-Payroll],DaybyDay[Date],"&gt;="&amp;$C$5,DaybyDay[RowYear],"&gt;="&amp;$C$4,DaybyDay[Date],"&lt;="&amp;DaybyDay[[#This Row],[Date]])</f>
        <v>0</v>
      </c>
      <c r="AO1139" s="41" t="str">
        <f>IF(AND(DaybyDay[[#This Row],[_Space]],ISNUMBER(DaybyDay[[#This Row],[Admin Hours]])),DaybyDay[[#This Row],[Est-Admin-Payroll]]/(DaybyDay[[#This Row],[Service-Actuals]]+DaybyDay[[#This Row],[Retail-Actuals]]),"")</f>
        <v/>
      </c>
      <c r="AP1139" s="41">
        <f>DaybyDay[[#This Row],[Estimated-Payroll-Rollup]]/DaybyDay[[#This Row],[Simple-Forecast]]</f>
        <v>0</v>
      </c>
      <c r="AQ11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48410.400000000009</v>
      </c>
      <c r="AR1139" s="77"/>
      <c r="AS1139" s="40" t="str">
        <f>IF(DaybyDay[[#This Row],[Retail Hours]]&gt;0,DaybyDay[[#This Row],[Retail Hours]]*$AS$2,"")</f>
        <v/>
      </c>
      <c r="AT1139" s="40">
        <f>SUMIFS(DaybyDay[Est-Retail-Payroll],DaybyDay[Date],"&gt;="&amp;$C$5,DaybyDay[RowYear],"&gt;="&amp;$C$4,DaybyDay[Date],"&lt;="&amp;DaybyDay[[#This Row],[Date]])</f>
        <v>0</v>
      </c>
      <c r="AU1139" s="82" t="str">
        <f>IF(AND(DaybyDay[[#This Row],[_Space]],ISNUMBER(DaybyDay[[#This Row],[Retail Hours]])),DaybyDay[[#This Row],[Est-Retail-Payroll]]/(DaybyDay[[#This Row],[Retail-Actuals]]),"")</f>
        <v/>
      </c>
      <c r="AV1139" s="82">
        <f>DaybyDay[[#This Row],[Est-Retail-PayrollRU]]/DaybyDay[[#This Row],[Simple-Forecast-Retail]]</f>
        <v>0</v>
      </c>
      <c r="AW1139" s="8"/>
      <c r="AX1139" s="15"/>
      <c r="AY1139" s="8"/>
    </row>
    <row r="1140" spans="3:51" hidden="1" x14ac:dyDescent="0.25">
      <c r="C1140" s="26" t="str">
        <f>Tools!$C$1</f>
        <v>Example</v>
      </c>
      <c r="D1140" s="27" t="s">
        <v>69</v>
      </c>
      <c r="E1140" s="28">
        <v>2020</v>
      </c>
      <c r="F1140" s="28">
        <f>MATCH(DaybyDay[[#This Row],[RowMonth]],Table3[SummaryMonth],0)</f>
        <v>2</v>
      </c>
      <c r="G1140" s="29">
        <f>MATCH(DaybyDay[[#This Row],[LY-Date]],DaybyDay[Date],0)</f>
        <v>770</v>
      </c>
      <c r="H1140" s="30">
        <f>WEEKDAY(DaybyDay[[#This Row],[Date]])</f>
        <v>7</v>
      </c>
      <c r="I1140" s="31">
        <v>43869</v>
      </c>
      <c r="J1140" s="74">
        <v>51</v>
      </c>
      <c r="K1140" s="32">
        <f>SUMIFS(BudgetSeasonality[365 Seasonality],BudgetSeasonality[MonthAdjustment],DaybyDay[[#This Row],[Date]])*SUMIFS(Budgets[Service-Budget],Budgets[BudgetMonth],DaybyDay[[#This Row],[RowMonth]],Budgets[BudgetYear],DaybyDay[[#This Row],[RowYear]])</f>
        <v>8919.1540218650389</v>
      </c>
      <c r="L1140" s="75">
        <v>10601</v>
      </c>
      <c r="M1140" s="32">
        <f>INDEX(BudgetSeasonality[365 Seasonality],MATCH(DaybyDay[[#This Row],[Date]],BudgetSeasonality[MonthAdjustment],0))*SUMIFS(Budgets[Retail-Budget],Budgets[BudgetMonth],DaybyDay[[#This Row],[RowMonth]],Budgets[BudgetYear],DaybyDay[[#This Row],[RowYear]])</f>
        <v>2129.2517195156988</v>
      </c>
      <c r="N1140" s="75">
        <v>1949.7</v>
      </c>
      <c r="O1140" s="33">
        <f>SUMIFS(DaybyDay[Service-Budgets],DaybyDay[Date],"&gt;="&amp;$C$5,DaybyDay[RowYear],"&gt;="&amp;$C$4,DaybyDay[Date],"&lt;="&amp;DaybyDay[[#This Row],[Date]])</f>
        <v>196627.21468908695</v>
      </c>
      <c r="P1140" s="33">
        <f>SUMIFS(DaybyDay[Retail-Budgets],DaybyDay[Date],"&gt;="&amp;$C$5,DaybyDay[RowYear],"&gt;="&amp;$C$4,DaybyDay[Date],"&lt;="&amp;DaybyDay[[#This Row],[Date]])</f>
        <v>47931.498742341922</v>
      </c>
      <c r="Q1140" s="34">
        <f>SUMIFS(DaybyDay[Service-Actuals],DaybyDay[Date],"&gt;="&amp;$C$5,DaybyDay[RowYear],"&gt;="&amp;$C$4,DaybyDay[Date],"&lt;="&amp;DaybyDay[[#This Row],[Date]])</f>
        <v>187776.21</v>
      </c>
      <c r="R1140" s="34">
        <f>SUMIFS(DaybyDay[Retail-Actuals],DaybyDay[Date],"&gt;="&amp;$C$5,DaybyDay[RowYear],"&gt;="&amp;$C$4,DaybyDay[Date],"&lt;="&amp;DaybyDay[[#This Row],[Date]])</f>
        <v>50360.100000000006</v>
      </c>
      <c r="S1140" s="35">
        <f>SUMIFS(DaybyDay[Service-LY],DaybyDay[Date],"&gt;="&amp;$C$5,DaybyDay[RowYear],"&gt;="&amp;$C$4,DaybyDay[Date],"&lt;="&amp;DaybyDay[[#This Row],[Date]])</f>
        <v>173040.02999999997</v>
      </c>
      <c r="T1140" s="35">
        <f>SUMIFS(DaybyDay[Retail-LY],DaybyDay[Date],"&gt;="&amp;$C$5,DaybyDay[RowYear],"&gt;="&amp;$C$4,DaybyDay[Date],"&lt;="&amp;DaybyDay[[#This Row],[Date]])</f>
        <v>37163.17</v>
      </c>
      <c r="U1140" s="32">
        <f>DaybyDay[[#This Row],[Serv-Bud-RU]]+DaybyDay[[#This Row],[Ret-Bud-RU]]</f>
        <v>244558.71343142889</v>
      </c>
      <c r="V1140" s="32">
        <f>DaybyDay[[#This Row],[Serv-Act-RU]]+DaybyDay[[#This Row],[Ret-Act-RU]]</f>
        <v>238136.31</v>
      </c>
      <c r="W1140" s="36">
        <f>IF(DaybyDay[[#This Row],[_Space]],IFERROR(
((DaybyDay[[#This Row],[Actual-Rollup]]-DaybyDay[[#This Row],[Budget-Rollup]])/DaybyDay[[#This Row],[Budget-Rollup]]),0),"")</f>
        <v>-2.6261192420075626E-2</v>
      </c>
      <c r="X1140" t="b">
        <f>NOT(AND(ISBLANK(DaybyDay[[#This Row],[Appts]]),ISBLANK(DaybyDay[[#This Row],[Service-Actuals]]),ISBLANK(DaybyDay[[#This Row],[Retail-Actuals]])))</f>
        <v>1</v>
      </c>
      <c r="Y1140" s="36">
        <f>IF(DaybyDay[[#This Row],[_Space]],IFERROR(
((DaybyDay[[#This Row],[Actual-Rollup]]-DaybyDay[[#This Row],[LY-Rollup]])/DaybyDay[[#This Row],[LY-Rollup]]),0),"")</f>
        <v>0.13288622628009492</v>
      </c>
      <c r="Z1140"/>
      <c r="AA1140" s="37">
        <f>IF(DaybyDay[[#This Row],[_Space]],DaybyDay[[#This Row],[Ret-Act-RU]]/DaybyDay[[#This Row],[Serv-Act-RU]],"")</f>
        <v>0.26819212082297328</v>
      </c>
      <c r="AB1140" s="50">
        <f>IF(DaybyDay[[#This Row],[_Space]],DaybyDay[[#This Row],[RETPEN-Act]]/DaybyDay[[#This Row],[RETPEN-Bud]],"")</f>
        <v>1.1001923808486307</v>
      </c>
      <c r="AC1140" s="37">
        <f>IF(DaybyDay[[#This Row],[_Space]],DaybyDay[[#This Row],[Ret-Bud-RU]]/DaybyDay[[#This Row],[Serv-Bud-RU]],"")</f>
        <v>0.24376838586730071</v>
      </c>
      <c r="AD1140" s="37">
        <f>IF(DaybyDay[[#This Row],[_Space]],DaybyDay[[#This Row],[Ret-LY-RU]]/DaybyDay[[#This Row],[Serv-LY-RU]],"")</f>
        <v>0.21476631736598753</v>
      </c>
      <c r="AE1140" s="30">
        <f>WEEKDAY(DaybyDay[[#This Row],[LY-Date]])</f>
        <v>7</v>
      </c>
      <c r="AF1140" s="38">
        <f>$E$2+_xlfn.DAYS(DaybyDay[[#This Row],[Date]],minDate)</f>
        <v>43505</v>
      </c>
      <c r="AG1140" s="39" cm="1">
        <f t="array" ref="AG1140">IFERROR(INDEX(DaybyDay[],DaybyDay[[#This Row],[FORM_MATCH_HELPER]],8),"")</f>
        <v>35</v>
      </c>
      <c r="AH1140" s="39" cm="1">
        <f t="array" ref="AH1140">IFERROR(INDEX(DaybyDay[],DaybyDay[[#This Row],[FORM_MATCH_HELPER]],10),"")</f>
        <v>8735.99</v>
      </c>
      <c r="AI1140" s="39" cm="1">
        <f t="array" ref="AI1140">IFERROR(INDEX(DaybyDay[],DaybyDay[[#This Row],[FORM_MATCH_HELPER]],12),"")</f>
        <v>1450</v>
      </c>
      <c r="AJ1140" s="32">
        <f>IFERROR(DaybyDay[[#This Row],[Serv-LY-RU]]+DaybyDay[[#This Row],[Ret-LY-RU]],"")</f>
        <v>210203.19999999995</v>
      </c>
      <c r="AK11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238136.31</v>
      </c>
      <c r="AL1140" s="77"/>
      <c r="AM1140" s="40" t="str">
        <f>IF(DaybyDay[[#This Row],[Admin Hours]]&gt;0,DaybyDay[[#This Row],[Admin Hours]]*$AM$2+$AM$3,"")</f>
        <v/>
      </c>
      <c r="AN1140" s="40">
        <f>SUMIFS(DaybyDay[Est-Admin-Payroll],DaybyDay[Date],"&gt;="&amp;$C$5,DaybyDay[RowYear],"&gt;="&amp;$C$4,DaybyDay[Date],"&lt;="&amp;DaybyDay[[#This Row],[Date]])</f>
        <v>0</v>
      </c>
      <c r="AO1140" s="41" t="str">
        <f>IF(AND(DaybyDay[[#This Row],[_Space]],ISNUMBER(DaybyDay[[#This Row],[Admin Hours]])),DaybyDay[[#This Row],[Est-Admin-Payroll]]/(DaybyDay[[#This Row],[Service-Actuals]]+DaybyDay[[#This Row],[Retail-Actuals]]),"")</f>
        <v/>
      </c>
      <c r="AP1140" s="41">
        <f>DaybyDay[[#This Row],[Estimated-Payroll-Rollup]]/DaybyDay[[#This Row],[Simple-Forecast]]</f>
        <v>0</v>
      </c>
      <c r="AQ11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50360.100000000006</v>
      </c>
      <c r="AR1140" s="77"/>
      <c r="AS1140" s="40" t="str">
        <f>IF(DaybyDay[[#This Row],[Retail Hours]]&gt;0,DaybyDay[[#This Row],[Retail Hours]]*$AS$2,"")</f>
        <v/>
      </c>
      <c r="AT1140" s="40">
        <f>SUMIFS(DaybyDay[Est-Retail-Payroll],DaybyDay[Date],"&gt;="&amp;$C$5,DaybyDay[RowYear],"&gt;="&amp;$C$4,DaybyDay[Date],"&lt;="&amp;DaybyDay[[#This Row],[Date]])</f>
        <v>0</v>
      </c>
      <c r="AU1140" s="82" t="str">
        <f>IF(AND(DaybyDay[[#This Row],[_Space]],ISNUMBER(DaybyDay[[#This Row],[Retail Hours]])),DaybyDay[[#This Row],[Est-Retail-Payroll]]/(DaybyDay[[#This Row],[Retail-Actuals]]),"")</f>
        <v/>
      </c>
      <c r="AV1140" s="82">
        <f>DaybyDay[[#This Row],[Est-Retail-PayrollRU]]/DaybyDay[[#This Row],[Simple-Forecast-Retail]]</f>
        <v>0</v>
      </c>
      <c r="AW1140" s="8"/>
      <c r="AX1140" s="15"/>
      <c r="AY1140" s="8"/>
    </row>
    <row r="1141" spans="3:51" hidden="1" x14ac:dyDescent="0.25">
      <c r="C1141" s="26" t="str">
        <f>Tools!$C$1</f>
        <v>Example</v>
      </c>
      <c r="D1141" s="27" t="s">
        <v>69</v>
      </c>
      <c r="E1141" s="28">
        <v>2020</v>
      </c>
      <c r="F1141" s="28">
        <f>MATCH(DaybyDay[[#This Row],[RowMonth]],Table3[SummaryMonth],0)</f>
        <v>2</v>
      </c>
      <c r="G1141" s="29">
        <f>MATCH(DaybyDay[[#This Row],[LY-Date]],DaybyDay[Date],0)</f>
        <v>771</v>
      </c>
      <c r="H1141" s="30">
        <f>WEEKDAY(DaybyDay[[#This Row],[Date]])</f>
        <v>1</v>
      </c>
      <c r="I1141" s="31">
        <v>43870</v>
      </c>
      <c r="J1141" s="74">
        <v>47</v>
      </c>
      <c r="K1141" s="32">
        <f>SUMIFS(BudgetSeasonality[365 Seasonality],BudgetSeasonality[MonthAdjustment],DaybyDay[[#This Row],[Date]])*SUMIFS(Budgets[Service-Budget],Budgets[BudgetMonth],DaybyDay[[#This Row],[RowMonth]],Budgets[BudgetYear],DaybyDay[[#This Row],[RowYear]])</f>
        <v>7234.3411175140836</v>
      </c>
      <c r="L1141" s="75">
        <v>7577.2</v>
      </c>
      <c r="M1141" s="32">
        <f>INDEX(BudgetSeasonality[365 Seasonality],MATCH(DaybyDay[[#This Row],[Date]],BudgetSeasonality[MonthAdjustment],0))*SUMIFS(Budgets[Retail-Budget],Budgets[BudgetMonth],DaybyDay[[#This Row],[RowMonth]],Budgets[BudgetYear],DaybyDay[[#This Row],[RowYear]])</f>
        <v>1727.0397199407246</v>
      </c>
      <c r="N1141" s="75">
        <v>1744.85</v>
      </c>
      <c r="O1141" s="33">
        <f>SUMIFS(DaybyDay[Service-Budgets],DaybyDay[Date],"&gt;="&amp;$C$5,DaybyDay[RowYear],"&gt;="&amp;$C$4,DaybyDay[Date],"&lt;="&amp;DaybyDay[[#This Row],[Date]])</f>
        <v>203861.55580660104</v>
      </c>
      <c r="P1141" s="33">
        <f>SUMIFS(DaybyDay[Retail-Budgets],DaybyDay[Date],"&gt;="&amp;$C$5,DaybyDay[RowYear],"&gt;="&amp;$C$4,DaybyDay[Date],"&lt;="&amp;DaybyDay[[#This Row],[Date]])</f>
        <v>49658.538462282646</v>
      </c>
      <c r="Q1141" s="34">
        <f>SUMIFS(DaybyDay[Service-Actuals],DaybyDay[Date],"&gt;="&amp;$C$5,DaybyDay[RowYear],"&gt;="&amp;$C$4,DaybyDay[Date],"&lt;="&amp;DaybyDay[[#This Row],[Date]])</f>
        <v>195353.41</v>
      </c>
      <c r="R1141" s="34">
        <f>SUMIFS(DaybyDay[Retail-Actuals],DaybyDay[Date],"&gt;="&amp;$C$5,DaybyDay[RowYear],"&gt;="&amp;$C$4,DaybyDay[Date],"&lt;="&amp;DaybyDay[[#This Row],[Date]])</f>
        <v>52104.950000000004</v>
      </c>
      <c r="S1141" s="35">
        <f>SUMIFS(DaybyDay[Service-LY],DaybyDay[Date],"&gt;="&amp;$C$5,DaybyDay[RowYear],"&gt;="&amp;$C$4,DaybyDay[Date],"&lt;="&amp;DaybyDay[[#This Row],[Date]])</f>
        <v>180442.38999999996</v>
      </c>
      <c r="T1141" s="35">
        <f>SUMIFS(DaybyDay[Retail-LY],DaybyDay[Date],"&gt;="&amp;$C$5,DaybyDay[RowYear],"&gt;="&amp;$C$4,DaybyDay[Date],"&lt;="&amp;DaybyDay[[#This Row],[Date]])</f>
        <v>37667.17</v>
      </c>
      <c r="U1141" s="32">
        <f>DaybyDay[[#This Row],[Serv-Bud-RU]]+DaybyDay[[#This Row],[Ret-Bud-RU]]</f>
        <v>253520.09426888369</v>
      </c>
      <c r="V1141" s="32">
        <f>DaybyDay[[#This Row],[Serv-Act-RU]]+DaybyDay[[#This Row],[Ret-Act-RU]]</f>
        <v>247458.36000000002</v>
      </c>
      <c r="W1141" s="36">
        <f>IF(DaybyDay[[#This Row],[_Space]],IFERROR(
((DaybyDay[[#This Row],[Actual-Rollup]]-DaybyDay[[#This Row],[Budget-Rollup]])/DaybyDay[[#This Row],[Budget-Rollup]]),0),"")</f>
        <v>-2.3910271437713328E-2</v>
      </c>
      <c r="X1141" t="b">
        <f>NOT(AND(ISBLANK(DaybyDay[[#This Row],[Appts]]),ISBLANK(DaybyDay[[#This Row],[Service-Actuals]]),ISBLANK(DaybyDay[[#This Row],[Retail-Actuals]])))</f>
        <v>1</v>
      </c>
      <c r="Y1141" s="36">
        <f>IF(DaybyDay[[#This Row],[_Space]],IFERROR(
((DaybyDay[[#This Row],[Actual-Rollup]]-DaybyDay[[#This Row],[LY-Rollup]])/DaybyDay[[#This Row],[LY-Rollup]]),0),"")</f>
        <v>0.13455989732866402</v>
      </c>
      <c r="Z1141"/>
      <c r="AA1141" s="37">
        <f>IF(DaybyDay[[#This Row],[_Space]],DaybyDay[[#This Row],[Ret-Act-RU]]/DaybyDay[[#This Row],[Serv-Act-RU]],"")</f>
        <v>0.26672147673286073</v>
      </c>
      <c r="AB1141" s="50">
        <f>IF(DaybyDay[[#This Row],[_Space]],DaybyDay[[#This Row],[RETPEN-Act]]/DaybyDay[[#This Row],[RETPEN-Bud]],"")</f>
        <v>1.0949628583026911</v>
      </c>
      <c r="AC1141" s="37">
        <f>IF(DaybyDay[[#This Row],[_Space]],DaybyDay[[#This Row],[Ret-Bud-RU]]/DaybyDay[[#This Row],[Serv-Bud-RU]],"")</f>
        <v>0.24358951969047368</v>
      </c>
      <c r="AD1141" s="37">
        <f>IF(DaybyDay[[#This Row],[_Space]],DaybyDay[[#This Row],[Ret-LY-RU]]/DaybyDay[[#This Row],[Serv-LY-RU]],"")</f>
        <v>0.20874900847855102</v>
      </c>
      <c r="AE1141" s="30">
        <f>WEEKDAY(DaybyDay[[#This Row],[LY-Date]])</f>
        <v>1</v>
      </c>
      <c r="AF1141" s="38">
        <f>$E$2+_xlfn.DAYS(DaybyDay[[#This Row],[Date]],minDate)</f>
        <v>43506</v>
      </c>
      <c r="AG1141" s="39" cm="1">
        <f t="array" ref="AG1141">IFERROR(INDEX(DaybyDay[],DaybyDay[[#This Row],[FORM_MATCH_HELPER]],8),"")</f>
        <v>38</v>
      </c>
      <c r="AH1141" s="39" cm="1">
        <f t="array" ref="AH1141">IFERROR(INDEX(DaybyDay[],DaybyDay[[#This Row],[FORM_MATCH_HELPER]],10),"")</f>
        <v>7402.36</v>
      </c>
      <c r="AI1141" s="39" cm="1">
        <f t="array" ref="AI1141">IFERROR(INDEX(DaybyDay[],DaybyDay[[#This Row],[FORM_MATCH_HELPER]],12),"")</f>
        <v>504</v>
      </c>
      <c r="AJ1141" s="32">
        <f>IFERROR(DaybyDay[[#This Row],[Serv-LY-RU]]+DaybyDay[[#This Row],[Ret-LY-RU]],"")</f>
        <v>218109.55999999994</v>
      </c>
      <c r="AK11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247458.36000000002</v>
      </c>
      <c r="AL1141" s="77"/>
      <c r="AM1141" s="40" t="str">
        <f>IF(DaybyDay[[#This Row],[Admin Hours]]&gt;0,DaybyDay[[#This Row],[Admin Hours]]*$AM$2+$AM$3,"")</f>
        <v/>
      </c>
      <c r="AN1141" s="40">
        <f>SUMIFS(DaybyDay[Est-Admin-Payroll],DaybyDay[Date],"&gt;="&amp;$C$5,DaybyDay[RowYear],"&gt;="&amp;$C$4,DaybyDay[Date],"&lt;="&amp;DaybyDay[[#This Row],[Date]])</f>
        <v>0</v>
      </c>
      <c r="AO1141" s="41" t="str">
        <f>IF(AND(DaybyDay[[#This Row],[_Space]],ISNUMBER(DaybyDay[[#This Row],[Admin Hours]])),DaybyDay[[#This Row],[Est-Admin-Payroll]]/(DaybyDay[[#This Row],[Service-Actuals]]+DaybyDay[[#This Row],[Retail-Actuals]]),"")</f>
        <v/>
      </c>
      <c r="AP1141" s="41">
        <f>DaybyDay[[#This Row],[Estimated-Payroll-Rollup]]/DaybyDay[[#This Row],[Simple-Forecast]]</f>
        <v>0</v>
      </c>
      <c r="AQ11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52104.950000000004</v>
      </c>
      <c r="AR1141" s="77"/>
      <c r="AS1141" s="40" t="str">
        <f>IF(DaybyDay[[#This Row],[Retail Hours]]&gt;0,DaybyDay[[#This Row],[Retail Hours]]*$AS$2,"")</f>
        <v/>
      </c>
      <c r="AT1141" s="40">
        <f>SUMIFS(DaybyDay[Est-Retail-Payroll],DaybyDay[Date],"&gt;="&amp;$C$5,DaybyDay[RowYear],"&gt;="&amp;$C$4,DaybyDay[Date],"&lt;="&amp;DaybyDay[[#This Row],[Date]])</f>
        <v>0</v>
      </c>
      <c r="AU1141" s="82" t="str">
        <f>IF(AND(DaybyDay[[#This Row],[_Space]],ISNUMBER(DaybyDay[[#This Row],[Retail Hours]])),DaybyDay[[#This Row],[Est-Retail-Payroll]]/(DaybyDay[[#This Row],[Retail-Actuals]]),"")</f>
        <v/>
      </c>
      <c r="AV1141" s="82">
        <f>DaybyDay[[#This Row],[Est-Retail-PayrollRU]]/DaybyDay[[#This Row],[Simple-Forecast-Retail]]</f>
        <v>0</v>
      </c>
      <c r="AW1141" s="8"/>
      <c r="AX1141" s="15"/>
      <c r="AY1141" s="8"/>
    </row>
    <row r="1142" spans="3:51" hidden="1" x14ac:dyDescent="0.25">
      <c r="C1142" s="26" t="str">
        <f>Tools!$C$1</f>
        <v>Example</v>
      </c>
      <c r="D1142" s="27" t="s">
        <v>69</v>
      </c>
      <c r="E1142" s="28">
        <v>2020</v>
      </c>
      <c r="F1142" s="28">
        <f>MATCH(DaybyDay[[#This Row],[RowMonth]],Table3[SummaryMonth],0)</f>
        <v>2</v>
      </c>
      <c r="G1142" s="29">
        <f>MATCH(DaybyDay[[#This Row],[LY-Date]],DaybyDay[Date],0)</f>
        <v>772</v>
      </c>
      <c r="H1142" s="30">
        <f>WEEKDAY(DaybyDay[[#This Row],[Date]])</f>
        <v>2</v>
      </c>
      <c r="I1142" s="31">
        <v>43871</v>
      </c>
      <c r="J1142" s="74">
        <v>25</v>
      </c>
      <c r="K1142" s="32">
        <f>SUMIFS(BudgetSeasonality[365 Seasonality],BudgetSeasonality[MonthAdjustment],DaybyDay[[#This Row],[Date]])*SUMIFS(Budgets[Service-Budget],Budgets[BudgetMonth],DaybyDay[[#This Row],[RowMonth]],Budgets[BudgetYear],DaybyDay[[#This Row],[RowYear]])</f>
        <v>4776.8621923167329</v>
      </c>
      <c r="L1142" s="75">
        <v>5619.4</v>
      </c>
      <c r="M1142" s="32">
        <f>INDEX(BudgetSeasonality[365 Seasonality],MATCH(DaybyDay[[#This Row],[Date]],BudgetSeasonality[MonthAdjustment],0))*SUMIFS(Budgets[Retail-Budget],Budgets[BudgetMonth],DaybyDay[[#This Row],[RowMonth]],Budgets[BudgetYear],DaybyDay[[#This Row],[RowYear]])</f>
        <v>1140.3707136288581</v>
      </c>
      <c r="N1142" s="75">
        <v>938.2</v>
      </c>
      <c r="O1142" s="33">
        <f>SUMIFS(DaybyDay[Service-Budgets],DaybyDay[Date],"&gt;="&amp;$C$5,DaybyDay[RowYear],"&gt;="&amp;$C$4,DaybyDay[Date],"&lt;="&amp;DaybyDay[[#This Row],[Date]])</f>
        <v>208638.41799891778</v>
      </c>
      <c r="P1142" s="33">
        <f>SUMIFS(DaybyDay[Retail-Budgets],DaybyDay[Date],"&gt;="&amp;$C$5,DaybyDay[RowYear],"&gt;="&amp;$C$4,DaybyDay[Date],"&lt;="&amp;DaybyDay[[#This Row],[Date]])</f>
        <v>50798.909175911504</v>
      </c>
      <c r="Q1142" s="34">
        <f>SUMIFS(DaybyDay[Service-Actuals],DaybyDay[Date],"&gt;="&amp;$C$5,DaybyDay[RowYear],"&gt;="&amp;$C$4,DaybyDay[Date],"&lt;="&amp;DaybyDay[[#This Row],[Date]])</f>
        <v>200972.81</v>
      </c>
      <c r="R1142" s="34">
        <f>SUMIFS(DaybyDay[Retail-Actuals],DaybyDay[Date],"&gt;="&amp;$C$5,DaybyDay[RowYear],"&gt;="&amp;$C$4,DaybyDay[Date],"&lt;="&amp;DaybyDay[[#This Row],[Date]])</f>
        <v>53043.15</v>
      </c>
      <c r="S1142" s="35">
        <f>SUMIFS(DaybyDay[Service-LY],DaybyDay[Date],"&gt;="&amp;$C$5,DaybyDay[RowYear],"&gt;="&amp;$C$4,DaybyDay[Date],"&lt;="&amp;DaybyDay[[#This Row],[Date]])</f>
        <v>184850.98999999996</v>
      </c>
      <c r="T1142" s="35">
        <f>SUMIFS(DaybyDay[Retail-LY],DaybyDay[Date],"&gt;="&amp;$C$5,DaybyDay[RowYear],"&gt;="&amp;$C$4,DaybyDay[Date],"&lt;="&amp;DaybyDay[[#This Row],[Date]])</f>
        <v>39976.67</v>
      </c>
      <c r="U1142" s="32">
        <f>DaybyDay[[#This Row],[Serv-Bud-RU]]+DaybyDay[[#This Row],[Ret-Bud-RU]]</f>
        <v>259437.32717482929</v>
      </c>
      <c r="V1142" s="32">
        <f>DaybyDay[[#This Row],[Serv-Act-RU]]+DaybyDay[[#This Row],[Ret-Act-RU]]</f>
        <v>254015.96</v>
      </c>
      <c r="W1142" s="36">
        <f>IF(DaybyDay[[#This Row],[_Space]],IFERROR(
((DaybyDay[[#This Row],[Actual-Rollup]]-DaybyDay[[#This Row],[Budget-Rollup]])/DaybyDay[[#This Row],[Budget-Rollup]]),0),"")</f>
        <v>-2.0896635167598508E-2</v>
      </c>
      <c r="X1142" t="b">
        <f>NOT(AND(ISBLANK(DaybyDay[[#This Row],[Appts]]),ISBLANK(DaybyDay[[#This Row],[Service-Actuals]]),ISBLANK(DaybyDay[[#This Row],[Retail-Actuals]])))</f>
        <v>1</v>
      </c>
      <c r="Y1142" s="36">
        <f>IF(DaybyDay[[#This Row],[_Space]],IFERROR(
((DaybyDay[[#This Row],[Actual-Rollup]]-DaybyDay[[#This Row],[LY-Rollup]])/DaybyDay[[#This Row],[LY-Rollup]]),0),"")</f>
        <v>0.12982521812485182</v>
      </c>
      <c r="Z1142"/>
      <c r="AA1142" s="37">
        <f>IF(DaybyDay[[#This Row],[_Space]],DaybyDay[[#This Row],[Ret-Act-RU]]/DaybyDay[[#This Row],[Serv-Act-RU]],"")</f>
        <v>0.26393197169308624</v>
      </c>
      <c r="AB1142" s="50">
        <f>IF(DaybyDay[[#This Row],[_Space]],DaybyDay[[#This Row],[RETPEN-Act]]/DaybyDay[[#This Row],[RETPEN-Bud]],"")</f>
        <v>1.084006525468715</v>
      </c>
      <c r="AC1142" s="37">
        <f>IF(DaybyDay[[#This Row],[_Space]],DaybyDay[[#This Row],[Ret-Bud-RU]]/DaybyDay[[#This Row],[Serv-Bud-RU]],"")</f>
        <v>0.24347821299227357</v>
      </c>
      <c r="AD1142" s="37">
        <f>IF(DaybyDay[[#This Row],[_Space]],DaybyDay[[#This Row],[Ret-LY-RU]]/DaybyDay[[#This Row],[Serv-LY-RU]],"")</f>
        <v>0.21626430023447538</v>
      </c>
      <c r="AE1142" s="30">
        <f>WEEKDAY(DaybyDay[[#This Row],[LY-Date]])</f>
        <v>2</v>
      </c>
      <c r="AF1142" s="38">
        <f>$E$2+_xlfn.DAYS(DaybyDay[[#This Row],[Date]],minDate)</f>
        <v>43507</v>
      </c>
      <c r="AG1142" s="39" cm="1">
        <f t="array" ref="AG1142">IFERROR(INDEX(DaybyDay[],DaybyDay[[#This Row],[FORM_MATCH_HELPER]],8),"")</f>
        <v>23</v>
      </c>
      <c r="AH1142" s="39" cm="1">
        <f t="array" ref="AH1142">IFERROR(INDEX(DaybyDay[],DaybyDay[[#This Row],[FORM_MATCH_HELPER]],10),"")</f>
        <v>4408.6000000000004</v>
      </c>
      <c r="AI1142" s="39" cm="1">
        <f t="array" ref="AI1142">IFERROR(INDEX(DaybyDay[],DaybyDay[[#This Row],[FORM_MATCH_HELPER]],12),"")</f>
        <v>2309.5</v>
      </c>
      <c r="AJ1142" s="32">
        <f>IFERROR(DaybyDay[[#This Row],[Serv-LY-RU]]+DaybyDay[[#This Row],[Ret-LY-RU]],"")</f>
        <v>224827.65999999997</v>
      </c>
      <c r="AK11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254015.96</v>
      </c>
      <c r="AL1142" s="77"/>
      <c r="AM1142" s="40" t="str">
        <f>IF(DaybyDay[[#This Row],[Admin Hours]]&gt;0,DaybyDay[[#This Row],[Admin Hours]]*$AM$2+$AM$3,"")</f>
        <v/>
      </c>
      <c r="AN1142" s="40">
        <f>SUMIFS(DaybyDay[Est-Admin-Payroll],DaybyDay[Date],"&gt;="&amp;$C$5,DaybyDay[RowYear],"&gt;="&amp;$C$4,DaybyDay[Date],"&lt;="&amp;DaybyDay[[#This Row],[Date]])</f>
        <v>0</v>
      </c>
      <c r="AO1142" s="41" t="str">
        <f>IF(AND(DaybyDay[[#This Row],[_Space]],ISNUMBER(DaybyDay[[#This Row],[Admin Hours]])),DaybyDay[[#This Row],[Est-Admin-Payroll]]/(DaybyDay[[#This Row],[Service-Actuals]]+DaybyDay[[#This Row],[Retail-Actuals]]),"")</f>
        <v/>
      </c>
      <c r="AP1142" s="41">
        <f>DaybyDay[[#This Row],[Estimated-Payroll-Rollup]]/DaybyDay[[#This Row],[Simple-Forecast]]</f>
        <v>0</v>
      </c>
      <c r="AQ11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53043.15</v>
      </c>
      <c r="AR1142" s="77"/>
      <c r="AS1142" s="40" t="str">
        <f>IF(DaybyDay[[#This Row],[Retail Hours]]&gt;0,DaybyDay[[#This Row],[Retail Hours]]*$AS$2,"")</f>
        <v/>
      </c>
      <c r="AT1142" s="40">
        <f>SUMIFS(DaybyDay[Est-Retail-Payroll],DaybyDay[Date],"&gt;="&amp;$C$5,DaybyDay[RowYear],"&gt;="&amp;$C$4,DaybyDay[Date],"&lt;="&amp;DaybyDay[[#This Row],[Date]])</f>
        <v>0</v>
      </c>
      <c r="AU1142" s="82" t="str">
        <f>IF(AND(DaybyDay[[#This Row],[_Space]],ISNUMBER(DaybyDay[[#This Row],[Retail Hours]])),DaybyDay[[#This Row],[Est-Retail-Payroll]]/(DaybyDay[[#This Row],[Retail-Actuals]]),"")</f>
        <v/>
      </c>
      <c r="AV1142" s="82">
        <f>DaybyDay[[#This Row],[Est-Retail-PayrollRU]]/DaybyDay[[#This Row],[Simple-Forecast-Retail]]</f>
        <v>0</v>
      </c>
      <c r="AW1142" s="8"/>
      <c r="AX1142" s="15"/>
      <c r="AY1142" s="8"/>
    </row>
    <row r="1143" spans="3:51" hidden="1" x14ac:dyDescent="0.25">
      <c r="C1143" s="26" t="str">
        <f>Tools!$C$1</f>
        <v>Example</v>
      </c>
      <c r="D1143" s="27" t="s">
        <v>69</v>
      </c>
      <c r="E1143" s="28">
        <v>2020</v>
      </c>
      <c r="F1143" s="28">
        <f>MATCH(DaybyDay[[#This Row],[RowMonth]],Table3[SummaryMonth],0)</f>
        <v>2</v>
      </c>
      <c r="G1143" s="29">
        <f>MATCH(DaybyDay[[#This Row],[LY-Date]],DaybyDay[Date],0)</f>
        <v>773</v>
      </c>
      <c r="H1143" s="30">
        <f>WEEKDAY(DaybyDay[[#This Row],[Date]])</f>
        <v>3</v>
      </c>
      <c r="I1143" s="31">
        <v>43872</v>
      </c>
      <c r="J1143" s="74">
        <v>15</v>
      </c>
      <c r="K1143" s="32">
        <f>SUMIFS(BudgetSeasonality[365 Seasonality],BudgetSeasonality[MonthAdjustment],DaybyDay[[#This Row],[Date]])*SUMIFS(Budgets[Service-Budget],Budgets[BudgetMonth],DaybyDay[[#This Row],[RowMonth]],Budgets[BudgetYear],DaybyDay[[#This Row],[RowYear]])</f>
        <v>4869.3352208740262</v>
      </c>
      <c r="L1143" s="75">
        <v>4000</v>
      </c>
      <c r="M1143" s="32">
        <f>INDEX(BudgetSeasonality[365 Seasonality],MATCH(DaybyDay[[#This Row],[Date]],BudgetSeasonality[MonthAdjustment],0))*SUMIFS(Budgets[Retail-Budget],Budgets[BudgetMonth],DaybyDay[[#This Row],[RowMonth]],Budgets[BudgetYear],DaybyDay[[#This Row],[RowYear]])</f>
        <v>1162.4466139420213</v>
      </c>
      <c r="N1143" s="75">
        <v>864</v>
      </c>
      <c r="O1143" s="33">
        <f>SUMIFS(DaybyDay[Service-Budgets],DaybyDay[Date],"&gt;="&amp;$C$5,DaybyDay[RowYear],"&gt;="&amp;$C$4,DaybyDay[Date],"&lt;="&amp;DaybyDay[[#This Row],[Date]])</f>
        <v>213507.7532197918</v>
      </c>
      <c r="P1143" s="33">
        <f>SUMIFS(DaybyDay[Retail-Budgets],DaybyDay[Date],"&gt;="&amp;$C$5,DaybyDay[RowYear],"&gt;="&amp;$C$4,DaybyDay[Date],"&lt;="&amp;DaybyDay[[#This Row],[Date]])</f>
        <v>51961.355789853522</v>
      </c>
      <c r="Q1143" s="34">
        <f>SUMIFS(DaybyDay[Service-Actuals],DaybyDay[Date],"&gt;="&amp;$C$5,DaybyDay[RowYear],"&gt;="&amp;$C$4,DaybyDay[Date],"&lt;="&amp;DaybyDay[[#This Row],[Date]])</f>
        <v>204972.81</v>
      </c>
      <c r="R1143" s="34">
        <f>SUMIFS(DaybyDay[Retail-Actuals],DaybyDay[Date],"&gt;="&amp;$C$5,DaybyDay[RowYear],"&gt;="&amp;$C$4,DaybyDay[Date],"&lt;="&amp;DaybyDay[[#This Row],[Date]])</f>
        <v>53907.15</v>
      </c>
      <c r="S1143" s="35">
        <f>SUMIFS(DaybyDay[Service-LY],DaybyDay[Date],"&gt;="&amp;$C$5,DaybyDay[RowYear],"&gt;="&amp;$C$4,DaybyDay[Date],"&lt;="&amp;DaybyDay[[#This Row],[Date]])</f>
        <v>188559.03999999995</v>
      </c>
      <c r="T1143" s="35">
        <f>SUMIFS(DaybyDay[Retail-LY],DaybyDay[Date],"&gt;="&amp;$C$5,DaybyDay[RowYear],"&gt;="&amp;$C$4,DaybyDay[Date],"&lt;="&amp;DaybyDay[[#This Row],[Date]])</f>
        <v>40938.67</v>
      </c>
      <c r="U1143" s="32">
        <f>DaybyDay[[#This Row],[Serv-Bud-RU]]+DaybyDay[[#This Row],[Ret-Bud-RU]]</f>
        <v>265469.1090096453</v>
      </c>
      <c r="V1143" s="32">
        <f>DaybyDay[[#This Row],[Serv-Act-RU]]+DaybyDay[[#This Row],[Ret-Act-RU]]</f>
        <v>258879.96</v>
      </c>
      <c r="W1143" s="36">
        <f>IF(DaybyDay[[#This Row],[_Space]],IFERROR(
((DaybyDay[[#This Row],[Actual-Rollup]]-DaybyDay[[#This Row],[Budget-Rollup]])/DaybyDay[[#This Row],[Budget-Rollup]]),0),"")</f>
        <v>-2.4820774945253241E-2</v>
      </c>
      <c r="X1143" t="b">
        <f>NOT(AND(ISBLANK(DaybyDay[[#This Row],[Appts]]),ISBLANK(DaybyDay[[#This Row],[Service-Actuals]]),ISBLANK(DaybyDay[[#This Row],[Retail-Actuals]])))</f>
        <v>1</v>
      </c>
      <c r="Y1143" s="36">
        <f>IF(DaybyDay[[#This Row],[_Space]],IFERROR(
((DaybyDay[[#This Row],[Actual-Rollup]]-DaybyDay[[#This Row],[LY-Rollup]])/DaybyDay[[#This Row],[LY-Rollup]]),0),"")</f>
        <v>0.12802851061128251</v>
      </c>
      <c r="Z1143"/>
      <c r="AA1143" s="37">
        <f>IF(DaybyDay[[#This Row],[_Space]],DaybyDay[[#This Row],[Ret-Act-RU]]/DaybyDay[[#This Row],[Serv-Act-RU]],"")</f>
        <v>0.26299658964523148</v>
      </c>
      <c r="AB1143" s="50">
        <f>IF(DaybyDay[[#This Row],[_Space]],DaybyDay[[#This Row],[RETPEN-Act]]/DaybyDay[[#This Row],[RETPEN-Bud]],"")</f>
        <v>1.0806456087619192</v>
      </c>
      <c r="AC1143" s="37">
        <f>IF(DaybyDay[[#This Row],[_Space]],DaybyDay[[#This Row],[Ret-Bud-RU]]/DaybyDay[[#This Row],[Serv-Bud-RU]],"")</f>
        <v>0.24336987770351748</v>
      </c>
      <c r="AD1143" s="37">
        <f>IF(DaybyDay[[#This Row],[_Space]],DaybyDay[[#This Row],[Ret-LY-RU]]/DaybyDay[[#This Row],[Serv-LY-RU]],"")</f>
        <v>0.21711327125976038</v>
      </c>
      <c r="AE1143" s="30">
        <f>WEEKDAY(DaybyDay[[#This Row],[LY-Date]])</f>
        <v>3</v>
      </c>
      <c r="AF1143" s="38">
        <f>$E$2+_xlfn.DAYS(DaybyDay[[#This Row],[Date]],minDate)</f>
        <v>43508</v>
      </c>
      <c r="AG1143" s="39" cm="1">
        <f t="array" ref="AG1143">IFERROR(INDEX(DaybyDay[],DaybyDay[[#This Row],[FORM_MATCH_HELPER]],8),"")</f>
        <v>17</v>
      </c>
      <c r="AH1143" s="39" cm="1">
        <f t="array" ref="AH1143">IFERROR(INDEX(DaybyDay[],DaybyDay[[#This Row],[FORM_MATCH_HELPER]],10),"")</f>
        <v>3708.05</v>
      </c>
      <c r="AI1143" s="39" cm="1">
        <f t="array" ref="AI1143">IFERROR(INDEX(DaybyDay[],DaybyDay[[#This Row],[FORM_MATCH_HELPER]],12),"")</f>
        <v>962</v>
      </c>
      <c r="AJ1143" s="32">
        <f>IFERROR(DaybyDay[[#This Row],[Serv-LY-RU]]+DaybyDay[[#This Row],[Ret-LY-RU]],"")</f>
        <v>229497.70999999996</v>
      </c>
      <c r="AK11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258879.96</v>
      </c>
      <c r="AL1143" s="77"/>
      <c r="AM1143" s="40" t="str">
        <f>IF(DaybyDay[[#This Row],[Admin Hours]]&gt;0,DaybyDay[[#This Row],[Admin Hours]]*$AM$2+$AM$3,"")</f>
        <v/>
      </c>
      <c r="AN1143" s="40">
        <f>SUMIFS(DaybyDay[Est-Admin-Payroll],DaybyDay[Date],"&gt;="&amp;$C$5,DaybyDay[RowYear],"&gt;="&amp;$C$4,DaybyDay[Date],"&lt;="&amp;DaybyDay[[#This Row],[Date]])</f>
        <v>0</v>
      </c>
      <c r="AO1143" s="41" t="str">
        <f>IF(AND(DaybyDay[[#This Row],[_Space]],ISNUMBER(DaybyDay[[#This Row],[Admin Hours]])),DaybyDay[[#This Row],[Est-Admin-Payroll]]/(DaybyDay[[#This Row],[Service-Actuals]]+DaybyDay[[#This Row],[Retail-Actuals]]),"")</f>
        <v/>
      </c>
      <c r="AP1143" s="41">
        <f>DaybyDay[[#This Row],[Estimated-Payroll-Rollup]]/DaybyDay[[#This Row],[Simple-Forecast]]</f>
        <v>0</v>
      </c>
      <c r="AQ11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53907.15</v>
      </c>
      <c r="AR1143" s="77"/>
      <c r="AS1143" s="40" t="str">
        <f>IF(DaybyDay[[#This Row],[Retail Hours]]&gt;0,DaybyDay[[#This Row],[Retail Hours]]*$AS$2,"")</f>
        <v/>
      </c>
      <c r="AT1143" s="40">
        <f>SUMIFS(DaybyDay[Est-Retail-Payroll],DaybyDay[Date],"&gt;="&amp;$C$5,DaybyDay[RowYear],"&gt;="&amp;$C$4,DaybyDay[Date],"&lt;="&amp;DaybyDay[[#This Row],[Date]])</f>
        <v>0</v>
      </c>
      <c r="AU1143" s="82" t="str">
        <f>IF(AND(DaybyDay[[#This Row],[_Space]],ISNUMBER(DaybyDay[[#This Row],[Retail Hours]])),DaybyDay[[#This Row],[Est-Retail-Payroll]]/(DaybyDay[[#This Row],[Retail-Actuals]]),"")</f>
        <v/>
      </c>
      <c r="AV1143" s="82">
        <f>DaybyDay[[#This Row],[Est-Retail-PayrollRU]]/DaybyDay[[#This Row],[Simple-Forecast-Retail]]</f>
        <v>0</v>
      </c>
      <c r="AW1143" s="8"/>
      <c r="AX1143" s="15"/>
      <c r="AY1143" s="8"/>
    </row>
    <row r="1144" spans="3:51" hidden="1" x14ac:dyDescent="0.25">
      <c r="C1144" s="26" t="str">
        <f>Tools!$C$1</f>
        <v>Example</v>
      </c>
      <c r="D1144" s="27" t="s">
        <v>69</v>
      </c>
      <c r="E1144" s="28">
        <v>2020</v>
      </c>
      <c r="F1144" s="28">
        <f>MATCH(DaybyDay[[#This Row],[RowMonth]],Table3[SummaryMonth],0)</f>
        <v>2</v>
      </c>
      <c r="G1144" s="29">
        <f>MATCH(DaybyDay[[#This Row],[LY-Date]],DaybyDay[Date],0)</f>
        <v>774</v>
      </c>
      <c r="H1144" s="30">
        <f>WEEKDAY(DaybyDay[[#This Row],[Date]])</f>
        <v>4</v>
      </c>
      <c r="I1144" s="31">
        <v>43873</v>
      </c>
      <c r="J1144" s="74">
        <v>21</v>
      </c>
      <c r="K1144" s="32">
        <f>SUMIFS(BudgetSeasonality[365 Seasonality],BudgetSeasonality[MonthAdjustment],DaybyDay[[#This Row],[Date]])*SUMIFS(Budgets[Service-Budget],Budgets[BudgetMonth],DaybyDay[[#This Row],[RowMonth]],Budgets[BudgetYear],DaybyDay[[#This Row],[RowYear]])</f>
        <v>5401.4303090630765</v>
      </c>
      <c r="L1144" s="75">
        <v>3563.4</v>
      </c>
      <c r="M1144" s="32">
        <f>INDEX(BudgetSeasonality[365 Seasonality],MATCH(DaybyDay[[#This Row],[Date]],BudgetSeasonality[MonthAdjustment],0))*SUMIFS(Budgets[Retail-Budget],Budgets[BudgetMonth],DaybyDay[[#This Row],[RowMonth]],Budgets[BudgetYear],DaybyDay[[#This Row],[RowYear]])</f>
        <v>1289.4726052742669</v>
      </c>
      <c r="N1144" s="75">
        <v>60</v>
      </c>
      <c r="O1144" s="33">
        <f>SUMIFS(DaybyDay[Service-Budgets],DaybyDay[Date],"&gt;="&amp;$C$5,DaybyDay[RowYear],"&gt;="&amp;$C$4,DaybyDay[Date],"&lt;="&amp;DaybyDay[[#This Row],[Date]])</f>
        <v>218909.18352885489</v>
      </c>
      <c r="P1144" s="33">
        <f>SUMIFS(DaybyDay[Retail-Budgets],DaybyDay[Date],"&gt;="&amp;$C$5,DaybyDay[RowYear],"&gt;="&amp;$C$4,DaybyDay[Date],"&lt;="&amp;DaybyDay[[#This Row],[Date]])</f>
        <v>53250.828395127792</v>
      </c>
      <c r="Q1144" s="34">
        <f>SUMIFS(DaybyDay[Service-Actuals],DaybyDay[Date],"&gt;="&amp;$C$5,DaybyDay[RowYear],"&gt;="&amp;$C$4,DaybyDay[Date],"&lt;="&amp;DaybyDay[[#This Row],[Date]])</f>
        <v>208536.21</v>
      </c>
      <c r="R1144" s="34">
        <f>SUMIFS(DaybyDay[Retail-Actuals],DaybyDay[Date],"&gt;="&amp;$C$5,DaybyDay[RowYear],"&gt;="&amp;$C$4,DaybyDay[Date],"&lt;="&amp;DaybyDay[[#This Row],[Date]])</f>
        <v>53967.15</v>
      </c>
      <c r="S1144" s="35">
        <f>SUMIFS(DaybyDay[Service-LY],DaybyDay[Date],"&gt;="&amp;$C$5,DaybyDay[RowYear],"&gt;="&amp;$C$4,DaybyDay[Date],"&lt;="&amp;DaybyDay[[#This Row],[Date]])</f>
        <v>193761.63999999996</v>
      </c>
      <c r="T1144" s="35">
        <f>SUMIFS(DaybyDay[Retail-LY],DaybyDay[Date],"&gt;="&amp;$C$5,DaybyDay[RowYear],"&gt;="&amp;$C$4,DaybyDay[Date],"&lt;="&amp;DaybyDay[[#This Row],[Date]])</f>
        <v>41907.67</v>
      </c>
      <c r="U1144" s="32">
        <f>DaybyDay[[#This Row],[Serv-Bud-RU]]+DaybyDay[[#This Row],[Ret-Bud-RU]]</f>
        <v>272160.0119239827</v>
      </c>
      <c r="V1144" s="32">
        <f>DaybyDay[[#This Row],[Serv-Act-RU]]+DaybyDay[[#This Row],[Ret-Act-RU]]</f>
        <v>262503.36</v>
      </c>
      <c r="W1144" s="36">
        <f>IF(DaybyDay[[#This Row],[_Space]],IFERROR(
((DaybyDay[[#This Row],[Actual-Rollup]]-DaybyDay[[#This Row],[Budget-Rollup]])/DaybyDay[[#This Row],[Budget-Rollup]]),0),"")</f>
        <v>-3.548152373935054E-2</v>
      </c>
      <c r="X1144" t="b">
        <f>NOT(AND(ISBLANK(DaybyDay[[#This Row],[Appts]]),ISBLANK(DaybyDay[[#This Row],[Service-Actuals]]),ISBLANK(DaybyDay[[#This Row],[Retail-Actuals]])))</f>
        <v>1</v>
      </c>
      <c r="Y1144" s="36">
        <f>IF(DaybyDay[[#This Row],[_Space]],IFERROR(
((DaybyDay[[#This Row],[Actual-Rollup]]-DaybyDay[[#This Row],[LY-Rollup]])/DaybyDay[[#This Row],[LY-Rollup]]),0),"")</f>
        <v>0.11386315002152828</v>
      </c>
      <c r="Z1144"/>
      <c r="AA1144" s="37">
        <f>IF(DaybyDay[[#This Row],[_Space]],DaybyDay[[#This Row],[Ret-Act-RU]]/DaybyDay[[#This Row],[Serv-Act-RU]],"")</f>
        <v>0.25879030792781743</v>
      </c>
      <c r="AB1144" s="50">
        <f>IF(DaybyDay[[#This Row],[_Space]],DaybyDay[[#This Row],[RETPEN-Act]]/DaybyDay[[#This Row],[RETPEN-Bud]],"")</f>
        <v>1.0638627927681745</v>
      </c>
      <c r="AC1144" s="37">
        <f>IF(DaybyDay[[#This Row],[_Space]],DaybyDay[[#This Row],[Ret-Bud-RU]]/DaybyDay[[#This Row],[Serv-Bud-RU]],"")</f>
        <v>0.24325534240599223</v>
      </c>
      <c r="AD1144" s="37">
        <f>IF(DaybyDay[[#This Row],[_Space]],DaybyDay[[#This Row],[Ret-LY-RU]]/DaybyDay[[#This Row],[Serv-LY-RU]],"")</f>
        <v>0.21628465778881728</v>
      </c>
      <c r="AE1144" s="30">
        <f>WEEKDAY(DaybyDay[[#This Row],[LY-Date]])</f>
        <v>4</v>
      </c>
      <c r="AF1144" s="38">
        <f>$E$2+_xlfn.DAYS(DaybyDay[[#This Row],[Date]],minDate)</f>
        <v>43509</v>
      </c>
      <c r="AG1144" s="39" cm="1">
        <f t="array" ref="AG1144">IFERROR(INDEX(DaybyDay[],DaybyDay[[#This Row],[FORM_MATCH_HELPER]],8),"")</f>
        <v>21</v>
      </c>
      <c r="AH1144" s="39" cm="1">
        <f t="array" ref="AH1144">IFERROR(INDEX(DaybyDay[],DaybyDay[[#This Row],[FORM_MATCH_HELPER]],10),"")</f>
        <v>5202.6000000000004</v>
      </c>
      <c r="AI1144" s="39" cm="1">
        <f t="array" ref="AI1144">IFERROR(INDEX(DaybyDay[],DaybyDay[[#This Row],[FORM_MATCH_HELPER]],12),"")</f>
        <v>969</v>
      </c>
      <c r="AJ1144" s="32">
        <f>IFERROR(DaybyDay[[#This Row],[Serv-LY-RU]]+DaybyDay[[#This Row],[Ret-LY-RU]],"")</f>
        <v>235669.30999999994</v>
      </c>
      <c r="AK11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262503.36</v>
      </c>
      <c r="AL1144" s="77"/>
      <c r="AM1144" s="40" t="str">
        <f>IF(DaybyDay[[#This Row],[Admin Hours]]&gt;0,DaybyDay[[#This Row],[Admin Hours]]*$AM$2+$AM$3,"")</f>
        <v/>
      </c>
      <c r="AN1144" s="40">
        <f>SUMIFS(DaybyDay[Est-Admin-Payroll],DaybyDay[Date],"&gt;="&amp;$C$5,DaybyDay[RowYear],"&gt;="&amp;$C$4,DaybyDay[Date],"&lt;="&amp;DaybyDay[[#This Row],[Date]])</f>
        <v>0</v>
      </c>
      <c r="AO1144" s="41" t="str">
        <f>IF(AND(DaybyDay[[#This Row],[_Space]],ISNUMBER(DaybyDay[[#This Row],[Admin Hours]])),DaybyDay[[#This Row],[Est-Admin-Payroll]]/(DaybyDay[[#This Row],[Service-Actuals]]+DaybyDay[[#This Row],[Retail-Actuals]]),"")</f>
        <v/>
      </c>
      <c r="AP1144" s="41">
        <f>DaybyDay[[#This Row],[Estimated-Payroll-Rollup]]/DaybyDay[[#This Row],[Simple-Forecast]]</f>
        <v>0</v>
      </c>
      <c r="AQ11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53967.15</v>
      </c>
      <c r="AR1144" s="77"/>
      <c r="AS1144" s="40" t="str">
        <f>IF(DaybyDay[[#This Row],[Retail Hours]]&gt;0,DaybyDay[[#This Row],[Retail Hours]]*$AS$2,"")</f>
        <v/>
      </c>
      <c r="AT1144" s="40">
        <f>SUMIFS(DaybyDay[Est-Retail-Payroll],DaybyDay[Date],"&gt;="&amp;$C$5,DaybyDay[RowYear],"&gt;="&amp;$C$4,DaybyDay[Date],"&lt;="&amp;DaybyDay[[#This Row],[Date]])</f>
        <v>0</v>
      </c>
      <c r="AU1144" s="82" t="str">
        <f>IF(AND(DaybyDay[[#This Row],[_Space]],ISNUMBER(DaybyDay[[#This Row],[Retail Hours]])),DaybyDay[[#This Row],[Est-Retail-Payroll]]/(DaybyDay[[#This Row],[Retail-Actuals]]),"")</f>
        <v/>
      </c>
      <c r="AV1144" s="82">
        <f>DaybyDay[[#This Row],[Est-Retail-PayrollRU]]/DaybyDay[[#This Row],[Simple-Forecast-Retail]]</f>
        <v>0</v>
      </c>
      <c r="AW1144" s="8"/>
      <c r="AX1144" s="15"/>
      <c r="AY1144" s="8"/>
    </row>
    <row r="1145" spans="3:51" hidden="1" x14ac:dyDescent="0.25">
      <c r="C1145" s="26" t="str">
        <f>Tools!$C$1</f>
        <v>Example</v>
      </c>
      <c r="D1145" s="27" t="s">
        <v>69</v>
      </c>
      <c r="E1145" s="28">
        <v>2020</v>
      </c>
      <c r="F1145" s="28">
        <f>MATCH(DaybyDay[[#This Row],[RowMonth]],Table3[SummaryMonth],0)</f>
        <v>2</v>
      </c>
      <c r="G1145" s="29">
        <f>MATCH(DaybyDay[[#This Row],[LY-Date]],DaybyDay[Date],0)</f>
        <v>775</v>
      </c>
      <c r="H1145" s="30">
        <f>WEEKDAY(DaybyDay[[#This Row],[Date]])</f>
        <v>5</v>
      </c>
      <c r="I1145" s="31">
        <v>43874</v>
      </c>
      <c r="J1145" s="74">
        <v>22</v>
      </c>
      <c r="K1145" s="32">
        <f>SUMIFS(BudgetSeasonality[365 Seasonality],BudgetSeasonality[MonthAdjustment],DaybyDay[[#This Row],[Date]])*SUMIFS(Budgets[Service-Budget],Budgets[BudgetMonth],DaybyDay[[#This Row],[RowMonth]],Budgets[BudgetYear],DaybyDay[[#This Row],[RowYear]])</f>
        <v>5469.2275181804789</v>
      </c>
      <c r="L1145" s="75">
        <v>4788</v>
      </c>
      <c r="M1145" s="32">
        <f>INDEX(BudgetSeasonality[365 Seasonality],MATCH(DaybyDay[[#This Row],[Date]],BudgetSeasonality[MonthAdjustment],0))*SUMIFS(Budgets[Retail-Budget],Budgets[BudgetMonth],DaybyDay[[#This Row],[RowMonth]],Budgets[BudgetYear],DaybyDay[[#This Row],[RowYear]])</f>
        <v>1305.6576967905371</v>
      </c>
      <c r="N1145" s="75">
        <v>1096.5</v>
      </c>
      <c r="O1145" s="33">
        <f>SUMIFS(DaybyDay[Service-Budgets],DaybyDay[Date],"&gt;="&amp;$C$5,DaybyDay[RowYear],"&gt;="&amp;$C$4,DaybyDay[Date],"&lt;="&amp;DaybyDay[[#This Row],[Date]])</f>
        <v>224378.41104703536</v>
      </c>
      <c r="P1145" s="33">
        <f>SUMIFS(DaybyDay[Retail-Budgets],DaybyDay[Date],"&gt;="&amp;$C$5,DaybyDay[RowYear],"&gt;="&amp;$C$4,DaybyDay[Date],"&lt;="&amp;DaybyDay[[#This Row],[Date]])</f>
        <v>54556.486091918327</v>
      </c>
      <c r="Q1145" s="34">
        <f>SUMIFS(DaybyDay[Service-Actuals],DaybyDay[Date],"&gt;="&amp;$C$5,DaybyDay[RowYear],"&gt;="&amp;$C$4,DaybyDay[Date],"&lt;="&amp;DaybyDay[[#This Row],[Date]])</f>
        <v>213324.21</v>
      </c>
      <c r="R1145" s="34">
        <f>SUMIFS(DaybyDay[Retail-Actuals],DaybyDay[Date],"&gt;="&amp;$C$5,DaybyDay[RowYear],"&gt;="&amp;$C$4,DaybyDay[Date],"&lt;="&amp;DaybyDay[[#This Row],[Date]])</f>
        <v>55063.65</v>
      </c>
      <c r="S1145" s="35">
        <f>SUMIFS(DaybyDay[Service-LY],DaybyDay[Date],"&gt;="&amp;$C$5,DaybyDay[RowYear],"&gt;="&amp;$C$4,DaybyDay[Date],"&lt;="&amp;DaybyDay[[#This Row],[Date]])</f>
        <v>202509.63999999996</v>
      </c>
      <c r="T1145" s="35">
        <f>SUMIFS(DaybyDay[Retail-LY],DaybyDay[Date],"&gt;="&amp;$C$5,DaybyDay[RowYear],"&gt;="&amp;$C$4,DaybyDay[Date],"&lt;="&amp;DaybyDay[[#This Row],[Date]])</f>
        <v>48336.159999999996</v>
      </c>
      <c r="U1145" s="32">
        <f>DaybyDay[[#This Row],[Serv-Bud-RU]]+DaybyDay[[#This Row],[Ret-Bud-RU]]</f>
        <v>278934.89713895367</v>
      </c>
      <c r="V1145" s="32">
        <f>DaybyDay[[#This Row],[Serv-Act-RU]]+DaybyDay[[#This Row],[Ret-Act-RU]]</f>
        <v>268387.86</v>
      </c>
      <c r="W1145" s="36">
        <f>IF(DaybyDay[[#This Row],[_Space]],IFERROR(
((DaybyDay[[#This Row],[Actual-Rollup]]-DaybyDay[[#This Row],[Budget-Rollup]])/DaybyDay[[#This Row],[Budget-Rollup]]),0),"")</f>
        <v>-3.7811823644639191E-2</v>
      </c>
      <c r="X1145" t="b">
        <f>NOT(AND(ISBLANK(DaybyDay[[#This Row],[Appts]]),ISBLANK(DaybyDay[[#This Row],[Service-Actuals]]),ISBLANK(DaybyDay[[#This Row],[Retail-Actuals]])))</f>
        <v>1</v>
      </c>
      <c r="Y1145" s="36">
        <f>IF(DaybyDay[[#This Row],[_Space]],IFERROR(
((DaybyDay[[#This Row],[Actual-Rollup]]-DaybyDay[[#This Row],[LY-Rollup]])/DaybyDay[[#This Row],[LY-Rollup]]),0),"")</f>
        <v>6.9931647251020468E-2</v>
      </c>
      <c r="Z1145"/>
      <c r="AA1145" s="37">
        <f>IF(DaybyDay[[#This Row],[_Space]],DaybyDay[[#This Row],[Ret-Act-RU]]/DaybyDay[[#This Row],[Serv-Act-RU]],"")</f>
        <v>0.25812189811929925</v>
      </c>
      <c r="AB1145" s="50">
        <f>IF(DaybyDay[[#This Row],[_Space]],DaybyDay[[#This Row],[RETPEN-Act]]/DaybyDay[[#This Row],[RETPEN-Bud]],"")</f>
        <v>1.0615966222397999</v>
      </c>
      <c r="AC1145" s="37">
        <f>IF(DaybyDay[[#This Row],[_Space]],DaybyDay[[#This Row],[Ret-Bud-RU]]/DaybyDay[[#This Row],[Serv-Bud-RU]],"")</f>
        <v>0.2431449881356095</v>
      </c>
      <c r="AD1145" s="37">
        <f>IF(DaybyDay[[#This Row],[_Space]],DaybyDay[[#This Row],[Ret-LY-RU]]/DaybyDay[[#This Row],[Serv-LY-RU]],"")</f>
        <v>0.23868572380060527</v>
      </c>
      <c r="AE1145" s="30">
        <f>WEEKDAY(DaybyDay[[#This Row],[LY-Date]])</f>
        <v>5</v>
      </c>
      <c r="AF1145" s="38">
        <f>$E$2+_xlfn.DAYS(DaybyDay[[#This Row],[Date]],minDate)</f>
        <v>43510</v>
      </c>
      <c r="AG1145" s="39" cm="1">
        <f t="array" ref="AG1145">IFERROR(INDEX(DaybyDay[],DaybyDay[[#This Row],[FORM_MATCH_HELPER]],8),"")</f>
        <v>37</v>
      </c>
      <c r="AH1145" s="39" cm="1">
        <f t="array" ref="AH1145">IFERROR(INDEX(DaybyDay[],DaybyDay[[#This Row],[FORM_MATCH_HELPER]],10),"")</f>
        <v>8748</v>
      </c>
      <c r="AI1145" s="39" cm="1">
        <f t="array" ref="AI1145">IFERROR(INDEX(DaybyDay[],DaybyDay[[#This Row],[FORM_MATCH_HELPER]],12),"")</f>
        <v>6428.49</v>
      </c>
      <c r="AJ1145" s="32">
        <f>IFERROR(DaybyDay[[#This Row],[Serv-LY-RU]]+DaybyDay[[#This Row],[Ret-LY-RU]],"")</f>
        <v>250845.79999999996</v>
      </c>
      <c r="AK11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268387.86</v>
      </c>
      <c r="AL1145" s="77"/>
      <c r="AM1145" s="40" t="str">
        <f>IF(DaybyDay[[#This Row],[Admin Hours]]&gt;0,DaybyDay[[#This Row],[Admin Hours]]*$AM$2+$AM$3,"")</f>
        <v/>
      </c>
      <c r="AN1145" s="40">
        <f>SUMIFS(DaybyDay[Est-Admin-Payroll],DaybyDay[Date],"&gt;="&amp;$C$5,DaybyDay[RowYear],"&gt;="&amp;$C$4,DaybyDay[Date],"&lt;="&amp;DaybyDay[[#This Row],[Date]])</f>
        <v>0</v>
      </c>
      <c r="AO1145" s="41" t="str">
        <f>IF(AND(DaybyDay[[#This Row],[_Space]],ISNUMBER(DaybyDay[[#This Row],[Admin Hours]])),DaybyDay[[#This Row],[Est-Admin-Payroll]]/(DaybyDay[[#This Row],[Service-Actuals]]+DaybyDay[[#This Row],[Retail-Actuals]]),"")</f>
        <v/>
      </c>
      <c r="AP1145" s="41">
        <f>DaybyDay[[#This Row],[Estimated-Payroll-Rollup]]/DaybyDay[[#This Row],[Simple-Forecast]]</f>
        <v>0</v>
      </c>
      <c r="AQ11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55063.65</v>
      </c>
      <c r="AR1145" s="77"/>
      <c r="AS1145" s="40" t="str">
        <f>IF(DaybyDay[[#This Row],[Retail Hours]]&gt;0,DaybyDay[[#This Row],[Retail Hours]]*$AS$2,"")</f>
        <v/>
      </c>
      <c r="AT1145" s="40">
        <f>SUMIFS(DaybyDay[Est-Retail-Payroll],DaybyDay[Date],"&gt;="&amp;$C$5,DaybyDay[RowYear],"&gt;="&amp;$C$4,DaybyDay[Date],"&lt;="&amp;DaybyDay[[#This Row],[Date]])</f>
        <v>0</v>
      </c>
      <c r="AU1145" s="82" t="str">
        <f>IF(AND(DaybyDay[[#This Row],[_Space]],ISNUMBER(DaybyDay[[#This Row],[Retail Hours]])),DaybyDay[[#This Row],[Est-Retail-Payroll]]/(DaybyDay[[#This Row],[Retail-Actuals]]),"")</f>
        <v/>
      </c>
      <c r="AV1145" s="82">
        <f>DaybyDay[[#This Row],[Est-Retail-PayrollRU]]/DaybyDay[[#This Row],[Simple-Forecast-Retail]]</f>
        <v>0</v>
      </c>
      <c r="AW1145" s="8"/>
      <c r="AX1145" s="15"/>
      <c r="AY1145" s="8"/>
    </row>
    <row r="1146" spans="3:51" hidden="1" x14ac:dyDescent="0.25">
      <c r="C1146" s="26" t="str">
        <f>Tools!$C$1</f>
        <v>Example</v>
      </c>
      <c r="D1146" s="27" t="s">
        <v>69</v>
      </c>
      <c r="E1146" s="28">
        <v>2020</v>
      </c>
      <c r="F1146" s="28">
        <f>MATCH(DaybyDay[[#This Row],[RowMonth]],Table3[SummaryMonth],0)</f>
        <v>2</v>
      </c>
      <c r="G1146" s="29">
        <f>MATCH(DaybyDay[[#This Row],[LY-Date]],DaybyDay[Date],0)</f>
        <v>776</v>
      </c>
      <c r="H1146" s="30">
        <f>WEEKDAY(DaybyDay[[#This Row],[Date]])</f>
        <v>6</v>
      </c>
      <c r="I1146" s="31">
        <v>43875</v>
      </c>
      <c r="J1146" s="74">
        <v>61</v>
      </c>
      <c r="K1146" s="32">
        <f>SUMIFS(BudgetSeasonality[365 Seasonality],BudgetSeasonality[MonthAdjustment],DaybyDay[[#This Row],[Date]])*SUMIFS(Budgets[Service-Budget],Budgets[BudgetMonth],DaybyDay[[#This Row],[RowMonth]],Budgets[BudgetYear],DaybyDay[[#This Row],[RowYear]])</f>
        <v>9482.026113379723</v>
      </c>
      <c r="L1146" s="75">
        <v>10274</v>
      </c>
      <c r="M1146" s="32">
        <f>INDEX(BudgetSeasonality[365 Seasonality],MATCH(DaybyDay[[#This Row],[Date]],BudgetSeasonality[MonthAdjustment],0))*SUMIFS(Budgets[Retail-Budget],Budgets[BudgetMonth],DaybyDay[[#This Row],[RowMonth]],Budgets[BudgetYear],DaybyDay[[#This Row],[RowYear]])</f>
        <v>2263.6250430155465</v>
      </c>
      <c r="N1146" s="75">
        <v>3583.26</v>
      </c>
      <c r="O1146" s="33">
        <f>SUMIFS(DaybyDay[Service-Budgets],DaybyDay[Date],"&gt;="&amp;$C$5,DaybyDay[RowYear],"&gt;="&amp;$C$4,DaybyDay[Date],"&lt;="&amp;DaybyDay[[#This Row],[Date]])</f>
        <v>233860.43716041508</v>
      </c>
      <c r="P1146" s="33">
        <f>SUMIFS(DaybyDay[Retail-Budgets],DaybyDay[Date],"&gt;="&amp;$C$5,DaybyDay[RowYear],"&gt;="&amp;$C$4,DaybyDay[Date],"&lt;="&amp;DaybyDay[[#This Row],[Date]])</f>
        <v>56820.111134933875</v>
      </c>
      <c r="Q1146" s="34">
        <f>SUMIFS(DaybyDay[Service-Actuals],DaybyDay[Date],"&gt;="&amp;$C$5,DaybyDay[RowYear],"&gt;="&amp;$C$4,DaybyDay[Date],"&lt;="&amp;DaybyDay[[#This Row],[Date]])</f>
        <v>223598.21</v>
      </c>
      <c r="R1146" s="34">
        <f>SUMIFS(DaybyDay[Retail-Actuals],DaybyDay[Date],"&gt;="&amp;$C$5,DaybyDay[RowYear],"&gt;="&amp;$C$4,DaybyDay[Date],"&lt;="&amp;DaybyDay[[#This Row],[Date]])</f>
        <v>58646.91</v>
      </c>
      <c r="S1146" s="35">
        <f>SUMIFS(DaybyDay[Service-LY],DaybyDay[Date],"&gt;="&amp;$C$5,DaybyDay[RowYear],"&gt;="&amp;$C$4,DaybyDay[Date],"&lt;="&amp;DaybyDay[[#This Row],[Date]])</f>
        <v>209429.33999999997</v>
      </c>
      <c r="T1146" s="35">
        <f>SUMIFS(DaybyDay[Retail-LY],DaybyDay[Date],"&gt;="&amp;$C$5,DaybyDay[RowYear],"&gt;="&amp;$C$4,DaybyDay[Date],"&lt;="&amp;DaybyDay[[#This Row],[Date]])</f>
        <v>50990.359999999993</v>
      </c>
      <c r="U1146" s="32">
        <f>DaybyDay[[#This Row],[Serv-Bud-RU]]+DaybyDay[[#This Row],[Ret-Bud-RU]]</f>
        <v>290680.54829534894</v>
      </c>
      <c r="V1146" s="32">
        <f>DaybyDay[[#This Row],[Serv-Act-RU]]+DaybyDay[[#This Row],[Ret-Act-RU]]</f>
        <v>282245.12</v>
      </c>
      <c r="W1146" s="36">
        <f>IF(DaybyDay[[#This Row],[_Space]],IFERROR(
((DaybyDay[[#This Row],[Actual-Rollup]]-DaybyDay[[#This Row],[Budget-Rollup]])/DaybyDay[[#This Row],[Budget-Rollup]]),0),"")</f>
        <v>-2.9019582991766078E-2</v>
      </c>
      <c r="X1146" t="b">
        <f>NOT(AND(ISBLANK(DaybyDay[[#This Row],[Appts]]),ISBLANK(DaybyDay[[#This Row],[Service-Actuals]]),ISBLANK(DaybyDay[[#This Row],[Retail-Actuals]])))</f>
        <v>1</v>
      </c>
      <c r="Y1146" s="36">
        <f>IF(DaybyDay[[#This Row],[_Space]],IFERROR(
((DaybyDay[[#This Row],[Actual-Rollup]]-DaybyDay[[#This Row],[LY-Rollup]])/DaybyDay[[#This Row],[LY-Rollup]]),0),"")</f>
        <v>8.3808636597001093E-2</v>
      </c>
      <c r="Z1146"/>
      <c r="AA1146" s="37">
        <f>IF(DaybyDay[[#This Row],[_Space]],DaybyDay[[#This Row],[Ret-Act-RU]]/DaybyDay[[#This Row],[Serv-Act-RU]],"")</f>
        <v>0.26228702814749727</v>
      </c>
      <c r="AB1146" s="50">
        <f>IF(DaybyDay[[#This Row],[_Space]],DaybyDay[[#This Row],[RETPEN-Act]]/DaybyDay[[#This Row],[RETPEN-Bud]],"")</f>
        <v>1.0795219833065044</v>
      </c>
      <c r="AC1146" s="37">
        <f>IF(DaybyDay[[#This Row],[_Space]],DaybyDay[[#This Row],[Ret-Bud-RU]]/DaybyDay[[#This Row],[Serv-Bud-RU]],"")</f>
        <v>0.24296589805807334</v>
      </c>
      <c r="AD1146" s="37">
        <f>IF(DaybyDay[[#This Row],[_Space]],DaybyDay[[#This Row],[Ret-LY-RU]]/DaybyDay[[#This Row],[Serv-LY-RU]],"")</f>
        <v>0.24347285819646855</v>
      </c>
      <c r="AE1146" s="30">
        <f>WEEKDAY(DaybyDay[[#This Row],[LY-Date]])</f>
        <v>6</v>
      </c>
      <c r="AF1146" s="38">
        <f>$E$2+_xlfn.DAYS(DaybyDay[[#This Row],[Date]],minDate)</f>
        <v>43511</v>
      </c>
      <c r="AG1146" s="39" cm="1">
        <f t="array" ref="AG1146">IFERROR(INDEX(DaybyDay[],DaybyDay[[#This Row],[FORM_MATCH_HELPER]],8),"")</f>
        <v>35</v>
      </c>
      <c r="AH1146" s="39" cm="1">
        <f t="array" ref="AH1146">IFERROR(INDEX(DaybyDay[],DaybyDay[[#This Row],[FORM_MATCH_HELPER]],10),"")</f>
        <v>6919.7</v>
      </c>
      <c r="AI1146" s="39" cm="1">
        <f t="array" ref="AI1146">IFERROR(INDEX(DaybyDay[],DaybyDay[[#This Row],[FORM_MATCH_HELPER]],12),"")</f>
        <v>2654.2</v>
      </c>
      <c r="AJ1146" s="32">
        <f>IFERROR(DaybyDay[[#This Row],[Serv-LY-RU]]+DaybyDay[[#This Row],[Ret-LY-RU]],"")</f>
        <v>260419.69999999995</v>
      </c>
      <c r="AK11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282245.12</v>
      </c>
      <c r="AL1146" s="77"/>
      <c r="AM1146" s="40" t="str">
        <f>IF(DaybyDay[[#This Row],[Admin Hours]]&gt;0,DaybyDay[[#This Row],[Admin Hours]]*$AM$2+$AM$3,"")</f>
        <v/>
      </c>
      <c r="AN1146" s="40">
        <f>SUMIFS(DaybyDay[Est-Admin-Payroll],DaybyDay[Date],"&gt;="&amp;$C$5,DaybyDay[RowYear],"&gt;="&amp;$C$4,DaybyDay[Date],"&lt;="&amp;DaybyDay[[#This Row],[Date]])</f>
        <v>0</v>
      </c>
      <c r="AO1146" s="41" t="str">
        <f>IF(AND(DaybyDay[[#This Row],[_Space]],ISNUMBER(DaybyDay[[#This Row],[Admin Hours]])),DaybyDay[[#This Row],[Est-Admin-Payroll]]/(DaybyDay[[#This Row],[Service-Actuals]]+DaybyDay[[#This Row],[Retail-Actuals]]),"")</f>
        <v/>
      </c>
      <c r="AP1146" s="41">
        <f>DaybyDay[[#This Row],[Estimated-Payroll-Rollup]]/DaybyDay[[#This Row],[Simple-Forecast]]</f>
        <v>0</v>
      </c>
      <c r="AQ11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58646.91</v>
      </c>
      <c r="AR1146" s="77"/>
      <c r="AS1146" s="40" t="str">
        <f>IF(DaybyDay[[#This Row],[Retail Hours]]&gt;0,DaybyDay[[#This Row],[Retail Hours]]*$AS$2,"")</f>
        <v/>
      </c>
      <c r="AT1146" s="40">
        <f>SUMIFS(DaybyDay[Est-Retail-Payroll],DaybyDay[Date],"&gt;="&amp;$C$5,DaybyDay[RowYear],"&gt;="&amp;$C$4,DaybyDay[Date],"&lt;="&amp;DaybyDay[[#This Row],[Date]])</f>
        <v>0</v>
      </c>
      <c r="AU1146" s="82" t="str">
        <f>IF(AND(DaybyDay[[#This Row],[_Space]],ISNUMBER(DaybyDay[[#This Row],[Retail Hours]])),DaybyDay[[#This Row],[Est-Retail-Payroll]]/(DaybyDay[[#This Row],[Retail-Actuals]]),"")</f>
        <v/>
      </c>
      <c r="AV1146" s="82">
        <f>DaybyDay[[#This Row],[Est-Retail-PayrollRU]]/DaybyDay[[#This Row],[Simple-Forecast-Retail]]</f>
        <v>0</v>
      </c>
      <c r="AW1146" s="8"/>
      <c r="AX1146" s="15"/>
      <c r="AY1146" s="8"/>
    </row>
    <row r="1147" spans="3:51" hidden="1" x14ac:dyDescent="0.25">
      <c r="C1147" s="26" t="str">
        <f>Tools!$C$1</f>
        <v>Example</v>
      </c>
      <c r="D1147" s="27" t="s">
        <v>69</v>
      </c>
      <c r="E1147" s="28">
        <v>2020</v>
      </c>
      <c r="F1147" s="28">
        <f>MATCH(DaybyDay[[#This Row],[RowMonth]],Table3[SummaryMonth],0)</f>
        <v>2</v>
      </c>
      <c r="G1147" s="29">
        <f>MATCH(DaybyDay[[#This Row],[LY-Date]],DaybyDay[Date],0)</f>
        <v>777</v>
      </c>
      <c r="H1147" s="30">
        <f>WEEKDAY(DaybyDay[[#This Row],[Date]])</f>
        <v>7</v>
      </c>
      <c r="I1147" s="31">
        <v>43876</v>
      </c>
      <c r="J1147" s="74">
        <v>44</v>
      </c>
      <c r="K1147" s="32">
        <f>SUMIFS(BudgetSeasonality[365 Seasonality],BudgetSeasonality[MonthAdjustment],DaybyDay[[#This Row],[Date]])*SUMIFS(Budgets[Service-Budget],Budgets[BudgetMonth],DaybyDay[[#This Row],[RowMonth]],Budgets[BudgetYear],DaybyDay[[#This Row],[RowYear]])</f>
        <v>8994.1986984315336</v>
      </c>
      <c r="L1147" s="75">
        <v>10305.099999999999</v>
      </c>
      <c r="M1147" s="32">
        <f>INDEX(BudgetSeasonality[365 Seasonality],MATCH(DaybyDay[[#This Row],[Date]],BudgetSeasonality[MonthAdjustment],0))*SUMIFS(Budgets[Retail-Budget],Budgets[BudgetMonth],DaybyDay[[#This Row],[RowMonth]],Budgets[BudgetYear],DaybyDay[[#This Row],[RowYear]])</f>
        <v>2147.166984374674</v>
      </c>
      <c r="N1147" s="75">
        <v>2639.19</v>
      </c>
      <c r="O1147" s="33">
        <f>SUMIFS(DaybyDay[Service-Budgets],DaybyDay[Date],"&gt;="&amp;$C$5,DaybyDay[RowYear],"&gt;="&amp;$C$4,DaybyDay[Date],"&lt;="&amp;DaybyDay[[#This Row],[Date]])</f>
        <v>242854.63585884662</v>
      </c>
      <c r="P1147" s="33">
        <f>SUMIFS(DaybyDay[Retail-Budgets],DaybyDay[Date],"&gt;="&amp;$C$5,DaybyDay[RowYear],"&gt;="&amp;$C$4,DaybyDay[Date],"&lt;="&amp;DaybyDay[[#This Row],[Date]])</f>
        <v>58967.278119308547</v>
      </c>
      <c r="Q1147" s="34">
        <f>SUMIFS(DaybyDay[Service-Actuals],DaybyDay[Date],"&gt;="&amp;$C$5,DaybyDay[RowYear],"&gt;="&amp;$C$4,DaybyDay[Date],"&lt;="&amp;DaybyDay[[#This Row],[Date]])</f>
        <v>233903.31</v>
      </c>
      <c r="R1147" s="34">
        <f>SUMIFS(DaybyDay[Retail-Actuals],DaybyDay[Date],"&gt;="&amp;$C$5,DaybyDay[RowYear],"&gt;="&amp;$C$4,DaybyDay[Date],"&lt;="&amp;DaybyDay[[#This Row],[Date]])</f>
        <v>61286.100000000006</v>
      </c>
      <c r="S1147" s="35">
        <f>SUMIFS(DaybyDay[Service-LY],DaybyDay[Date],"&gt;="&amp;$C$5,DaybyDay[RowYear],"&gt;="&amp;$C$4,DaybyDay[Date],"&lt;="&amp;DaybyDay[[#This Row],[Date]])</f>
        <v>219653.83999999997</v>
      </c>
      <c r="T1147" s="35">
        <f>SUMIFS(DaybyDay[Retail-LY],DaybyDay[Date],"&gt;="&amp;$C$5,DaybyDay[RowYear],"&gt;="&amp;$C$4,DaybyDay[Date],"&lt;="&amp;DaybyDay[[#This Row],[Date]])</f>
        <v>51832.359999999993</v>
      </c>
      <c r="U1147" s="32">
        <f>DaybyDay[[#This Row],[Serv-Bud-RU]]+DaybyDay[[#This Row],[Ret-Bud-RU]]</f>
        <v>301821.91397815518</v>
      </c>
      <c r="V1147" s="32">
        <f>DaybyDay[[#This Row],[Serv-Act-RU]]+DaybyDay[[#This Row],[Ret-Act-RU]]</f>
        <v>295189.41000000003</v>
      </c>
      <c r="W1147" s="36">
        <f>IF(DaybyDay[[#This Row],[_Space]],IFERROR(
((DaybyDay[[#This Row],[Actual-Rollup]]-DaybyDay[[#This Row],[Budget-Rollup]])/DaybyDay[[#This Row],[Budget-Rollup]]),0),"")</f>
        <v>-2.1974892050532765E-2</v>
      </c>
      <c r="X1147" t="b">
        <f>NOT(AND(ISBLANK(DaybyDay[[#This Row],[Appts]]),ISBLANK(DaybyDay[[#This Row],[Service-Actuals]]),ISBLANK(DaybyDay[[#This Row],[Retail-Actuals]])))</f>
        <v>1</v>
      </c>
      <c r="Y1147" s="36">
        <f>IF(DaybyDay[[#This Row],[_Space]],IFERROR(
((DaybyDay[[#This Row],[Actual-Rollup]]-DaybyDay[[#This Row],[LY-Rollup]])/DaybyDay[[#This Row],[LY-Rollup]]),0),"")</f>
        <v>8.7309078693502962E-2</v>
      </c>
      <c r="Z1147"/>
      <c r="AA1147" s="37">
        <f>IF(DaybyDay[[#This Row],[_Space]],DaybyDay[[#This Row],[Ret-Act-RU]]/DaybyDay[[#This Row],[Serv-Act-RU]],"")</f>
        <v>0.26201467606422502</v>
      </c>
      <c r="AB1147" s="50">
        <f>IF(DaybyDay[[#This Row],[_Space]],DaybyDay[[#This Row],[RETPEN-Act]]/DaybyDay[[#This Row],[RETPEN-Bud]],"")</f>
        <v>1.0790981163570987</v>
      </c>
      <c r="AC1147" s="37">
        <f>IF(DaybyDay[[#This Row],[_Space]],DaybyDay[[#This Row],[Ret-Bud-RU]]/DaybyDay[[#This Row],[Serv-Bud-RU]],"")</f>
        <v>0.24280894581556126</v>
      </c>
      <c r="AD1147" s="37">
        <f>IF(DaybyDay[[#This Row],[_Space]],DaybyDay[[#This Row],[Ret-LY-RU]]/DaybyDay[[#This Row],[Serv-LY-RU]],"")</f>
        <v>0.23597292904144085</v>
      </c>
      <c r="AE1147" s="30">
        <f>WEEKDAY(DaybyDay[[#This Row],[LY-Date]])</f>
        <v>7</v>
      </c>
      <c r="AF1147" s="38">
        <f>$E$2+_xlfn.DAYS(DaybyDay[[#This Row],[Date]],minDate)</f>
        <v>43512</v>
      </c>
      <c r="AG1147" s="39" cm="1">
        <f t="array" ref="AG1147">IFERROR(INDEX(DaybyDay[],DaybyDay[[#This Row],[FORM_MATCH_HELPER]],8),"")</f>
        <v>38</v>
      </c>
      <c r="AH1147" s="39" cm="1">
        <f t="array" ref="AH1147">IFERROR(INDEX(DaybyDay[],DaybyDay[[#This Row],[FORM_MATCH_HELPER]],10),"")</f>
        <v>10224.5</v>
      </c>
      <c r="AI1147" s="39" cm="1">
        <f t="array" ref="AI1147">IFERROR(INDEX(DaybyDay[],DaybyDay[[#This Row],[FORM_MATCH_HELPER]],12),"")</f>
        <v>842</v>
      </c>
      <c r="AJ1147" s="32">
        <f>IFERROR(DaybyDay[[#This Row],[Serv-LY-RU]]+DaybyDay[[#This Row],[Ret-LY-RU]],"")</f>
        <v>271486.19999999995</v>
      </c>
      <c r="AK11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295189.41000000003</v>
      </c>
      <c r="AL1147" s="77"/>
      <c r="AM1147" s="40" t="str">
        <f>IF(DaybyDay[[#This Row],[Admin Hours]]&gt;0,DaybyDay[[#This Row],[Admin Hours]]*$AM$2+$AM$3,"")</f>
        <v/>
      </c>
      <c r="AN1147" s="40">
        <f>SUMIFS(DaybyDay[Est-Admin-Payroll],DaybyDay[Date],"&gt;="&amp;$C$5,DaybyDay[RowYear],"&gt;="&amp;$C$4,DaybyDay[Date],"&lt;="&amp;DaybyDay[[#This Row],[Date]])</f>
        <v>0</v>
      </c>
      <c r="AO1147" s="41" t="str">
        <f>IF(AND(DaybyDay[[#This Row],[_Space]],ISNUMBER(DaybyDay[[#This Row],[Admin Hours]])),DaybyDay[[#This Row],[Est-Admin-Payroll]]/(DaybyDay[[#This Row],[Service-Actuals]]+DaybyDay[[#This Row],[Retail-Actuals]]),"")</f>
        <v/>
      </c>
      <c r="AP1147" s="41">
        <f>DaybyDay[[#This Row],[Estimated-Payroll-Rollup]]/DaybyDay[[#This Row],[Simple-Forecast]]</f>
        <v>0</v>
      </c>
      <c r="AQ11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61286.100000000006</v>
      </c>
      <c r="AR1147" s="77"/>
      <c r="AS1147" s="40" t="str">
        <f>IF(DaybyDay[[#This Row],[Retail Hours]]&gt;0,DaybyDay[[#This Row],[Retail Hours]]*$AS$2,"")</f>
        <v/>
      </c>
      <c r="AT1147" s="40">
        <f>SUMIFS(DaybyDay[Est-Retail-Payroll],DaybyDay[Date],"&gt;="&amp;$C$5,DaybyDay[RowYear],"&gt;="&amp;$C$4,DaybyDay[Date],"&lt;="&amp;DaybyDay[[#This Row],[Date]])</f>
        <v>0</v>
      </c>
      <c r="AU1147" s="82" t="str">
        <f>IF(AND(DaybyDay[[#This Row],[_Space]],ISNUMBER(DaybyDay[[#This Row],[Retail Hours]])),DaybyDay[[#This Row],[Est-Retail-Payroll]]/(DaybyDay[[#This Row],[Retail-Actuals]]),"")</f>
        <v/>
      </c>
      <c r="AV1147" s="82">
        <f>DaybyDay[[#This Row],[Est-Retail-PayrollRU]]/DaybyDay[[#This Row],[Simple-Forecast-Retail]]</f>
        <v>0</v>
      </c>
      <c r="AW1147" s="8"/>
      <c r="AX1147" s="15"/>
      <c r="AY1147" s="8"/>
    </row>
    <row r="1148" spans="3:51" hidden="1" x14ac:dyDescent="0.25">
      <c r="C1148" s="26" t="str">
        <f>Tools!$C$1</f>
        <v>Example</v>
      </c>
      <c r="D1148" s="27" t="s">
        <v>69</v>
      </c>
      <c r="E1148" s="28">
        <v>2020</v>
      </c>
      <c r="F1148" s="28">
        <f>MATCH(DaybyDay[[#This Row],[RowMonth]],Table3[SummaryMonth],0)</f>
        <v>2</v>
      </c>
      <c r="G1148" s="29">
        <f>MATCH(DaybyDay[[#This Row],[LY-Date]],DaybyDay[Date],0)</f>
        <v>778</v>
      </c>
      <c r="H1148" s="30">
        <f>WEEKDAY(DaybyDay[[#This Row],[Date]])</f>
        <v>1</v>
      </c>
      <c r="I1148" s="31">
        <v>43877</v>
      </c>
      <c r="J1148" s="74">
        <v>41</v>
      </c>
      <c r="K1148" s="32">
        <f>SUMIFS(BudgetSeasonality[365 Seasonality],BudgetSeasonality[MonthAdjustment],DaybyDay[[#This Row],[Date]])*SUMIFS(Budgets[Service-Budget],Budgets[BudgetMonth],DaybyDay[[#This Row],[RowMonth]],Budgets[BudgetYear],DaybyDay[[#This Row],[RowYear]])</f>
        <v>6918.0165136982505</v>
      </c>
      <c r="L1148" s="75">
        <v>9359.4</v>
      </c>
      <c r="M1148" s="32">
        <f>INDEX(BudgetSeasonality[365 Seasonality],MATCH(DaybyDay[[#This Row],[Date]],BudgetSeasonality[MonthAdjustment],0))*SUMIFS(Budgets[Retail-Budget],Budgets[BudgetMonth],DaybyDay[[#This Row],[RowMonth]],Budgets[BudgetYear],DaybyDay[[#This Row],[RowYear]])</f>
        <v>1651.5241828226488</v>
      </c>
      <c r="N1148" s="75">
        <v>1457</v>
      </c>
      <c r="O1148" s="33">
        <f>SUMIFS(DaybyDay[Service-Budgets],DaybyDay[Date],"&gt;="&amp;$C$5,DaybyDay[RowYear],"&gt;="&amp;$C$4,DaybyDay[Date],"&lt;="&amp;DaybyDay[[#This Row],[Date]])</f>
        <v>249772.65237254486</v>
      </c>
      <c r="P1148" s="33">
        <f>SUMIFS(DaybyDay[Retail-Budgets],DaybyDay[Date],"&gt;="&amp;$C$5,DaybyDay[RowYear],"&gt;="&amp;$C$4,DaybyDay[Date],"&lt;="&amp;DaybyDay[[#This Row],[Date]])</f>
        <v>60618.802302131196</v>
      </c>
      <c r="Q1148" s="34">
        <f>SUMIFS(DaybyDay[Service-Actuals],DaybyDay[Date],"&gt;="&amp;$C$5,DaybyDay[RowYear],"&gt;="&amp;$C$4,DaybyDay[Date],"&lt;="&amp;DaybyDay[[#This Row],[Date]])</f>
        <v>243262.71</v>
      </c>
      <c r="R1148" s="34">
        <f>SUMIFS(DaybyDay[Retail-Actuals],DaybyDay[Date],"&gt;="&amp;$C$5,DaybyDay[RowYear],"&gt;="&amp;$C$4,DaybyDay[Date],"&lt;="&amp;DaybyDay[[#This Row],[Date]])</f>
        <v>62743.100000000006</v>
      </c>
      <c r="S1148" s="35">
        <f>SUMIFS(DaybyDay[Service-LY],DaybyDay[Date],"&gt;="&amp;$C$5,DaybyDay[RowYear],"&gt;="&amp;$C$4,DaybyDay[Date],"&lt;="&amp;DaybyDay[[#This Row],[Date]])</f>
        <v>229371.56999999998</v>
      </c>
      <c r="T1148" s="35">
        <f>SUMIFS(DaybyDay[Retail-LY],DaybyDay[Date],"&gt;="&amp;$C$5,DaybyDay[RowYear],"&gt;="&amp;$C$4,DaybyDay[Date],"&lt;="&amp;DaybyDay[[#This Row],[Date]])</f>
        <v>52266.359999999993</v>
      </c>
      <c r="U1148" s="32">
        <f>DaybyDay[[#This Row],[Serv-Bud-RU]]+DaybyDay[[#This Row],[Ret-Bud-RU]]</f>
        <v>310391.45467467606</v>
      </c>
      <c r="V1148" s="32">
        <f>DaybyDay[[#This Row],[Serv-Act-RU]]+DaybyDay[[#This Row],[Ret-Act-RU]]</f>
        <v>306005.81</v>
      </c>
      <c r="W1148" s="36">
        <f>IF(DaybyDay[[#This Row],[_Space]],IFERROR(
((DaybyDay[[#This Row],[Actual-Rollup]]-DaybyDay[[#This Row],[Budget-Rollup]])/DaybyDay[[#This Row],[Budget-Rollup]]),0),"")</f>
        <v>-1.4129398888486459E-2</v>
      </c>
      <c r="X1148" t="b">
        <f>NOT(AND(ISBLANK(DaybyDay[[#This Row],[Appts]]),ISBLANK(DaybyDay[[#This Row],[Service-Actuals]]),ISBLANK(DaybyDay[[#This Row],[Retail-Actuals]])))</f>
        <v>1</v>
      </c>
      <c r="Y1148" s="36">
        <f>IF(DaybyDay[[#This Row],[_Space]],IFERROR(
((DaybyDay[[#This Row],[Actual-Rollup]]-DaybyDay[[#This Row],[LY-Rollup]])/DaybyDay[[#This Row],[LY-Rollup]]),0),"")</f>
        <v>8.6522010724904869E-2</v>
      </c>
      <c r="Z1148"/>
      <c r="AA1148" s="37">
        <f>IF(DaybyDay[[#This Row],[_Space]],DaybyDay[[#This Row],[Ret-Act-RU]]/DaybyDay[[#This Row],[Serv-Act-RU]],"")</f>
        <v>0.2579232139607423</v>
      </c>
      <c r="AB1148" s="50">
        <f>IF(DaybyDay[[#This Row],[_Space]],DaybyDay[[#This Row],[RETPEN-Act]]/DaybyDay[[#This Row],[RETPEN-Bud]],"")</f>
        <v>1.0627422979810521</v>
      </c>
      <c r="AC1148" s="37">
        <f>IF(DaybyDay[[#This Row],[_Space]],DaybyDay[[#This Row],[Ret-Bud-RU]]/DaybyDay[[#This Row],[Serv-Bud-RU]],"")</f>
        <v>0.24269591457000697</v>
      </c>
      <c r="AD1148" s="37">
        <f>IF(DaybyDay[[#This Row],[_Space]],DaybyDay[[#This Row],[Ret-LY-RU]]/DaybyDay[[#This Row],[Serv-LY-RU]],"")</f>
        <v>0.22786764724154784</v>
      </c>
      <c r="AE1148" s="30">
        <f>WEEKDAY(DaybyDay[[#This Row],[LY-Date]])</f>
        <v>1</v>
      </c>
      <c r="AF1148" s="38">
        <f>$E$2+_xlfn.DAYS(DaybyDay[[#This Row],[Date]],minDate)</f>
        <v>43513</v>
      </c>
      <c r="AG1148" s="39" cm="1">
        <f t="array" ref="AG1148">IFERROR(INDEX(DaybyDay[],DaybyDay[[#This Row],[FORM_MATCH_HELPER]],8),"")</f>
        <v>45</v>
      </c>
      <c r="AH1148" s="39" cm="1">
        <f t="array" ref="AH1148">IFERROR(INDEX(DaybyDay[],DaybyDay[[#This Row],[FORM_MATCH_HELPER]],10),"")</f>
        <v>9717.73</v>
      </c>
      <c r="AI1148" s="39" cm="1">
        <f t="array" ref="AI1148">IFERROR(INDEX(DaybyDay[],DaybyDay[[#This Row],[FORM_MATCH_HELPER]],12),"")</f>
        <v>434</v>
      </c>
      <c r="AJ1148" s="32">
        <f>IFERROR(DaybyDay[[#This Row],[Serv-LY-RU]]+DaybyDay[[#This Row],[Ret-LY-RU]],"")</f>
        <v>281637.93</v>
      </c>
      <c r="AK11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306005.81</v>
      </c>
      <c r="AL1148" s="77"/>
      <c r="AM1148" s="40" t="str">
        <f>IF(DaybyDay[[#This Row],[Admin Hours]]&gt;0,DaybyDay[[#This Row],[Admin Hours]]*$AM$2+$AM$3,"")</f>
        <v/>
      </c>
      <c r="AN1148" s="40">
        <f>SUMIFS(DaybyDay[Est-Admin-Payroll],DaybyDay[Date],"&gt;="&amp;$C$5,DaybyDay[RowYear],"&gt;="&amp;$C$4,DaybyDay[Date],"&lt;="&amp;DaybyDay[[#This Row],[Date]])</f>
        <v>0</v>
      </c>
      <c r="AO1148" s="41" t="str">
        <f>IF(AND(DaybyDay[[#This Row],[_Space]],ISNUMBER(DaybyDay[[#This Row],[Admin Hours]])),DaybyDay[[#This Row],[Est-Admin-Payroll]]/(DaybyDay[[#This Row],[Service-Actuals]]+DaybyDay[[#This Row],[Retail-Actuals]]),"")</f>
        <v/>
      </c>
      <c r="AP1148" s="41">
        <f>DaybyDay[[#This Row],[Estimated-Payroll-Rollup]]/DaybyDay[[#This Row],[Simple-Forecast]]</f>
        <v>0</v>
      </c>
      <c r="AQ11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62743.100000000006</v>
      </c>
      <c r="AR1148" s="77"/>
      <c r="AS1148" s="40" t="str">
        <f>IF(DaybyDay[[#This Row],[Retail Hours]]&gt;0,DaybyDay[[#This Row],[Retail Hours]]*$AS$2,"")</f>
        <v/>
      </c>
      <c r="AT1148" s="40">
        <f>SUMIFS(DaybyDay[Est-Retail-Payroll],DaybyDay[Date],"&gt;="&amp;$C$5,DaybyDay[RowYear],"&gt;="&amp;$C$4,DaybyDay[Date],"&lt;="&amp;DaybyDay[[#This Row],[Date]])</f>
        <v>0</v>
      </c>
      <c r="AU1148" s="82" t="str">
        <f>IF(AND(DaybyDay[[#This Row],[_Space]],ISNUMBER(DaybyDay[[#This Row],[Retail Hours]])),DaybyDay[[#This Row],[Est-Retail-Payroll]]/(DaybyDay[[#This Row],[Retail-Actuals]]),"")</f>
        <v/>
      </c>
      <c r="AV1148" s="82">
        <f>DaybyDay[[#This Row],[Est-Retail-PayrollRU]]/DaybyDay[[#This Row],[Simple-Forecast-Retail]]</f>
        <v>0</v>
      </c>
      <c r="AW1148" s="8"/>
      <c r="AX1148" s="15"/>
      <c r="AY1148" s="8"/>
    </row>
    <row r="1149" spans="3:51" hidden="1" x14ac:dyDescent="0.25">
      <c r="C1149" s="26" t="str">
        <f>Tools!$C$1</f>
        <v>Example</v>
      </c>
      <c r="D1149" s="27" t="s">
        <v>69</v>
      </c>
      <c r="E1149" s="28">
        <v>2020</v>
      </c>
      <c r="F1149" s="28">
        <f>MATCH(DaybyDay[[#This Row],[RowMonth]],Table3[SummaryMonth],0)</f>
        <v>2</v>
      </c>
      <c r="G1149" s="29">
        <f>MATCH(DaybyDay[[#This Row],[LY-Date]],DaybyDay[Date],0)</f>
        <v>779</v>
      </c>
      <c r="H1149" s="30">
        <f>WEEKDAY(DaybyDay[[#This Row],[Date]])</f>
        <v>2</v>
      </c>
      <c r="I1149" s="31">
        <v>43878</v>
      </c>
      <c r="J1149" s="74">
        <v>26</v>
      </c>
      <c r="K1149" s="32">
        <f>SUMIFS(BudgetSeasonality[365 Seasonality],BudgetSeasonality[MonthAdjustment],DaybyDay[[#This Row],[Date]])*SUMIFS(Budgets[Service-Budget],Budgets[BudgetMonth],DaybyDay[[#This Row],[RowMonth]],Budgets[BudgetYear],DaybyDay[[#This Row],[RowYear]])</f>
        <v>4406.8552681549609</v>
      </c>
      <c r="L1149" s="75">
        <v>6683.1</v>
      </c>
      <c r="M1149" s="32">
        <f>INDEX(BudgetSeasonality[365 Seasonality],MATCH(DaybyDay[[#This Row],[Date]],BudgetSeasonality[MonthAdjustment],0))*SUMIFS(Budgets[Retail-Budget],Budgets[BudgetMonth],DaybyDay[[#This Row],[RowMonth]],Budgets[BudgetYear],DaybyDay[[#This Row],[RowYear]])</f>
        <v>1052.0397040316691</v>
      </c>
      <c r="N1149" s="75">
        <v>1191.5</v>
      </c>
      <c r="O1149" s="33">
        <f>SUMIFS(DaybyDay[Service-Budgets],DaybyDay[Date],"&gt;="&amp;$C$5,DaybyDay[RowYear],"&gt;="&amp;$C$4,DaybyDay[Date],"&lt;="&amp;DaybyDay[[#This Row],[Date]])</f>
        <v>254179.50764069983</v>
      </c>
      <c r="P1149" s="33">
        <f>SUMIFS(DaybyDay[Retail-Budgets],DaybyDay[Date],"&gt;="&amp;$C$5,DaybyDay[RowYear],"&gt;="&amp;$C$4,DaybyDay[Date],"&lt;="&amp;DaybyDay[[#This Row],[Date]])</f>
        <v>61670.842006162864</v>
      </c>
      <c r="Q1149" s="34">
        <f>SUMIFS(DaybyDay[Service-Actuals],DaybyDay[Date],"&gt;="&amp;$C$5,DaybyDay[RowYear],"&gt;="&amp;$C$4,DaybyDay[Date],"&lt;="&amp;DaybyDay[[#This Row],[Date]])</f>
        <v>249945.81</v>
      </c>
      <c r="R1149" s="34">
        <f>SUMIFS(DaybyDay[Retail-Actuals],DaybyDay[Date],"&gt;="&amp;$C$5,DaybyDay[RowYear],"&gt;="&amp;$C$4,DaybyDay[Date],"&lt;="&amp;DaybyDay[[#This Row],[Date]])</f>
        <v>63934.600000000006</v>
      </c>
      <c r="S1149" s="35">
        <f>SUMIFS(DaybyDay[Service-LY],DaybyDay[Date],"&gt;="&amp;$C$5,DaybyDay[RowYear],"&gt;="&amp;$C$4,DaybyDay[Date],"&lt;="&amp;DaybyDay[[#This Row],[Date]])</f>
        <v>235174.36999999997</v>
      </c>
      <c r="T1149" s="35">
        <f>SUMIFS(DaybyDay[Retail-LY],DaybyDay[Date],"&gt;="&amp;$C$5,DaybyDay[RowYear],"&gt;="&amp;$C$4,DaybyDay[Date],"&lt;="&amp;DaybyDay[[#This Row],[Date]])</f>
        <v>53061.359999999993</v>
      </c>
      <c r="U1149" s="32">
        <f>DaybyDay[[#This Row],[Serv-Bud-RU]]+DaybyDay[[#This Row],[Ret-Bud-RU]]</f>
        <v>315850.34964686271</v>
      </c>
      <c r="V1149" s="32">
        <f>DaybyDay[[#This Row],[Serv-Act-RU]]+DaybyDay[[#This Row],[Ret-Act-RU]]</f>
        <v>313880.41000000003</v>
      </c>
      <c r="W1149" s="36">
        <f>IF(DaybyDay[[#This Row],[_Space]],IFERROR(
((DaybyDay[[#This Row],[Actual-Rollup]]-DaybyDay[[#This Row],[Budget-Rollup]])/DaybyDay[[#This Row],[Budget-Rollup]]),0),"")</f>
        <v>-6.2369398959512823E-3</v>
      </c>
      <c r="X1149" t="b">
        <f>NOT(AND(ISBLANK(DaybyDay[[#This Row],[Appts]]),ISBLANK(DaybyDay[[#This Row],[Service-Actuals]]),ISBLANK(DaybyDay[[#This Row],[Retail-Actuals]])))</f>
        <v>1</v>
      </c>
      <c r="Y1149" s="36">
        <f>IF(DaybyDay[[#This Row],[_Space]],IFERROR(
((DaybyDay[[#This Row],[Actual-Rollup]]-DaybyDay[[#This Row],[LY-Rollup]])/DaybyDay[[#This Row],[LY-Rollup]]),0),"")</f>
        <v>8.897120422926072E-2</v>
      </c>
      <c r="Z1149"/>
      <c r="AA1149" s="37">
        <f>IF(DaybyDay[[#This Row],[_Space]],DaybyDay[[#This Row],[Ret-Act-RU]]/DaybyDay[[#This Row],[Serv-Act-RU]],"")</f>
        <v>0.2557938458740317</v>
      </c>
      <c r="AB1149" s="50">
        <f>IF(DaybyDay[[#This Row],[_Space]],DaybyDay[[#This Row],[RETPEN-Act]]/DaybyDay[[#This Row],[RETPEN-Bud]],"")</f>
        <v>1.0542673277476109</v>
      </c>
      <c r="AC1149" s="37">
        <f>IF(DaybyDay[[#This Row],[_Space]],DaybyDay[[#This Row],[Ret-Bud-RU]]/DaybyDay[[#This Row],[Serv-Bud-RU]],"")</f>
        <v>0.2426271204102686</v>
      </c>
      <c r="AD1149" s="37">
        <f>IF(DaybyDay[[#This Row],[_Space]],DaybyDay[[#This Row],[Ret-LY-RU]]/DaybyDay[[#This Row],[Serv-LY-RU]],"")</f>
        <v>0.22562560707614526</v>
      </c>
      <c r="AE1149" s="30">
        <f>WEEKDAY(DaybyDay[[#This Row],[LY-Date]])</f>
        <v>2</v>
      </c>
      <c r="AF1149" s="38">
        <f>$E$2+_xlfn.DAYS(DaybyDay[[#This Row],[Date]],minDate)</f>
        <v>43514</v>
      </c>
      <c r="AG1149" s="39" cm="1">
        <f t="array" ref="AG1149">IFERROR(INDEX(DaybyDay[],DaybyDay[[#This Row],[FORM_MATCH_HELPER]],8),"")</f>
        <v>29</v>
      </c>
      <c r="AH1149" s="39" cm="1">
        <f t="array" ref="AH1149">IFERROR(INDEX(DaybyDay[],DaybyDay[[#This Row],[FORM_MATCH_HELPER]],10),"")</f>
        <v>5802.8</v>
      </c>
      <c r="AI1149" s="39" cm="1">
        <f t="array" ref="AI1149">IFERROR(INDEX(DaybyDay[],DaybyDay[[#This Row],[FORM_MATCH_HELPER]],12),"")</f>
        <v>795</v>
      </c>
      <c r="AJ1149" s="32">
        <f>IFERROR(DaybyDay[[#This Row],[Serv-LY-RU]]+DaybyDay[[#This Row],[Ret-LY-RU]],"")</f>
        <v>288235.73</v>
      </c>
      <c r="AK11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313880.41000000003</v>
      </c>
      <c r="AL1149" s="77"/>
      <c r="AM1149" s="40" t="str">
        <f>IF(DaybyDay[[#This Row],[Admin Hours]]&gt;0,DaybyDay[[#This Row],[Admin Hours]]*$AM$2+$AM$3,"")</f>
        <v/>
      </c>
      <c r="AN1149" s="40">
        <f>SUMIFS(DaybyDay[Est-Admin-Payroll],DaybyDay[Date],"&gt;="&amp;$C$5,DaybyDay[RowYear],"&gt;="&amp;$C$4,DaybyDay[Date],"&lt;="&amp;DaybyDay[[#This Row],[Date]])</f>
        <v>0</v>
      </c>
      <c r="AO1149" s="41" t="str">
        <f>IF(AND(DaybyDay[[#This Row],[_Space]],ISNUMBER(DaybyDay[[#This Row],[Admin Hours]])),DaybyDay[[#This Row],[Est-Admin-Payroll]]/(DaybyDay[[#This Row],[Service-Actuals]]+DaybyDay[[#This Row],[Retail-Actuals]]),"")</f>
        <v/>
      </c>
      <c r="AP1149" s="41">
        <f>DaybyDay[[#This Row],[Estimated-Payroll-Rollup]]/DaybyDay[[#This Row],[Simple-Forecast]]</f>
        <v>0</v>
      </c>
      <c r="AQ11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63934.600000000006</v>
      </c>
      <c r="AR1149" s="77"/>
      <c r="AS1149" s="40" t="str">
        <f>IF(DaybyDay[[#This Row],[Retail Hours]]&gt;0,DaybyDay[[#This Row],[Retail Hours]]*$AS$2,"")</f>
        <v/>
      </c>
      <c r="AT1149" s="40">
        <f>SUMIFS(DaybyDay[Est-Retail-Payroll],DaybyDay[Date],"&gt;="&amp;$C$5,DaybyDay[RowYear],"&gt;="&amp;$C$4,DaybyDay[Date],"&lt;="&amp;DaybyDay[[#This Row],[Date]])</f>
        <v>0</v>
      </c>
      <c r="AU1149" s="82" t="str">
        <f>IF(AND(DaybyDay[[#This Row],[_Space]],ISNUMBER(DaybyDay[[#This Row],[Retail Hours]])),DaybyDay[[#This Row],[Est-Retail-Payroll]]/(DaybyDay[[#This Row],[Retail-Actuals]]),"")</f>
        <v/>
      </c>
      <c r="AV1149" s="82">
        <f>DaybyDay[[#This Row],[Est-Retail-PayrollRU]]/DaybyDay[[#This Row],[Simple-Forecast-Retail]]</f>
        <v>0</v>
      </c>
      <c r="AW1149" s="8"/>
      <c r="AX1149" s="15"/>
      <c r="AY1149" s="8"/>
    </row>
    <row r="1150" spans="3:51" hidden="1" x14ac:dyDescent="0.25">
      <c r="C1150" s="26" t="str">
        <f>Tools!$C$1</f>
        <v>Example</v>
      </c>
      <c r="D1150" s="27" t="s">
        <v>69</v>
      </c>
      <c r="E1150" s="28">
        <v>2020</v>
      </c>
      <c r="F1150" s="28">
        <f>MATCH(DaybyDay[[#This Row],[RowMonth]],Table3[SummaryMonth],0)</f>
        <v>2</v>
      </c>
      <c r="G1150" s="29">
        <f>MATCH(DaybyDay[[#This Row],[LY-Date]],DaybyDay[Date],0)</f>
        <v>780</v>
      </c>
      <c r="H1150" s="30">
        <f>WEEKDAY(DaybyDay[[#This Row],[Date]])</f>
        <v>3</v>
      </c>
      <c r="I1150" s="31">
        <v>43879</v>
      </c>
      <c r="J1150" s="74">
        <v>19</v>
      </c>
      <c r="K1150" s="32">
        <f>SUMIFS(BudgetSeasonality[365 Seasonality],BudgetSeasonality[MonthAdjustment],DaybyDay[[#This Row],[Date]])*SUMIFS(Budgets[Service-Budget],Budgets[BudgetMonth],DaybyDay[[#This Row],[RowMonth]],Budgets[BudgetYear],DaybyDay[[#This Row],[RowYear]])</f>
        <v>4448.6445581343596</v>
      </c>
      <c r="L1150" s="75">
        <v>3840.87</v>
      </c>
      <c r="M1150" s="32">
        <f>INDEX(BudgetSeasonality[365 Seasonality],MATCH(DaybyDay[[#This Row],[Date]],BudgetSeasonality[MonthAdjustment],0))*SUMIFS(Budgets[Retail-Budget],Budgets[BudgetMonth],DaybyDay[[#This Row],[RowMonth]],Budgets[BudgetYear],DaybyDay[[#This Row],[RowYear]])</f>
        <v>1062.0159772665347</v>
      </c>
      <c r="N1150" s="75">
        <v>376.5</v>
      </c>
      <c r="O1150" s="33">
        <f>SUMIFS(DaybyDay[Service-Budgets],DaybyDay[Date],"&gt;="&amp;$C$5,DaybyDay[RowYear],"&gt;="&amp;$C$4,DaybyDay[Date],"&lt;="&amp;DaybyDay[[#This Row],[Date]])</f>
        <v>258628.1521988342</v>
      </c>
      <c r="P1150" s="33">
        <f>SUMIFS(DaybyDay[Retail-Budgets],DaybyDay[Date],"&gt;="&amp;$C$5,DaybyDay[RowYear],"&gt;="&amp;$C$4,DaybyDay[Date],"&lt;="&amp;DaybyDay[[#This Row],[Date]])</f>
        <v>62732.8579834294</v>
      </c>
      <c r="Q1150" s="34">
        <f>SUMIFS(DaybyDay[Service-Actuals],DaybyDay[Date],"&gt;="&amp;$C$5,DaybyDay[RowYear],"&gt;="&amp;$C$4,DaybyDay[Date],"&lt;="&amp;DaybyDay[[#This Row],[Date]])</f>
        <v>253786.68</v>
      </c>
      <c r="R1150" s="34">
        <f>SUMIFS(DaybyDay[Retail-Actuals],DaybyDay[Date],"&gt;="&amp;$C$5,DaybyDay[RowYear],"&gt;="&amp;$C$4,DaybyDay[Date],"&lt;="&amp;DaybyDay[[#This Row],[Date]])</f>
        <v>64311.100000000006</v>
      </c>
      <c r="S1150" s="35">
        <f>SUMIFS(DaybyDay[Service-LY],DaybyDay[Date],"&gt;="&amp;$C$5,DaybyDay[RowYear],"&gt;="&amp;$C$4,DaybyDay[Date],"&lt;="&amp;DaybyDay[[#This Row],[Date]])</f>
        <v>240456.16999999995</v>
      </c>
      <c r="T1150" s="35">
        <f>SUMIFS(DaybyDay[Retail-LY],DaybyDay[Date],"&gt;="&amp;$C$5,DaybyDay[RowYear],"&gt;="&amp;$C$4,DaybyDay[Date],"&lt;="&amp;DaybyDay[[#This Row],[Date]])</f>
        <v>53652.44999999999</v>
      </c>
      <c r="U1150" s="32">
        <f>DaybyDay[[#This Row],[Serv-Bud-RU]]+DaybyDay[[#This Row],[Ret-Bud-RU]]</f>
        <v>321361.01018226362</v>
      </c>
      <c r="V1150" s="32">
        <f>DaybyDay[[#This Row],[Serv-Act-RU]]+DaybyDay[[#This Row],[Ret-Act-RU]]</f>
        <v>318097.78000000003</v>
      </c>
      <c r="W1150" s="36">
        <f>IF(DaybyDay[[#This Row],[_Space]],IFERROR(
((DaybyDay[[#This Row],[Actual-Rollup]]-DaybyDay[[#This Row],[Budget-Rollup]])/DaybyDay[[#This Row],[Budget-Rollup]]),0),"")</f>
        <v>-1.0154406038283281E-2</v>
      </c>
      <c r="X1150" t="b">
        <f>NOT(AND(ISBLANK(DaybyDay[[#This Row],[Appts]]),ISBLANK(DaybyDay[[#This Row],[Service-Actuals]]),ISBLANK(DaybyDay[[#This Row],[Retail-Actuals]])))</f>
        <v>1</v>
      </c>
      <c r="Y1150" s="36">
        <f>IF(DaybyDay[[#This Row],[_Space]],IFERROR(
((DaybyDay[[#This Row],[Actual-Rollup]]-DaybyDay[[#This Row],[LY-Rollup]])/DaybyDay[[#This Row],[LY-Rollup]]),0),"")</f>
        <v>8.1565647412850717E-2</v>
      </c>
      <c r="Z1150"/>
      <c r="AA1150" s="37">
        <f>IF(DaybyDay[[#This Row],[_Space]],DaybyDay[[#This Row],[Ret-Act-RU]]/DaybyDay[[#This Row],[Serv-Act-RU]],"")</f>
        <v>0.25340612832793274</v>
      </c>
      <c r="AB1150" s="50">
        <f>IF(DaybyDay[[#This Row],[_Space]],DaybyDay[[#This Row],[RETPEN-Act]]/DaybyDay[[#This Row],[RETPEN-Bud]],"")</f>
        <v>1.0447150158952658</v>
      </c>
      <c r="AC1150" s="37">
        <f>IF(DaybyDay[[#This Row],[_Space]],DaybyDay[[#This Row],[Ret-Bud-RU]]/DaybyDay[[#This Row],[Serv-Bud-RU]],"")</f>
        <v>0.24256005175801654</v>
      </c>
      <c r="AD1150" s="37">
        <f>IF(DaybyDay[[#This Row],[_Space]],DaybyDay[[#This Row],[Ret-LY-RU]]/DaybyDay[[#This Row],[Serv-LY-RU]],"")</f>
        <v>0.22312777418021754</v>
      </c>
      <c r="AE1150" s="30">
        <f>WEEKDAY(DaybyDay[[#This Row],[LY-Date]])</f>
        <v>3</v>
      </c>
      <c r="AF1150" s="38">
        <f>$E$2+_xlfn.DAYS(DaybyDay[[#This Row],[Date]],minDate)</f>
        <v>43515</v>
      </c>
      <c r="AG1150" s="39" cm="1">
        <f t="array" ref="AG1150">IFERROR(INDEX(DaybyDay[],DaybyDay[[#This Row],[FORM_MATCH_HELPER]],8),"")</f>
        <v>29</v>
      </c>
      <c r="AH1150" s="39" cm="1">
        <f t="array" ref="AH1150">IFERROR(INDEX(DaybyDay[],DaybyDay[[#This Row],[FORM_MATCH_HELPER]],10),"")</f>
        <v>5281.8</v>
      </c>
      <c r="AI1150" s="39" cm="1">
        <f t="array" ref="AI1150">IFERROR(INDEX(DaybyDay[],DaybyDay[[#This Row],[FORM_MATCH_HELPER]],12),"")</f>
        <v>591.09</v>
      </c>
      <c r="AJ1150" s="32">
        <f>IFERROR(DaybyDay[[#This Row],[Serv-LY-RU]]+DaybyDay[[#This Row],[Ret-LY-RU]],"")</f>
        <v>294108.61999999994</v>
      </c>
      <c r="AK11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318097.78000000003</v>
      </c>
      <c r="AL1150" s="77"/>
      <c r="AM1150" s="40" t="str">
        <f>IF(DaybyDay[[#This Row],[Admin Hours]]&gt;0,DaybyDay[[#This Row],[Admin Hours]]*$AM$2+$AM$3,"")</f>
        <v/>
      </c>
      <c r="AN1150" s="40">
        <f>SUMIFS(DaybyDay[Est-Admin-Payroll],DaybyDay[Date],"&gt;="&amp;$C$5,DaybyDay[RowYear],"&gt;="&amp;$C$4,DaybyDay[Date],"&lt;="&amp;DaybyDay[[#This Row],[Date]])</f>
        <v>0</v>
      </c>
      <c r="AO1150" s="41" t="str">
        <f>IF(AND(DaybyDay[[#This Row],[_Space]],ISNUMBER(DaybyDay[[#This Row],[Admin Hours]])),DaybyDay[[#This Row],[Est-Admin-Payroll]]/(DaybyDay[[#This Row],[Service-Actuals]]+DaybyDay[[#This Row],[Retail-Actuals]]),"")</f>
        <v/>
      </c>
      <c r="AP1150" s="41">
        <f>DaybyDay[[#This Row],[Estimated-Payroll-Rollup]]/DaybyDay[[#This Row],[Simple-Forecast]]</f>
        <v>0</v>
      </c>
      <c r="AQ11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64311.100000000006</v>
      </c>
      <c r="AR1150" s="77"/>
      <c r="AS1150" s="40" t="str">
        <f>IF(DaybyDay[[#This Row],[Retail Hours]]&gt;0,DaybyDay[[#This Row],[Retail Hours]]*$AS$2,"")</f>
        <v/>
      </c>
      <c r="AT1150" s="40">
        <f>SUMIFS(DaybyDay[Est-Retail-Payroll],DaybyDay[Date],"&gt;="&amp;$C$5,DaybyDay[RowYear],"&gt;="&amp;$C$4,DaybyDay[Date],"&lt;="&amp;DaybyDay[[#This Row],[Date]])</f>
        <v>0</v>
      </c>
      <c r="AU1150" s="82" t="str">
        <f>IF(AND(DaybyDay[[#This Row],[_Space]],ISNUMBER(DaybyDay[[#This Row],[Retail Hours]])),DaybyDay[[#This Row],[Est-Retail-Payroll]]/(DaybyDay[[#This Row],[Retail-Actuals]]),"")</f>
        <v/>
      </c>
      <c r="AV1150" s="82">
        <f>DaybyDay[[#This Row],[Est-Retail-PayrollRU]]/DaybyDay[[#This Row],[Simple-Forecast-Retail]]</f>
        <v>0</v>
      </c>
      <c r="AW1150" s="8"/>
      <c r="AX1150" s="15"/>
      <c r="AY1150" s="8"/>
    </row>
    <row r="1151" spans="3:51" hidden="1" x14ac:dyDescent="0.25">
      <c r="C1151" s="26" t="str">
        <f>Tools!$C$1</f>
        <v>Example</v>
      </c>
      <c r="D1151" s="27" t="s">
        <v>69</v>
      </c>
      <c r="E1151" s="28">
        <v>2020</v>
      </c>
      <c r="F1151" s="28">
        <f>MATCH(DaybyDay[[#This Row],[RowMonth]],Table3[SummaryMonth],0)</f>
        <v>2</v>
      </c>
      <c r="G1151" s="29">
        <f>MATCH(DaybyDay[[#This Row],[LY-Date]],DaybyDay[Date],0)</f>
        <v>781</v>
      </c>
      <c r="H1151" s="30">
        <f>WEEKDAY(DaybyDay[[#This Row],[Date]])</f>
        <v>4</v>
      </c>
      <c r="I1151" s="31">
        <v>43880</v>
      </c>
      <c r="J1151" s="74">
        <v>34</v>
      </c>
      <c r="K1151" s="32">
        <f>SUMIFS(BudgetSeasonality[365 Seasonality],BudgetSeasonality[MonthAdjustment],DaybyDay[[#This Row],[Date]])*SUMIFS(Budgets[Service-Budget],Budgets[BudgetMonth],DaybyDay[[#This Row],[RowMonth]],Budgets[BudgetYear],DaybyDay[[#This Row],[RowYear]])</f>
        <v>4933.9969845973337</v>
      </c>
      <c r="L1151" s="75">
        <v>6683.4</v>
      </c>
      <c r="M1151" s="32">
        <f>INDEX(BudgetSeasonality[365 Seasonality],MATCH(DaybyDay[[#This Row],[Date]],BudgetSeasonality[MonthAdjustment],0))*SUMIFS(Budgets[Retail-Budget],Budgets[BudgetMonth],DaybyDay[[#This Row],[RowMonth]],Budgets[BudgetYear],DaybyDay[[#This Row],[RowYear]])</f>
        <v>1177.8831868790114</v>
      </c>
      <c r="N1151" s="75">
        <v>724.1</v>
      </c>
      <c r="O1151" s="33">
        <f>SUMIFS(DaybyDay[Service-Budgets],DaybyDay[Date],"&gt;="&amp;$C$5,DaybyDay[RowYear],"&gt;="&amp;$C$4,DaybyDay[Date],"&lt;="&amp;DaybyDay[[#This Row],[Date]])</f>
        <v>263562.14918343152</v>
      </c>
      <c r="P1151" s="33">
        <f>SUMIFS(DaybyDay[Retail-Budgets],DaybyDay[Date],"&gt;="&amp;$C$5,DaybyDay[RowYear],"&gt;="&amp;$C$4,DaybyDay[Date],"&lt;="&amp;DaybyDay[[#This Row],[Date]])</f>
        <v>63910.741170308414</v>
      </c>
      <c r="Q1151" s="34">
        <f>SUMIFS(DaybyDay[Service-Actuals],DaybyDay[Date],"&gt;="&amp;$C$5,DaybyDay[RowYear],"&gt;="&amp;$C$4,DaybyDay[Date],"&lt;="&amp;DaybyDay[[#This Row],[Date]])</f>
        <v>260470.08</v>
      </c>
      <c r="R1151" s="34">
        <f>SUMIFS(DaybyDay[Retail-Actuals],DaybyDay[Date],"&gt;="&amp;$C$5,DaybyDay[RowYear],"&gt;="&amp;$C$4,DaybyDay[Date],"&lt;="&amp;DaybyDay[[#This Row],[Date]])</f>
        <v>65035.200000000004</v>
      </c>
      <c r="S1151" s="35">
        <f>SUMIFS(DaybyDay[Service-LY],DaybyDay[Date],"&gt;="&amp;$C$5,DaybyDay[RowYear],"&gt;="&amp;$C$4,DaybyDay[Date],"&lt;="&amp;DaybyDay[[#This Row],[Date]])</f>
        <v>244670.06999999995</v>
      </c>
      <c r="T1151" s="35">
        <f>SUMIFS(DaybyDay[Retail-LY],DaybyDay[Date],"&gt;="&amp;$C$5,DaybyDay[RowYear],"&gt;="&amp;$C$4,DaybyDay[Date],"&lt;="&amp;DaybyDay[[#This Row],[Date]])</f>
        <v>54469.099999999991</v>
      </c>
      <c r="U1151" s="32">
        <f>DaybyDay[[#This Row],[Serv-Bud-RU]]+DaybyDay[[#This Row],[Ret-Bud-RU]]</f>
        <v>327472.89035373996</v>
      </c>
      <c r="V1151" s="32">
        <f>DaybyDay[[#This Row],[Serv-Act-RU]]+DaybyDay[[#This Row],[Ret-Act-RU]]</f>
        <v>325505.27999999997</v>
      </c>
      <c r="W1151" s="36">
        <f>IF(DaybyDay[[#This Row],[_Space]],IFERROR(
((DaybyDay[[#This Row],[Actual-Rollup]]-DaybyDay[[#This Row],[Budget-Rollup]])/DaybyDay[[#This Row],[Budget-Rollup]]),0),"")</f>
        <v>-6.0084679119989295E-3</v>
      </c>
      <c r="X1151" t="b">
        <f>NOT(AND(ISBLANK(DaybyDay[[#This Row],[Appts]]),ISBLANK(DaybyDay[[#This Row],[Service-Actuals]]),ISBLANK(DaybyDay[[#This Row],[Retail-Actuals]])))</f>
        <v>1</v>
      </c>
      <c r="Y1151" s="36">
        <f>IF(DaybyDay[[#This Row],[_Space]],IFERROR(
((DaybyDay[[#This Row],[Actual-Rollup]]-DaybyDay[[#This Row],[LY-Rollup]])/DaybyDay[[#This Row],[LY-Rollup]]),0),"")</f>
        <v>8.8139945029599598E-2</v>
      </c>
      <c r="Z1151"/>
      <c r="AA1151" s="37">
        <f>IF(DaybyDay[[#This Row],[_Space]],DaybyDay[[#This Row],[Ret-Act-RU]]/DaybyDay[[#This Row],[Serv-Act-RU]],"")</f>
        <v>0.24968395602289525</v>
      </c>
      <c r="AB1151" s="50">
        <f>IF(DaybyDay[[#This Row],[_Space]],DaybyDay[[#This Row],[RETPEN-Act]]/DaybyDay[[#This Row],[RETPEN-Bud]],"")</f>
        <v>1.0296741809119925</v>
      </c>
      <c r="AC1151" s="37">
        <f>IF(DaybyDay[[#This Row],[_Space]],DaybyDay[[#This Row],[Ret-Bud-RU]]/DaybyDay[[#This Row],[Serv-Bud-RU]],"")</f>
        <v>0.24248831392639925</v>
      </c>
      <c r="AD1151" s="37">
        <f>IF(DaybyDay[[#This Row],[_Space]],DaybyDay[[#This Row],[Ret-LY-RU]]/DaybyDay[[#This Row],[Serv-LY-RU]],"")</f>
        <v>0.22262265261950512</v>
      </c>
      <c r="AE1151" s="30">
        <f>WEEKDAY(DaybyDay[[#This Row],[LY-Date]])</f>
        <v>4</v>
      </c>
      <c r="AF1151" s="38">
        <f>$E$2+_xlfn.DAYS(DaybyDay[[#This Row],[Date]],minDate)</f>
        <v>43516</v>
      </c>
      <c r="AG1151" s="39" cm="1">
        <f t="array" ref="AG1151">IFERROR(INDEX(DaybyDay[],DaybyDay[[#This Row],[FORM_MATCH_HELPER]],8),"")</f>
        <v>24</v>
      </c>
      <c r="AH1151" s="39" cm="1">
        <f t="array" ref="AH1151">IFERROR(INDEX(DaybyDay[],DaybyDay[[#This Row],[FORM_MATCH_HELPER]],10),"")</f>
        <v>4213.8999999999996</v>
      </c>
      <c r="AI1151" s="39" cm="1">
        <f t="array" ref="AI1151">IFERROR(INDEX(DaybyDay[],DaybyDay[[#This Row],[FORM_MATCH_HELPER]],12),"")</f>
        <v>816.65</v>
      </c>
      <c r="AJ1151" s="32">
        <f>IFERROR(DaybyDay[[#This Row],[Serv-LY-RU]]+DaybyDay[[#This Row],[Ret-LY-RU]],"")</f>
        <v>299139.16999999993</v>
      </c>
      <c r="AK11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325505.27999999997</v>
      </c>
      <c r="AL1151" s="77"/>
      <c r="AM1151" s="40" t="str">
        <f>IF(DaybyDay[[#This Row],[Admin Hours]]&gt;0,DaybyDay[[#This Row],[Admin Hours]]*$AM$2+$AM$3,"")</f>
        <v/>
      </c>
      <c r="AN1151" s="40">
        <f>SUMIFS(DaybyDay[Est-Admin-Payroll],DaybyDay[Date],"&gt;="&amp;$C$5,DaybyDay[RowYear],"&gt;="&amp;$C$4,DaybyDay[Date],"&lt;="&amp;DaybyDay[[#This Row],[Date]])</f>
        <v>0</v>
      </c>
      <c r="AO1151" s="41" t="str">
        <f>IF(AND(DaybyDay[[#This Row],[_Space]],ISNUMBER(DaybyDay[[#This Row],[Admin Hours]])),DaybyDay[[#This Row],[Est-Admin-Payroll]]/(DaybyDay[[#This Row],[Service-Actuals]]+DaybyDay[[#This Row],[Retail-Actuals]]),"")</f>
        <v/>
      </c>
      <c r="AP1151" s="41">
        <f>DaybyDay[[#This Row],[Estimated-Payroll-Rollup]]/DaybyDay[[#This Row],[Simple-Forecast]]</f>
        <v>0</v>
      </c>
      <c r="AQ11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65035.200000000004</v>
      </c>
      <c r="AR1151" s="77"/>
      <c r="AS1151" s="40" t="str">
        <f>IF(DaybyDay[[#This Row],[Retail Hours]]&gt;0,DaybyDay[[#This Row],[Retail Hours]]*$AS$2,"")</f>
        <v/>
      </c>
      <c r="AT1151" s="40">
        <f>SUMIFS(DaybyDay[Est-Retail-Payroll],DaybyDay[Date],"&gt;="&amp;$C$5,DaybyDay[RowYear],"&gt;="&amp;$C$4,DaybyDay[Date],"&lt;="&amp;DaybyDay[[#This Row],[Date]])</f>
        <v>0</v>
      </c>
      <c r="AU1151" s="82" t="str">
        <f>IF(AND(DaybyDay[[#This Row],[_Space]],ISNUMBER(DaybyDay[[#This Row],[Retail Hours]])),DaybyDay[[#This Row],[Est-Retail-Payroll]]/(DaybyDay[[#This Row],[Retail-Actuals]]),"")</f>
        <v/>
      </c>
      <c r="AV1151" s="82">
        <f>DaybyDay[[#This Row],[Est-Retail-PayrollRU]]/DaybyDay[[#This Row],[Simple-Forecast-Retail]]</f>
        <v>0</v>
      </c>
      <c r="AW1151" s="8"/>
      <c r="AX1151" s="15"/>
      <c r="AY1151" s="8"/>
    </row>
    <row r="1152" spans="3:51" hidden="1" x14ac:dyDescent="0.25">
      <c r="C1152" s="26" t="str">
        <f>Tools!$C$1</f>
        <v>Example</v>
      </c>
      <c r="D1152" s="27" t="s">
        <v>69</v>
      </c>
      <c r="E1152" s="28">
        <v>2020</v>
      </c>
      <c r="F1152" s="28">
        <f>MATCH(DaybyDay[[#This Row],[RowMonth]],Table3[SummaryMonth],0)</f>
        <v>2</v>
      </c>
      <c r="G1152" s="29">
        <f>MATCH(DaybyDay[[#This Row],[LY-Date]],DaybyDay[Date],0)</f>
        <v>782</v>
      </c>
      <c r="H1152" s="30">
        <f>WEEKDAY(DaybyDay[[#This Row],[Date]])</f>
        <v>5</v>
      </c>
      <c r="I1152" s="31">
        <v>43881</v>
      </c>
      <c r="J1152" s="74">
        <v>34</v>
      </c>
      <c r="K1152" s="32">
        <f>SUMIFS(BudgetSeasonality[365 Seasonality],BudgetSeasonality[MonthAdjustment],DaybyDay[[#This Row],[Date]])*SUMIFS(Budgets[Service-Budget],Budgets[BudgetMonth],DaybyDay[[#This Row],[RowMonth]],Budgets[BudgetYear],DaybyDay[[#This Row],[RowYear]])</f>
        <v>4959.9172005454766</v>
      </c>
      <c r="L1152" s="75">
        <v>5688.6</v>
      </c>
      <c r="M1152" s="32">
        <f>INDEX(BudgetSeasonality[365 Seasonality],MATCH(DaybyDay[[#This Row],[Date]],BudgetSeasonality[MonthAdjustment],0))*SUMIFS(Budgets[Retail-Budget],Budgets[BudgetMonth],DaybyDay[[#This Row],[RowMonth]],Budgets[BudgetYear],DaybyDay[[#This Row],[RowYear]])</f>
        <v>1184.0710679541116</v>
      </c>
      <c r="N1152" s="75">
        <v>1754</v>
      </c>
      <c r="O1152" s="33">
        <f>SUMIFS(DaybyDay[Service-Budgets],DaybyDay[Date],"&gt;="&amp;$C$5,DaybyDay[RowYear],"&gt;="&amp;$C$4,DaybyDay[Date],"&lt;="&amp;DaybyDay[[#This Row],[Date]])</f>
        <v>268522.06638397701</v>
      </c>
      <c r="P1152" s="33">
        <f>SUMIFS(DaybyDay[Retail-Budgets],DaybyDay[Date],"&gt;="&amp;$C$5,DaybyDay[RowYear],"&gt;="&amp;$C$4,DaybyDay[Date],"&lt;="&amp;DaybyDay[[#This Row],[Date]])</f>
        <v>65094.81223826253</v>
      </c>
      <c r="Q1152" s="34">
        <f>SUMIFS(DaybyDay[Service-Actuals],DaybyDay[Date],"&gt;="&amp;$C$5,DaybyDay[RowYear],"&gt;="&amp;$C$4,DaybyDay[Date],"&lt;="&amp;DaybyDay[[#This Row],[Date]])</f>
        <v>266158.68</v>
      </c>
      <c r="R1152" s="34">
        <f>SUMIFS(DaybyDay[Retail-Actuals],DaybyDay[Date],"&gt;="&amp;$C$5,DaybyDay[RowYear],"&gt;="&amp;$C$4,DaybyDay[Date],"&lt;="&amp;DaybyDay[[#This Row],[Date]])</f>
        <v>66789.200000000012</v>
      </c>
      <c r="S1152" s="35">
        <f>SUMIFS(DaybyDay[Service-LY],DaybyDay[Date],"&gt;="&amp;$C$5,DaybyDay[RowYear],"&gt;="&amp;$C$4,DaybyDay[Date],"&lt;="&amp;DaybyDay[[#This Row],[Date]])</f>
        <v>249887.96999999994</v>
      </c>
      <c r="T1152" s="35">
        <f>SUMIFS(DaybyDay[Retail-LY],DaybyDay[Date],"&gt;="&amp;$C$5,DaybyDay[RowYear],"&gt;="&amp;$C$4,DaybyDay[Date],"&lt;="&amp;DaybyDay[[#This Row],[Date]])</f>
        <v>54512.789999999994</v>
      </c>
      <c r="U1152" s="32">
        <f>DaybyDay[[#This Row],[Serv-Bud-RU]]+DaybyDay[[#This Row],[Ret-Bud-RU]]</f>
        <v>333616.87862223957</v>
      </c>
      <c r="V1152" s="32">
        <f>DaybyDay[[#This Row],[Serv-Act-RU]]+DaybyDay[[#This Row],[Ret-Act-RU]]</f>
        <v>332947.88</v>
      </c>
      <c r="W1152" s="36">
        <f>IF(DaybyDay[[#This Row],[_Space]],IFERROR(
((DaybyDay[[#This Row],[Actual-Rollup]]-DaybyDay[[#This Row],[Budget-Rollup]])/DaybyDay[[#This Row],[Budget-Rollup]]),0),"")</f>
        <v>-2.0052900950406848E-3</v>
      </c>
      <c r="X1152" t="b">
        <f>NOT(AND(ISBLANK(DaybyDay[[#This Row],[Appts]]),ISBLANK(DaybyDay[[#This Row],[Service-Actuals]]),ISBLANK(DaybyDay[[#This Row],[Retail-Actuals]])))</f>
        <v>1</v>
      </c>
      <c r="Y1152" s="36">
        <f>IF(DaybyDay[[#This Row],[_Space]],IFERROR(
((DaybyDay[[#This Row],[Actual-Rollup]]-DaybyDay[[#This Row],[LY-Rollup]])/DaybyDay[[#This Row],[LY-Rollup]]),0),"")</f>
        <v>9.3781369008408708E-2</v>
      </c>
      <c r="Z1152"/>
      <c r="AA1152" s="37">
        <f>IF(DaybyDay[[#This Row],[_Space]],DaybyDay[[#This Row],[Ret-Act-RU]]/DaybyDay[[#This Row],[Serv-Act-RU]],"")</f>
        <v>0.25093752343526804</v>
      </c>
      <c r="AB1152" s="50">
        <f>IF(DaybyDay[[#This Row],[_Space]],DaybyDay[[#This Row],[RETPEN-Act]]/DaybyDay[[#This Row],[RETPEN-Bud]],"")</f>
        <v>1.0351402824464826</v>
      </c>
      <c r="AC1152" s="37">
        <f>IF(DaybyDay[[#This Row],[_Space]],DaybyDay[[#This Row],[Ret-Bud-RU]]/DaybyDay[[#This Row],[Serv-Bud-RU]],"")</f>
        <v>0.24241885635268151</v>
      </c>
      <c r="AD1152" s="37">
        <f>IF(DaybyDay[[#This Row],[_Space]],DaybyDay[[#This Row],[Ret-LY-RU]]/DaybyDay[[#This Row],[Serv-LY-RU]],"")</f>
        <v>0.21814891689263796</v>
      </c>
      <c r="AE1152" s="30">
        <f>WEEKDAY(DaybyDay[[#This Row],[LY-Date]])</f>
        <v>5</v>
      </c>
      <c r="AF1152" s="38">
        <f>$E$2+_xlfn.DAYS(DaybyDay[[#This Row],[Date]],minDate)</f>
        <v>43517</v>
      </c>
      <c r="AG1152" s="39" cm="1">
        <f t="array" ref="AG1152">IFERROR(INDEX(DaybyDay[],DaybyDay[[#This Row],[FORM_MATCH_HELPER]],8),"")</f>
        <v>21</v>
      </c>
      <c r="AH1152" s="39" cm="1">
        <f t="array" ref="AH1152">IFERROR(INDEX(DaybyDay[],DaybyDay[[#This Row],[FORM_MATCH_HELPER]],10),"")</f>
        <v>5217.8999999999996</v>
      </c>
      <c r="AI1152" s="39" cm="1">
        <f t="array" ref="AI1152">IFERROR(INDEX(DaybyDay[],DaybyDay[[#This Row],[FORM_MATCH_HELPER]],12),"")</f>
        <v>43.69</v>
      </c>
      <c r="AJ1152" s="32">
        <f>IFERROR(DaybyDay[[#This Row],[Serv-LY-RU]]+DaybyDay[[#This Row],[Ret-LY-RU]],"")</f>
        <v>304400.75999999995</v>
      </c>
      <c r="AK11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332947.88</v>
      </c>
      <c r="AL1152" s="77"/>
      <c r="AM1152" s="40" t="str">
        <f>IF(DaybyDay[[#This Row],[Admin Hours]]&gt;0,DaybyDay[[#This Row],[Admin Hours]]*$AM$2+$AM$3,"")</f>
        <v/>
      </c>
      <c r="AN1152" s="40">
        <f>SUMIFS(DaybyDay[Est-Admin-Payroll],DaybyDay[Date],"&gt;="&amp;$C$5,DaybyDay[RowYear],"&gt;="&amp;$C$4,DaybyDay[Date],"&lt;="&amp;DaybyDay[[#This Row],[Date]])</f>
        <v>0</v>
      </c>
      <c r="AO1152" s="41" t="str">
        <f>IF(AND(DaybyDay[[#This Row],[_Space]],ISNUMBER(DaybyDay[[#This Row],[Admin Hours]])),DaybyDay[[#This Row],[Est-Admin-Payroll]]/(DaybyDay[[#This Row],[Service-Actuals]]+DaybyDay[[#This Row],[Retail-Actuals]]),"")</f>
        <v/>
      </c>
      <c r="AP1152" s="41">
        <f>DaybyDay[[#This Row],[Estimated-Payroll-Rollup]]/DaybyDay[[#This Row],[Simple-Forecast]]</f>
        <v>0</v>
      </c>
      <c r="AQ11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66789.200000000012</v>
      </c>
      <c r="AR1152" s="77"/>
      <c r="AS1152" s="40" t="str">
        <f>IF(DaybyDay[[#This Row],[Retail Hours]]&gt;0,DaybyDay[[#This Row],[Retail Hours]]*$AS$2,"")</f>
        <v/>
      </c>
      <c r="AT1152" s="40">
        <f>SUMIFS(DaybyDay[Est-Retail-Payroll],DaybyDay[Date],"&gt;="&amp;$C$5,DaybyDay[RowYear],"&gt;="&amp;$C$4,DaybyDay[Date],"&lt;="&amp;DaybyDay[[#This Row],[Date]])</f>
        <v>0</v>
      </c>
      <c r="AU1152" s="82" t="str">
        <f>IF(AND(DaybyDay[[#This Row],[_Space]],ISNUMBER(DaybyDay[[#This Row],[Retail Hours]])),DaybyDay[[#This Row],[Est-Retail-Payroll]]/(DaybyDay[[#This Row],[Retail-Actuals]]),"")</f>
        <v/>
      </c>
      <c r="AV1152" s="82">
        <f>DaybyDay[[#This Row],[Est-Retail-PayrollRU]]/DaybyDay[[#This Row],[Simple-Forecast-Retail]]</f>
        <v>0</v>
      </c>
      <c r="AW1152" s="8"/>
      <c r="AX1152" s="15"/>
      <c r="AY1152" s="8"/>
    </row>
    <row r="1153" spans="3:51" hidden="1" x14ac:dyDescent="0.25">
      <c r="C1153" s="26" t="str">
        <f>Tools!$C$1</f>
        <v>Example</v>
      </c>
      <c r="D1153" s="27" t="s">
        <v>69</v>
      </c>
      <c r="E1153" s="28">
        <v>2020</v>
      </c>
      <c r="F1153" s="28">
        <f>MATCH(DaybyDay[[#This Row],[RowMonth]],Table3[SummaryMonth],0)</f>
        <v>2</v>
      </c>
      <c r="G1153" s="29">
        <f>MATCH(DaybyDay[[#This Row],[LY-Date]],DaybyDay[Date],0)</f>
        <v>783</v>
      </c>
      <c r="H1153" s="30">
        <f>WEEKDAY(DaybyDay[[#This Row],[Date]])</f>
        <v>6</v>
      </c>
      <c r="I1153" s="31">
        <v>43882</v>
      </c>
      <c r="J1153" s="74">
        <v>44</v>
      </c>
      <c r="K1153" s="32">
        <f>SUMIFS(BudgetSeasonality[365 Seasonality],BudgetSeasonality[MonthAdjustment],DaybyDay[[#This Row],[Date]])*SUMIFS(Budgets[Service-Budget],Budgets[BudgetMonth],DaybyDay[[#This Row],[RowMonth]],Budgets[BudgetYear],DaybyDay[[#This Row],[RowYear]])</f>
        <v>5928.2769630419598</v>
      </c>
      <c r="L1153" s="75">
        <v>7009.05</v>
      </c>
      <c r="M1153" s="32">
        <f>INDEX(BudgetSeasonality[365 Seasonality],MATCH(DaybyDay[[#This Row],[Date]],BudgetSeasonality[MonthAdjustment],0))*SUMIFS(Budgets[Retail-Budget],Budgets[BudgetMonth],DaybyDay[[#This Row],[RowMonth]],Budgets[BudgetYear],DaybyDay[[#This Row],[RowYear]])</f>
        <v>1415.2456484525321</v>
      </c>
      <c r="N1153" s="75">
        <v>282.75</v>
      </c>
      <c r="O1153" s="33">
        <f>SUMIFS(DaybyDay[Service-Budgets],DaybyDay[Date],"&gt;="&amp;$C$5,DaybyDay[RowYear],"&gt;="&amp;$C$4,DaybyDay[Date],"&lt;="&amp;DaybyDay[[#This Row],[Date]])</f>
        <v>274450.34334701899</v>
      </c>
      <c r="P1153" s="33">
        <f>SUMIFS(DaybyDay[Retail-Budgets],DaybyDay[Date],"&gt;="&amp;$C$5,DaybyDay[RowYear],"&gt;="&amp;$C$4,DaybyDay[Date],"&lt;="&amp;DaybyDay[[#This Row],[Date]])</f>
        <v>66510.057886715062</v>
      </c>
      <c r="Q1153" s="34">
        <f>SUMIFS(DaybyDay[Service-Actuals],DaybyDay[Date],"&gt;="&amp;$C$5,DaybyDay[RowYear],"&gt;="&amp;$C$4,DaybyDay[Date],"&lt;="&amp;DaybyDay[[#This Row],[Date]])</f>
        <v>273167.73</v>
      </c>
      <c r="R1153" s="34">
        <f>SUMIFS(DaybyDay[Retail-Actuals],DaybyDay[Date],"&gt;="&amp;$C$5,DaybyDay[RowYear],"&gt;="&amp;$C$4,DaybyDay[Date],"&lt;="&amp;DaybyDay[[#This Row],[Date]])</f>
        <v>67071.950000000012</v>
      </c>
      <c r="S1153" s="35">
        <f>SUMIFS(DaybyDay[Service-LY],DaybyDay[Date],"&gt;="&amp;$C$5,DaybyDay[RowYear],"&gt;="&amp;$C$4,DaybyDay[Date],"&lt;="&amp;DaybyDay[[#This Row],[Date]])</f>
        <v>254443.65999999995</v>
      </c>
      <c r="T1153" s="35">
        <f>SUMIFS(DaybyDay[Retail-LY],DaybyDay[Date],"&gt;="&amp;$C$5,DaybyDay[RowYear],"&gt;="&amp;$C$4,DaybyDay[Date],"&lt;="&amp;DaybyDay[[#This Row],[Date]])</f>
        <v>56164.289999999994</v>
      </c>
      <c r="U1153" s="32">
        <f>DaybyDay[[#This Row],[Serv-Bud-RU]]+DaybyDay[[#This Row],[Ret-Bud-RU]]</f>
        <v>340960.40123373404</v>
      </c>
      <c r="V1153" s="32">
        <f>DaybyDay[[#This Row],[Serv-Act-RU]]+DaybyDay[[#This Row],[Ret-Act-RU]]</f>
        <v>340239.68</v>
      </c>
      <c r="W1153" s="36">
        <f>IF(DaybyDay[[#This Row],[_Space]],IFERROR(
((DaybyDay[[#This Row],[Actual-Rollup]]-DaybyDay[[#This Row],[Budget-Rollup]])/DaybyDay[[#This Row],[Budget-Rollup]]),0),"")</f>
        <v>-2.1137974706921456E-3</v>
      </c>
      <c r="X1153" t="b">
        <f>NOT(AND(ISBLANK(DaybyDay[[#This Row],[Appts]]),ISBLANK(DaybyDay[[#This Row],[Service-Actuals]]),ISBLANK(DaybyDay[[#This Row],[Retail-Actuals]])))</f>
        <v>1</v>
      </c>
      <c r="Y1153" s="36">
        <f>IF(DaybyDay[[#This Row],[_Space]],IFERROR(
((DaybyDay[[#This Row],[Actual-Rollup]]-DaybyDay[[#This Row],[LY-Rollup]])/DaybyDay[[#This Row],[LY-Rollup]]),0),"")</f>
        <v>9.5399135791598519E-2</v>
      </c>
      <c r="Z1153"/>
      <c r="AA1153" s="37">
        <f>IF(DaybyDay[[#This Row],[_Space]],DaybyDay[[#This Row],[Ret-Act-RU]]/DaybyDay[[#This Row],[Serv-Act-RU]],"")</f>
        <v>0.24553394355914593</v>
      </c>
      <c r="AB1153" s="50">
        <f>IF(DaybyDay[[#This Row],[_Space]],DaybyDay[[#This Row],[RETPEN-Act]]/DaybyDay[[#This Row],[RETPEN-Bud]],"")</f>
        <v>1.0131832275343013</v>
      </c>
      <c r="AC1153" s="37">
        <f>IF(DaybyDay[[#This Row],[_Space]],DaybyDay[[#This Row],[Ret-Bud-RU]]/DaybyDay[[#This Row],[Serv-Bud-RU]],"")</f>
        <v>0.2423391316461892</v>
      </c>
      <c r="AD1153" s="37">
        <f>IF(DaybyDay[[#This Row],[_Space]],DaybyDay[[#This Row],[Ret-LY-RU]]/DaybyDay[[#This Row],[Serv-LY-RU]],"")</f>
        <v>0.22073369798249248</v>
      </c>
      <c r="AE1153" s="30">
        <f>WEEKDAY(DaybyDay[[#This Row],[LY-Date]])</f>
        <v>6</v>
      </c>
      <c r="AF1153" s="38">
        <f>$E$2+_xlfn.DAYS(DaybyDay[[#This Row],[Date]],minDate)</f>
        <v>43518</v>
      </c>
      <c r="AG1153" s="39" cm="1">
        <f t="array" ref="AG1153">IFERROR(INDEX(DaybyDay[],DaybyDay[[#This Row],[FORM_MATCH_HELPER]],8),"")</f>
        <v>23</v>
      </c>
      <c r="AH1153" s="39" cm="1">
        <f t="array" ref="AH1153">IFERROR(INDEX(DaybyDay[],DaybyDay[[#This Row],[FORM_MATCH_HELPER]],10),"")</f>
        <v>4555.6899999999996</v>
      </c>
      <c r="AI1153" s="39" cm="1">
        <f t="array" ref="AI1153">IFERROR(INDEX(DaybyDay[],DaybyDay[[#This Row],[FORM_MATCH_HELPER]],12),"")</f>
        <v>1651.5</v>
      </c>
      <c r="AJ1153" s="32">
        <f>IFERROR(DaybyDay[[#This Row],[Serv-LY-RU]]+DaybyDay[[#This Row],[Ret-LY-RU]],"")</f>
        <v>310607.94999999995</v>
      </c>
      <c r="AK11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340239.68</v>
      </c>
      <c r="AL1153" s="77"/>
      <c r="AM1153" s="40" t="str">
        <f>IF(DaybyDay[[#This Row],[Admin Hours]]&gt;0,DaybyDay[[#This Row],[Admin Hours]]*$AM$2+$AM$3,"")</f>
        <v/>
      </c>
      <c r="AN1153" s="40">
        <f>SUMIFS(DaybyDay[Est-Admin-Payroll],DaybyDay[Date],"&gt;="&amp;$C$5,DaybyDay[RowYear],"&gt;="&amp;$C$4,DaybyDay[Date],"&lt;="&amp;DaybyDay[[#This Row],[Date]])</f>
        <v>0</v>
      </c>
      <c r="AO1153" s="41" t="str">
        <f>IF(AND(DaybyDay[[#This Row],[_Space]],ISNUMBER(DaybyDay[[#This Row],[Admin Hours]])),DaybyDay[[#This Row],[Est-Admin-Payroll]]/(DaybyDay[[#This Row],[Service-Actuals]]+DaybyDay[[#This Row],[Retail-Actuals]]),"")</f>
        <v/>
      </c>
      <c r="AP1153" s="41">
        <f>DaybyDay[[#This Row],[Estimated-Payroll-Rollup]]/DaybyDay[[#This Row],[Simple-Forecast]]</f>
        <v>0</v>
      </c>
      <c r="AQ11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67071.950000000012</v>
      </c>
      <c r="AR1153" s="77"/>
      <c r="AS1153" s="40" t="str">
        <f>IF(DaybyDay[[#This Row],[Retail Hours]]&gt;0,DaybyDay[[#This Row],[Retail Hours]]*$AS$2,"")</f>
        <v/>
      </c>
      <c r="AT1153" s="40">
        <f>SUMIFS(DaybyDay[Est-Retail-Payroll],DaybyDay[Date],"&gt;="&amp;$C$5,DaybyDay[RowYear],"&gt;="&amp;$C$4,DaybyDay[Date],"&lt;="&amp;DaybyDay[[#This Row],[Date]])</f>
        <v>0</v>
      </c>
      <c r="AU1153" s="82" t="str">
        <f>IF(AND(DaybyDay[[#This Row],[_Space]],ISNUMBER(DaybyDay[[#This Row],[Retail Hours]])),DaybyDay[[#This Row],[Est-Retail-Payroll]]/(DaybyDay[[#This Row],[Retail-Actuals]]),"")</f>
        <v/>
      </c>
      <c r="AV1153" s="82">
        <f>DaybyDay[[#This Row],[Est-Retail-PayrollRU]]/DaybyDay[[#This Row],[Simple-Forecast-Retail]]</f>
        <v>0</v>
      </c>
      <c r="AW1153" s="8"/>
      <c r="AX1153" s="15"/>
      <c r="AY1153" s="8"/>
    </row>
    <row r="1154" spans="3:51" hidden="1" x14ac:dyDescent="0.25">
      <c r="C1154" s="26" t="str">
        <f>Tools!$C$1</f>
        <v>Example</v>
      </c>
      <c r="D1154" s="27" t="s">
        <v>69</v>
      </c>
      <c r="E1154" s="28">
        <v>2020</v>
      </c>
      <c r="F1154" s="28">
        <f>MATCH(DaybyDay[[#This Row],[RowMonth]],Table3[SummaryMonth],0)</f>
        <v>2</v>
      </c>
      <c r="G1154" s="29">
        <f>MATCH(DaybyDay[[#This Row],[LY-Date]],DaybyDay[Date],0)</f>
        <v>784</v>
      </c>
      <c r="H1154" s="30">
        <f>WEEKDAY(DaybyDay[[#This Row],[Date]])</f>
        <v>7</v>
      </c>
      <c r="I1154" s="31">
        <v>43883</v>
      </c>
      <c r="J1154" s="74">
        <v>49</v>
      </c>
      <c r="K1154" s="32">
        <f>SUMIFS(BudgetSeasonality[365 Seasonality],BudgetSeasonality[MonthAdjustment],DaybyDay[[#This Row],[Date]])*SUMIFS(Budgets[Service-Budget],Budgets[BudgetMonth],DaybyDay[[#This Row],[RowMonth]],Budgets[BudgetYear],DaybyDay[[#This Row],[RowYear]])</f>
        <v>8083.6092740358126</v>
      </c>
      <c r="L1154" s="75">
        <v>11659.05</v>
      </c>
      <c r="M1154" s="32">
        <f>INDEX(BudgetSeasonality[365 Seasonality],MATCH(DaybyDay[[#This Row],[Date]],BudgetSeasonality[MonthAdjustment],0))*SUMIFS(Budgets[Retail-Budget],Budgets[BudgetMonth],DaybyDay[[#This Row],[RowMonth]],Budgets[BudgetYear],DaybyDay[[#This Row],[RowYear]])</f>
        <v>1929.7838006204406</v>
      </c>
      <c r="N1154" s="75">
        <v>1714</v>
      </c>
      <c r="O1154" s="33">
        <f>SUMIFS(DaybyDay[Service-Budgets],DaybyDay[Date],"&gt;="&amp;$C$5,DaybyDay[RowYear],"&gt;="&amp;$C$4,DaybyDay[Date],"&lt;="&amp;DaybyDay[[#This Row],[Date]])</f>
        <v>282533.95262105478</v>
      </c>
      <c r="P1154" s="33">
        <f>SUMIFS(DaybyDay[Retail-Budgets],DaybyDay[Date],"&gt;="&amp;$C$5,DaybyDay[RowYear],"&gt;="&amp;$C$4,DaybyDay[Date],"&lt;="&amp;DaybyDay[[#This Row],[Date]])</f>
        <v>68439.841687335502</v>
      </c>
      <c r="Q1154" s="34">
        <f>SUMIFS(DaybyDay[Service-Actuals],DaybyDay[Date],"&gt;="&amp;$C$5,DaybyDay[RowYear],"&gt;="&amp;$C$4,DaybyDay[Date],"&lt;="&amp;DaybyDay[[#This Row],[Date]])</f>
        <v>284826.77999999997</v>
      </c>
      <c r="R1154" s="34">
        <f>SUMIFS(DaybyDay[Retail-Actuals],DaybyDay[Date],"&gt;="&amp;$C$5,DaybyDay[RowYear],"&gt;="&amp;$C$4,DaybyDay[Date],"&lt;="&amp;DaybyDay[[#This Row],[Date]])</f>
        <v>68785.950000000012</v>
      </c>
      <c r="S1154" s="35">
        <f>SUMIFS(DaybyDay[Service-LY],DaybyDay[Date],"&gt;="&amp;$C$5,DaybyDay[RowYear],"&gt;="&amp;$C$4,DaybyDay[Date],"&lt;="&amp;DaybyDay[[#This Row],[Date]])</f>
        <v>261904.65999999995</v>
      </c>
      <c r="T1154" s="35">
        <f>SUMIFS(DaybyDay[Retail-LY],DaybyDay[Date],"&gt;="&amp;$C$5,DaybyDay[RowYear],"&gt;="&amp;$C$4,DaybyDay[Date],"&lt;="&amp;DaybyDay[[#This Row],[Date]])</f>
        <v>57821.289999999994</v>
      </c>
      <c r="U1154" s="32">
        <f>DaybyDay[[#This Row],[Serv-Bud-RU]]+DaybyDay[[#This Row],[Ret-Bud-RU]]</f>
        <v>350973.79430839029</v>
      </c>
      <c r="V1154" s="32">
        <f>DaybyDay[[#This Row],[Serv-Act-RU]]+DaybyDay[[#This Row],[Ret-Act-RU]]</f>
        <v>353612.73</v>
      </c>
      <c r="W1154" s="36">
        <f>IF(DaybyDay[[#This Row],[_Space]],IFERROR(
((DaybyDay[[#This Row],[Actual-Rollup]]-DaybyDay[[#This Row],[Budget-Rollup]])/DaybyDay[[#This Row],[Budget-Rollup]]),0),"")</f>
        <v>7.5188966652334531E-3</v>
      </c>
      <c r="X1154" t="b">
        <f>NOT(AND(ISBLANK(DaybyDay[[#This Row],[Appts]]),ISBLANK(DaybyDay[[#This Row],[Service-Actuals]]),ISBLANK(DaybyDay[[#This Row],[Retail-Actuals]])))</f>
        <v>1</v>
      </c>
      <c r="Y1154" s="36">
        <f>IF(DaybyDay[[#This Row],[_Space]],IFERROR(
((DaybyDay[[#This Row],[Actual-Rollup]]-DaybyDay[[#This Row],[LY-Rollup]])/DaybyDay[[#This Row],[LY-Rollup]]),0),"")</f>
        <v>0.10598695539101544</v>
      </c>
      <c r="Z1154"/>
      <c r="AA1154" s="37">
        <f>IF(DaybyDay[[#This Row],[_Space]],DaybyDay[[#This Row],[Ret-Act-RU]]/DaybyDay[[#This Row],[Serv-Act-RU]],"")</f>
        <v>0.24150099228731237</v>
      </c>
      <c r="AB1154" s="50">
        <f>IF(DaybyDay[[#This Row],[_Space]],DaybyDay[[#This Row],[RETPEN-Act]]/DaybyDay[[#This Row],[RETPEN-Bud]],"")</f>
        <v>0.9969665070903766</v>
      </c>
      <c r="AC1154" s="37">
        <f>IF(DaybyDay[[#This Row],[_Space]],DaybyDay[[#This Row],[Ret-Bud-RU]]/DaybyDay[[#This Row],[Serv-Bud-RU]],"")</f>
        <v>0.24223581290822632</v>
      </c>
      <c r="AD1154" s="37">
        <f>IF(DaybyDay[[#This Row],[_Space]],DaybyDay[[#This Row],[Ret-LY-RU]]/DaybyDay[[#This Row],[Serv-LY-RU]],"")</f>
        <v>0.22077228408230692</v>
      </c>
      <c r="AE1154" s="30">
        <f>WEEKDAY(DaybyDay[[#This Row],[LY-Date]])</f>
        <v>7</v>
      </c>
      <c r="AF1154" s="38">
        <f>$E$2+_xlfn.DAYS(DaybyDay[[#This Row],[Date]],minDate)</f>
        <v>43519</v>
      </c>
      <c r="AG1154" s="39" cm="1">
        <f t="array" ref="AG1154">IFERROR(INDEX(DaybyDay[],DaybyDay[[#This Row],[FORM_MATCH_HELPER]],8),"")</f>
        <v>30</v>
      </c>
      <c r="AH1154" s="39" cm="1">
        <f t="array" ref="AH1154">IFERROR(INDEX(DaybyDay[],DaybyDay[[#This Row],[FORM_MATCH_HELPER]],10),"")</f>
        <v>7461</v>
      </c>
      <c r="AI1154" s="39" cm="1">
        <f t="array" ref="AI1154">IFERROR(INDEX(DaybyDay[],DaybyDay[[#This Row],[FORM_MATCH_HELPER]],12),"")</f>
        <v>1657</v>
      </c>
      <c r="AJ1154" s="32">
        <f>IFERROR(DaybyDay[[#This Row],[Serv-LY-RU]]+DaybyDay[[#This Row],[Ret-LY-RU]],"")</f>
        <v>319725.94999999995</v>
      </c>
      <c r="AK11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353612.73</v>
      </c>
      <c r="AL1154" s="77"/>
      <c r="AM1154" s="40" t="str">
        <f>IF(DaybyDay[[#This Row],[Admin Hours]]&gt;0,DaybyDay[[#This Row],[Admin Hours]]*$AM$2+$AM$3,"")</f>
        <v/>
      </c>
      <c r="AN1154" s="40">
        <f>SUMIFS(DaybyDay[Est-Admin-Payroll],DaybyDay[Date],"&gt;="&amp;$C$5,DaybyDay[RowYear],"&gt;="&amp;$C$4,DaybyDay[Date],"&lt;="&amp;DaybyDay[[#This Row],[Date]])</f>
        <v>0</v>
      </c>
      <c r="AO1154" s="41" t="str">
        <f>IF(AND(DaybyDay[[#This Row],[_Space]],ISNUMBER(DaybyDay[[#This Row],[Admin Hours]])),DaybyDay[[#This Row],[Est-Admin-Payroll]]/(DaybyDay[[#This Row],[Service-Actuals]]+DaybyDay[[#This Row],[Retail-Actuals]]),"")</f>
        <v/>
      </c>
      <c r="AP1154" s="41">
        <f>DaybyDay[[#This Row],[Estimated-Payroll-Rollup]]/DaybyDay[[#This Row],[Simple-Forecast]]</f>
        <v>0</v>
      </c>
      <c r="AQ11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68785.950000000012</v>
      </c>
      <c r="AR1154" s="77"/>
      <c r="AS1154" s="40" t="str">
        <f>IF(DaybyDay[[#This Row],[Retail Hours]]&gt;0,DaybyDay[[#This Row],[Retail Hours]]*$AS$2,"")</f>
        <v/>
      </c>
      <c r="AT1154" s="40">
        <f>SUMIFS(DaybyDay[Est-Retail-Payroll],DaybyDay[Date],"&gt;="&amp;$C$5,DaybyDay[RowYear],"&gt;="&amp;$C$4,DaybyDay[Date],"&lt;="&amp;DaybyDay[[#This Row],[Date]])</f>
        <v>0</v>
      </c>
      <c r="AU1154" s="82" t="str">
        <f>IF(AND(DaybyDay[[#This Row],[_Space]],ISNUMBER(DaybyDay[[#This Row],[Retail Hours]])),DaybyDay[[#This Row],[Est-Retail-Payroll]]/(DaybyDay[[#This Row],[Retail-Actuals]]),"")</f>
        <v/>
      </c>
      <c r="AV1154" s="82">
        <f>DaybyDay[[#This Row],[Est-Retail-PayrollRU]]/DaybyDay[[#This Row],[Simple-Forecast-Retail]]</f>
        <v>0</v>
      </c>
      <c r="AW1154" s="8"/>
      <c r="AX1154" s="15"/>
      <c r="AY1154" s="8"/>
    </row>
    <row r="1155" spans="3:51" hidden="1" x14ac:dyDescent="0.25">
      <c r="C1155" s="26" t="str">
        <f>Tools!$C$1</f>
        <v>Example</v>
      </c>
      <c r="D1155" s="27" t="s">
        <v>69</v>
      </c>
      <c r="E1155" s="28">
        <v>2020</v>
      </c>
      <c r="F1155" s="28">
        <f>MATCH(DaybyDay[[#This Row],[RowMonth]],Table3[SummaryMonth],0)</f>
        <v>2</v>
      </c>
      <c r="G1155" s="29">
        <f>MATCH(DaybyDay[[#This Row],[LY-Date]],DaybyDay[Date],0)</f>
        <v>785</v>
      </c>
      <c r="H1155" s="30">
        <f>WEEKDAY(DaybyDay[[#This Row],[Date]])</f>
        <v>1</v>
      </c>
      <c r="I1155" s="31">
        <v>43884</v>
      </c>
      <c r="J1155" s="74">
        <v>42</v>
      </c>
      <c r="K1155" s="32">
        <f>SUMIFS(BudgetSeasonality[365 Seasonality],BudgetSeasonality[MonthAdjustment],DaybyDay[[#This Row],[Date]])*SUMIFS(Budgets[Service-Budget],Budgets[BudgetMonth],DaybyDay[[#This Row],[RowMonth]],Budgets[BudgetYear],DaybyDay[[#This Row],[RowYear]])</f>
        <v>6320.9035324651131</v>
      </c>
      <c r="L1155" s="75">
        <v>6180</v>
      </c>
      <c r="M1155" s="32">
        <f>INDEX(BudgetSeasonality[365 Seasonality],MATCH(DaybyDay[[#This Row],[Date]],BudgetSeasonality[MonthAdjustment],0))*SUMIFS(Budgets[Retail-Budget],Budgets[BudgetMonth],DaybyDay[[#This Row],[RowMonth]],Budgets[BudgetYear],DaybyDay[[#This Row],[RowYear]])</f>
        <v>1508.9766005161885</v>
      </c>
      <c r="N1155" s="75">
        <v>407</v>
      </c>
      <c r="O1155" s="33">
        <f>SUMIFS(DaybyDay[Service-Budgets],DaybyDay[Date],"&gt;="&amp;$C$5,DaybyDay[RowYear],"&gt;="&amp;$C$4,DaybyDay[Date],"&lt;="&amp;DaybyDay[[#This Row],[Date]])</f>
        <v>288854.85615351988</v>
      </c>
      <c r="P1155" s="33">
        <f>SUMIFS(DaybyDay[Retail-Budgets],DaybyDay[Date],"&gt;="&amp;$C$5,DaybyDay[RowYear],"&gt;="&amp;$C$4,DaybyDay[Date],"&lt;="&amp;DaybyDay[[#This Row],[Date]])</f>
        <v>69948.818287851696</v>
      </c>
      <c r="Q1155" s="34">
        <f>SUMIFS(DaybyDay[Service-Actuals],DaybyDay[Date],"&gt;="&amp;$C$5,DaybyDay[RowYear],"&gt;="&amp;$C$4,DaybyDay[Date],"&lt;="&amp;DaybyDay[[#This Row],[Date]])</f>
        <v>291006.77999999997</v>
      </c>
      <c r="R1155" s="34">
        <f>SUMIFS(DaybyDay[Retail-Actuals],DaybyDay[Date],"&gt;="&amp;$C$5,DaybyDay[RowYear],"&gt;="&amp;$C$4,DaybyDay[Date],"&lt;="&amp;DaybyDay[[#This Row],[Date]])</f>
        <v>69192.950000000012</v>
      </c>
      <c r="S1155" s="35">
        <f>SUMIFS(DaybyDay[Service-LY],DaybyDay[Date],"&gt;="&amp;$C$5,DaybyDay[RowYear],"&gt;="&amp;$C$4,DaybyDay[Date],"&lt;="&amp;DaybyDay[[#This Row],[Date]])</f>
        <v>268402.64999999997</v>
      </c>
      <c r="T1155" s="35">
        <f>SUMIFS(DaybyDay[Retail-LY],DaybyDay[Date],"&gt;="&amp;$C$5,DaybyDay[RowYear],"&gt;="&amp;$C$4,DaybyDay[Date],"&lt;="&amp;DaybyDay[[#This Row],[Date]])</f>
        <v>59022.409999999996</v>
      </c>
      <c r="U1155" s="32">
        <f>DaybyDay[[#This Row],[Serv-Bud-RU]]+DaybyDay[[#This Row],[Ret-Bud-RU]]</f>
        <v>358803.67444137158</v>
      </c>
      <c r="V1155" s="32">
        <f>DaybyDay[[#This Row],[Serv-Act-RU]]+DaybyDay[[#This Row],[Ret-Act-RU]]</f>
        <v>360199.73</v>
      </c>
      <c r="W1155" s="36">
        <f>IF(DaybyDay[[#This Row],[_Space]],IFERROR(
((DaybyDay[[#This Row],[Actual-Rollup]]-DaybyDay[[#This Row],[Budget-Rollup]])/DaybyDay[[#This Row],[Budget-Rollup]]),0),"")</f>
        <v>3.8908619339028472E-3</v>
      </c>
      <c r="X1155" t="b">
        <f>NOT(AND(ISBLANK(DaybyDay[[#This Row],[Appts]]),ISBLANK(DaybyDay[[#This Row],[Service-Actuals]]),ISBLANK(DaybyDay[[#This Row],[Retail-Actuals]])))</f>
        <v>1</v>
      </c>
      <c r="Y1155" s="36">
        <f>IF(DaybyDay[[#This Row],[_Space]],IFERROR(
((DaybyDay[[#This Row],[Actual-Rollup]]-DaybyDay[[#This Row],[LY-Rollup]])/DaybyDay[[#This Row],[LY-Rollup]]),0),"")</f>
        <v>0.10009823316517083</v>
      </c>
      <c r="Z1155"/>
      <c r="AA1155" s="37">
        <f>IF(DaybyDay[[#This Row],[_Space]],DaybyDay[[#This Row],[Ret-Act-RU]]/DaybyDay[[#This Row],[Serv-Act-RU]],"")</f>
        <v>0.23777092066377292</v>
      </c>
      <c r="AB1155" s="50">
        <f>IF(DaybyDay[[#This Row],[_Space]],DaybyDay[[#This Row],[RETPEN-Act]]/DaybyDay[[#This Row],[RETPEN-Bud]],"")</f>
        <v>0.98187913344280597</v>
      </c>
      <c r="AC1155" s="37">
        <f>IF(DaybyDay[[#This Row],[_Space]],DaybyDay[[#This Row],[Ret-Bud-RU]]/DaybyDay[[#This Row],[Serv-Bud-RU]],"")</f>
        <v>0.24215905254047543</v>
      </c>
      <c r="AD1155" s="37">
        <f>IF(DaybyDay[[#This Row],[_Space]],DaybyDay[[#This Row],[Ret-LY-RU]]/DaybyDay[[#This Row],[Serv-LY-RU]],"")</f>
        <v>0.21990248605965704</v>
      </c>
      <c r="AE1155" s="30">
        <f>WEEKDAY(DaybyDay[[#This Row],[LY-Date]])</f>
        <v>1</v>
      </c>
      <c r="AF1155" s="38">
        <f>$E$2+_xlfn.DAYS(DaybyDay[[#This Row],[Date]],minDate)</f>
        <v>43520</v>
      </c>
      <c r="AG1155" s="39" cm="1">
        <f t="array" ref="AG1155">IFERROR(INDEX(DaybyDay[],DaybyDay[[#This Row],[FORM_MATCH_HELPER]],8),"")</f>
        <v>40</v>
      </c>
      <c r="AH1155" s="39" cm="1">
        <f t="array" ref="AH1155">IFERROR(INDEX(DaybyDay[],DaybyDay[[#This Row],[FORM_MATCH_HELPER]],10),"")</f>
        <v>6497.99</v>
      </c>
      <c r="AI1155" s="39" cm="1">
        <f t="array" ref="AI1155">IFERROR(INDEX(DaybyDay[],DaybyDay[[#This Row],[FORM_MATCH_HELPER]],12),"")</f>
        <v>1201.1199999999999</v>
      </c>
      <c r="AJ1155" s="32">
        <f>IFERROR(DaybyDay[[#This Row],[Serv-LY-RU]]+DaybyDay[[#This Row],[Ret-LY-RU]],"")</f>
        <v>327425.05999999994</v>
      </c>
      <c r="AK11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360199.73</v>
      </c>
      <c r="AL1155" s="77"/>
      <c r="AM1155" s="40" t="str">
        <f>IF(DaybyDay[[#This Row],[Admin Hours]]&gt;0,DaybyDay[[#This Row],[Admin Hours]]*$AM$2+$AM$3,"")</f>
        <v/>
      </c>
      <c r="AN1155" s="40">
        <f>SUMIFS(DaybyDay[Est-Admin-Payroll],DaybyDay[Date],"&gt;="&amp;$C$5,DaybyDay[RowYear],"&gt;="&amp;$C$4,DaybyDay[Date],"&lt;="&amp;DaybyDay[[#This Row],[Date]])</f>
        <v>0</v>
      </c>
      <c r="AO1155" s="41" t="str">
        <f>IF(AND(DaybyDay[[#This Row],[_Space]],ISNUMBER(DaybyDay[[#This Row],[Admin Hours]])),DaybyDay[[#This Row],[Est-Admin-Payroll]]/(DaybyDay[[#This Row],[Service-Actuals]]+DaybyDay[[#This Row],[Retail-Actuals]]),"")</f>
        <v/>
      </c>
      <c r="AP1155" s="41">
        <f>DaybyDay[[#This Row],[Estimated-Payroll-Rollup]]/DaybyDay[[#This Row],[Simple-Forecast]]</f>
        <v>0</v>
      </c>
      <c r="AQ11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69192.950000000012</v>
      </c>
      <c r="AR1155" s="77"/>
      <c r="AS1155" s="40" t="str">
        <f>IF(DaybyDay[[#This Row],[Retail Hours]]&gt;0,DaybyDay[[#This Row],[Retail Hours]]*$AS$2,"")</f>
        <v/>
      </c>
      <c r="AT1155" s="40">
        <f>SUMIFS(DaybyDay[Est-Retail-Payroll],DaybyDay[Date],"&gt;="&amp;$C$5,DaybyDay[RowYear],"&gt;="&amp;$C$4,DaybyDay[Date],"&lt;="&amp;DaybyDay[[#This Row],[Date]])</f>
        <v>0</v>
      </c>
      <c r="AU1155" s="82" t="str">
        <f>IF(AND(DaybyDay[[#This Row],[_Space]],ISNUMBER(DaybyDay[[#This Row],[Retail Hours]])),DaybyDay[[#This Row],[Est-Retail-Payroll]]/(DaybyDay[[#This Row],[Retail-Actuals]]),"")</f>
        <v/>
      </c>
      <c r="AV1155" s="82">
        <f>DaybyDay[[#This Row],[Est-Retail-PayrollRU]]/DaybyDay[[#This Row],[Simple-Forecast-Retail]]</f>
        <v>0</v>
      </c>
      <c r="AW1155" s="8"/>
      <c r="AX1155" s="15"/>
      <c r="AY1155" s="8"/>
    </row>
    <row r="1156" spans="3:51" hidden="1" x14ac:dyDescent="0.25">
      <c r="C1156" s="26" t="str">
        <f>Tools!$C$1</f>
        <v>Example</v>
      </c>
      <c r="D1156" s="27" t="s">
        <v>69</v>
      </c>
      <c r="E1156" s="28">
        <v>2020</v>
      </c>
      <c r="F1156" s="28">
        <f>MATCH(DaybyDay[[#This Row],[RowMonth]],Table3[SummaryMonth],0)</f>
        <v>2</v>
      </c>
      <c r="G1156" s="29">
        <f>MATCH(DaybyDay[[#This Row],[LY-Date]],DaybyDay[Date],0)</f>
        <v>786</v>
      </c>
      <c r="H1156" s="30">
        <f>WEEKDAY(DaybyDay[[#This Row],[Date]])</f>
        <v>2</v>
      </c>
      <c r="I1156" s="31">
        <v>43885</v>
      </c>
      <c r="J1156" s="74">
        <v>18</v>
      </c>
      <c r="K1156" s="32">
        <f>SUMIFS(BudgetSeasonality[365 Seasonality],BudgetSeasonality[MonthAdjustment],DaybyDay[[#This Row],[Date]])*SUMIFS(Budgets[Service-Budget],Budgets[BudgetMonth],DaybyDay[[#This Row],[RowMonth]],Budgets[BudgetYear],DaybyDay[[#This Row],[RowYear]])</f>
        <v>3795.6390564995777</v>
      </c>
      <c r="L1156" s="75">
        <v>3101.75</v>
      </c>
      <c r="M1156" s="32">
        <f>INDEX(BudgetSeasonality[365 Seasonality],MATCH(DaybyDay[[#This Row],[Date]],BudgetSeasonality[MonthAdjustment],0))*SUMIFS(Budgets[Retail-Budget],Budgets[BudgetMonth],DaybyDay[[#This Row],[RowMonth]],Budgets[BudgetYear],DaybyDay[[#This Row],[RowYear]])</f>
        <v>906.12528586233691</v>
      </c>
      <c r="N1156" s="75">
        <v>248</v>
      </c>
      <c r="O1156" s="33">
        <f>SUMIFS(DaybyDay[Service-Budgets],DaybyDay[Date],"&gt;="&amp;$C$5,DaybyDay[RowYear],"&gt;="&amp;$C$4,DaybyDay[Date],"&lt;="&amp;DaybyDay[[#This Row],[Date]])</f>
        <v>292650.49521001946</v>
      </c>
      <c r="P1156" s="33">
        <f>SUMIFS(DaybyDay[Retail-Budgets],DaybyDay[Date],"&gt;="&amp;$C$5,DaybyDay[RowYear],"&gt;="&amp;$C$4,DaybyDay[Date],"&lt;="&amp;DaybyDay[[#This Row],[Date]])</f>
        <v>70854.94357371403</v>
      </c>
      <c r="Q1156" s="34">
        <f>SUMIFS(DaybyDay[Service-Actuals],DaybyDay[Date],"&gt;="&amp;$C$5,DaybyDay[RowYear],"&gt;="&amp;$C$4,DaybyDay[Date],"&lt;="&amp;DaybyDay[[#This Row],[Date]])</f>
        <v>294108.52999999997</v>
      </c>
      <c r="R1156" s="34">
        <f>SUMIFS(DaybyDay[Retail-Actuals],DaybyDay[Date],"&gt;="&amp;$C$5,DaybyDay[RowYear],"&gt;="&amp;$C$4,DaybyDay[Date],"&lt;="&amp;DaybyDay[[#This Row],[Date]])</f>
        <v>69440.950000000012</v>
      </c>
      <c r="S1156" s="35">
        <f>SUMIFS(DaybyDay[Service-LY],DaybyDay[Date],"&gt;="&amp;$C$5,DaybyDay[RowYear],"&gt;="&amp;$C$4,DaybyDay[Date],"&lt;="&amp;DaybyDay[[#This Row],[Date]])</f>
        <v>269726.64999999997</v>
      </c>
      <c r="T1156" s="35">
        <f>SUMIFS(DaybyDay[Retail-LY],DaybyDay[Date],"&gt;="&amp;$C$5,DaybyDay[RowYear],"&gt;="&amp;$C$4,DaybyDay[Date],"&lt;="&amp;DaybyDay[[#This Row],[Date]])</f>
        <v>60232.409999999996</v>
      </c>
      <c r="U1156" s="32">
        <f>DaybyDay[[#This Row],[Serv-Bud-RU]]+DaybyDay[[#This Row],[Ret-Bud-RU]]</f>
        <v>363505.43878373352</v>
      </c>
      <c r="V1156" s="32">
        <f>DaybyDay[[#This Row],[Serv-Act-RU]]+DaybyDay[[#This Row],[Ret-Act-RU]]</f>
        <v>363549.48</v>
      </c>
      <c r="W1156" s="36">
        <f>IF(DaybyDay[[#This Row],[_Space]],IFERROR(
((DaybyDay[[#This Row],[Actual-Rollup]]-DaybyDay[[#This Row],[Budget-Rollup]])/DaybyDay[[#This Row],[Budget-Rollup]]),0),"")</f>
        <v>1.2115696649221283E-4</v>
      </c>
      <c r="X1156" t="b">
        <f>NOT(AND(ISBLANK(DaybyDay[[#This Row],[Appts]]),ISBLANK(DaybyDay[[#This Row],[Service-Actuals]]),ISBLANK(DaybyDay[[#This Row],[Retail-Actuals]])))</f>
        <v>1</v>
      </c>
      <c r="Y1156" s="36">
        <f>IF(DaybyDay[[#This Row],[_Space]],IFERROR(
((DaybyDay[[#This Row],[Actual-Rollup]]-DaybyDay[[#This Row],[LY-Rollup]])/DaybyDay[[#This Row],[LY-Rollup]]),0),"")</f>
        <v>0.1018017811058137</v>
      </c>
      <c r="Z1156"/>
      <c r="AA1156" s="37">
        <f>IF(DaybyDay[[#This Row],[_Space]],DaybyDay[[#This Row],[Ret-Act-RU]]/DaybyDay[[#This Row],[Serv-Act-RU]],"")</f>
        <v>0.23610654883080073</v>
      </c>
      <c r="AB1156" s="50">
        <f>IF(DaybyDay[[#This Row],[_Space]],DaybyDay[[#This Row],[RETPEN-Act]]/DaybyDay[[#This Row],[RETPEN-Bud]],"")</f>
        <v>0.97518528634177282</v>
      </c>
      <c r="AC1156" s="37">
        <f>IF(DaybyDay[[#This Row],[_Space]],DaybyDay[[#This Row],[Ret-Bud-RU]]/DaybyDay[[#This Row],[Serv-Bud-RU]],"")</f>
        <v>0.24211455211399954</v>
      </c>
      <c r="AD1156" s="37">
        <f>IF(DaybyDay[[#This Row],[_Space]],DaybyDay[[#This Row],[Ret-LY-RU]]/DaybyDay[[#This Row],[Serv-LY-RU]],"")</f>
        <v>0.22330907976649694</v>
      </c>
      <c r="AE1156" s="30">
        <f>WEEKDAY(DaybyDay[[#This Row],[LY-Date]])</f>
        <v>2</v>
      </c>
      <c r="AF1156" s="38">
        <f>$E$2+_xlfn.DAYS(DaybyDay[[#This Row],[Date]],minDate)</f>
        <v>43521</v>
      </c>
      <c r="AG1156" s="39" cm="1">
        <f t="array" ref="AG1156">IFERROR(INDEX(DaybyDay[],DaybyDay[[#This Row],[FORM_MATCH_HELPER]],8),"")</f>
        <v>5</v>
      </c>
      <c r="AH1156" s="39" cm="1">
        <f t="array" ref="AH1156">IFERROR(INDEX(DaybyDay[],DaybyDay[[#This Row],[FORM_MATCH_HELPER]],10),"")</f>
        <v>1324</v>
      </c>
      <c r="AI1156" s="39" cm="1">
        <f t="array" ref="AI1156">IFERROR(INDEX(DaybyDay[],DaybyDay[[#This Row],[FORM_MATCH_HELPER]],12),"")</f>
        <v>1210</v>
      </c>
      <c r="AJ1156" s="32">
        <f>IFERROR(DaybyDay[[#This Row],[Serv-LY-RU]]+DaybyDay[[#This Row],[Ret-LY-RU]],"")</f>
        <v>329959.05999999994</v>
      </c>
      <c r="AK11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363549.48</v>
      </c>
      <c r="AL1156" s="77"/>
      <c r="AM1156" s="40" t="str">
        <f>IF(DaybyDay[[#This Row],[Admin Hours]]&gt;0,DaybyDay[[#This Row],[Admin Hours]]*$AM$2+$AM$3,"")</f>
        <v/>
      </c>
      <c r="AN1156" s="40">
        <f>SUMIFS(DaybyDay[Est-Admin-Payroll],DaybyDay[Date],"&gt;="&amp;$C$5,DaybyDay[RowYear],"&gt;="&amp;$C$4,DaybyDay[Date],"&lt;="&amp;DaybyDay[[#This Row],[Date]])</f>
        <v>0</v>
      </c>
      <c r="AO1156" s="41" t="str">
        <f>IF(AND(DaybyDay[[#This Row],[_Space]],ISNUMBER(DaybyDay[[#This Row],[Admin Hours]])),DaybyDay[[#This Row],[Est-Admin-Payroll]]/(DaybyDay[[#This Row],[Service-Actuals]]+DaybyDay[[#This Row],[Retail-Actuals]]),"")</f>
        <v/>
      </c>
      <c r="AP1156" s="41">
        <f>DaybyDay[[#This Row],[Estimated-Payroll-Rollup]]/DaybyDay[[#This Row],[Simple-Forecast]]</f>
        <v>0</v>
      </c>
      <c r="AQ11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69440.950000000012</v>
      </c>
      <c r="AR1156" s="77"/>
      <c r="AS1156" s="40" t="str">
        <f>IF(DaybyDay[[#This Row],[Retail Hours]]&gt;0,DaybyDay[[#This Row],[Retail Hours]]*$AS$2,"")</f>
        <v/>
      </c>
      <c r="AT1156" s="40">
        <f>SUMIFS(DaybyDay[Est-Retail-Payroll],DaybyDay[Date],"&gt;="&amp;$C$5,DaybyDay[RowYear],"&gt;="&amp;$C$4,DaybyDay[Date],"&lt;="&amp;DaybyDay[[#This Row],[Date]])</f>
        <v>0</v>
      </c>
      <c r="AU1156" s="82" t="str">
        <f>IF(AND(DaybyDay[[#This Row],[_Space]],ISNUMBER(DaybyDay[[#This Row],[Retail Hours]])),DaybyDay[[#This Row],[Est-Retail-Payroll]]/(DaybyDay[[#This Row],[Retail-Actuals]]),"")</f>
        <v/>
      </c>
      <c r="AV1156" s="82">
        <f>DaybyDay[[#This Row],[Est-Retail-PayrollRU]]/DaybyDay[[#This Row],[Simple-Forecast-Retail]]</f>
        <v>0</v>
      </c>
      <c r="AW1156" s="8"/>
      <c r="AX1156" s="15"/>
      <c r="AY1156" s="8"/>
    </row>
    <row r="1157" spans="3:51" hidden="1" x14ac:dyDescent="0.25">
      <c r="C1157" s="26" t="str">
        <f>Tools!$C$1</f>
        <v>Example</v>
      </c>
      <c r="D1157" s="27" t="s">
        <v>69</v>
      </c>
      <c r="E1157" s="28">
        <v>2020</v>
      </c>
      <c r="F1157" s="28">
        <f>MATCH(DaybyDay[[#This Row],[RowMonth]],Table3[SummaryMonth],0)</f>
        <v>2</v>
      </c>
      <c r="G1157" s="29">
        <f>MATCH(DaybyDay[[#This Row],[LY-Date]],DaybyDay[Date],0)</f>
        <v>787</v>
      </c>
      <c r="H1157" s="30">
        <f>WEEKDAY(DaybyDay[[#This Row],[Date]])</f>
        <v>3</v>
      </c>
      <c r="I1157" s="31">
        <v>43886</v>
      </c>
      <c r="J1157" s="74">
        <v>21</v>
      </c>
      <c r="K1157" s="32">
        <f>SUMIFS(BudgetSeasonality[365 Seasonality],BudgetSeasonality[MonthAdjustment],DaybyDay[[#This Row],[Date]])*SUMIFS(Budgets[Service-Budget],Budgets[BudgetMonth],DaybyDay[[#This Row],[RowMonth]],Budgets[BudgetYear],DaybyDay[[#This Row],[RowYear]])</f>
        <v>3831.9628926025075</v>
      </c>
      <c r="L1157" s="75">
        <v>3236.6</v>
      </c>
      <c r="M1157" s="32">
        <f>INDEX(BudgetSeasonality[365 Seasonality],MATCH(DaybyDay[[#This Row],[Date]],BudgetSeasonality[MonthAdjustment],0))*SUMIFS(Budgets[Retail-Budget],Budgets[BudgetMonth],DaybyDay[[#This Row],[RowMonth]],Budgets[BudgetYear],DaybyDay[[#This Row],[RowYear]])</f>
        <v>914.79680227431572</v>
      </c>
      <c r="N1157" s="75">
        <v>1003.6</v>
      </c>
      <c r="O1157" s="33">
        <f>SUMIFS(DaybyDay[Service-Budgets],DaybyDay[Date],"&gt;="&amp;$C$5,DaybyDay[RowYear],"&gt;="&amp;$C$4,DaybyDay[Date],"&lt;="&amp;DaybyDay[[#This Row],[Date]])</f>
        <v>296482.45810262195</v>
      </c>
      <c r="P1157" s="33">
        <f>SUMIFS(DaybyDay[Retail-Budgets],DaybyDay[Date],"&gt;="&amp;$C$5,DaybyDay[RowYear],"&gt;="&amp;$C$4,DaybyDay[Date],"&lt;="&amp;DaybyDay[[#This Row],[Date]])</f>
        <v>71769.740375988345</v>
      </c>
      <c r="Q1157" s="34">
        <f>SUMIFS(DaybyDay[Service-Actuals],DaybyDay[Date],"&gt;="&amp;$C$5,DaybyDay[RowYear],"&gt;="&amp;$C$4,DaybyDay[Date],"&lt;="&amp;DaybyDay[[#This Row],[Date]])</f>
        <v>297345.12999999995</v>
      </c>
      <c r="R1157" s="34">
        <f>SUMIFS(DaybyDay[Retail-Actuals],DaybyDay[Date],"&gt;="&amp;$C$5,DaybyDay[RowYear],"&gt;="&amp;$C$4,DaybyDay[Date],"&lt;="&amp;DaybyDay[[#This Row],[Date]])</f>
        <v>70444.550000000017</v>
      </c>
      <c r="S1157" s="35">
        <f>SUMIFS(DaybyDay[Service-LY],DaybyDay[Date],"&gt;="&amp;$C$5,DaybyDay[RowYear],"&gt;="&amp;$C$4,DaybyDay[Date],"&lt;="&amp;DaybyDay[[#This Row],[Date]])</f>
        <v>271736.05</v>
      </c>
      <c r="T1157" s="35">
        <f>SUMIFS(DaybyDay[Retail-LY],DaybyDay[Date],"&gt;="&amp;$C$5,DaybyDay[RowYear],"&gt;="&amp;$C$4,DaybyDay[Date],"&lt;="&amp;DaybyDay[[#This Row],[Date]])</f>
        <v>60697.909999999996</v>
      </c>
      <c r="U1157" s="32">
        <f>DaybyDay[[#This Row],[Serv-Bud-RU]]+DaybyDay[[#This Row],[Ret-Bud-RU]]</f>
        <v>368252.19847861031</v>
      </c>
      <c r="V1157" s="32">
        <f>DaybyDay[[#This Row],[Serv-Act-RU]]+DaybyDay[[#This Row],[Ret-Act-RU]]</f>
        <v>367789.67999999993</v>
      </c>
      <c r="W1157" s="36">
        <f>IF(DaybyDay[[#This Row],[_Space]],IFERROR(
((DaybyDay[[#This Row],[Actual-Rollup]]-DaybyDay[[#This Row],[Budget-Rollup]])/DaybyDay[[#This Row],[Budget-Rollup]]),0),"")</f>
        <v>-1.2559829391955233E-3</v>
      </c>
      <c r="X1157" t="b">
        <f>NOT(AND(ISBLANK(DaybyDay[[#This Row],[Appts]]),ISBLANK(DaybyDay[[#This Row],[Service-Actuals]]),ISBLANK(DaybyDay[[#This Row],[Retail-Actuals]])))</f>
        <v>1</v>
      </c>
      <c r="Y1157" s="36">
        <f>IF(DaybyDay[[#This Row],[_Space]],IFERROR(
((DaybyDay[[#This Row],[Actual-Rollup]]-DaybyDay[[#This Row],[LY-Rollup]])/DaybyDay[[#This Row],[LY-Rollup]]),0),"")</f>
        <v>0.1063541161679149</v>
      </c>
      <c r="Z1157"/>
      <c r="AA1157" s="37">
        <f>IF(DaybyDay[[#This Row],[_Space]],DaybyDay[[#This Row],[Ret-Act-RU]]/DaybyDay[[#This Row],[Serv-Act-RU]],"")</f>
        <v>0.23691173284055478</v>
      </c>
      <c r="AB1157" s="50">
        <f>IF(DaybyDay[[#This Row],[_Space]],DaybyDay[[#This Row],[RETPEN-Act]]/DaybyDay[[#This Row],[RETPEN-Bud]],"")</f>
        <v>0.97868785003183956</v>
      </c>
      <c r="AC1157" s="37">
        <f>IF(DaybyDay[[#This Row],[_Space]],DaybyDay[[#This Row],[Ret-Bud-RU]]/DaybyDay[[#This Row],[Serv-Bud-RU]],"")</f>
        <v>0.24207078164181495</v>
      </c>
      <c r="AD1157" s="37">
        <f>IF(DaybyDay[[#This Row],[_Space]],DaybyDay[[#This Row],[Ret-LY-RU]]/DaybyDay[[#This Row],[Serv-LY-RU]],"")</f>
        <v>0.2233708409318528</v>
      </c>
      <c r="AE1157" s="30">
        <f>WEEKDAY(DaybyDay[[#This Row],[LY-Date]])</f>
        <v>3</v>
      </c>
      <c r="AF1157" s="38">
        <f>$E$2+_xlfn.DAYS(DaybyDay[[#This Row],[Date]],minDate)</f>
        <v>43522</v>
      </c>
      <c r="AG1157" s="39" cm="1">
        <f t="array" ref="AG1157">IFERROR(INDEX(DaybyDay[],DaybyDay[[#This Row],[FORM_MATCH_HELPER]],8),"")</f>
        <v>9</v>
      </c>
      <c r="AH1157" s="39" cm="1">
        <f t="array" ref="AH1157">IFERROR(INDEX(DaybyDay[],DaybyDay[[#This Row],[FORM_MATCH_HELPER]],10),"")</f>
        <v>2009.4</v>
      </c>
      <c r="AI1157" s="39" cm="1">
        <f t="array" ref="AI1157">IFERROR(INDEX(DaybyDay[],DaybyDay[[#This Row],[FORM_MATCH_HELPER]],12),"")</f>
        <v>465.5</v>
      </c>
      <c r="AJ1157" s="32">
        <f>IFERROR(DaybyDay[[#This Row],[Serv-LY-RU]]+DaybyDay[[#This Row],[Ret-LY-RU]],"")</f>
        <v>332433.95999999996</v>
      </c>
      <c r="AK11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367789.67999999993</v>
      </c>
      <c r="AL1157" s="77"/>
      <c r="AM1157" s="40" t="str">
        <f>IF(DaybyDay[[#This Row],[Admin Hours]]&gt;0,DaybyDay[[#This Row],[Admin Hours]]*$AM$2+$AM$3,"")</f>
        <v/>
      </c>
      <c r="AN1157" s="40">
        <f>SUMIFS(DaybyDay[Est-Admin-Payroll],DaybyDay[Date],"&gt;="&amp;$C$5,DaybyDay[RowYear],"&gt;="&amp;$C$4,DaybyDay[Date],"&lt;="&amp;DaybyDay[[#This Row],[Date]])</f>
        <v>0</v>
      </c>
      <c r="AO1157" s="41" t="str">
        <f>IF(AND(DaybyDay[[#This Row],[_Space]],ISNUMBER(DaybyDay[[#This Row],[Admin Hours]])),DaybyDay[[#This Row],[Est-Admin-Payroll]]/(DaybyDay[[#This Row],[Service-Actuals]]+DaybyDay[[#This Row],[Retail-Actuals]]),"")</f>
        <v/>
      </c>
      <c r="AP1157" s="41">
        <f>DaybyDay[[#This Row],[Estimated-Payroll-Rollup]]/DaybyDay[[#This Row],[Simple-Forecast]]</f>
        <v>0</v>
      </c>
      <c r="AQ11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70444.550000000017</v>
      </c>
      <c r="AR1157" s="77"/>
      <c r="AS1157" s="40" t="str">
        <f>IF(DaybyDay[[#This Row],[Retail Hours]]&gt;0,DaybyDay[[#This Row],[Retail Hours]]*$AS$2,"")</f>
        <v/>
      </c>
      <c r="AT1157" s="40">
        <f>SUMIFS(DaybyDay[Est-Retail-Payroll],DaybyDay[Date],"&gt;="&amp;$C$5,DaybyDay[RowYear],"&gt;="&amp;$C$4,DaybyDay[Date],"&lt;="&amp;DaybyDay[[#This Row],[Date]])</f>
        <v>0</v>
      </c>
      <c r="AU1157" s="82" t="str">
        <f>IF(AND(DaybyDay[[#This Row],[_Space]],ISNUMBER(DaybyDay[[#This Row],[Retail Hours]])),DaybyDay[[#This Row],[Est-Retail-Payroll]]/(DaybyDay[[#This Row],[Retail-Actuals]]),"")</f>
        <v/>
      </c>
      <c r="AV1157" s="82">
        <f>DaybyDay[[#This Row],[Est-Retail-PayrollRU]]/DaybyDay[[#This Row],[Simple-Forecast-Retail]]</f>
        <v>0</v>
      </c>
      <c r="AW1157" s="8"/>
      <c r="AX1157" s="15"/>
      <c r="AY1157" s="8"/>
    </row>
    <row r="1158" spans="3:51" hidden="1" x14ac:dyDescent="0.25">
      <c r="C1158" s="26" t="str">
        <f>Tools!$C$1</f>
        <v>Example</v>
      </c>
      <c r="D1158" s="27" t="s">
        <v>69</v>
      </c>
      <c r="E1158" s="28">
        <v>2020</v>
      </c>
      <c r="F1158" s="28">
        <f>MATCH(DaybyDay[[#This Row],[RowMonth]],Table3[SummaryMonth],0)</f>
        <v>2</v>
      </c>
      <c r="G1158" s="29">
        <f>MATCH(DaybyDay[[#This Row],[LY-Date]],DaybyDay[Date],0)</f>
        <v>788</v>
      </c>
      <c r="H1158" s="30">
        <f>WEEKDAY(DaybyDay[[#This Row],[Date]])</f>
        <v>4</v>
      </c>
      <c r="I1158" s="31">
        <v>43887</v>
      </c>
      <c r="J1158" s="74">
        <v>29</v>
      </c>
      <c r="K1158" s="32">
        <f>SUMIFS(BudgetSeasonality[365 Seasonality],BudgetSeasonality[MonthAdjustment],DaybyDay[[#This Row],[Date]])*SUMIFS(Budgets[Service-Budget],Budgets[BudgetMonth],DaybyDay[[#This Row],[RowMonth]],Budgets[BudgetYear],DaybyDay[[#This Row],[RowYear]])</f>
        <v>4320.9527610776568</v>
      </c>
      <c r="L1158" s="75">
        <v>4698.7700000000004</v>
      </c>
      <c r="M1158" s="32">
        <f>INDEX(BudgetSeasonality[365 Seasonality],MATCH(DaybyDay[[#This Row],[Date]],BudgetSeasonality[MonthAdjustment],0))*SUMIFS(Budgets[Retail-Budget],Budgets[BudgetMonth],DaybyDay[[#This Row],[RowMonth]],Budgets[BudgetYear],DaybyDay[[#This Row],[RowYear]])</f>
        <v>1031.5323711101087</v>
      </c>
      <c r="N1158" s="75">
        <v>674</v>
      </c>
      <c r="O1158" s="33">
        <f>SUMIFS(DaybyDay[Service-Budgets],DaybyDay[Date],"&gt;="&amp;$C$5,DaybyDay[RowYear],"&gt;="&amp;$C$4,DaybyDay[Date],"&lt;="&amp;DaybyDay[[#This Row],[Date]])</f>
        <v>300803.41086369962</v>
      </c>
      <c r="P1158" s="33">
        <f>SUMIFS(DaybyDay[Retail-Budgets],DaybyDay[Date],"&gt;="&amp;$C$5,DaybyDay[RowYear],"&gt;="&amp;$C$4,DaybyDay[Date],"&lt;="&amp;DaybyDay[[#This Row],[Date]])</f>
        <v>72801.272747098454</v>
      </c>
      <c r="Q1158" s="34">
        <f>SUMIFS(DaybyDay[Service-Actuals],DaybyDay[Date],"&gt;="&amp;$C$5,DaybyDay[RowYear],"&gt;="&amp;$C$4,DaybyDay[Date],"&lt;="&amp;DaybyDay[[#This Row],[Date]])</f>
        <v>302043.89999999997</v>
      </c>
      <c r="R1158" s="34">
        <f>SUMIFS(DaybyDay[Retail-Actuals],DaybyDay[Date],"&gt;="&amp;$C$5,DaybyDay[RowYear],"&gt;="&amp;$C$4,DaybyDay[Date],"&lt;="&amp;DaybyDay[[#This Row],[Date]])</f>
        <v>71118.550000000017</v>
      </c>
      <c r="S1158" s="35">
        <f>SUMIFS(DaybyDay[Service-LY],DaybyDay[Date],"&gt;="&amp;$C$5,DaybyDay[RowYear],"&gt;="&amp;$C$4,DaybyDay[Date],"&lt;="&amp;DaybyDay[[#This Row],[Date]])</f>
        <v>276234.25</v>
      </c>
      <c r="T1158" s="35">
        <f>SUMIFS(DaybyDay[Retail-LY],DaybyDay[Date],"&gt;="&amp;$C$5,DaybyDay[RowYear],"&gt;="&amp;$C$4,DaybyDay[Date],"&lt;="&amp;DaybyDay[[#This Row],[Date]])</f>
        <v>62133.909999999996</v>
      </c>
      <c r="U1158" s="32">
        <f>DaybyDay[[#This Row],[Serv-Bud-RU]]+DaybyDay[[#This Row],[Ret-Bud-RU]]</f>
        <v>373604.68361079809</v>
      </c>
      <c r="V1158" s="32">
        <f>DaybyDay[[#This Row],[Serv-Act-RU]]+DaybyDay[[#This Row],[Ret-Act-RU]]</f>
        <v>373162.44999999995</v>
      </c>
      <c r="W1158" s="36">
        <f>IF(DaybyDay[[#This Row],[_Space]],IFERROR(
((DaybyDay[[#This Row],[Actual-Rollup]]-DaybyDay[[#This Row],[Budget-Rollup]])/DaybyDay[[#This Row],[Budget-Rollup]]),0),"")</f>
        <v>-1.1836939690478695E-3</v>
      </c>
      <c r="X1158" t="b">
        <f>NOT(AND(ISBLANK(DaybyDay[[#This Row],[Appts]]),ISBLANK(DaybyDay[[#This Row],[Service-Actuals]]),ISBLANK(DaybyDay[[#This Row],[Retail-Actuals]])))</f>
        <v>1</v>
      </c>
      <c r="Y1158" s="36">
        <f>IF(DaybyDay[[#This Row],[_Space]],IFERROR(
((DaybyDay[[#This Row],[Actual-Rollup]]-DaybyDay[[#This Row],[LY-Rollup]])/DaybyDay[[#This Row],[LY-Rollup]]),0),"")</f>
        <v>0.10282968113784696</v>
      </c>
      <c r="Z1158"/>
      <c r="AA1158" s="37">
        <f>IF(DaybyDay[[#This Row],[_Space]],DaybyDay[[#This Row],[Ret-Act-RU]]/DaybyDay[[#This Row],[Serv-Act-RU]],"")</f>
        <v>0.23545766029375209</v>
      </c>
      <c r="AB1158" s="50">
        <f>IF(DaybyDay[[#This Row],[_Space]],DaybyDay[[#This Row],[RETPEN-Act]]/DaybyDay[[#This Row],[RETPEN-Bud]],"")</f>
        <v>0.97287402620539709</v>
      </c>
      <c r="AC1158" s="37">
        <f>IF(DaybyDay[[#This Row],[_Space]],DaybyDay[[#This Row],[Ret-Bud-RU]]/DaybyDay[[#This Row],[Serv-Bud-RU]],"")</f>
        <v>0.24202276343231444</v>
      </c>
      <c r="AD1158" s="37">
        <f>IF(DaybyDay[[#This Row],[_Space]],DaybyDay[[#This Row],[Ret-LY-RU]]/DaybyDay[[#This Row],[Serv-LY-RU]],"")</f>
        <v>0.224931955396552</v>
      </c>
      <c r="AE1158" s="30">
        <f>WEEKDAY(DaybyDay[[#This Row],[LY-Date]])</f>
        <v>4</v>
      </c>
      <c r="AF1158" s="38">
        <f>$E$2+_xlfn.DAYS(DaybyDay[[#This Row],[Date]],minDate)</f>
        <v>43523</v>
      </c>
      <c r="AG1158" s="39" cm="1">
        <f t="array" ref="AG1158">IFERROR(INDEX(DaybyDay[],DaybyDay[[#This Row],[FORM_MATCH_HELPER]],8),"")</f>
        <v>18</v>
      </c>
      <c r="AH1158" s="39" cm="1">
        <f t="array" ref="AH1158">IFERROR(INDEX(DaybyDay[],DaybyDay[[#This Row],[FORM_MATCH_HELPER]],10),"")</f>
        <v>4498.2</v>
      </c>
      <c r="AI1158" s="39" cm="1">
        <f t="array" ref="AI1158">IFERROR(INDEX(DaybyDay[],DaybyDay[[#This Row],[FORM_MATCH_HELPER]],12),"")</f>
        <v>1436</v>
      </c>
      <c r="AJ1158" s="32">
        <f>IFERROR(DaybyDay[[#This Row],[Serv-LY-RU]]+DaybyDay[[#This Row],[Ret-LY-RU]],"")</f>
        <v>338368.16</v>
      </c>
      <c r="AK11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373162.44999999995</v>
      </c>
      <c r="AL1158" s="77"/>
      <c r="AM1158" s="40" t="str">
        <f>IF(DaybyDay[[#This Row],[Admin Hours]]&gt;0,DaybyDay[[#This Row],[Admin Hours]]*$AM$2+$AM$3,"")</f>
        <v/>
      </c>
      <c r="AN1158" s="40">
        <f>SUMIFS(DaybyDay[Est-Admin-Payroll],DaybyDay[Date],"&gt;="&amp;$C$5,DaybyDay[RowYear],"&gt;="&amp;$C$4,DaybyDay[Date],"&lt;="&amp;DaybyDay[[#This Row],[Date]])</f>
        <v>0</v>
      </c>
      <c r="AO1158" s="41" t="str">
        <f>IF(AND(DaybyDay[[#This Row],[_Space]],ISNUMBER(DaybyDay[[#This Row],[Admin Hours]])),DaybyDay[[#This Row],[Est-Admin-Payroll]]/(DaybyDay[[#This Row],[Service-Actuals]]+DaybyDay[[#This Row],[Retail-Actuals]]),"")</f>
        <v/>
      </c>
      <c r="AP1158" s="41">
        <f>DaybyDay[[#This Row],[Estimated-Payroll-Rollup]]/DaybyDay[[#This Row],[Simple-Forecast]]</f>
        <v>0</v>
      </c>
      <c r="AQ11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71118.550000000017</v>
      </c>
      <c r="AR1158" s="77"/>
      <c r="AS1158" s="40" t="str">
        <f>IF(DaybyDay[[#This Row],[Retail Hours]]&gt;0,DaybyDay[[#This Row],[Retail Hours]]*$AS$2,"")</f>
        <v/>
      </c>
      <c r="AT1158" s="40">
        <f>SUMIFS(DaybyDay[Est-Retail-Payroll],DaybyDay[Date],"&gt;="&amp;$C$5,DaybyDay[RowYear],"&gt;="&amp;$C$4,DaybyDay[Date],"&lt;="&amp;DaybyDay[[#This Row],[Date]])</f>
        <v>0</v>
      </c>
      <c r="AU1158" s="82" t="str">
        <f>IF(AND(DaybyDay[[#This Row],[_Space]],ISNUMBER(DaybyDay[[#This Row],[Retail Hours]])),DaybyDay[[#This Row],[Est-Retail-Payroll]]/(DaybyDay[[#This Row],[Retail-Actuals]]),"")</f>
        <v/>
      </c>
      <c r="AV1158" s="82">
        <f>DaybyDay[[#This Row],[Est-Retail-PayrollRU]]/DaybyDay[[#This Row],[Simple-Forecast-Retail]]</f>
        <v>0</v>
      </c>
      <c r="AW1158" s="8"/>
      <c r="AX1158" s="15"/>
      <c r="AY1158" s="8"/>
    </row>
    <row r="1159" spans="3:51" hidden="1" x14ac:dyDescent="0.25">
      <c r="C1159" s="26" t="str">
        <f>Tools!$C$1</f>
        <v>Example</v>
      </c>
      <c r="D1159" s="27" t="s">
        <v>69</v>
      </c>
      <c r="E1159" s="28">
        <v>2020</v>
      </c>
      <c r="F1159" s="28">
        <f>MATCH(DaybyDay[[#This Row],[RowMonth]],Table3[SummaryMonth],0)</f>
        <v>2</v>
      </c>
      <c r="G1159" s="29">
        <f>MATCH(DaybyDay[[#This Row],[LY-Date]],DaybyDay[Date],0)</f>
        <v>789</v>
      </c>
      <c r="H1159" s="30">
        <f>WEEKDAY(DaybyDay[[#This Row],[Date]])</f>
        <v>5</v>
      </c>
      <c r="I1159" s="31">
        <v>43888</v>
      </c>
      <c r="J1159" s="74">
        <v>29</v>
      </c>
      <c r="K1159" s="32">
        <f>SUMIFS(BudgetSeasonality[365 Seasonality],BudgetSeasonality[MonthAdjustment],DaybyDay[[#This Row],[Date]])*SUMIFS(Budgets[Service-Budget],Budgets[BudgetMonth],DaybyDay[[#This Row],[RowMonth]],Budgets[BudgetYear],DaybyDay[[#This Row],[RowYear]])</f>
        <v>4359.9444703052568</v>
      </c>
      <c r="L1159" s="75">
        <v>4768.8500000000004</v>
      </c>
      <c r="M1159" s="32">
        <f>INDEX(BudgetSeasonality[365 Seasonality],MATCH(DaybyDay[[#This Row],[Date]],BudgetSeasonality[MonthAdjustment],0))*SUMIFS(Budgets[Retail-Budget],Budgets[BudgetMonth],DaybyDay[[#This Row],[RowMonth]],Budgets[BudgetYear],DaybyDay[[#This Row],[RowYear]])</f>
        <v>1040.8407835129212</v>
      </c>
      <c r="N1159" s="75">
        <v>-510</v>
      </c>
      <c r="O1159" s="33">
        <f>SUMIFS(DaybyDay[Service-Budgets],DaybyDay[Date],"&gt;="&amp;$C$5,DaybyDay[RowYear],"&gt;="&amp;$C$4,DaybyDay[Date],"&lt;="&amp;DaybyDay[[#This Row],[Date]])</f>
        <v>305163.35533400485</v>
      </c>
      <c r="P1159" s="33">
        <f>SUMIFS(DaybyDay[Retail-Budgets],DaybyDay[Date],"&gt;="&amp;$C$5,DaybyDay[RowYear],"&gt;="&amp;$C$4,DaybyDay[Date],"&lt;="&amp;DaybyDay[[#This Row],[Date]])</f>
        <v>73842.113530611372</v>
      </c>
      <c r="Q1159" s="34">
        <f>SUMIFS(DaybyDay[Service-Actuals],DaybyDay[Date],"&gt;="&amp;$C$5,DaybyDay[RowYear],"&gt;="&amp;$C$4,DaybyDay[Date],"&lt;="&amp;DaybyDay[[#This Row],[Date]])</f>
        <v>306812.74999999994</v>
      </c>
      <c r="R1159" s="34">
        <f>SUMIFS(DaybyDay[Retail-Actuals],DaybyDay[Date],"&gt;="&amp;$C$5,DaybyDay[RowYear],"&gt;="&amp;$C$4,DaybyDay[Date],"&lt;="&amp;DaybyDay[[#This Row],[Date]])</f>
        <v>70608.550000000017</v>
      </c>
      <c r="S1159" s="35">
        <f>SUMIFS(DaybyDay[Service-LY],DaybyDay[Date],"&gt;="&amp;$C$5,DaybyDay[RowYear],"&gt;="&amp;$C$4,DaybyDay[Date],"&lt;="&amp;DaybyDay[[#This Row],[Date]])</f>
        <v>280962.25</v>
      </c>
      <c r="T1159" s="35">
        <f>SUMIFS(DaybyDay[Retail-LY],DaybyDay[Date],"&gt;="&amp;$C$5,DaybyDay[RowYear],"&gt;="&amp;$C$4,DaybyDay[Date],"&lt;="&amp;DaybyDay[[#This Row],[Date]])</f>
        <v>62673.409999999996</v>
      </c>
      <c r="U1159" s="32">
        <f>DaybyDay[[#This Row],[Serv-Bud-RU]]+DaybyDay[[#This Row],[Ret-Bud-RU]]</f>
        <v>379005.46886461624</v>
      </c>
      <c r="V1159" s="32">
        <f>DaybyDay[[#This Row],[Serv-Act-RU]]+DaybyDay[[#This Row],[Ret-Act-RU]]</f>
        <v>377421.29999999993</v>
      </c>
      <c r="W1159" s="36">
        <f>IF(DaybyDay[[#This Row],[_Space]],IFERROR(
((DaybyDay[[#This Row],[Actual-Rollup]]-DaybyDay[[#This Row],[Budget-Rollup]])/DaybyDay[[#This Row],[Budget-Rollup]]),0),"")</f>
        <v>-4.1798047647227674E-3</v>
      </c>
      <c r="X1159" t="b">
        <f>NOT(AND(ISBLANK(DaybyDay[[#This Row],[Appts]]),ISBLANK(DaybyDay[[#This Row],[Service-Actuals]]),ISBLANK(DaybyDay[[#This Row],[Retail-Actuals]])))</f>
        <v>1</v>
      </c>
      <c r="Y1159" s="36">
        <f>IF(DaybyDay[[#This Row],[_Space]],IFERROR(
((DaybyDay[[#This Row],[Actual-Rollup]]-DaybyDay[[#This Row],[LY-Rollup]])/DaybyDay[[#This Row],[LY-Rollup]]),0),"")</f>
        <v>9.8318201318221624E-2</v>
      </c>
      <c r="Z1159"/>
      <c r="AA1159" s="37">
        <f>IF(DaybyDay[[#This Row],[_Space]],DaybyDay[[#This Row],[Ret-Act-RU]]/DaybyDay[[#This Row],[Serv-Act-RU]],"")</f>
        <v>0.23013564462363456</v>
      </c>
      <c r="AB1159" s="50">
        <f>IF(DaybyDay[[#This Row],[_Space]],DaybyDay[[#This Row],[RETPEN-Act]]/DaybyDay[[#This Row],[RETPEN-Bud]],"")</f>
        <v>0.95106927656111739</v>
      </c>
      <c r="AC1159" s="37">
        <f>IF(DaybyDay[[#This Row],[_Space]],DaybyDay[[#This Row],[Ret-Bud-RU]]/DaybyDay[[#This Row],[Serv-Bud-RU]],"")</f>
        <v>0.24197569019973031</v>
      </c>
      <c r="AD1159" s="37">
        <f>IF(DaybyDay[[#This Row],[_Space]],DaybyDay[[#This Row],[Ret-LY-RU]]/DaybyDay[[#This Row],[Serv-LY-RU]],"")</f>
        <v>0.22306701345109528</v>
      </c>
      <c r="AE1159" s="30">
        <f>WEEKDAY(DaybyDay[[#This Row],[LY-Date]])</f>
        <v>5</v>
      </c>
      <c r="AF1159" s="38">
        <f>$E$2+_xlfn.DAYS(DaybyDay[[#This Row],[Date]],minDate)</f>
        <v>43524</v>
      </c>
      <c r="AG1159" s="39" cm="1">
        <f t="array" ref="AG1159">IFERROR(INDEX(DaybyDay[],DaybyDay[[#This Row],[FORM_MATCH_HELPER]],8),"")</f>
        <v>20</v>
      </c>
      <c r="AH1159" s="39" cm="1">
        <f t="array" ref="AH1159">IFERROR(INDEX(DaybyDay[],DaybyDay[[#This Row],[FORM_MATCH_HELPER]],10),"")</f>
        <v>4728</v>
      </c>
      <c r="AI1159" s="39" cm="1">
        <f t="array" ref="AI1159">IFERROR(INDEX(DaybyDay[],DaybyDay[[#This Row],[FORM_MATCH_HELPER]],12),"")</f>
        <v>539.5</v>
      </c>
      <c r="AJ1159" s="32">
        <f>IFERROR(DaybyDay[[#This Row],[Serv-LY-RU]]+DaybyDay[[#This Row],[Ret-LY-RU]],"")</f>
        <v>343635.66</v>
      </c>
      <c r="AK11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377421.29999999993</v>
      </c>
      <c r="AL1159" s="77"/>
      <c r="AM1159" s="40" t="str">
        <f>IF(DaybyDay[[#This Row],[Admin Hours]]&gt;0,DaybyDay[[#This Row],[Admin Hours]]*$AM$2+$AM$3,"")</f>
        <v/>
      </c>
      <c r="AN1159" s="40">
        <f>SUMIFS(DaybyDay[Est-Admin-Payroll],DaybyDay[Date],"&gt;="&amp;$C$5,DaybyDay[RowYear],"&gt;="&amp;$C$4,DaybyDay[Date],"&lt;="&amp;DaybyDay[[#This Row],[Date]])</f>
        <v>0</v>
      </c>
      <c r="AO1159" s="41" t="str">
        <f>IF(AND(DaybyDay[[#This Row],[_Space]],ISNUMBER(DaybyDay[[#This Row],[Admin Hours]])),DaybyDay[[#This Row],[Est-Admin-Payroll]]/(DaybyDay[[#This Row],[Service-Actuals]]+DaybyDay[[#This Row],[Retail-Actuals]]),"")</f>
        <v/>
      </c>
      <c r="AP1159" s="41">
        <f>DaybyDay[[#This Row],[Estimated-Payroll-Rollup]]/DaybyDay[[#This Row],[Simple-Forecast]]</f>
        <v>0</v>
      </c>
      <c r="AQ11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70608.550000000017</v>
      </c>
      <c r="AR1159" s="77"/>
      <c r="AS1159" s="40" t="str">
        <f>IF(DaybyDay[[#This Row],[Retail Hours]]&gt;0,DaybyDay[[#This Row],[Retail Hours]]*$AS$2,"")</f>
        <v/>
      </c>
      <c r="AT1159" s="40">
        <f>SUMIFS(DaybyDay[Est-Retail-Payroll],DaybyDay[Date],"&gt;="&amp;$C$5,DaybyDay[RowYear],"&gt;="&amp;$C$4,DaybyDay[Date],"&lt;="&amp;DaybyDay[[#This Row],[Date]])</f>
        <v>0</v>
      </c>
      <c r="AU1159" s="82" t="str">
        <f>IF(AND(DaybyDay[[#This Row],[_Space]],ISNUMBER(DaybyDay[[#This Row],[Retail Hours]])),DaybyDay[[#This Row],[Est-Retail-Payroll]]/(DaybyDay[[#This Row],[Retail-Actuals]]),"")</f>
        <v/>
      </c>
      <c r="AV1159" s="82">
        <f>DaybyDay[[#This Row],[Est-Retail-PayrollRU]]/DaybyDay[[#This Row],[Simple-Forecast-Retail]]</f>
        <v>0</v>
      </c>
      <c r="AW1159" s="8"/>
      <c r="AX1159" s="15"/>
      <c r="AY1159" s="8"/>
    </row>
    <row r="1160" spans="3:51" hidden="1" x14ac:dyDescent="0.25">
      <c r="C1160" s="26" t="str">
        <f>Tools!$C$1</f>
        <v>Example</v>
      </c>
      <c r="D1160" s="27" t="s">
        <v>69</v>
      </c>
      <c r="E1160" s="28">
        <v>2020</v>
      </c>
      <c r="F1160" s="28">
        <f>MATCH(DaybyDay[[#This Row],[RowMonth]],Table3[SummaryMonth],0)</f>
        <v>2</v>
      </c>
      <c r="G1160" s="29">
        <f>MATCH(DaybyDay[[#This Row],[LY-Date]],DaybyDay[Date],0)</f>
        <v>790</v>
      </c>
      <c r="H1160" s="30">
        <f>WEEKDAY(DaybyDay[[#This Row],[Date]])</f>
        <v>6</v>
      </c>
      <c r="I1160" s="31">
        <v>43889</v>
      </c>
      <c r="J1160" s="74">
        <v>32</v>
      </c>
      <c r="K1160" s="32">
        <f>SUMIFS(BudgetSeasonality[365 Seasonality],BudgetSeasonality[MonthAdjustment],DaybyDay[[#This Row],[Date]])*SUMIFS(Budgets[Service-Budget],Budgets[BudgetMonth],DaybyDay[[#This Row],[RowMonth]],Budgets[BudgetYear],DaybyDay[[#This Row],[RowYear]])</f>
        <v>5350.9932836354928</v>
      </c>
      <c r="L1160" s="75">
        <v>5706.5</v>
      </c>
      <c r="M1160" s="32">
        <f>INDEX(BudgetSeasonality[365 Seasonality],MATCH(DaybyDay[[#This Row],[Date]],BudgetSeasonality[MonthAdjustment],0))*SUMIFS(Budgets[Retail-Budget],Budgets[BudgetMonth],DaybyDay[[#This Row],[RowMonth]],Budgets[BudgetYear],DaybyDay[[#This Row],[RowYear]])</f>
        <v>1277.4318755306535</v>
      </c>
      <c r="N1160" s="75">
        <v>3990.5</v>
      </c>
      <c r="O1160" s="33">
        <f>SUMIFS(DaybyDay[Service-Budgets],DaybyDay[Date],"&gt;="&amp;$C$5,DaybyDay[RowYear],"&gt;="&amp;$C$4,DaybyDay[Date],"&lt;="&amp;DaybyDay[[#This Row],[Date]])</f>
        <v>310514.34861764032</v>
      </c>
      <c r="P1160" s="33">
        <f>SUMIFS(DaybyDay[Retail-Budgets],DaybyDay[Date],"&gt;="&amp;$C$5,DaybyDay[RowYear],"&gt;="&amp;$C$4,DaybyDay[Date],"&lt;="&amp;DaybyDay[[#This Row],[Date]])</f>
        <v>75119.545406142031</v>
      </c>
      <c r="Q1160" s="34">
        <f>SUMIFS(DaybyDay[Service-Actuals],DaybyDay[Date],"&gt;="&amp;$C$5,DaybyDay[RowYear],"&gt;="&amp;$C$4,DaybyDay[Date],"&lt;="&amp;DaybyDay[[#This Row],[Date]])</f>
        <v>312519.24999999994</v>
      </c>
      <c r="R1160" s="34">
        <f>SUMIFS(DaybyDay[Retail-Actuals],DaybyDay[Date],"&gt;="&amp;$C$5,DaybyDay[RowYear],"&gt;="&amp;$C$4,DaybyDay[Date],"&lt;="&amp;DaybyDay[[#This Row],[Date]])</f>
        <v>74599.050000000017</v>
      </c>
      <c r="S1160" s="35">
        <f>SUMIFS(DaybyDay[Service-LY],DaybyDay[Date],"&gt;="&amp;$C$5,DaybyDay[RowYear],"&gt;="&amp;$C$4,DaybyDay[Date],"&lt;="&amp;DaybyDay[[#This Row],[Date]])</f>
        <v>286427.75</v>
      </c>
      <c r="T1160" s="35">
        <f>SUMIFS(DaybyDay[Retail-LY],DaybyDay[Date],"&gt;="&amp;$C$5,DaybyDay[RowYear],"&gt;="&amp;$C$4,DaybyDay[Date],"&lt;="&amp;DaybyDay[[#This Row],[Date]])</f>
        <v>62808.409999999996</v>
      </c>
      <c r="U1160" s="32">
        <f>DaybyDay[[#This Row],[Serv-Bud-RU]]+DaybyDay[[#This Row],[Ret-Bud-RU]]</f>
        <v>385633.89402378234</v>
      </c>
      <c r="V1160" s="32">
        <f>DaybyDay[[#This Row],[Serv-Act-RU]]+DaybyDay[[#This Row],[Ret-Act-RU]]</f>
        <v>387118.29999999993</v>
      </c>
      <c r="W1160" s="36">
        <f>IF(DaybyDay[[#This Row],[_Space]],IFERROR(
((DaybyDay[[#This Row],[Actual-Rollup]]-DaybyDay[[#This Row],[Budget-Rollup]])/DaybyDay[[#This Row],[Budget-Rollup]]),0),"")</f>
        <v>3.8492622127401614E-3</v>
      </c>
      <c r="X1160" t="b">
        <f>NOT(AND(ISBLANK(DaybyDay[[#This Row],[Appts]]),ISBLANK(DaybyDay[[#This Row],[Service-Actuals]]),ISBLANK(DaybyDay[[#This Row],[Retail-Actuals]])))</f>
        <v>1</v>
      </c>
      <c r="Y1160" s="36">
        <f>IF(DaybyDay[[#This Row],[_Space]],IFERROR(
((DaybyDay[[#This Row],[Actual-Rollup]]-DaybyDay[[#This Row],[LY-Rollup]])/DaybyDay[[#This Row],[LY-Rollup]]),0),"")</f>
        <v>0.10847141372760472</v>
      </c>
      <c r="Z1160"/>
      <c r="AA1160" s="37">
        <f>IF(DaybyDay[[#This Row],[_Space]],DaybyDay[[#This Row],[Ret-Act-RU]]/DaybyDay[[#This Row],[Serv-Act-RU]],"")</f>
        <v>0.23870225594103414</v>
      </c>
      <c r="AB1160" s="50">
        <f>IF(DaybyDay[[#This Row],[_Space]],DaybyDay[[#This Row],[RETPEN-Act]]/DaybyDay[[#This Row],[RETPEN-Bud]],"")</f>
        <v>0.98670026710559855</v>
      </c>
      <c r="AC1160" s="37">
        <f>IF(DaybyDay[[#This Row],[_Space]],DaybyDay[[#This Row],[Ret-Bud-RU]]/DaybyDay[[#This Row],[Serv-Bud-RU]],"")</f>
        <v>0.24191972364743242</v>
      </c>
      <c r="AD1160" s="37">
        <f>IF(DaybyDay[[#This Row],[_Space]],DaybyDay[[#This Row],[Ret-LY-RU]]/DaybyDay[[#This Row],[Serv-LY-RU]],"")</f>
        <v>0.21928186078339126</v>
      </c>
      <c r="AE1160" s="30">
        <f>WEEKDAY(DaybyDay[[#This Row],[LY-Date]])</f>
        <v>6</v>
      </c>
      <c r="AF1160" s="38">
        <f>$E$2+_xlfn.DAYS(DaybyDay[[#This Row],[Date]],minDate)</f>
        <v>43525</v>
      </c>
      <c r="AG1160" s="39" cm="1">
        <f t="array" ref="AG1160">IFERROR(INDEX(DaybyDay[],DaybyDay[[#This Row],[FORM_MATCH_HELPER]],8),"")</f>
        <v>21</v>
      </c>
      <c r="AH1160" s="39" cm="1">
        <f t="array" ref="AH1160">IFERROR(INDEX(DaybyDay[],DaybyDay[[#This Row],[FORM_MATCH_HELPER]],10),"")</f>
        <v>5465.5</v>
      </c>
      <c r="AI1160" s="39" cm="1">
        <f t="array" ref="AI1160">IFERROR(INDEX(DaybyDay[],DaybyDay[[#This Row],[FORM_MATCH_HELPER]],12),"")</f>
        <v>135</v>
      </c>
      <c r="AJ1160" s="32">
        <f>IFERROR(DaybyDay[[#This Row],[Serv-LY-RU]]+DaybyDay[[#This Row],[Ret-LY-RU]],"")</f>
        <v>349236.16</v>
      </c>
      <c r="AK11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387118.29999999993</v>
      </c>
      <c r="AL1160" s="77"/>
      <c r="AM1160" s="40" t="str">
        <f>IF(DaybyDay[[#This Row],[Admin Hours]]&gt;0,DaybyDay[[#This Row],[Admin Hours]]*$AM$2+$AM$3,"")</f>
        <v/>
      </c>
      <c r="AN1160" s="40">
        <f>SUMIFS(DaybyDay[Est-Admin-Payroll],DaybyDay[Date],"&gt;="&amp;$C$5,DaybyDay[RowYear],"&gt;="&amp;$C$4,DaybyDay[Date],"&lt;="&amp;DaybyDay[[#This Row],[Date]])</f>
        <v>0</v>
      </c>
      <c r="AO1160" s="41" t="str">
        <f>IF(AND(DaybyDay[[#This Row],[_Space]],ISNUMBER(DaybyDay[[#This Row],[Admin Hours]])),DaybyDay[[#This Row],[Est-Admin-Payroll]]/(DaybyDay[[#This Row],[Service-Actuals]]+DaybyDay[[#This Row],[Retail-Actuals]]),"")</f>
        <v/>
      </c>
      <c r="AP1160" s="41">
        <f>DaybyDay[[#This Row],[Estimated-Payroll-Rollup]]/DaybyDay[[#This Row],[Simple-Forecast]]</f>
        <v>0</v>
      </c>
      <c r="AQ11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74599.050000000017</v>
      </c>
      <c r="AR1160" s="77"/>
      <c r="AS1160" s="40" t="str">
        <f>IF(DaybyDay[[#This Row],[Retail Hours]]&gt;0,DaybyDay[[#This Row],[Retail Hours]]*$AS$2,"")</f>
        <v/>
      </c>
      <c r="AT1160" s="40">
        <f>SUMIFS(DaybyDay[Est-Retail-Payroll],DaybyDay[Date],"&gt;="&amp;$C$5,DaybyDay[RowYear],"&gt;="&amp;$C$4,DaybyDay[Date],"&lt;="&amp;DaybyDay[[#This Row],[Date]])</f>
        <v>0</v>
      </c>
      <c r="AU1160" s="82" t="str">
        <f>IF(AND(DaybyDay[[#This Row],[_Space]],ISNUMBER(DaybyDay[[#This Row],[Retail Hours]])),DaybyDay[[#This Row],[Est-Retail-Payroll]]/(DaybyDay[[#This Row],[Retail-Actuals]]),"")</f>
        <v/>
      </c>
      <c r="AV1160" s="82">
        <f>DaybyDay[[#This Row],[Est-Retail-PayrollRU]]/DaybyDay[[#This Row],[Simple-Forecast-Retail]]</f>
        <v>0</v>
      </c>
      <c r="AW1160" s="8"/>
      <c r="AX1160" s="15"/>
      <c r="AY1160" s="8"/>
    </row>
    <row r="1161" spans="3:51" hidden="1" x14ac:dyDescent="0.25">
      <c r="C1161" s="26" t="str">
        <f>Tools!$C$1</f>
        <v>Example</v>
      </c>
      <c r="D1161" s="27" t="s">
        <v>69</v>
      </c>
      <c r="E1161" s="28">
        <v>2020</v>
      </c>
      <c r="F1161" s="28">
        <f>MATCH(DaybyDay[[#This Row],[RowMonth]],Table3[SummaryMonth],0)</f>
        <v>2</v>
      </c>
      <c r="G1161" s="29">
        <f>MATCH(DaybyDay[[#This Row],[LY-Date]],DaybyDay[Date],0)</f>
        <v>791</v>
      </c>
      <c r="H1161" s="30">
        <f>WEEKDAY(DaybyDay[[#This Row],[Date]])</f>
        <v>7</v>
      </c>
      <c r="I1161" s="31">
        <v>43890</v>
      </c>
      <c r="J1161" s="74">
        <v>44</v>
      </c>
      <c r="K1161" s="32">
        <f>SUMIFS(BudgetSeasonality[365 Seasonality],BudgetSeasonality[MonthAdjustment],DaybyDay[[#This Row],[Date]])*SUMIFS(Budgets[Service-Budget],Budgets[BudgetMonth],DaybyDay[[#This Row],[RowMonth]],Budgets[BudgetYear],DaybyDay[[#This Row],[RowYear]])</f>
        <v>7538.656360689808</v>
      </c>
      <c r="L1161" s="75">
        <v>11368.8</v>
      </c>
      <c r="M1161" s="32">
        <f>INDEX(BudgetSeasonality[365 Seasonality],MATCH(DaybyDay[[#This Row],[Date]],BudgetSeasonality[MonthAdjustment],0))*SUMIFS(Budgets[Retail-Budget],Budgets[BudgetMonth],DaybyDay[[#This Row],[RowMonth]],Budgets[BudgetYear],DaybyDay[[#This Row],[RowYear]])</f>
        <v>1799.6882865220714</v>
      </c>
      <c r="N1161" s="75">
        <v>865</v>
      </c>
      <c r="O1161" s="33">
        <f>SUMIFS(DaybyDay[Service-Budgets],DaybyDay[Date],"&gt;="&amp;$C$5,DaybyDay[RowYear],"&gt;="&amp;$C$4,DaybyDay[Date],"&lt;="&amp;DaybyDay[[#This Row],[Date]])</f>
        <v>318053.00497833011</v>
      </c>
      <c r="P1161" s="33">
        <f>SUMIFS(DaybyDay[Retail-Budgets],DaybyDay[Date],"&gt;="&amp;$C$5,DaybyDay[RowYear],"&gt;="&amp;$C$4,DaybyDay[Date],"&lt;="&amp;DaybyDay[[#This Row],[Date]])</f>
        <v>76919.2336926641</v>
      </c>
      <c r="Q1161" s="34">
        <f>SUMIFS(DaybyDay[Service-Actuals],DaybyDay[Date],"&gt;="&amp;$C$5,DaybyDay[RowYear],"&gt;="&amp;$C$4,DaybyDay[Date],"&lt;="&amp;DaybyDay[[#This Row],[Date]])</f>
        <v>323888.04999999993</v>
      </c>
      <c r="R1161" s="34">
        <f>SUMIFS(DaybyDay[Retail-Actuals],DaybyDay[Date],"&gt;="&amp;$C$5,DaybyDay[RowYear],"&gt;="&amp;$C$4,DaybyDay[Date],"&lt;="&amp;DaybyDay[[#This Row],[Date]])</f>
        <v>75464.050000000017</v>
      </c>
      <c r="S1161" s="35">
        <f>SUMIFS(DaybyDay[Service-LY],DaybyDay[Date],"&gt;="&amp;$C$5,DaybyDay[RowYear],"&gt;="&amp;$C$4,DaybyDay[Date],"&lt;="&amp;DaybyDay[[#This Row],[Date]])</f>
        <v>293200.96999999997</v>
      </c>
      <c r="T1161" s="35">
        <f>SUMIFS(DaybyDay[Retail-LY],DaybyDay[Date],"&gt;="&amp;$C$5,DaybyDay[RowYear],"&gt;="&amp;$C$4,DaybyDay[Date],"&lt;="&amp;DaybyDay[[#This Row],[Date]])</f>
        <v>63543.859999999993</v>
      </c>
      <c r="U1161" s="32">
        <f>DaybyDay[[#This Row],[Serv-Bud-RU]]+DaybyDay[[#This Row],[Ret-Bud-RU]]</f>
        <v>394972.23867099418</v>
      </c>
      <c r="V1161" s="32">
        <f>DaybyDay[[#This Row],[Serv-Act-RU]]+DaybyDay[[#This Row],[Ret-Act-RU]]</f>
        <v>399352.1</v>
      </c>
      <c r="W1161" s="36">
        <f>IF(DaybyDay[[#This Row],[_Space]],IFERROR(
((DaybyDay[[#This Row],[Actual-Rollup]]-DaybyDay[[#This Row],[Budget-Rollup]])/DaybyDay[[#This Row],[Budget-Rollup]]),0),"")</f>
        <v>1.1089035887036495E-2</v>
      </c>
      <c r="X1161" t="b">
        <f>NOT(AND(ISBLANK(DaybyDay[[#This Row],[Appts]]),ISBLANK(DaybyDay[[#This Row],[Service-Actuals]]),ISBLANK(DaybyDay[[#This Row],[Retail-Actuals]])))</f>
        <v>1</v>
      </c>
      <c r="Y1161" s="36">
        <f>IF(DaybyDay[[#This Row],[_Space]],IFERROR(
((DaybyDay[[#This Row],[Actual-Rollup]]-DaybyDay[[#This Row],[LY-Rollup]])/DaybyDay[[#This Row],[LY-Rollup]]),0),"")</f>
        <v>0.11943346172669138</v>
      </c>
      <c r="Z1161"/>
      <c r="AA1161" s="37">
        <f>IF(DaybyDay[[#This Row],[_Space]],DaybyDay[[#This Row],[Ret-Act-RU]]/DaybyDay[[#This Row],[Serv-Act-RU]],"")</f>
        <v>0.23299423983070705</v>
      </c>
      <c r="AB1161" s="50">
        <f>IF(DaybyDay[[#This Row],[_Space]],DaybyDay[[#This Row],[RETPEN-Act]]/DaybyDay[[#This Row],[RETPEN-Bud]],"")</f>
        <v>0.9634068692999157</v>
      </c>
      <c r="AC1161" s="37">
        <f>IF(DaybyDay[[#This Row],[_Space]],DaybyDay[[#This Row],[Ret-Bud-RU]]/DaybyDay[[#This Row],[Serv-Bud-RU]],"")</f>
        <v>0.24184407154997586</v>
      </c>
      <c r="AD1161" s="37">
        <f>IF(DaybyDay[[#This Row],[_Space]],DaybyDay[[#This Row],[Ret-LY-RU]]/DaybyDay[[#This Row],[Serv-LY-RU]],"")</f>
        <v>0.21672458996298682</v>
      </c>
      <c r="AE1161" s="30">
        <f>WEEKDAY(DaybyDay[[#This Row],[LY-Date]])</f>
        <v>7</v>
      </c>
      <c r="AF1161" s="38">
        <f>$E$2+_xlfn.DAYS(DaybyDay[[#This Row],[Date]],minDate)</f>
        <v>43526</v>
      </c>
      <c r="AG1161" s="39" cm="1">
        <f t="array" ref="AG1161">IFERROR(INDEX(DaybyDay[],DaybyDay[[#This Row],[FORM_MATCH_HELPER]],8),"")</f>
        <v>28</v>
      </c>
      <c r="AH1161" s="39" cm="1">
        <f t="array" ref="AH1161">IFERROR(INDEX(DaybyDay[],DaybyDay[[#This Row],[FORM_MATCH_HELPER]],10),"")</f>
        <v>6773.22</v>
      </c>
      <c r="AI1161" s="39" cm="1">
        <f t="array" ref="AI1161">IFERROR(INDEX(DaybyDay[],DaybyDay[[#This Row],[FORM_MATCH_HELPER]],12),"")</f>
        <v>735.45</v>
      </c>
      <c r="AJ1161" s="32">
        <f>IFERROR(DaybyDay[[#This Row],[Serv-LY-RU]]+DaybyDay[[#This Row],[Ret-LY-RU]],"")</f>
        <v>356744.82999999996</v>
      </c>
      <c r="AK11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399352.1</v>
      </c>
      <c r="AL1161" s="77"/>
      <c r="AM1161" s="40" t="str">
        <f>IF(DaybyDay[[#This Row],[Admin Hours]]&gt;0,DaybyDay[[#This Row],[Admin Hours]]*$AM$2+$AM$3,"")</f>
        <v/>
      </c>
      <c r="AN1161" s="40">
        <f>SUMIFS(DaybyDay[Est-Admin-Payroll],DaybyDay[Date],"&gt;="&amp;$C$5,DaybyDay[RowYear],"&gt;="&amp;$C$4,DaybyDay[Date],"&lt;="&amp;DaybyDay[[#This Row],[Date]])</f>
        <v>0</v>
      </c>
      <c r="AO1161" s="41" t="str">
        <f>IF(AND(DaybyDay[[#This Row],[_Space]],ISNUMBER(DaybyDay[[#This Row],[Admin Hours]])),DaybyDay[[#This Row],[Est-Admin-Payroll]]/(DaybyDay[[#This Row],[Service-Actuals]]+DaybyDay[[#This Row],[Retail-Actuals]]),"")</f>
        <v/>
      </c>
      <c r="AP1161" s="41">
        <f>DaybyDay[[#This Row],[Estimated-Payroll-Rollup]]/DaybyDay[[#This Row],[Simple-Forecast]]</f>
        <v>0</v>
      </c>
      <c r="AQ11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75464.050000000017</v>
      </c>
      <c r="AR1161" s="77"/>
      <c r="AS1161" s="40" t="str">
        <f>IF(DaybyDay[[#This Row],[Retail Hours]]&gt;0,DaybyDay[[#This Row],[Retail Hours]]*$AS$2,"")</f>
        <v/>
      </c>
      <c r="AT1161" s="40">
        <f>SUMIFS(DaybyDay[Est-Retail-Payroll],DaybyDay[Date],"&gt;="&amp;$C$5,DaybyDay[RowYear],"&gt;="&amp;$C$4,DaybyDay[Date],"&lt;="&amp;DaybyDay[[#This Row],[Date]])</f>
        <v>0</v>
      </c>
      <c r="AU1161" s="82" t="str">
        <f>IF(AND(DaybyDay[[#This Row],[_Space]],ISNUMBER(DaybyDay[[#This Row],[Retail Hours]])),DaybyDay[[#This Row],[Est-Retail-Payroll]]/(DaybyDay[[#This Row],[Retail-Actuals]]),"")</f>
        <v/>
      </c>
      <c r="AV1161" s="82">
        <f>DaybyDay[[#This Row],[Est-Retail-PayrollRU]]/DaybyDay[[#This Row],[Simple-Forecast-Retail]]</f>
        <v>0</v>
      </c>
      <c r="AW1161" s="8"/>
      <c r="AX1161" s="15"/>
      <c r="AY1161" s="8"/>
    </row>
    <row r="1162" spans="3:51" hidden="1" x14ac:dyDescent="0.25">
      <c r="C1162" s="26" t="str">
        <f>Tools!$C$1</f>
        <v>Example</v>
      </c>
      <c r="D1162" s="27" t="s">
        <v>70</v>
      </c>
      <c r="E1162" s="28">
        <v>2020</v>
      </c>
      <c r="F1162" s="28">
        <f>MATCH(DaybyDay[[#This Row],[RowMonth]],Table3[SummaryMonth],0)</f>
        <v>3</v>
      </c>
      <c r="G1162" s="29">
        <f>MATCH(DaybyDay[[#This Row],[LY-Date]],DaybyDay[Date],0)</f>
        <v>792</v>
      </c>
      <c r="H1162" s="30">
        <f>WEEKDAY(DaybyDay[[#This Row],[Date]])</f>
        <v>1</v>
      </c>
      <c r="I1162" s="31">
        <v>43891</v>
      </c>
      <c r="J1162" s="74">
        <v>43</v>
      </c>
      <c r="K1162" s="32">
        <f>SUMIFS(BudgetSeasonality[365 Seasonality],BudgetSeasonality[MonthAdjustment],DaybyDay[[#This Row],[Date]])*SUMIFS(Budgets[Service-Budget],Budgets[BudgetMonth],DaybyDay[[#This Row],[RowMonth]],Budgets[BudgetYear],DaybyDay[[#This Row],[RowYear]])</f>
        <v>5683.4638899360743</v>
      </c>
      <c r="L1162" s="75">
        <v>8696.7999999999993</v>
      </c>
      <c r="M1162" s="32">
        <f>INDEX(BudgetSeasonality[365 Seasonality],MATCH(DaybyDay[[#This Row],[Date]],BudgetSeasonality[MonthAdjustment],0))*SUMIFS(Budgets[Retail-Budget],Budgets[BudgetMonth],DaybyDay[[#This Row],[RowMonth]],Budgets[BudgetYear],DaybyDay[[#This Row],[RowYear]])</f>
        <v>1382.1106976602207</v>
      </c>
      <c r="N1162" s="75">
        <v>1040</v>
      </c>
      <c r="O1162" s="33">
        <f>SUMIFS(DaybyDay[Service-Budgets],DaybyDay[Date],"&gt;="&amp;$C$5,DaybyDay[RowYear],"&gt;="&amp;$C$4,DaybyDay[Date],"&lt;="&amp;DaybyDay[[#This Row],[Date]])</f>
        <v>323736.46886826621</v>
      </c>
      <c r="P1162" s="33">
        <f>SUMIFS(DaybyDay[Retail-Budgets],DaybyDay[Date],"&gt;="&amp;$C$5,DaybyDay[RowYear],"&gt;="&amp;$C$4,DaybyDay[Date],"&lt;="&amp;DaybyDay[[#This Row],[Date]])</f>
        <v>78301.344390324317</v>
      </c>
      <c r="Q1162" s="34">
        <f>SUMIFS(DaybyDay[Service-Actuals],DaybyDay[Date],"&gt;="&amp;$C$5,DaybyDay[RowYear],"&gt;="&amp;$C$4,DaybyDay[Date],"&lt;="&amp;DaybyDay[[#This Row],[Date]])</f>
        <v>332584.84999999992</v>
      </c>
      <c r="R1162" s="34">
        <f>SUMIFS(DaybyDay[Retail-Actuals],DaybyDay[Date],"&gt;="&amp;$C$5,DaybyDay[RowYear],"&gt;="&amp;$C$4,DaybyDay[Date],"&lt;="&amp;DaybyDay[[#This Row],[Date]])</f>
        <v>76504.050000000017</v>
      </c>
      <c r="S1162" s="35">
        <f>SUMIFS(DaybyDay[Service-LY],DaybyDay[Date],"&gt;="&amp;$C$5,DaybyDay[RowYear],"&gt;="&amp;$C$4,DaybyDay[Date],"&lt;="&amp;DaybyDay[[#This Row],[Date]])</f>
        <v>299008.76999999996</v>
      </c>
      <c r="T1162" s="35">
        <f>SUMIFS(DaybyDay[Retail-LY],DaybyDay[Date],"&gt;="&amp;$C$5,DaybyDay[RowYear],"&gt;="&amp;$C$4,DaybyDay[Date],"&lt;="&amp;DaybyDay[[#This Row],[Date]])</f>
        <v>69386.759999999995</v>
      </c>
      <c r="U1162" s="32">
        <f>DaybyDay[[#This Row],[Serv-Bud-RU]]+DaybyDay[[#This Row],[Ret-Bud-RU]]</f>
        <v>402037.81325859053</v>
      </c>
      <c r="V1162" s="32">
        <f>DaybyDay[[#This Row],[Serv-Act-RU]]+DaybyDay[[#This Row],[Ret-Act-RU]]</f>
        <v>409088.89999999991</v>
      </c>
      <c r="W1162" s="36">
        <f>IF(DaybyDay[[#This Row],[_Space]],IFERROR(
((DaybyDay[[#This Row],[Actual-Rollup]]-DaybyDay[[#This Row],[Budget-Rollup]])/DaybyDay[[#This Row],[Budget-Rollup]]),0),"")</f>
        <v>1.7538367061195125E-2</v>
      </c>
      <c r="X1162" t="b">
        <f>NOT(AND(ISBLANK(DaybyDay[[#This Row],[Appts]]),ISBLANK(DaybyDay[[#This Row],[Service-Actuals]]),ISBLANK(DaybyDay[[#This Row],[Retail-Actuals]])))</f>
        <v>1</v>
      </c>
      <c r="Y1162" s="36">
        <f>IF(DaybyDay[[#This Row],[_Space]],IFERROR(
((DaybyDay[[#This Row],[Actual-Rollup]]-DaybyDay[[#This Row],[LY-Rollup]])/DaybyDay[[#This Row],[LY-Rollup]]),0),"")</f>
        <v>0.1104610851277157</v>
      </c>
      <c r="Z1162"/>
      <c r="AA1162" s="37">
        <f>IF(DaybyDay[[#This Row],[_Space]],DaybyDay[[#This Row],[Ret-Act-RU]]/DaybyDay[[#This Row],[Serv-Act-RU]],"")</f>
        <v>0.23002866787227391</v>
      </c>
      <c r="AB1162" s="50">
        <f>IF(DaybyDay[[#This Row],[_Space]],DaybyDay[[#This Row],[RETPEN-Act]]/DaybyDay[[#This Row],[RETPEN-Bud]],"")</f>
        <v>0.95105223614325618</v>
      </c>
      <c r="AC1162" s="37">
        <f>IF(DaybyDay[[#This Row],[_Space]],DaybyDay[[#This Row],[Ret-Bud-RU]]/DaybyDay[[#This Row],[Serv-Bud-RU]],"")</f>
        <v>0.24186754326460033</v>
      </c>
      <c r="AD1162" s="37">
        <f>IF(DaybyDay[[#This Row],[_Space]],DaybyDay[[#This Row],[Ret-LY-RU]]/DaybyDay[[#This Row],[Serv-LY-RU]],"")</f>
        <v>0.23205593601819774</v>
      </c>
      <c r="AE1162" s="30">
        <f>WEEKDAY(DaybyDay[[#This Row],[LY-Date]])</f>
        <v>1</v>
      </c>
      <c r="AF1162" s="38">
        <f>$E$2+_xlfn.DAYS(DaybyDay[[#This Row],[Date]],minDate)</f>
        <v>43527</v>
      </c>
      <c r="AG1162" s="39" cm="1">
        <f t="array" ref="AG1162">IFERROR(INDEX(DaybyDay[],DaybyDay[[#This Row],[FORM_MATCH_HELPER]],8),"")</f>
        <v>36</v>
      </c>
      <c r="AH1162" s="39" cm="1">
        <f t="array" ref="AH1162">IFERROR(INDEX(DaybyDay[],DaybyDay[[#This Row],[FORM_MATCH_HELPER]],10),"")</f>
        <v>5807.8000000000011</v>
      </c>
      <c r="AI1162" s="39" cm="1">
        <f t="array" ref="AI1162">IFERROR(INDEX(DaybyDay[],DaybyDay[[#This Row],[FORM_MATCH_HELPER]],12),"")</f>
        <v>5842.9</v>
      </c>
      <c r="AJ1162" s="32">
        <f>IFERROR(DaybyDay[[#This Row],[Serv-LY-RU]]+DaybyDay[[#This Row],[Ret-LY-RU]],"")</f>
        <v>368395.52999999997</v>
      </c>
      <c r="AK11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409088.89999999991</v>
      </c>
      <c r="AL1162" s="77">
        <v>29.44</v>
      </c>
      <c r="AM1162" s="40">
        <f>IF(DaybyDay[[#This Row],[Admin Hours]]&gt;0,DaybyDay[[#This Row],[Admin Hours]]*$AM$2+$AM$3,"")</f>
        <v>989.92000000000007</v>
      </c>
      <c r="AN1162" s="40">
        <f>SUMIFS(DaybyDay[Est-Admin-Payroll],DaybyDay[Date],"&gt;="&amp;$C$5,DaybyDay[RowYear],"&gt;="&amp;$C$4,DaybyDay[Date],"&lt;="&amp;DaybyDay[[#This Row],[Date]])</f>
        <v>989.92000000000007</v>
      </c>
      <c r="AO1162" s="41">
        <f>IF(AND(DaybyDay[[#This Row],[_Space]],ISNUMBER(DaybyDay[[#This Row],[Admin Hours]])),DaybyDay[[#This Row],[Est-Admin-Payroll]]/(DaybyDay[[#This Row],[Service-Actuals]]+DaybyDay[[#This Row],[Retail-Actuals]]),"")</f>
        <v>0.10166789910442857</v>
      </c>
      <c r="AP1162" s="41">
        <f>DaybyDay[[#This Row],[Estimated-Payroll-Rollup]]/DaybyDay[[#This Row],[Simple-Forecast]]</f>
        <v>2.4198163284313025E-3</v>
      </c>
      <c r="AQ11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76504.050000000017</v>
      </c>
      <c r="AR1162" s="77">
        <v>7.82</v>
      </c>
      <c r="AS1162" s="40">
        <f>IF(DaybyDay[[#This Row],[Retail Hours]]&gt;0,DaybyDay[[#This Row],[Retail Hours]]*$AS$2,"")</f>
        <v>234.60000000000002</v>
      </c>
      <c r="AT1162" s="40">
        <f>SUMIFS(DaybyDay[Est-Retail-Payroll],DaybyDay[Date],"&gt;="&amp;$C$5,DaybyDay[RowYear],"&gt;="&amp;$C$4,DaybyDay[Date],"&lt;="&amp;DaybyDay[[#This Row],[Date]])</f>
        <v>234.60000000000002</v>
      </c>
      <c r="AU1162" s="82">
        <f>IF(AND(DaybyDay[[#This Row],[_Space]],ISNUMBER(DaybyDay[[#This Row],[Retail Hours]])),DaybyDay[[#This Row],[Est-Retail-Payroll]]/(DaybyDay[[#This Row],[Retail-Actuals]]),"")</f>
        <v>0.22557692307692309</v>
      </c>
      <c r="AV1162" s="82">
        <f>DaybyDay[[#This Row],[Est-Retail-PayrollRU]]/DaybyDay[[#This Row],[Simple-Forecast-Retail]]</f>
        <v>3.0665043223201903E-3</v>
      </c>
      <c r="AW1162" s="8"/>
      <c r="AX1162" s="15"/>
      <c r="AY1162" s="8"/>
    </row>
    <row r="1163" spans="3:51" hidden="1" x14ac:dyDescent="0.25">
      <c r="C1163" s="26" t="str">
        <f>Tools!$C$1</f>
        <v>Example</v>
      </c>
      <c r="D1163" s="27" t="s">
        <v>70</v>
      </c>
      <c r="E1163" s="28">
        <v>2020</v>
      </c>
      <c r="F1163" s="28">
        <f>MATCH(DaybyDay[[#This Row],[RowMonth]],Table3[SummaryMonth],0)</f>
        <v>3</v>
      </c>
      <c r="G1163" s="29">
        <f>MATCH(DaybyDay[[#This Row],[LY-Date]],DaybyDay[Date],0)</f>
        <v>793</v>
      </c>
      <c r="H1163" s="30">
        <f>WEEKDAY(DaybyDay[[#This Row],[Date]])</f>
        <v>2</v>
      </c>
      <c r="I1163" s="31">
        <v>43892</v>
      </c>
      <c r="J1163" s="74">
        <v>12</v>
      </c>
      <c r="K1163" s="32">
        <f>SUMIFS(BudgetSeasonality[365 Seasonality],BudgetSeasonality[MonthAdjustment],DaybyDay[[#This Row],[Date]])*SUMIFS(Budgets[Service-Budget],Budgets[BudgetMonth],DaybyDay[[#This Row],[RowMonth]],Budgets[BudgetYear],DaybyDay[[#This Row],[RowYear]])</f>
        <v>3266.3280130723247</v>
      </c>
      <c r="L1163" s="75">
        <v>3407</v>
      </c>
      <c r="M1163" s="32">
        <f>INDEX(BudgetSeasonality[365 Seasonality],MATCH(DaybyDay[[#This Row],[Date]],BudgetSeasonality[MonthAdjustment],0))*SUMIFS(Budgets[Retail-Budget],Budgets[BudgetMonth],DaybyDay[[#This Row],[RowMonth]],Budgets[BudgetYear],DaybyDay[[#This Row],[RowYear]])</f>
        <v>794.30906509820181</v>
      </c>
      <c r="N1163" s="75">
        <v>568.85</v>
      </c>
      <c r="O1163" s="33">
        <f>SUMIFS(DaybyDay[Service-Budgets],DaybyDay[Date],"&gt;="&amp;$C$5,DaybyDay[RowYear],"&gt;="&amp;$C$4,DaybyDay[Date],"&lt;="&amp;DaybyDay[[#This Row],[Date]])</f>
        <v>327002.79688133852</v>
      </c>
      <c r="P1163" s="33">
        <f>SUMIFS(DaybyDay[Retail-Budgets],DaybyDay[Date],"&gt;="&amp;$C$5,DaybyDay[RowYear],"&gt;="&amp;$C$4,DaybyDay[Date],"&lt;="&amp;DaybyDay[[#This Row],[Date]])</f>
        <v>79095.653455422522</v>
      </c>
      <c r="Q1163" s="34">
        <f>SUMIFS(DaybyDay[Service-Actuals],DaybyDay[Date],"&gt;="&amp;$C$5,DaybyDay[RowYear],"&gt;="&amp;$C$4,DaybyDay[Date],"&lt;="&amp;DaybyDay[[#This Row],[Date]])</f>
        <v>335991.84999999992</v>
      </c>
      <c r="R1163" s="34">
        <f>SUMIFS(DaybyDay[Retail-Actuals],DaybyDay[Date],"&gt;="&amp;$C$5,DaybyDay[RowYear],"&gt;="&amp;$C$4,DaybyDay[Date],"&lt;="&amp;DaybyDay[[#This Row],[Date]])</f>
        <v>77072.900000000023</v>
      </c>
      <c r="S1163" s="35">
        <f>SUMIFS(DaybyDay[Service-LY],DaybyDay[Date],"&gt;="&amp;$C$5,DaybyDay[RowYear],"&gt;="&amp;$C$4,DaybyDay[Date],"&lt;="&amp;DaybyDay[[#This Row],[Date]])</f>
        <v>303153.78999999998</v>
      </c>
      <c r="T1163" s="35">
        <f>SUMIFS(DaybyDay[Retail-LY],DaybyDay[Date],"&gt;="&amp;$C$5,DaybyDay[RowYear],"&gt;="&amp;$C$4,DaybyDay[Date],"&lt;="&amp;DaybyDay[[#This Row],[Date]])</f>
        <v>70280.759999999995</v>
      </c>
      <c r="U1163" s="32">
        <f>DaybyDay[[#This Row],[Serv-Bud-RU]]+DaybyDay[[#This Row],[Ret-Bud-RU]]</f>
        <v>406098.45033676107</v>
      </c>
      <c r="V1163" s="32">
        <f>DaybyDay[[#This Row],[Serv-Act-RU]]+DaybyDay[[#This Row],[Ret-Act-RU]]</f>
        <v>413064.74999999994</v>
      </c>
      <c r="W1163" s="36">
        <f>IF(DaybyDay[[#This Row],[_Space]],IFERROR(
((DaybyDay[[#This Row],[Actual-Rollup]]-DaybyDay[[#This Row],[Budget-Rollup]])/DaybyDay[[#This Row],[Budget-Rollup]]),0),"")</f>
        <v>1.7154213854945755E-2</v>
      </c>
      <c r="X1163" t="b">
        <f>NOT(AND(ISBLANK(DaybyDay[[#This Row],[Appts]]),ISBLANK(DaybyDay[[#This Row],[Service-Actuals]]),ISBLANK(DaybyDay[[#This Row],[Retail-Actuals]])))</f>
        <v>1</v>
      </c>
      <c r="Y1163" s="36">
        <f>IF(DaybyDay[[#This Row],[_Space]],IFERROR(
((DaybyDay[[#This Row],[Actual-Rollup]]-DaybyDay[[#This Row],[LY-Rollup]])/DaybyDay[[#This Row],[LY-Rollup]]),0),"")</f>
        <v>0.10612354962870992</v>
      </c>
      <c r="Z1163"/>
      <c r="AA1163" s="37">
        <f>IF(DaybyDay[[#This Row],[_Space]],DaybyDay[[#This Row],[Ret-Act-RU]]/DaybyDay[[#This Row],[Serv-Act-RU]],"")</f>
        <v>0.22938919500577185</v>
      </c>
      <c r="AB1163" s="50">
        <f>IF(DaybyDay[[#This Row],[_Space]],DaybyDay[[#This Row],[RETPEN-Act]]/DaybyDay[[#This Row],[RETPEN-Bud]],"")</f>
        <v>0.94835689528150269</v>
      </c>
      <c r="AC1163" s="37">
        <f>IF(DaybyDay[[#This Row],[_Space]],DaybyDay[[#This Row],[Ret-Bud-RU]]/DaybyDay[[#This Row],[Serv-Bud-RU]],"")</f>
        <v>0.24188066343702999</v>
      </c>
      <c r="AD1163" s="37">
        <f>IF(DaybyDay[[#This Row],[_Space]],DaybyDay[[#This Row],[Ret-LY-RU]]/DaybyDay[[#This Row],[Serv-LY-RU]],"")</f>
        <v>0.23183203482298539</v>
      </c>
      <c r="AE1163" s="30">
        <f>WEEKDAY(DaybyDay[[#This Row],[LY-Date]])</f>
        <v>2</v>
      </c>
      <c r="AF1163" s="38">
        <f>$E$2+_xlfn.DAYS(DaybyDay[[#This Row],[Date]],minDate)</f>
        <v>43528</v>
      </c>
      <c r="AG1163" s="39" cm="1">
        <f t="array" ref="AG1163">IFERROR(INDEX(DaybyDay[],DaybyDay[[#This Row],[FORM_MATCH_HELPER]],8),"")</f>
        <v>21</v>
      </c>
      <c r="AH1163" s="39" cm="1">
        <f t="array" ref="AH1163">IFERROR(INDEX(DaybyDay[],DaybyDay[[#This Row],[FORM_MATCH_HELPER]],10),"")</f>
        <v>4145.0200000000004</v>
      </c>
      <c r="AI1163" s="39" cm="1">
        <f t="array" ref="AI1163">IFERROR(INDEX(DaybyDay[],DaybyDay[[#This Row],[FORM_MATCH_HELPER]],12),"")</f>
        <v>894</v>
      </c>
      <c r="AJ1163" s="32">
        <f>IFERROR(DaybyDay[[#This Row],[Serv-LY-RU]]+DaybyDay[[#This Row],[Ret-LY-RU]],"")</f>
        <v>373434.55</v>
      </c>
      <c r="AK11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413064.74999999994</v>
      </c>
      <c r="AL1163" s="77">
        <v>19.77</v>
      </c>
      <c r="AM1163" s="40">
        <f>IF(DaybyDay[[#This Row],[Admin Hours]]&gt;0,DaybyDay[[#This Row],[Admin Hours]]*$AM$2+$AM$3,"")</f>
        <v>815.86</v>
      </c>
      <c r="AN1163" s="40">
        <f>SUMIFS(DaybyDay[Est-Admin-Payroll],DaybyDay[Date],"&gt;="&amp;$C$5,DaybyDay[RowYear],"&gt;="&amp;$C$4,DaybyDay[Date],"&lt;="&amp;DaybyDay[[#This Row],[Date]])</f>
        <v>1805.7800000000002</v>
      </c>
      <c r="AO1163" s="41">
        <f>IF(AND(DaybyDay[[#This Row],[_Space]],ISNUMBER(DaybyDay[[#This Row],[Admin Hours]])),DaybyDay[[#This Row],[Est-Admin-Payroll]]/(DaybyDay[[#This Row],[Service-Actuals]]+DaybyDay[[#This Row],[Retail-Actuals]]),"")</f>
        <v>0.20520391865890314</v>
      </c>
      <c r="AP1163" s="41">
        <f>DaybyDay[[#This Row],[Estimated-Payroll-Rollup]]/DaybyDay[[#This Row],[Simple-Forecast]]</f>
        <v>4.3716632803936922E-3</v>
      </c>
      <c r="AQ11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77072.900000000023</v>
      </c>
      <c r="AR1163" s="77">
        <v>4.53</v>
      </c>
      <c r="AS1163" s="40">
        <f>IF(DaybyDay[[#This Row],[Retail Hours]]&gt;0,DaybyDay[[#This Row],[Retail Hours]]*$AS$2,"")</f>
        <v>135.9</v>
      </c>
      <c r="AT1163" s="40">
        <f>SUMIFS(DaybyDay[Est-Retail-Payroll],DaybyDay[Date],"&gt;="&amp;$C$5,DaybyDay[RowYear],"&gt;="&amp;$C$4,DaybyDay[Date],"&lt;="&amp;DaybyDay[[#This Row],[Date]])</f>
        <v>370.5</v>
      </c>
      <c r="AU1163" s="82">
        <f>IF(AND(DaybyDay[[#This Row],[_Space]],ISNUMBER(DaybyDay[[#This Row],[Retail Hours]])),DaybyDay[[#This Row],[Est-Retail-Payroll]]/(DaybyDay[[#This Row],[Retail-Actuals]]),"")</f>
        <v>0.23890305001318449</v>
      </c>
      <c r="AV1163" s="82">
        <f>DaybyDay[[#This Row],[Est-Retail-PayrollRU]]/DaybyDay[[#This Row],[Simple-Forecast-Retail]]</f>
        <v>4.8071371389943789E-3</v>
      </c>
      <c r="AW1163" s="8"/>
      <c r="AX1163" s="15"/>
      <c r="AY1163" s="8"/>
    </row>
    <row r="1164" spans="3:51" hidden="1" x14ac:dyDescent="0.25">
      <c r="C1164" s="26" t="str">
        <f>Tools!$C$1</f>
        <v>Example</v>
      </c>
      <c r="D1164" s="27" t="s">
        <v>70</v>
      </c>
      <c r="E1164" s="28">
        <v>2020</v>
      </c>
      <c r="F1164" s="28">
        <f>MATCH(DaybyDay[[#This Row],[RowMonth]],Table3[SummaryMonth],0)</f>
        <v>3</v>
      </c>
      <c r="G1164" s="29">
        <f>MATCH(DaybyDay[[#This Row],[LY-Date]],DaybyDay[Date],0)</f>
        <v>794</v>
      </c>
      <c r="H1164" s="30">
        <f>WEEKDAY(DaybyDay[[#This Row],[Date]])</f>
        <v>3</v>
      </c>
      <c r="I1164" s="31">
        <v>43893</v>
      </c>
      <c r="J1164" s="74">
        <v>13</v>
      </c>
      <c r="K1164" s="32">
        <f>SUMIFS(BudgetSeasonality[365 Seasonality],BudgetSeasonality[MonthAdjustment],DaybyDay[[#This Row],[Date]])*SUMIFS(Budgets[Service-Budget],Budgets[BudgetMonth],DaybyDay[[#This Row],[RowMonth]],Budgets[BudgetYear],DaybyDay[[#This Row],[RowYear]])</f>
        <v>3360.1201440835544</v>
      </c>
      <c r="L1164" s="75">
        <v>2688.25</v>
      </c>
      <c r="M1164" s="32">
        <f>INDEX(BudgetSeasonality[365 Seasonality],MATCH(DaybyDay[[#This Row],[Date]],BudgetSeasonality[MonthAdjustment],0))*SUMIFS(Budgets[Retail-Budget],Budgets[BudgetMonth],DaybyDay[[#This Row],[RowMonth]],Budgets[BudgetYear],DaybyDay[[#This Row],[RowYear]])</f>
        <v>817.11753369013093</v>
      </c>
      <c r="N1164" s="75">
        <v>986.75</v>
      </c>
      <c r="O1164" s="33">
        <f>SUMIFS(DaybyDay[Service-Budgets],DaybyDay[Date],"&gt;="&amp;$C$5,DaybyDay[RowYear],"&gt;="&amp;$C$4,DaybyDay[Date],"&lt;="&amp;DaybyDay[[#This Row],[Date]])</f>
        <v>330362.9170254221</v>
      </c>
      <c r="P1164" s="33">
        <f>SUMIFS(DaybyDay[Retail-Budgets],DaybyDay[Date],"&gt;="&amp;$C$5,DaybyDay[RowYear],"&gt;="&amp;$C$4,DaybyDay[Date],"&lt;="&amp;DaybyDay[[#This Row],[Date]])</f>
        <v>79912.770989112658</v>
      </c>
      <c r="Q1164" s="34">
        <f>SUMIFS(DaybyDay[Service-Actuals],DaybyDay[Date],"&gt;="&amp;$C$5,DaybyDay[RowYear],"&gt;="&amp;$C$4,DaybyDay[Date],"&lt;="&amp;DaybyDay[[#This Row],[Date]])</f>
        <v>338680.09999999992</v>
      </c>
      <c r="R1164" s="34">
        <f>SUMIFS(DaybyDay[Retail-Actuals],DaybyDay[Date],"&gt;="&amp;$C$5,DaybyDay[RowYear],"&gt;="&amp;$C$4,DaybyDay[Date],"&lt;="&amp;DaybyDay[[#This Row],[Date]])</f>
        <v>78059.650000000023</v>
      </c>
      <c r="S1164" s="35">
        <f>SUMIFS(DaybyDay[Service-LY],DaybyDay[Date],"&gt;="&amp;$C$5,DaybyDay[RowYear],"&gt;="&amp;$C$4,DaybyDay[Date],"&lt;="&amp;DaybyDay[[#This Row],[Date]])</f>
        <v>304967.28999999998</v>
      </c>
      <c r="T1164" s="35">
        <f>SUMIFS(DaybyDay[Retail-LY],DaybyDay[Date],"&gt;="&amp;$C$5,DaybyDay[RowYear],"&gt;="&amp;$C$4,DaybyDay[Date],"&lt;="&amp;DaybyDay[[#This Row],[Date]])</f>
        <v>70310.259999999995</v>
      </c>
      <c r="U1164" s="32">
        <f>DaybyDay[[#This Row],[Serv-Bud-RU]]+DaybyDay[[#This Row],[Ret-Bud-RU]]</f>
        <v>410275.68801453477</v>
      </c>
      <c r="V1164" s="32">
        <f>DaybyDay[[#This Row],[Serv-Act-RU]]+DaybyDay[[#This Row],[Ret-Act-RU]]</f>
        <v>416739.74999999994</v>
      </c>
      <c r="W1164" s="36">
        <f>IF(DaybyDay[[#This Row],[_Space]],IFERROR(
((DaybyDay[[#This Row],[Actual-Rollup]]-DaybyDay[[#This Row],[Budget-Rollup]])/DaybyDay[[#This Row],[Budget-Rollup]]),0),"")</f>
        <v>1.5755410750139729E-2</v>
      </c>
      <c r="X1164" t="b">
        <f>NOT(AND(ISBLANK(DaybyDay[[#This Row],[Appts]]),ISBLANK(DaybyDay[[#This Row],[Service-Actuals]]),ISBLANK(DaybyDay[[#This Row],[Retail-Actuals]])))</f>
        <v>1</v>
      </c>
      <c r="Y1164" s="36">
        <f>IF(DaybyDay[[#This Row],[_Space]],IFERROR(
((DaybyDay[[#This Row],[Actual-Rollup]]-DaybyDay[[#This Row],[LY-Rollup]])/DaybyDay[[#This Row],[LY-Rollup]]),0),"")</f>
        <v>0.11048409370611154</v>
      </c>
      <c r="Z1164"/>
      <c r="AA1164" s="37">
        <f>IF(DaybyDay[[#This Row],[_Space]],DaybyDay[[#This Row],[Ret-Act-RU]]/DaybyDay[[#This Row],[Serv-Act-RU]],"")</f>
        <v>0.23048195037145686</v>
      </c>
      <c r="AB1164" s="50">
        <f>IF(DaybyDay[[#This Row],[_Space]],DaybyDay[[#This Row],[RETPEN-Act]]/DaybyDay[[#This Row],[RETPEN-Bud]],"")</f>
        <v>0.95282254017692314</v>
      </c>
      <c r="AC1164" s="37">
        <f>IF(DaybyDay[[#This Row],[_Space]],DaybyDay[[#This Row],[Ret-Bud-RU]]/DaybyDay[[#This Row],[Serv-Bud-RU]],"")</f>
        <v>0.24189388963096972</v>
      </c>
      <c r="AD1164" s="37">
        <f>IF(DaybyDay[[#This Row],[_Space]],DaybyDay[[#This Row],[Ret-LY-RU]]/DaybyDay[[#This Row],[Serv-LY-RU]],"")</f>
        <v>0.23055016818361077</v>
      </c>
      <c r="AE1164" s="30">
        <f>WEEKDAY(DaybyDay[[#This Row],[LY-Date]])</f>
        <v>3</v>
      </c>
      <c r="AF1164" s="38">
        <f>$E$2+_xlfn.DAYS(DaybyDay[[#This Row],[Date]],minDate)</f>
        <v>43529</v>
      </c>
      <c r="AG1164" s="39" cm="1">
        <f t="array" ref="AG1164">IFERROR(INDEX(DaybyDay[],DaybyDay[[#This Row],[FORM_MATCH_HELPER]],8),"")</f>
        <v>11</v>
      </c>
      <c r="AH1164" s="39" cm="1">
        <f t="array" ref="AH1164">IFERROR(INDEX(DaybyDay[],DaybyDay[[#This Row],[FORM_MATCH_HELPER]],10),"")</f>
        <v>1813.5</v>
      </c>
      <c r="AI1164" s="39" cm="1">
        <f t="array" ref="AI1164">IFERROR(INDEX(DaybyDay[],DaybyDay[[#This Row],[FORM_MATCH_HELPER]],12),"")</f>
        <v>29.5</v>
      </c>
      <c r="AJ1164" s="32">
        <f>IFERROR(DaybyDay[[#This Row],[Serv-LY-RU]]+DaybyDay[[#This Row],[Ret-LY-RU]],"")</f>
        <v>375277.55</v>
      </c>
      <c r="AK11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416739.74999999994</v>
      </c>
      <c r="AL1164" s="77">
        <v>20.68</v>
      </c>
      <c r="AM1164" s="40">
        <f>IF(DaybyDay[[#This Row],[Admin Hours]]&gt;0,DaybyDay[[#This Row],[Admin Hours]]*$AM$2+$AM$3,"")</f>
        <v>832.24</v>
      </c>
      <c r="AN1164" s="40">
        <f>SUMIFS(DaybyDay[Est-Admin-Payroll],DaybyDay[Date],"&gt;="&amp;$C$5,DaybyDay[RowYear],"&gt;="&amp;$C$4,DaybyDay[Date],"&lt;="&amp;DaybyDay[[#This Row],[Date]])</f>
        <v>2638.0200000000004</v>
      </c>
      <c r="AO1164" s="41">
        <f>IF(AND(DaybyDay[[#This Row],[_Space]],ISNUMBER(DaybyDay[[#This Row],[Admin Hours]])),DaybyDay[[#This Row],[Est-Admin-Payroll]]/(DaybyDay[[#This Row],[Service-Actuals]]+DaybyDay[[#This Row],[Retail-Actuals]]),"")</f>
        <v>0.22645986394557824</v>
      </c>
      <c r="AP1164" s="41">
        <f>DaybyDay[[#This Row],[Estimated-Payroll-Rollup]]/DaybyDay[[#This Row],[Simple-Forecast]]</f>
        <v>6.3301376938485008E-3</v>
      </c>
      <c r="AQ11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78059.650000000023</v>
      </c>
      <c r="AR1164" s="77">
        <v>9.9499999999999993</v>
      </c>
      <c r="AS1164" s="40">
        <f>IF(DaybyDay[[#This Row],[Retail Hours]]&gt;0,DaybyDay[[#This Row],[Retail Hours]]*$AS$2,"")</f>
        <v>298.5</v>
      </c>
      <c r="AT1164" s="40">
        <f>SUMIFS(DaybyDay[Est-Retail-Payroll],DaybyDay[Date],"&gt;="&amp;$C$5,DaybyDay[RowYear],"&gt;="&amp;$C$4,DaybyDay[Date],"&lt;="&amp;DaybyDay[[#This Row],[Date]])</f>
        <v>669</v>
      </c>
      <c r="AU1164" s="82">
        <f>IF(AND(DaybyDay[[#This Row],[_Space]],ISNUMBER(DaybyDay[[#This Row],[Retail Hours]])),DaybyDay[[#This Row],[Est-Retail-Payroll]]/(DaybyDay[[#This Row],[Retail-Actuals]]),"")</f>
        <v>0.30250823410184952</v>
      </c>
      <c r="AV1164" s="82">
        <f>DaybyDay[[#This Row],[Est-Retail-PayrollRU]]/DaybyDay[[#This Row],[Simple-Forecast-Retail]]</f>
        <v>8.5703689422127801E-3</v>
      </c>
      <c r="AW1164" s="8"/>
      <c r="AX1164" s="15"/>
      <c r="AY1164" s="8"/>
    </row>
    <row r="1165" spans="3:51" hidden="1" x14ac:dyDescent="0.25">
      <c r="C1165" s="26" t="str">
        <f>Tools!$C$1</f>
        <v>Example</v>
      </c>
      <c r="D1165" s="27" t="s">
        <v>70</v>
      </c>
      <c r="E1165" s="28">
        <v>2020</v>
      </c>
      <c r="F1165" s="28">
        <f>MATCH(DaybyDay[[#This Row],[RowMonth]],Table3[SummaryMonth],0)</f>
        <v>3</v>
      </c>
      <c r="G1165" s="29">
        <f>MATCH(DaybyDay[[#This Row],[LY-Date]],DaybyDay[Date],0)</f>
        <v>795</v>
      </c>
      <c r="H1165" s="30">
        <f>WEEKDAY(DaybyDay[[#This Row],[Date]])</f>
        <v>4</v>
      </c>
      <c r="I1165" s="31">
        <v>43894</v>
      </c>
      <c r="J1165" s="74">
        <v>14</v>
      </c>
      <c r="K1165" s="32">
        <f>SUMIFS(BudgetSeasonality[365 Seasonality],BudgetSeasonality[MonthAdjustment],DaybyDay[[#This Row],[Date]])*SUMIFS(Budgets[Service-Budget],Budgets[BudgetMonth],DaybyDay[[#This Row],[RowMonth]],Budgets[BudgetYear],DaybyDay[[#This Row],[RowYear]])</f>
        <v>3903.9454539651674</v>
      </c>
      <c r="L1165" s="75">
        <v>3361.75</v>
      </c>
      <c r="M1165" s="32">
        <f>INDEX(BudgetSeasonality[365 Seasonality],MATCH(DaybyDay[[#This Row],[Date]],BudgetSeasonality[MonthAdjustment],0))*SUMIFS(Budgets[Retail-Budget],Budgets[BudgetMonth],DaybyDay[[#This Row],[RowMonth]],Budgets[BudgetYear],DaybyDay[[#This Row],[RowYear]])</f>
        <v>949.36554177138146</v>
      </c>
      <c r="N1165" s="75">
        <v>787</v>
      </c>
      <c r="O1165" s="33">
        <f>SUMIFS(DaybyDay[Service-Budgets],DaybyDay[Date],"&gt;="&amp;$C$5,DaybyDay[RowYear],"&gt;="&amp;$C$4,DaybyDay[Date],"&lt;="&amp;DaybyDay[[#This Row],[Date]])</f>
        <v>334266.86247938726</v>
      </c>
      <c r="P1165" s="33">
        <f>SUMIFS(DaybyDay[Retail-Budgets],DaybyDay[Date],"&gt;="&amp;$C$5,DaybyDay[RowYear],"&gt;="&amp;$C$4,DaybyDay[Date],"&lt;="&amp;DaybyDay[[#This Row],[Date]])</f>
        <v>80862.136530884032</v>
      </c>
      <c r="Q1165" s="34">
        <f>SUMIFS(DaybyDay[Service-Actuals],DaybyDay[Date],"&gt;="&amp;$C$5,DaybyDay[RowYear],"&gt;="&amp;$C$4,DaybyDay[Date],"&lt;="&amp;DaybyDay[[#This Row],[Date]])</f>
        <v>342041.84999999992</v>
      </c>
      <c r="R1165" s="34">
        <f>SUMIFS(DaybyDay[Retail-Actuals],DaybyDay[Date],"&gt;="&amp;$C$5,DaybyDay[RowYear],"&gt;="&amp;$C$4,DaybyDay[Date],"&lt;="&amp;DaybyDay[[#This Row],[Date]])</f>
        <v>78846.650000000023</v>
      </c>
      <c r="S1165" s="35">
        <f>SUMIFS(DaybyDay[Service-LY],DaybyDay[Date],"&gt;="&amp;$C$5,DaybyDay[RowYear],"&gt;="&amp;$C$4,DaybyDay[Date],"&lt;="&amp;DaybyDay[[#This Row],[Date]])</f>
        <v>309126.53999999998</v>
      </c>
      <c r="T1165" s="35">
        <f>SUMIFS(DaybyDay[Retail-LY],DaybyDay[Date],"&gt;="&amp;$C$5,DaybyDay[RowYear],"&gt;="&amp;$C$4,DaybyDay[Date],"&lt;="&amp;DaybyDay[[#This Row],[Date]])</f>
        <v>71545.759999999995</v>
      </c>
      <c r="U1165" s="32">
        <f>DaybyDay[[#This Row],[Serv-Bud-RU]]+DaybyDay[[#This Row],[Ret-Bud-RU]]</f>
        <v>415128.99901027128</v>
      </c>
      <c r="V1165" s="32">
        <f>DaybyDay[[#This Row],[Serv-Act-RU]]+DaybyDay[[#This Row],[Ret-Act-RU]]</f>
        <v>420888.49999999994</v>
      </c>
      <c r="W1165" s="36">
        <f>IF(DaybyDay[[#This Row],[_Space]],IFERROR(
((DaybyDay[[#This Row],[Actual-Rollup]]-DaybyDay[[#This Row],[Budget-Rollup]])/DaybyDay[[#This Row],[Budget-Rollup]]),0),"")</f>
        <v>1.3874003029082923E-2</v>
      </c>
      <c r="X1165" t="b">
        <f>NOT(AND(ISBLANK(DaybyDay[[#This Row],[Appts]]),ISBLANK(DaybyDay[[#This Row],[Service-Actuals]]),ISBLANK(DaybyDay[[#This Row],[Retail-Actuals]])))</f>
        <v>1</v>
      </c>
      <c r="Y1165" s="36">
        <f>IF(DaybyDay[[#This Row],[_Space]],IFERROR(
((DaybyDay[[#This Row],[Actual-Rollup]]-DaybyDay[[#This Row],[LY-Rollup]])/DaybyDay[[#This Row],[LY-Rollup]]),0),"")</f>
        <v>0.10564519666915601</v>
      </c>
      <c r="Z1165"/>
      <c r="AA1165" s="37">
        <f>IF(DaybyDay[[#This Row],[_Space]],DaybyDay[[#This Row],[Ret-Act-RU]]/DaybyDay[[#This Row],[Serv-Act-RU]],"")</f>
        <v>0.23051755216503489</v>
      </c>
      <c r="AB1165" s="50">
        <f>IF(DaybyDay[[#This Row],[_Space]],DaybyDay[[#This Row],[RETPEN-Act]]/DaybyDay[[#This Row],[RETPEN-Bud]],"")</f>
        <v>0.95291049945489603</v>
      </c>
      <c r="AC1165" s="37">
        <f>IF(DaybyDay[[#This Row],[_Space]],DaybyDay[[#This Row],[Ret-Bud-RU]]/DaybyDay[[#This Row],[Serv-Bud-RU]],"")</f>
        <v>0.24190892250311063</v>
      </c>
      <c r="AD1165" s="37">
        <f>IF(DaybyDay[[#This Row],[_Space]],DaybyDay[[#This Row],[Ret-LY-RU]]/DaybyDay[[#This Row],[Serv-LY-RU]],"")</f>
        <v>0.23144489631980483</v>
      </c>
      <c r="AE1165" s="30">
        <f>WEEKDAY(DaybyDay[[#This Row],[LY-Date]])</f>
        <v>4</v>
      </c>
      <c r="AF1165" s="38">
        <f>$E$2+_xlfn.DAYS(DaybyDay[[#This Row],[Date]],minDate)</f>
        <v>43530</v>
      </c>
      <c r="AG1165" s="39" cm="1">
        <f t="array" ref="AG1165">IFERROR(INDEX(DaybyDay[],DaybyDay[[#This Row],[FORM_MATCH_HELPER]],8),"")</f>
        <v>21</v>
      </c>
      <c r="AH1165" s="39" cm="1">
        <f t="array" ref="AH1165">IFERROR(INDEX(DaybyDay[],DaybyDay[[#This Row],[FORM_MATCH_HELPER]],10),"")</f>
        <v>4159.25</v>
      </c>
      <c r="AI1165" s="39" cm="1">
        <f t="array" ref="AI1165">IFERROR(INDEX(DaybyDay[],DaybyDay[[#This Row],[FORM_MATCH_HELPER]],12),"")</f>
        <v>1235.5</v>
      </c>
      <c r="AJ1165" s="32">
        <f>IFERROR(DaybyDay[[#This Row],[Serv-LY-RU]]+DaybyDay[[#This Row],[Ret-LY-RU]],"")</f>
        <v>380672.3</v>
      </c>
      <c r="AK11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420888.49999999994</v>
      </c>
      <c r="AL1165" s="77">
        <v>19.61</v>
      </c>
      <c r="AM1165" s="40">
        <f>IF(DaybyDay[[#This Row],[Admin Hours]]&gt;0,DaybyDay[[#This Row],[Admin Hours]]*$AM$2+$AM$3,"")</f>
        <v>812.98</v>
      </c>
      <c r="AN1165" s="40">
        <f>SUMIFS(DaybyDay[Est-Admin-Payroll],DaybyDay[Date],"&gt;="&amp;$C$5,DaybyDay[RowYear],"&gt;="&amp;$C$4,DaybyDay[Date],"&lt;="&amp;DaybyDay[[#This Row],[Date]])</f>
        <v>3451.0000000000005</v>
      </c>
      <c r="AO1165" s="41">
        <f>IF(AND(DaybyDay[[#This Row],[_Space]],ISNUMBER(DaybyDay[[#This Row],[Admin Hours]])),DaybyDay[[#This Row],[Est-Admin-Payroll]]/(DaybyDay[[#This Row],[Service-Actuals]]+DaybyDay[[#This Row],[Retail-Actuals]]),"")</f>
        <v>0.19595781862006628</v>
      </c>
      <c r="AP1165" s="41">
        <f>DaybyDay[[#This Row],[Estimated-Payroll-Rollup]]/DaybyDay[[#This Row],[Simple-Forecast]]</f>
        <v>8.1993211978944568E-3</v>
      </c>
      <c r="AQ11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78846.650000000023</v>
      </c>
      <c r="AR1165" s="77">
        <v>5.72</v>
      </c>
      <c r="AS1165" s="40">
        <f>IF(DaybyDay[[#This Row],[Retail Hours]]&gt;0,DaybyDay[[#This Row],[Retail Hours]]*$AS$2,"")</f>
        <v>171.6</v>
      </c>
      <c r="AT1165" s="40">
        <f>SUMIFS(DaybyDay[Est-Retail-Payroll],DaybyDay[Date],"&gt;="&amp;$C$5,DaybyDay[RowYear],"&gt;="&amp;$C$4,DaybyDay[Date],"&lt;="&amp;DaybyDay[[#This Row],[Date]])</f>
        <v>840.6</v>
      </c>
      <c r="AU1165" s="82">
        <f>IF(AND(DaybyDay[[#This Row],[_Space]],ISNUMBER(DaybyDay[[#This Row],[Retail Hours]])),DaybyDay[[#This Row],[Est-Retail-Payroll]]/(DaybyDay[[#This Row],[Retail-Actuals]]),"")</f>
        <v>0.21804320203303684</v>
      </c>
      <c r="AV1165" s="82">
        <f>DaybyDay[[#This Row],[Est-Retail-PayrollRU]]/DaybyDay[[#This Row],[Simple-Forecast-Retail]]</f>
        <v>1.0661201205124121E-2</v>
      </c>
      <c r="AW1165" s="8"/>
      <c r="AX1165" s="15"/>
      <c r="AY1165" s="8"/>
    </row>
    <row r="1166" spans="3:51" hidden="1" x14ac:dyDescent="0.25">
      <c r="C1166" s="26" t="str">
        <f>Tools!$C$1</f>
        <v>Example</v>
      </c>
      <c r="D1166" s="27" t="s">
        <v>70</v>
      </c>
      <c r="E1166" s="28">
        <v>2020</v>
      </c>
      <c r="F1166" s="28">
        <f>MATCH(DaybyDay[[#This Row],[RowMonth]],Table3[SummaryMonth],0)</f>
        <v>3</v>
      </c>
      <c r="G1166" s="29">
        <f>MATCH(DaybyDay[[#This Row],[LY-Date]],DaybyDay[Date],0)</f>
        <v>796</v>
      </c>
      <c r="H1166" s="30">
        <f>WEEKDAY(DaybyDay[[#This Row],[Date]])</f>
        <v>5</v>
      </c>
      <c r="I1166" s="31">
        <v>43895</v>
      </c>
      <c r="J1166" s="74">
        <v>20</v>
      </c>
      <c r="K1166" s="32">
        <f>SUMIFS(BudgetSeasonality[365 Seasonality],BudgetSeasonality[MonthAdjustment],DaybyDay[[#This Row],[Date]])*SUMIFS(Budgets[Service-Budget],Budgets[BudgetMonth],DaybyDay[[#This Row],[RowMonth]],Budgets[BudgetYear],DaybyDay[[#This Row],[RowYear]])</f>
        <v>4015.1476456955265</v>
      </c>
      <c r="L1166" s="75">
        <f>3661.37+359.31+298</f>
        <v>4318.68</v>
      </c>
      <c r="M1166" s="32">
        <f>INDEX(BudgetSeasonality[365 Seasonality],MATCH(DaybyDay[[#This Row],[Date]],BudgetSeasonality[MonthAdjustment],0))*SUMIFS(Budgets[Retail-Budget],Budgets[BudgetMonth],DaybyDay[[#This Row],[RowMonth]],Budgets[BudgetYear],DaybyDay[[#This Row],[RowYear]])</f>
        <v>976.40780715217215</v>
      </c>
      <c r="N1166" s="75">
        <v>1096.08</v>
      </c>
      <c r="O1166" s="33">
        <f>SUMIFS(DaybyDay[Service-Budgets],DaybyDay[Date],"&gt;="&amp;$C$5,DaybyDay[RowYear],"&gt;="&amp;$C$4,DaybyDay[Date],"&lt;="&amp;DaybyDay[[#This Row],[Date]])</f>
        <v>338282.0101250828</v>
      </c>
      <c r="P1166" s="33">
        <f>SUMIFS(DaybyDay[Retail-Budgets],DaybyDay[Date],"&gt;="&amp;$C$5,DaybyDay[RowYear],"&gt;="&amp;$C$4,DaybyDay[Date],"&lt;="&amp;DaybyDay[[#This Row],[Date]])</f>
        <v>81838.544338036198</v>
      </c>
      <c r="Q1166" s="34">
        <f>SUMIFS(DaybyDay[Service-Actuals],DaybyDay[Date],"&gt;="&amp;$C$5,DaybyDay[RowYear],"&gt;="&amp;$C$4,DaybyDay[Date],"&lt;="&amp;DaybyDay[[#This Row],[Date]])</f>
        <v>346360.52999999991</v>
      </c>
      <c r="R1166" s="34">
        <f>SUMIFS(DaybyDay[Retail-Actuals],DaybyDay[Date],"&gt;="&amp;$C$5,DaybyDay[RowYear],"&gt;="&amp;$C$4,DaybyDay[Date],"&lt;="&amp;DaybyDay[[#This Row],[Date]])</f>
        <v>79942.730000000025</v>
      </c>
      <c r="S1166" s="35">
        <f>SUMIFS(DaybyDay[Service-LY],DaybyDay[Date],"&gt;="&amp;$C$5,DaybyDay[RowYear],"&gt;="&amp;$C$4,DaybyDay[Date],"&lt;="&amp;DaybyDay[[#This Row],[Date]])</f>
        <v>312086.44</v>
      </c>
      <c r="T1166" s="35">
        <f>SUMIFS(DaybyDay[Retail-LY],DaybyDay[Date],"&gt;="&amp;$C$5,DaybyDay[RowYear],"&gt;="&amp;$C$4,DaybyDay[Date],"&lt;="&amp;DaybyDay[[#This Row],[Date]])</f>
        <v>76642.78</v>
      </c>
      <c r="U1166" s="32">
        <f>DaybyDay[[#This Row],[Serv-Bud-RU]]+DaybyDay[[#This Row],[Ret-Bud-RU]]</f>
        <v>420120.55446311901</v>
      </c>
      <c r="V1166" s="32">
        <f>DaybyDay[[#This Row],[Serv-Act-RU]]+DaybyDay[[#This Row],[Ret-Act-RU]]</f>
        <v>426303.25999999995</v>
      </c>
      <c r="W1166" s="36">
        <f>IF(DaybyDay[[#This Row],[_Space]],IFERROR(
((DaybyDay[[#This Row],[Actual-Rollup]]-DaybyDay[[#This Row],[Budget-Rollup]])/DaybyDay[[#This Row],[Budget-Rollup]]),0),"")</f>
        <v>1.4716503325532235E-2</v>
      </c>
      <c r="X1166" t="b">
        <f>NOT(AND(ISBLANK(DaybyDay[[#This Row],[Appts]]),ISBLANK(DaybyDay[[#This Row],[Service-Actuals]]),ISBLANK(DaybyDay[[#This Row],[Retail-Actuals]])))</f>
        <v>1</v>
      </c>
      <c r="Y1166" s="36">
        <f>IF(DaybyDay[[#This Row],[_Space]],IFERROR(
((DaybyDay[[#This Row],[Actual-Rollup]]-DaybyDay[[#This Row],[LY-Rollup]])/DaybyDay[[#This Row],[LY-Rollup]]),0),"")</f>
        <v>9.6658645830637532E-2</v>
      </c>
      <c r="Z1166"/>
      <c r="AA1166" s="37">
        <f>IF(DaybyDay[[#This Row],[_Space]],DaybyDay[[#This Row],[Ret-Act-RU]]/DaybyDay[[#This Row],[Serv-Act-RU]],"")</f>
        <v>0.23080785215336183</v>
      </c>
      <c r="AB1166" s="50">
        <f>IF(DaybyDay[[#This Row],[_Space]],DaybyDay[[#This Row],[RETPEN-Act]]/DaybyDay[[#This Row],[RETPEN-Bud]],"")</f>
        <v>0.95405098918412323</v>
      </c>
      <c r="AC1166" s="37">
        <f>IF(DaybyDay[[#This Row],[_Space]],DaybyDay[[#This Row],[Ret-Bud-RU]]/DaybyDay[[#This Row],[Serv-Bud-RU]],"")</f>
        <v>0.24192402164033394</v>
      </c>
      <c r="AD1166" s="37">
        <f>IF(DaybyDay[[#This Row],[_Space]],DaybyDay[[#This Row],[Ret-LY-RU]]/DaybyDay[[#This Row],[Serv-LY-RU]],"")</f>
        <v>0.24558189711799078</v>
      </c>
      <c r="AE1166" s="30">
        <f>WEEKDAY(DaybyDay[[#This Row],[LY-Date]])</f>
        <v>5</v>
      </c>
      <c r="AF1166" s="38">
        <f>$E$2+_xlfn.DAYS(DaybyDay[[#This Row],[Date]],minDate)</f>
        <v>43531</v>
      </c>
      <c r="AG1166" s="39" cm="1">
        <f t="array" ref="AG1166">IFERROR(INDEX(DaybyDay[],DaybyDay[[#This Row],[FORM_MATCH_HELPER]],8),"")</f>
        <v>15</v>
      </c>
      <c r="AH1166" s="39" cm="1">
        <f t="array" ref="AH1166">IFERROR(INDEX(DaybyDay[],DaybyDay[[#This Row],[FORM_MATCH_HELPER]],10),"")</f>
        <v>2959.8999999999996</v>
      </c>
      <c r="AI1166" s="39" cm="1">
        <f t="array" ref="AI1166">IFERROR(INDEX(DaybyDay[],DaybyDay[[#This Row],[FORM_MATCH_HELPER]],12),"")</f>
        <v>5097.0200000000004</v>
      </c>
      <c r="AJ1166" s="32">
        <f>IFERROR(DaybyDay[[#This Row],[Serv-LY-RU]]+DaybyDay[[#This Row],[Ret-LY-RU]],"")</f>
        <v>388729.22</v>
      </c>
      <c r="AK11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426303.25999999995</v>
      </c>
      <c r="AL1166" s="77">
        <v>22.45</v>
      </c>
      <c r="AM1166" s="40">
        <f>IF(DaybyDay[[#This Row],[Admin Hours]]&gt;0,DaybyDay[[#This Row],[Admin Hours]]*$AM$2+$AM$3,"")</f>
        <v>864.09999999999991</v>
      </c>
      <c r="AN1166" s="40">
        <f>SUMIFS(DaybyDay[Est-Admin-Payroll],DaybyDay[Date],"&gt;="&amp;$C$5,DaybyDay[RowYear],"&gt;="&amp;$C$4,DaybyDay[Date],"&lt;="&amp;DaybyDay[[#This Row],[Date]])</f>
        <v>4315.1000000000004</v>
      </c>
      <c r="AO1166" s="41">
        <f>IF(AND(DaybyDay[[#This Row],[_Space]],ISNUMBER(DaybyDay[[#This Row],[Admin Hours]])),DaybyDay[[#This Row],[Est-Admin-Payroll]]/(DaybyDay[[#This Row],[Service-Actuals]]+DaybyDay[[#This Row],[Retail-Actuals]]),"")</f>
        <v>0.1595823268251963</v>
      </c>
      <c r="AP1166" s="41">
        <f>DaybyDay[[#This Row],[Estimated-Payroll-Rollup]]/DaybyDay[[#This Row],[Simple-Forecast]]</f>
        <v>1.0122136997028831E-2</v>
      </c>
      <c r="AQ11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79942.730000000025</v>
      </c>
      <c r="AR1166" s="77">
        <v>9.5500000000000007</v>
      </c>
      <c r="AS1166" s="40">
        <f>IF(DaybyDay[[#This Row],[Retail Hours]]&gt;0,DaybyDay[[#This Row],[Retail Hours]]*$AS$2,"")</f>
        <v>286.5</v>
      </c>
      <c r="AT1166" s="40">
        <f>SUMIFS(DaybyDay[Est-Retail-Payroll],DaybyDay[Date],"&gt;="&amp;$C$5,DaybyDay[RowYear],"&gt;="&amp;$C$4,DaybyDay[Date],"&lt;="&amp;DaybyDay[[#This Row],[Date]])</f>
        <v>1127.0999999999999</v>
      </c>
      <c r="AU1166" s="82">
        <f>IF(AND(DaybyDay[[#This Row],[_Space]],ISNUMBER(DaybyDay[[#This Row],[Retail Hours]])),DaybyDay[[#This Row],[Est-Retail-Payroll]]/(DaybyDay[[#This Row],[Retail-Actuals]]),"")</f>
        <v>0.26138603021677254</v>
      </c>
      <c r="AV1166" s="82">
        <f>DaybyDay[[#This Row],[Est-Retail-PayrollRU]]/DaybyDay[[#This Row],[Simple-Forecast-Retail]]</f>
        <v>1.4098843009239234E-2</v>
      </c>
      <c r="AW1166" s="8"/>
      <c r="AX1166" s="15"/>
      <c r="AY1166" s="8"/>
    </row>
    <row r="1167" spans="3:51" hidden="1" x14ac:dyDescent="0.25">
      <c r="C1167" s="26" t="str">
        <f>Tools!$C$1</f>
        <v>Example</v>
      </c>
      <c r="D1167" s="27" t="s">
        <v>70</v>
      </c>
      <c r="E1167" s="28">
        <v>2020</v>
      </c>
      <c r="F1167" s="28">
        <f>MATCH(DaybyDay[[#This Row],[RowMonth]],Table3[SummaryMonth],0)</f>
        <v>3</v>
      </c>
      <c r="G1167" s="29">
        <f>MATCH(DaybyDay[[#This Row],[LY-Date]],DaybyDay[Date],0)</f>
        <v>797</v>
      </c>
      <c r="H1167" s="30">
        <f>WEEKDAY(DaybyDay[[#This Row],[Date]])</f>
        <v>6</v>
      </c>
      <c r="I1167" s="31">
        <v>43896</v>
      </c>
      <c r="J1167" s="74">
        <v>15</v>
      </c>
      <c r="K1167" s="32">
        <f>SUMIFS(BudgetSeasonality[365 Seasonality],BudgetSeasonality[MonthAdjustment],DaybyDay[[#This Row],[Date]])*SUMIFS(Budgets[Service-Budget],Budgets[BudgetMonth],DaybyDay[[#This Row],[RowMonth]],Budgets[BudgetYear],DaybyDay[[#This Row],[RowYear]])</f>
        <v>5062.417580917614</v>
      </c>
      <c r="L1167" s="75">
        <f>4178+149</f>
        <v>4327</v>
      </c>
      <c r="M1167" s="32">
        <f>INDEX(BudgetSeasonality[365 Seasonality],MATCH(DaybyDay[[#This Row],[Date]],BudgetSeasonality[MonthAdjustment],0))*SUMIFS(Budgets[Retail-Budget],Budgets[BudgetMonth],DaybyDay[[#This Row],[RowMonth]],Budgets[BudgetYear],DaybyDay[[#This Row],[RowYear]])</f>
        <v>1231.0840061813269</v>
      </c>
      <c r="N1167" s="75">
        <v>684.25</v>
      </c>
      <c r="O1167" s="33">
        <f>SUMIFS(DaybyDay[Service-Budgets],DaybyDay[Date],"&gt;="&amp;$C$5,DaybyDay[RowYear],"&gt;="&amp;$C$4,DaybyDay[Date],"&lt;="&amp;DaybyDay[[#This Row],[Date]])</f>
        <v>343344.4277060004</v>
      </c>
      <c r="P1167" s="33">
        <f>SUMIFS(DaybyDay[Retail-Budgets],DaybyDay[Date],"&gt;="&amp;$C$5,DaybyDay[RowYear],"&gt;="&amp;$C$4,DaybyDay[Date],"&lt;="&amp;DaybyDay[[#This Row],[Date]])</f>
        <v>83069.628344217519</v>
      </c>
      <c r="Q1167" s="34">
        <f>SUMIFS(DaybyDay[Service-Actuals],DaybyDay[Date],"&gt;="&amp;$C$5,DaybyDay[RowYear],"&gt;="&amp;$C$4,DaybyDay[Date],"&lt;="&amp;DaybyDay[[#This Row],[Date]])</f>
        <v>350687.52999999991</v>
      </c>
      <c r="R1167" s="34">
        <f>SUMIFS(DaybyDay[Retail-Actuals],DaybyDay[Date],"&gt;="&amp;$C$5,DaybyDay[RowYear],"&gt;="&amp;$C$4,DaybyDay[Date],"&lt;="&amp;DaybyDay[[#This Row],[Date]])</f>
        <v>80626.980000000025</v>
      </c>
      <c r="S1167" s="35">
        <f>SUMIFS(DaybyDay[Service-LY],DaybyDay[Date],"&gt;="&amp;$C$5,DaybyDay[RowYear],"&gt;="&amp;$C$4,DaybyDay[Date],"&lt;="&amp;DaybyDay[[#This Row],[Date]])</f>
        <v>316763.59000000003</v>
      </c>
      <c r="T1167" s="35">
        <f>SUMIFS(DaybyDay[Retail-LY],DaybyDay[Date],"&gt;="&amp;$C$5,DaybyDay[RowYear],"&gt;="&amp;$C$4,DaybyDay[Date],"&lt;="&amp;DaybyDay[[#This Row],[Date]])</f>
        <v>77681.279999999999</v>
      </c>
      <c r="U1167" s="32">
        <f>DaybyDay[[#This Row],[Serv-Bud-RU]]+DaybyDay[[#This Row],[Ret-Bud-RU]]</f>
        <v>426414.05605021794</v>
      </c>
      <c r="V1167" s="32">
        <f>DaybyDay[[#This Row],[Serv-Act-RU]]+DaybyDay[[#This Row],[Ret-Act-RU]]</f>
        <v>431314.50999999995</v>
      </c>
      <c r="W1167" s="36">
        <f>IF(DaybyDay[[#This Row],[_Space]],IFERROR(
((DaybyDay[[#This Row],[Actual-Rollup]]-DaybyDay[[#This Row],[Budget-Rollup]])/DaybyDay[[#This Row],[Budget-Rollup]]),0),"")</f>
        <v>1.1492242997742295E-2</v>
      </c>
      <c r="X1167" t="b">
        <f>NOT(AND(ISBLANK(DaybyDay[[#This Row],[Appts]]),ISBLANK(DaybyDay[[#This Row],[Service-Actuals]]),ISBLANK(DaybyDay[[#This Row],[Retail-Actuals]])))</f>
        <v>1</v>
      </c>
      <c r="Y1167" s="36">
        <f>IF(DaybyDay[[#This Row],[_Space]],IFERROR(
((DaybyDay[[#This Row],[Actual-Rollup]]-DaybyDay[[#This Row],[LY-Rollup]])/DaybyDay[[#This Row],[LY-Rollup]]),0),"")</f>
        <v>9.34722259158801E-2</v>
      </c>
      <c r="Z1167"/>
      <c r="AA1167" s="37">
        <f>IF(DaybyDay[[#This Row],[_Space]],DaybyDay[[#This Row],[Ret-Act-RU]]/DaybyDay[[#This Row],[Serv-Act-RU]],"")</f>
        <v>0.22991116906837275</v>
      </c>
      <c r="AB1167" s="50">
        <f>IF(DaybyDay[[#This Row],[_Space]],DaybyDay[[#This Row],[RETPEN-Act]]/DaybyDay[[#This Row],[RETPEN-Bud]],"")</f>
        <v>0.95027172193304832</v>
      </c>
      <c r="AC1167" s="37">
        <f>IF(DaybyDay[[#This Row],[_Space]],DaybyDay[[#This Row],[Ret-Bud-RU]]/DaybyDay[[#This Row],[Serv-Bud-RU]],"")</f>
        <v>0.24194255575730075</v>
      </c>
      <c r="AD1167" s="37">
        <f>IF(DaybyDay[[#This Row],[_Space]],DaybyDay[[#This Row],[Ret-LY-RU]]/DaybyDay[[#This Row],[Serv-LY-RU]],"")</f>
        <v>0.24523424551413878</v>
      </c>
      <c r="AE1167" s="30">
        <f>WEEKDAY(DaybyDay[[#This Row],[LY-Date]])</f>
        <v>6</v>
      </c>
      <c r="AF1167" s="38">
        <f>$E$2+_xlfn.DAYS(DaybyDay[[#This Row],[Date]],minDate)</f>
        <v>43532</v>
      </c>
      <c r="AG1167" s="39" cm="1">
        <f t="array" ref="AG1167">IFERROR(INDEX(DaybyDay[],DaybyDay[[#This Row],[FORM_MATCH_HELPER]],8),"")</f>
        <v>22</v>
      </c>
      <c r="AH1167" s="39" cm="1">
        <f t="array" ref="AH1167">IFERROR(INDEX(DaybyDay[],DaybyDay[[#This Row],[FORM_MATCH_HELPER]],10),"")</f>
        <v>4677.1499999999996</v>
      </c>
      <c r="AI1167" s="39" cm="1">
        <f t="array" ref="AI1167">IFERROR(INDEX(DaybyDay[],DaybyDay[[#This Row],[FORM_MATCH_HELPER]],12),"")</f>
        <v>1038.5</v>
      </c>
      <c r="AJ1167" s="32">
        <f>IFERROR(DaybyDay[[#This Row],[Serv-LY-RU]]+DaybyDay[[#This Row],[Ret-LY-RU]],"")</f>
        <v>394444.87</v>
      </c>
      <c r="AK11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431314.50999999995</v>
      </c>
      <c r="AL1167" s="77">
        <v>35</v>
      </c>
      <c r="AM1167" s="40">
        <f>IF(DaybyDay[[#This Row],[Admin Hours]]&gt;0,DaybyDay[[#This Row],[Admin Hours]]*$AM$2+$AM$3,"")</f>
        <v>1090</v>
      </c>
      <c r="AN1167" s="40">
        <f>SUMIFS(DaybyDay[Est-Admin-Payroll],DaybyDay[Date],"&gt;="&amp;$C$5,DaybyDay[RowYear],"&gt;="&amp;$C$4,DaybyDay[Date],"&lt;="&amp;DaybyDay[[#This Row],[Date]])</f>
        <v>5405.1</v>
      </c>
      <c r="AO1167" s="41">
        <f>IF(AND(DaybyDay[[#This Row],[_Space]],ISNUMBER(DaybyDay[[#This Row],[Admin Hours]])),DaybyDay[[#This Row],[Est-Admin-Payroll]]/(DaybyDay[[#This Row],[Service-Actuals]]+DaybyDay[[#This Row],[Retail-Actuals]]),"")</f>
        <v>0.2175106011474183</v>
      </c>
      <c r="AP1167" s="41">
        <f>DaybyDay[[#This Row],[Estimated-Payroll-Rollup]]/DaybyDay[[#This Row],[Simple-Forecast]]</f>
        <v>1.2531690621769254E-2</v>
      </c>
      <c r="AQ11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80626.980000000025</v>
      </c>
      <c r="AR1167" s="77">
        <v>6.03</v>
      </c>
      <c r="AS1167" s="40">
        <f>IF(DaybyDay[[#This Row],[Retail Hours]]&gt;0,DaybyDay[[#This Row],[Retail Hours]]*$AS$2,"")</f>
        <v>180.9</v>
      </c>
      <c r="AT1167" s="40">
        <f>SUMIFS(DaybyDay[Est-Retail-Payroll],DaybyDay[Date],"&gt;="&amp;$C$5,DaybyDay[RowYear],"&gt;="&amp;$C$4,DaybyDay[Date],"&lt;="&amp;DaybyDay[[#This Row],[Date]])</f>
        <v>1308</v>
      </c>
      <c r="AU1167" s="82">
        <f>IF(AND(DaybyDay[[#This Row],[_Space]],ISNUMBER(DaybyDay[[#This Row],[Retail Hours]])),DaybyDay[[#This Row],[Est-Retail-Payroll]]/(DaybyDay[[#This Row],[Retail-Actuals]]),"")</f>
        <v>0.26437705516989407</v>
      </c>
      <c r="AV1167" s="82">
        <f>DaybyDay[[#This Row],[Est-Retail-PayrollRU]]/DaybyDay[[#This Row],[Simple-Forecast-Retail]]</f>
        <v>1.6222857410757536E-2</v>
      </c>
      <c r="AW1167" s="8"/>
      <c r="AX1167" s="15"/>
      <c r="AY1167" s="8"/>
    </row>
    <row r="1168" spans="3:51" hidden="1" x14ac:dyDescent="0.25">
      <c r="C1168" s="26" t="str">
        <f>Tools!$C$1</f>
        <v>Example</v>
      </c>
      <c r="D1168" s="27" t="s">
        <v>70</v>
      </c>
      <c r="E1168" s="28">
        <v>2020</v>
      </c>
      <c r="F1168" s="28">
        <f>MATCH(DaybyDay[[#This Row],[RowMonth]],Table3[SummaryMonth],0)</f>
        <v>3</v>
      </c>
      <c r="G1168" s="29">
        <f>MATCH(DaybyDay[[#This Row],[LY-Date]],DaybyDay[Date],0)</f>
        <v>798</v>
      </c>
      <c r="H1168" s="30">
        <f>WEEKDAY(DaybyDay[[#This Row],[Date]])</f>
        <v>7</v>
      </c>
      <c r="I1168" s="31">
        <v>43897</v>
      </c>
      <c r="J1168" s="74">
        <v>39</v>
      </c>
      <c r="K1168" s="32">
        <f>SUMIFS(BudgetSeasonality[365 Seasonality],BudgetSeasonality[MonthAdjustment],DaybyDay[[#This Row],[Date]])*SUMIFS(Budgets[Service-Budget],Budgets[BudgetMonth],DaybyDay[[#This Row],[RowMonth]],Budgets[BudgetYear],DaybyDay[[#This Row],[RowYear]])</f>
        <v>7283.5189138859087</v>
      </c>
      <c r="L1168" s="75">
        <v>10691.25</v>
      </c>
      <c r="M1168" s="32">
        <f>INDEX(BudgetSeasonality[365 Seasonality],MATCH(DaybyDay[[#This Row],[Date]],BudgetSeasonality[MonthAdjustment],0))*SUMIFS(Budgets[Retail-Budget],Budgets[BudgetMonth],DaybyDay[[#This Row],[RowMonth]],Budgets[BudgetYear],DaybyDay[[#This Row],[RowYear]])</f>
        <v>1771.2137531686672</v>
      </c>
      <c r="N1168" s="75">
        <v>1267.3</v>
      </c>
      <c r="O1168" s="33">
        <f>SUMIFS(DaybyDay[Service-Budgets],DaybyDay[Date],"&gt;="&amp;$C$5,DaybyDay[RowYear],"&gt;="&amp;$C$4,DaybyDay[Date],"&lt;="&amp;DaybyDay[[#This Row],[Date]])</f>
        <v>350627.94661988632</v>
      </c>
      <c r="P1168" s="33">
        <f>SUMIFS(DaybyDay[Retail-Budgets],DaybyDay[Date],"&gt;="&amp;$C$5,DaybyDay[RowYear],"&gt;="&amp;$C$4,DaybyDay[Date],"&lt;="&amp;DaybyDay[[#This Row],[Date]])</f>
        <v>84840.842097386179</v>
      </c>
      <c r="Q1168" s="34">
        <f>SUMIFS(DaybyDay[Service-Actuals],DaybyDay[Date],"&gt;="&amp;$C$5,DaybyDay[RowYear],"&gt;="&amp;$C$4,DaybyDay[Date],"&lt;="&amp;DaybyDay[[#This Row],[Date]])</f>
        <v>361378.77999999991</v>
      </c>
      <c r="R1168" s="34">
        <f>SUMIFS(DaybyDay[Retail-Actuals],DaybyDay[Date],"&gt;="&amp;$C$5,DaybyDay[RowYear],"&gt;="&amp;$C$4,DaybyDay[Date],"&lt;="&amp;DaybyDay[[#This Row],[Date]])</f>
        <v>81894.280000000028</v>
      </c>
      <c r="S1168" s="35">
        <f>SUMIFS(DaybyDay[Service-LY],DaybyDay[Date],"&gt;="&amp;$C$5,DaybyDay[RowYear],"&gt;="&amp;$C$4,DaybyDay[Date],"&lt;="&amp;DaybyDay[[#This Row],[Date]])</f>
        <v>326479.82</v>
      </c>
      <c r="T1168" s="35">
        <f>SUMIFS(DaybyDay[Retail-LY],DaybyDay[Date],"&gt;="&amp;$C$5,DaybyDay[RowYear],"&gt;="&amp;$C$4,DaybyDay[Date],"&lt;="&amp;DaybyDay[[#This Row],[Date]])</f>
        <v>81239.55</v>
      </c>
      <c r="U1168" s="32">
        <f>DaybyDay[[#This Row],[Serv-Bud-RU]]+DaybyDay[[#This Row],[Ret-Bud-RU]]</f>
        <v>435468.78871727252</v>
      </c>
      <c r="V1168" s="32">
        <f>DaybyDay[[#This Row],[Serv-Act-RU]]+DaybyDay[[#This Row],[Ret-Act-RU]]</f>
        <v>443273.05999999994</v>
      </c>
      <c r="W1168" s="36">
        <f>IF(DaybyDay[[#This Row],[_Space]],IFERROR(
((DaybyDay[[#This Row],[Actual-Rollup]]-DaybyDay[[#This Row],[Budget-Rollup]])/DaybyDay[[#This Row],[Budget-Rollup]]),0),"")</f>
        <v>1.7921539924172003E-2</v>
      </c>
      <c r="X1168" t="b">
        <f>NOT(AND(ISBLANK(DaybyDay[[#This Row],[Appts]]),ISBLANK(DaybyDay[[#This Row],[Service-Actuals]]),ISBLANK(DaybyDay[[#This Row],[Retail-Actuals]])))</f>
        <v>1</v>
      </c>
      <c r="Y1168" s="36">
        <f>IF(DaybyDay[[#This Row],[_Space]],IFERROR(
((DaybyDay[[#This Row],[Actual-Rollup]]-DaybyDay[[#This Row],[LY-Rollup]])/DaybyDay[[#This Row],[LY-Rollup]]),0),"")</f>
        <v>8.7201375789430713E-2</v>
      </c>
      <c r="Z1168"/>
      <c r="AA1168" s="37">
        <f>IF(DaybyDay[[#This Row],[_Space]],DaybyDay[[#This Row],[Ret-Act-RU]]/DaybyDay[[#This Row],[Serv-Act-RU]],"")</f>
        <v>0.22661618371726211</v>
      </c>
      <c r="AB1168" s="50">
        <f>IF(DaybyDay[[#This Row],[_Space]],DaybyDay[[#This Row],[RETPEN-Act]]/DaybyDay[[#This Row],[RETPEN-Bud]],"")</f>
        <v>0.93655325905901765</v>
      </c>
      <c r="AC1168" s="37">
        <f>IF(DaybyDay[[#This Row],[_Space]],DaybyDay[[#This Row],[Ret-Bud-RU]]/DaybyDay[[#This Row],[Serv-Bud-RU]],"")</f>
        <v>0.24196828266333725</v>
      </c>
      <c r="AD1168" s="37">
        <f>IF(DaybyDay[[#This Row],[_Space]],DaybyDay[[#This Row],[Ret-LY-RU]]/DaybyDay[[#This Row],[Serv-LY-RU]],"")</f>
        <v>0.24883482844360794</v>
      </c>
      <c r="AE1168" s="30">
        <f>WEEKDAY(DaybyDay[[#This Row],[LY-Date]])</f>
        <v>7</v>
      </c>
      <c r="AF1168" s="38">
        <f>$E$2+_xlfn.DAYS(DaybyDay[[#This Row],[Date]],minDate)</f>
        <v>43533</v>
      </c>
      <c r="AG1168" s="39" cm="1">
        <f t="array" ref="AG1168">IFERROR(INDEX(DaybyDay[],DaybyDay[[#This Row],[FORM_MATCH_HELPER]],8),"")</f>
        <v>41</v>
      </c>
      <c r="AH1168" s="39" cm="1">
        <f t="array" ref="AH1168">IFERROR(INDEX(DaybyDay[],DaybyDay[[#This Row],[FORM_MATCH_HELPER]],10),"")</f>
        <v>9716.23</v>
      </c>
      <c r="AI1168" s="39" cm="1">
        <f t="array" ref="AI1168">IFERROR(INDEX(DaybyDay[],DaybyDay[[#This Row],[FORM_MATCH_HELPER]],12),"")</f>
        <v>3558.27</v>
      </c>
      <c r="AJ1168" s="32">
        <f>IFERROR(DaybyDay[[#This Row],[Serv-LY-RU]]+DaybyDay[[#This Row],[Ret-LY-RU]],"")</f>
        <v>407719.37</v>
      </c>
      <c r="AK11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443273.05999999994</v>
      </c>
      <c r="AL1168" s="77">
        <v>36.909999999999997</v>
      </c>
      <c r="AM1168" s="40">
        <f>IF(DaybyDay[[#This Row],[Admin Hours]]&gt;0,DaybyDay[[#This Row],[Admin Hours]]*$AM$2+$AM$3,"")</f>
        <v>1124.3799999999999</v>
      </c>
      <c r="AN1168" s="40">
        <f>SUMIFS(DaybyDay[Est-Admin-Payroll],DaybyDay[Date],"&gt;="&amp;$C$5,DaybyDay[RowYear],"&gt;="&amp;$C$4,DaybyDay[Date],"&lt;="&amp;DaybyDay[[#This Row],[Date]])</f>
        <v>6529.4800000000005</v>
      </c>
      <c r="AO1168" s="41">
        <f>IF(AND(DaybyDay[[#This Row],[_Space]],ISNUMBER(DaybyDay[[#This Row],[Admin Hours]])),DaybyDay[[#This Row],[Est-Admin-Payroll]]/(DaybyDay[[#This Row],[Service-Actuals]]+DaybyDay[[#This Row],[Retail-Actuals]]),"")</f>
        <v>9.4023104807857139E-2</v>
      </c>
      <c r="AP1168" s="41">
        <f>DaybyDay[[#This Row],[Estimated-Payroll-Rollup]]/DaybyDay[[#This Row],[Simple-Forecast]]</f>
        <v>1.4730153012231335E-2</v>
      </c>
      <c r="AQ11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81894.280000000028</v>
      </c>
      <c r="AR1168" s="77">
        <v>6.92</v>
      </c>
      <c r="AS1168" s="40">
        <f>IF(DaybyDay[[#This Row],[Retail Hours]]&gt;0,DaybyDay[[#This Row],[Retail Hours]]*$AS$2,"")</f>
        <v>207.6</v>
      </c>
      <c r="AT1168" s="40">
        <f>SUMIFS(DaybyDay[Est-Retail-Payroll],DaybyDay[Date],"&gt;="&amp;$C$5,DaybyDay[RowYear],"&gt;="&amp;$C$4,DaybyDay[Date],"&lt;="&amp;DaybyDay[[#This Row],[Date]])</f>
        <v>1515.6</v>
      </c>
      <c r="AU1168" s="82">
        <f>IF(AND(DaybyDay[[#This Row],[_Space]],ISNUMBER(DaybyDay[[#This Row],[Retail Hours]])),DaybyDay[[#This Row],[Est-Retail-Payroll]]/(DaybyDay[[#This Row],[Retail-Actuals]]),"")</f>
        <v>0.16381283042689182</v>
      </c>
      <c r="AV1168" s="82">
        <f>DaybyDay[[#This Row],[Est-Retail-PayrollRU]]/DaybyDay[[#This Row],[Simple-Forecast-Retail]]</f>
        <v>1.8506787043002262E-2</v>
      </c>
      <c r="AW1168" s="8"/>
      <c r="AX1168" s="15"/>
      <c r="AY1168" s="8"/>
    </row>
    <row r="1169" spans="3:51" hidden="1" x14ac:dyDescent="0.25">
      <c r="C1169" s="26" t="str">
        <f>Tools!$C$1</f>
        <v>Example</v>
      </c>
      <c r="D1169" s="27" t="s">
        <v>70</v>
      </c>
      <c r="E1169" s="28">
        <v>2020</v>
      </c>
      <c r="F1169" s="28">
        <f>MATCH(DaybyDay[[#This Row],[RowMonth]],Table3[SummaryMonth],0)</f>
        <v>3</v>
      </c>
      <c r="G1169" s="29">
        <f>MATCH(DaybyDay[[#This Row],[LY-Date]],DaybyDay[Date],0)</f>
        <v>799</v>
      </c>
      <c r="H1169" s="30">
        <f>WEEKDAY(DaybyDay[[#This Row],[Date]])</f>
        <v>1</v>
      </c>
      <c r="I1169" s="31">
        <v>43898</v>
      </c>
      <c r="J1169" s="74">
        <v>32</v>
      </c>
      <c r="K1169" s="32">
        <f>SUMIFS(BudgetSeasonality[365 Seasonality],BudgetSeasonality[MonthAdjustment],DaybyDay[[#This Row],[Date]])*SUMIFS(Budgets[Service-Budget],Budgets[BudgetMonth],DaybyDay[[#This Row],[RowMonth]],Budgets[BudgetYear],DaybyDay[[#This Row],[RowYear]])</f>
        <v>5689.8743075051379</v>
      </c>
      <c r="L1169" s="75">
        <f>7363.15+298+676</f>
        <v>8337.15</v>
      </c>
      <c r="M1169" s="32">
        <f>INDEX(BudgetSeasonality[365 Seasonality],MATCH(DaybyDay[[#This Row],[Date]],BudgetSeasonality[MonthAdjustment],0))*SUMIFS(Budgets[Retail-Budget],Budgets[BudgetMonth],DaybyDay[[#This Row],[RowMonth]],Budgets[BudgetYear],DaybyDay[[#This Row],[RowYear]])</f>
        <v>1383.6695897144766</v>
      </c>
      <c r="N1169" s="75">
        <v>1693.25</v>
      </c>
      <c r="O1169" s="33">
        <f>SUMIFS(DaybyDay[Service-Budgets],DaybyDay[Date],"&gt;="&amp;$C$5,DaybyDay[RowYear],"&gt;="&amp;$C$4,DaybyDay[Date],"&lt;="&amp;DaybyDay[[#This Row],[Date]])</f>
        <v>356317.82092739147</v>
      </c>
      <c r="P1169" s="33">
        <f>SUMIFS(DaybyDay[Retail-Budgets],DaybyDay[Date],"&gt;="&amp;$C$5,DaybyDay[RowYear],"&gt;="&amp;$C$4,DaybyDay[Date],"&lt;="&amp;DaybyDay[[#This Row],[Date]])</f>
        <v>86224.511687100661</v>
      </c>
      <c r="Q1169" s="34">
        <f>SUMIFS(DaybyDay[Service-Actuals],DaybyDay[Date],"&gt;="&amp;$C$5,DaybyDay[RowYear],"&gt;="&amp;$C$4,DaybyDay[Date],"&lt;="&amp;DaybyDay[[#This Row],[Date]])</f>
        <v>369715.92999999993</v>
      </c>
      <c r="R1169" s="34">
        <f>SUMIFS(DaybyDay[Retail-Actuals],DaybyDay[Date],"&gt;="&amp;$C$5,DaybyDay[RowYear],"&gt;="&amp;$C$4,DaybyDay[Date],"&lt;="&amp;DaybyDay[[#This Row],[Date]])</f>
        <v>83587.530000000028</v>
      </c>
      <c r="S1169" s="35">
        <f>SUMIFS(DaybyDay[Service-LY],DaybyDay[Date],"&gt;="&amp;$C$5,DaybyDay[RowYear],"&gt;="&amp;$C$4,DaybyDay[Date],"&lt;="&amp;DaybyDay[[#This Row],[Date]])</f>
        <v>333926.82</v>
      </c>
      <c r="T1169" s="35">
        <f>SUMIFS(DaybyDay[Retail-LY],DaybyDay[Date],"&gt;="&amp;$C$5,DaybyDay[RowYear],"&gt;="&amp;$C$4,DaybyDay[Date],"&lt;="&amp;DaybyDay[[#This Row],[Date]])</f>
        <v>82687.55</v>
      </c>
      <c r="U1169" s="32">
        <f>DaybyDay[[#This Row],[Serv-Bud-RU]]+DaybyDay[[#This Row],[Ret-Bud-RU]]</f>
        <v>442542.33261449216</v>
      </c>
      <c r="V1169" s="32">
        <f>DaybyDay[[#This Row],[Serv-Act-RU]]+DaybyDay[[#This Row],[Ret-Act-RU]]</f>
        <v>453303.45999999996</v>
      </c>
      <c r="W1169" s="36">
        <f>IF(DaybyDay[[#This Row],[_Space]],IFERROR(
((DaybyDay[[#This Row],[Actual-Rollup]]-DaybyDay[[#This Row],[Budget-Rollup]])/DaybyDay[[#This Row],[Budget-Rollup]]),0),"")</f>
        <v>2.431660564975158E-2</v>
      </c>
      <c r="X1169" t="b">
        <f>NOT(AND(ISBLANK(DaybyDay[[#This Row],[Appts]]),ISBLANK(DaybyDay[[#This Row],[Service-Actuals]]),ISBLANK(DaybyDay[[#This Row],[Retail-Actuals]])))</f>
        <v>1</v>
      </c>
      <c r="Y1169" s="36">
        <f>IF(DaybyDay[[#This Row],[_Space]],IFERROR(
((DaybyDay[[#This Row],[Actual-Rollup]]-DaybyDay[[#This Row],[LY-Rollup]])/DaybyDay[[#This Row],[LY-Rollup]]),0),"")</f>
        <v>8.8064869197862689E-2</v>
      </c>
      <c r="Z1169"/>
      <c r="AA1169" s="37">
        <f>IF(DaybyDay[[#This Row],[_Space]],DaybyDay[[#This Row],[Ret-Act-RU]]/DaybyDay[[#This Row],[Serv-Act-RU]],"")</f>
        <v>0.22608582216081424</v>
      </c>
      <c r="AB1169" s="50">
        <f>IF(DaybyDay[[#This Row],[_Space]],DaybyDay[[#This Row],[RETPEN-Act]]/DaybyDay[[#This Row],[RETPEN-Bud]],"")</f>
        <v>0.93428661895189102</v>
      </c>
      <c r="AC1169" s="37">
        <f>IF(DaybyDay[[#This Row],[_Space]],DaybyDay[[#This Row],[Ret-Bud-RU]]/DaybyDay[[#This Row],[Serv-Bud-RU]],"")</f>
        <v>0.24198764873079706</v>
      </c>
      <c r="AD1169" s="37">
        <f>IF(DaybyDay[[#This Row],[_Space]],DaybyDay[[#This Row],[Ret-LY-RU]]/DaybyDay[[#This Row],[Serv-LY-RU]],"")</f>
        <v>0.24762176934455279</v>
      </c>
      <c r="AE1169" s="30">
        <f>WEEKDAY(DaybyDay[[#This Row],[LY-Date]])</f>
        <v>1</v>
      </c>
      <c r="AF1169" s="38">
        <f>$E$2+_xlfn.DAYS(DaybyDay[[#This Row],[Date]],minDate)</f>
        <v>43534</v>
      </c>
      <c r="AG1169" s="39" cm="1">
        <f t="array" ref="AG1169">IFERROR(INDEX(DaybyDay[],DaybyDay[[#This Row],[FORM_MATCH_HELPER]],8),"")</f>
        <v>38</v>
      </c>
      <c r="AH1169" s="39" cm="1">
        <f t="array" ref="AH1169">IFERROR(INDEX(DaybyDay[],DaybyDay[[#This Row],[FORM_MATCH_HELPER]],10),"")</f>
        <v>7447</v>
      </c>
      <c r="AI1169" s="39" cm="1">
        <f t="array" ref="AI1169">IFERROR(INDEX(DaybyDay[],DaybyDay[[#This Row],[FORM_MATCH_HELPER]],12),"")</f>
        <v>1448</v>
      </c>
      <c r="AJ1169" s="32">
        <f>IFERROR(DaybyDay[[#This Row],[Serv-LY-RU]]+DaybyDay[[#This Row],[Ret-LY-RU]],"")</f>
        <v>416614.37</v>
      </c>
      <c r="AK11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453303.45999999996</v>
      </c>
      <c r="AL1169" s="77">
        <v>32.33</v>
      </c>
      <c r="AM1169" s="40">
        <f>IF(DaybyDay[[#This Row],[Admin Hours]]&gt;0,DaybyDay[[#This Row],[Admin Hours]]*$AM$2+$AM$3,"")</f>
        <v>1041.94</v>
      </c>
      <c r="AN1169" s="40">
        <f>SUMIFS(DaybyDay[Est-Admin-Payroll],DaybyDay[Date],"&gt;="&amp;$C$5,DaybyDay[RowYear],"&gt;="&amp;$C$4,DaybyDay[Date],"&lt;="&amp;DaybyDay[[#This Row],[Date]])</f>
        <v>7571.42</v>
      </c>
      <c r="AO1169" s="41">
        <f>IF(AND(DaybyDay[[#This Row],[_Space]],ISNUMBER(DaybyDay[[#This Row],[Admin Hours]])),DaybyDay[[#This Row],[Est-Admin-Payroll]]/(DaybyDay[[#This Row],[Service-Actuals]]+DaybyDay[[#This Row],[Retail-Actuals]]),"")</f>
        <v>0.10387821024086777</v>
      </c>
      <c r="AP1169" s="41">
        <f>DaybyDay[[#This Row],[Estimated-Payroll-Rollup]]/DaybyDay[[#This Row],[Simple-Forecast]]</f>
        <v>1.6702762427624092E-2</v>
      </c>
      <c r="AQ11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83587.530000000028</v>
      </c>
      <c r="AR1169" s="77">
        <v>7.27</v>
      </c>
      <c r="AS1169" s="40">
        <f>IF(DaybyDay[[#This Row],[Retail Hours]]&gt;0,DaybyDay[[#This Row],[Retail Hours]]*$AS$2,"")</f>
        <v>218.1</v>
      </c>
      <c r="AT1169" s="40">
        <f>SUMIFS(DaybyDay[Est-Retail-Payroll],DaybyDay[Date],"&gt;="&amp;$C$5,DaybyDay[RowYear],"&gt;="&amp;$C$4,DaybyDay[Date],"&lt;="&amp;DaybyDay[[#This Row],[Date]])</f>
        <v>1733.6999999999998</v>
      </c>
      <c r="AU1169" s="82">
        <f>IF(AND(DaybyDay[[#This Row],[_Space]],ISNUMBER(DaybyDay[[#This Row],[Retail Hours]])),DaybyDay[[#This Row],[Est-Retail-Payroll]]/(DaybyDay[[#This Row],[Retail-Actuals]]),"")</f>
        <v>0.12880555145430386</v>
      </c>
      <c r="AV1169" s="82">
        <f>DaybyDay[[#This Row],[Est-Retail-PayrollRU]]/DaybyDay[[#This Row],[Simple-Forecast-Retail]]</f>
        <v>2.0741132080347384E-2</v>
      </c>
      <c r="AW1169" s="8"/>
      <c r="AX1169" s="15"/>
      <c r="AY1169" s="8"/>
    </row>
    <row r="1170" spans="3:51" hidden="1" x14ac:dyDescent="0.25">
      <c r="C1170" s="26" t="str">
        <f>Tools!$C$1</f>
        <v>Example</v>
      </c>
      <c r="D1170" s="27" t="s">
        <v>70</v>
      </c>
      <c r="E1170" s="28">
        <v>2020</v>
      </c>
      <c r="F1170" s="28">
        <f>MATCH(DaybyDay[[#This Row],[RowMonth]],Table3[SummaryMonth],0)</f>
        <v>3</v>
      </c>
      <c r="G1170" s="29">
        <f>MATCH(DaybyDay[[#This Row],[LY-Date]],DaybyDay[Date],0)</f>
        <v>800</v>
      </c>
      <c r="H1170" s="30">
        <f>WEEKDAY(DaybyDay[[#This Row],[Date]])</f>
        <v>2</v>
      </c>
      <c r="I1170" s="31">
        <v>43899</v>
      </c>
      <c r="J1170" s="74">
        <v>7</v>
      </c>
      <c r="K1170" s="32">
        <f>SUMIFS(BudgetSeasonality[365 Seasonality],BudgetSeasonality[MonthAdjustment],DaybyDay[[#This Row],[Date]])*SUMIFS(Budgets[Service-Budget],Budgets[BudgetMonth],DaybyDay[[#This Row],[RowMonth]],Budgets[BudgetYear],DaybyDay[[#This Row],[RowYear]])</f>
        <v>3362.397171299488</v>
      </c>
      <c r="L1170" s="75">
        <f>1723.7+298</f>
        <v>2021.7</v>
      </c>
      <c r="M1170" s="32">
        <f>INDEX(BudgetSeasonality[365 Seasonality],MATCH(DaybyDay[[#This Row],[Date]],BudgetSeasonality[MonthAdjustment],0))*SUMIFS(Budgets[Retail-Budget],Budgets[BudgetMonth],DaybyDay[[#This Row],[RowMonth]],Budgets[BudgetYear],DaybyDay[[#This Row],[RowYear]])</f>
        <v>817.67126355187554</v>
      </c>
      <c r="N1170" s="75">
        <v>1260</v>
      </c>
      <c r="O1170" s="33">
        <f>SUMIFS(DaybyDay[Service-Budgets],DaybyDay[Date],"&gt;="&amp;$C$5,DaybyDay[RowYear],"&gt;="&amp;$C$4,DaybyDay[Date],"&lt;="&amp;DaybyDay[[#This Row],[Date]])</f>
        <v>359680.21809869097</v>
      </c>
      <c r="P1170" s="33">
        <f>SUMIFS(DaybyDay[Retail-Budgets],DaybyDay[Date],"&gt;="&amp;$C$5,DaybyDay[RowYear],"&gt;="&amp;$C$4,DaybyDay[Date],"&lt;="&amp;DaybyDay[[#This Row],[Date]])</f>
        <v>87042.182950652539</v>
      </c>
      <c r="Q1170" s="34">
        <f>SUMIFS(DaybyDay[Service-Actuals],DaybyDay[Date],"&gt;="&amp;$C$5,DaybyDay[RowYear],"&gt;="&amp;$C$4,DaybyDay[Date],"&lt;="&amp;DaybyDay[[#This Row],[Date]])</f>
        <v>371737.62999999995</v>
      </c>
      <c r="R1170" s="34">
        <f>SUMIFS(DaybyDay[Retail-Actuals],DaybyDay[Date],"&gt;="&amp;$C$5,DaybyDay[RowYear],"&gt;="&amp;$C$4,DaybyDay[Date],"&lt;="&amp;DaybyDay[[#This Row],[Date]])</f>
        <v>84847.530000000028</v>
      </c>
      <c r="S1170" s="35">
        <f>SUMIFS(DaybyDay[Service-LY],DaybyDay[Date],"&gt;="&amp;$C$5,DaybyDay[RowYear],"&gt;="&amp;$C$4,DaybyDay[Date],"&lt;="&amp;DaybyDay[[#This Row],[Date]])</f>
        <v>338312.82</v>
      </c>
      <c r="T1170" s="35">
        <f>SUMIFS(DaybyDay[Retail-LY],DaybyDay[Date],"&gt;="&amp;$C$5,DaybyDay[RowYear],"&gt;="&amp;$C$4,DaybyDay[Date],"&lt;="&amp;DaybyDay[[#This Row],[Date]])</f>
        <v>83783.55</v>
      </c>
      <c r="U1170" s="32">
        <f>DaybyDay[[#This Row],[Serv-Bud-RU]]+DaybyDay[[#This Row],[Ret-Bud-RU]]</f>
        <v>446722.40104934352</v>
      </c>
      <c r="V1170" s="32">
        <f>DaybyDay[[#This Row],[Serv-Act-RU]]+DaybyDay[[#This Row],[Ret-Act-RU]]</f>
        <v>456585.16</v>
      </c>
      <c r="W1170" s="36">
        <f>IF(DaybyDay[[#This Row],[_Space]],IFERROR(
((DaybyDay[[#This Row],[Actual-Rollup]]-DaybyDay[[#This Row],[Budget-Rollup]])/DaybyDay[[#This Row],[Budget-Rollup]]),0),"")</f>
        <v>2.2078048755757484E-2</v>
      </c>
      <c r="X1170" t="b">
        <f>NOT(AND(ISBLANK(DaybyDay[[#This Row],[Appts]]),ISBLANK(DaybyDay[[#This Row],[Service-Actuals]]),ISBLANK(DaybyDay[[#This Row],[Retail-Actuals]])))</f>
        <v>1</v>
      </c>
      <c r="Y1170" s="36">
        <f>IF(DaybyDay[[#This Row],[_Space]],IFERROR(
((DaybyDay[[#This Row],[Actual-Rollup]]-DaybyDay[[#This Row],[LY-Rollup]])/DaybyDay[[#This Row],[LY-Rollup]]),0),"")</f>
        <v>8.1708331204080192E-2</v>
      </c>
      <c r="Z1170"/>
      <c r="AA1170" s="37">
        <f>IF(DaybyDay[[#This Row],[_Space]],DaybyDay[[#This Row],[Ret-Act-RU]]/DaybyDay[[#This Row],[Serv-Act-RU]],"")</f>
        <v>0.22824573880239146</v>
      </c>
      <c r="AB1170" s="50">
        <f>IF(DaybyDay[[#This Row],[_Space]],DaybyDay[[#This Row],[RETPEN-Act]]/DaybyDay[[#This Row],[RETPEN-Bud]],"")</f>
        <v>0.94316886743389694</v>
      </c>
      <c r="AC1170" s="37">
        <f>IF(DaybyDay[[#This Row],[_Space]],DaybyDay[[#This Row],[Ret-Bud-RU]]/DaybyDay[[#This Row],[Serv-Bud-RU]],"")</f>
        <v>0.24199880496838846</v>
      </c>
      <c r="AD1170" s="37">
        <f>IF(DaybyDay[[#This Row],[_Space]],DaybyDay[[#This Row],[Ret-LY-RU]]/DaybyDay[[#This Row],[Serv-LY-RU]],"")</f>
        <v>0.24765112359620306</v>
      </c>
      <c r="AE1170" s="30">
        <f>WEEKDAY(DaybyDay[[#This Row],[LY-Date]])</f>
        <v>2</v>
      </c>
      <c r="AF1170" s="38">
        <f>$E$2+_xlfn.DAYS(DaybyDay[[#This Row],[Date]],minDate)</f>
        <v>43535</v>
      </c>
      <c r="AG1170" s="39" cm="1">
        <f t="array" ref="AG1170">IFERROR(INDEX(DaybyDay[],DaybyDay[[#This Row],[FORM_MATCH_HELPER]],8),"")</f>
        <v>18</v>
      </c>
      <c r="AH1170" s="39" cm="1">
        <f t="array" ref="AH1170">IFERROR(INDEX(DaybyDay[],DaybyDay[[#This Row],[FORM_MATCH_HELPER]],10),"")</f>
        <v>4386</v>
      </c>
      <c r="AI1170" s="39" cm="1">
        <f t="array" ref="AI1170">IFERROR(INDEX(DaybyDay[],DaybyDay[[#This Row],[FORM_MATCH_HELPER]],12),"")</f>
        <v>1096</v>
      </c>
      <c r="AJ1170" s="32">
        <f>IFERROR(DaybyDay[[#This Row],[Serv-LY-RU]]+DaybyDay[[#This Row],[Ret-LY-RU]],"")</f>
        <v>422096.37</v>
      </c>
      <c r="AK11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456585.16</v>
      </c>
      <c r="AL1170" s="77">
        <v>12.5</v>
      </c>
      <c r="AM1170" s="40">
        <f>IF(DaybyDay[[#This Row],[Admin Hours]]&gt;0,DaybyDay[[#This Row],[Admin Hours]]*$AM$2+$AM$3,"")</f>
        <v>685</v>
      </c>
      <c r="AN1170" s="40">
        <f>SUMIFS(DaybyDay[Est-Admin-Payroll],DaybyDay[Date],"&gt;="&amp;$C$5,DaybyDay[RowYear],"&gt;="&amp;$C$4,DaybyDay[Date],"&lt;="&amp;DaybyDay[[#This Row],[Date]])</f>
        <v>8256.42</v>
      </c>
      <c r="AO1170" s="41">
        <f>IF(AND(DaybyDay[[#This Row],[_Space]],ISNUMBER(DaybyDay[[#This Row],[Admin Hours]])),DaybyDay[[#This Row],[Est-Admin-Payroll]]/(DaybyDay[[#This Row],[Service-Actuals]]+DaybyDay[[#This Row],[Retail-Actuals]]),"")</f>
        <v>0.20873327848371273</v>
      </c>
      <c r="AP1170" s="41">
        <f>DaybyDay[[#This Row],[Estimated-Payroll-Rollup]]/DaybyDay[[#This Row],[Simple-Forecast]]</f>
        <v>1.8082979306642381E-2</v>
      </c>
      <c r="AQ11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84847.530000000028</v>
      </c>
      <c r="AR1170" s="77">
        <v>0</v>
      </c>
      <c r="AS1170" s="40" t="str">
        <f>IF(DaybyDay[[#This Row],[Retail Hours]]&gt;0,DaybyDay[[#This Row],[Retail Hours]]*$AS$2,"")</f>
        <v/>
      </c>
      <c r="AT1170" s="40">
        <f>SUMIFS(DaybyDay[Est-Retail-Payroll],DaybyDay[Date],"&gt;="&amp;$C$5,DaybyDay[RowYear],"&gt;="&amp;$C$4,DaybyDay[Date],"&lt;="&amp;DaybyDay[[#This Row],[Date]])</f>
        <v>1733.6999999999998</v>
      </c>
      <c r="AU1170" s="82" t="e">
        <f>IF(AND(DaybyDay[[#This Row],[_Space]],ISNUMBER(DaybyDay[[#This Row],[Retail Hours]])),DaybyDay[[#This Row],[Est-Retail-Payroll]]/(DaybyDay[[#This Row],[Retail-Actuals]]),"")</f>
        <v>#VALUE!</v>
      </c>
      <c r="AV1170" s="82">
        <f>DaybyDay[[#This Row],[Est-Retail-PayrollRU]]/DaybyDay[[#This Row],[Simple-Forecast-Retail]]</f>
        <v>2.0433122802749819E-2</v>
      </c>
      <c r="AW1170" s="8"/>
      <c r="AX1170" s="15"/>
      <c r="AY1170" s="8"/>
    </row>
    <row r="1171" spans="3:51" hidden="1" x14ac:dyDescent="0.25">
      <c r="C1171" s="26" t="str">
        <f>Tools!$C$1</f>
        <v>Example</v>
      </c>
      <c r="D1171" s="27" t="s">
        <v>70</v>
      </c>
      <c r="E1171" s="28">
        <v>2020</v>
      </c>
      <c r="F1171" s="28">
        <f>MATCH(DaybyDay[[#This Row],[RowMonth]],Table3[SummaryMonth],0)</f>
        <v>3</v>
      </c>
      <c r="G1171" s="29">
        <f>MATCH(DaybyDay[[#This Row],[LY-Date]],DaybyDay[Date],0)</f>
        <v>801</v>
      </c>
      <c r="H1171" s="30">
        <f>WEEKDAY(DaybyDay[[#This Row],[Date]])</f>
        <v>3</v>
      </c>
      <c r="I1171" s="31">
        <v>43900</v>
      </c>
      <c r="J1171" s="74">
        <v>6</v>
      </c>
      <c r="K1171" s="32">
        <f>SUMIFS(BudgetSeasonality[365 Seasonality],BudgetSeasonality[MonthAdjustment],DaybyDay[[#This Row],[Date]])*SUMIFS(Budgets[Service-Budget],Budgets[BudgetMonth],DaybyDay[[#This Row],[RowMonth]],Budgets[BudgetYear],DaybyDay[[#This Row],[RowYear]])</f>
        <v>3546.5036777962096</v>
      </c>
      <c r="L1171" s="86">
        <v>1561.25</v>
      </c>
      <c r="M1171" s="32">
        <f>INDEX(BudgetSeasonality[365 Seasonality],MATCH(DaybyDay[[#This Row],[Date]],BudgetSeasonality[MonthAdjustment],0))*SUMIFS(Budgets[Retail-Budget],Budgets[BudgetMonth],DaybyDay[[#This Row],[RowMonth]],Budgets[BudgetYear],DaybyDay[[#This Row],[RowYear]])</f>
        <v>862.44247650680325</v>
      </c>
      <c r="N1171" s="86">
        <v>1437.75</v>
      </c>
      <c r="O1171" s="33">
        <f>SUMIFS(DaybyDay[Service-Budgets],DaybyDay[Date],"&gt;="&amp;$C$5,DaybyDay[RowYear],"&gt;="&amp;$C$4,DaybyDay[Date],"&lt;="&amp;DaybyDay[[#This Row],[Date]])</f>
        <v>363226.72177648719</v>
      </c>
      <c r="P1171" s="33">
        <f>SUMIFS(DaybyDay[Retail-Budgets],DaybyDay[Date],"&gt;="&amp;$C$5,DaybyDay[RowYear],"&gt;="&amp;$C$4,DaybyDay[Date],"&lt;="&amp;DaybyDay[[#This Row],[Date]])</f>
        <v>87904.625427159335</v>
      </c>
      <c r="Q1171" s="34">
        <f>SUMIFS(DaybyDay[Service-Actuals],DaybyDay[Date],"&gt;="&amp;$C$5,DaybyDay[RowYear],"&gt;="&amp;$C$4,DaybyDay[Date],"&lt;="&amp;DaybyDay[[#This Row],[Date]])</f>
        <v>373298.87999999995</v>
      </c>
      <c r="R1171" s="34">
        <f>SUMIFS(DaybyDay[Retail-Actuals],DaybyDay[Date],"&gt;="&amp;$C$5,DaybyDay[RowYear],"&gt;="&amp;$C$4,DaybyDay[Date],"&lt;="&amp;DaybyDay[[#This Row],[Date]])</f>
        <v>86285.280000000028</v>
      </c>
      <c r="S1171" s="35">
        <f>SUMIFS(DaybyDay[Service-LY],DaybyDay[Date],"&gt;="&amp;$C$5,DaybyDay[RowYear],"&gt;="&amp;$C$4,DaybyDay[Date],"&lt;="&amp;DaybyDay[[#This Row],[Date]])</f>
        <v>341645.27</v>
      </c>
      <c r="T1171" s="35">
        <f>SUMIFS(DaybyDay[Retail-LY],DaybyDay[Date],"&gt;="&amp;$C$5,DaybyDay[RowYear],"&gt;="&amp;$C$4,DaybyDay[Date],"&lt;="&amp;DaybyDay[[#This Row],[Date]])</f>
        <v>84636.55</v>
      </c>
      <c r="U1171" s="32">
        <f>DaybyDay[[#This Row],[Serv-Bud-RU]]+DaybyDay[[#This Row],[Ret-Bud-RU]]</f>
        <v>451131.34720364655</v>
      </c>
      <c r="V1171" s="32">
        <f>DaybyDay[[#This Row],[Serv-Act-RU]]+DaybyDay[[#This Row],[Ret-Act-RU]]</f>
        <v>459584.16</v>
      </c>
      <c r="W1171" s="36">
        <f>IF(DaybyDay[[#This Row],[_Space]],IFERROR(
((DaybyDay[[#This Row],[Actual-Rollup]]-DaybyDay[[#This Row],[Budget-Rollup]])/DaybyDay[[#This Row],[Budget-Rollup]]),0),"")</f>
        <v>1.8736921849364884E-2</v>
      </c>
      <c r="X1171" t="b">
        <f>NOT(AND(ISBLANK(DaybyDay[[#This Row],[Appts]]),ISBLANK(DaybyDay[[#This Row],[Service-Actuals]]),ISBLANK(DaybyDay[[#This Row],[Retail-Actuals]])))</f>
        <v>1</v>
      </c>
      <c r="Y1171" s="36">
        <f>IF(DaybyDay[[#This Row],[_Space]],IFERROR(
((DaybyDay[[#This Row],[Actual-Rollup]]-DaybyDay[[#This Row],[LY-Rollup]])/DaybyDay[[#This Row],[LY-Rollup]]),0),"")</f>
        <v>7.8122824942428851E-2</v>
      </c>
      <c r="Z1171"/>
      <c r="AA1171" s="37">
        <f>IF(DaybyDay[[#This Row],[_Space]],DaybyDay[[#This Row],[Ret-Act-RU]]/DaybyDay[[#This Row],[Serv-Act-RU]],"")</f>
        <v>0.23114261687578608</v>
      </c>
      <c r="AB1171" s="50">
        <f>IF(DaybyDay[[#This Row],[_Space]],DaybyDay[[#This Row],[RETPEN-Act]]/DaybyDay[[#This Row],[RETPEN-Bud]],"")</f>
        <v>0.95509393939912746</v>
      </c>
      <c r="AC1171" s="37">
        <f>IF(DaybyDay[[#This Row],[_Space]],DaybyDay[[#This Row],[Ret-Bud-RU]]/DaybyDay[[#This Row],[Serv-Bud-RU]],"")</f>
        <v>0.2420103482398846</v>
      </c>
      <c r="AD1171" s="37">
        <f>IF(DaybyDay[[#This Row],[_Space]],DaybyDay[[#This Row],[Ret-LY-RU]]/DaybyDay[[#This Row],[Serv-LY-RU]],"")</f>
        <v>0.24773224578815331</v>
      </c>
      <c r="AE1171" s="30">
        <f>WEEKDAY(DaybyDay[[#This Row],[LY-Date]])</f>
        <v>3</v>
      </c>
      <c r="AF1171" s="38">
        <f>$E$2+_xlfn.DAYS(DaybyDay[[#This Row],[Date]],minDate)</f>
        <v>43536</v>
      </c>
      <c r="AG1171" s="39" cm="1">
        <f t="array" ref="AG1171">IFERROR(INDEX(DaybyDay[],DaybyDay[[#This Row],[FORM_MATCH_HELPER]],8),"")</f>
        <v>16</v>
      </c>
      <c r="AH1171" s="39" cm="1">
        <f t="array" ref="AH1171">IFERROR(INDEX(DaybyDay[],DaybyDay[[#This Row],[FORM_MATCH_HELPER]],10),"")</f>
        <v>3332.45</v>
      </c>
      <c r="AI1171" s="39" cm="1">
        <f t="array" ref="AI1171">IFERROR(INDEX(DaybyDay[],DaybyDay[[#This Row],[FORM_MATCH_HELPER]],12),"")</f>
        <v>853</v>
      </c>
      <c r="AJ1171" s="32">
        <f>IFERROR(DaybyDay[[#This Row],[Serv-LY-RU]]+DaybyDay[[#This Row],[Ret-LY-RU]],"")</f>
        <v>426281.82</v>
      </c>
      <c r="AK11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459584.16</v>
      </c>
      <c r="AL1171" s="77">
        <v>23.05</v>
      </c>
      <c r="AM1171" s="40">
        <f>IF(DaybyDay[[#This Row],[Admin Hours]]&gt;0,DaybyDay[[#This Row],[Admin Hours]]*$AM$2+$AM$3,"")</f>
        <v>874.90000000000009</v>
      </c>
      <c r="AN1171" s="40">
        <f>SUMIFS(DaybyDay[Est-Admin-Payroll],DaybyDay[Date],"&gt;="&amp;$C$5,DaybyDay[RowYear],"&gt;="&amp;$C$4,DaybyDay[Date],"&lt;="&amp;DaybyDay[[#This Row],[Date]])</f>
        <v>9131.32</v>
      </c>
      <c r="AO1171" s="41">
        <f>IF(AND(DaybyDay[[#This Row],[_Space]],ISNUMBER(DaybyDay[[#This Row],[Admin Hours]])),DaybyDay[[#This Row],[Est-Admin-Payroll]]/(DaybyDay[[#This Row],[Service-Actuals]]+DaybyDay[[#This Row],[Retail-Actuals]]),"")</f>
        <v>0.29173057685895304</v>
      </c>
      <c r="AP1171" s="41">
        <f>DaybyDay[[#This Row],[Estimated-Payroll-Rollup]]/DaybyDay[[#This Row],[Simple-Forecast]]</f>
        <v>1.9868656918027812E-2</v>
      </c>
      <c r="AQ11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86285.280000000028</v>
      </c>
      <c r="AR1171" s="77">
        <v>6.5</v>
      </c>
      <c r="AS1171" s="40">
        <f>IF(DaybyDay[[#This Row],[Retail Hours]]&gt;0,DaybyDay[[#This Row],[Retail Hours]]*$AS$2,"")</f>
        <v>195</v>
      </c>
      <c r="AT1171" s="40">
        <f>SUMIFS(DaybyDay[Est-Retail-Payroll],DaybyDay[Date],"&gt;="&amp;$C$5,DaybyDay[RowYear],"&gt;="&amp;$C$4,DaybyDay[Date],"&lt;="&amp;DaybyDay[[#This Row],[Date]])</f>
        <v>1928.6999999999998</v>
      </c>
      <c r="AU1171" s="82">
        <f>IF(AND(DaybyDay[[#This Row],[_Space]],ISNUMBER(DaybyDay[[#This Row],[Retail Hours]])),DaybyDay[[#This Row],[Est-Retail-Payroll]]/(DaybyDay[[#This Row],[Retail-Actuals]]),"")</f>
        <v>0.13562858633281169</v>
      </c>
      <c r="AV1171" s="82">
        <f>DaybyDay[[#This Row],[Est-Retail-PayrollRU]]/DaybyDay[[#This Row],[Simple-Forecast-Retail]]</f>
        <v>2.2352595946840519E-2</v>
      </c>
      <c r="AW1171" s="8"/>
      <c r="AX1171" s="15"/>
      <c r="AY1171" s="8"/>
    </row>
    <row r="1172" spans="3:51" hidden="1" x14ac:dyDescent="0.25">
      <c r="C1172" s="26" t="str">
        <f>Tools!$C$1</f>
        <v>Example</v>
      </c>
      <c r="D1172" s="27" t="s">
        <v>70</v>
      </c>
      <c r="E1172" s="28">
        <v>2020</v>
      </c>
      <c r="F1172" s="28">
        <f>MATCH(DaybyDay[[#This Row],[RowMonth]],Table3[SummaryMonth],0)</f>
        <v>3</v>
      </c>
      <c r="G1172" s="29">
        <f>MATCH(DaybyDay[[#This Row],[LY-Date]],DaybyDay[Date],0)</f>
        <v>802</v>
      </c>
      <c r="H1172" s="30">
        <f>WEEKDAY(DaybyDay[[#This Row],[Date]])</f>
        <v>4</v>
      </c>
      <c r="I1172" s="31">
        <v>43901</v>
      </c>
      <c r="J1172" s="74">
        <v>20</v>
      </c>
      <c r="K1172" s="32">
        <f>SUMIFS(BudgetSeasonality[365 Seasonality],BudgetSeasonality[MonthAdjustment],DaybyDay[[#This Row],[Date]])*SUMIFS(Budgets[Service-Budget],Budgets[BudgetMonth],DaybyDay[[#This Row],[RowMonth]],Budgets[BudgetYear],DaybyDay[[#This Row],[RowYear]])</f>
        <v>4179.7279630131488</v>
      </c>
      <c r="L1172" s="75">
        <v>3984.8</v>
      </c>
      <c r="M1172" s="32">
        <f>INDEX(BudgetSeasonality[365 Seasonality],MATCH(DaybyDay[[#This Row],[Date]],BudgetSeasonality[MonthAdjustment],0))*SUMIFS(Budgets[Retail-Budget],Budgets[BudgetMonth],DaybyDay[[#This Row],[RowMonth]],Budgets[BudgetYear],DaybyDay[[#This Row],[RowYear]])</f>
        <v>1016.4306209843821</v>
      </c>
      <c r="N1172" s="86">
        <v>672.6</v>
      </c>
      <c r="O1172" s="33">
        <f>SUMIFS(DaybyDay[Service-Budgets],DaybyDay[Date],"&gt;="&amp;$C$5,DaybyDay[RowYear],"&gt;="&amp;$C$4,DaybyDay[Date],"&lt;="&amp;DaybyDay[[#This Row],[Date]])</f>
        <v>367406.44973950036</v>
      </c>
      <c r="P1172" s="33">
        <f>SUMIFS(DaybyDay[Retail-Budgets],DaybyDay[Date],"&gt;="&amp;$C$5,DaybyDay[RowYear],"&gt;="&amp;$C$4,DaybyDay[Date],"&lt;="&amp;DaybyDay[[#This Row],[Date]])</f>
        <v>88921.056048143713</v>
      </c>
      <c r="Q1172" s="34">
        <f>SUMIFS(DaybyDay[Service-Actuals],DaybyDay[Date],"&gt;="&amp;$C$5,DaybyDay[RowYear],"&gt;="&amp;$C$4,DaybyDay[Date],"&lt;="&amp;DaybyDay[[#This Row],[Date]])</f>
        <v>377283.67999999993</v>
      </c>
      <c r="R1172" s="34">
        <f>SUMIFS(DaybyDay[Retail-Actuals],DaybyDay[Date],"&gt;="&amp;$C$5,DaybyDay[RowYear],"&gt;="&amp;$C$4,DaybyDay[Date],"&lt;="&amp;DaybyDay[[#This Row],[Date]])</f>
        <v>86957.880000000034</v>
      </c>
      <c r="S1172" s="35">
        <f>SUMIFS(DaybyDay[Service-LY],DaybyDay[Date],"&gt;="&amp;$C$5,DaybyDay[RowYear],"&gt;="&amp;$C$4,DaybyDay[Date],"&lt;="&amp;DaybyDay[[#This Row],[Date]])</f>
        <v>345007.67000000004</v>
      </c>
      <c r="T1172" s="35">
        <f>SUMIFS(DaybyDay[Retail-LY],DaybyDay[Date],"&gt;="&amp;$C$5,DaybyDay[RowYear],"&gt;="&amp;$C$4,DaybyDay[Date],"&lt;="&amp;DaybyDay[[#This Row],[Date]])</f>
        <v>85174.55</v>
      </c>
      <c r="U1172" s="32">
        <f>DaybyDay[[#This Row],[Serv-Bud-RU]]+DaybyDay[[#This Row],[Ret-Bud-RU]]</f>
        <v>456327.50578764407</v>
      </c>
      <c r="V1172" s="32">
        <f>DaybyDay[[#This Row],[Serv-Act-RU]]+DaybyDay[[#This Row],[Ret-Act-RU]]</f>
        <v>464241.55999999994</v>
      </c>
      <c r="W1172" s="36">
        <f>IF(DaybyDay[[#This Row],[_Space]],IFERROR(
((DaybyDay[[#This Row],[Actual-Rollup]]-DaybyDay[[#This Row],[Budget-Rollup]])/DaybyDay[[#This Row],[Budget-Rollup]]),0),"")</f>
        <v>1.734292610456566E-2</v>
      </c>
      <c r="X1172" t="b">
        <f>NOT(AND(ISBLANK(DaybyDay[[#This Row],[Appts]]),ISBLANK(DaybyDay[[#This Row],[Service-Actuals]]),ISBLANK(DaybyDay[[#This Row],[Retail-Actuals]])))</f>
        <v>1</v>
      </c>
      <c r="Y1172" s="36">
        <f>IF(DaybyDay[[#This Row],[_Space]],IFERROR(
((DaybyDay[[#This Row],[Actual-Rollup]]-DaybyDay[[#This Row],[LY-Rollup]])/DaybyDay[[#This Row],[LY-Rollup]]),0),"")</f>
        <v>7.9174215986890173E-2</v>
      </c>
      <c r="Z1172"/>
      <c r="AA1172" s="37">
        <f>IF(DaybyDay[[#This Row],[_Space]],DaybyDay[[#This Row],[Ret-Act-RU]]/DaybyDay[[#This Row],[Serv-Act-RU]],"")</f>
        <v>0.2304840750069021</v>
      </c>
      <c r="AB1172" s="50">
        <f>IF(DaybyDay[[#This Row],[_Space]],DaybyDay[[#This Row],[RETPEN-Act]]/DaybyDay[[#This Row],[RETPEN-Bud]],"")</f>
        <v>0.95232040062513845</v>
      </c>
      <c r="AC1172" s="37">
        <f>IF(DaybyDay[[#This Row],[_Space]],DaybyDay[[#This Row],[Ret-Bud-RU]]/DaybyDay[[#This Row],[Serv-Bud-RU]],"")</f>
        <v>0.24202366646309773</v>
      </c>
      <c r="AD1172" s="37">
        <f>IF(DaybyDay[[#This Row],[_Space]],DaybyDay[[#This Row],[Ret-LY-RU]]/DaybyDay[[#This Row],[Serv-LY-RU]],"")</f>
        <v>0.24687726507645466</v>
      </c>
      <c r="AE1172" s="30">
        <f>WEEKDAY(DaybyDay[[#This Row],[LY-Date]])</f>
        <v>4</v>
      </c>
      <c r="AF1172" s="38">
        <f>$E$2+_xlfn.DAYS(DaybyDay[[#This Row],[Date]],minDate)</f>
        <v>43537</v>
      </c>
      <c r="AG1172" s="39" cm="1">
        <f t="array" ref="AG1172">IFERROR(INDEX(DaybyDay[],DaybyDay[[#This Row],[FORM_MATCH_HELPER]],8),"")</f>
        <v>19</v>
      </c>
      <c r="AH1172" s="39" cm="1">
        <f t="array" ref="AH1172">IFERROR(INDEX(DaybyDay[],DaybyDay[[#This Row],[FORM_MATCH_HELPER]],10),"")</f>
        <v>3362.4</v>
      </c>
      <c r="AI1172" s="39" cm="1">
        <f t="array" ref="AI1172">IFERROR(INDEX(DaybyDay[],DaybyDay[[#This Row],[FORM_MATCH_HELPER]],12),"")</f>
        <v>538</v>
      </c>
      <c r="AJ1172" s="32">
        <f>IFERROR(DaybyDay[[#This Row],[Serv-LY-RU]]+DaybyDay[[#This Row],[Ret-LY-RU]],"")</f>
        <v>430182.22000000003</v>
      </c>
      <c r="AK11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464241.55999999994</v>
      </c>
      <c r="AL1172" s="77">
        <v>26.88</v>
      </c>
      <c r="AM1172" s="40">
        <f>IF(DaybyDay[[#This Row],[Admin Hours]]&gt;0,DaybyDay[[#This Row],[Admin Hours]]*$AM$2+$AM$3,"")</f>
        <v>943.83999999999992</v>
      </c>
      <c r="AN1172" s="40">
        <f>SUMIFS(DaybyDay[Est-Admin-Payroll],DaybyDay[Date],"&gt;="&amp;$C$5,DaybyDay[RowYear],"&gt;="&amp;$C$4,DaybyDay[Date],"&lt;="&amp;DaybyDay[[#This Row],[Date]])</f>
        <v>10075.16</v>
      </c>
      <c r="AO1172" s="41">
        <f>IF(AND(DaybyDay[[#This Row],[_Space]],ISNUMBER(DaybyDay[[#This Row],[Admin Hours]])),DaybyDay[[#This Row],[Est-Admin-Payroll]]/(DaybyDay[[#This Row],[Service-Actuals]]+DaybyDay[[#This Row],[Retail-Actuals]]),"")</f>
        <v>0.20265384119895216</v>
      </c>
      <c r="AP1172" s="41">
        <f>DaybyDay[[#This Row],[Estimated-Payroll-Rollup]]/DaybyDay[[#This Row],[Simple-Forecast]]</f>
        <v>2.1702408547825836E-2</v>
      </c>
      <c r="AQ11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86957.880000000034</v>
      </c>
      <c r="AR1172" s="77">
        <v>6.53</v>
      </c>
      <c r="AS1172" s="40">
        <f>IF(DaybyDay[[#This Row],[Retail Hours]]&gt;0,DaybyDay[[#This Row],[Retail Hours]]*$AS$2,"")</f>
        <v>195.9</v>
      </c>
      <c r="AT1172" s="40">
        <f>SUMIFS(DaybyDay[Est-Retail-Payroll],DaybyDay[Date],"&gt;="&amp;$C$5,DaybyDay[RowYear],"&gt;="&amp;$C$4,DaybyDay[Date],"&lt;="&amp;DaybyDay[[#This Row],[Date]])</f>
        <v>2124.6</v>
      </c>
      <c r="AU1172" s="82">
        <f>IF(AND(DaybyDay[[#This Row],[_Space]],ISNUMBER(DaybyDay[[#This Row],[Retail Hours]])),DaybyDay[[#This Row],[Est-Retail-Payroll]]/(DaybyDay[[#This Row],[Retail-Actuals]]),"")</f>
        <v>0.29125780553077607</v>
      </c>
      <c r="AV1172" s="82">
        <f>DaybyDay[[#This Row],[Est-Retail-PayrollRU]]/DaybyDay[[#This Row],[Simple-Forecast-Retail]]</f>
        <v>2.4432518364063145E-2</v>
      </c>
      <c r="AW1172" s="8"/>
      <c r="AX1172" s="15"/>
      <c r="AY1172" s="8"/>
    </row>
    <row r="1173" spans="3:51" hidden="1" x14ac:dyDescent="0.25">
      <c r="C1173" s="26" t="str">
        <f>Tools!$C$1</f>
        <v>Example</v>
      </c>
      <c r="D1173" s="27" t="s">
        <v>70</v>
      </c>
      <c r="E1173" s="28">
        <v>2020</v>
      </c>
      <c r="F1173" s="28">
        <f>MATCH(DaybyDay[[#This Row],[RowMonth]],Table3[SummaryMonth],0)</f>
        <v>3</v>
      </c>
      <c r="G1173" s="29">
        <f>MATCH(DaybyDay[[#This Row],[LY-Date]],DaybyDay[Date],0)</f>
        <v>803</v>
      </c>
      <c r="H1173" s="30">
        <f>WEEKDAY(DaybyDay[[#This Row],[Date]])</f>
        <v>5</v>
      </c>
      <c r="I1173" s="31">
        <v>43902</v>
      </c>
      <c r="J1173" s="74">
        <v>16</v>
      </c>
      <c r="K1173" s="32">
        <f>SUMIFS(BudgetSeasonality[365 Seasonality],BudgetSeasonality[MonthAdjustment],DaybyDay[[#This Row],[Date]])*SUMIFS(Budgets[Service-Budget],Budgets[BudgetMonth],DaybyDay[[#This Row],[RowMonth]],Budgets[BudgetYear],DaybyDay[[#This Row],[RowYear]])</f>
        <v>4377.7993685521014</v>
      </c>
      <c r="L1173" s="75">
        <v>2641</v>
      </c>
      <c r="M1173" s="32">
        <f>INDEX(BudgetSeasonality[365 Seasonality],MATCH(DaybyDay[[#This Row],[Date]],BudgetSeasonality[MonthAdjustment],0))*SUMIFS(Budgets[Retail-Budget],Budgets[BudgetMonth],DaybyDay[[#This Row],[RowMonth]],Budgets[BudgetYear],DaybyDay[[#This Row],[RowYear]])</f>
        <v>1064.5978327055182</v>
      </c>
      <c r="N1173" s="75">
        <v>672</v>
      </c>
      <c r="O1173" s="33">
        <f>SUMIFS(DaybyDay[Service-Budgets],DaybyDay[Date],"&gt;="&amp;$C$5,DaybyDay[RowYear],"&gt;="&amp;$C$4,DaybyDay[Date],"&lt;="&amp;DaybyDay[[#This Row],[Date]])</f>
        <v>371784.24910805246</v>
      </c>
      <c r="P1173" s="33">
        <f>SUMIFS(DaybyDay[Retail-Budgets],DaybyDay[Date],"&gt;="&amp;$C$5,DaybyDay[RowYear],"&gt;="&amp;$C$4,DaybyDay[Date],"&lt;="&amp;DaybyDay[[#This Row],[Date]])</f>
        <v>89985.653880849233</v>
      </c>
      <c r="Q1173" s="34">
        <f>SUMIFS(DaybyDay[Service-Actuals],DaybyDay[Date],"&gt;="&amp;$C$5,DaybyDay[RowYear],"&gt;="&amp;$C$4,DaybyDay[Date],"&lt;="&amp;DaybyDay[[#This Row],[Date]])</f>
        <v>379924.67999999993</v>
      </c>
      <c r="R1173" s="34">
        <f>SUMIFS(DaybyDay[Retail-Actuals],DaybyDay[Date],"&gt;="&amp;$C$5,DaybyDay[RowYear],"&gt;="&amp;$C$4,DaybyDay[Date],"&lt;="&amp;DaybyDay[[#This Row],[Date]])</f>
        <v>87629.880000000034</v>
      </c>
      <c r="S1173" s="35">
        <f>SUMIFS(DaybyDay[Service-LY],DaybyDay[Date],"&gt;="&amp;$C$5,DaybyDay[RowYear],"&gt;="&amp;$C$4,DaybyDay[Date],"&lt;="&amp;DaybyDay[[#This Row],[Date]])</f>
        <v>349558.92000000004</v>
      </c>
      <c r="T1173" s="35">
        <f>SUMIFS(DaybyDay[Retail-LY],DaybyDay[Date],"&gt;="&amp;$C$5,DaybyDay[RowYear],"&gt;="&amp;$C$4,DaybyDay[Date],"&lt;="&amp;DaybyDay[[#This Row],[Date]])</f>
        <v>86142.35</v>
      </c>
      <c r="U1173" s="32">
        <f>DaybyDay[[#This Row],[Serv-Bud-RU]]+DaybyDay[[#This Row],[Ret-Bud-RU]]</f>
        <v>461769.90298890171</v>
      </c>
      <c r="V1173" s="32">
        <f>DaybyDay[[#This Row],[Serv-Act-RU]]+DaybyDay[[#This Row],[Ret-Act-RU]]</f>
        <v>467554.55999999994</v>
      </c>
      <c r="W1173" s="36">
        <f>IF(DaybyDay[[#This Row],[_Space]],IFERROR(
((DaybyDay[[#This Row],[Actual-Rollup]]-DaybyDay[[#This Row],[Budget-Rollup]])/DaybyDay[[#This Row],[Budget-Rollup]]),0),"")</f>
        <v>1.252714170771164E-2</v>
      </c>
      <c r="X1173" t="b">
        <f>NOT(AND(ISBLANK(DaybyDay[[#This Row],[Appts]]),ISBLANK(DaybyDay[[#This Row],[Service-Actuals]]),ISBLANK(DaybyDay[[#This Row],[Retail-Actuals]])))</f>
        <v>1</v>
      </c>
      <c r="Y1173" s="36">
        <f>IF(DaybyDay[[#This Row],[_Space]],IFERROR(
((DaybyDay[[#This Row],[Actual-Rollup]]-DaybyDay[[#This Row],[LY-Rollup]])/DaybyDay[[#This Row],[LY-Rollup]]),0),"")</f>
        <v>7.3108095370022497E-2</v>
      </c>
      <c r="Z1173"/>
      <c r="AA1173" s="37">
        <f>IF(DaybyDay[[#This Row],[_Space]],DaybyDay[[#This Row],[Ret-Act-RU]]/DaybyDay[[#This Row],[Serv-Act-RU]],"")</f>
        <v>0.23065066475807797</v>
      </c>
      <c r="AB1173" s="50">
        <f>IF(DaybyDay[[#This Row],[_Space]],DaybyDay[[#This Row],[RETPEN-Act]]/DaybyDay[[#This Row],[RETPEN-Bud]],"")</f>
        <v>0.95295506011325404</v>
      </c>
      <c r="AC1173" s="37">
        <f>IF(DaybyDay[[#This Row],[_Space]],DaybyDay[[#This Row],[Ret-Bud-RU]]/DaybyDay[[#This Row],[Serv-Bud-RU]],"")</f>
        <v>0.2420372947394458</v>
      </c>
      <c r="AD1173" s="37">
        <f>IF(DaybyDay[[#This Row],[_Space]],DaybyDay[[#This Row],[Ret-LY-RU]]/DaybyDay[[#This Row],[Serv-LY-RU]],"")</f>
        <v>0.24643156009293082</v>
      </c>
      <c r="AE1173" s="30">
        <f>WEEKDAY(DaybyDay[[#This Row],[LY-Date]])</f>
        <v>5</v>
      </c>
      <c r="AF1173" s="38">
        <f>$E$2+_xlfn.DAYS(DaybyDay[[#This Row],[Date]],minDate)</f>
        <v>43538</v>
      </c>
      <c r="AG1173" s="39" cm="1">
        <f t="array" ref="AG1173">IFERROR(INDEX(DaybyDay[],DaybyDay[[#This Row],[FORM_MATCH_HELPER]],8),"")</f>
        <v>21</v>
      </c>
      <c r="AH1173" s="39" cm="1">
        <f t="array" ref="AH1173">IFERROR(INDEX(DaybyDay[],DaybyDay[[#This Row],[FORM_MATCH_HELPER]],10),"")</f>
        <v>4551.25</v>
      </c>
      <c r="AI1173" s="39" cm="1">
        <f t="array" ref="AI1173">IFERROR(INDEX(DaybyDay[],DaybyDay[[#This Row],[FORM_MATCH_HELPER]],12),"")</f>
        <v>967.8</v>
      </c>
      <c r="AJ1173" s="32">
        <f>IFERROR(DaybyDay[[#This Row],[Serv-LY-RU]]+DaybyDay[[#This Row],[Ret-LY-RU]],"")</f>
        <v>435701.27</v>
      </c>
      <c r="AK11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467554.55999999994</v>
      </c>
      <c r="AL1173" s="77">
        <v>25.17</v>
      </c>
      <c r="AM1173" s="40">
        <f>IF(DaybyDay[[#This Row],[Admin Hours]]&gt;0,DaybyDay[[#This Row],[Admin Hours]]*$AM$2+$AM$3,"")</f>
        <v>913.06000000000006</v>
      </c>
      <c r="AN1173" s="40">
        <f>SUMIFS(DaybyDay[Est-Admin-Payroll],DaybyDay[Date],"&gt;="&amp;$C$5,DaybyDay[RowYear],"&gt;="&amp;$C$4,DaybyDay[Date],"&lt;="&amp;DaybyDay[[#This Row],[Date]])</f>
        <v>10988.22</v>
      </c>
      <c r="AO1173" s="41">
        <f>IF(AND(DaybyDay[[#This Row],[_Space]],ISNUMBER(DaybyDay[[#This Row],[Admin Hours]])),DaybyDay[[#This Row],[Est-Admin-Payroll]]/(DaybyDay[[#This Row],[Service-Actuals]]+DaybyDay[[#This Row],[Retail-Actuals]]),"")</f>
        <v>0.27559915484455177</v>
      </c>
      <c r="AP1173" s="41">
        <f>DaybyDay[[#This Row],[Estimated-Payroll-Rollup]]/DaybyDay[[#This Row],[Simple-Forecast]]</f>
        <v>2.3501471143816885E-2</v>
      </c>
      <c r="AQ11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87629.880000000034</v>
      </c>
      <c r="AR1173" s="77">
        <v>0</v>
      </c>
      <c r="AS1173" s="40" t="str">
        <f>IF(DaybyDay[[#This Row],[Retail Hours]]&gt;0,DaybyDay[[#This Row],[Retail Hours]]*$AS$2,"")</f>
        <v/>
      </c>
      <c r="AT1173" s="40">
        <f>SUMIFS(DaybyDay[Est-Retail-Payroll],DaybyDay[Date],"&gt;="&amp;$C$5,DaybyDay[RowYear],"&gt;="&amp;$C$4,DaybyDay[Date],"&lt;="&amp;DaybyDay[[#This Row],[Date]])</f>
        <v>2124.6</v>
      </c>
      <c r="AU1173" s="82" t="e">
        <f>IF(AND(DaybyDay[[#This Row],[_Space]],ISNUMBER(DaybyDay[[#This Row],[Retail Hours]])),DaybyDay[[#This Row],[Est-Retail-Payroll]]/(DaybyDay[[#This Row],[Retail-Actuals]]),"")</f>
        <v>#VALUE!</v>
      </c>
      <c r="AV1173" s="82">
        <f>DaybyDay[[#This Row],[Est-Retail-PayrollRU]]/DaybyDay[[#This Row],[Simple-Forecast-Retail]]</f>
        <v>2.4245154734891788E-2</v>
      </c>
      <c r="AW1173" s="8"/>
      <c r="AX1173" s="15"/>
      <c r="AY1173" s="8"/>
    </row>
    <row r="1174" spans="3:51" hidden="1" x14ac:dyDescent="0.25">
      <c r="C1174" s="26" t="str">
        <f>Tools!$C$1</f>
        <v>Example</v>
      </c>
      <c r="D1174" s="27" t="s">
        <v>70</v>
      </c>
      <c r="E1174" s="28">
        <v>2020</v>
      </c>
      <c r="F1174" s="28">
        <f>MATCH(DaybyDay[[#This Row],[RowMonth]],Table3[SummaryMonth],0)</f>
        <v>3</v>
      </c>
      <c r="G1174" s="29">
        <f>MATCH(DaybyDay[[#This Row],[LY-Date]],DaybyDay[Date],0)</f>
        <v>804</v>
      </c>
      <c r="H1174" s="30">
        <f>WEEKDAY(DaybyDay[[#This Row],[Date]])</f>
        <v>6</v>
      </c>
      <c r="I1174" s="31">
        <v>43903</v>
      </c>
      <c r="J1174" s="74">
        <v>15</v>
      </c>
      <c r="K1174" s="32">
        <f>SUMIFS(BudgetSeasonality[365 Seasonality],BudgetSeasonality[MonthAdjustment],DaybyDay[[#This Row],[Date]])*SUMIFS(Budgets[Service-Budget],Budgets[BudgetMonth],DaybyDay[[#This Row],[RowMonth]],Budgets[BudgetYear],DaybyDay[[#This Row],[RowYear]])</f>
        <v>5507.7812688500653</v>
      </c>
      <c r="L1174" s="75">
        <v>3074.4</v>
      </c>
      <c r="M1174" s="32">
        <f>INDEX(BudgetSeasonality[365 Seasonality],MATCH(DaybyDay[[#This Row],[Date]],BudgetSeasonality[MonthAdjustment],0))*SUMIFS(Budgets[Retail-Budget],Budgets[BudgetMonth],DaybyDay[[#This Row],[RowMonth]],Budgets[BudgetYear],DaybyDay[[#This Row],[RowYear]])</f>
        <v>1339.3880139767864</v>
      </c>
      <c r="N1174" s="75">
        <v>126</v>
      </c>
      <c r="O1174" s="33">
        <f>SUMIFS(DaybyDay[Service-Budgets],DaybyDay[Date],"&gt;="&amp;$C$5,DaybyDay[RowYear],"&gt;="&amp;$C$4,DaybyDay[Date],"&lt;="&amp;DaybyDay[[#This Row],[Date]])</f>
        <v>377292.03037690255</v>
      </c>
      <c r="P1174" s="33">
        <f>SUMIFS(DaybyDay[Retail-Budgets],DaybyDay[Date],"&gt;="&amp;$C$5,DaybyDay[RowYear],"&gt;="&amp;$C$4,DaybyDay[Date],"&lt;="&amp;DaybyDay[[#This Row],[Date]])</f>
        <v>91325.041894826019</v>
      </c>
      <c r="Q1174" s="34">
        <f>SUMIFS(DaybyDay[Service-Actuals],DaybyDay[Date],"&gt;="&amp;$C$5,DaybyDay[RowYear],"&gt;="&amp;$C$4,DaybyDay[Date],"&lt;="&amp;DaybyDay[[#This Row],[Date]])</f>
        <v>382999.07999999996</v>
      </c>
      <c r="R1174" s="34">
        <f>SUMIFS(DaybyDay[Retail-Actuals],DaybyDay[Date],"&gt;="&amp;$C$5,DaybyDay[RowYear],"&gt;="&amp;$C$4,DaybyDay[Date],"&lt;="&amp;DaybyDay[[#This Row],[Date]])</f>
        <v>87755.880000000034</v>
      </c>
      <c r="S1174" s="35">
        <f>SUMIFS(DaybyDay[Service-LY],DaybyDay[Date],"&gt;="&amp;$C$5,DaybyDay[RowYear],"&gt;="&amp;$C$4,DaybyDay[Date],"&lt;="&amp;DaybyDay[[#This Row],[Date]])</f>
        <v>355071.72000000003</v>
      </c>
      <c r="T1174" s="35">
        <f>SUMIFS(DaybyDay[Retail-LY],DaybyDay[Date],"&gt;="&amp;$C$5,DaybyDay[RowYear],"&gt;="&amp;$C$4,DaybyDay[Date],"&lt;="&amp;DaybyDay[[#This Row],[Date]])</f>
        <v>86348.85</v>
      </c>
      <c r="U1174" s="32">
        <f>DaybyDay[[#This Row],[Serv-Bud-RU]]+DaybyDay[[#This Row],[Ret-Bud-RU]]</f>
        <v>468617.07227172854</v>
      </c>
      <c r="V1174" s="32">
        <f>DaybyDay[[#This Row],[Serv-Act-RU]]+DaybyDay[[#This Row],[Ret-Act-RU]]</f>
        <v>470754.95999999996</v>
      </c>
      <c r="W1174" s="36">
        <f>IF(DaybyDay[[#This Row],[_Space]],IFERROR(
((DaybyDay[[#This Row],[Actual-Rollup]]-DaybyDay[[#This Row],[Budget-Rollup]])/DaybyDay[[#This Row],[Budget-Rollup]]),0),"")</f>
        <v>4.5621208760225568E-3</v>
      </c>
      <c r="X1174" t="b">
        <f>NOT(AND(ISBLANK(DaybyDay[[#This Row],[Appts]]),ISBLANK(DaybyDay[[#This Row],[Service-Actuals]]),ISBLANK(DaybyDay[[#This Row],[Retail-Actuals]])))</f>
        <v>1</v>
      </c>
      <c r="Y1174" s="36">
        <f>IF(DaybyDay[[#This Row],[_Space]],IFERROR(
((DaybyDay[[#This Row],[Actual-Rollup]]-DaybyDay[[#This Row],[LY-Rollup]])/DaybyDay[[#This Row],[LY-Rollup]]),0),"")</f>
        <v>6.6454515248348972E-2</v>
      </c>
      <c r="Z1174"/>
      <c r="AA1174" s="37">
        <f>IF(DaybyDay[[#This Row],[_Space]],DaybyDay[[#This Row],[Ret-Act-RU]]/DaybyDay[[#This Row],[Serv-Act-RU]],"")</f>
        <v>0.22912817440710312</v>
      </c>
      <c r="AB1174" s="50">
        <f>IF(DaybyDay[[#This Row],[_Space]],DaybyDay[[#This Row],[RETPEN-Act]]/DaybyDay[[#This Row],[RETPEN-Bud]],"")</f>
        <v>0.94659944682167907</v>
      </c>
      <c r="AC1174" s="37">
        <f>IF(DaybyDay[[#This Row],[_Space]],DaybyDay[[#This Row],[Ret-Bud-RU]]/DaybyDay[[#This Row],[Serv-Bud-RU]],"")</f>
        <v>0.24205399144952849</v>
      </c>
      <c r="AD1174" s="37">
        <f>IF(DaybyDay[[#This Row],[_Space]],DaybyDay[[#This Row],[Ret-LY-RU]]/DaybyDay[[#This Row],[Serv-LY-RU]],"")</f>
        <v>0.24318706654531652</v>
      </c>
      <c r="AE1174" s="30">
        <f>WEEKDAY(DaybyDay[[#This Row],[LY-Date]])</f>
        <v>6</v>
      </c>
      <c r="AF1174" s="38">
        <f>$E$2+_xlfn.DAYS(DaybyDay[[#This Row],[Date]],minDate)</f>
        <v>43539</v>
      </c>
      <c r="AG1174" s="39" cm="1">
        <f t="array" ref="AG1174">IFERROR(INDEX(DaybyDay[],DaybyDay[[#This Row],[FORM_MATCH_HELPER]],8),"")</f>
        <v>32</v>
      </c>
      <c r="AH1174" s="39" cm="1">
        <f t="array" ref="AH1174">IFERROR(INDEX(DaybyDay[],DaybyDay[[#This Row],[FORM_MATCH_HELPER]],10),"")</f>
        <v>5512.8</v>
      </c>
      <c r="AI1174" s="39" cm="1">
        <f t="array" ref="AI1174">IFERROR(INDEX(DaybyDay[],DaybyDay[[#This Row],[FORM_MATCH_HELPER]],12),"")</f>
        <v>206.5</v>
      </c>
      <c r="AJ1174" s="32">
        <f>IFERROR(DaybyDay[[#This Row],[Serv-LY-RU]]+DaybyDay[[#This Row],[Ret-LY-RU]],"")</f>
        <v>441420.57000000007</v>
      </c>
      <c r="AK11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470754.95999999996</v>
      </c>
      <c r="AL1174" s="77">
        <v>30.78</v>
      </c>
      <c r="AM1174" s="40">
        <f>IF(DaybyDay[[#This Row],[Admin Hours]]&gt;0,DaybyDay[[#This Row],[Admin Hours]]*$AM$2+$AM$3,"")</f>
        <v>1014.04</v>
      </c>
      <c r="AN1174" s="40">
        <f>SUMIFS(DaybyDay[Est-Admin-Payroll],DaybyDay[Date],"&gt;="&amp;$C$5,DaybyDay[RowYear],"&gt;="&amp;$C$4,DaybyDay[Date],"&lt;="&amp;DaybyDay[[#This Row],[Date]])</f>
        <v>12002.259999999998</v>
      </c>
      <c r="AO1174" s="41">
        <f>IF(AND(DaybyDay[[#This Row],[_Space]],ISNUMBER(DaybyDay[[#This Row],[Admin Hours]])),DaybyDay[[#This Row],[Est-Admin-Payroll]]/(DaybyDay[[#This Row],[Service-Actuals]]+DaybyDay[[#This Row],[Retail-Actuals]]),"")</f>
        <v>0.31684789401324831</v>
      </c>
      <c r="AP1174" s="41">
        <f>DaybyDay[[#This Row],[Estimated-Payroll-Rollup]]/DaybyDay[[#This Row],[Simple-Forecast]]</f>
        <v>2.5495769603787074E-2</v>
      </c>
      <c r="AQ11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87755.880000000034</v>
      </c>
      <c r="AR1174" s="77">
        <v>4.47</v>
      </c>
      <c r="AS1174" s="40">
        <f>IF(DaybyDay[[#This Row],[Retail Hours]]&gt;0,DaybyDay[[#This Row],[Retail Hours]]*$AS$2,"")</f>
        <v>134.1</v>
      </c>
      <c r="AT1174" s="40">
        <f>SUMIFS(DaybyDay[Est-Retail-Payroll],DaybyDay[Date],"&gt;="&amp;$C$5,DaybyDay[RowYear],"&gt;="&amp;$C$4,DaybyDay[Date],"&lt;="&amp;DaybyDay[[#This Row],[Date]])</f>
        <v>2258.6999999999998</v>
      </c>
      <c r="AU1174" s="82">
        <f>IF(AND(DaybyDay[[#This Row],[_Space]],ISNUMBER(DaybyDay[[#This Row],[Retail Hours]])),DaybyDay[[#This Row],[Est-Retail-Payroll]]/(DaybyDay[[#This Row],[Retail-Actuals]]),"")</f>
        <v>1.0642857142857143</v>
      </c>
      <c r="AV1174" s="82">
        <f>DaybyDay[[#This Row],[Est-Retail-PayrollRU]]/DaybyDay[[#This Row],[Simple-Forecast-Retail]]</f>
        <v>2.573844624428584E-2</v>
      </c>
      <c r="AW1174" s="8"/>
      <c r="AX1174" s="15"/>
      <c r="AY1174" s="8"/>
    </row>
    <row r="1175" spans="3:51" hidden="1" x14ac:dyDescent="0.25">
      <c r="C1175" s="26" t="str">
        <f>Tools!$C$1</f>
        <v>Example</v>
      </c>
      <c r="D1175" s="27" t="s">
        <v>70</v>
      </c>
      <c r="E1175" s="28">
        <v>2020</v>
      </c>
      <c r="F1175" s="28">
        <f>MATCH(DaybyDay[[#This Row],[RowMonth]],Table3[SummaryMonth],0)</f>
        <v>3</v>
      </c>
      <c r="G1175" s="29">
        <f>MATCH(DaybyDay[[#This Row],[LY-Date]],DaybyDay[Date],0)</f>
        <v>805</v>
      </c>
      <c r="H1175" s="30">
        <f>WEEKDAY(DaybyDay[[#This Row],[Date]])</f>
        <v>7</v>
      </c>
      <c r="I1175" s="31">
        <v>43904</v>
      </c>
      <c r="J1175" s="74">
        <v>11</v>
      </c>
      <c r="K1175" s="32">
        <f>SUMIFS(BudgetSeasonality[365 Seasonality],BudgetSeasonality[MonthAdjustment],DaybyDay[[#This Row],[Date]])*SUMIFS(Budgets[Service-Budget],Budgets[BudgetMonth],DaybyDay[[#This Row],[RowMonth]],Budgets[BudgetYear],DaybyDay[[#This Row],[RowYear]])</f>
        <v>7805.8285407680041</v>
      </c>
      <c r="L1175" s="75">
        <v>1279.75</v>
      </c>
      <c r="M1175" s="32">
        <f>INDEX(BudgetSeasonality[365 Seasonality],MATCH(DaybyDay[[#This Row],[Date]],BudgetSeasonality[MonthAdjustment],0))*SUMIFS(Budgets[Retail-Budget],Budgets[BudgetMonth],DaybyDay[[#This Row],[RowMonth]],Budgets[BudgetYear],DaybyDay[[#This Row],[RowYear]])</f>
        <v>1898.229554937539</v>
      </c>
      <c r="N1175" s="75">
        <v>261.64999999999998</v>
      </c>
      <c r="O1175" s="33">
        <f>SUMIFS(DaybyDay[Service-Budgets],DaybyDay[Date],"&gt;="&amp;$C$5,DaybyDay[RowYear],"&gt;="&amp;$C$4,DaybyDay[Date],"&lt;="&amp;DaybyDay[[#This Row],[Date]])</f>
        <v>385097.85891767056</v>
      </c>
      <c r="P1175" s="33">
        <f>SUMIFS(DaybyDay[Retail-Budgets],DaybyDay[Date],"&gt;="&amp;$C$5,DaybyDay[RowYear],"&gt;="&amp;$C$4,DaybyDay[Date],"&lt;="&amp;DaybyDay[[#This Row],[Date]])</f>
        <v>93223.271449763561</v>
      </c>
      <c r="Q1175" s="34">
        <f>SUMIFS(DaybyDay[Service-Actuals],DaybyDay[Date],"&gt;="&amp;$C$5,DaybyDay[RowYear],"&gt;="&amp;$C$4,DaybyDay[Date],"&lt;="&amp;DaybyDay[[#This Row],[Date]])</f>
        <v>384278.82999999996</v>
      </c>
      <c r="R1175" s="34">
        <f>SUMIFS(DaybyDay[Retail-Actuals],DaybyDay[Date],"&gt;="&amp;$C$5,DaybyDay[RowYear],"&gt;="&amp;$C$4,DaybyDay[Date],"&lt;="&amp;DaybyDay[[#This Row],[Date]])</f>
        <v>88017.530000000028</v>
      </c>
      <c r="S1175" s="35">
        <f>SUMIFS(DaybyDay[Service-LY],DaybyDay[Date],"&gt;="&amp;$C$5,DaybyDay[RowYear],"&gt;="&amp;$C$4,DaybyDay[Date],"&lt;="&amp;DaybyDay[[#This Row],[Date]])</f>
        <v>365611.97000000003</v>
      </c>
      <c r="T1175" s="35">
        <f>SUMIFS(DaybyDay[Retail-LY],DaybyDay[Date],"&gt;="&amp;$C$5,DaybyDay[RowYear],"&gt;="&amp;$C$4,DaybyDay[Date],"&lt;="&amp;DaybyDay[[#This Row],[Date]])</f>
        <v>87089.85</v>
      </c>
      <c r="U1175" s="32">
        <f>DaybyDay[[#This Row],[Serv-Bud-RU]]+DaybyDay[[#This Row],[Ret-Bud-RU]]</f>
        <v>478321.13036743412</v>
      </c>
      <c r="V1175" s="32">
        <f>DaybyDay[[#This Row],[Serv-Act-RU]]+DaybyDay[[#This Row],[Ret-Act-RU]]</f>
        <v>472296.36</v>
      </c>
      <c r="W1175" s="36">
        <f>IF(DaybyDay[[#This Row],[_Space]],IFERROR(
((DaybyDay[[#This Row],[Actual-Rollup]]-DaybyDay[[#This Row],[Budget-Rollup]])/DaybyDay[[#This Row],[Budget-Rollup]]),0),"")</f>
        <v>-1.2595660080511301E-2</v>
      </c>
      <c r="X1175" t="b">
        <f>NOT(AND(ISBLANK(DaybyDay[[#This Row],[Appts]]),ISBLANK(DaybyDay[[#This Row],[Service-Actuals]]),ISBLANK(DaybyDay[[#This Row],[Retail-Actuals]])))</f>
        <v>1</v>
      </c>
      <c r="Y1175" s="36">
        <f>IF(DaybyDay[[#This Row],[_Space]],IFERROR(
((DaybyDay[[#This Row],[Actual-Rollup]]-DaybyDay[[#This Row],[LY-Rollup]])/DaybyDay[[#This Row],[LY-Rollup]]),0),"")</f>
        <v>4.3283545888991387E-2</v>
      </c>
      <c r="Z1175"/>
      <c r="AA1175" s="37">
        <f>IF(DaybyDay[[#This Row],[_Space]],DaybyDay[[#This Row],[Ret-Act-RU]]/DaybyDay[[#This Row],[Serv-Act-RU]],"")</f>
        <v>0.22904600287244561</v>
      </c>
      <c r="AB1175" s="50">
        <f>IF(DaybyDay[[#This Row],[_Space]],DaybyDay[[#This Row],[RETPEN-Act]]/DaybyDay[[#This Row],[RETPEN-Bud]],"")</f>
        <v>0.94617067099347263</v>
      </c>
      <c r="AC1175" s="37">
        <f>IF(DaybyDay[[#This Row],[_Space]],DaybyDay[[#This Row],[Ret-Bud-RU]]/DaybyDay[[#This Row],[Serv-Bud-RU]],"")</f>
        <v>0.24207683655206613</v>
      </c>
      <c r="AD1175" s="37">
        <f>IF(DaybyDay[[#This Row],[_Space]],DaybyDay[[#This Row],[Ret-LY-RU]]/DaybyDay[[#This Row],[Serv-LY-RU]],"")</f>
        <v>0.23820295052155979</v>
      </c>
      <c r="AE1175" s="30">
        <f>WEEKDAY(DaybyDay[[#This Row],[LY-Date]])</f>
        <v>7</v>
      </c>
      <c r="AF1175" s="38">
        <f>$E$2+_xlfn.DAYS(DaybyDay[[#This Row],[Date]],minDate)</f>
        <v>43540</v>
      </c>
      <c r="AG1175" s="39" cm="1">
        <f t="array" ref="AG1175">IFERROR(INDEX(DaybyDay[],DaybyDay[[#This Row],[FORM_MATCH_HELPER]],8),"")</f>
        <v>50</v>
      </c>
      <c r="AH1175" s="39" cm="1">
        <f t="array" ref="AH1175">IFERROR(INDEX(DaybyDay[],DaybyDay[[#This Row],[FORM_MATCH_HELPER]],10),"")</f>
        <v>10540.25</v>
      </c>
      <c r="AI1175" s="39" cm="1">
        <f t="array" ref="AI1175">IFERROR(INDEX(DaybyDay[],DaybyDay[[#This Row],[FORM_MATCH_HELPER]],12),"")</f>
        <v>741</v>
      </c>
      <c r="AJ1175" s="32">
        <f>IFERROR(DaybyDay[[#This Row],[Serv-LY-RU]]+DaybyDay[[#This Row],[Ret-LY-RU]],"")</f>
        <v>452701.82000000007</v>
      </c>
      <c r="AK11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472296.36</v>
      </c>
      <c r="AL1175" s="77">
        <v>33.54</v>
      </c>
      <c r="AM1175" s="40">
        <f>IF(DaybyDay[[#This Row],[Admin Hours]]&gt;0,DaybyDay[[#This Row],[Admin Hours]]*$AM$2+$AM$3,"")</f>
        <v>1063.72</v>
      </c>
      <c r="AN1175" s="40">
        <f>SUMIFS(DaybyDay[Est-Admin-Payroll],DaybyDay[Date],"&gt;="&amp;$C$5,DaybyDay[RowYear],"&gt;="&amp;$C$4,DaybyDay[Date],"&lt;="&amp;DaybyDay[[#This Row],[Date]])</f>
        <v>13065.979999999998</v>
      </c>
      <c r="AO1175" s="41">
        <f>IF(AND(DaybyDay[[#This Row],[_Space]],ISNUMBER(DaybyDay[[#This Row],[Admin Hours]])),DaybyDay[[#This Row],[Est-Admin-Payroll]]/(DaybyDay[[#This Row],[Service-Actuals]]+DaybyDay[[#This Row],[Retail-Actuals]]),"")</f>
        <v>0.69009990917347863</v>
      </c>
      <c r="AP1175" s="41">
        <f>DaybyDay[[#This Row],[Estimated-Payroll-Rollup]]/DaybyDay[[#This Row],[Simple-Forecast]]</f>
        <v>2.7664790810583418E-2</v>
      </c>
      <c r="AQ11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88017.530000000028</v>
      </c>
      <c r="AR1175" s="77">
        <v>5.28</v>
      </c>
      <c r="AS1175" s="40">
        <f>IF(DaybyDay[[#This Row],[Retail Hours]]&gt;0,DaybyDay[[#This Row],[Retail Hours]]*$AS$2,"")</f>
        <v>158.4</v>
      </c>
      <c r="AT1175" s="40">
        <f>SUMIFS(DaybyDay[Est-Retail-Payroll],DaybyDay[Date],"&gt;="&amp;$C$5,DaybyDay[RowYear],"&gt;="&amp;$C$4,DaybyDay[Date],"&lt;="&amp;DaybyDay[[#This Row],[Date]])</f>
        <v>2417.1</v>
      </c>
      <c r="AU1175" s="82">
        <f>IF(AND(DaybyDay[[#This Row],[_Space]],ISNUMBER(DaybyDay[[#This Row],[Retail Hours]])),DaybyDay[[#This Row],[Est-Retail-Payroll]]/(DaybyDay[[#This Row],[Retail-Actuals]]),"")</f>
        <v>0.60538887827250154</v>
      </c>
      <c r="AV1175" s="82">
        <f>DaybyDay[[#This Row],[Est-Retail-PayrollRU]]/DaybyDay[[#This Row],[Simple-Forecast-Retail]]</f>
        <v>2.7461574983983293E-2</v>
      </c>
      <c r="AW1175" s="8"/>
      <c r="AX1175" s="15"/>
      <c r="AY1175" s="8"/>
    </row>
    <row r="1176" spans="3:51" hidden="1" x14ac:dyDescent="0.25">
      <c r="C1176" s="26" t="str">
        <f>Tools!$C$1</f>
        <v>Example</v>
      </c>
      <c r="D1176" s="27" t="s">
        <v>70</v>
      </c>
      <c r="E1176" s="28">
        <v>2020</v>
      </c>
      <c r="F1176" s="28">
        <f>MATCH(DaybyDay[[#This Row],[RowMonth]],Table3[SummaryMonth],0)</f>
        <v>3</v>
      </c>
      <c r="G1176" s="29">
        <f>MATCH(DaybyDay[[#This Row],[LY-Date]],DaybyDay[Date],0)</f>
        <v>806</v>
      </c>
      <c r="H1176" s="30">
        <f>WEEKDAY(DaybyDay[[#This Row],[Date]])</f>
        <v>1</v>
      </c>
      <c r="I1176" s="31">
        <v>43905</v>
      </c>
      <c r="J1176" s="74">
        <v>9</v>
      </c>
      <c r="K1176" s="32">
        <f>SUMIFS(BudgetSeasonality[365 Seasonality],BudgetSeasonality[MonthAdjustment],DaybyDay[[#This Row],[Date]])*SUMIFS(Budgets[Service-Budget],Budgets[BudgetMonth],DaybyDay[[#This Row],[RowMonth]],Budgets[BudgetYear],DaybyDay[[#This Row],[RowYear]])</f>
        <v>6281.8066349291039</v>
      </c>
      <c r="L1176" s="75">
        <v>1275.4000000000001</v>
      </c>
      <c r="M1176" s="32">
        <f>INDEX(BudgetSeasonality[365 Seasonality],MATCH(DaybyDay[[#This Row],[Date]],BudgetSeasonality[MonthAdjustment],0))*SUMIFS(Budgets[Retail-Budget],Budgets[BudgetMonth],DaybyDay[[#This Row],[RowMonth]],Budgets[BudgetYear],DaybyDay[[#This Row],[RowYear]])</f>
        <v>1527.6163126754943</v>
      </c>
      <c r="N1176" s="75">
        <v>342.5</v>
      </c>
      <c r="O1176" s="33">
        <f>SUMIFS(DaybyDay[Service-Budgets],DaybyDay[Date],"&gt;="&amp;$C$5,DaybyDay[RowYear],"&gt;="&amp;$C$4,DaybyDay[Date],"&lt;="&amp;DaybyDay[[#This Row],[Date]])</f>
        <v>391379.66555259965</v>
      </c>
      <c r="P1176" s="33">
        <f>SUMIFS(DaybyDay[Retail-Budgets],DaybyDay[Date],"&gt;="&amp;$C$5,DaybyDay[RowYear],"&gt;="&amp;$C$4,DaybyDay[Date],"&lt;="&amp;DaybyDay[[#This Row],[Date]])</f>
        <v>94750.887762439059</v>
      </c>
      <c r="Q1176" s="34">
        <f>SUMIFS(DaybyDay[Service-Actuals],DaybyDay[Date],"&gt;="&amp;$C$5,DaybyDay[RowYear],"&gt;="&amp;$C$4,DaybyDay[Date],"&lt;="&amp;DaybyDay[[#This Row],[Date]])</f>
        <v>385554.23</v>
      </c>
      <c r="R1176" s="34">
        <f>SUMIFS(DaybyDay[Retail-Actuals],DaybyDay[Date],"&gt;="&amp;$C$5,DaybyDay[RowYear],"&gt;="&amp;$C$4,DaybyDay[Date],"&lt;="&amp;DaybyDay[[#This Row],[Date]])</f>
        <v>88360.030000000028</v>
      </c>
      <c r="S1176" s="35">
        <f>SUMIFS(DaybyDay[Service-LY],DaybyDay[Date],"&gt;="&amp;$C$5,DaybyDay[RowYear],"&gt;="&amp;$C$4,DaybyDay[Date],"&lt;="&amp;DaybyDay[[#This Row],[Date]])</f>
        <v>373149.97000000003</v>
      </c>
      <c r="T1176" s="35">
        <f>SUMIFS(DaybyDay[Retail-LY],DaybyDay[Date],"&gt;="&amp;$C$5,DaybyDay[RowYear],"&gt;="&amp;$C$4,DaybyDay[Date],"&lt;="&amp;DaybyDay[[#This Row],[Date]])</f>
        <v>88183.85</v>
      </c>
      <c r="U1176" s="32">
        <f>DaybyDay[[#This Row],[Serv-Bud-RU]]+DaybyDay[[#This Row],[Ret-Bud-RU]]</f>
        <v>486130.55331503868</v>
      </c>
      <c r="V1176" s="32">
        <f>DaybyDay[[#This Row],[Serv-Act-RU]]+DaybyDay[[#This Row],[Ret-Act-RU]]</f>
        <v>473914.26</v>
      </c>
      <c r="W1176" s="36">
        <f>IF(DaybyDay[[#This Row],[_Space]],IFERROR(
((DaybyDay[[#This Row],[Actual-Rollup]]-DaybyDay[[#This Row],[Budget-Rollup]])/DaybyDay[[#This Row],[Budget-Rollup]]),0),"")</f>
        <v>-2.5129655463399465E-2</v>
      </c>
      <c r="X1176" t="b">
        <f>NOT(AND(ISBLANK(DaybyDay[[#This Row],[Appts]]),ISBLANK(DaybyDay[[#This Row],[Service-Actuals]]),ISBLANK(DaybyDay[[#This Row],[Retail-Actuals]])))</f>
        <v>1</v>
      </c>
      <c r="Y1176" s="36">
        <f>IF(DaybyDay[[#This Row],[_Space]],IFERROR(
((DaybyDay[[#This Row],[Actual-Rollup]]-DaybyDay[[#This Row],[LY-Rollup]])/DaybyDay[[#This Row],[LY-Rollup]]),0),"")</f>
        <v>2.7269711117212134E-2</v>
      </c>
      <c r="Z1176"/>
      <c r="AA1176" s="37">
        <f>IF(DaybyDay[[#This Row],[_Space]],DaybyDay[[#This Row],[Ret-Act-RU]]/DaybyDay[[#This Row],[Serv-Act-RU]],"")</f>
        <v>0.22917665823560029</v>
      </c>
      <c r="AB1176" s="50">
        <f>IF(DaybyDay[[#This Row],[_Space]],DaybyDay[[#This Row],[RETPEN-Act]]/DaybyDay[[#This Row],[RETPEN-Bud]],"")</f>
        <v>0.9466410919293613</v>
      </c>
      <c r="AC1176" s="37">
        <f>IF(DaybyDay[[#This Row],[_Space]],DaybyDay[[#This Row],[Ret-Bud-RU]]/DaybyDay[[#This Row],[Serv-Bud-RU]],"")</f>
        <v>0.24209455958489232</v>
      </c>
      <c r="AD1176" s="37">
        <f>IF(DaybyDay[[#This Row],[_Space]],DaybyDay[[#This Row],[Ret-LY-RU]]/DaybyDay[[#This Row],[Serv-LY-RU]],"")</f>
        <v>0.23632281144227346</v>
      </c>
      <c r="AE1176" s="30">
        <f>WEEKDAY(DaybyDay[[#This Row],[LY-Date]])</f>
        <v>1</v>
      </c>
      <c r="AF1176" s="38">
        <f>$E$2+_xlfn.DAYS(DaybyDay[[#This Row],[Date]],minDate)</f>
        <v>43541</v>
      </c>
      <c r="AG1176" s="39" cm="1">
        <f t="array" ref="AG1176">IFERROR(INDEX(DaybyDay[],DaybyDay[[#This Row],[FORM_MATCH_HELPER]],8),"")</f>
        <v>35</v>
      </c>
      <c r="AH1176" s="39" cm="1">
        <f t="array" ref="AH1176">IFERROR(INDEX(DaybyDay[],DaybyDay[[#This Row],[FORM_MATCH_HELPER]],10),"")</f>
        <v>7538</v>
      </c>
      <c r="AI1176" s="39" cm="1">
        <f t="array" ref="AI1176">IFERROR(INDEX(DaybyDay[],DaybyDay[[#This Row],[FORM_MATCH_HELPER]],12),"")</f>
        <v>1094</v>
      </c>
      <c r="AJ1176" s="32">
        <f>IFERROR(DaybyDay[[#This Row],[Serv-LY-RU]]+DaybyDay[[#This Row],[Ret-LY-RU]],"")</f>
        <v>461333.82000000007</v>
      </c>
      <c r="AK11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473914.26</v>
      </c>
      <c r="AL1176" s="77">
        <v>23.1</v>
      </c>
      <c r="AM1176" s="40">
        <f>IF(DaybyDay[[#This Row],[Admin Hours]]&gt;0,DaybyDay[[#This Row],[Admin Hours]]*$AM$2+$AM$3,"")</f>
        <v>875.8</v>
      </c>
      <c r="AN1176" s="40">
        <f>SUMIFS(DaybyDay[Est-Admin-Payroll],DaybyDay[Date],"&gt;="&amp;$C$5,DaybyDay[RowYear],"&gt;="&amp;$C$4,DaybyDay[Date],"&lt;="&amp;DaybyDay[[#This Row],[Date]])</f>
        <v>13941.779999999997</v>
      </c>
      <c r="AO1176" s="41">
        <f>IF(AND(DaybyDay[[#This Row],[_Space]],ISNUMBER(DaybyDay[[#This Row],[Admin Hours]])),DaybyDay[[#This Row],[Est-Admin-Payroll]]/(DaybyDay[[#This Row],[Service-Actuals]]+DaybyDay[[#This Row],[Retail-Actuals]]),"")</f>
        <v>0.54131899375733972</v>
      </c>
      <c r="AP1176" s="41">
        <f>DaybyDay[[#This Row],[Estimated-Payroll-Rollup]]/DaybyDay[[#This Row],[Simple-Forecast]]</f>
        <v>2.9418359346266552E-2</v>
      </c>
      <c r="AQ11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88360.030000000028</v>
      </c>
      <c r="AR1176" s="77">
        <v>7</v>
      </c>
      <c r="AS1176" s="40">
        <f>IF(DaybyDay[[#This Row],[Retail Hours]]&gt;0,DaybyDay[[#This Row],[Retail Hours]]*$AS$2,"")</f>
        <v>210</v>
      </c>
      <c r="AT1176" s="40">
        <f>SUMIFS(DaybyDay[Est-Retail-Payroll],DaybyDay[Date],"&gt;="&amp;$C$5,DaybyDay[RowYear],"&gt;="&amp;$C$4,DaybyDay[Date],"&lt;="&amp;DaybyDay[[#This Row],[Date]])</f>
        <v>2627.1</v>
      </c>
      <c r="AU1176" s="82">
        <f>IF(AND(DaybyDay[[#This Row],[_Space]],ISNUMBER(DaybyDay[[#This Row],[Retail Hours]])),DaybyDay[[#This Row],[Est-Retail-Payroll]]/(DaybyDay[[#This Row],[Retail-Actuals]]),"")</f>
        <v>0.61313868613138689</v>
      </c>
      <c r="AV1176" s="82">
        <f>DaybyDay[[#This Row],[Est-Retail-PayrollRU]]/DaybyDay[[#This Row],[Simple-Forecast-Retail]]</f>
        <v>2.9731768991024553E-2</v>
      </c>
      <c r="AW1176" s="8"/>
      <c r="AX1176" s="15"/>
      <c r="AY1176" s="8"/>
    </row>
    <row r="1177" spans="3:51" hidden="1" x14ac:dyDescent="0.25">
      <c r="C1177" s="26" t="str">
        <f>Tools!$C$1</f>
        <v>Example</v>
      </c>
      <c r="D1177" s="27" t="s">
        <v>70</v>
      </c>
      <c r="E1177" s="28">
        <v>2020</v>
      </c>
      <c r="F1177" s="28">
        <f>MATCH(DaybyDay[[#This Row],[RowMonth]],Table3[SummaryMonth],0)</f>
        <v>3</v>
      </c>
      <c r="G1177" s="29">
        <f>MATCH(DaybyDay[[#This Row],[LY-Date]],DaybyDay[Date],0)</f>
        <v>807</v>
      </c>
      <c r="H1177" s="30">
        <f>WEEKDAY(DaybyDay[[#This Row],[Date]])</f>
        <v>2</v>
      </c>
      <c r="I1177" s="31">
        <v>43906</v>
      </c>
      <c r="J1177" s="74"/>
      <c r="K1177" s="32">
        <f>SUMIFS(BudgetSeasonality[365 Seasonality],BudgetSeasonality[MonthAdjustment],DaybyDay[[#This Row],[Date]])*SUMIFS(Budgets[Service-Budget],Budgets[BudgetMonth],DaybyDay[[#This Row],[RowMonth]],Budgets[BudgetYear],DaybyDay[[#This Row],[RowYear]])</f>
        <v>4015.1564676446164</v>
      </c>
      <c r="L1177" s="75"/>
      <c r="M1177" s="32">
        <f>INDEX(BudgetSeasonality[365 Seasonality],MATCH(DaybyDay[[#This Row],[Date]],BudgetSeasonality[MonthAdjustment],0))*SUMIFS(Budgets[Retail-Budget],Budgets[BudgetMonth],DaybyDay[[#This Row],[RowMonth]],Budgets[BudgetYear],DaybyDay[[#This Row],[RowYear]])</f>
        <v>976.40995248298577</v>
      </c>
      <c r="N1177" s="75"/>
      <c r="O1177" s="33">
        <f>SUMIFS(DaybyDay[Service-Budgets],DaybyDay[Date],"&gt;="&amp;$C$5,DaybyDay[RowYear],"&gt;="&amp;$C$4,DaybyDay[Date],"&lt;="&amp;DaybyDay[[#This Row],[Date]])</f>
        <v>395394.82202024426</v>
      </c>
      <c r="P1177" s="33">
        <f>SUMIFS(DaybyDay[Retail-Budgets],DaybyDay[Date],"&gt;="&amp;$C$5,DaybyDay[RowYear],"&gt;="&amp;$C$4,DaybyDay[Date],"&lt;="&amp;DaybyDay[[#This Row],[Date]])</f>
        <v>95727.297714922039</v>
      </c>
      <c r="Q1177" s="34">
        <f>SUMIFS(DaybyDay[Service-Actuals],DaybyDay[Date],"&gt;="&amp;$C$5,DaybyDay[RowYear],"&gt;="&amp;$C$4,DaybyDay[Date],"&lt;="&amp;DaybyDay[[#This Row],[Date]])</f>
        <v>385554.23</v>
      </c>
      <c r="R1177" s="34">
        <f>SUMIFS(DaybyDay[Retail-Actuals],DaybyDay[Date],"&gt;="&amp;$C$5,DaybyDay[RowYear],"&gt;="&amp;$C$4,DaybyDay[Date],"&lt;="&amp;DaybyDay[[#This Row],[Date]])</f>
        <v>88360.030000000028</v>
      </c>
      <c r="S1177" s="35">
        <f>SUMIFS(DaybyDay[Service-LY],DaybyDay[Date],"&gt;="&amp;$C$5,DaybyDay[RowYear],"&gt;="&amp;$C$4,DaybyDay[Date],"&lt;="&amp;DaybyDay[[#This Row],[Date]])</f>
        <v>376123.97000000003</v>
      </c>
      <c r="T1177" s="35">
        <f>SUMIFS(DaybyDay[Retail-LY],DaybyDay[Date],"&gt;="&amp;$C$5,DaybyDay[RowYear],"&gt;="&amp;$C$4,DaybyDay[Date],"&lt;="&amp;DaybyDay[[#This Row],[Date]])</f>
        <v>89088.85</v>
      </c>
      <c r="U1177" s="32">
        <f>DaybyDay[[#This Row],[Serv-Bud-RU]]+DaybyDay[[#This Row],[Ret-Bud-RU]]</f>
        <v>491122.11973516631</v>
      </c>
      <c r="V1177" s="32">
        <f>DaybyDay[[#This Row],[Serv-Act-RU]]+DaybyDay[[#This Row],[Ret-Act-RU]]</f>
        <v>473914.26</v>
      </c>
      <c r="W1177" s="36" t="str">
        <f>IF(DaybyDay[[#This Row],[_Space]],IFERROR(
((DaybyDay[[#This Row],[Actual-Rollup]]-DaybyDay[[#This Row],[Budget-Rollup]])/DaybyDay[[#This Row],[Budget-Rollup]]),0),"")</f>
        <v/>
      </c>
      <c r="X1177" t="b">
        <f>NOT(AND(ISBLANK(DaybyDay[[#This Row],[Appts]]),ISBLANK(DaybyDay[[#This Row],[Service-Actuals]]),ISBLANK(DaybyDay[[#This Row],[Retail-Actuals]])))</f>
        <v>0</v>
      </c>
      <c r="Y1177" s="36" t="str">
        <f>IF(DaybyDay[[#This Row],[_Space]],IFERROR(
((DaybyDay[[#This Row],[Actual-Rollup]]-DaybyDay[[#This Row],[LY-Rollup]])/DaybyDay[[#This Row],[LY-Rollup]]),0),"")</f>
        <v/>
      </c>
      <c r="Z1177"/>
      <c r="AA1177" s="37" t="str">
        <f>IF(DaybyDay[[#This Row],[_Space]],DaybyDay[[#This Row],[Ret-Act-RU]]/DaybyDay[[#This Row],[Serv-Act-RU]],"")</f>
        <v/>
      </c>
      <c r="AB1177" s="50" t="str">
        <f>IF(DaybyDay[[#This Row],[_Space]],DaybyDay[[#This Row],[RETPEN-Act]]/DaybyDay[[#This Row],[RETPEN-Bud]],"")</f>
        <v/>
      </c>
      <c r="AC1177" s="37" t="str">
        <f>IF(DaybyDay[[#This Row],[_Space]],DaybyDay[[#This Row],[Ret-Bud-RU]]/DaybyDay[[#This Row],[Serv-Bud-RU]],"")</f>
        <v/>
      </c>
      <c r="AD1177" s="37" t="str">
        <f>IF(DaybyDay[[#This Row],[_Space]],DaybyDay[[#This Row],[Ret-LY-RU]]/DaybyDay[[#This Row],[Serv-LY-RU]],"")</f>
        <v/>
      </c>
      <c r="AE1177" s="30">
        <f>WEEKDAY(DaybyDay[[#This Row],[LY-Date]])</f>
        <v>2</v>
      </c>
      <c r="AF1177" s="38">
        <f>$E$2+_xlfn.DAYS(DaybyDay[[#This Row],[Date]],minDate)</f>
        <v>43542</v>
      </c>
      <c r="AG1177" s="39" cm="1">
        <f t="array" ref="AG1177">IFERROR(INDEX(DaybyDay[],DaybyDay[[#This Row],[FORM_MATCH_HELPER]],8),"")</f>
        <v>18</v>
      </c>
      <c r="AH1177" s="39" cm="1">
        <f t="array" ref="AH1177">IFERROR(INDEX(DaybyDay[],DaybyDay[[#This Row],[FORM_MATCH_HELPER]],10),"")</f>
        <v>2974</v>
      </c>
      <c r="AI1177" s="39" cm="1">
        <f t="array" ref="AI1177">IFERROR(INDEX(DaybyDay[],DaybyDay[[#This Row],[FORM_MATCH_HELPER]],12),"")</f>
        <v>905</v>
      </c>
      <c r="AJ1177" s="32">
        <f>IFERROR(DaybyDay[[#This Row],[Serv-LY-RU]]+DaybyDay[[#This Row],[Ret-LY-RU]],"")</f>
        <v>465212.82000000007</v>
      </c>
      <c r="AK11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477949.96146384999</v>
      </c>
      <c r="AL1177" s="77"/>
      <c r="AM1177" s="40" t="str">
        <f>IF(DaybyDay[[#This Row],[Admin Hours]]&gt;0,DaybyDay[[#This Row],[Admin Hours]]*$AM$2+$AM$3,"")</f>
        <v/>
      </c>
      <c r="AN1177" s="40">
        <f>SUMIFS(DaybyDay[Est-Admin-Payroll],DaybyDay[Date],"&gt;="&amp;$C$5,DaybyDay[RowYear],"&gt;="&amp;$C$4,DaybyDay[Date],"&lt;="&amp;DaybyDay[[#This Row],[Date]])</f>
        <v>13941.779999999997</v>
      </c>
      <c r="AO1177" s="41" t="str">
        <f>IF(AND(DaybyDay[[#This Row],[_Space]],ISNUMBER(DaybyDay[[#This Row],[Admin Hours]])),DaybyDay[[#This Row],[Est-Admin-Payroll]]/(DaybyDay[[#This Row],[Service-Actuals]]+DaybyDay[[#This Row],[Retail-Actuals]]),"")</f>
        <v/>
      </c>
      <c r="AP1177" s="41">
        <f>DaybyDay[[#This Row],[Estimated-Payroll-Rollup]]/DaybyDay[[#This Row],[Simple-Forecast]]</f>
        <v>2.9169957368130245E-2</v>
      </c>
      <c r="AQ11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89221.554789218295</v>
      </c>
      <c r="AR1177" s="77">
        <v>0</v>
      </c>
      <c r="AS1177" s="40" t="str">
        <f>IF(DaybyDay[[#This Row],[Retail Hours]]&gt;0,DaybyDay[[#This Row],[Retail Hours]]*$AS$2,"")</f>
        <v/>
      </c>
      <c r="AT1177" s="40">
        <f>SUMIFS(DaybyDay[Est-Retail-Payroll],DaybyDay[Date],"&gt;="&amp;$C$5,DaybyDay[RowYear],"&gt;="&amp;$C$4,DaybyDay[Date],"&lt;="&amp;DaybyDay[[#This Row],[Date]])</f>
        <v>2627.1</v>
      </c>
      <c r="AU1177" s="82" t="str">
        <f>IF(AND(DaybyDay[[#This Row],[_Space]],ISNUMBER(DaybyDay[[#This Row],[Retail Hours]])),DaybyDay[[#This Row],[Est-Retail-Payroll]]/(DaybyDay[[#This Row],[Retail-Actuals]]),"")</f>
        <v/>
      </c>
      <c r="AV1177" s="82">
        <f>DaybyDay[[#This Row],[Est-Retail-PayrollRU]]/DaybyDay[[#This Row],[Simple-Forecast-Retail]]</f>
        <v>2.9444678544398823E-2</v>
      </c>
      <c r="AW1177" s="8"/>
      <c r="AX1177" s="15"/>
      <c r="AY1177" s="8"/>
    </row>
    <row r="1178" spans="3:51" hidden="1" x14ac:dyDescent="0.25">
      <c r="C1178" s="26" t="str">
        <f>Tools!$C$1</f>
        <v>Example</v>
      </c>
      <c r="D1178" s="27" t="s">
        <v>70</v>
      </c>
      <c r="E1178" s="28">
        <v>2020</v>
      </c>
      <c r="F1178" s="28">
        <f>MATCH(DaybyDay[[#This Row],[RowMonth]],Table3[SummaryMonth],0)</f>
        <v>3</v>
      </c>
      <c r="G1178" s="29">
        <f>MATCH(DaybyDay[[#This Row],[LY-Date]],DaybyDay[Date],0)</f>
        <v>808</v>
      </c>
      <c r="H1178" s="30">
        <f>WEEKDAY(DaybyDay[[#This Row],[Date]])</f>
        <v>3</v>
      </c>
      <c r="I1178" s="31">
        <v>43907</v>
      </c>
      <c r="J1178" s="74"/>
      <c r="K1178" s="32">
        <f>SUMIFS(BudgetSeasonality[365 Seasonality],BudgetSeasonality[MonthAdjustment],DaybyDay[[#This Row],[Date]])*SUMIFS(Budgets[Service-Budget],Budgets[BudgetMonth],DaybyDay[[#This Row],[RowMonth]],Budgets[BudgetYear],DaybyDay[[#This Row],[RowYear]])</f>
        <v>4249.9391427656265</v>
      </c>
      <c r="L1178" s="75"/>
      <c r="M1178" s="32">
        <f>INDEX(BudgetSeasonality[365 Seasonality],MATCH(DaybyDay[[#This Row],[Date]],BudgetSeasonality[MonthAdjustment],0))*SUMIFS(Budgets[Retail-Budget],Budgets[BudgetMonth],DaybyDay[[#This Row],[RowMonth]],Budgets[BudgetYear],DaybyDay[[#This Row],[RowYear]])</f>
        <v>1033.504649166927</v>
      </c>
      <c r="N1178" s="75"/>
      <c r="O1178" s="33">
        <f>SUMIFS(DaybyDay[Service-Budgets],DaybyDay[Date],"&gt;="&amp;$C$5,DaybyDay[RowYear],"&gt;="&amp;$C$4,DaybyDay[Date],"&lt;="&amp;DaybyDay[[#This Row],[Date]])</f>
        <v>399644.76116300991</v>
      </c>
      <c r="P1178" s="33">
        <f>SUMIFS(DaybyDay[Retail-Budgets],DaybyDay[Date],"&gt;="&amp;$C$5,DaybyDay[RowYear],"&gt;="&amp;$C$4,DaybyDay[Date],"&lt;="&amp;DaybyDay[[#This Row],[Date]])</f>
        <v>96760.802364088959</v>
      </c>
      <c r="Q1178" s="34">
        <f>SUMIFS(DaybyDay[Service-Actuals],DaybyDay[Date],"&gt;="&amp;$C$5,DaybyDay[RowYear],"&gt;="&amp;$C$4,DaybyDay[Date],"&lt;="&amp;DaybyDay[[#This Row],[Date]])</f>
        <v>385554.23</v>
      </c>
      <c r="R1178" s="34">
        <f>SUMIFS(DaybyDay[Retail-Actuals],DaybyDay[Date],"&gt;="&amp;$C$5,DaybyDay[RowYear],"&gt;="&amp;$C$4,DaybyDay[Date],"&lt;="&amp;DaybyDay[[#This Row],[Date]])</f>
        <v>88360.030000000028</v>
      </c>
      <c r="S1178" s="35">
        <f>SUMIFS(DaybyDay[Service-LY],DaybyDay[Date],"&gt;="&amp;$C$5,DaybyDay[RowYear],"&gt;="&amp;$C$4,DaybyDay[Date],"&lt;="&amp;DaybyDay[[#This Row],[Date]])</f>
        <v>380339.97000000003</v>
      </c>
      <c r="T1178" s="35">
        <f>SUMIFS(DaybyDay[Retail-LY],DaybyDay[Date],"&gt;="&amp;$C$5,DaybyDay[RowYear],"&gt;="&amp;$C$4,DaybyDay[Date],"&lt;="&amp;DaybyDay[[#This Row],[Date]])</f>
        <v>89728.85</v>
      </c>
      <c r="U1178" s="32">
        <f>DaybyDay[[#This Row],[Serv-Bud-RU]]+DaybyDay[[#This Row],[Ret-Bud-RU]]</f>
        <v>496405.56352709886</v>
      </c>
      <c r="V1178" s="32">
        <f>DaybyDay[[#This Row],[Serv-Act-RU]]+DaybyDay[[#This Row],[Ret-Act-RU]]</f>
        <v>473914.26</v>
      </c>
      <c r="W1178" s="36" t="str">
        <f>IF(DaybyDay[[#This Row],[_Space]],IFERROR(
((DaybyDay[[#This Row],[Actual-Rollup]]-DaybyDay[[#This Row],[Budget-Rollup]])/DaybyDay[[#This Row],[Budget-Rollup]]),0),"")</f>
        <v/>
      </c>
      <c r="X1178" t="b">
        <f>NOT(AND(ISBLANK(DaybyDay[[#This Row],[Appts]]),ISBLANK(DaybyDay[[#This Row],[Service-Actuals]]),ISBLANK(DaybyDay[[#This Row],[Retail-Actuals]])))</f>
        <v>0</v>
      </c>
      <c r="Y1178" s="36" t="str">
        <f>IF(DaybyDay[[#This Row],[_Space]],IFERROR(
((DaybyDay[[#This Row],[Actual-Rollup]]-DaybyDay[[#This Row],[LY-Rollup]])/DaybyDay[[#This Row],[LY-Rollup]]),0),"")</f>
        <v/>
      </c>
      <c r="Z1178"/>
      <c r="AA1178" s="37" t="str">
        <f>IF(DaybyDay[[#This Row],[_Space]],DaybyDay[[#This Row],[Ret-Act-RU]]/DaybyDay[[#This Row],[Serv-Act-RU]],"")</f>
        <v/>
      </c>
      <c r="AB1178" s="50" t="str">
        <f>IF(DaybyDay[[#This Row],[_Space]],DaybyDay[[#This Row],[RETPEN-Act]]/DaybyDay[[#This Row],[RETPEN-Bud]],"")</f>
        <v/>
      </c>
      <c r="AC1178" s="37" t="str">
        <f>IF(DaybyDay[[#This Row],[_Space]],DaybyDay[[#This Row],[Ret-Bud-RU]]/DaybyDay[[#This Row],[Serv-Bud-RU]],"")</f>
        <v/>
      </c>
      <c r="AD1178" s="37" t="str">
        <f>IF(DaybyDay[[#This Row],[_Space]],DaybyDay[[#This Row],[Ret-LY-RU]]/DaybyDay[[#This Row],[Serv-LY-RU]],"")</f>
        <v/>
      </c>
      <c r="AE1178" s="30">
        <f>WEEKDAY(DaybyDay[[#This Row],[LY-Date]])</f>
        <v>3</v>
      </c>
      <c r="AF1178" s="38">
        <f>$E$2+_xlfn.DAYS(DaybyDay[[#This Row],[Date]],minDate)</f>
        <v>43543</v>
      </c>
      <c r="AG1178" s="39" cm="1">
        <f t="array" ref="AG1178">IFERROR(INDEX(DaybyDay[],DaybyDay[[#This Row],[FORM_MATCH_HELPER]],8),"")</f>
        <v>24</v>
      </c>
      <c r="AH1178" s="39" cm="1">
        <f t="array" ref="AH1178">IFERROR(INDEX(DaybyDay[],DaybyDay[[#This Row],[FORM_MATCH_HELPER]],10),"")</f>
        <v>4216</v>
      </c>
      <c r="AI1178" s="39" cm="1">
        <f t="array" ref="AI1178">IFERROR(INDEX(DaybyDay[],DaybyDay[[#This Row],[FORM_MATCH_HELPER]],12),"")</f>
        <v>640</v>
      </c>
      <c r="AJ1178" s="32">
        <f>IFERROR(DaybyDay[[#This Row],[Serv-LY-RU]]+DaybyDay[[#This Row],[Ret-LY-RU]],"")</f>
        <v>470068.82000000007</v>
      </c>
      <c r="AK11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482591.51759910805</v>
      </c>
      <c r="AL1178" s="77"/>
      <c r="AM1178" s="40" t="str">
        <f>IF(DaybyDay[[#This Row],[Admin Hours]]&gt;0,DaybyDay[[#This Row],[Admin Hours]]*$AM$2+$AM$3,"")</f>
        <v/>
      </c>
      <c r="AN1178" s="40">
        <f>SUMIFS(DaybyDay[Est-Admin-Payroll],DaybyDay[Date],"&gt;="&amp;$C$5,DaybyDay[RowYear],"&gt;="&amp;$C$4,DaybyDay[Date],"&lt;="&amp;DaybyDay[[#This Row],[Date]])</f>
        <v>13941.779999999997</v>
      </c>
      <c r="AO1178" s="41" t="str">
        <f>IF(AND(DaybyDay[[#This Row],[_Space]],ISNUMBER(DaybyDay[[#This Row],[Admin Hours]])),DaybyDay[[#This Row],[Est-Admin-Payroll]]/(DaybyDay[[#This Row],[Service-Actuals]]+DaybyDay[[#This Row],[Retail-Actuals]]),"")</f>
        <v/>
      </c>
      <c r="AP1178" s="41">
        <f>DaybyDay[[#This Row],[Estimated-Payroll-Rollup]]/DaybyDay[[#This Row],[Simple-Forecast]]</f>
        <v>2.8889401267059828E-2</v>
      </c>
      <c r="AQ11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89976.708629370682</v>
      </c>
      <c r="AR1178" s="77"/>
      <c r="AS1178" s="40" t="str">
        <f>IF(DaybyDay[[#This Row],[Retail Hours]]&gt;0,DaybyDay[[#This Row],[Retail Hours]]*$AS$2,"")</f>
        <v/>
      </c>
      <c r="AT1178" s="40">
        <f>SUMIFS(DaybyDay[Est-Retail-Payroll],DaybyDay[Date],"&gt;="&amp;$C$5,DaybyDay[RowYear],"&gt;="&amp;$C$4,DaybyDay[Date],"&lt;="&amp;DaybyDay[[#This Row],[Date]])</f>
        <v>2627.1</v>
      </c>
      <c r="AU1178" s="82" t="str">
        <f>IF(AND(DaybyDay[[#This Row],[_Space]],ISNUMBER(DaybyDay[[#This Row],[Retail Hours]])),DaybyDay[[#This Row],[Est-Retail-Payroll]]/(DaybyDay[[#This Row],[Retail-Actuals]]),"")</f>
        <v/>
      </c>
      <c r="AV1178" s="82">
        <f>DaybyDay[[#This Row],[Est-Retail-PayrollRU]]/DaybyDay[[#This Row],[Simple-Forecast-Retail]]</f>
        <v>2.9197556123345989E-2</v>
      </c>
      <c r="AW1178" s="8"/>
      <c r="AX1178" s="15"/>
      <c r="AY1178" s="8"/>
    </row>
    <row r="1179" spans="3:51" hidden="1" x14ac:dyDescent="0.25">
      <c r="C1179" s="26" t="str">
        <f>Tools!$C$1</f>
        <v>Example</v>
      </c>
      <c r="D1179" s="27" t="s">
        <v>70</v>
      </c>
      <c r="E1179" s="28">
        <v>2020</v>
      </c>
      <c r="F1179" s="28">
        <f>MATCH(DaybyDay[[#This Row],[RowMonth]],Table3[SummaryMonth],0)</f>
        <v>3</v>
      </c>
      <c r="G1179" s="29">
        <f>MATCH(DaybyDay[[#This Row],[LY-Date]],DaybyDay[Date],0)</f>
        <v>809</v>
      </c>
      <c r="H1179" s="30">
        <f>WEEKDAY(DaybyDay[[#This Row],[Date]])</f>
        <v>4</v>
      </c>
      <c r="I1179" s="31">
        <v>43908</v>
      </c>
      <c r="J1179" s="74"/>
      <c r="K1179" s="32">
        <f>SUMIFS(BudgetSeasonality[365 Seasonality],BudgetSeasonality[MonthAdjustment],DaybyDay[[#This Row],[Date]])*SUMIFS(Budgets[Service-Budget],Budgets[BudgetMonth],DaybyDay[[#This Row],[RowMonth]],Budgets[BudgetYear],DaybyDay[[#This Row],[RowYear]])</f>
        <v>4922.4826499377477</v>
      </c>
      <c r="L1179" s="75"/>
      <c r="M1179" s="32">
        <f>INDEX(BudgetSeasonality[365 Seasonality],MATCH(DaybyDay[[#This Row],[Date]],BudgetSeasonality[MonthAdjustment],0))*SUMIFS(Budgets[Retail-Budget],Budgets[BudgetMonth],DaybyDay[[#This Row],[RowMonth]],Budgets[BudgetYear],DaybyDay[[#This Row],[RowYear]])</f>
        <v>1197.054483195162</v>
      </c>
      <c r="N1179" s="75"/>
      <c r="O1179" s="33">
        <f>SUMIFS(DaybyDay[Service-Budgets],DaybyDay[Date],"&gt;="&amp;$C$5,DaybyDay[RowYear],"&gt;="&amp;$C$4,DaybyDay[Date],"&lt;="&amp;DaybyDay[[#This Row],[Date]])</f>
        <v>404567.24381294765</v>
      </c>
      <c r="P1179" s="33">
        <f>SUMIFS(DaybyDay[Retail-Budgets],DaybyDay[Date],"&gt;="&amp;$C$5,DaybyDay[RowYear],"&gt;="&amp;$C$4,DaybyDay[Date],"&lt;="&amp;DaybyDay[[#This Row],[Date]])</f>
        <v>97957.856847284114</v>
      </c>
      <c r="Q1179" s="34">
        <f>SUMIFS(DaybyDay[Service-Actuals],DaybyDay[Date],"&gt;="&amp;$C$5,DaybyDay[RowYear],"&gt;="&amp;$C$4,DaybyDay[Date],"&lt;="&amp;DaybyDay[[#This Row],[Date]])</f>
        <v>385554.23</v>
      </c>
      <c r="R1179" s="34">
        <f>SUMIFS(DaybyDay[Retail-Actuals],DaybyDay[Date],"&gt;="&amp;$C$5,DaybyDay[RowYear],"&gt;="&amp;$C$4,DaybyDay[Date],"&lt;="&amp;DaybyDay[[#This Row],[Date]])</f>
        <v>88360.030000000028</v>
      </c>
      <c r="S1179" s="35">
        <f>SUMIFS(DaybyDay[Service-LY],DaybyDay[Date],"&gt;="&amp;$C$5,DaybyDay[RowYear],"&gt;="&amp;$C$4,DaybyDay[Date],"&lt;="&amp;DaybyDay[[#This Row],[Date]])</f>
        <v>391303.01</v>
      </c>
      <c r="T1179" s="35">
        <f>SUMIFS(DaybyDay[Retail-LY],DaybyDay[Date],"&gt;="&amp;$C$5,DaybyDay[RowYear],"&gt;="&amp;$C$4,DaybyDay[Date],"&lt;="&amp;DaybyDay[[#This Row],[Date]])</f>
        <v>89753.8</v>
      </c>
      <c r="U1179" s="32">
        <f>DaybyDay[[#This Row],[Serv-Bud-RU]]+DaybyDay[[#This Row],[Ret-Bud-RU]]</f>
        <v>502525.10066023178</v>
      </c>
      <c r="V1179" s="32">
        <f>DaybyDay[[#This Row],[Serv-Act-RU]]+DaybyDay[[#This Row],[Ret-Act-RU]]</f>
        <v>473914.26</v>
      </c>
      <c r="W1179" s="36" t="str">
        <f>IF(DaybyDay[[#This Row],[_Space]],IFERROR(
((DaybyDay[[#This Row],[Actual-Rollup]]-DaybyDay[[#This Row],[Budget-Rollup]])/DaybyDay[[#This Row],[Budget-Rollup]]),0),"")</f>
        <v/>
      </c>
      <c r="X1179" t="b">
        <f>NOT(AND(ISBLANK(DaybyDay[[#This Row],[Appts]]),ISBLANK(DaybyDay[[#This Row],[Service-Actuals]]),ISBLANK(DaybyDay[[#This Row],[Retail-Actuals]])))</f>
        <v>0</v>
      </c>
      <c r="Y1179" s="36" t="str">
        <f>IF(DaybyDay[[#This Row],[_Space]],IFERROR(
((DaybyDay[[#This Row],[Actual-Rollup]]-DaybyDay[[#This Row],[LY-Rollup]])/DaybyDay[[#This Row],[LY-Rollup]]),0),"")</f>
        <v/>
      </c>
      <c r="Z1179"/>
      <c r="AA1179" s="37" t="str">
        <f>IF(DaybyDay[[#This Row],[_Space]],DaybyDay[[#This Row],[Ret-Act-RU]]/DaybyDay[[#This Row],[Serv-Act-RU]],"")</f>
        <v/>
      </c>
      <c r="AB1179" s="50" t="str">
        <f>IF(DaybyDay[[#This Row],[_Space]],DaybyDay[[#This Row],[RETPEN-Act]]/DaybyDay[[#This Row],[RETPEN-Bud]],"")</f>
        <v/>
      </c>
      <c r="AC1179" s="37" t="str">
        <f>IF(DaybyDay[[#This Row],[_Space]],DaybyDay[[#This Row],[Ret-Bud-RU]]/DaybyDay[[#This Row],[Serv-Bud-RU]],"")</f>
        <v/>
      </c>
      <c r="AD1179" s="37" t="str">
        <f>IF(DaybyDay[[#This Row],[_Space]],DaybyDay[[#This Row],[Ret-LY-RU]]/DaybyDay[[#This Row],[Serv-LY-RU]],"")</f>
        <v/>
      </c>
      <c r="AE1179" s="30">
        <f>WEEKDAY(DaybyDay[[#This Row],[LY-Date]])</f>
        <v>4</v>
      </c>
      <c r="AF1179" s="38">
        <f>$E$2+_xlfn.DAYS(DaybyDay[[#This Row],[Date]],minDate)</f>
        <v>43544</v>
      </c>
      <c r="AG1179" s="39" cm="1">
        <f t="array" ref="AG1179">IFERROR(INDEX(DaybyDay[],DaybyDay[[#This Row],[FORM_MATCH_HELPER]],8),"")</f>
        <v>38</v>
      </c>
      <c r="AH1179" s="39" cm="1">
        <f t="array" ref="AH1179">IFERROR(INDEX(DaybyDay[],DaybyDay[[#This Row],[FORM_MATCH_HELPER]],10),"")</f>
        <v>10963.04</v>
      </c>
      <c r="AI1179" s="39" cm="1">
        <f t="array" ref="AI1179">IFERROR(INDEX(DaybyDay[],DaybyDay[[#This Row],[FORM_MATCH_HELPER]],12),"")</f>
        <v>24.95</v>
      </c>
      <c r="AJ1179" s="32">
        <f>IFERROR(DaybyDay[[#This Row],[Serv-LY-RU]]+DaybyDay[[#This Row],[Ret-LY-RU]],"")</f>
        <v>481056.81</v>
      </c>
      <c r="AK11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490612.04615671467</v>
      </c>
      <c r="AL1179" s="77"/>
      <c r="AM1179" s="40" t="str">
        <f>IF(DaybyDay[[#This Row],[Admin Hours]]&gt;0,DaybyDay[[#This Row],[Admin Hours]]*$AM$2+$AM$3,"")</f>
        <v/>
      </c>
      <c r="AN1179" s="40">
        <f>SUMIFS(DaybyDay[Est-Admin-Payroll],DaybyDay[Date],"&gt;="&amp;$C$5,DaybyDay[RowYear],"&gt;="&amp;$C$4,DaybyDay[Date],"&lt;="&amp;DaybyDay[[#This Row],[Date]])</f>
        <v>13941.779999999997</v>
      </c>
      <c r="AO1179" s="41" t="str">
        <f>IF(AND(DaybyDay[[#This Row],[_Space]],ISNUMBER(DaybyDay[[#This Row],[Admin Hours]])),DaybyDay[[#This Row],[Est-Admin-Payroll]]/(DaybyDay[[#This Row],[Service-Actuals]]+DaybyDay[[#This Row],[Retail-Actuals]]),"")</f>
        <v/>
      </c>
      <c r="AP1179" s="41">
        <f>DaybyDay[[#This Row],[Estimated-Payroll-Rollup]]/DaybyDay[[#This Row],[Simple-Forecast]]</f>
        <v>2.8417117168677546E-2</v>
      </c>
      <c r="AQ11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90498.182946683228</v>
      </c>
      <c r="AR1179" s="77"/>
      <c r="AS1179" s="40" t="str">
        <f>IF(DaybyDay[[#This Row],[Retail Hours]]&gt;0,DaybyDay[[#This Row],[Retail Hours]]*$AS$2,"")</f>
        <v/>
      </c>
      <c r="AT1179" s="40">
        <f>SUMIFS(DaybyDay[Est-Retail-Payroll],DaybyDay[Date],"&gt;="&amp;$C$5,DaybyDay[RowYear],"&gt;="&amp;$C$4,DaybyDay[Date],"&lt;="&amp;DaybyDay[[#This Row],[Date]])</f>
        <v>2627.1</v>
      </c>
      <c r="AU1179" s="82" t="str">
        <f>IF(AND(DaybyDay[[#This Row],[_Space]],ISNUMBER(DaybyDay[[#This Row],[Retail Hours]])),DaybyDay[[#This Row],[Est-Retail-Payroll]]/(DaybyDay[[#This Row],[Retail-Actuals]]),"")</f>
        <v/>
      </c>
      <c r="AV1179" s="82">
        <f>DaybyDay[[#This Row],[Est-Retail-PayrollRU]]/DaybyDay[[#This Row],[Simple-Forecast-Retail]]</f>
        <v>2.9029312130473925E-2</v>
      </c>
      <c r="AW1179" s="8"/>
      <c r="AX1179" s="15"/>
      <c r="AY1179" s="8"/>
    </row>
    <row r="1180" spans="3:51" hidden="1" x14ac:dyDescent="0.25">
      <c r="C1180" s="26" t="str">
        <f>Tools!$C$1</f>
        <v>Example</v>
      </c>
      <c r="D1180" s="27" t="s">
        <v>70</v>
      </c>
      <c r="E1180" s="28">
        <v>2020</v>
      </c>
      <c r="F1180" s="28">
        <f>MATCH(DaybyDay[[#This Row],[RowMonth]],Table3[SummaryMonth],0)</f>
        <v>3</v>
      </c>
      <c r="G1180" s="29">
        <f>MATCH(DaybyDay[[#This Row],[LY-Date]],DaybyDay[Date],0)</f>
        <v>810</v>
      </c>
      <c r="H1180" s="30">
        <f>WEEKDAY(DaybyDay[[#This Row],[Date]])</f>
        <v>5</v>
      </c>
      <c r="I1180" s="31">
        <v>43909</v>
      </c>
      <c r="J1180" s="74"/>
      <c r="K1180" s="32">
        <f>SUMIFS(BudgetSeasonality[365 Seasonality],BudgetSeasonality[MonthAdjustment],DaybyDay[[#This Row],[Date]])*SUMIFS(Budgets[Service-Budget],Budgets[BudgetMonth],DaybyDay[[#This Row],[RowMonth]],Budgets[BudgetYear],DaybyDay[[#This Row],[RowYear]])</f>
        <v>5147.4886264867337</v>
      </c>
      <c r="L1180" s="75"/>
      <c r="M1180" s="32">
        <f>INDEX(BudgetSeasonality[365 Seasonality],MATCH(DaybyDay[[#This Row],[Date]],BudgetSeasonality[MonthAdjustment],0))*SUMIFS(Budgets[Retail-Budget],Budgets[BudgetMonth],DaybyDay[[#This Row],[RowMonth]],Budgets[BudgetYear],DaybyDay[[#This Row],[RowYear]])</f>
        <v>1251.7716720870467</v>
      </c>
      <c r="N1180" s="75"/>
      <c r="O1180" s="33">
        <f>SUMIFS(DaybyDay[Service-Budgets],DaybyDay[Date],"&gt;="&amp;$C$5,DaybyDay[RowYear],"&gt;="&amp;$C$4,DaybyDay[Date],"&lt;="&amp;DaybyDay[[#This Row],[Date]])</f>
        <v>409714.73243943439</v>
      </c>
      <c r="P1180" s="33">
        <f>SUMIFS(DaybyDay[Retail-Budgets],DaybyDay[Date],"&gt;="&amp;$C$5,DaybyDay[RowYear],"&gt;="&amp;$C$4,DaybyDay[Date],"&lt;="&amp;DaybyDay[[#This Row],[Date]])</f>
        <v>99209.628519371166</v>
      </c>
      <c r="Q1180" s="34">
        <f>SUMIFS(DaybyDay[Service-Actuals],DaybyDay[Date],"&gt;="&amp;$C$5,DaybyDay[RowYear],"&gt;="&amp;$C$4,DaybyDay[Date],"&lt;="&amp;DaybyDay[[#This Row],[Date]])</f>
        <v>385554.23</v>
      </c>
      <c r="R1180" s="34">
        <f>SUMIFS(DaybyDay[Retail-Actuals],DaybyDay[Date],"&gt;="&amp;$C$5,DaybyDay[RowYear],"&gt;="&amp;$C$4,DaybyDay[Date],"&lt;="&amp;DaybyDay[[#This Row],[Date]])</f>
        <v>88360.030000000028</v>
      </c>
      <c r="S1180" s="35">
        <f>SUMIFS(DaybyDay[Service-LY],DaybyDay[Date],"&gt;="&amp;$C$5,DaybyDay[RowYear],"&gt;="&amp;$C$4,DaybyDay[Date],"&lt;="&amp;DaybyDay[[#This Row],[Date]])</f>
        <v>396557.06</v>
      </c>
      <c r="T1180" s="35">
        <f>SUMIFS(DaybyDay[Retail-LY],DaybyDay[Date],"&gt;="&amp;$C$5,DaybyDay[RowYear],"&gt;="&amp;$C$4,DaybyDay[Date],"&lt;="&amp;DaybyDay[[#This Row],[Date]])</f>
        <v>90518.8</v>
      </c>
      <c r="U1180" s="32">
        <f>DaybyDay[[#This Row],[Serv-Bud-RU]]+DaybyDay[[#This Row],[Ret-Bud-RU]]</f>
        <v>508924.36095880554</v>
      </c>
      <c r="V1180" s="32">
        <f>DaybyDay[[#This Row],[Serv-Act-RU]]+DaybyDay[[#This Row],[Ret-Act-RU]]</f>
        <v>473914.26</v>
      </c>
      <c r="W1180" s="36" t="str">
        <f>IF(DaybyDay[[#This Row],[_Space]],IFERROR(
((DaybyDay[[#This Row],[Actual-Rollup]]-DaybyDay[[#This Row],[Budget-Rollup]])/DaybyDay[[#This Row],[Budget-Rollup]]),0),"")</f>
        <v/>
      </c>
      <c r="X1180" t="b">
        <f>NOT(AND(ISBLANK(DaybyDay[[#This Row],[Appts]]),ISBLANK(DaybyDay[[#This Row],[Service-Actuals]]),ISBLANK(DaybyDay[[#This Row],[Retail-Actuals]])))</f>
        <v>0</v>
      </c>
      <c r="Y1180" s="36" t="str">
        <f>IF(DaybyDay[[#This Row],[_Space]],IFERROR(
((DaybyDay[[#This Row],[Actual-Rollup]]-DaybyDay[[#This Row],[LY-Rollup]])/DaybyDay[[#This Row],[LY-Rollup]]),0),"")</f>
        <v/>
      </c>
      <c r="Z1180"/>
      <c r="AA1180" s="37" t="str">
        <f>IF(DaybyDay[[#This Row],[_Space]],DaybyDay[[#This Row],[Ret-Act-RU]]/DaybyDay[[#This Row],[Serv-Act-RU]],"")</f>
        <v/>
      </c>
      <c r="AB1180" s="50" t="str">
        <f>IF(DaybyDay[[#This Row],[_Space]],DaybyDay[[#This Row],[RETPEN-Act]]/DaybyDay[[#This Row],[RETPEN-Bud]],"")</f>
        <v/>
      </c>
      <c r="AC1180" s="37" t="str">
        <f>IF(DaybyDay[[#This Row],[_Space]],DaybyDay[[#This Row],[Ret-Bud-RU]]/DaybyDay[[#This Row],[Serv-Bud-RU]],"")</f>
        <v/>
      </c>
      <c r="AD1180" s="37" t="str">
        <f>IF(DaybyDay[[#This Row],[_Space]],DaybyDay[[#This Row],[Ret-LY-RU]]/DaybyDay[[#This Row],[Serv-LY-RU]],"")</f>
        <v/>
      </c>
      <c r="AE1180" s="30">
        <f>WEEKDAY(DaybyDay[[#This Row],[LY-Date]])</f>
        <v>5</v>
      </c>
      <c r="AF1180" s="38">
        <f>$E$2+_xlfn.DAYS(DaybyDay[[#This Row],[Date]],minDate)</f>
        <v>43545</v>
      </c>
      <c r="AG1180" s="39" cm="1">
        <f t="array" ref="AG1180">IFERROR(INDEX(DaybyDay[],DaybyDay[[#This Row],[FORM_MATCH_HELPER]],8),"")</f>
        <v>34</v>
      </c>
      <c r="AH1180" s="39" cm="1">
        <f t="array" ref="AH1180">IFERROR(INDEX(DaybyDay[],DaybyDay[[#This Row],[FORM_MATCH_HELPER]],10),"")</f>
        <v>5254.05</v>
      </c>
      <c r="AI1180" s="39" cm="1">
        <f t="array" ref="AI1180">IFERROR(INDEX(DaybyDay[],DaybyDay[[#This Row],[FORM_MATCH_HELPER]],12),"")</f>
        <v>765</v>
      </c>
      <c r="AJ1180" s="32">
        <f>IFERROR(DaybyDay[[#This Row],[Serv-LY-RU]]+DaybyDay[[#This Row],[Ret-LY-RU]],"")</f>
        <v>487075.86</v>
      </c>
      <c r="AK11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496301.65413319902</v>
      </c>
      <c r="AL1180" s="77"/>
      <c r="AM1180" s="40" t="str">
        <f>IF(DaybyDay[[#This Row],[Admin Hours]]&gt;0,DaybyDay[[#This Row],[Admin Hours]]*$AM$2+$AM$3,"")</f>
        <v/>
      </c>
      <c r="AN1180" s="40">
        <f>SUMIFS(DaybyDay[Est-Admin-Payroll],DaybyDay[Date],"&gt;="&amp;$C$5,DaybyDay[RowYear],"&gt;="&amp;$C$4,DaybyDay[Date],"&lt;="&amp;DaybyDay[[#This Row],[Date]])</f>
        <v>13941.779999999997</v>
      </c>
      <c r="AO1180" s="41" t="str">
        <f>IF(AND(DaybyDay[[#This Row],[_Space]],ISNUMBER(DaybyDay[[#This Row],[Admin Hours]])),DaybyDay[[#This Row],[Est-Admin-Payroll]]/(DaybyDay[[#This Row],[Service-Actuals]]+DaybyDay[[#This Row],[Retail-Actuals]]),"")</f>
        <v/>
      </c>
      <c r="AP1180" s="41">
        <f>DaybyDay[[#This Row],[Estimated-Payroll-Rollup]]/DaybyDay[[#This Row],[Simple-Forecast]]</f>
        <v>2.8091343004587807E-2</v>
      </c>
      <c r="AQ11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91407.808118598972</v>
      </c>
      <c r="AR1180" s="77"/>
      <c r="AS1180" s="40" t="str">
        <f>IF(DaybyDay[[#This Row],[Retail Hours]]&gt;0,DaybyDay[[#This Row],[Retail Hours]]*$AS$2,"")</f>
        <v/>
      </c>
      <c r="AT1180" s="40">
        <f>SUMIFS(DaybyDay[Est-Retail-Payroll],DaybyDay[Date],"&gt;="&amp;$C$5,DaybyDay[RowYear],"&gt;="&amp;$C$4,DaybyDay[Date],"&lt;="&amp;DaybyDay[[#This Row],[Date]])</f>
        <v>2627.1</v>
      </c>
      <c r="AU1180" s="82" t="str">
        <f>IF(AND(DaybyDay[[#This Row],[_Space]],ISNUMBER(DaybyDay[[#This Row],[Retail Hours]])),DaybyDay[[#This Row],[Est-Retail-Payroll]]/(DaybyDay[[#This Row],[Retail-Actuals]]),"")</f>
        <v/>
      </c>
      <c r="AV1180" s="82">
        <f>DaybyDay[[#This Row],[Est-Retail-PayrollRU]]/DaybyDay[[#This Row],[Simple-Forecast-Retail]]</f>
        <v>2.8740433165090385E-2</v>
      </c>
      <c r="AW1180" s="8"/>
      <c r="AX1180" s="15"/>
      <c r="AY1180" s="8"/>
    </row>
    <row r="1181" spans="3:51" hidden="1" x14ac:dyDescent="0.25">
      <c r="C1181" s="26" t="str">
        <f>Tools!$C$1</f>
        <v>Example</v>
      </c>
      <c r="D1181" s="27" t="s">
        <v>70</v>
      </c>
      <c r="E1181" s="28">
        <v>2020</v>
      </c>
      <c r="F1181" s="28">
        <f>MATCH(DaybyDay[[#This Row],[RowMonth]],Table3[SummaryMonth],0)</f>
        <v>3</v>
      </c>
      <c r="G1181" s="29">
        <f>MATCH(DaybyDay[[#This Row],[LY-Date]],DaybyDay[Date],0)</f>
        <v>811</v>
      </c>
      <c r="H1181" s="30">
        <f>WEEKDAY(DaybyDay[[#This Row],[Date]])</f>
        <v>6</v>
      </c>
      <c r="I1181" s="31">
        <v>43910</v>
      </c>
      <c r="J1181" s="74"/>
      <c r="K1181" s="32">
        <f>SUMIFS(BudgetSeasonality[365 Seasonality],BudgetSeasonality[MonthAdjustment],DaybyDay[[#This Row],[Date]])*SUMIFS(Budgets[Service-Budget],Budgets[BudgetMonth],DaybyDay[[#This Row],[RowMonth]],Budgets[BudgetYear],DaybyDay[[#This Row],[RowYear]])</f>
        <v>6291.1979481685366</v>
      </c>
      <c r="L1181" s="75"/>
      <c r="M1181" s="32">
        <f>INDEX(BudgetSeasonality[365 Seasonality],MATCH(DaybyDay[[#This Row],[Date]],BudgetSeasonality[MonthAdjustment],0))*SUMIFS(Budgets[Retail-Budget],Budgets[BudgetMonth],DaybyDay[[#This Row],[RowMonth]],Budgets[BudgetYear],DaybyDay[[#This Row],[RowYear]])</f>
        <v>1529.9001020589867</v>
      </c>
      <c r="N1181" s="75"/>
      <c r="O1181" s="33">
        <f>SUMIFS(DaybyDay[Service-Budgets],DaybyDay[Date],"&gt;="&amp;$C$5,DaybyDay[RowYear],"&gt;="&amp;$C$4,DaybyDay[Date],"&lt;="&amp;DaybyDay[[#This Row],[Date]])</f>
        <v>416005.93038760294</v>
      </c>
      <c r="P1181" s="33">
        <f>SUMIFS(DaybyDay[Retail-Budgets],DaybyDay[Date],"&gt;="&amp;$C$5,DaybyDay[RowYear],"&gt;="&amp;$C$4,DaybyDay[Date],"&lt;="&amp;DaybyDay[[#This Row],[Date]])</f>
        <v>100739.52862143016</v>
      </c>
      <c r="Q1181" s="34">
        <f>SUMIFS(DaybyDay[Service-Actuals],DaybyDay[Date],"&gt;="&amp;$C$5,DaybyDay[RowYear],"&gt;="&amp;$C$4,DaybyDay[Date],"&lt;="&amp;DaybyDay[[#This Row],[Date]])</f>
        <v>385554.23</v>
      </c>
      <c r="R1181" s="34">
        <f>SUMIFS(DaybyDay[Retail-Actuals],DaybyDay[Date],"&gt;="&amp;$C$5,DaybyDay[RowYear],"&gt;="&amp;$C$4,DaybyDay[Date],"&lt;="&amp;DaybyDay[[#This Row],[Date]])</f>
        <v>88360.030000000028</v>
      </c>
      <c r="S1181" s="35">
        <f>SUMIFS(DaybyDay[Service-LY],DaybyDay[Date],"&gt;="&amp;$C$5,DaybyDay[RowYear],"&gt;="&amp;$C$4,DaybyDay[Date],"&lt;="&amp;DaybyDay[[#This Row],[Date]])</f>
        <v>402270.46</v>
      </c>
      <c r="T1181" s="35">
        <f>SUMIFS(DaybyDay[Retail-LY],DaybyDay[Date],"&gt;="&amp;$C$5,DaybyDay[RowYear],"&gt;="&amp;$C$4,DaybyDay[Date],"&lt;="&amp;DaybyDay[[#This Row],[Date]])</f>
        <v>90958.8</v>
      </c>
      <c r="U1181" s="32">
        <f>DaybyDay[[#This Row],[Serv-Bud-RU]]+DaybyDay[[#This Row],[Ret-Bud-RU]]</f>
        <v>516745.4590090331</v>
      </c>
      <c r="V1181" s="32">
        <f>DaybyDay[[#This Row],[Serv-Act-RU]]+DaybyDay[[#This Row],[Ret-Act-RU]]</f>
        <v>473914.26</v>
      </c>
      <c r="W1181" s="36" t="str">
        <f>IF(DaybyDay[[#This Row],[_Space]],IFERROR(
((DaybyDay[[#This Row],[Actual-Rollup]]-DaybyDay[[#This Row],[Budget-Rollup]])/DaybyDay[[#This Row],[Budget-Rollup]]),0),"")</f>
        <v/>
      </c>
      <c r="X1181" t="b">
        <f>NOT(AND(ISBLANK(DaybyDay[[#This Row],[Appts]]),ISBLANK(DaybyDay[[#This Row],[Service-Actuals]]),ISBLANK(DaybyDay[[#This Row],[Retail-Actuals]])))</f>
        <v>0</v>
      </c>
      <c r="Y1181" s="36" t="str">
        <f>IF(DaybyDay[[#This Row],[_Space]],IFERROR(
((DaybyDay[[#This Row],[Actual-Rollup]]-DaybyDay[[#This Row],[LY-Rollup]])/DaybyDay[[#This Row],[LY-Rollup]]),0),"")</f>
        <v/>
      </c>
      <c r="Z1181"/>
      <c r="AA1181" s="37" t="str">
        <f>IF(DaybyDay[[#This Row],[_Space]],DaybyDay[[#This Row],[Ret-Act-RU]]/DaybyDay[[#This Row],[Serv-Act-RU]],"")</f>
        <v/>
      </c>
      <c r="AB1181" s="50" t="str">
        <f>IF(DaybyDay[[#This Row],[_Space]],DaybyDay[[#This Row],[RETPEN-Act]]/DaybyDay[[#This Row],[RETPEN-Bud]],"")</f>
        <v/>
      </c>
      <c r="AC1181" s="37" t="str">
        <f>IF(DaybyDay[[#This Row],[_Space]],DaybyDay[[#This Row],[Ret-Bud-RU]]/DaybyDay[[#This Row],[Serv-Bud-RU]],"")</f>
        <v/>
      </c>
      <c r="AD1181" s="37" t="str">
        <f>IF(DaybyDay[[#This Row],[_Space]],DaybyDay[[#This Row],[Ret-LY-RU]]/DaybyDay[[#This Row],[Serv-LY-RU]],"")</f>
        <v/>
      </c>
      <c r="AE1181" s="30">
        <f>WEEKDAY(DaybyDay[[#This Row],[LY-Date]])</f>
        <v>6</v>
      </c>
      <c r="AF1181" s="38">
        <f>$E$2+_xlfn.DAYS(DaybyDay[[#This Row],[Date]],minDate)</f>
        <v>43546</v>
      </c>
      <c r="AG1181" s="39" cm="1">
        <f t="array" ref="AG1181">IFERROR(INDEX(DaybyDay[],DaybyDay[[#This Row],[FORM_MATCH_HELPER]],8),"")</f>
        <v>31</v>
      </c>
      <c r="AH1181" s="39" cm="1">
        <f t="array" ref="AH1181">IFERROR(INDEX(DaybyDay[],DaybyDay[[#This Row],[FORM_MATCH_HELPER]],10),"")</f>
        <v>5713.4</v>
      </c>
      <c r="AI1181" s="39" cm="1">
        <f t="array" ref="AI1181">IFERROR(INDEX(DaybyDay[],DaybyDay[[#This Row],[FORM_MATCH_HELPER]],12),"")</f>
        <v>440</v>
      </c>
      <c r="AJ1181" s="32">
        <f>IFERROR(DaybyDay[[#This Row],[Serv-LY-RU]]+DaybyDay[[#This Row],[Ret-LY-RU]],"")</f>
        <v>493229.26</v>
      </c>
      <c r="AK11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502662.28800094995</v>
      </c>
      <c r="AL1181" s="77"/>
      <c r="AM1181" s="40" t="str">
        <f>IF(DaybyDay[[#This Row],[Admin Hours]]&gt;0,DaybyDay[[#This Row],[Admin Hours]]*$AM$2+$AM$3,"")</f>
        <v/>
      </c>
      <c r="AN1181" s="40">
        <f>SUMIFS(DaybyDay[Est-Admin-Payroll],DaybyDay[Date],"&gt;="&amp;$C$5,DaybyDay[RowYear],"&gt;="&amp;$C$4,DaybyDay[Date],"&lt;="&amp;DaybyDay[[#This Row],[Date]])</f>
        <v>13941.779999999997</v>
      </c>
      <c r="AO1181" s="41" t="str">
        <f>IF(AND(DaybyDay[[#This Row],[_Space]],ISNUMBER(DaybyDay[[#This Row],[Admin Hours]])),DaybyDay[[#This Row],[Est-Admin-Payroll]]/(DaybyDay[[#This Row],[Service-Actuals]]+DaybyDay[[#This Row],[Retail-Actuals]]),"")</f>
        <v/>
      </c>
      <c r="AP1181" s="41">
        <f>DaybyDay[[#This Row],[Estimated-Payroll-Rollup]]/DaybyDay[[#This Row],[Simple-Forecast]]</f>
        <v>2.77358782084994E-2</v>
      </c>
      <c r="AQ11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92275.497511128036</v>
      </c>
      <c r="AR1181" s="77"/>
      <c r="AS1181" s="40" t="str">
        <f>IF(DaybyDay[[#This Row],[Retail Hours]]&gt;0,DaybyDay[[#This Row],[Retail Hours]]*$AS$2,"")</f>
        <v/>
      </c>
      <c r="AT1181" s="40">
        <f>SUMIFS(DaybyDay[Est-Retail-Payroll],DaybyDay[Date],"&gt;="&amp;$C$5,DaybyDay[RowYear],"&gt;="&amp;$C$4,DaybyDay[Date],"&lt;="&amp;DaybyDay[[#This Row],[Date]])</f>
        <v>2627.1</v>
      </c>
      <c r="AU1181" s="82" t="str">
        <f>IF(AND(DaybyDay[[#This Row],[_Space]],ISNUMBER(DaybyDay[[#This Row],[Retail Hours]])),DaybyDay[[#This Row],[Est-Retail-Payroll]]/(DaybyDay[[#This Row],[Retail-Actuals]]),"")</f>
        <v/>
      </c>
      <c r="AV1181" s="82">
        <f>DaybyDay[[#This Row],[Est-Retail-PayrollRU]]/DaybyDay[[#This Row],[Simple-Forecast-Retail]]</f>
        <v>2.8470179742820491E-2</v>
      </c>
      <c r="AW1181" s="8"/>
      <c r="AX1181" s="15"/>
      <c r="AY1181" s="8"/>
    </row>
    <row r="1182" spans="3:51" hidden="1" x14ac:dyDescent="0.25">
      <c r="C1182" s="26" t="str">
        <f>Tools!$C$1</f>
        <v>Example</v>
      </c>
      <c r="D1182" s="27" t="s">
        <v>70</v>
      </c>
      <c r="E1182" s="28">
        <v>2020</v>
      </c>
      <c r="F1182" s="28">
        <f>MATCH(DaybyDay[[#This Row],[RowMonth]],Table3[SummaryMonth],0)</f>
        <v>3</v>
      </c>
      <c r="G1182" s="29">
        <f>MATCH(DaybyDay[[#This Row],[LY-Date]],DaybyDay[Date],0)</f>
        <v>812</v>
      </c>
      <c r="H1182" s="30">
        <f>WEEKDAY(DaybyDay[[#This Row],[Date]])</f>
        <v>7</v>
      </c>
      <c r="I1182" s="31">
        <v>43911</v>
      </c>
      <c r="J1182" s="74"/>
      <c r="K1182" s="32">
        <f>SUMIFS(BudgetSeasonality[365 Seasonality],BudgetSeasonality[MonthAdjustment],DaybyDay[[#This Row],[Date]])*SUMIFS(Budgets[Service-Budget],Budgets[BudgetMonth],DaybyDay[[#This Row],[RowMonth]],Budgets[BudgetYear],DaybyDay[[#This Row],[RowYear]])</f>
        <v>8589.1715342363168</v>
      </c>
      <c r="L1182" s="75"/>
      <c r="M1182" s="32">
        <f>INDEX(BudgetSeasonality[365 Seasonality],MATCH(DaybyDay[[#This Row],[Date]],BudgetSeasonality[MonthAdjustment],0))*SUMIFS(Budgets[Retail-Budget],Budgets[BudgetMonth],DaybyDay[[#This Row],[RowMonth]],Budgets[BudgetYear],DaybyDay[[#This Row],[RowYear]])</f>
        <v>2088.7237240175705</v>
      </c>
      <c r="N1182" s="75"/>
      <c r="O1182" s="33">
        <f>SUMIFS(DaybyDay[Service-Budgets],DaybyDay[Date],"&gt;="&amp;$C$5,DaybyDay[RowYear],"&gt;="&amp;$C$4,DaybyDay[Date],"&lt;="&amp;DaybyDay[[#This Row],[Date]])</f>
        <v>424595.10192183929</v>
      </c>
      <c r="P1182" s="33">
        <f>SUMIFS(DaybyDay[Retail-Budgets],DaybyDay[Date],"&gt;="&amp;$C$5,DaybyDay[RowYear],"&gt;="&amp;$C$4,DaybyDay[Date],"&lt;="&amp;DaybyDay[[#This Row],[Date]])</f>
        <v>102828.25234544773</v>
      </c>
      <c r="Q1182" s="34">
        <f>SUMIFS(DaybyDay[Service-Actuals],DaybyDay[Date],"&gt;="&amp;$C$5,DaybyDay[RowYear],"&gt;="&amp;$C$4,DaybyDay[Date],"&lt;="&amp;DaybyDay[[#This Row],[Date]])</f>
        <v>385554.23</v>
      </c>
      <c r="R1182" s="34">
        <f>SUMIFS(DaybyDay[Retail-Actuals],DaybyDay[Date],"&gt;="&amp;$C$5,DaybyDay[RowYear],"&gt;="&amp;$C$4,DaybyDay[Date],"&lt;="&amp;DaybyDay[[#This Row],[Date]])</f>
        <v>88360.030000000028</v>
      </c>
      <c r="S1182" s="35">
        <f>SUMIFS(DaybyDay[Service-LY],DaybyDay[Date],"&gt;="&amp;$C$5,DaybyDay[RowYear],"&gt;="&amp;$C$4,DaybyDay[Date],"&lt;="&amp;DaybyDay[[#This Row],[Date]])</f>
        <v>409742.46</v>
      </c>
      <c r="T1182" s="35">
        <f>SUMIFS(DaybyDay[Retail-LY],DaybyDay[Date],"&gt;="&amp;$C$5,DaybyDay[RowYear],"&gt;="&amp;$C$4,DaybyDay[Date],"&lt;="&amp;DaybyDay[[#This Row],[Date]])</f>
        <v>93392.89</v>
      </c>
      <c r="U1182" s="32">
        <f>DaybyDay[[#This Row],[Serv-Bud-RU]]+DaybyDay[[#This Row],[Ret-Bud-RU]]</f>
        <v>527423.35426728707</v>
      </c>
      <c r="V1182" s="32">
        <f>DaybyDay[[#This Row],[Serv-Act-RU]]+DaybyDay[[#This Row],[Ret-Act-RU]]</f>
        <v>473914.26</v>
      </c>
      <c r="W1182" s="36" t="str">
        <f>IF(DaybyDay[[#This Row],[_Space]],IFERROR(
((DaybyDay[[#This Row],[Actual-Rollup]]-DaybyDay[[#This Row],[Budget-Rollup]])/DaybyDay[[#This Row],[Budget-Rollup]]),0),"")</f>
        <v/>
      </c>
      <c r="X1182" t="b">
        <f>NOT(AND(ISBLANK(DaybyDay[[#This Row],[Appts]]),ISBLANK(DaybyDay[[#This Row],[Service-Actuals]]),ISBLANK(DaybyDay[[#This Row],[Retail-Actuals]])))</f>
        <v>0</v>
      </c>
      <c r="Y1182" s="36" t="str">
        <f>IF(DaybyDay[[#This Row],[_Space]],IFERROR(
((DaybyDay[[#This Row],[Actual-Rollup]]-DaybyDay[[#This Row],[LY-Rollup]])/DaybyDay[[#This Row],[LY-Rollup]]),0),"")</f>
        <v/>
      </c>
      <c r="Z1182"/>
      <c r="AA1182" s="37" t="str">
        <f>IF(DaybyDay[[#This Row],[_Space]],DaybyDay[[#This Row],[Ret-Act-RU]]/DaybyDay[[#This Row],[Serv-Act-RU]],"")</f>
        <v/>
      </c>
      <c r="AB1182" s="50" t="str">
        <f>IF(DaybyDay[[#This Row],[_Space]],DaybyDay[[#This Row],[RETPEN-Act]]/DaybyDay[[#This Row],[RETPEN-Bud]],"")</f>
        <v/>
      </c>
      <c r="AC1182" s="37" t="str">
        <f>IF(DaybyDay[[#This Row],[_Space]],DaybyDay[[#This Row],[Ret-Bud-RU]]/DaybyDay[[#This Row],[Serv-Bud-RU]],"")</f>
        <v/>
      </c>
      <c r="AD1182" s="37" t="str">
        <f>IF(DaybyDay[[#This Row],[_Space]],DaybyDay[[#This Row],[Ret-LY-RU]]/DaybyDay[[#This Row],[Serv-LY-RU]],"")</f>
        <v/>
      </c>
      <c r="AE1182" s="30">
        <f>WEEKDAY(DaybyDay[[#This Row],[LY-Date]])</f>
        <v>7</v>
      </c>
      <c r="AF1182" s="38">
        <f>$E$2+_xlfn.DAYS(DaybyDay[[#This Row],[Date]],minDate)</f>
        <v>43547</v>
      </c>
      <c r="AG1182" s="39" cm="1">
        <f t="array" ref="AG1182">IFERROR(INDEX(DaybyDay[],DaybyDay[[#This Row],[FORM_MATCH_HELPER]],8),"")</f>
        <v>39</v>
      </c>
      <c r="AH1182" s="39" cm="1">
        <f t="array" ref="AH1182">IFERROR(INDEX(DaybyDay[],DaybyDay[[#This Row],[FORM_MATCH_HELPER]],10),"")</f>
        <v>7472</v>
      </c>
      <c r="AI1182" s="39" cm="1">
        <f t="array" ref="AI1182">IFERROR(INDEX(DaybyDay[],DaybyDay[[#This Row],[FORM_MATCH_HELPER]],12),"")</f>
        <v>2434.09</v>
      </c>
      <c r="AJ1182" s="32">
        <f>IFERROR(DaybyDay[[#This Row],[Serv-LY-RU]]+DaybyDay[[#This Row],[Ret-LY-RU]],"")</f>
        <v>503135.35000000003</v>
      </c>
      <c r="AK11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512088.31267886783</v>
      </c>
      <c r="AL1182" s="77"/>
      <c r="AM1182" s="40" t="str">
        <f>IF(DaybyDay[[#This Row],[Admin Hours]]&gt;0,DaybyDay[[#This Row],[Admin Hours]]*$AM$2+$AM$3,"")</f>
        <v/>
      </c>
      <c r="AN1182" s="40">
        <f>SUMIFS(DaybyDay[Est-Admin-Payroll],DaybyDay[Date],"&gt;="&amp;$C$5,DaybyDay[RowYear],"&gt;="&amp;$C$4,DaybyDay[Date],"&lt;="&amp;DaybyDay[[#This Row],[Date]])</f>
        <v>13941.779999999997</v>
      </c>
      <c r="AO1182" s="41" t="str">
        <f>IF(AND(DaybyDay[[#This Row],[_Space]],ISNUMBER(DaybyDay[[#This Row],[Admin Hours]])),DaybyDay[[#This Row],[Est-Admin-Payroll]]/(DaybyDay[[#This Row],[Service-Actuals]]+DaybyDay[[#This Row],[Retail-Actuals]]),"")</f>
        <v/>
      </c>
      <c r="AP1182" s="41">
        <f>DaybyDay[[#This Row],[Estimated-Payroll-Rollup]]/DaybyDay[[#This Row],[Simple-Forecast]]</f>
        <v>2.7225343080116204E-2</v>
      </c>
      <c r="AQ11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94364.057776501882</v>
      </c>
      <c r="AR1182" s="77"/>
      <c r="AS1182" s="40" t="str">
        <f>IF(DaybyDay[[#This Row],[Retail Hours]]&gt;0,DaybyDay[[#This Row],[Retail Hours]]*$AS$2,"")</f>
        <v/>
      </c>
      <c r="AT1182" s="40">
        <f>SUMIFS(DaybyDay[Est-Retail-Payroll],DaybyDay[Date],"&gt;="&amp;$C$5,DaybyDay[RowYear],"&gt;="&amp;$C$4,DaybyDay[Date],"&lt;="&amp;DaybyDay[[#This Row],[Date]])</f>
        <v>2627.1</v>
      </c>
      <c r="AU1182" s="82" t="str">
        <f>IF(AND(DaybyDay[[#This Row],[_Space]],ISNUMBER(DaybyDay[[#This Row],[Retail Hours]])),DaybyDay[[#This Row],[Est-Retail-Payroll]]/(DaybyDay[[#This Row],[Retail-Actuals]]),"")</f>
        <v/>
      </c>
      <c r="AV1182" s="82">
        <f>DaybyDay[[#This Row],[Est-Retail-PayrollRU]]/DaybyDay[[#This Row],[Simple-Forecast-Retail]]</f>
        <v>2.7840049081210544E-2</v>
      </c>
      <c r="AW1182" s="8"/>
      <c r="AX1182" s="15"/>
      <c r="AY1182" s="8"/>
    </row>
    <row r="1183" spans="3:51" hidden="1" x14ac:dyDescent="0.25">
      <c r="C1183" s="26" t="str">
        <f>Tools!$C$1</f>
        <v>Example</v>
      </c>
      <c r="D1183" s="27" t="s">
        <v>70</v>
      </c>
      <c r="E1183" s="28">
        <v>2020</v>
      </c>
      <c r="F1183" s="28">
        <f>MATCH(DaybyDay[[#This Row],[RowMonth]],Table3[SummaryMonth],0)</f>
        <v>3</v>
      </c>
      <c r="G1183" s="29">
        <f>MATCH(DaybyDay[[#This Row],[LY-Date]],DaybyDay[Date],0)</f>
        <v>813</v>
      </c>
      <c r="H1183" s="30">
        <f>WEEKDAY(DaybyDay[[#This Row],[Date]])</f>
        <v>1</v>
      </c>
      <c r="I1183" s="31">
        <v>43912</v>
      </c>
      <c r="J1183" s="74"/>
      <c r="K1183" s="32">
        <f>SUMIFS(BudgetSeasonality[365 Seasonality],BudgetSeasonality[MonthAdjustment],DaybyDay[[#This Row],[Date]])*SUMIFS(Budgets[Service-Budget],Budgets[BudgetMonth],DaybyDay[[#This Row],[RowMonth]],Budgets[BudgetYear],DaybyDay[[#This Row],[RowYear]])</f>
        <v>7050.9286002079416</v>
      </c>
      <c r="L1183" s="75"/>
      <c r="M1183" s="32">
        <f>INDEX(BudgetSeasonality[365 Seasonality],MATCH(DaybyDay[[#This Row],[Date]],BudgetSeasonality[MonthAdjustment],0))*SUMIFS(Budgets[Retail-Budget],Budgets[BudgetMonth],DaybyDay[[#This Row],[RowMonth]],Budgets[BudgetYear],DaybyDay[[#This Row],[RowYear]])</f>
        <v>1714.6521972351991</v>
      </c>
      <c r="N1183" s="75"/>
      <c r="O1183" s="33">
        <f>SUMIFS(DaybyDay[Service-Budgets],DaybyDay[Date],"&gt;="&amp;$C$5,DaybyDay[RowYear],"&gt;="&amp;$C$4,DaybyDay[Date],"&lt;="&amp;DaybyDay[[#This Row],[Date]])</f>
        <v>431646.03052204725</v>
      </c>
      <c r="P1183" s="33">
        <f>SUMIFS(DaybyDay[Retail-Budgets],DaybyDay[Date],"&gt;="&amp;$C$5,DaybyDay[RowYear],"&gt;="&amp;$C$4,DaybyDay[Date],"&lt;="&amp;DaybyDay[[#This Row],[Date]])</f>
        <v>104542.90454268294</v>
      </c>
      <c r="Q1183" s="34">
        <f>SUMIFS(DaybyDay[Service-Actuals],DaybyDay[Date],"&gt;="&amp;$C$5,DaybyDay[RowYear],"&gt;="&amp;$C$4,DaybyDay[Date],"&lt;="&amp;DaybyDay[[#This Row],[Date]])</f>
        <v>385554.23</v>
      </c>
      <c r="R1183" s="34">
        <f>SUMIFS(DaybyDay[Retail-Actuals],DaybyDay[Date],"&gt;="&amp;$C$5,DaybyDay[RowYear],"&gt;="&amp;$C$4,DaybyDay[Date],"&lt;="&amp;DaybyDay[[#This Row],[Date]])</f>
        <v>88360.030000000028</v>
      </c>
      <c r="S1183" s="35">
        <f>SUMIFS(DaybyDay[Service-LY],DaybyDay[Date],"&gt;="&amp;$C$5,DaybyDay[RowYear],"&gt;="&amp;$C$4,DaybyDay[Date],"&lt;="&amp;DaybyDay[[#This Row],[Date]])</f>
        <v>416919.91000000003</v>
      </c>
      <c r="T1183" s="35">
        <f>SUMIFS(DaybyDay[Retail-LY],DaybyDay[Date],"&gt;="&amp;$C$5,DaybyDay[RowYear],"&gt;="&amp;$C$4,DaybyDay[Date],"&lt;="&amp;DaybyDay[[#This Row],[Date]])</f>
        <v>93997.79</v>
      </c>
      <c r="U1183" s="32">
        <f>DaybyDay[[#This Row],[Serv-Bud-RU]]+DaybyDay[[#This Row],[Ret-Bud-RU]]</f>
        <v>536188.93506473023</v>
      </c>
      <c r="V1183" s="32">
        <f>DaybyDay[[#This Row],[Serv-Act-RU]]+DaybyDay[[#This Row],[Ret-Act-RU]]</f>
        <v>473914.26</v>
      </c>
      <c r="W1183" s="36" t="str">
        <f>IF(DaybyDay[[#This Row],[_Space]],IFERROR(
((DaybyDay[[#This Row],[Actual-Rollup]]-DaybyDay[[#This Row],[Budget-Rollup]])/DaybyDay[[#This Row],[Budget-Rollup]]),0),"")</f>
        <v/>
      </c>
      <c r="X1183" t="b">
        <f>NOT(AND(ISBLANK(DaybyDay[[#This Row],[Appts]]),ISBLANK(DaybyDay[[#This Row],[Service-Actuals]]),ISBLANK(DaybyDay[[#This Row],[Retail-Actuals]])))</f>
        <v>0</v>
      </c>
      <c r="Y1183" s="36" t="str">
        <f>IF(DaybyDay[[#This Row],[_Space]],IFERROR(
((DaybyDay[[#This Row],[Actual-Rollup]]-DaybyDay[[#This Row],[LY-Rollup]])/DaybyDay[[#This Row],[LY-Rollup]]),0),"")</f>
        <v/>
      </c>
      <c r="Z1183"/>
      <c r="AA1183" s="37" t="str">
        <f>IF(DaybyDay[[#This Row],[_Space]],DaybyDay[[#This Row],[Ret-Act-RU]]/DaybyDay[[#This Row],[Serv-Act-RU]],"")</f>
        <v/>
      </c>
      <c r="AB1183" s="50" t="str">
        <f>IF(DaybyDay[[#This Row],[_Space]],DaybyDay[[#This Row],[RETPEN-Act]]/DaybyDay[[#This Row],[RETPEN-Bud]],"")</f>
        <v/>
      </c>
      <c r="AC1183" s="37" t="str">
        <f>IF(DaybyDay[[#This Row],[_Space]],DaybyDay[[#This Row],[Ret-Bud-RU]]/DaybyDay[[#This Row],[Serv-Bud-RU]],"")</f>
        <v/>
      </c>
      <c r="AD1183" s="37" t="str">
        <f>IF(DaybyDay[[#This Row],[_Space]],DaybyDay[[#This Row],[Ret-LY-RU]]/DaybyDay[[#This Row],[Serv-LY-RU]],"")</f>
        <v/>
      </c>
      <c r="AE1183" s="30">
        <f>WEEKDAY(DaybyDay[[#This Row],[LY-Date]])</f>
        <v>1</v>
      </c>
      <c r="AF1183" s="38">
        <f>$E$2+_xlfn.DAYS(DaybyDay[[#This Row],[Date]],minDate)</f>
        <v>43548</v>
      </c>
      <c r="AG1183" s="39" cm="1">
        <f t="array" ref="AG1183">IFERROR(INDEX(DaybyDay[],DaybyDay[[#This Row],[FORM_MATCH_HELPER]],8),"")</f>
        <v>40</v>
      </c>
      <c r="AH1183" s="39" cm="1">
        <f t="array" ref="AH1183">IFERROR(INDEX(DaybyDay[],DaybyDay[[#This Row],[FORM_MATCH_HELPER]],10),"")</f>
        <v>7177.4500000000007</v>
      </c>
      <c r="AI1183" s="39" cm="1">
        <f t="array" ref="AI1183">IFERROR(INDEX(DaybyDay[],DaybyDay[[#This Row],[FORM_MATCH_HELPER]],12),"")</f>
        <v>604.9</v>
      </c>
      <c r="AJ1183" s="32">
        <f>IFERROR(DaybyDay[[#This Row],[Serv-LY-RU]]+DaybyDay[[#This Row],[Ret-LY-RU]],"")</f>
        <v>510917.7</v>
      </c>
      <c r="AK11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519653.82958429994</v>
      </c>
      <c r="AL1183" s="77"/>
      <c r="AM1183" s="40" t="str">
        <f>IF(DaybyDay[[#This Row],[Admin Hours]]&gt;0,DaybyDay[[#This Row],[Admin Hours]]*$AM$2+$AM$3,"")</f>
        <v/>
      </c>
      <c r="AN1183" s="40">
        <f>SUMIFS(DaybyDay[Est-Admin-Payroll],DaybyDay[Date],"&gt;="&amp;$C$5,DaybyDay[RowYear],"&gt;="&amp;$C$4,DaybyDay[Date],"&lt;="&amp;DaybyDay[[#This Row],[Date]])</f>
        <v>13941.779999999997</v>
      </c>
      <c r="AO1183" s="41" t="str">
        <f>IF(AND(DaybyDay[[#This Row],[_Space]],ISNUMBER(DaybyDay[[#This Row],[Admin Hours]])),DaybyDay[[#This Row],[Est-Admin-Payroll]]/(DaybyDay[[#This Row],[Service-Actuals]]+DaybyDay[[#This Row],[Retail-Actuals]]),"")</f>
        <v/>
      </c>
      <c r="AP1183" s="41">
        <f>DaybyDay[[#This Row],[Estimated-Payroll-Rollup]]/DaybyDay[[#This Row],[Simple-Forecast]]</f>
        <v>2.6828975764794812E-2</v>
      </c>
      <c r="AQ11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95391.63518935343</v>
      </c>
      <c r="AR1183" s="77"/>
      <c r="AS1183" s="40" t="str">
        <f>IF(DaybyDay[[#This Row],[Retail Hours]]&gt;0,DaybyDay[[#This Row],[Retail Hours]]*$AS$2,"")</f>
        <v/>
      </c>
      <c r="AT1183" s="40">
        <f>SUMIFS(DaybyDay[Est-Retail-Payroll],DaybyDay[Date],"&gt;="&amp;$C$5,DaybyDay[RowYear],"&gt;="&amp;$C$4,DaybyDay[Date],"&lt;="&amp;DaybyDay[[#This Row],[Date]])</f>
        <v>2627.1</v>
      </c>
      <c r="AU1183" s="82" t="str">
        <f>IF(AND(DaybyDay[[#This Row],[_Space]],ISNUMBER(DaybyDay[[#This Row],[Retail Hours]])),DaybyDay[[#This Row],[Est-Retail-Payroll]]/(DaybyDay[[#This Row],[Retail-Actuals]]),"")</f>
        <v/>
      </c>
      <c r="AV1183" s="82">
        <f>DaybyDay[[#This Row],[Est-Retail-PayrollRU]]/DaybyDay[[#This Row],[Simple-Forecast-Retail]]</f>
        <v>2.7540150609486648E-2</v>
      </c>
      <c r="AW1183" s="8"/>
      <c r="AX1183" s="15"/>
      <c r="AY1183" s="8"/>
    </row>
    <row r="1184" spans="3:51" hidden="1" x14ac:dyDescent="0.25">
      <c r="C1184" s="26" t="str">
        <f>Tools!$C$1</f>
        <v>Example</v>
      </c>
      <c r="D1184" s="27" t="s">
        <v>70</v>
      </c>
      <c r="E1184" s="28">
        <v>2020</v>
      </c>
      <c r="F1184" s="28">
        <f>MATCH(DaybyDay[[#This Row],[RowMonth]],Table3[SummaryMonth],0)</f>
        <v>3</v>
      </c>
      <c r="G1184" s="29">
        <f>MATCH(DaybyDay[[#This Row],[LY-Date]],DaybyDay[Date],0)</f>
        <v>814</v>
      </c>
      <c r="H1184" s="30">
        <f>WEEKDAY(DaybyDay[[#This Row],[Date]])</f>
        <v>2</v>
      </c>
      <c r="I1184" s="31">
        <v>43913</v>
      </c>
      <c r="J1184" s="74"/>
      <c r="K1184" s="32">
        <f>SUMIFS(BudgetSeasonality[365 Seasonality],BudgetSeasonality[MonthAdjustment],DaybyDay[[#This Row],[Date]])*SUMIFS(Budgets[Service-Budget],Budgets[BudgetMonth],DaybyDay[[#This Row],[RowMonth]],Budgets[BudgetYear],DaybyDay[[#This Row],[RowYear]])</f>
        <v>4755.826043209403</v>
      </c>
      <c r="L1184" s="75"/>
      <c r="M1184" s="32">
        <f>INDEX(BudgetSeasonality[365 Seasonality],MATCH(DaybyDay[[#This Row],[Date]],BudgetSeasonality[MonthAdjustment],0))*SUMIFS(Budgets[Retail-Budget],Budgets[BudgetMonth],DaybyDay[[#This Row],[RowMonth]],Budgets[BudgetYear],DaybyDay[[#This Row],[RowYear]])</f>
        <v>1156.5267551307916</v>
      </c>
      <c r="N1184" s="75"/>
      <c r="O1184" s="33">
        <f>SUMIFS(DaybyDay[Service-Budgets],DaybyDay[Date],"&gt;="&amp;$C$5,DaybyDay[RowYear],"&gt;="&amp;$C$4,DaybyDay[Date],"&lt;="&amp;DaybyDay[[#This Row],[Date]])</f>
        <v>436401.85656525666</v>
      </c>
      <c r="P1184" s="33">
        <f>SUMIFS(DaybyDay[Retail-Budgets],DaybyDay[Date],"&gt;="&amp;$C$5,DaybyDay[RowYear],"&gt;="&amp;$C$4,DaybyDay[Date],"&lt;="&amp;DaybyDay[[#This Row],[Date]])</f>
        <v>105699.43129781373</v>
      </c>
      <c r="Q1184" s="34">
        <f>SUMIFS(DaybyDay[Service-Actuals],DaybyDay[Date],"&gt;="&amp;$C$5,DaybyDay[RowYear],"&gt;="&amp;$C$4,DaybyDay[Date],"&lt;="&amp;DaybyDay[[#This Row],[Date]])</f>
        <v>385554.23</v>
      </c>
      <c r="R1184" s="34">
        <f>SUMIFS(DaybyDay[Retail-Actuals],DaybyDay[Date],"&gt;="&amp;$C$5,DaybyDay[RowYear],"&gt;="&amp;$C$4,DaybyDay[Date],"&lt;="&amp;DaybyDay[[#This Row],[Date]])</f>
        <v>88360.030000000028</v>
      </c>
      <c r="S1184" s="35">
        <f>SUMIFS(DaybyDay[Service-LY],DaybyDay[Date],"&gt;="&amp;$C$5,DaybyDay[RowYear],"&gt;="&amp;$C$4,DaybyDay[Date],"&lt;="&amp;DaybyDay[[#This Row],[Date]])</f>
        <v>420540.91000000003</v>
      </c>
      <c r="T1184" s="35">
        <f>SUMIFS(DaybyDay[Retail-LY],DaybyDay[Date],"&gt;="&amp;$C$5,DaybyDay[RowYear],"&gt;="&amp;$C$4,DaybyDay[Date],"&lt;="&amp;DaybyDay[[#This Row],[Date]])</f>
        <v>95139.189999999988</v>
      </c>
      <c r="U1184" s="32">
        <f>DaybyDay[[#This Row],[Serv-Bud-RU]]+DaybyDay[[#This Row],[Ret-Bud-RU]]</f>
        <v>542101.28786307038</v>
      </c>
      <c r="V1184" s="32">
        <f>DaybyDay[[#This Row],[Serv-Act-RU]]+DaybyDay[[#This Row],[Ret-Act-RU]]</f>
        <v>473914.26</v>
      </c>
      <c r="W1184" s="36" t="str">
        <f>IF(DaybyDay[[#This Row],[_Space]],IFERROR(
((DaybyDay[[#This Row],[Actual-Rollup]]-DaybyDay[[#This Row],[Budget-Rollup]])/DaybyDay[[#This Row],[Budget-Rollup]]),0),"")</f>
        <v/>
      </c>
      <c r="X1184" t="b">
        <f>NOT(AND(ISBLANK(DaybyDay[[#This Row],[Appts]]),ISBLANK(DaybyDay[[#This Row],[Service-Actuals]]),ISBLANK(DaybyDay[[#This Row],[Retail-Actuals]])))</f>
        <v>0</v>
      </c>
      <c r="Y1184" s="36" t="str">
        <f>IF(DaybyDay[[#This Row],[_Space]],IFERROR(
((DaybyDay[[#This Row],[Actual-Rollup]]-DaybyDay[[#This Row],[LY-Rollup]])/DaybyDay[[#This Row],[LY-Rollup]]),0),"")</f>
        <v/>
      </c>
      <c r="Z1184"/>
      <c r="AA1184" s="37" t="str">
        <f>IF(DaybyDay[[#This Row],[_Space]],DaybyDay[[#This Row],[Ret-Act-RU]]/DaybyDay[[#This Row],[Serv-Act-RU]],"")</f>
        <v/>
      </c>
      <c r="AB1184" s="50" t="str">
        <f>IF(DaybyDay[[#This Row],[_Space]],DaybyDay[[#This Row],[RETPEN-Act]]/DaybyDay[[#This Row],[RETPEN-Bud]],"")</f>
        <v/>
      </c>
      <c r="AC1184" s="37" t="str">
        <f>IF(DaybyDay[[#This Row],[_Space]],DaybyDay[[#This Row],[Ret-Bud-RU]]/DaybyDay[[#This Row],[Serv-Bud-RU]],"")</f>
        <v/>
      </c>
      <c r="AD1184" s="37" t="str">
        <f>IF(DaybyDay[[#This Row],[_Space]],DaybyDay[[#This Row],[Ret-LY-RU]]/DaybyDay[[#This Row],[Serv-LY-RU]],"")</f>
        <v/>
      </c>
      <c r="AE1184" s="30">
        <f>WEEKDAY(DaybyDay[[#This Row],[LY-Date]])</f>
        <v>2</v>
      </c>
      <c r="AF1184" s="38">
        <f>$E$2+_xlfn.DAYS(DaybyDay[[#This Row],[Date]],minDate)</f>
        <v>43549</v>
      </c>
      <c r="AG1184" s="39" cm="1">
        <f t="array" ref="AG1184">IFERROR(INDEX(DaybyDay[],DaybyDay[[#This Row],[FORM_MATCH_HELPER]],8),"")</f>
        <v>16</v>
      </c>
      <c r="AH1184" s="39" cm="1">
        <f t="array" ref="AH1184">IFERROR(INDEX(DaybyDay[],DaybyDay[[#This Row],[FORM_MATCH_HELPER]],10),"")</f>
        <v>3621</v>
      </c>
      <c r="AI1184" s="39" cm="1">
        <f t="array" ref="AI1184">IFERROR(INDEX(DaybyDay[],DaybyDay[[#This Row],[FORM_MATCH_HELPER]],12),"")</f>
        <v>1141.4000000000001</v>
      </c>
      <c r="AJ1184" s="32">
        <f>IFERROR(DaybyDay[[#This Row],[Serv-LY-RU]]+DaybyDay[[#This Row],[Ret-LY-RU]],"")</f>
        <v>515680.10000000003</v>
      </c>
      <c r="AK11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524516.74634864298</v>
      </c>
      <c r="AL1184" s="77"/>
      <c r="AM1184" s="40" t="str">
        <f>IF(DaybyDay[[#This Row],[Admin Hours]]&gt;0,DaybyDay[[#This Row],[Admin Hours]]*$AM$2+$AM$3,"")</f>
        <v/>
      </c>
      <c r="AN1184" s="40">
        <f>SUMIFS(DaybyDay[Est-Admin-Payroll],DaybyDay[Date],"&gt;="&amp;$C$5,DaybyDay[RowYear],"&gt;="&amp;$C$4,DaybyDay[Date],"&lt;="&amp;DaybyDay[[#This Row],[Date]])</f>
        <v>13941.779999999997</v>
      </c>
      <c r="AO1184" s="41" t="str">
        <f>IF(AND(DaybyDay[[#This Row],[_Space]],ISNUMBER(DaybyDay[[#This Row],[Admin Hours]])),DaybyDay[[#This Row],[Est-Admin-Payroll]]/(DaybyDay[[#This Row],[Service-Actuals]]+DaybyDay[[#This Row],[Retail-Actuals]]),"")</f>
        <v/>
      </c>
      <c r="AP1184" s="41">
        <f>DaybyDay[[#This Row],[Estimated-Payroll-Rollup]]/DaybyDay[[#This Row],[Simple-Forecast]]</f>
        <v>2.6580238089734858E-2</v>
      </c>
      <c r="AQ11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96446.328945110959</v>
      </c>
      <c r="AR1184" s="77"/>
      <c r="AS1184" s="40" t="str">
        <f>IF(DaybyDay[[#This Row],[Retail Hours]]&gt;0,DaybyDay[[#This Row],[Retail Hours]]*$AS$2,"")</f>
        <v/>
      </c>
      <c r="AT1184" s="40">
        <f>SUMIFS(DaybyDay[Est-Retail-Payroll],DaybyDay[Date],"&gt;="&amp;$C$5,DaybyDay[RowYear],"&gt;="&amp;$C$4,DaybyDay[Date],"&lt;="&amp;DaybyDay[[#This Row],[Date]])</f>
        <v>2627.1</v>
      </c>
      <c r="AU1184" s="82" t="str">
        <f>IF(AND(DaybyDay[[#This Row],[_Space]],ISNUMBER(DaybyDay[[#This Row],[Retail Hours]])),DaybyDay[[#This Row],[Est-Retail-Payroll]]/(DaybyDay[[#This Row],[Retail-Actuals]]),"")</f>
        <v/>
      </c>
      <c r="AV1184" s="82">
        <f>DaybyDay[[#This Row],[Est-Retail-PayrollRU]]/DaybyDay[[#This Row],[Simple-Forecast-Retail]]</f>
        <v>2.7238983886002769E-2</v>
      </c>
      <c r="AW1184" s="8"/>
      <c r="AX1184" s="15"/>
      <c r="AY1184" s="8"/>
    </row>
    <row r="1185" spans="3:51" hidden="1" x14ac:dyDescent="0.25">
      <c r="C1185" s="26" t="str">
        <f>Tools!$C$1</f>
        <v>Example</v>
      </c>
      <c r="D1185" s="27" t="s">
        <v>70</v>
      </c>
      <c r="E1185" s="28">
        <v>2020</v>
      </c>
      <c r="F1185" s="28">
        <f>MATCH(DaybyDay[[#This Row],[RowMonth]],Table3[SummaryMonth],0)</f>
        <v>3</v>
      </c>
      <c r="G1185" s="29">
        <f>MATCH(DaybyDay[[#This Row],[LY-Date]],DaybyDay[Date],0)</f>
        <v>815</v>
      </c>
      <c r="H1185" s="30">
        <f>WEEKDAY(DaybyDay[[#This Row],[Date]])</f>
        <v>3</v>
      </c>
      <c r="I1185" s="31">
        <v>43914</v>
      </c>
      <c r="J1185" s="74"/>
      <c r="K1185" s="32">
        <f>SUMIFS(BudgetSeasonality[365 Seasonality],BudgetSeasonality[MonthAdjustment],DaybyDay[[#This Row],[Date]])*SUMIFS(Budgets[Service-Budget],Budgets[BudgetMonth],DaybyDay[[#This Row],[RowMonth]],Budgets[BudgetYear],DaybyDay[[#This Row],[RowYear]])</f>
        <v>4948.1124423087658</v>
      </c>
      <c r="L1185" s="75"/>
      <c r="M1185" s="32">
        <f>INDEX(BudgetSeasonality[365 Seasonality],MATCH(DaybyDay[[#This Row],[Date]],BudgetSeasonality[MonthAdjustment],0))*SUMIFS(Budgets[Retail-Budget],Budgets[BudgetMonth],DaybyDay[[#This Row],[RowMonth]],Budgets[BudgetYear],DaybyDay[[#This Row],[RowYear]])</f>
        <v>1203.2871629307576</v>
      </c>
      <c r="N1185" s="75"/>
      <c r="O1185" s="33">
        <f>SUMIFS(DaybyDay[Service-Budgets],DaybyDay[Date],"&gt;="&amp;$C$5,DaybyDay[RowYear],"&gt;="&amp;$C$4,DaybyDay[Date],"&lt;="&amp;DaybyDay[[#This Row],[Date]])</f>
        <v>441349.96900756541</v>
      </c>
      <c r="P1185" s="33">
        <f>SUMIFS(DaybyDay[Retail-Budgets],DaybyDay[Date],"&gt;="&amp;$C$5,DaybyDay[RowYear],"&gt;="&amp;$C$4,DaybyDay[Date],"&lt;="&amp;DaybyDay[[#This Row],[Date]])</f>
        <v>106902.71846074449</v>
      </c>
      <c r="Q1185" s="34">
        <f>SUMIFS(DaybyDay[Service-Actuals],DaybyDay[Date],"&gt;="&amp;$C$5,DaybyDay[RowYear],"&gt;="&amp;$C$4,DaybyDay[Date],"&lt;="&amp;DaybyDay[[#This Row],[Date]])</f>
        <v>385554.23</v>
      </c>
      <c r="R1185" s="34">
        <f>SUMIFS(DaybyDay[Retail-Actuals],DaybyDay[Date],"&gt;="&amp;$C$5,DaybyDay[RowYear],"&gt;="&amp;$C$4,DaybyDay[Date],"&lt;="&amp;DaybyDay[[#This Row],[Date]])</f>
        <v>88360.030000000028</v>
      </c>
      <c r="S1185" s="35">
        <f>SUMIFS(DaybyDay[Service-LY],DaybyDay[Date],"&gt;="&amp;$C$5,DaybyDay[RowYear],"&gt;="&amp;$C$4,DaybyDay[Date],"&lt;="&amp;DaybyDay[[#This Row],[Date]])</f>
        <v>423832.91000000003</v>
      </c>
      <c r="T1185" s="35">
        <f>SUMIFS(DaybyDay[Retail-LY],DaybyDay[Date],"&gt;="&amp;$C$5,DaybyDay[RowYear],"&gt;="&amp;$C$4,DaybyDay[Date],"&lt;="&amp;DaybyDay[[#This Row],[Date]])</f>
        <v>96227.689999999988</v>
      </c>
      <c r="U1185" s="32">
        <f>DaybyDay[[#This Row],[Serv-Bud-RU]]+DaybyDay[[#This Row],[Ret-Bud-RU]]</f>
        <v>548252.68746830989</v>
      </c>
      <c r="V1185" s="32">
        <f>DaybyDay[[#This Row],[Serv-Act-RU]]+DaybyDay[[#This Row],[Ret-Act-RU]]</f>
        <v>473914.26</v>
      </c>
      <c r="W1185" s="36" t="str">
        <f>IF(DaybyDay[[#This Row],[_Space]],IFERROR(
((DaybyDay[[#This Row],[Actual-Rollup]]-DaybyDay[[#This Row],[Budget-Rollup]])/DaybyDay[[#This Row],[Budget-Rollup]]),0),"")</f>
        <v/>
      </c>
      <c r="X1185" t="b">
        <f>NOT(AND(ISBLANK(DaybyDay[[#This Row],[Appts]]),ISBLANK(DaybyDay[[#This Row],[Service-Actuals]]),ISBLANK(DaybyDay[[#This Row],[Retail-Actuals]])))</f>
        <v>0</v>
      </c>
      <c r="Y1185" s="36" t="str">
        <f>IF(DaybyDay[[#This Row],[_Space]],IFERROR(
((DaybyDay[[#This Row],[Actual-Rollup]]-DaybyDay[[#This Row],[LY-Rollup]])/DaybyDay[[#This Row],[LY-Rollup]]),0),"")</f>
        <v/>
      </c>
      <c r="Z1185"/>
      <c r="AA1185" s="37" t="str">
        <f>IF(DaybyDay[[#This Row],[_Space]],DaybyDay[[#This Row],[Ret-Act-RU]]/DaybyDay[[#This Row],[Serv-Act-RU]],"")</f>
        <v/>
      </c>
      <c r="AB1185" s="50" t="str">
        <f>IF(DaybyDay[[#This Row],[_Space]],DaybyDay[[#This Row],[RETPEN-Act]]/DaybyDay[[#This Row],[RETPEN-Bud]],"")</f>
        <v/>
      </c>
      <c r="AC1185" s="37" t="str">
        <f>IF(DaybyDay[[#This Row],[_Space]],DaybyDay[[#This Row],[Ret-Bud-RU]]/DaybyDay[[#This Row],[Serv-Bud-RU]],"")</f>
        <v/>
      </c>
      <c r="AD1185" s="37" t="str">
        <f>IF(DaybyDay[[#This Row],[_Space]],DaybyDay[[#This Row],[Ret-LY-RU]]/DaybyDay[[#This Row],[Serv-LY-RU]],"")</f>
        <v/>
      </c>
      <c r="AE1185" s="30">
        <f>WEEKDAY(DaybyDay[[#This Row],[LY-Date]])</f>
        <v>3</v>
      </c>
      <c r="AF1185" s="38">
        <f>$E$2+_xlfn.DAYS(DaybyDay[[#This Row],[Date]],minDate)</f>
        <v>43550</v>
      </c>
      <c r="AG1185" s="39" cm="1">
        <f t="array" ref="AG1185">IFERROR(INDEX(DaybyDay[],DaybyDay[[#This Row],[FORM_MATCH_HELPER]],8),"")</f>
        <v>15</v>
      </c>
      <c r="AH1185" s="39" cm="1">
        <f t="array" ref="AH1185">IFERROR(INDEX(DaybyDay[],DaybyDay[[#This Row],[FORM_MATCH_HELPER]],10),"")</f>
        <v>3292</v>
      </c>
      <c r="AI1185" s="39" cm="1">
        <f t="array" ref="AI1185">IFERROR(INDEX(DaybyDay[],DaybyDay[[#This Row],[FORM_MATCH_HELPER]],12),"")</f>
        <v>1088.5</v>
      </c>
      <c r="AJ1185" s="32">
        <f>IFERROR(DaybyDay[[#This Row],[Serv-LY-RU]]+DaybyDay[[#This Row],[Ret-LY-RU]],"")</f>
        <v>520060.60000000003</v>
      </c>
      <c r="AK11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529293.04961781693</v>
      </c>
      <c r="AL1185" s="77"/>
      <c r="AM1185" s="40" t="str">
        <f>IF(DaybyDay[[#This Row],[Admin Hours]]&gt;0,DaybyDay[[#This Row],[Admin Hours]]*$AM$2+$AM$3,"")</f>
        <v/>
      </c>
      <c r="AN1185" s="40">
        <f>SUMIFS(DaybyDay[Est-Admin-Payroll],DaybyDay[Date],"&gt;="&amp;$C$5,DaybyDay[RowYear],"&gt;="&amp;$C$4,DaybyDay[Date],"&lt;="&amp;DaybyDay[[#This Row],[Date]])</f>
        <v>13941.779999999997</v>
      </c>
      <c r="AO1185" s="41" t="str">
        <f>IF(AND(DaybyDay[[#This Row],[_Space]],ISNUMBER(DaybyDay[[#This Row],[Admin Hours]])),DaybyDay[[#This Row],[Est-Admin-Payroll]]/(DaybyDay[[#This Row],[Service-Actuals]]+DaybyDay[[#This Row],[Retail-Actuals]]),"")</f>
        <v/>
      </c>
      <c r="AP1185" s="41">
        <f>DaybyDay[[#This Row],[Estimated-Payroll-Rollup]]/DaybyDay[[#This Row],[Simple-Forecast]]</f>
        <v>2.6340379889867899E-2</v>
      </c>
      <c r="AQ11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97494.830479178956</v>
      </c>
      <c r="AR1185" s="77"/>
      <c r="AS1185" s="40" t="str">
        <f>IF(DaybyDay[[#This Row],[Retail Hours]]&gt;0,DaybyDay[[#This Row],[Retail Hours]]*$AS$2,"")</f>
        <v/>
      </c>
      <c r="AT1185" s="40">
        <f>SUMIFS(DaybyDay[Est-Retail-Payroll],DaybyDay[Date],"&gt;="&amp;$C$5,DaybyDay[RowYear],"&gt;="&amp;$C$4,DaybyDay[Date],"&lt;="&amp;DaybyDay[[#This Row],[Date]])</f>
        <v>2627.1</v>
      </c>
      <c r="AU1185" s="82" t="str">
        <f>IF(AND(DaybyDay[[#This Row],[_Space]],ISNUMBER(DaybyDay[[#This Row],[Retail Hours]])),DaybyDay[[#This Row],[Est-Retail-Payroll]]/(DaybyDay[[#This Row],[Retail-Actuals]]),"")</f>
        <v/>
      </c>
      <c r="AV1185" s="82">
        <f>DaybyDay[[#This Row],[Est-Retail-PayrollRU]]/DaybyDay[[#This Row],[Simple-Forecast-Retail]]</f>
        <v>2.6946044083445479E-2</v>
      </c>
      <c r="AW1185" s="8"/>
      <c r="AX1185" s="15"/>
      <c r="AY1185" s="8"/>
    </row>
    <row r="1186" spans="3:51" hidden="1" x14ac:dyDescent="0.25">
      <c r="C1186" s="26" t="str">
        <f>Tools!$C$1</f>
        <v>Example</v>
      </c>
      <c r="D1186" s="27" t="s">
        <v>70</v>
      </c>
      <c r="E1186" s="28">
        <v>2020</v>
      </c>
      <c r="F1186" s="28">
        <f>MATCH(DaybyDay[[#This Row],[RowMonth]],Table3[SummaryMonth],0)</f>
        <v>3</v>
      </c>
      <c r="G1186" s="29">
        <f>MATCH(DaybyDay[[#This Row],[LY-Date]],DaybyDay[Date],0)</f>
        <v>816</v>
      </c>
      <c r="H1186" s="30">
        <f>WEEKDAY(DaybyDay[[#This Row],[Date]])</f>
        <v>4</v>
      </c>
      <c r="I1186" s="31">
        <v>43915</v>
      </c>
      <c r="J1186" s="74"/>
      <c r="K1186" s="32">
        <f>SUMIFS(BudgetSeasonality[365 Seasonality],BudgetSeasonality[MonthAdjustment],DaybyDay[[#This Row],[Date]])*SUMIFS(Budgets[Service-Budget],Budgets[BudgetMonth],DaybyDay[[#This Row],[RowMonth]],Budgets[BudgetYear],DaybyDay[[#This Row],[RowYear]])</f>
        <v>5564.5784381974709</v>
      </c>
      <c r="L1186" s="75"/>
      <c r="M1186" s="32">
        <f>INDEX(BudgetSeasonality[365 Seasonality],MATCH(DaybyDay[[#This Row],[Date]],BudgetSeasonality[MonthAdjustment],0))*SUMIFS(Budgets[Retail-Budget],Budgets[BudgetMonth],DaybyDay[[#This Row],[RowMonth]],Budgets[BudgetYear],DaybyDay[[#This Row],[RowYear]])</f>
        <v>1353.2000090685247</v>
      </c>
      <c r="N1186" s="75"/>
      <c r="O1186" s="33">
        <f>SUMIFS(DaybyDay[Service-Budgets],DaybyDay[Date],"&gt;="&amp;$C$5,DaybyDay[RowYear],"&gt;="&amp;$C$4,DaybyDay[Date],"&lt;="&amp;DaybyDay[[#This Row],[Date]])</f>
        <v>446914.5474457629</v>
      </c>
      <c r="P1186" s="33">
        <f>SUMIFS(DaybyDay[Retail-Budgets],DaybyDay[Date],"&gt;="&amp;$C$5,DaybyDay[RowYear],"&gt;="&amp;$C$4,DaybyDay[Date],"&lt;="&amp;DaybyDay[[#This Row],[Date]])</f>
        <v>108255.91846981301</v>
      </c>
      <c r="Q1186" s="34">
        <f>SUMIFS(DaybyDay[Service-Actuals],DaybyDay[Date],"&gt;="&amp;$C$5,DaybyDay[RowYear],"&gt;="&amp;$C$4,DaybyDay[Date],"&lt;="&amp;DaybyDay[[#This Row],[Date]])</f>
        <v>385554.23</v>
      </c>
      <c r="R1186" s="34">
        <f>SUMIFS(DaybyDay[Retail-Actuals],DaybyDay[Date],"&gt;="&amp;$C$5,DaybyDay[RowYear],"&gt;="&amp;$C$4,DaybyDay[Date],"&lt;="&amp;DaybyDay[[#This Row],[Date]])</f>
        <v>88360.030000000028</v>
      </c>
      <c r="S1186" s="35">
        <f>SUMIFS(DaybyDay[Service-LY],DaybyDay[Date],"&gt;="&amp;$C$5,DaybyDay[RowYear],"&gt;="&amp;$C$4,DaybyDay[Date],"&lt;="&amp;DaybyDay[[#This Row],[Date]])</f>
        <v>428034.71</v>
      </c>
      <c r="T1186" s="35">
        <f>SUMIFS(DaybyDay[Retail-LY],DaybyDay[Date],"&gt;="&amp;$C$5,DaybyDay[RowYear],"&gt;="&amp;$C$4,DaybyDay[Date],"&lt;="&amp;DaybyDay[[#This Row],[Date]])</f>
        <v>98632.389999999985</v>
      </c>
      <c r="U1186" s="32">
        <f>DaybyDay[[#This Row],[Serv-Bud-RU]]+DaybyDay[[#This Row],[Ret-Bud-RU]]</f>
        <v>555170.46591557586</v>
      </c>
      <c r="V1186" s="32">
        <f>DaybyDay[[#This Row],[Serv-Act-RU]]+DaybyDay[[#This Row],[Ret-Act-RU]]</f>
        <v>473914.26</v>
      </c>
      <c r="W1186" s="36" t="str">
        <f>IF(DaybyDay[[#This Row],[_Space]],IFERROR(
((DaybyDay[[#This Row],[Actual-Rollup]]-DaybyDay[[#This Row],[Budget-Rollup]])/DaybyDay[[#This Row],[Budget-Rollup]]),0),"")</f>
        <v/>
      </c>
      <c r="X1186" t="b">
        <f>NOT(AND(ISBLANK(DaybyDay[[#This Row],[Appts]]),ISBLANK(DaybyDay[[#This Row],[Service-Actuals]]),ISBLANK(DaybyDay[[#This Row],[Retail-Actuals]])))</f>
        <v>0</v>
      </c>
      <c r="Y1186" s="36" t="str">
        <f>IF(DaybyDay[[#This Row],[_Space]],IFERROR(
((DaybyDay[[#This Row],[Actual-Rollup]]-DaybyDay[[#This Row],[LY-Rollup]])/DaybyDay[[#This Row],[LY-Rollup]]),0),"")</f>
        <v/>
      </c>
      <c r="Z1186"/>
      <c r="AA1186" s="37" t="str">
        <f>IF(DaybyDay[[#This Row],[_Space]],DaybyDay[[#This Row],[Ret-Act-RU]]/DaybyDay[[#This Row],[Serv-Act-RU]],"")</f>
        <v/>
      </c>
      <c r="AB1186" s="50" t="str">
        <f>IF(DaybyDay[[#This Row],[_Space]],DaybyDay[[#This Row],[RETPEN-Act]]/DaybyDay[[#This Row],[RETPEN-Bud]],"")</f>
        <v/>
      </c>
      <c r="AC1186" s="37" t="str">
        <f>IF(DaybyDay[[#This Row],[_Space]],DaybyDay[[#This Row],[Ret-Bud-RU]]/DaybyDay[[#This Row],[Serv-Bud-RU]],"")</f>
        <v/>
      </c>
      <c r="AD1186" s="37" t="str">
        <f>IF(DaybyDay[[#This Row],[_Space]],DaybyDay[[#This Row],[Ret-LY-RU]]/DaybyDay[[#This Row],[Serv-LY-RU]],"")</f>
        <v/>
      </c>
      <c r="AE1186" s="30">
        <f>WEEKDAY(DaybyDay[[#This Row],[LY-Date]])</f>
        <v>4</v>
      </c>
      <c r="AF1186" s="38">
        <f>$E$2+_xlfn.DAYS(DaybyDay[[#This Row],[Date]],minDate)</f>
        <v>43551</v>
      </c>
      <c r="AG1186" s="39" cm="1">
        <f t="array" ref="AG1186">IFERROR(INDEX(DaybyDay[],DaybyDay[[#This Row],[FORM_MATCH_HELPER]],8),"")</f>
        <v>25</v>
      </c>
      <c r="AH1186" s="39" cm="1">
        <f t="array" ref="AH1186">IFERROR(INDEX(DaybyDay[],DaybyDay[[#This Row],[FORM_MATCH_HELPER]],10),"")</f>
        <v>4201.8</v>
      </c>
      <c r="AI1186" s="39" cm="1">
        <f t="array" ref="AI1186">IFERROR(INDEX(DaybyDay[],DaybyDay[[#This Row],[FORM_MATCH_HELPER]],12),"")</f>
        <v>2404.6999999999998</v>
      </c>
      <c r="AJ1186" s="32">
        <f>IFERROR(DaybyDay[[#This Row],[Serv-LY-RU]]+DaybyDay[[#This Row],[Ret-LY-RU]],"")</f>
        <v>526667.1</v>
      </c>
      <c r="AK11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535492.85002530052</v>
      </c>
      <c r="AL1186" s="77"/>
      <c r="AM1186" s="40" t="str">
        <f>IF(DaybyDay[[#This Row],[Admin Hours]]&gt;0,DaybyDay[[#This Row],[Admin Hours]]*$AM$2+$AM$3,"")</f>
        <v/>
      </c>
      <c r="AN1186" s="40">
        <f>SUMIFS(DaybyDay[Est-Admin-Payroll],DaybyDay[Date],"&gt;="&amp;$C$5,DaybyDay[RowYear],"&gt;="&amp;$C$4,DaybyDay[Date],"&lt;="&amp;DaybyDay[[#This Row],[Date]])</f>
        <v>13941.779999999997</v>
      </c>
      <c r="AO1186" s="41" t="str">
        <f>IF(AND(DaybyDay[[#This Row],[_Space]],ISNUMBER(DaybyDay[[#This Row],[Admin Hours]])),DaybyDay[[#This Row],[Est-Admin-Payroll]]/(DaybyDay[[#This Row],[Service-Actuals]]+DaybyDay[[#This Row],[Retail-Actuals]]),"")</f>
        <v/>
      </c>
      <c r="AP1186" s="41">
        <f>DaybyDay[[#This Row],[Estimated-Payroll-Rollup]]/DaybyDay[[#This Row],[Simple-Forecast]]</f>
        <v>2.6035417651872079E-2</v>
      </c>
      <c r="AQ11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99256.041650171566</v>
      </c>
      <c r="AR1186" s="77"/>
      <c r="AS1186" s="40" t="str">
        <f>IF(DaybyDay[[#This Row],[Retail Hours]]&gt;0,DaybyDay[[#This Row],[Retail Hours]]*$AS$2,"")</f>
        <v/>
      </c>
      <c r="AT1186" s="40">
        <f>SUMIFS(DaybyDay[Est-Retail-Payroll],DaybyDay[Date],"&gt;="&amp;$C$5,DaybyDay[RowYear],"&gt;="&amp;$C$4,DaybyDay[Date],"&lt;="&amp;DaybyDay[[#This Row],[Date]])</f>
        <v>2627.1</v>
      </c>
      <c r="AU1186" s="82" t="str">
        <f>IF(AND(DaybyDay[[#This Row],[_Space]],ISNUMBER(DaybyDay[[#This Row],[Retail Hours]])),DaybyDay[[#This Row],[Est-Retail-Payroll]]/(DaybyDay[[#This Row],[Retail-Actuals]]),"")</f>
        <v/>
      </c>
      <c r="AV1186" s="82">
        <f>DaybyDay[[#This Row],[Est-Retail-PayrollRU]]/DaybyDay[[#This Row],[Simple-Forecast-Retail]]</f>
        <v>2.6467910228167545E-2</v>
      </c>
      <c r="AW1186" s="8"/>
      <c r="AX1186" s="15"/>
      <c r="AY1186" s="8"/>
    </row>
    <row r="1187" spans="3:51" hidden="1" x14ac:dyDescent="0.25">
      <c r="C1187" s="26" t="str">
        <f>Tools!$C$1</f>
        <v>Example</v>
      </c>
      <c r="D1187" s="27" t="s">
        <v>70</v>
      </c>
      <c r="E1187" s="28">
        <v>2020</v>
      </c>
      <c r="F1187" s="28">
        <f>MATCH(DaybyDay[[#This Row],[RowMonth]],Table3[SummaryMonth],0)</f>
        <v>3</v>
      </c>
      <c r="G1187" s="29">
        <f>MATCH(DaybyDay[[#This Row],[LY-Date]],DaybyDay[Date],0)</f>
        <v>817</v>
      </c>
      <c r="H1187" s="30">
        <f>WEEKDAY(DaybyDay[[#This Row],[Date]])</f>
        <v>5</v>
      </c>
      <c r="I1187" s="31">
        <v>43916</v>
      </c>
      <c r="J1187" s="74"/>
      <c r="K1187" s="32">
        <f>SUMIFS(BudgetSeasonality[365 Seasonality],BudgetSeasonality[MonthAdjustment],DaybyDay[[#This Row],[Date]])*SUMIFS(Budgets[Service-Budget],Budgets[BudgetMonth],DaybyDay[[#This Row],[RowMonth]],Budgets[BudgetYear],DaybyDay[[#This Row],[RowYear]])</f>
        <v>5720.6613210130354</v>
      </c>
      <c r="L1187" s="75"/>
      <c r="M1187" s="32">
        <f>INDEX(BudgetSeasonality[365 Seasonality],MATCH(DaybyDay[[#This Row],[Date]],BudgetSeasonality[MonthAdjustment],0))*SUMIFS(Budgets[Retail-Budget],Budgets[BudgetMonth],DaybyDay[[#This Row],[RowMonth]],Budgets[BudgetYear],DaybyDay[[#This Row],[RowYear]])</f>
        <v>1391.1564078842237</v>
      </c>
      <c r="N1187" s="75"/>
      <c r="O1187" s="33">
        <f>SUMIFS(DaybyDay[Service-Budgets],DaybyDay[Date],"&gt;="&amp;$C$5,DaybyDay[RowYear],"&gt;="&amp;$C$4,DaybyDay[Date],"&lt;="&amp;DaybyDay[[#This Row],[Date]])</f>
        <v>452635.20876677596</v>
      </c>
      <c r="P1187" s="33">
        <f>SUMIFS(DaybyDay[Retail-Budgets],DaybyDay[Date],"&gt;="&amp;$C$5,DaybyDay[RowYear],"&gt;="&amp;$C$4,DaybyDay[Date],"&lt;="&amp;DaybyDay[[#This Row],[Date]])</f>
        <v>109647.07487769723</v>
      </c>
      <c r="Q1187" s="34">
        <f>SUMIFS(DaybyDay[Service-Actuals],DaybyDay[Date],"&gt;="&amp;$C$5,DaybyDay[RowYear],"&gt;="&amp;$C$4,DaybyDay[Date],"&lt;="&amp;DaybyDay[[#This Row],[Date]])</f>
        <v>385554.23</v>
      </c>
      <c r="R1187" s="34">
        <f>SUMIFS(DaybyDay[Retail-Actuals],DaybyDay[Date],"&gt;="&amp;$C$5,DaybyDay[RowYear],"&gt;="&amp;$C$4,DaybyDay[Date],"&lt;="&amp;DaybyDay[[#This Row],[Date]])</f>
        <v>88360.030000000028</v>
      </c>
      <c r="S1187" s="35">
        <f>SUMIFS(DaybyDay[Service-LY],DaybyDay[Date],"&gt;="&amp;$C$5,DaybyDay[RowYear],"&gt;="&amp;$C$4,DaybyDay[Date],"&lt;="&amp;DaybyDay[[#This Row],[Date]])</f>
        <v>431945.88</v>
      </c>
      <c r="T1187" s="35">
        <f>SUMIFS(DaybyDay[Retail-LY],DaybyDay[Date],"&gt;="&amp;$C$5,DaybyDay[RowYear],"&gt;="&amp;$C$4,DaybyDay[Date],"&lt;="&amp;DaybyDay[[#This Row],[Date]])</f>
        <v>100385.63999999998</v>
      </c>
      <c r="U1187" s="32">
        <f>DaybyDay[[#This Row],[Serv-Bud-RU]]+DaybyDay[[#This Row],[Ret-Bud-RU]]</f>
        <v>562282.28364447318</v>
      </c>
      <c r="V1187" s="32">
        <f>DaybyDay[[#This Row],[Serv-Act-RU]]+DaybyDay[[#This Row],[Ret-Act-RU]]</f>
        <v>473914.26</v>
      </c>
      <c r="W1187" s="36" t="str">
        <f>IF(DaybyDay[[#This Row],[_Space]],IFERROR(
((DaybyDay[[#This Row],[Actual-Rollup]]-DaybyDay[[#This Row],[Budget-Rollup]])/DaybyDay[[#This Row],[Budget-Rollup]]),0),"")</f>
        <v/>
      </c>
      <c r="X1187" t="b">
        <f>NOT(AND(ISBLANK(DaybyDay[[#This Row],[Appts]]),ISBLANK(DaybyDay[[#This Row],[Service-Actuals]]),ISBLANK(DaybyDay[[#This Row],[Retail-Actuals]])))</f>
        <v>0</v>
      </c>
      <c r="Y1187" s="36" t="str">
        <f>IF(DaybyDay[[#This Row],[_Space]],IFERROR(
((DaybyDay[[#This Row],[Actual-Rollup]]-DaybyDay[[#This Row],[LY-Rollup]])/DaybyDay[[#This Row],[LY-Rollup]]),0),"")</f>
        <v/>
      </c>
      <c r="Z1187"/>
      <c r="AA1187" s="37" t="str">
        <f>IF(DaybyDay[[#This Row],[_Space]],DaybyDay[[#This Row],[Ret-Act-RU]]/DaybyDay[[#This Row],[Serv-Act-RU]],"")</f>
        <v/>
      </c>
      <c r="AB1187" s="50" t="str">
        <f>IF(DaybyDay[[#This Row],[_Space]],DaybyDay[[#This Row],[RETPEN-Act]]/DaybyDay[[#This Row],[RETPEN-Bud]],"")</f>
        <v/>
      </c>
      <c r="AC1187" s="37" t="str">
        <f>IF(DaybyDay[[#This Row],[_Space]],DaybyDay[[#This Row],[Ret-Bud-RU]]/DaybyDay[[#This Row],[Serv-Bud-RU]],"")</f>
        <v/>
      </c>
      <c r="AD1187" s="37" t="str">
        <f>IF(DaybyDay[[#This Row],[_Space]],DaybyDay[[#This Row],[Ret-LY-RU]]/DaybyDay[[#This Row],[Serv-LY-RU]],"")</f>
        <v/>
      </c>
      <c r="AE1187" s="30">
        <f>WEEKDAY(DaybyDay[[#This Row],[LY-Date]])</f>
        <v>5</v>
      </c>
      <c r="AF1187" s="38">
        <f>$E$2+_xlfn.DAYS(DaybyDay[[#This Row],[Date]],minDate)</f>
        <v>43552</v>
      </c>
      <c r="AG1187" s="39" cm="1">
        <f t="array" ref="AG1187">IFERROR(INDEX(DaybyDay[],DaybyDay[[#This Row],[FORM_MATCH_HELPER]],8),"")</f>
        <v>21</v>
      </c>
      <c r="AH1187" s="39" cm="1">
        <f t="array" ref="AH1187">IFERROR(INDEX(DaybyDay[],DaybyDay[[#This Row],[FORM_MATCH_HELPER]],10),"")</f>
        <v>3911.17</v>
      </c>
      <c r="AI1187" s="39" cm="1">
        <f t="array" ref="AI1187">IFERROR(INDEX(DaybyDay[],DaybyDay[[#This Row],[FORM_MATCH_HELPER]],12),"")</f>
        <v>1753.25</v>
      </c>
      <c r="AJ1187" s="32">
        <f>IFERROR(DaybyDay[[#This Row],[Serv-LY-RU]]+DaybyDay[[#This Row],[Ret-LY-RU]],"")</f>
        <v>532331.52000000002</v>
      </c>
      <c r="AK11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541310.69981913711</v>
      </c>
      <c r="AL1187" s="77"/>
      <c r="AM1187" s="40" t="str">
        <f>IF(DaybyDay[[#This Row],[Admin Hours]]&gt;0,DaybyDay[[#This Row],[Admin Hours]]*$AM$2+$AM$3,"")</f>
        <v/>
      </c>
      <c r="AN1187" s="40">
        <f>SUMIFS(DaybyDay[Est-Admin-Payroll],DaybyDay[Date],"&gt;="&amp;$C$5,DaybyDay[RowYear],"&gt;="&amp;$C$4,DaybyDay[Date],"&lt;="&amp;DaybyDay[[#This Row],[Date]])</f>
        <v>13941.779999999997</v>
      </c>
      <c r="AO1187" s="41" t="str">
        <f>IF(AND(DaybyDay[[#This Row],[_Space]],ISNUMBER(DaybyDay[[#This Row],[Admin Hours]])),DaybyDay[[#This Row],[Est-Admin-Payroll]]/(DaybyDay[[#This Row],[Service-Actuals]]+DaybyDay[[#This Row],[Retail-Actuals]]),"")</f>
        <v/>
      </c>
      <c r="AP1187" s="41">
        <f>DaybyDay[[#This Row],[Estimated-Payroll-Rollup]]/DaybyDay[[#This Row],[Simple-Forecast]]</f>
        <v>2.5755596563412156E-2</v>
      </c>
      <c r="AQ11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100712.20475264662</v>
      </c>
      <c r="AR1187" s="77"/>
      <c r="AS1187" s="40" t="str">
        <f>IF(DaybyDay[[#This Row],[Retail Hours]]&gt;0,DaybyDay[[#This Row],[Retail Hours]]*$AS$2,"")</f>
        <v/>
      </c>
      <c r="AT1187" s="40">
        <f>SUMIFS(DaybyDay[Est-Retail-Payroll],DaybyDay[Date],"&gt;="&amp;$C$5,DaybyDay[RowYear],"&gt;="&amp;$C$4,DaybyDay[Date],"&lt;="&amp;DaybyDay[[#This Row],[Date]])</f>
        <v>2627.1</v>
      </c>
      <c r="AU1187" s="82" t="str">
        <f>IF(AND(DaybyDay[[#This Row],[_Space]],ISNUMBER(DaybyDay[[#This Row],[Retail Hours]])),DaybyDay[[#This Row],[Est-Retail-Payroll]]/(DaybyDay[[#This Row],[Retail-Actuals]]),"")</f>
        <v/>
      </c>
      <c r="AV1187" s="82">
        <f>DaybyDay[[#This Row],[Est-Retail-PayrollRU]]/DaybyDay[[#This Row],[Simple-Forecast-Retail]]</f>
        <v>2.6085219824670377E-2</v>
      </c>
      <c r="AW1187" s="8"/>
      <c r="AX1187" s="15"/>
      <c r="AY1187" s="8"/>
    </row>
    <row r="1188" spans="3:51" hidden="1" x14ac:dyDescent="0.25">
      <c r="C1188" s="26" t="str">
        <f>Tools!$C$1</f>
        <v>Example</v>
      </c>
      <c r="D1188" s="27" t="s">
        <v>70</v>
      </c>
      <c r="E1188" s="28">
        <v>2020</v>
      </c>
      <c r="F1188" s="28">
        <f>MATCH(DaybyDay[[#This Row],[RowMonth]],Table3[SummaryMonth],0)</f>
        <v>3</v>
      </c>
      <c r="G1188" s="29">
        <f>MATCH(DaybyDay[[#This Row],[LY-Date]],DaybyDay[Date],0)</f>
        <v>818</v>
      </c>
      <c r="H1188" s="30">
        <f>WEEKDAY(DaybyDay[[#This Row],[Date]])</f>
        <v>6</v>
      </c>
      <c r="I1188" s="31">
        <v>43917</v>
      </c>
      <c r="J1188" s="74"/>
      <c r="K1188" s="32">
        <f>SUMIFS(BudgetSeasonality[365 Seasonality],BudgetSeasonality[MonthAdjustment],DaybyDay[[#This Row],[Date]])*SUMIFS(Budgets[Service-Budget],Budgets[BudgetMonth],DaybyDay[[#This Row],[RowMonth]],Budgets[BudgetYear],DaybyDay[[#This Row],[RowYear]])</f>
        <v>6783.6024598057629</v>
      </c>
      <c r="L1188" s="75"/>
      <c r="M1188" s="32">
        <f>INDEX(BudgetSeasonality[365 Seasonality],MATCH(DaybyDay[[#This Row],[Date]],BudgetSeasonality[MonthAdjustment],0))*SUMIFS(Budgets[Retail-Budget],Budgets[BudgetMonth],DaybyDay[[#This Row],[RowMonth]],Budgets[BudgetYear],DaybyDay[[#This Row],[RowYear]])</f>
        <v>1649.6435466008013</v>
      </c>
      <c r="N1188" s="75"/>
      <c r="O1188" s="33">
        <f>SUMIFS(DaybyDay[Service-Budgets],DaybyDay[Date],"&gt;="&amp;$C$5,DaybyDay[RowYear],"&gt;="&amp;$C$4,DaybyDay[Date],"&lt;="&amp;DaybyDay[[#This Row],[Date]])</f>
        <v>459418.81122658175</v>
      </c>
      <c r="P1188" s="33">
        <f>SUMIFS(DaybyDay[Retail-Budgets],DaybyDay[Date],"&gt;="&amp;$C$5,DaybyDay[RowYear],"&gt;="&amp;$C$4,DaybyDay[Date],"&lt;="&amp;DaybyDay[[#This Row],[Date]])</f>
        <v>111296.71842429803</v>
      </c>
      <c r="Q1188" s="34">
        <f>SUMIFS(DaybyDay[Service-Actuals],DaybyDay[Date],"&gt;="&amp;$C$5,DaybyDay[RowYear],"&gt;="&amp;$C$4,DaybyDay[Date],"&lt;="&amp;DaybyDay[[#This Row],[Date]])</f>
        <v>385554.23</v>
      </c>
      <c r="R1188" s="34">
        <f>SUMIFS(DaybyDay[Retail-Actuals],DaybyDay[Date],"&gt;="&amp;$C$5,DaybyDay[RowYear],"&gt;="&amp;$C$4,DaybyDay[Date],"&lt;="&amp;DaybyDay[[#This Row],[Date]])</f>
        <v>88360.030000000028</v>
      </c>
      <c r="S1188" s="35">
        <f>SUMIFS(DaybyDay[Service-LY],DaybyDay[Date],"&gt;="&amp;$C$5,DaybyDay[RowYear],"&gt;="&amp;$C$4,DaybyDay[Date],"&lt;="&amp;DaybyDay[[#This Row],[Date]])</f>
        <v>438971.28</v>
      </c>
      <c r="T1188" s="35">
        <f>SUMIFS(DaybyDay[Retail-LY],DaybyDay[Date],"&gt;="&amp;$C$5,DaybyDay[RowYear],"&gt;="&amp;$C$4,DaybyDay[Date],"&lt;="&amp;DaybyDay[[#This Row],[Date]])</f>
        <v>101308.33999999998</v>
      </c>
      <c r="U1188" s="32">
        <f>DaybyDay[[#This Row],[Serv-Bud-RU]]+DaybyDay[[#This Row],[Ret-Bud-RU]]</f>
        <v>570715.52965087979</v>
      </c>
      <c r="V1188" s="32">
        <f>DaybyDay[[#This Row],[Serv-Act-RU]]+DaybyDay[[#This Row],[Ret-Act-RU]]</f>
        <v>473914.26</v>
      </c>
      <c r="W1188" s="36" t="str">
        <f>IF(DaybyDay[[#This Row],[_Space]],IFERROR(
((DaybyDay[[#This Row],[Actual-Rollup]]-DaybyDay[[#This Row],[Budget-Rollup]])/DaybyDay[[#This Row],[Budget-Rollup]]),0),"")</f>
        <v/>
      </c>
      <c r="X1188" t="b">
        <f>NOT(AND(ISBLANK(DaybyDay[[#This Row],[Appts]]),ISBLANK(DaybyDay[[#This Row],[Service-Actuals]]),ISBLANK(DaybyDay[[#This Row],[Retail-Actuals]])))</f>
        <v>0</v>
      </c>
      <c r="Y1188" s="36" t="str">
        <f>IF(DaybyDay[[#This Row],[_Space]],IFERROR(
((DaybyDay[[#This Row],[Actual-Rollup]]-DaybyDay[[#This Row],[LY-Rollup]])/DaybyDay[[#This Row],[LY-Rollup]]),0),"")</f>
        <v/>
      </c>
      <c r="Z1188"/>
      <c r="AA1188" s="37" t="str">
        <f>IF(DaybyDay[[#This Row],[_Space]],DaybyDay[[#This Row],[Ret-Act-RU]]/DaybyDay[[#This Row],[Serv-Act-RU]],"")</f>
        <v/>
      </c>
      <c r="AB1188" s="50" t="str">
        <f>IF(DaybyDay[[#This Row],[_Space]],DaybyDay[[#This Row],[RETPEN-Act]]/DaybyDay[[#This Row],[RETPEN-Bud]],"")</f>
        <v/>
      </c>
      <c r="AC1188" s="37" t="str">
        <f>IF(DaybyDay[[#This Row],[_Space]],DaybyDay[[#This Row],[Ret-Bud-RU]]/DaybyDay[[#This Row],[Serv-Bud-RU]],"")</f>
        <v/>
      </c>
      <c r="AD1188" s="37" t="str">
        <f>IF(DaybyDay[[#This Row],[_Space]],DaybyDay[[#This Row],[Ret-LY-RU]]/DaybyDay[[#This Row],[Serv-LY-RU]],"")</f>
        <v/>
      </c>
      <c r="AE1188" s="30">
        <f>WEEKDAY(DaybyDay[[#This Row],[LY-Date]])</f>
        <v>6</v>
      </c>
      <c r="AF1188" s="38">
        <f>$E$2+_xlfn.DAYS(DaybyDay[[#This Row],[Date]],minDate)</f>
        <v>43553</v>
      </c>
      <c r="AG1188" s="39" cm="1">
        <f t="array" ref="AG1188">IFERROR(INDEX(DaybyDay[],DaybyDay[[#This Row],[FORM_MATCH_HELPER]],8),"")</f>
        <v>39</v>
      </c>
      <c r="AH1188" s="39" cm="1">
        <f t="array" ref="AH1188">IFERROR(INDEX(DaybyDay[],DaybyDay[[#This Row],[FORM_MATCH_HELPER]],10),"")</f>
        <v>7025.4000000000005</v>
      </c>
      <c r="AI1188" s="39" cm="1">
        <f t="array" ref="AI1188">IFERROR(INDEX(DaybyDay[],DaybyDay[[#This Row],[FORM_MATCH_HELPER]],12),"")</f>
        <v>922.7</v>
      </c>
      <c r="AJ1188" s="32">
        <f>IFERROR(DaybyDay[[#This Row],[Serv-LY-RU]]+DaybyDay[[#This Row],[Ret-LY-RU]],"")</f>
        <v>540279.62</v>
      </c>
      <c r="AK11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548816.57843448734</v>
      </c>
      <c r="AL1188" s="77"/>
      <c r="AM1188" s="40" t="str">
        <f>IF(DaybyDay[[#This Row],[Admin Hours]]&gt;0,DaybyDay[[#This Row],[Admin Hours]]*$AM$2+$AM$3,"")</f>
        <v/>
      </c>
      <c r="AN1188" s="40">
        <f>SUMIFS(DaybyDay[Est-Admin-Payroll],DaybyDay[Date],"&gt;="&amp;$C$5,DaybyDay[RowYear],"&gt;="&amp;$C$4,DaybyDay[Date],"&lt;="&amp;DaybyDay[[#This Row],[Date]])</f>
        <v>13941.779999999997</v>
      </c>
      <c r="AO1188" s="41" t="str">
        <f>IF(AND(DaybyDay[[#This Row],[_Space]],ISNUMBER(DaybyDay[[#This Row],[Admin Hours]])),DaybyDay[[#This Row],[Est-Admin-Payroll]]/(DaybyDay[[#This Row],[Service-Actuals]]+DaybyDay[[#This Row],[Retail-Actuals]]),"")</f>
        <v/>
      </c>
      <c r="AP1188" s="41">
        <f>DaybyDay[[#This Row],[Estimated-Payroll-Rollup]]/DaybyDay[[#This Row],[Simple-Forecast]]</f>
        <v>2.5403350678234363E-2</v>
      </c>
      <c r="AQ11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101868.81955814597</v>
      </c>
      <c r="AR1188" s="77"/>
      <c r="AS1188" s="40" t="str">
        <f>IF(DaybyDay[[#This Row],[Retail Hours]]&gt;0,DaybyDay[[#This Row],[Retail Hours]]*$AS$2,"")</f>
        <v/>
      </c>
      <c r="AT1188" s="40">
        <f>SUMIFS(DaybyDay[Est-Retail-Payroll],DaybyDay[Date],"&gt;="&amp;$C$5,DaybyDay[RowYear],"&gt;="&amp;$C$4,DaybyDay[Date],"&lt;="&amp;DaybyDay[[#This Row],[Date]])</f>
        <v>2627.1</v>
      </c>
      <c r="AU1188" s="82" t="str">
        <f>IF(AND(DaybyDay[[#This Row],[_Space]],ISNUMBER(DaybyDay[[#This Row],[Retail Hours]])),DaybyDay[[#This Row],[Est-Retail-Payroll]]/(DaybyDay[[#This Row],[Retail-Actuals]]),"")</f>
        <v/>
      </c>
      <c r="AV1188" s="82">
        <f>DaybyDay[[#This Row],[Est-Retail-PayrollRU]]/DaybyDay[[#This Row],[Simple-Forecast-Retail]]</f>
        <v>2.5789049204604463E-2</v>
      </c>
      <c r="AW1188" s="8"/>
      <c r="AX1188" s="15"/>
      <c r="AY1188" s="8"/>
    </row>
    <row r="1189" spans="3:51" hidden="1" x14ac:dyDescent="0.25">
      <c r="C1189" s="26" t="str">
        <f>Tools!$C$1</f>
        <v>Example</v>
      </c>
      <c r="D1189" s="27" t="s">
        <v>70</v>
      </c>
      <c r="E1189" s="28">
        <v>2020</v>
      </c>
      <c r="F1189" s="28">
        <f>MATCH(DaybyDay[[#This Row],[RowMonth]],Table3[SummaryMonth],0)</f>
        <v>3</v>
      </c>
      <c r="G1189" s="29">
        <f>MATCH(DaybyDay[[#This Row],[LY-Date]],DaybyDay[Date],0)</f>
        <v>819</v>
      </c>
      <c r="H1189" s="30">
        <f>WEEKDAY(DaybyDay[[#This Row],[Date]])</f>
        <v>7</v>
      </c>
      <c r="I1189" s="31">
        <v>43918</v>
      </c>
      <c r="J1189" s="74"/>
      <c r="K1189" s="32">
        <f>SUMIFS(BudgetSeasonality[365 Seasonality],BudgetSeasonality[MonthAdjustment],DaybyDay[[#This Row],[Date]])*SUMIFS(Budgets[Service-Budget],Budgets[BudgetMonth],DaybyDay[[#This Row],[RowMonth]],Budgets[BudgetYear],DaybyDay[[#This Row],[RowYear]])</f>
        <v>8990.2139520629098</v>
      </c>
      <c r="L1189" s="75"/>
      <c r="M1189" s="32">
        <f>INDEX(BudgetSeasonality[365 Seasonality],MATCH(DaybyDay[[#This Row],[Date]],BudgetSeasonality[MonthAdjustment],0))*SUMIFS(Budgets[Retail-Budget],Budgets[BudgetMonth],DaybyDay[[#This Row],[RowMonth]],Budgets[BudgetYear],DaybyDay[[#This Row],[RowYear]])</f>
        <v>2186.2496389574276</v>
      </c>
      <c r="N1189" s="75"/>
      <c r="O1189" s="33">
        <f>SUMIFS(DaybyDay[Service-Budgets],DaybyDay[Date],"&gt;="&amp;$C$5,DaybyDay[RowYear],"&gt;="&amp;$C$4,DaybyDay[Date],"&lt;="&amp;DaybyDay[[#This Row],[Date]])</f>
        <v>468409.02517864463</v>
      </c>
      <c r="P1189" s="33">
        <f>SUMIFS(DaybyDay[Retail-Budgets],DaybyDay[Date],"&gt;="&amp;$C$5,DaybyDay[RowYear],"&gt;="&amp;$C$4,DaybyDay[Date],"&lt;="&amp;DaybyDay[[#This Row],[Date]])</f>
        <v>113482.96806325545</v>
      </c>
      <c r="Q1189" s="34">
        <f>SUMIFS(DaybyDay[Service-Actuals],DaybyDay[Date],"&gt;="&amp;$C$5,DaybyDay[RowYear],"&gt;="&amp;$C$4,DaybyDay[Date],"&lt;="&amp;DaybyDay[[#This Row],[Date]])</f>
        <v>385554.23</v>
      </c>
      <c r="R1189" s="34">
        <f>SUMIFS(DaybyDay[Retail-Actuals],DaybyDay[Date],"&gt;="&amp;$C$5,DaybyDay[RowYear],"&gt;="&amp;$C$4,DaybyDay[Date],"&lt;="&amp;DaybyDay[[#This Row],[Date]])</f>
        <v>88360.030000000028</v>
      </c>
      <c r="S1189" s="35">
        <f>SUMIFS(DaybyDay[Service-LY],DaybyDay[Date],"&gt;="&amp;$C$5,DaybyDay[RowYear],"&gt;="&amp;$C$4,DaybyDay[Date],"&lt;="&amp;DaybyDay[[#This Row],[Date]])</f>
        <v>448559.88</v>
      </c>
      <c r="T1189" s="35">
        <f>SUMIFS(DaybyDay[Retail-LY],DaybyDay[Date],"&gt;="&amp;$C$5,DaybyDay[RowYear],"&gt;="&amp;$C$4,DaybyDay[Date],"&lt;="&amp;DaybyDay[[#This Row],[Date]])</f>
        <v>102167.83999999998</v>
      </c>
      <c r="U1189" s="32">
        <f>DaybyDay[[#This Row],[Serv-Bud-RU]]+DaybyDay[[#This Row],[Ret-Bud-RU]]</f>
        <v>581891.99324190011</v>
      </c>
      <c r="V1189" s="32">
        <f>DaybyDay[[#This Row],[Serv-Act-RU]]+DaybyDay[[#This Row],[Ret-Act-RU]]</f>
        <v>473914.26</v>
      </c>
      <c r="W1189" s="36" t="str">
        <f>IF(DaybyDay[[#This Row],[_Space]],IFERROR(
((DaybyDay[[#This Row],[Actual-Rollup]]-DaybyDay[[#This Row],[Budget-Rollup]])/DaybyDay[[#This Row],[Budget-Rollup]]),0),"")</f>
        <v/>
      </c>
      <c r="X1189" t="b">
        <f>NOT(AND(ISBLANK(DaybyDay[[#This Row],[Appts]]),ISBLANK(DaybyDay[[#This Row],[Service-Actuals]]),ISBLANK(DaybyDay[[#This Row],[Retail-Actuals]])))</f>
        <v>0</v>
      </c>
      <c r="Y1189" s="36" t="str">
        <f>IF(DaybyDay[[#This Row],[_Space]],IFERROR(
((DaybyDay[[#This Row],[Actual-Rollup]]-DaybyDay[[#This Row],[LY-Rollup]])/DaybyDay[[#This Row],[LY-Rollup]]),0),"")</f>
        <v/>
      </c>
      <c r="Z1189"/>
      <c r="AA1189" s="37" t="str">
        <f>IF(DaybyDay[[#This Row],[_Space]],DaybyDay[[#This Row],[Ret-Act-RU]]/DaybyDay[[#This Row],[Serv-Act-RU]],"")</f>
        <v/>
      </c>
      <c r="AB1189" s="50" t="str">
        <f>IF(DaybyDay[[#This Row],[_Space]],DaybyDay[[#This Row],[RETPEN-Act]]/DaybyDay[[#This Row],[RETPEN-Bud]],"")</f>
        <v/>
      </c>
      <c r="AC1189" s="37" t="str">
        <f>IF(DaybyDay[[#This Row],[_Space]],DaybyDay[[#This Row],[Ret-Bud-RU]]/DaybyDay[[#This Row],[Serv-Bud-RU]],"")</f>
        <v/>
      </c>
      <c r="AD1189" s="37" t="str">
        <f>IF(DaybyDay[[#This Row],[_Space]],DaybyDay[[#This Row],[Ret-LY-RU]]/DaybyDay[[#This Row],[Serv-LY-RU]],"")</f>
        <v/>
      </c>
      <c r="AE1189" s="30">
        <f>WEEKDAY(DaybyDay[[#This Row],[LY-Date]])</f>
        <v>7</v>
      </c>
      <c r="AF1189" s="38">
        <f>$E$2+_xlfn.DAYS(DaybyDay[[#This Row],[Date]],minDate)</f>
        <v>43554</v>
      </c>
      <c r="AG1189" s="39" cm="1">
        <f t="array" ref="AG1189">IFERROR(INDEX(DaybyDay[],DaybyDay[[#This Row],[FORM_MATCH_HELPER]],8),"")</f>
        <v>40</v>
      </c>
      <c r="AH1189" s="39" cm="1">
        <f t="array" ref="AH1189">IFERROR(INDEX(DaybyDay[],DaybyDay[[#This Row],[FORM_MATCH_HELPER]],10),"")</f>
        <v>9588.6</v>
      </c>
      <c r="AI1189" s="39" cm="1">
        <f t="array" ref="AI1189">IFERROR(INDEX(DaybyDay[],DaybyDay[[#This Row],[FORM_MATCH_HELPER]],12),"")</f>
        <v>859.5</v>
      </c>
      <c r="AJ1189" s="32">
        <f>IFERROR(DaybyDay[[#This Row],[Serv-LY-RU]]+DaybyDay[[#This Row],[Ret-LY-RU]],"")</f>
        <v>550727.72</v>
      </c>
      <c r="AK11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558721.90590922232</v>
      </c>
      <c r="AL1189" s="77"/>
      <c r="AM1189" s="40" t="str">
        <f>IF(DaybyDay[[#This Row],[Admin Hours]]&gt;0,DaybyDay[[#This Row],[Admin Hours]]*$AM$2+$AM$3,"")</f>
        <v/>
      </c>
      <c r="AN1189" s="40">
        <f>SUMIFS(DaybyDay[Est-Admin-Payroll],DaybyDay[Date],"&gt;="&amp;$C$5,DaybyDay[RowYear],"&gt;="&amp;$C$4,DaybyDay[Date],"&lt;="&amp;DaybyDay[[#This Row],[Date]])</f>
        <v>13941.779999999997</v>
      </c>
      <c r="AO1189" s="41" t="str">
        <f>IF(AND(DaybyDay[[#This Row],[_Space]],ISNUMBER(DaybyDay[[#This Row],[Admin Hours]])),DaybyDay[[#This Row],[Est-Admin-Payroll]]/(DaybyDay[[#This Row],[Service-Actuals]]+DaybyDay[[#This Row],[Retail-Actuals]]),"")</f>
        <v/>
      </c>
      <c r="AP1189" s="41">
        <f>DaybyDay[[#This Row],[Estimated-Payroll-Rollup]]/DaybyDay[[#This Row],[Simple-Forecast]]</f>
        <v>2.4952986186056524E-2</v>
      </c>
      <c r="AQ11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103222.52201762547</v>
      </c>
      <c r="AR1189" s="77"/>
      <c r="AS1189" s="40" t="str">
        <f>IF(DaybyDay[[#This Row],[Retail Hours]]&gt;0,DaybyDay[[#This Row],[Retail Hours]]*$AS$2,"")</f>
        <v/>
      </c>
      <c r="AT1189" s="40">
        <f>SUMIFS(DaybyDay[Est-Retail-Payroll],DaybyDay[Date],"&gt;="&amp;$C$5,DaybyDay[RowYear],"&gt;="&amp;$C$4,DaybyDay[Date],"&lt;="&amp;DaybyDay[[#This Row],[Date]])</f>
        <v>2627.1</v>
      </c>
      <c r="AU1189" s="82" t="str">
        <f>IF(AND(DaybyDay[[#This Row],[_Space]],ISNUMBER(DaybyDay[[#This Row],[Retail Hours]])),DaybyDay[[#This Row],[Est-Retail-Payroll]]/(DaybyDay[[#This Row],[Retail-Actuals]]),"")</f>
        <v/>
      </c>
      <c r="AV1189" s="82">
        <f>DaybyDay[[#This Row],[Est-Retail-PayrollRU]]/DaybyDay[[#This Row],[Simple-Forecast-Retail]]</f>
        <v>2.5450841043696035E-2</v>
      </c>
      <c r="AW1189" s="8"/>
      <c r="AX1189" s="15"/>
      <c r="AY1189" s="8"/>
    </row>
    <row r="1190" spans="3:51" hidden="1" x14ac:dyDescent="0.25">
      <c r="C1190" s="26" t="str">
        <f>Tools!$C$1</f>
        <v>Example</v>
      </c>
      <c r="D1190" s="27" t="s">
        <v>70</v>
      </c>
      <c r="E1190" s="28">
        <v>2020</v>
      </c>
      <c r="F1190" s="28">
        <f>MATCH(DaybyDay[[#This Row],[RowMonth]],Table3[SummaryMonth],0)</f>
        <v>3</v>
      </c>
      <c r="G1190" s="29">
        <f>MATCH(DaybyDay[[#This Row],[LY-Date]],DaybyDay[Date],0)</f>
        <v>820</v>
      </c>
      <c r="H1190" s="30">
        <f>WEEKDAY(DaybyDay[[#This Row],[Date]])</f>
        <v>1</v>
      </c>
      <c r="I1190" s="31">
        <v>43919</v>
      </c>
      <c r="J1190" s="74"/>
      <c r="K1190" s="32">
        <f>SUMIFS(BudgetSeasonality[365 Seasonality],BudgetSeasonality[MonthAdjustment],DaybyDay[[#This Row],[Date]])*SUMIFS(Budgets[Service-Budget],Budgets[BudgetMonth],DaybyDay[[#This Row],[RowMonth]],Budgets[BudgetYear],DaybyDay[[#This Row],[RowYear]])</f>
        <v>7351.4969046614342</v>
      </c>
      <c r="L1190" s="75"/>
      <c r="M1190" s="32">
        <f>INDEX(BudgetSeasonality[365 Seasonality],MATCH(DaybyDay[[#This Row],[Date]],BudgetSeasonality[MonthAdjustment],0))*SUMIFS(Budgets[Retail-Budget],Budgets[BudgetMonth],DaybyDay[[#This Row],[RowMonth]],Budgets[BudgetYear],DaybyDay[[#This Row],[RowYear]])</f>
        <v>1787.7447121183081</v>
      </c>
      <c r="N1190" s="75"/>
      <c r="O1190" s="33">
        <f>SUMIFS(DaybyDay[Service-Budgets],DaybyDay[Date],"&gt;="&amp;$C$5,DaybyDay[RowYear],"&gt;="&amp;$C$4,DaybyDay[Date],"&lt;="&amp;DaybyDay[[#This Row],[Date]])</f>
        <v>475760.52208330604</v>
      </c>
      <c r="P1190" s="33">
        <f>SUMIFS(DaybyDay[Retail-Budgets],DaybyDay[Date],"&gt;="&amp;$C$5,DaybyDay[RowYear],"&gt;="&amp;$C$4,DaybyDay[Date],"&lt;="&amp;DaybyDay[[#This Row],[Date]])</f>
        <v>115270.71277537376</v>
      </c>
      <c r="Q1190" s="34">
        <f>SUMIFS(DaybyDay[Service-Actuals],DaybyDay[Date],"&gt;="&amp;$C$5,DaybyDay[RowYear],"&gt;="&amp;$C$4,DaybyDay[Date],"&lt;="&amp;DaybyDay[[#This Row],[Date]])</f>
        <v>385554.23</v>
      </c>
      <c r="R1190" s="34">
        <f>SUMIFS(DaybyDay[Retail-Actuals],DaybyDay[Date],"&gt;="&amp;$C$5,DaybyDay[RowYear],"&gt;="&amp;$C$4,DaybyDay[Date],"&lt;="&amp;DaybyDay[[#This Row],[Date]])</f>
        <v>88360.030000000028</v>
      </c>
      <c r="S1190" s="35">
        <f>SUMIFS(DaybyDay[Service-LY],DaybyDay[Date],"&gt;="&amp;$C$5,DaybyDay[RowYear],"&gt;="&amp;$C$4,DaybyDay[Date],"&lt;="&amp;DaybyDay[[#This Row],[Date]])</f>
        <v>456337.6</v>
      </c>
      <c r="T1190" s="35">
        <f>SUMIFS(DaybyDay[Retail-LY],DaybyDay[Date],"&gt;="&amp;$C$5,DaybyDay[RowYear],"&gt;="&amp;$C$4,DaybyDay[Date],"&lt;="&amp;DaybyDay[[#This Row],[Date]])</f>
        <v>102524.83999999998</v>
      </c>
      <c r="U1190" s="32">
        <f>DaybyDay[[#This Row],[Serv-Bud-RU]]+DaybyDay[[#This Row],[Ret-Bud-RU]]</f>
        <v>591031.23485867982</v>
      </c>
      <c r="V1190" s="32">
        <f>DaybyDay[[#This Row],[Serv-Act-RU]]+DaybyDay[[#This Row],[Ret-Act-RU]]</f>
        <v>473914.26</v>
      </c>
      <c r="W1190" s="36" t="str">
        <f>IF(DaybyDay[[#This Row],[_Space]],IFERROR(
((DaybyDay[[#This Row],[Actual-Rollup]]-DaybyDay[[#This Row],[Budget-Rollup]])/DaybyDay[[#This Row],[Budget-Rollup]]),0),"")</f>
        <v/>
      </c>
      <c r="X1190" t="b">
        <f>NOT(AND(ISBLANK(DaybyDay[[#This Row],[Appts]]),ISBLANK(DaybyDay[[#This Row],[Service-Actuals]]),ISBLANK(DaybyDay[[#This Row],[Retail-Actuals]])))</f>
        <v>0</v>
      </c>
      <c r="Y1190" s="36" t="str">
        <f>IF(DaybyDay[[#This Row],[_Space]],IFERROR(
((DaybyDay[[#This Row],[Actual-Rollup]]-DaybyDay[[#This Row],[LY-Rollup]])/DaybyDay[[#This Row],[LY-Rollup]]),0),"")</f>
        <v/>
      </c>
      <c r="Z1190"/>
      <c r="AA1190" s="37" t="str">
        <f>IF(DaybyDay[[#This Row],[_Space]],DaybyDay[[#This Row],[Ret-Act-RU]]/DaybyDay[[#This Row],[Serv-Act-RU]],"")</f>
        <v/>
      </c>
      <c r="AB1190" s="50" t="str">
        <f>IF(DaybyDay[[#This Row],[_Space]],DaybyDay[[#This Row],[RETPEN-Act]]/DaybyDay[[#This Row],[RETPEN-Bud]],"")</f>
        <v/>
      </c>
      <c r="AC1190" s="37" t="str">
        <f>IF(DaybyDay[[#This Row],[_Space]],DaybyDay[[#This Row],[Ret-Bud-RU]]/DaybyDay[[#This Row],[Serv-Bud-RU]],"")</f>
        <v/>
      </c>
      <c r="AD1190" s="37" t="str">
        <f>IF(DaybyDay[[#This Row],[_Space]],DaybyDay[[#This Row],[Ret-LY-RU]]/DaybyDay[[#This Row],[Serv-LY-RU]],"")</f>
        <v/>
      </c>
      <c r="AE1190" s="30">
        <f>WEEKDAY(DaybyDay[[#This Row],[LY-Date]])</f>
        <v>1</v>
      </c>
      <c r="AF1190" s="38">
        <f>$E$2+_xlfn.DAYS(DaybyDay[[#This Row],[Date]],minDate)</f>
        <v>43555</v>
      </c>
      <c r="AG1190" s="39" cm="1">
        <f t="array" ref="AG1190">IFERROR(INDEX(DaybyDay[],DaybyDay[[#This Row],[FORM_MATCH_HELPER]],8),"")</f>
        <v>42</v>
      </c>
      <c r="AH1190" s="39" cm="1">
        <f t="array" ref="AH1190">IFERROR(INDEX(DaybyDay[],DaybyDay[[#This Row],[FORM_MATCH_HELPER]],10),"")</f>
        <v>7777.72</v>
      </c>
      <c r="AI1190" s="39" cm="1">
        <f t="array" ref="AI1190">IFERROR(INDEX(DaybyDay[],DaybyDay[[#This Row],[FORM_MATCH_HELPER]],12),"")</f>
        <v>357</v>
      </c>
      <c r="AJ1190" s="32">
        <f>IFERROR(DaybyDay[[#This Row],[Serv-LY-RU]]+DaybyDay[[#This Row],[Ret-LY-RU]],"")</f>
        <v>558862.43999999994</v>
      </c>
      <c r="AK11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566620.09488292539</v>
      </c>
      <c r="AL1190" s="77"/>
      <c r="AM1190" s="40" t="str">
        <f>IF(DaybyDay[[#This Row],[Admin Hours]]&gt;0,DaybyDay[[#This Row],[Admin Hours]]*$AM$2+$AM$3,"")</f>
        <v/>
      </c>
      <c r="AN1190" s="40">
        <f>SUMIFS(DaybyDay[Est-Admin-Payroll],DaybyDay[Date],"&gt;="&amp;$C$5,DaybyDay[RowYear],"&gt;="&amp;$C$4,DaybyDay[Date],"&lt;="&amp;DaybyDay[[#This Row],[Date]])</f>
        <v>13941.779999999997</v>
      </c>
      <c r="AO1190" s="41" t="str">
        <f>IF(AND(DaybyDay[[#This Row],[_Space]],ISNUMBER(DaybyDay[[#This Row],[Admin Hours]])),DaybyDay[[#This Row],[Est-Admin-Payroll]]/(DaybyDay[[#This Row],[Service-Actuals]]+DaybyDay[[#This Row],[Retail-Actuals]]),"")</f>
        <v/>
      </c>
      <c r="AP1190" s="41">
        <f>DaybyDay[[#This Row],[Estimated-Payroll-Rollup]]/DaybyDay[[#This Row],[Simple-Forecast]]</f>
        <v>2.4605163364141959E-2</v>
      </c>
      <c r="AQ11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104158.96426948</v>
      </c>
      <c r="AR1190" s="77"/>
      <c r="AS1190" s="40" t="str">
        <f>IF(DaybyDay[[#This Row],[Retail Hours]]&gt;0,DaybyDay[[#This Row],[Retail Hours]]*$AS$2,"")</f>
        <v/>
      </c>
      <c r="AT1190" s="40">
        <f>SUMIFS(DaybyDay[Est-Retail-Payroll],DaybyDay[Date],"&gt;="&amp;$C$5,DaybyDay[RowYear],"&gt;="&amp;$C$4,DaybyDay[Date],"&lt;="&amp;DaybyDay[[#This Row],[Date]])</f>
        <v>2627.1</v>
      </c>
      <c r="AU1190" s="82" t="str">
        <f>IF(AND(DaybyDay[[#This Row],[_Space]],ISNUMBER(DaybyDay[[#This Row],[Retail Hours]])),DaybyDay[[#This Row],[Est-Retail-Payroll]]/(DaybyDay[[#This Row],[Retail-Actuals]]),"")</f>
        <v/>
      </c>
      <c r="AV1190" s="82">
        <f>DaybyDay[[#This Row],[Est-Retail-PayrollRU]]/DaybyDay[[#This Row],[Simple-Forecast-Retail]]</f>
        <v>2.5222024992521706E-2</v>
      </c>
      <c r="AW1190" s="8"/>
      <c r="AX1190" s="15"/>
      <c r="AY1190" s="8"/>
    </row>
    <row r="1191" spans="3:51" hidden="1" x14ac:dyDescent="0.25">
      <c r="C1191" s="26" t="str">
        <f>Tools!$C$1</f>
        <v>Example</v>
      </c>
      <c r="D1191" s="27" t="s">
        <v>70</v>
      </c>
      <c r="E1191" s="28">
        <v>2020</v>
      </c>
      <c r="F1191" s="28">
        <f>MATCH(DaybyDay[[#This Row],[RowMonth]],Table3[SummaryMonth],0)</f>
        <v>3</v>
      </c>
      <c r="G1191" s="29">
        <f>MATCH(DaybyDay[[#This Row],[LY-Date]],DaybyDay[Date],0)</f>
        <v>821</v>
      </c>
      <c r="H1191" s="30">
        <f>WEEKDAY(DaybyDay[[#This Row],[Date]])</f>
        <v>2</v>
      </c>
      <c r="I1191" s="31">
        <v>43920</v>
      </c>
      <c r="J1191" s="74"/>
      <c r="K1191" s="32">
        <f>SUMIFS(BudgetSeasonality[365 Seasonality],BudgetSeasonality[MonthAdjustment],DaybyDay[[#This Row],[Date]])*SUMIFS(Budgets[Service-Budget],Budgets[BudgetMonth],DaybyDay[[#This Row],[RowMonth]],Budgets[BudgetYear],DaybyDay[[#This Row],[RowYear]])</f>
        <v>4948.4953066535127</v>
      </c>
      <c r="L1191" s="75"/>
      <c r="M1191" s="32">
        <f>INDEX(BudgetSeasonality[365 Seasonality],MATCH(DaybyDay[[#This Row],[Date]],BudgetSeasonality[MonthAdjustment],0))*SUMIFS(Budgets[Retail-Budget],Budgets[BudgetMonth],DaybyDay[[#This Row],[RowMonth]],Budgets[BudgetYear],DaybyDay[[#This Row],[RowYear]])</f>
        <v>1203.3802682828589</v>
      </c>
      <c r="N1191" s="75"/>
      <c r="O1191" s="33">
        <f>SUMIFS(DaybyDay[Service-Budgets],DaybyDay[Date],"&gt;="&amp;$C$5,DaybyDay[RowYear],"&gt;="&amp;$C$4,DaybyDay[Date],"&lt;="&amp;DaybyDay[[#This Row],[Date]])</f>
        <v>480709.01738995954</v>
      </c>
      <c r="P1191" s="33">
        <f>SUMIFS(DaybyDay[Retail-Budgets],DaybyDay[Date],"&gt;="&amp;$C$5,DaybyDay[RowYear],"&gt;="&amp;$C$4,DaybyDay[Date],"&lt;="&amp;DaybyDay[[#This Row],[Date]])</f>
        <v>116474.09304365661</v>
      </c>
      <c r="Q1191" s="34">
        <f>SUMIFS(DaybyDay[Service-Actuals],DaybyDay[Date],"&gt;="&amp;$C$5,DaybyDay[RowYear],"&gt;="&amp;$C$4,DaybyDay[Date],"&lt;="&amp;DaybyDay[[#This Row],[Date]])</f>
        <v>385554.23</v>
      </c>
      <c r="R1191" s="34">
        <f>SUMIFS(DaybyDay[Retail-Actuals],DaybyDay[Date],"&gt;="&amp;$C$5,DaybyDay[RowYear],"&gt;="&amp;$C$4,DaybyDay[Date],"&lt;="&amp;DaybyDay[[#This Row],[Date]])</f>
        <v>88360.030000000028</v>
      </c>
      <c r="S1191" s="35">
        <f>SUMIFS(DaybyDay[Service-LY],DaybyDay[Date],"&gt;="&amp;$C$5,DaybyDay[RowYear],"&gt;="&amp;$C$4,DaybyDay[Date],"&lt;="&amp;DaybyDay[[#This Row],[Date]])</f>
        <v>459595.19999999995</v>
      </c>
      <c r="T1191" s="35">
        <f>SUMIFS(DaybyDay[Retail-LY],DaybyDay[Date],"&gt;="&amp;$C$5,DaybyDay[RowYear],"&gt;="&amp;$C$4,DaybyDay[Date],"&lt;="&amp;DaybyDay[[#This Row],[Date]])</f>
        <v>102598.83999999998</v>
      </c>
      <c r="U1191" s="32">
        <f>DaybyDay[[#This Row],[Serv-Bud-RU]]+DaybyDay[[#This Row],[Ret-Bud-RU]]</f>
        <v>597183.11043361621</v>
      </c>
      <c r="V1191" s="32">
        <f>DaybyDay[[#This Row],[Serv-Act-RU]]+DaybyDay[[#This Row],[Ret-Act-RU]]</f>
        <v>473914.26</v>
      </c>
      <c r="W1191" s="36" t="str">
        <f>IF(DaybyDay[[#This Row],[_Space]],IFERROR(
((DaybyDay[[#This Row],[Actual-Rollup]]-DaybyDay[[#This Row],[Budget-Rollup]])/DaybyDay[[#This Row],[Budget-Rollup]]),0),"")</f>
        <v/>
      </c>
      <c r="X1191" t="b">
        <f>NOT(AND(ISBLANK(DaybyDay[[#This Row],[Appts]]),ISBLANK(DaybyDay[[#This Row],[Service-Actuals]]),ISBLANK(DaybyDay[[#This Row],[Retail-Actuals]])))</f>
        <v>0</v>
      </c>
      <c r="Y1191" s="36" t="str">
        <f>IF(DaybyDay[[#This Row],[_Space]],IFERROR(
((DaybyDay[[#This Row],[Actual-Rollup]]-DaybyDay[[#This Row],[LY-Rollup]])/DaybyDay[[#This Row],[LY-Rollup]]),0),"")</f>
        <v/>
      </c>
      <c r="Z1191"/>
      <c r="AA1191" s="37" t="str">
        <f>IF(DaybyDay[[#This Row],[_Space]],DaybyDay[[#This Row],[Ret-Act-RU]]/DaybyDay[[#This Row],[Serv-Act-RU]],"")</f>
        <v/>
      </c>
      <c r="AB1191" s="50" t="str">
        <f>IF(DaybyDay[[#This Row],[_Space]],DaybyDay[[#This Row],[RETPEN-Act]]/DaybyDay[[#This Row],[RETPEN-Bud]],"")</f>
        <v/>
      </c>
      <c r="AC1191" s="37" t="str">
        <f>IF(DaybyDay[[#This Row],[_Space]],DaybyDay[[#This Row],[Ret-Bud-RU]]/DaybyDay[[#This Row],[Serv-Bud-RU]],"")</f>
        <v/>
      </c>
      <c r="AD1191" s="37" t="str">
        <f>IF(DaybyDay[[#This Row],[_Space]],DaybyDay[[#This Row],[Ret-LY-RU]]/DaybyDay[[#This Row],[Serv-LY-RU]],"")</f>
        <v/>
      </c>
      <c r="AE1191" s="30">
        <f>WEEKDAY(DaybyDay[[#This Row],[LY-Date]])</f>
        <v>2</v>
      </c>
      <c r="AF1191" s="38">
        <f>$E$2+_xlfn.DAYS(DaybyDay[[#This Row],[Date]],minDate)</f>
        <v>43556</v>
      </c>
      <c r="AG1191" s="39" cm="1">
        <f t="array" ref="AG1191">IFERROR(INDEX(DaybyDay[],DaybyDay[[#This Row],[FORM_MATCH_HELPER]],8),"")</f>
        <v>12</v>
      </c>
      <c r="AH1191" s="39" cm="1">
        <f t="array" ref="AH1191">IFERROR(INDEX(DaybyDay[],DaybyDay[[#This Row],[FORM_MATCH_HELPER]],10),"")</f>
        <v>3257.6</v>
      </c>
      <c r="AI1191" s="39" cm="1">
        <f t="array" ref="AI1191">IFERROR(INDEX(DaybyDay[],DaybyDay[[#This Row],[FORM_MATCH_HELPER]],12),"")</f>
        <v>74</v>
      </c>
      <c r="AJ1191" s="32">
        <f>IFERROR(DaybyDay[[#This Row],[Serv-LY-RU]]+DaybyDay[[#This Row],[Ret-LY-RU]],"")</f>
        <v>562194.03999999992</v>
      </c>
      <c r="AK11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570879.44757485634</v>
      </c>
      <c r="AL1191" s="77"/>
      <c r="AM1191" s="40" t="str">
        <f>IF(DaybyDay[[#This Row],[Admin Hours]]&gt;0,DaybyDay[[#This Row],[Admin Hours]]*$AM$2+$AM$3,"")</f>
        <v/>
      </c>
      <c r="AN1191" s="40">
        <f>SUMIFS(DaybyDay[Est-Admin-Payroll],DaybyDay[Date],"&gt;="&amp;$C$5,DaybyDay[RowYear],"&gt;="&amp;$C$4,DaybyDay[Date],"&lt;="&amp;DaybyDay[[#This Row],[Date]])</f>
        <v>13941.779999999997</v>
      </c>
      <c r="AO1191" s="41" t="str">
        <f>IF(AND(DaybyDay[[#This Row],[_Space]],ISNUMBER(DaybyDay[[#This Row],[Admin Hours]])),DaybyDay[[#This Row],[Est-Admin-Payroll]]/(DaybyDay[[#This Row],[Service-Actuals]]+DaybyDay[[#This Row],[Retail-Actuals]]),"")</f>
        <v/>
      </c>
      <c r="AP1191" s="41">
        <f>DaybyDay[[#This Row],[Estimated-Payroll-Rollup]]/DaybyDay[[#This Row],[Simple-Forecast]]</f>
        <v>2.4421583329415422E-2</v>
      </c>
      <c r="AQ11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104707.3130598732</v>
      </c>
      <c r="AR1191" s="77"/>
      <c r="AS1191" s="40" t="str">
        <f>IF(DaybyDay[[#This Row],[Retail Hours]]&gt;0,DaybyDay[[#This Row],[Retail Hours]]*$AS$2,"")</f>
        <v/>
      </c>
      <c r="AT1191" s="40">
        <f>SUMIFS(DaybyDay[Est-Retail-Payroll],DaybyDay[Date],"&gt;="&amp;$C$5,DaybyDay[RowYear],"&gt;="&amp;$C$4,DaybyDay[Date],"&lt;="&amp;DaybyDay[[#This Row],[Date]])</f>
        <v>2627.1</v>
      </c>
      <c r="AU1191" s="82" t="str">
        <f>IF(AND(DaybyDay[[#This Row],[_Space]],ISNUMBER(DaybyDay[[#This Row],[Retail Hours]])),DaybyDay[[#This Row],[Est-Retail-Payroll]]/(DaybyDay[[#This Row],[Retail-Actuals]]),"")</f>
        <v/>
      </c>
      <c r="AV1191" s="82">
        <f>DaybyDay[[#This Row],[Est-Retail-PayrollRU]]/DaybyDay[[#This Row],[Simple-Forecast-Retail]]</f>
        <v>2.5089938068583471E-2</v>
      </c>
      <c r="AW1191" s="8"/>
      <c r="AX1191" s="15"/>
      <c r="AY1191" s="8"/>
    </row>
    <row r="1192" spans="3:51" hidden="1" x14ac:dyDescent="0.25">
      <c r="C1192" s="26" t="str">
        <f>Tools!$C$1</f>
        <v>Example</v>
      </c>
      <c r="D1192" s="27" t="s">
        <v>70</v>
      </c>
      <c r="E1192" s="28">
        <v>2020</v>
      </c>
      <c r="F1192" s="28">
        <f>MATCH(DaybyDay[[#This Row],[RowMonth]],Table3[SummaryMonth],0)</f>
        <v>3</v>
      </c>
      <c r="G1192" s="29">
        <f>MATCH(DaybyDay[[#This Row],[LY-Date]],DaybyDay[Date],0)</f>
        <v>822</v>
      </c>
      <c r="H1192" s="30">
        <f>WEEKDAY(DaybyDay[[#This Row],[Date]])</f>
        <v>3</v>
      </c>
      <c r="I1192" s="31">
        <v>43921</v>
      </c>
      <c r="J1192" s="74"/>
      <c r="K1192" s="32">
        <f>SUMIFS(BudgetSeasonality[365 Seasonality],BudgetSeasonality[MonthAdjustment],DaybyDay[[#This Row],[Date]])*SUMIFS(Budgets[Service-Budget],Budgets[BudgetMonth],DaybyDay[[#This Row],[RowMonth]],Budgets[BudgetYear],DaybyDay[[#This Row],[RowYear]])</f>
        <v>5027.3194318270007</v>
      </c>
      <c r="L1192" s="75"/>
      <c r="M1192" s="32">
        <f>INDEX(BudgetSeasonality[365 Seasonality],MATCH(DaybyDay[[#This Row],[Date]],BudgetSeasonality[MonthAdjustment],0))*SUMIFS(Budgets[Retail-Budget],Budgets[BudgetMonth],DaybyDay[[#This Row],[RowMonth]],Budgets[BudgetYear],DaybyDay[[#This Row],[RowYear]])</f>
        <v>1222.5488015480912</v>
      </c>
      <c r="N1192" s="75"/>
      <c r="O1192" s="33">
        <f>SUMIFS(DaybyDay[Service-Budgets],DaybyDay[Date],"&gt;="&amp;$C$5,DaybyDay[RowYear],"&gt;="&amp;$C$4,DaybyDay[Date],"&lt;="&amp;DaybyDay[[#This Row],[Date]])</f>
        <v>485736.33682178654</v>
      </c>
      <c r="P1192" s="33">
        <f>SUMIFS(DaybyDay[Retail-Budgets],DaybyDay[Date],"&gt;="&amp;$C$5,DaybyDay[RowYear],"&gt;="&amp;$C$4,DaybyDay[Date],"&lt;="&amp;DaybyDay[[#This Row],[Date]])</f>
        <v>117696.64184520471</v>
      </c>
      <c r="Q1192" s="34">
        <f>SUMIFS(DaybyDay[Service-Actuals],DaybyDay[Date],"&gt;="&amp;$C$5,DaybyDay[RowYear],"&gt;="&amp;$C$4,DaybyDay[Date],"&lt;="&amp;DaybyDay[[#This Row],[Date]])</f>
        <v>385554.23</v>
      </c>
      <c r="R1192" s="34">
        <f>SUMIFS(DaybyDay[Retail-Actuals],DaybyDay[Date],"&gt;="&amp;$C$5,DaybyDay[RowYear],"&gt;="&amp;$C$4,DaybyDay[Date],"&lt;="&amp;DaybyDay[[#This Row],[Date]])</f>
        <v>88360.030000000028</v>
      </c>
      <c r="S1192" s="35">
        <f>SUMIFS(DaybyDay[Service-LY],DaybyDay[Date],"&gt;="&amp;$C$5,DaybyDay[RowYear],"&gt;="&amp;$C$4,DaybyDay[Date],"&lt;="&amp;DaybyDay[[#This Row],[Date]])</f>
        <v>461638.58999999997</v>
      </c>
      <c r="T1192" s="35">
        <f>SUMIFS(DaybyDay[Retail-LY],DaybyDay[Date],"&gt;="&amp;$C$5,DaybyDay[RowYear],"&gt;="&amp;$C$4,DaybyDay[Date],"&lt;="&amp;DaybyDay[[#This Row],[Date]])</f>
        <v>102598.83999999998</v>
      </c>
      <c r="U1192" s="32">
        <f>DaybyDay[[#This Row],[Serv-Bud-RU]]+DaybyDay[[#This Row],[Ret-Bud-RU]]</f>
        <v>603432.97866699123</v>
      </c>
      <c r="V1192" s="32">
        <f>DaybyDay[[#This Row],[Serv-Act-RU]]+DaybyDay[[#This Row],[Ret-Act-RU]]</f>
        <v>473914.26</v>
      </c>
      <c r="W1192" s="36" t="str">
        <f>IF(DaybyDay[[#This Row],[_Space]],IFERROR(
((DaybyDay[[#This Row],[Actual-Rollup]]-DaybyDay[[#This Row],[Budget-Rollup]])/DaybyDay[[#This Row],[Budget-Rollup]]),0),"")</f>
        <v/>
      </c>
      <c r="X1192" t="b">
        <f>NOT(AND(ISBLANK(DaybyDay[[#This Row],[Appts]]),ISBLANK(DaybyDay[[#This Row],[Service-Actuals]]),ISBLANK(DaybyDay[[#This Row],[Retail-Actuals]])))</f>
        <v>0</v>
      </c>
      <c r="Y1192" s="36" t="str">
        <f>IF(DaybyDay[[#This Row],[_Space]],IFERROR(
((DaybyDay[[#This Row],[Actual-Rollup]]-DaybyDay[[#This Row],[LY-Rollup]])/DaybyDay[[#This Row],[LY-Rollup]]),0),"")</f>
        <v/>
      </c>
      <c r="Z1192"/>
      <c r="AA1192" s="37" t="str">
        <f>IF(DaybyDay[[#This Row],[_Space]],DaybyDay[[#This Row],[Ret-Act-RU]]/DaybyDay[[#This Row],[Serv-Act-RU]],"")</f>
        <v/>
      </c>
      <c r="AB1192" s="50" t="str">
        <f>IF(DaybyDay[[#This Row],[_Space]],DaybyDay[[#This Row],[RETPEN-Act]]/DaybyDay[[#This Row],[RETPEN-Bud]],"")</f>
        <v/>
      </c>
      <c r="AC1192" s="37" t="str">
        <f>IF(DaybyDay[[#This Row],[_Space]],DaybyDay[[#This Row],[Ret-Bud-RU]]/DaybyDay[[#This Row],[Serv-Bud-RU]],"")</f>
        <v/>
      </c>
      <c r="AD1192" s="37" t="str">
        <f>IF(DaybyDay[[#This Row],[_Space]],DaybyDay[[#This Row],[Ret-LY-RU]]/DaybyDay[[#This Row],[Serv-LY-RU]],"")</f>
        <v/>
      </c>
      <c r="AE1192" s="30">
        <f>WEEKDAY(DaybyDay[[#This Row],[LY-Date]])</f>
        <v>3</v>
      </c>
      <c r="AF1192" s="38">
        <f>$E$2+_xlfn.DAYS(DaybyDay[[#This Row],[Date]],minDate)</f>
        <v>43557</v>
      </c>
      <c r="AG1192" s="39" cm="1">
        <f t="array" ref="AG1192">IFERROR(INDEX(DaybyDay[],DaybyDay[[#This Row],[FORM_MATCH_HELPER]],8),"")</f>
        <v>14</v>
      </c>
      <c r="AH1192" s="39" cm="1">
        <f t="array" ref="AH1192">IFERROR(INDEX(DaybyDay[],DaybyDay[[#This Row],[FORM_MATCH_HELPER]],10),"")</f>
        <v>2043.39</v>
      </c>
      <c r="AI1192" s="39" cm="1">
        <f t="array" ref="AI1192">IFERROR(INDEX(DaybyDay[],DaybyDay[[#This Row],[FORM_MATCH_HELPER]],12),"")</f>
        <v>0</v>
      </c>
      <c r="AJ1192" s="32">
        <f>IFERROR(DaybyDay[[#This Row],[Serv-LY-RU]]+DaybyDay[[#This Row],[Ret-LY-RU]],"")</f>
        <v>564237.42999999993</v>
      </c>
      <c r="AK11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574545.3387097735</v>
      </c>
      <c r="AL1192" s="77"/>
      <c r="AM1192" s="40" t="str">
        <f>IF(DaybyDay[[#This Row],[Admin Hours]]&gt;0,DaybyDay[[#This Row],[Admin Hours]]*$AM$2+$AM$3,"")</f>
        <v/>
      </c>
      <c r="AN1192" s="40">
        <f>SUMIFS(DaybyDay[Est-Admin-Payroll],DaybyDay[Date],"&gt;="&amp;$C$5,DaybyDay[RowYear],"&gt;="&amp;$C$4,DaybyDay[Date],"&lt;="&amp;DaybyDay[[#This Row],[Date]])</f>
        <v>13941.779999999997</v>
      </c>
      <c r="AO1192" s="41" t="str">
        <f>IF(AND(DaybyDay[[#This Row],[_Space]],ISNUMBER(DaybyDay[[#This Row],[Admin Hours]])),DaybyDay[[#This Row],[Est-Admin-Payroll]]/(DaybyDay[[#This Row],[Service-Actuals]]+DaybyDay[[#This Row],[Retail-Actuals]]),"")</f>
        <v/>
      </c>
      <c r="AP1192" s="41">
        <f>DaybyDay[[#This Row],[Estimated-Payroll-Rollup]]/DaybyDay[[#This Row],[Simple-Forecast]]</f>
        <v>2.426576122140043E-2</v>
      </c>
      <c r="AQ11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105227.33007993398</v>
      </c>
      <c r="AR1192" s="77"/>
      <c r="AS1192" s="40" t="str">
        <f>IF(DaybyDay[[#This Row],[Retail Hours]]&gt;0,DaybyDay[[#This Row],[Retail Hours]]*$AS$2,"")</f>
        <v/>
      </c>
      <c r="AT1192" s="40">
        <f>SUMIFS(DaybyDay[Est-Retail-Payroll],DaybyDay[Date],"&gt;="&amp;$C$5,DaybyDay[RowYear],"&gt;="&amp;$C$4,DaybyDay[Date],"&lt;="&amp;DaybyDay[[#This Row],[Date]])</f>
        <v>2627.1</v>
      </c>
      <c r="AU1192" s="82" t="str">
        <f>IF(AND(DaybyDay[[#This Row],[_Space]],ISNUMBER(DaybyDay[[#This Row],[Retail Hours]])),DaybyDay[[#This Row],[Est-Retail-Payroll]]/(DaybyDay[[#This Row],[Retail-Actuals]]),"")</f>
        <v/>
      </c>
      <c r="AV1192" s="82">
        <f>DaybyDay[[#This Row],[Est-Retail-PayrollRU]]/DaybyDay[[#This Row],[Simple-Forecast-Retail]]</f>
        <v>2.4965947515767743E-2</v>
      </c>
      <c r="AW1192" s="8"/>
      <c r="AX1192" s="15"/>
      <c r="AY1192" s="8"/>
    </row>
    <row r="1193" spans="3:51" hidden="1" x14ac:dyDescent="0.25">
      <c r="C1193" s="26" t="str">
        <f>Tools!$C$1</f>
        <v>Example</v>
      </c>
      <c r="D1193" s="27" t="s">
        <v>70</v>
      </c>
      <c r="E1193" s="28">
        <v>2020</v>
      </c>
      <c r="F1193" s="28">
        <f>MATCH(DaybyDay[[#This Row],[RowMonth]],Table3[SummaryMonth],0)</f>
        <v>3</v>
      </c>
      <c r="G1193" s="29">
        <f>MATCH(DaybyDay[[#This Row],[LY-Date]],DaybyDay[Date],0)</f>
        <v>823</v>
      </c>
      <c r="H1193" s="30">
        <f>WEEKDAY(DaybyDay[[#This Row],[Date]])</f>
        <v>4</v>
      </c>
      <c r="I1193" s="31">
        <v>43922</v>
      </c>
      <c r="J1193" s="74"/>
      <c r="K1193" s="32">
        <f>SUMIFS(BudgetSeasonality[365 Seasonality],BudgetSeasonality[MonthAdjustment],DaybyDay[[#This Row],[Date]])*SUMIFS(Budgets[Service-Budget],Budgets[BudgetMonth],DaybyDay[[#This Row],[RowMonth]],Budgets[BudgetYear],DaybyDay[[#This Row],[RowYear]])</f>
        <v>5526.7611115946793</v>
      </c>
      <c r="L1193" s="75"/>
      <c r="M1193" s="32">
        <f>INDEX(BudgetSeasonality[365 Seasonality],MATCH(DaybyDay[[#This Row],[Date]],BudgetSeasonality[MonthAdjustment],0))*SUMIFS(Budgets[Retail-Budget],Budgets[BudgetMonth],DaybyDay[[#This Row],[RowMonth]],Budgets[BudgetYear],DaybyDay[[#This Row],[RowYear]])</f>
        <v>1344.0035520017027</v>
      </c>
      <c r="N1193" s="75"/>
      <c r="O1193" s="33">
        <f>SUMIFS(DaybyDay[Service-Budgets],DaybyDay[Date],"&gt;="&amp;$C$5,DaybyDay[RowYear],"&gt;="&amp;$C$4,DaybyDay[Date],"&lt;="&amp;DaybyDay[[#This Row],[Date]])</f>
        <v>491263.09793338121</v>
      </c>
      <c r="P1193" s="33">
        <f>SUMIFS(DaybyDay[Retail-Budgets],DaybyDay[Date],"&gt;="&amp;$C$5,DaybyDay[RowYear],"&gt;="&amp;$C$4,DaybyDay[Date],"&lt;="&amp;DaybyDay[[#This Row],[Date]])</f>
        <v>119040.6453972064</v>
      </c>
      <c r="Q1193" s="34">
        <f>SUMIFS(DaybyDay[Service-Actuals],DaybyDay[Date],"&gt;="&amp;$C$5,DaybyDay[RowYear],"&gt;="&amp;$C$4,DaybyDay[Date],"&lt;="&amp;DaybyDay[[#This Row],[Date]])</f>
        <v>385554.23</v>
      </c>
      <c r="R1193" s="34">
        <f>SUMIFS(DaybyDay[Retail-Actuals],DaybyDay[Date],"&gt;="&amp;$C$5,DaybyDay[RowYear],"&gt;="&amp;$C$4,DaybyDay[Date],"&lt;="&amp;DaybyDay[[#This Row],[Date]])</f>
        <v>88360.030000000028</v>
      </c>
      <c r="S1193" s="35">
        <f>SUMIFS(DaybyDay[Service-LY],DaybyDay[Date],"&gt;="&amp;$C$5,DaybyDay[RowYear],"&gt;="&amp;$C$4,DaybyDay[Date],"&lt;="&amp;DaybyDay[[#This Row],[Date]])</f>
        <v>465974.18999999994</v>
      </c>
      <c r="T1193" s="35">
        <f>SUMIFS(DaybyDay[Retail-LY],DaybyDay[Date],"&gt;="&amp;$C$5,DaybyDay[RowYear],"&gt;="&amp;$C$4,DaybyDay[Date],"&lt;="&amp;DaybyDay[[#This Row],[Date]])</f>
        <v>103085.33999999998</v>
      </c>
      <c r="U1193" s="32">
        <f>DaybyDay[[#This Row],[Serv-Bud-RU]]+DaybyDay[[#This Row],[Ret-Bud-RU]]</f>
        <v>610303.74333058763</v>
      </c>
      <c r="V1193" s="32">
        <f>DaybyDay[[#This Row],[Serv-Act-RU]]+DaybyDay[[#This Row],[Ret-Act-RU]]</f>
        <v>473914.26</v>
      </c>
      <c r="W1193" s="36" t="str">
        <f>IF(DaybyDay[[#This Row],[_Space]],IFERROR(
((DaybyDay[[#This Row],[Actual-Rollup]]-DaybyDay[[#This Row],[Budget-Rollup]])/DaybyDay[[#This Row],[Budget-Rollup]]),0),"")</f>
        <v/>
      </c>
      <c r="X1193" t="b">
        <f>NOT(AND(ISBLANK(DaybyDay[[#This Row],[Appts]]),ISBLANK(DaybyDay[[#This Row],[Service-Actuals]]),ISBLANK(DaybyDay[[#This Row],[Retail-Actuals]])))</f>
        <v>0</v>
      </c>
      <c r="Y1193" s="36" t="str">
        <f>IF(DaybyDay[[#This Row],[_Space]],IFERROR(
((DaybyDay[[#This Row],[Actual-Rollup]]-DaybyDay[[#This Row],[LY-Rollup]])/DaybyDay[[#This Row],[LY-Rollup]]),0),"")</f>
        <v/>
      </c>
      <c r="Z1193"/>
      <c r="AA1193" s="37" t="str">
        <f>IF(DaybyDay[[#This Row],[_Space]],DaybyDay[[#This Row],[Ret-Act-RU]]/DaybyDay[[#This Row],[Serv-Act-RU]],"")</f>
        <v/>
      </c>
      <c r="AB1193" s="50" t="str">
        <f>IF(DaybyDay[[#This Row],[_Space]],DaybyDay[[#This Row],[RETPEN-Act]]/DaybyDay[[#This Row],[RETPEN-Bud]],"")</f>
        <v/>
      </c>
      <c r="AC1193" s="37" t="str">
        <f>IF(DaybyDay[[#This Row],[_Space]],DaybyDay[[#This Row],[Ret-Bud-RU]]/DaybyDay[[#This Row],[Serv-Bud-RU]],"")</f>
        <v/>
      </c>
      <c r="AD1193" s="37" t="str">
        <f>IF(DaybyDay[[#This Row],[_Space]],DaybyDay[[#This Row],[Ret-LY-RU]]/DaybyDay[[#This Row],[Serv-LY-RU]],"")</f>
        <v/>
      </c>
      <c r="AE1193" s="30">
        <f>WEEKDAY(DaybyDay[[#This Row],[LY-Date]])</f>
        <v>4</v>
      </c>
      <c r="AF1193" s="38">
        <f>$E$2+_xlfn.DAYS(DaybyDay[[#This Row],[Date]],minDate)</f>
        <v>43558</v>
      </c>
      <c r="AG1193" s="39" cm="1">
        <f t="array" ref="AG1193">IFERROR(INDEX(DaybyDay[],DaybyDay[[#This Row],[FORM_MATCH_HELPER]],8),"")</f>
        <v>24</v>
      </c>
      <c r="AH1193" s="39" cm="1">
        <f t="array" ref="AH1193">IFERROR(INDEX(DaybyDay[],DaybyDay[[#This Row],[FORM_MATCH_HELPER]],10),"")</f>
        <v>4335.6000000000004</v>
      </c>
      <c r="AI1193" s="39" cm="1">
        <f t="array" ref="AI1193">IFERROR(INDEX(DaybyDay[],DaybyDay[[#This Row],[FORM_MATCH_HELPER]],12),"")</f>
        <v>486.5</v>
      </c>
      <c r="AJ1193" s="32">
        <f>IFERROR(DaybyDay[[#This Row],[Serv-LY-RU]]+DaybyDay[[#This Row],[Ret-LY-RU]],"")</f>
        <v>569059.52999999991</v>
      </c>
      <c r="AK11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579845.3552565662</v>
      </c>
      <c r="AL1193" s="77"/>
      <c r="AM1193" s="40" t="str">
        <f>IF(DaybyDay[[#This Row],[Admin Hours]]&gt;0,DaybyDay[[#This Row],[Admin Hours]]*$AM$2+$AM$3,"")</f>
        <v/>
      </c>
      <c r="AN1193" s="40">
        <f>SUMIFS(DaybyDay[Est-Admin-Payroll],DaybyDay[Date],"&gt;="&amp;$C$5,DaybyDay[RowYear],"&gt;="&amp;$C$4,DaybyDay[Date],"&lt;="&amp;DaybyDay[[#This Row],[Date]])</f>
        <v>13941.779999999997</v>
      </c>
      <c r="AO1193" s="41" t="str">
        <f>IF(AND(DaybyDay[[#This Row],[_Space]],ISNUMBER(DaybyDay[[#This Row],[Admin Hours]])),DaybyDay[[#This Row],[Est-Admin-Payroll]]/(DaybyDay[[#This Row],[Service-Actuals]]+DaybyDay[[#This Row],[Retail-Actuals]]),"")</f>
        <v/>
      </c>
      <c r="AP1193" s="41">
        <f>DaybyDay[[#This Row],[Estimated-Payroll-Rollup]]/DaybyDay[[#This Row],[Simple-Forecast]]</f>
        <v>2.4043962538651584E-2</v>
      </c>
      <c r="AQ11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106038.87398941087</v>
      </c>
      <c r="AR1193" s="77"/>
      <c r="AS1193" s="40" t="str">
        <f>IF(DaybyDay[[#This Row],[Retail Hours]]&gt;0,DaybyDay[[#This Row],[Retail Hours]]*$AS$2,"")</f>
        <v/>
      </c>
      <c r="AT1193" s="40">
        <f>SUMIFS(DaybyDay[Est-Retail-Payroll],DaybyDay[Date],"&gt;="&amp;$C$5,DaybyDay[RowYear],"&gt;="&amp;$C$4,DaybyDay[Date],"&lt;="&amp;DaybyDay[[#This Row],[Date]])</f>
        <v>2627.1</v>
      </c>
      <c r="AU1193" s="82" t="str">
        <f>IF(AND(DaybyDay[[#This Row],[_Space]],ISNUMBER(DaybyDay[[#This Row],[Retail Hours]])),DaybyDay[[#This Row],[Est-Retail-Payroll]]/(DaybyDay[[#This Row],[Retail-Actuals]]),"")</f>
        <v/>
      </c>
      <c r="AV1193" s="82">
        <f>DaybyDay[[#This Row],[Est-Retail-PayrollRU]]/DaybyDay[[#This Row],[Simple-Forecast-Retail]]</f>
        <v>2.4774876431282591E-2</v>
      </c>
      <c r="AW1193" s="8"/>
      <c r="AX1193" s="15"/>
      <c r="AY1193" s="8"/>
    </row>
    <row r="1194" spans="3:51" hidden="1" x14ac:dyDescent="0.25">
      <c r="C1194" s="26" t="str">
        <f>Tools!$C$1</f>
        <v>Example</v>
      </c>
      <c r="D1194" s="27" t="s">
        <v>70</v>
      </c>
      <c r="E1194" s="28">
        <v>2020</v>
      </c>
      <c r="F1194" s="28">
        <f>MATCH(DaybyDay[[#This Row],[RowMonth]],Table3[SummaryMonth],0)</f>
        <v>3</v>
      </c>
      <c r="G1194" s="29">
        <f>MATCH(DaybyDay[[#This Row],[LY-Date]],DaybyDay[Date],0)</f>
        <v>824</v>
      </c>
      <c r="H1194" s="30">
        <f>WEEKDAY(DaybyDay[[#This Row],[Date]])</f>
        <v>5</v>
      </c>
      <c r="I1194" s="31">
        <v>43923</v>
      </c>
      <c r="J1194" s="74"/>
      <c r="K1194" s="32">
        <f>SUMIFS(BudgetSeasonality[365 Seasonality],BudgetSeasonality[MonthAdjustment],DaybyDay[[#This Row],[Date]])*SUMIFS(Budgets[Service-Budget],Budgets[BudgetMonth],DaybyDay[[#This Row],[RowMonth]],Budgets[BudgetYear],DaybyDay[[#This Row],[RowYear]])</f>
        <v>5564.3593918060214</v>
      </c>
      <c r="L1194" s="75"/>
      <c r="M1194" s="32">
        <f>INDEX(BudgetSeasonality[365 Seasonality],MATCH(DaybyDay[[#This Row],[Date]],BudgetSeasonality[MonthAdjustment],0))*SUMIFS(Budgets[Retail-Budget],Budgets[BudgetMonth],DaybyDay[[#This Row],[RowMonth]],Budgets[BudgetYear],DaybyDay[[#This Row],[RowYear]])</f>
        <v>1353.1467411377751</v>
      </c>
      <c r="N1194" s="75"/>
      <c r="O1194" s="33">
        <f>SUMIFS(DaybyDay[Service-Budgets],DaybyDay[Date],"&gt;="&amp;$C$5,DaybyDay[RowYear],"&gt;="&amp;$C$4,DaybyDay[Date],"&lt;="&amp;DaybyDay[[#This Row],[Date]])</f>
        <v>496827.45732518722</v>
      </c>
      <c r="P1194" s="33">
        <f>SUMIFS(DaybyDay[Retail-Budgets],DaybyDay[Date],"&gt;="&amp;$C$5,DaybyDay[RowYear],"&gt;="&amp;$C$4,DaybyDay[Date],"&lt;="&amp;DaybyDay[[#This Row],[Date]])</f>
        <v>120393.79213834419</v>
      </c>
      <c r="Q1194" s="34">
        <f>SUMIFS(DaybyDay[Service-Actuals],DaybyDay[Date],"&gt;="&amp;$C$5,DaybyDay[RowYear],"&gt;="&amp;$C$4,DaybyDay[Date],"&lt;="&amp;DaybyDay[[#This Row],[Date]])</f>
        <v>385554.23</v>
      </c>
      <c r="R1194" s="34">
        <f>SUMIFS(DaybyDay[Retail-Actuals],DaybyDay[Date],"&gt;="&amp;$C$5,DaybyDay[RowYear],"&gt;="&amp;$C$4,DaybyDay[Date],"&lt;="&amp;DaybyDay[[#This Row],[Date]])</f>
        <v>88360.030000000028</v>
      </c>
      <c r="S1194" s="35">
        <f>SUMIFS(DaybyDay[Service-LY],DaybyDay[Date],"&gt;="&amp;$C$5,DaybyDay[RowYear],"&gt;="&amp;$C$4,DaybyDay[Date],"&lt;="&amp;DaybyDay[[#This Row],[Date]])</f>
        <v>471831.68999999994</v>
      </c>
      <c r="T1194" s="35">
        <f>SUMIFS(DaybyDay[Retail-LY],DaybyDay[Date],"&gt;="&amp;$C$5,DaybyDay[RowYear],"&gt;="&amp;$C$4,DaybyDay[Date],"&lt;="&amp;DaybyDay[[#This Row],[Date]])</f>
        <v>104272.33999999998</v>
      </c>
      <c r="U1194" s="32">
        <f>DaybyDay[[#This Row],[Serv-Bud-RU]]+DaybyDay[[#This Row],[Ret-Bud-RU]]</f>
        <v>617221.24946353142</v>
      </c>
      <c r="V1194" s="32">
        <f>DaybyDay[[#This Row],[Serv-Act-RU]]+DaybyDay[[#This Row],[Ret-Act-RU]]</f>
        <v>473914.26</v>
      </c>
      <c r="W1194" s="36" t="str">
        <f>IF(DaybyDay[[#This Row],[_Space]],IFERROR(
((DaybyDay[[#This Row],[Actual-Rollup]]-DaybyDay[[#This Row],[Budget-Rollup]])/DaybyDay[[#This Row],[Budget-Rollup]]),0),"")</f>
        <v/>
      </c>
      <c r="X1194" t="b">
        <f>NOT(AND(ISBLANK(DaybyDay[[#This Row],[Appts]]),ISBLANK(DaybyDay[[#This Row],[Service-Actuals]]),ISBLANK(DaybyDay[[#This Row],[Retail-Actuals]])))</f>
        <v>0</v>
      </c>
      <c r="Y1194" s="36" t="str">
        <f>IF(DaybyDay[[#This Row],[_Space]],IFERROR(
((DaybyDay[[#This Row],[Actual-Rollup]]-DaybyDay[[#This Row],[LY-Rollup]])/DaybyDay[[#This Row],[LY-Rollup]]),0),"")</f>
        <v/>
      </c>
      <c r="Z1194"/>
      <c r="AA1194" s="37" t="str">
        <f>IF(DaybyDay[[#This Row],[_Space]],DaybyDay[[#This Row],[Ret-Act-RU]]/DaybyDay[[#This Row],[Serv-Act-RU]],"")</f>
        <v/>
      </c>
      <c r="AB1194" s="50" t="str">
        <f>IF(DaybyDay[[#This Row],[_Space]],DaybyDay[[#This Row],[RETPEN-Act]]/DaybyDay[[#This Row],[RETPEN-Bud]],"")</f>
        <v/>
      </c>
      <c r="AC1194" s="37" t="str">
        <f>IF(DaybyDay[[#This Row],[_Space]],DaybyDay[[#This Row],[Ret-Bud-RU]]/DaybyDay[[#This Row],[Serv-Bud-RU]],"")</f>
        <v/>
      </c>
      <c r="AD1194" s="37" t="str">
        <f>IF(DaybyDay[[#This Row],[_Space]],DaybyDay[[#This Row],[Ret-LY-RU]]/DaybyDay[[#This Row],[Serv-LY-RU]],"")</f>
        <v/>
      </c>
      <c r="AE1194" s="30">
        <f>WEEKDAY(DaybyDay[[#This Row],[LY-Date]])</f>
        <v>5</v>
      </c>
      <c r="AF1194" s="38">
        <f>$E$2+_xlfn.DAYS(DaybyDay[[#This Row],[Date]],minDate)</f>
        <v>43559</v>
      </c>
      <c r="AG1194" s="39" cm="1">
        <f t="array" ref="AG1194">IFERROR(INDEX(DaybyDay[],DaybyDay[[#This Row],[FORM_MATCH_HELPER]],8),"")</f>
        <v>28</v>
      </c>
      <c r="AH1194" s="39" cm="1">
        <f t="array" ref="AH1194">IFERROR(INDEX(DaybyDay[],DaybyDay[[#This Row],[FORM_MATCH_HELPER]],10),"")</f>
        <v>5857.5</v>
      </c>
      <c r="AI1194" s="39" cm="1">
        <f t="array" ref="AI1194">IFERROR(INDEX(DaybyDay[],DaybyDay[[#This Row],[FORM_MATCH_HELPER]],12),"")</f>
        <v>1187</v>
      </c>
      <c r="AJ1194" s="32">
        <f>IFERROR(DaybyDay[[#This Row],[Serv-LY-RU]]+DaybyDay[[#This Row],[Ret-LY-RU]],"")</f>
        <v>576104.02999999991</v>
      </c>
      <c r="AK11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586260.99276411277</v>
      </c>
      <c r="AL1194" s="77"/>
      <c r="AM1194" s="40" t="str">
        <f>IF(DaybyDay[[#This Row],[Admin Hours]]&gt;0,DaybyDay[[#This Row],[Admin Hours]]*$AM$2+$AM$3,"")</f>
        <v/>
      </c>
      <c r="AN1194" s="40">
        <f>SUMIFS(DaybyDay[Est-Admin-Payroll],DaybyDay[Date],"&gt;="&amp;$C$5,DaybyDay[RowYear],"&gt;="&amp;$C$4,DaybyDay[Date],"&lt;="&amp;DaybyDay[[#This Row],[Date]])</f>
        <v>13941.779999999997</v>
      </c>
      <c r="AO1194" s="41" t="str">
        <f>IF(AND(DaybyDay[[#This Row],[_Space]],ISNUMBER(DaybyDay[[#This Row],[Admin Hours]])),DaybyDay[[#This Row],[Est-Admin-Payroll]]/(DaybyDay[[#This Row],[Service-Actuals]]+DaybyDay[[#This Row],[Retail-Actuals]]),"")</f>
        <v/>
      </c>
      <c r="AP1194" s="41">
        <f>DaybyDay[[#This Row],[Estimated-Payroll-Rollup]]/DaybyDay[[#This Row],[Simple-Forecast]]</f>
        <v>2.3780841932305726E-2</v>
      </c>
      <c r="AQ11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107199.68377388507</v>
      </c>
      <c r="AR1194" s="77"/>
      <c r="AS1194" s="40" t="str">
        <f>IF(DaybyDay[[#This Row],[Retail Hours]]&gt;0,DaybyDay[[#This Row],[Retail Hours]]*$AS$2,"")</f>
        <v/>
      </c>
      <c r="AT1194" s="40">
        <f>SUMIFS(DaybyDay[Est-Retail-Payroll],DaybyDay[Date],"&gt;="&amp;$C$5,DaybyDay[RowYear],"&gt;="&amp;$C$4,DaybyDay[Date],"&lt;="&amp;DaybyDay[[#This Row],[Date]])</f>
        <v>2627.1</v>
      </c>
      <c r="AU1194" s="82" t="str">
        <f>IF(AND(DaybyDay[[#This Row],[_Space]],ISNUMBER(DaybyDay[[#This Row],[Retail Hours]])),DaybyDay[[#This Row],[Est-Retail-Payroll]]/(DaybyDay[[#This Row],[Retail-Actuals]]),"")</f>
        <v/>
      </c>
      <c r="AV1194" s="82">
        <f>DaybyDay[[#This Row],[Est-Retail-PayrollRU]]/DaybyDay[[#This Row],[Simple-Forecast-Retail]]</f>
        <v>2.4506602142048372E-2</v>
      </c>
      <c r="AW1194" s="8"/>
      <c r="AX1194" s="15"/>
      <c r="AY1194" s="8"/>
    </row>
    <row r="1195" spans="3:51" hidden="1" x14ac:dyDescent="0.25">
      <c r="C1195" s="26" t="str">
        <f>Tools!$C$1</f>
        <v>Example</v>
      </c>
      <c r="D1195" s="27" t="s">
        <v>70</v>
      </c>
      <c r="E1195" s="28">
        <v>2020</v>
      </c>
      <c r="F1195" s="28">
        <f>MATCH(DaybyDay[[#This Row],[RowMonth]],Table3[SummaryMonth],0)</f>
        <v>3</v>
      </c>
      <c r="G1195" s="29">
        <f>MATCH(DaybyDay[[#This Row],[LY-Date]],DaybyDay[Date],0)</f>
        <v>825</v>
      </c>
      <c r="H1195" s="30">
        <f>WEEKDAY(DaybyDay[[#This Row],[Date]])</f>
        <v>6</v>
      </c>
      <c r="I1195" s="31">
        <v>43924</v>
      </c>
      <c r="J1195" s="74"/>
      <c r="K1195" s="32">
        <f>SUMIFS(BudgetSeasonality[365 Seasonality],BudgetSeasonality[MonthAdjustment],DaybyDay[[#This Row],[Date]])*SUMIFS(Budgets[Service-Budget],Budgets[BudgetMonth],DaybyDay[[#This Row],[RowMonth]],Budgets[BudgetYear],DaybyDay[[#This Row],[RowYear]])</f>
        <v>6509.5160325648385</v>
      </c>
      <c r="L1195" s="75"/>
      <c r="M1195" s="32">
        <f>INDEX(BudgetSeasonality[365 Seasonality],MATCH(DaybyDay[[#This Row],[Date]],BudgetSeasonality[MonthAdjustment],0))*SUMIFS(Budgets[Retail-Budget],Budgets[BudgetMonth],DaybyDay[[#This Row],[RowMonth]],Budgets[BudgetYear],DaybyDay[[#This Row],[RowYear]])</f>
        <v>1582.9909223369368</v>
      </c>
      <c r="N1195" s="75"/>
      <c r="O1195" s="33">
        <f>SUMIFS(DaybyDay[Service-Budgets],DaybyDay[Date],"&gt;="&amp;$C$5,DaybyDay[RowYear],"&gt;="&amp;$C$4,DaybyDay[Date],"&lt;="&amp;DaybyDay[[#This Row],[Date]])</f>
        <v>503336.97335775208</v>
      </c>
      <c r="P1195" s="33">
        <f>SUMIFS(DaybyDay[Retail-Budgets],DaybyDay[Date],"&gt;="&amp;$C$5,DaybyDay[RowYear],"&gt;="&amp;$C$4,DaybyDay[Date],"&lt;="&amp;DaybyDay[[#This Row],[Date]])</f>
        <v>121976.78306068112</v>
      </c>
      <c r="Q1195" s="34">
        <f>SUMIFS(DaybyDay[Service-Actuals],DaybyDay[Date],"&gt;="&amp;$C$5,DaybyDay[RowYear],"&gt;="&amp;$C$4,DaybyDay[Date],"&lt;="&amp;DaybyDay[[#This Row],[Date]])</f>
        <v>385554.23</v>
      </c>
      <c r="R1195" s="34">
        <f>SUMIFS(DaybyDay[Retail-Actuals],DaybyDay[Date],"&gt;="&amp;$C$5,DaybyDay[RowYear],"&gt;="&amp;$C$4,DaybyDay[Date],"&lt;="&amp;DaybyDay[[#This Row],[Date]])</f>
        <v>88360.030000000028</v>
      </c>
      <c r="S1195" s="35">
        <f>SUMIFS(DaybyDay[Service-LY],DaybyDay[Date],"&gt;="&amp;$C$5,DaybyDay[RowYear],"&gt;="&amp;$C$4,DaybyDay[Date],"&lt;="&amp;DaybyDay[[#This Row],[Date]])</f>
        <v>478881.78999999992</v>
      </c>
      <c r="T1195" s="35">
        <f>SUMIFS(DaybyDay[Retail-LY],DaybyDay[Date],"&gt;="&amp;$C$5,DaybyDay[RowYear],"&gt;="&amp;$C$4,DaybyDay[Date],"&lt;="&amp;DaybyDay[[#This Row],[Date]])</f>
        <v>104715.33999999998</v>
      </c>
      <c r="U1195" s="32">
        <f>DaybyDay[[#This Row],[Serv-Bud-RU]]+DaybyDay[[#This Row],[Ret-Bud-RU]]</f>
        <v>625313.75641843316</v>
      </c>
      <c r="V1195" s="32">
        <f>DaybyDay[[#This Row],[Serv-Act-RU]]+DaybyDay[[#This Row],[Ret-Act-RU]]</f>
        <v>473914.26</v>
      </c>
      <c r="W1195" s="36" t="str">
        <f>IF(DaybyDay[[#This Row],[_Space]],IFERROR(
((DaybyDay[[#This Row],[Actual-Rollup]]-DaybyDay[[#This Row],[Budget-Rollup]])/DaybyDay[[#This Row],[Budget-Rollup]]),0),"")</f>
        <v/>
      </c>
      <c r="X1195" t="b">
        <f>NOT(AND(ISBLANK(DaybyDay[[#This Row],[Appts]]),ISBLANK(DaybyDay[[#This Row],[Service-Actuals]]),ISBLANK(DaybyDay[[#This Row],[Retail-Actuals]])))</f>
        <v>0</v>
      </c>
      <c r="Y1195" s="36" t="str">
        <f>IF(DaybyDay[[#This Row],[_Space]],IFERROR(
((DaybyDay[[#This Row],[Actual-Rollup]]-DaybyDay[[#This Row],[LY-Rollup]])/DaybyDay[[#This Row],[LY-Rollup]]),0),"")</f>
        <v/>
      </c>
      <c r="Z1195"/>
      <c r="AA1195" s="37" t="str">
        <f>IF(DaybyDay[[#This Row],[_Space]],DaybyDay[[#This Row],[Ret-Act-RU]]/DaybyDay[[#This Row],[Serv-Act-RU]],"")</f>
        <v/>
      </c>
      <c r="AB1195" s="50" t="str">
        <f>IF(DaybyDay[[#This Row],[_Space]],DaybyDay[[#This Row],[RETPEN-Act]]/DaybyDay[[#This Row],[RETPEN-Bud]],"")</f>
        <v/>
      </c>
      <c r="AC1195" s="37" t="str">
        <f>IF(DaybyDay[[#This Row],[_Space]],DaybyDay[[#This Row],[Ret-Bud-RU]]/DaybyDay[[#This Row],[Serv-Bud-RU]],"")</f>
        <v/>
      </c>
      <c r="AD1195" s="37" t="str">
        <f>IF(DaybyDay[[#This Row],[_Space]],DaybyDay[[#This Row],[Ret-LY-RU]]/DaybyDay[[#This Row],[Serv-LY-RU]],"")</f>
        <v/>
      </c>
      <c r="AE1195" s="30">
        <f>WEEKDAY(DaybyDay[[#This Row],[LY-Date]])</f>
        <v>6</v>
      </c>
      <c r="AF1195" s="38">
        <f>$E$2+_xlfn.DAYS(DaybyDay[[#This Row],[Date]],minDate)</f>
        <v>43560</v>
      </c>
      <c r="AG1195" s="39" cm="1">
        <f t="array" ref="AG1195">IFERROR(INDEX(DaybyDay[],DaybyDay[[#This Row],[FORM_MATCH_HELPER]],8),"")</f>
        <v>40</v>
      </c>
      <c r="AH1195" s="39" cm="1">
        <f t="array" ref="AH1195">IFERROR(INDEX(DaybyDay[],DaybyDay[[#This Row],[FORM_MATCH_HELPER]],10),"")</f>
        <v>7050.1</v>
      </c>
      <c r="AI1195" s="39" cm="1">
        <f t="array" ref="AI1195">IFERROR(INDEX(DaybyDay[],DaybyDay[[#This Row],[FORM_MATCH_HELPER]],12),"")</f>
        <v>443</v>
      </c>
      <c r="AJ1195" s="32">
        <f>IFERROR(DaybyDay[[#This Row],[Serv-LY-RU]]+DaybyDay[[#This Row],[Ret-LY-RU]],"")</f>
        <v>583597.12999999989</v>
      </c>
      <c r="AK11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593397.60171803006</v>
      </c>
      <c r="AL1195" s="77"/>
      <c r="AM1195" s="40" t="str">
        <f>IF(DaybyDay[[#This Row],[Admin Hours]]&gt;0,DaybyDay[[#This Row],[Admin Hours]]*$AM$2+$AM$3,"")</f>
        <v/>
      </c>
      <c r="AN1195" s="40">
        <f>SUMIFS(DaybyDay[Est-Admin-Payroll],DaybyDay[Date],"&gt;="&amp;$C$5,DaybyDay[RowYear],"&gt;="&amp;$C$4,DaybyDay[Date],"&lt;="&amp;DaybyDay[[#This Row],[Date]])</f>
        <v>13941.779999999997</v>
      </c>
      <c r="AO1195" s="41" t="str">
        <f>IF(AND(DaybyDay[[#This Row],[_Space]],ISNUMBER(DaybyDay[[#This Row],[Admin Hours]])),DaybyDay[[#This Row],[Est-Admin-Payroll]]/(DaybyDay[[#This Row],[Service-Actuals]]+DaybyDay[[#This Row],[Retail-Actuals]]),"")</f>
        <v/>
      </c>
      <c r="AP1195" s="41">
        <f>DaybyDay[[#This Row],[Estimated-Payroll-Rollup]]/DaybyDay[[#This Row],[Simple-Forecast]]</f>
        <v>2.349483712039813E-2</v>
      </c>
      <c r="AQ11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108091.43473214362</v>
      </c>
      <c r="AR1195" s="77"/>
      <c r="AS1195" s="40" t="str">
        <f>IF(DaybyDay[[#This Row],[Retail Hours]]&gt;0,DaybyDay[[#This Row],[Retail Hours]]*$AS$2,"")</f>
        <v/>
      </c>
      <c r="AT1195" s="40">
        <f>SUMIFS(DaybyDay[Est-Retail-Payroll],DaybyDay[Date],"&gt;="&amp;$C$5,DaybyDay[RowYear],"&gt;="&amp;$C$4,DaybyDay[Date],"&lt;="&amp;DaybyDay[[#This Row],[Date]])</f>
        <v>2627.1</v>
      </c>
      <c r="AU1195" s="82" t="str">
        <f>IF(AND(DaybyDay[[#This Row],[_Space]],ISNUMBER(DaybyDay[[#This Row],[Retail Hours]])),DaybyDay[[#This Row],[Est-Retail-Payroll]]/(DaybyDay[[#This Row],[Retail-Actuals]]),"")</f>
        <v/>
      </c>
      <c r="AV1195" s="82">
        <f>DaybyDay[[#This Row],[Est-Retail-PayrollRU]]/DaybyDay[[#This Row],[Simple-Forecast-Retail]]</f>
        <v>2.4304423440303986E-2</v>
      </c>
      <c r="AW1195" s="8"/>
      <c r="AX1195" s="15"/>
      <c r="AY1195" s="8"/>
    </row>
    <row r="1196" spans="3:51" hidden="1" x14ac:dyDescent="0.25">
      <c r="C1196" s="26" t="str">
        <f>Tools!$C$1</f>
        <v>Example</v>
      </c>
      <c r="D1196" s="27" t="s">
        <v>70</v>
      </c>
      <c r="E1196" s="28">
        <v>2020</v>
      </c>
      <c r="F1196" s="28">
        <f>MATCH(DaybyDay[[#This Row],[RowMonth]],Table3[SummaryMonth],0)</f>
        <v>3</v>
      </c>
      <c r="G1196" s="29">
        <f>MATCH(DaybyDay[[#This Row],[LY-Date]],DaybyDay[Date],0)</f>
        <v>826</v>
      </c>
      <c r="H1196" s="30">
        <f>WEEKDAY(DaybyDay[[#This Row],[Date]])</f>
        <v>7</v>
      </c>
      <c r="I1196" s="31">
        <v>43925</v>
      </c>
      <c r="J1196" s="74"/>
      <c r="K1196" s="32">
        <f>SUMIFS(BudgetSeasonality[365 Seasonality],BudgetSeasonality[MonthAdjustment],DaybyDay[[#This Row],[Date]])*SUMIFS(Budgets[Service-Budget],Budgets[BudgetMonth],DaybyDay[[#This Row],[RowMonth]],Budgets[BudgetYear],DaybyDay[[#This Row],[RowYear]])</f>
        <v>8601.218120409716</v>
      </c>
      <c r="L1196" s="75"/>
      <c r="M1196" s="32">
        <f>INDEX(BudgetSeasonality[365 Seasonality],MATCH(DaybyDay[[#This Row],[Date]],BudgetSeasonality[MonthAdjustment],0))*SUMIFS(Budgets[Retail-Budget],Budgets[BudgetMonth],DaybyDay[[#This Row],[RowMonth]],Budgets[BudgetYear],DaybyDay[[#This Row],[RowYear]])</f>
        <v>2091.65322545243</v>
      </c>
      <c r="N1196" s="75"/>
      <c r="O1196" s="33">
        <f>SUMIFS(DaybyDay[Service-Budgets],DaybyDay[Date],"&gt;="&amp;$C$5,DaybyDay[RowYear],"&gt;="&amp;$C$4,DaybyDay[Date],"&lt;="&amp;DaybyDay[[#This Row],[Date]])</f>
        <v>511938.19147816178</v>
      </c>
      <c r="P1196" s="33">
        <f>SUMIFS(DaybyDay[Retail-Budgets],DaybyDay[Date],"&gt;="&amp;$C$5,DaybyDay[RowYear],"&gt;="&amp;$C$4,DaybyDay[Date],"&lt;="&amp;DaybyDay[[#This Row],[Date]])</f>
        <v>124068.43628613355</v>
      </c>
      <c r="Q1196" s="34">
        <f>SUMIFS(DaybyDay[Service-Actuals],DaybyDay[Date],"&gt;="&amp;$C$5,DaybyDay[RowYear],"&gt;="&amp;$C$4,DaybyDay[Date],"&lt;="&amp;DaybyDay[[#This Row],[Date]])</f>
        <v>385554.23</v>
      </c>
      <c r="R1196" s="34">
        <f>SUMIFS(DaybyDay[Retail-Actuals],DaybyDay[Date],"&gt;="&amp;$C$5,DaybyDay[RowYear],"&gt;="&amp;$C$4,DaybyDay[Date],"&lt;="&amp;DaybyDay[[#This Row],[Date]])</f>
        <v>88360.030000000028</v>
      </c>
      <c r="S1196" s="35">
        <f>SUMIFS(DaybyDay[Service-LY],DaybyDay[Date],"&gt;="&amp;$C$5,DaybyDay[RowYear],"&gt;="&amp;$C$4,DaybyDay[Date],"&lt;="&amp;DaybyDay[[#This Row],[Date]])</f>
        <v>487754.17999999993</v>
      </c>
      <c r="T1196" s="35">
        <f>SUMIFS(DaybyDay[Retail-LY],DaybyDay[Date],"&gt;="&amp;$C$5,DaybyDay[RowYear],"&gt;="&amp;$C$4,DaybyDay[Date],"&lt;="&amp;DaybyDay[[#This Row],[Date]])</f>
        <v>107292.83999999998</v>
      </c>
      <c r="U1196" s="32">
        <f>DaybyDay[[#This Row],[Serv-Bud-RU]]+DaybyDay[[#This Row],[Ret-Bud-RU]]</f>
        <v>636006.62776429532</v>
      </c>
      <c r="V1196" s="32">
        <f>DaybyDay[[#This Row],[Serv-Act-RU]]+DaybyDay[[#This Row],[Ret-Act-RU]]</f>
        <v>473914.26</v>
      </c>
      <c r="W1196" s="36" t="str">
        <f>IF(DaybyDay[[#This Row],[_Space]],IFERROR(
((DaybyDay[[#This Row],[Actual-Rollup]]-DaybyDay[[#This Row],[Budget-Rollup]])/DaybyDay[[#This Row],[Budget-Rollup]]),0),"")</f>
        <v/>
      </c>
      <c r="X1196" t="b">
        <f>NOT(AND(ISBLANK(DaybyDay[[#This Row],[Appts]]),ISBLANK(DaybyDay[[#This Row],[Service-Actuals]]),ISBLANK(DaybyDay[[#This Row],[Retail-Actuals]])))</f>
        <v>0</v>
      </c>
      <c r="Y1196" s="36" t="str">
        <f>IF(DaybyDay[[#This Row],[_Space]],IFERROR(
((DaybyDay[[#This Row],[Actual-Rollup]]-DaybyDay[[#This Row],[LY-Rollup]])/DaybyDay[[#This Row],[LY-Rollup]]),0),"")</f>
        <v/>
      </c>
      <c r="Z1196"/>
      <c r="AA1196" s="37" t="str">
        <f>IF(DaybyDay[[#This Row],[_Space]],DaybyDay[[#This Row],[Ret-Act-RU]]/DaybyDay[[#This Row],[Serv-Act-RU]],"")</f>
        <v/>
      </c>
      <c r="AB1196" s="50" t="str">
        <f>IF(DaybyDay[[#This Row],[_Space]],DaybyDay[[#This Row],[RETPEN-Act]]/DaybyDay[[#This Row],[RETPEN-Bud]],"")</f>
        <v/>
      </c>
      <c r="AC1196" s="37" t="str">
        <f>IF(DaybyDay[[#This Row],[_Space]],DaybyDay[[#This Row],[Ret-Bud-RU]]/DaybyDay[[#This Row],[Serv-Bud-RU]],"")</f>
        <v/>
      </c>
      <c r="AD1196" s="37" t="str">
        <f>IF(DaybyDay[[#This Row],[_Space]],DaybyDay[[#This Row],[Ret-LY-RU]]/DaybyDay[[#This Row],[Serv-LY-RU]],"")</f>
        <v/>
      </c>
      <c r="AE1196" s="30">
        <f>WEEKDAY(DaybyDay[[#This Row],[LY-Date]])</f>
        <v>7</v>
      </c>
      <c r="AF1196" s="38">
        <f>$E$2+_xlfn.DAYS(DaybyDay[[#This Row],[Date]],minDate)</f>
        <v>43561</v>
      </c>
      <c r="AG1196" s="39" cm="1">
        <f t="array" ref="AG1196">IFERROR(INDEX(DaybyDay[],DaybyDay[[#This Row],[FORM_MATCH_HELPER]],8),"")</f>
        <v>38</v>
      </c>
      <c r="AH1196" s="39" cm="1">
        <f t="array" ref="AH1196">IFERROR(INDEX(DaybyDay[],DaybyDay[[#This Row],[FORM_MATCH_HELPER]],10),"")</f>
        <v>8872.39</v>
      </c>
      <c r="AI1196" s="39" cm="1">
        <f t="array" ref="AI1196">IFERROR(INDEX(DaybyDay[],DaybyDay[[#This Row],[FORM_MATCH_HELPER]],12),"")</f>
        <v>2577.5</v>
      </c>
      <c r="AJ1196" s="32">
        <f>IFERROR(DaybyDay[[#This Row],[Serv-LY-RU]]+DaybyDay[[#This Row],[Ret-LY-RU]],"")</f>
        <v>595047.0199999999</v>
      </c>
      <c r="AK11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603591.15666965477</v>
      </c>
      <c r="AL1196" s="77"/>
      <c r="AM1196" s="40" t="str">
        <f>IF(DaybyDay[[#This Row],[Admin Hours]]&gt;0,DaybyDay[[#This Row],[Admin Hours]]*$AM$2+$AM$3,"")</f>
        <v/>
      </c>
      <c r="AN1196" s="40">
        <f>SUMIFS(DaybyDay[Est-Admin-Payroll],DaybyDay[Date],"&gt;="&amp;$C$5,DaybyDay[RowYear],"&gt;="&amp;$C$4,DaybyDay[Date],"&lt;="&amp;DaybyDay[[#This Row],[Date]])</f>
        <v>13941.779999999997</v>
      </c>
      <c r="AO1196" s="41" t="str">
        <f>IF(AND(DaybyDay[[#This Row],[_Space]],ISNUMBER(DaybyDay[[#This Row],[Admin Hours]])),DaybyDay[[#This Row],[Est-Admin-Payroll]]/(DaybyDay[[#This Row],[Service-Actuals]]+DaybyDay[[#This Row],[Retail-Actuals]]),"")</f>
        <v/>
      </c>
      <c r="AP1196" s="41">
        <f>DaybyDay[[#This Row],[Estimated-Payroll-Rollup]]/DaybyDay[[#This Row],[Simple-Forecast]]</f>
        <v>2.3098052126748318E-2</v>
      </c>
      <c r="AQ11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110251.94840321131</v>
      </c>
      <c r="AR1196" s="77"/>
      <c r="AS1196" s="40" t="str">
        <f>IF(DaybyDay[[#This Row],[Retail Hours]]&gt;0,DaybyDay[[#This Row],[Retail Hours]]*$AS$2,"")</f>
        <v/>
      </c>
      <c r="AT1196" s="40">
        <f>SUMIFS(DaybyDay[Est-Retail-Payroll],DaybyDay[Date],"&gt;="&amp;$C$5,DaybyDay[RowYear],"&gt;="&amp;$C$4,DaybyDay[Date],"&lt;="&amp;DaybyDay[[#This Row],[Date]])</f>
        <v>2627.1</v>
      </c>
      <c r="AU1196" s="82" t="str">
        <f>IF(AND(DaybyDay[[#This Row],[_Space]],ISNUMBER(DaybyDay[[#This Row],[Retail Hours]])),DaybyDay[[#This Row],[Est-Retail-Payroll]]/(DaybyDay[[#This Row],[Retail-Actuals]]),"")</f>
        <v/>
      </c>
      <c r="AV1196" s="82">
        <f>DaybyDay[[#This Row],[Est-Retail-PayrollRU]]/DaybyDay[[#This Row],[Simple-Forecast-Retail]]</f>
        <v>2.3828150323404899E-2</v>
      </c>
      <c r="AW1196" s="8"/>
      <c r="AX1196" s="15"/>
      <c r="AY1196" s="8"/>
    </row>
    <row r="1197" spans="3:51" hidden="1" x14ac:dyDescent="0.25">
      <c r="C1197" s="26" t="str">
        <f>Tools!$C$1</f>
        <v>Example</v>
      </c>
      <c r="D1197" s="27" t="s">
        <v>71</v>
      </c>
      <c r="E1197" s="28">
        <v>2020</v>
      </c>
      <c r="F1197" s="28">
        <f>MATCH(DaybyDay[[#This Row],[RowMonth]],Table3[SummaryMonth],0)</f>
        <v>4</v>
      </c>
      <c r="G1197" s="29">
        <f>MATCH(DaybyDay[[#This Row],[LY-Date]],DaybyDay[Date],0)</f>
        <v>827</v>
      </c>
      <c r="H1197" s="30">
        <f>WEEKDAY(DaybyDay[[#This Row],[Date]])</f>
        <v>1</v>
      </c>
      <c r="I1197" s="31">
        <v>43926</v>
      </c>
      <c r="J1197" s="74"/>
      <c r="K1197" s="32">
        <f>SUMIFS(BudgetSeasonality[365 Seasonality],BudgetSeasonality[MonthAdjustment],DaybyDay[[#This Row],[Date]])*SUMIFS(Budgets[Service-Budget],Budgets[BudgetMonth],DaybyDay[[#This Row],[RowMonth]],Budgets[BudgetYear],DaybyDay[[#This Row],[RowYear]])</f>
        <v>7490.5832697898149</v>
      </c>
      <c r="L1197" s="75"/>
      <c r="M1197" s="32">
        <f>INDEX(BudgetSeasonality[365 Seasonality],MATCH(DaybyDay[[#This Row],[Date]],BudgetSeasonality[MonthAdjustment],0))*SUMIFS(Budgets[Retail-Budget],Budgets[BudgetMonth],DaybyDay[[#This Row],[RowMonth]],Budgets[BudgetYear],DaybyDay[[#This Row],[RowYear]])</f>
        <v>1970.7198916601387</v>
      </c>
      <c r="N1197" s="75"/>
      <c r="O1197" s="33">
        <f>SUMIFS(DaybyDay[Service-Budgets],DaybyDay[Date],"&gt;="&amp;$C$5,DaybyDay[RowYear],"&gt;="&amp;$C$4,DaybyDay[Date],"&lt;="&amp;DaybyDay[[#This Row],[Date]])</f>
        <v>519428.7747479516</v>
      </c>
      <c r="P1197" s="33">
        <f>SUMIFS(DaybyDay[Retail-Budgets],DaybyDay[Date],"&gt;="&amp;$C$5,DaybyDay[RowYear],"&gt;="&amp;$C$4,DaybyDay[Date],"&lt;="&amp;DaybyDay[[#This Row],[Date]])</f>
        <v>126039.15617779369</v>
      </c>
      <c r="Q1197" s="34">
        <f>SUMIFS(DaybyDay[Service-Actuals],DaybyDay[Date],"&gt;="&amp;$C$5,DaybyDay[RowYear],"&gt;="&amp;$C$4,DaybyDay[Date],"&lt;="&amp;DaybyDay[[#This Row],[Date]])</f>
        <v>385554.23</v>
      </c>
      <c r="R1197" s="34">
        <f>SUMIFS(DaybyDay[Retail-Actuals],DaybyDay[Date],"&gt;="&amp;$C$5,DaybyDay[RowYear],"&gt;="&amp;$C$4,DaybyDay[Date],"&lt;="&amp;DaybyDay[[#This Row],[Date]])</f>
        <v>88360.030000000028</v>
      </c>
      <c r="S1197" s="35">
        <f>SUMIFS(DaybyDay[Service-LY],DaybyDay[Date],"&gt;="&amp;$C$5,DaybyDay[RowYear],"&gt;="&amp;$C$4,DaybyDay[Date],"&lt;="&amp;DaybyDay[[#This Row],[Date]])</f>
        <v>495476.37999999995</v>
      </c>
      <c r="T1197" s="35">
        <f>SUMIFS(DaybyDay[Retail-LY],DaybyDay[Date],"&gt;="&amp;$C$5,DaybyDay[RowYear],"&gt;="&amp;$C$4,DaybyDay[Date],"&lt;="&amp;DaybyDay[[#This Row],[Date]])</f>
        <v>107692.33999999998</v>
      </c>
      <c r="U1197" s="32">
        <f>DaybyDay[[#This Row],[Serv-Bud-RU]]+DaybyDay[[#This Row],[Ret-Bud-RU]]</f>
        <v>645467.93092574528</v>
      </c>
      <c r="V1197" s="32">
        <f>DaybyDay[[#This Row],[Serv-Act-RU]]+DaybyDay[[#This Row],[Ret-Act-RU]]</f>
        <v>473914.26</v>
      </c>
      <c r="W1197" s="36" t="str">
        <f>IF(DaybyDay[[#This Row],[_Space]],IFERROR(
((DaybyDay[[#This Row],[Actual-Rollup]]-DaybyDay[[#This Row],[Budget-Rollup]])/DaybyDay[[#This Row],[Budget-Rollup]]),0),"")</f>
        <v/>
      </c>
      <c r="X1197" t="b">
        <f>NOT(AND(ISBLANK(DaybyDay[[#This Row],[Appts]]),ISBLANK(DaybyDay[[#This Row],[Service-Actuals]]),ISBLANK(DaybyDay[[#This Row],[Retail-Actuals]])))</f>
        <v>0</v>
      </c>
      <c r="Y1197" s="36" t="str">
        <f>IF(DaybyDay[[#This Row],[_Space]],IFERROR(
((DaybyDay[[#This Row],[Actual-Rollup]]-DaybyDay[[#This Row],[LY-Rollup]])/DaybyDay[[#This Row],[LY-Rollup]]),0),"")</f>
        <v/>
      </c>
      <c r="Z1197"/>
      <c r="AA1197" s="37" t="str">
        <f>IF(DaybyDay[[#This Row],[_Space]],DaybyDay[[#This Row],[Ret-Act-RU]]/DaybyDay[[#This Row],[Serv-Act-RU]],"")</f>
        <v/>
      </c>
      <c r="AB1197" s="50" t="str">
        <f>IF(DaybyDay[[#This Row],[_Space]],DaybyDay[[#This Row],[RETPEN-Act]]/DaybyDay[[#This Row],[RETPEN-Bud]],"")</f>
        <v/>
      </c>
      <c r="AC1197" s="37" t="str">
        <f>IF(DaybyDay[[#This Row],[_Space]],DaybyDay[[#This Row],[Ret-Bud-RU]]/DaybyDay[[#This Row],[Serv-Bud-RU]],"")</f>
        <v/>
      </c>
      <c r="AD1197" s="37" t="str">
        <f>IF(DaybyDay[[#This Row],[_Space]],DaybyDay[[#This Row],[Ret-LY-RU]]/DaybyDay[[#This Row],[Serv-LY-RU]],"")</f>
        <v/>
      </c>
      <c r="AE1197" s="30">
        <f>WEEKDAY(DaybyDay[[#This Row],[LY-Date]])</f>
        <v>1</v>
      </c>
      <c r="AF1197" s="38">
        <f>$E$2+_xlfn.DAYS(DaybyDay[[#This Row],[Date]],minDate)</f>
        <v>43562</v>
      </c>
      <c r="AG1197" s="39" cm="1">
        <f t="array" ref="AG1197">IFERROR(INDEX(DaybyDay[],DaybyDay[[#This Row],[FORM_MATCH_HELPER]],8),"")</f>
        <v>40</v>
      </c>
      <c r="AH1197" s="39" cm="1">
        <f t="array" ref="AH1197">IFERROR(INDEX(DaybyDay[],DaybyDay[[#This Row],[FORM_MATCH_HELPER]],10),"")</f>
        <v>7722.2</v>
      </c>
      <c r="AI1197" s="39" cm="1">
        <f t="array" ref="AI1197">IFERROR(INDEX(DaybyDay[],DaybyDay[[#This Row],[FORM_MATCH_HELPER]],12),"")</f>
        <v>399.5</v>
      </c>
      <c r="AJ1197" s="32">
        <f>IFERROR(DaybyDay[[#This Row],[Serv-LY-RU]]+DaybyDay[[#This Row],[Ret-LY-RU]],"")</f>
        <v>603168.72</v>
      </c>
      <c r="AK11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611619.91664958536</v>
      </c>
      <c r="AL1197" s="77"/>
      <c r="AM1197" s="40" t="str">
        <f>IF(DaybyDay[[#This Row],[Admin Hours]]&gt;0,DaybyDay[[#This Row],[Admin Hours]]*$AM$2+$AM$3,"")</f>
        <v/>
      </c>
      <c r="AN1197" s="40">
        <f>SUMIFS(DaybyDay[Est-Admin-Payroll],DaybyDay[Date],"&gt;="&amp;$C$5,DaybyDay[RowYear],"&gt;="&amp;$C$4,DaybyDay[Date],"&lt;="&amp;DaybyDay[[#This Row],[Date]])</f>
        <v>13941.779999999997</v>
      </c>
      <c r="AO1197" s="41" t="str">
        <f>IF(AND(DaybyDay[[#This Row],[_Space]],ISNUMBER(DaybyDay[[#This Row],[Admin Hours]])),DaybyDay[[#This Row],[Est-Admin-Payroll]]/(DaybyDay[[#This Row],[Service-Actuals]]+DaybyDay[[#This Row],[Retail-Actuals]]),"")</f>
        <v/>
      </c>
      <c r="AP1197" s="41">
        <f>DaybyDay[[#This Row],[Estimated-Payroll-Rollup]]/DaybyDay[[#This Row],[Simple-Forecast]]</f>
        <v>2.2794843039729923E-2</v>
      </c>
      <c r="AQ11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111287.17436566309</v>
      </c>
      <c r="AR1197" s="77"/>
      <c r="AS1197" s="40" t="str">
        <f>IF(DaybyDay[[#This Row],[Retail Hours]]&gt;0,DaybyDay[[#This Row],[Retail Hours]]*$AS$2,"")</f>
        <v/>
      </c>
      <c r="AT1197" s="40">
        <f>SUMIFS(DaybyDay[Est-Retail-Payroll],DaybyDay[Date],"&gt;="&amp;$C$5,DaybyDay[RowYear],"&gt;="&amp;$C$4,DaybyDay[Date],"&lt;="&amp;DaybyDay[[#This Row],[Date]])</f>
        <v>2627.1</v>
      </c>
      <c r="AU1197" s="82" t="str">
        <f>IF(AND(DaybyDay[[#This Row],[_Space]],ISNUMBER(DaybyDay[[#This Row],[Retail Hours]])),DaybyDay[[#This Row],[Est-Retail-Payroll]]/(DaybyDay[[#This Row],[Retail-Actuals]]),"")</f>
        <v/>
      </c>
      <c r="AV1197" s="82">
        <f>DaybyDay[[#This Row],[Est-Retail-PayrollRU]]/DaybyDay[[#This Row],[Simple-Forecast-Retail]]</f>
        <v>2.360649387473867E-2</v>
      </c>
      <c r="AW1197" s="8"/>
      <c r="AX1197" s="15"/>
      <c r="AY1197" s="8"/>
    </row>
    <row r="1198" spans="3:51" hidden="1" x14ac:dyDescent="0.25">
      <c r="C1198" s="26" t="str">
        <f>Tools!$C$1</f>
        <v>Example</v>
      </c>
      <c r="D1198" s="27" t="s">
        <v>71</v>
      </c>
      <c r="E1198" s="28">
        <v>2020</v>
      </c>
      <c r="F1198" s="28">
        <f>MATCH(DaybyDay[[#This Row],[RowMonth]],Table3[SummaryMonth],0)</f>
        <v>4</v>
      </c>
      <c r="G1198" s="29">
        <f>MATCH(DaybyDay[[#This Row],[LY-Date]],DaybyDay[Date],0)</f>
        <v>828</v>
      </c>
      <c r="H1198" s="30">
        <f>WEEKDAY(DaybyDay[[#This Row],[Date]])</f>
        <v>2</v>
      </c>
      <c r="I1198" s="31">
        <v>43927</v>
      </c>
      <c r="J1198" s="74"/>
      <c r="K1198" s="32">
        <f>SUMIFS(BudgetSeasonality[365 Seasonality],BudgetSeasonality[MonthAdjustment],DaybyDay[[#This Row],[Date]])*SUMIFS(Budgets[Service-Budget],Budgets[BudgetMonth],DaybyDay[[#This Row],[RowMonth]],Budgets[BudgetYear],DaybyDay[[#This Row],[RowYear]])</f>
        <v>4751.4917857245609</v>
      </c>
      <c r="L1198" s="75"/>
      <c r="M1198" s="32">
        <f>INDEX(BudgetSeasonality[365 Seasonality],MATCH(DaybyDay[[#This Row],[Date]],BudgetSeasonality[MonthAdjustment],0))*SUMIFS(Budgets[Retail-Budget],Budgets[BudgetMonth],DaybyDay[[#This Row],[RowMonth]],Budgets[BudgetYear],DaybyDay[[#This Row],[RowYear]])</f>
        <v>1250.0841443085505</v>
      </c>
      <c r="N1198" s="75"/>
      <c r="O1198" s="33">
        <f>SUMIFS(DaybyDay[Service-Budgets],DaybyDay[Date],"&gt;="&amp;$C$5,DaybyDay[RowYear],"&gt;="&amp;$C$4,DaybyDay[Date],"&lt;="&amp;DaybyDay[[#This Row],[Date]])</f>
        <v>524180.26653367619</v>
      </c>
      <c r="P1198" s="33">
        <f>SUMIFS(DaybyDay[Retail-Budgets],DaybyDay[Date],"&gt;="&amp;$C$5,DaybyDay[RowYear],"&gt;="&amp;$C$4,DaybyDay[Date],"&lt;="&amp;DaybyDay[[#This Row],[Date]])</f>
        <v>127289.24032210224</v>
      </c>
      <c r="Q1198" s="34">
        <f>SUMIFS(DaybyDay[Service-Actuals],DaybyDay[Date],"&gt;="&amp;$C$5,DaybyDay[RowYear],"&gt;="&amp;$C$4,DaybyDay[Date],"&lt;="&amp;DaybyDay[[#This Row],[Date]])</f>
        <v>385554.23</v>
      </c>
      <c r="R1198" s="34">
        <f>SUMIFS(DaybyDay[Retail-Actuals],DaybyDay[Date],"&gt;="&amp;$C$5,DaybyDay[RowYear],"&gt;="&amp;$C$4,DaybyDay[Date],"&lt;="&amp;DaybyDay[[#This Row],[Date]])</f>
        <v>88360.030000000028</v>
      </c>
      <c r="S1198" s="35">
        <f>SUMIFS(DaybyDay[Service-LY],DaybyDay[Date],"&gt;="&amp;$C$5,DaybyDay[RowYear],"&gt;="&amp;$C$4,DaybyDay[Date],"&lt;="&amp;DaybyDay[[#This Row],[Date]])</f>
        <v>499958.97999999992</v>
      </c>
      <c r="T1198" s="35">
        <f>SUMIFS(DaybyDay[Retail-LY],DaybyDay[Date],"&gt;="&amp;$C$5,DaybyDay[RowYear],"&gt;="&amp;$C$4,DaybyDay[Date],"&lt;="&amp;DaybyDay[[#This Row],[Date]])</f>
        <v>107940.33999999998</v>
      </c>
      <c r="U1198" s="32">
        <f>DaybyDay[[#This Row],[Serv-Bud-RU]]+DaybyDay[[#This Row],[Ret-Bud-RU]]</f>
        <v>651469.5068557784</v>
      </c>
      <c r="V1198" s="32">
        <f>DaybyDay[[#This Row],[Serv-Act-RU]]+DaybyDay[[#This Row],[Ret-Act-RU]]</f>
        <v>473914.26</v>
      </c>
      <c r="W1198" s="36" t="str">
        <f>IF(DaybyDay[[#This Row],[_Space]],IFERROR(
((DaybyDay[[#This Row],[Actual-Rollup]]-DaybyDay[[#This Row],[Budget-Rollup]])/DaybyDay[[#This Row],[Budget-Rollup]]),0),"")</f>
        <v/>
      </c>
      <c r="X1198" t="b">
        <f>NOT(AND(ISBLANK(DaybyDay[[#This Row],[Appts]]),ISBLANK(DaybyDay[[#This Row],[Service-Actuals]]),ISBLANK(DaybyDay[[#This Row],[Retail-Actuals]])))</f>
        <v>0</v>
      </c>
      <c r="Y1198" s="36" t="str">
        <f>IF(DaybyDay[[#This Row],[_Space]],IFERROR(
((DaybyDay[[#This Row],[Actual-Rollup]]-DaybyDay[[#This Row],[LY-Rollup]])/DaybyDay[[#This Row],[LY-Rollup]]),0),"")</f>
        <v/>
      </c>
      <c r="Z1198"/>
      <c r="AA1198" s="37" t="str">
        <f>IF(DaybyDay[[#This Row],[_Space]],DaybyDay[[#This Row],[Ret-Act-RU]]/DaybyDay[[#This Row],[Serv-Act-RU]],"")</f>
        <v/>
      </c>
      <c r="AB1198" s="50" t="str">
        <f>IF(DaybyDay[[#This Row],[_Space]],DaybyDay[[#This Row],[RETPEN-Act]]/DaybyDay[[#This Row],[RETPEN-Bud]],"")</f>
        <v/>
      </c>
      <c r="AC1198" s="37" t="str">
        <f>IF(DaybyDay[[#This Row],[_Space]],DaybyDay[[#This Row],[Ret-Bud-RU]]/DaybyDay[[#This Row],[Serv-Bud-RU]],"")</f>
        <v/>
      </c>
      <c r="AD1198" s="37" t="str">
        <f>IF(DaybyDay[[#This Row],[_Space]],DaybyDay[[#This Row],[Ret-LY-RU]]/DaybyDay[[#This Row],[Serv-LY-RU]],"")</f>
        <v/>
      </c>
      <c r="AE1198" s="30">
        <f>WEEKDAY(DaybyDay[[#This Row],[LY-Date]])</f>
        <v>2</v>
      </c>
      <c r="AF1198" s="38">
        <f>$E$2+_xlfn.DAYS(DaybyDay[[#This Row],[Date]],minDate)</f>
        <v>43563</v>
      </c>
      <c r="AG1198" s="39" cm="1">
        <f t="array" ref="AG1198">IFERROR(INDEX(DaybyDay[],DaybyDay[[#This Row],[FORM_MATCH_HELPER]],8),"")</f>
        <v>22</v>
      </c>
      <c r="AH1198" s="39" cm="1">
        <f t="array" ref="AH1198">IFERROR(INDEX(DaybyDay[],DaybyDay[[#This Row],[FORM_MATCH_HELPER]],10),"")</f>
        <v>4482.6000000000004</v>
      </c>
      <c r="AI1198" s="39" cm="1">
        <f t="array" ref="AI1198">IFERROR(INDEX(DaybyDay[],DaybyDay[[#This Row],[FORM_MATCH_HELPER]],12),"")</f>
        <v>248</v>
      </c>
      <c r="AJ1198" s="32">
        <f>IFERROR(DaybyDay[[#This Row],[Serv-LY-RU]]+DaybyDay[[#This Row],[Ret-LY-RU]],"")</f>
        <v>607899.31999999995</v>
      </c>
      <c r="AK11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616505.10612826853</v>
      </c>
      <c r="AL1198" s="77"/>
      <c r="AM1198" s="40" t="str">
        <f>IF(DaybyDay[[#This Row],[Admin Hours]]&gt;0,DaybyDay[[#This Row],[Admin Hours]]*$AM$2+$AM$3,"")</f>
        <v/>
      </c>
      <c r="AN1198" s="40">
        <f>SUMIFS(DaybyDay[Est-Admin-Payroll],DaybyDay[Date],"&gt;="&amp;$C$5,DaybyDay[RowYear],"&gt;="&amp;$C$4,DaybyDay[Date],"&lt;="&amp;DaybyDay[[#This Row],[Date]])</f>
        <v>13941.779999999997</v>
      </c>
      <c r="AO1198" s="41" t="str">
        <f>IF(AND(DaybyDay[[#This Row],[_Space]],ISNUMBER(DaybyDay[[#This Row],[Admin Hours]])),DaybyDay[[#This Row],[Est-Admin-Payroll]]/(DaybyDay[[#This Row],[Service-Actuals]]+DaybyDay[[#This Row],[Retail-Actuals]]),"")</f>
        <v/>
      </c>
      <c r="AP1198" s="41">
        <f>DaybyDay[[#This Row],[Estimated-Payroll-Rollup]]/DaybyDay[[#This Row],[Simple-Forecast]]</f>
        <v>2.2614216591904924E-2</v>
      </c>
      <c r="AQ11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111941.17839487641</v>
      </c>
      <c r="AR1198" s="77"/>
      <c r="AS1198" s="40" t="str">
        <f>IF(DaybyDay[[#This Row],[Retail Hours]]&gt;0,DaybyDay[[#This Row],[Retail Hours]]*$AS$2,"")</f>
        <v/>
      </c>
      <c r="AT1198" s="40">
        <f>SUMIFS(DaybyDay[Est-Retail-Payroll],DaybyDay[Date],"&gt;="&amp;$C$5,DaybyDay[RowYear],"&gt;="&amp;$C$4,DaybyDay[Date],"&lt;="&amp;DaybyDay[[#This Row],[Date]])</f>
        <v>2627.1</v>
      </c>
      <c r="AU1198" s="82" t="str">
        <f>IF(AND(DaybyDay[[#This Row],[_Space]],ISNUMBER(DaybyDay[[#This Row],[Retail Hours]])),DaybyDay[[#This Row],[Est-Retail-Payroll]]/(DaybyDay[[#This Row],[Retail-Actuals]]),"")</f>
        <v/>
      </c>
      <c r="AV1198" s="82">
        <f>DaybyDay[[#This Row],[Est-Retail-PayrollRU]]/DaybyDay[[#This Row],[Simple-Forecast-Retail]]</f>
        <v>2.3468575529308911E-2</v>
      </c>
      <c r="AW1198" s="8"/>
      <c r="AX1198" s="15"/>
      <c r="AY1198" s="8"/>
    </row>
    <row r="1199" spans="3:51" hidden="1" x14ac:dyDescent="0.25">
      <c r="C1199" s="26" t="str">
        <f>Tools!$C$1</f>
        <v>Example</v>
      </c>
      <c r="D1199" s="27" t="s">
        <v>71</v>
      </c>
      <c r="E1199" s="28">
        <v>2020</v>
      </c>
      <c r="F1199" s="28">
        <f>MATCH(DaybyDay[[#This Row],[RowMonth]],Table3[SummaryMonth],0)</f>
        <v>4</v>
      </c>
      <c r="G1199" s="29">
        <f>MATCH(DaybyDay[[#This Row],[LY-Date]],DaybyDay[Date],0)</f>
        <v>829</v>
      </c>
      <c r="H1199" s="30">
        <f>WEEKDAY(DaybyDay[[#This Row],[Date]])</f>
        <v>3</v>
      </c>
      <c r="I1199" s="31">
        <v>43928</v>
      </c>
      <c r="J1199" s="74"/>
      <c r="K1199" s="32">
        <f>SUMIFS(BudgetSeasonality[365 Seasonality],BudgetSeasonality[MonthAdjustment],DaybyDay[[#This Row],[Date]])*SUMIFS(Budgets[Service-Budget],Budgets[BudgetMonth],DaybyDay[[#This Row],[RowMonth]],Budgets[BudgetYear],DaybyDay[[#This Row],[RowYear]])</f>
        <v>4735.1595960980321</v>
      </c>
      <c r="L1199" s="75"/>
      <c r="M1199" s="32">
        <f>INDEX(BudgetSeasonality[365 Seasonality],MATCH(DaybyDay[[#This Row],[Date]],BudgetSeasonality[MonthAdjustment],0))*SUMIFS(Budgets[Retail-Budget],Budgets[BudgetMonth],DaybyDay[[#This Row],[RowMonth]],Budgets[BudgetYear],DaybyDay[[#This Row],[RowYear]])</f>
        <v>1245.7872598321208</v>
      </c>
      <c r="N1199" s="75"/>
      <c r="O1199" s="33">
        <f>SUMIFS(DaybyDay[Service-Budgets],DaybyDay[Date],"&gt;="&amp;$C$5,DaybyDay[RowYear],"&gt;="&amp;$C$4,DaybyDay[Date],"&lt;="&amp;DaybyDay[[#This Row],[Date]])</f>
        <v>528915.42612977419</v>
      </c>
      <c r="P1199" s="33">
        <f>SUMIFS(DaybyDay[Retail-Budgets],DaybyDay[Date],"&gt;="&amp;$C$5,DaybyDay[RowYear],"&gt;="&amp;$C$4,DaybyDay[Date],"&lt;="&amp;DaybyDay[[#This Row],[Date]])</f>
        <v>128535.02758193437</v>
      </c>
      <c r="Q1199" s="34">
        <f>SUMIFS(DaybyDay[Service-Actuals],DaybyDay[Date],"&gt;="&amp;$C$5,DaybyDay[RowYear],"&gt;="&amp;$C$4,DaybyDay[Date],"&lt;="&amp;DaybyDay[[#This Row],[Date]])</f>
        <v>385554.23</v>
      </c>
      <c r="R1199" s="34">
        <f>SUMIFS(DaybyDay[Retail-Actuals],DaybyDay[Date],"&gt;="&amp;$C$5,DaybyDay[RowYear],"&gt;="&amp;$C$4,DaybyDay[Date],"&lt;="&amp;DaybyDay[[#This Row],[Date]])</f>
        <v>88360.030000000028</v>
      </c>
      <c r="S1199" s="35">
        <f>SUMIFS(DaybyDay[Service-LY],DaybyDay[Date],"&gt;="&amp;$C$5,DaybyDay[RowYear],"&gt;="&amp;$C$4,DaybyDay[Date],"&lt;="&amp;DaybyDay[[#This Row],[Date]])</f>
        <v>501769.49999999994</v>
      </c>
      <c r="T1199" s="35">
        <f>SUMIFS(DaybyDay[Retail-LY],DaybyDay[Date],"&gt;="&amp;$C$5,DaybyDay[RowYear],"&gt;="&amp;$C$4,DaybyDay[Date],"&lt;="&amp;DaybyDay[[#This Row],[Date]])</f>
        <v>108098.33999999998</v>
      </c>
      <c r="U1199" s="32">
        <f>DaybyDay[[#This Row],[Serv-Bud-RU]]+DaybyDay[[#This Row],[Ret-Bud-RU]]</f>
        <v>657450.45371170854</v>
      </c>
      <c r="V1199" s="32">
        <f>DaybyDay[[#This Row],[Serv-Act-RU]]+DaybyDay[[#This Row],[Ret-Act-RU]]</f>
        <v>473914.26</v>
      </c>
      <c r="W1199" s="36" t="str">
        <f>IF(DaybyDay[[#This Row],[_Space]],IFERROR(
((DaybyDay[[#This Row],[Actual-Rollup]]-DaybyDay[[#This Row],[Budget-Rollup]])/DaybyDay[[#This Row],[Budget-Rollup]]),0),"")</f>
        <v/>
      </c>
      <c r="X1199" t="b">
        <f>NOT(AND(ISBLANK(DaybyDay[[#This Row],[Appts]]),ISBLANK(DaybyDay[[#This Row],[Service-Actuals]]),ISBLANK(DaybyDay[[#This Row],[Retail-Actuals]])))</f>
        <v>0</v>
      </c>
      <c r="Y1199" s="36" t="str">
        <f>IF(DaybyDay[[#This Row],[_Space]],IFERROR(
((DaybyDay[[#This Row],[Actual-Rollup]]-DaybyDay[[#This Row],[LY-Rollup]])/DaybyDay[[#This Row],[LY-Rollup]]),0),"")</f>
        <v/>
      </c>
      <c r="Z1199"/>
      <c r="AA1199" s="37" t="str">
        <f>IF(DaybyDay[[#This Row],[_Space]],DaybyDay[[#This Row],[Ret-Act-RU]]/DaybyDay[[#This Row],[Serv-Act-RU]],"")</f>
        <v/>
      </c>
      <c r="AB1199" s="50" t="str">
        <f>IF(DaybyDay[[#This Row],[_Space]],DaybyDay[[#This Row],[RETPEN-Act]]/DaybyDay[[#This Row],[RETPEN-Bud]],"")</f>
        <v/>
      </c>
      <c r="AC1199" s="37" t="str">
        <f>IF(DaybyDay[[#This Row],[_Space]],DaybyDay[[#This Row],[Ret-Bud-RU]]/DaybyDay[[#This Row],[Serv-Bud-RU]],"")</f>
        <v/>
      </c>
      <c r="AD1199" s="37" t="str">
        <f>IF(DaybyDay[[#This Row],[_Space]],DaybyDay[[#This Row],[Ret-LY-RU]]/DaybyDay[[#This Row],[Serv-LY-RU]],"")</f>
        <v/>
      </c>
      <c r="AE1199" s="30">
        <f>WEEKDAY(DaybyDay[[#This Row],[LY-Date]])</f>
        <v>3</v>
      </c>
      <c r="AF1199" s="38">
        <f>$E$2+_xlfn.DAYS(DaybyDay[[#This Row],[Date]],minDate)</f>
        <v>43564</v>
      </c>
      <c r="AG1199" s="39" cm="1">
        <f t="array" ref="AG1199">IFERROR(INDEX(DaybyDay[],DaybyDay[[#This Row],[FORM_MATCH_HELPER]],8),"")</f>
        <v>11</v>
      </c>
      <c r="AH1199" s="39" cm="1">
        <f t="array" ref="AH1199">IFERROR(INDEX(DaybyDay[],DaybyDay[[#This Row],[FORM_MATCH_HELPER]],10),"")</f>
        <v>1810.52</v>
      </c>
      <c r="AI1199" s="39" cm="1">
        <f t="array" ref="AI1199">IFERROR(INDEX(DaybyDay[],DaybyDay[[#This Row],[FORM_MATCH_HELPER]],12),"")</f>
        <v>158</v>
      </c>
      <c r="AJ1199" s="32">
        <f>IFERROR(DaybyDay[[#This Row],[Serv-LY-RU]]+DaybyDay[[#This Row],[Ret-LY-RU]],"")</f>
        <v>609867.84</v>
      </c>
      <c r="AK11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620019.6961144018</v>
      </c>
      <c r="AL1199" s="77"/>
      <c r="AM1199" s="40" t="str">
        <f>IF(DaybyDay[[#This Row],[Admin Hours]]&gt;0,DaybyDay[[#This Row],[Admin Hours]]*$AM$2+$AM$3,"")</f>
        <v/>
      </c>
      <c r="AN1199" s="40">
        <f>SUMIFS(DaybyDay[Est-Admin-Payroll],DaybyDay[Date],"&gt;="&amp;$C$5,DaybyDay[RowYear],"&gt;="&amp;$C$4,DaybyDay[Date],"&lt;="&amp;DaybyDay[[#This Row],[Date]])</f>
        <v>13941.779999999997</v>
      </c>
      <c r="AO1199" s="41" t="str">
        <f>IF(AND(DaybyDay[[#This Row],[_Space]],ISNUMBER(DaybyDay[[#This Row],[Admin Hours]])),DaybyDay[[#This Row],[Est-Admin-Payroll]]/(DaybyDay[[#This Row],[Service-Actuals]]+DaybyDay[[#This Row],[Retail-Actuals]]),"")</f>
        <v/>
      </c>
      <c r="AP1199" s="41">
        <f>DaybyDay[[#This Row],[Estimated-Payroll-Rollup]]/DaybyDay[[#This Row],[Simple-Forecast]]</f>
        <v>2.2486027601012783E-2</v>
      </c>
      <c r="AQ11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112548.98083380377</v>
      </c>
      <c r="AR1199" s="77"/>
      <c r="AS1199" s="40" t="str">
        <f>IF(DaybyDay[[#This Row],[Retail Hours]]&gt;0,DaybyDay[[#This Row],[Retail Hours]]*$AS$2,"")</f>
        <v/>
      </c>
      <c r="AT1199" s="40">
        <f>SUMIFS(DaybyDay[Est-Retail-Payroll],DaybyDay[Date],"&gt;="&amp;$C$5,DaybyDay[RowYear],"&gt;="&amp;$C$4,DaybyDay[Date],"&lt;="&amp;DaybyDay[[#This Row],[Date]])</f>
        <v>2627.1</v>
      </c>
      <c r="AU1199" s="82" t="str">
        <f>IF(AND(DaybyDay[[#This Row],[_Space]],ISNUMBER(DaybyDay[[#This Row],[Retail Hours]])),DaybyDay[[#This Row],[Est-Retail-Payroll]]/(DaybyDay[[#This Row],[Retail-Actuals]]),"")</f>
        <v/>
      </c>
      <c r="AV1199" s="82">
        <f>DaybyDay[[#This Row],[Est-Retail-PayrollRU]]/DaybyDay[[#This Row],[Simple-Forecast-Retail]]</f>
        <v>2.3341837309742725E-2</v>
      </c>
      <c r="AW1199" s="8"/>
      <c r="AX1199" s="15"/>
      <c r="AY1199" s="8"/>
    </row>
    <row r="1200" spans="3:51" hidden="1" x14ac:dyDescent="0.25">
      <c r="C1200" s="26" t="str">
        <f>Tools!$C$1</f>
        <v>Example</v>
      </c>
      <c r="D1200" s="27" t="s">
        <v>71</v>
      </c>
      <c r="E1200" s="28">
        <v>2020</v>
      </c>
      <c r="F1200" s="28">
        <f>MATCH(DaybyDay[[#This Row],[RowMonth]],Table3[SummaryMonth],0)</f>
        <v>4</v>
      </c>
      <c r="G1200" s="29">
        <f>MATCH(DaybyDay[[#This Row],[LY-Date]],DaybyDay[Date],0)</f>
        <v>830</v>
      </c>
      <c r="H1200" s="30">
        <f>WEEKDAY(DaybyDay[[#This Row],[Date]])</f>
        <v>4</v>
      </c>
      <c r="I1200" s="31">
        <v>43929</v>
      </c>
      <c r="J1200" s="74"/>
      <c r="K1200" s="32">
        <f>SUMIFS(BudgetSeasonality[365 Seasonality],BudgetSeasonality[MonthAdjustment],DaybyDay[[#This Row],[Date]])*SUMIFS(Budgets[Service-Budget],Budgets[BudgetMonth],DaybyDay[[#This Row],[RowMonth]],Budgets[BudgetYear],DaybyDay[[#This Row],[RowYear]])</f>
        <v>5190.4339601895499</v>
      </c>
      <c r="L1200" s="75"/>
      <c r="M1200" s="32">
        <f>INDEX(BudgetSeasonality[365 Seasonality],MATCH(DaybyDay[[#This Row],[Date]],BudgetSeasonality[MonthAdjustment],0))*SUMIFS(Budgets[Retail-Budget],Budgets[BudgetMonth],DaybyDay[[#This Row],[RowMonth]],Budgets[BudgetYear],DaybyDay[[#This Row],[RowYear]])</f>
        <v>1365.566750048408</v>
      </c>
      <c r="N1200" s="75"/>
      <c r="O1200" s="33">
        <f>SUMIFS(DaybyDay[Service-Budgets],DaybyDay[Date],"&gt;="&amp;$C$5,DaybyDay[RowYear],"&gt;="&amp;$C$4,DaybyDay[Date],"&lt;="&amp;DaybyDay[[#This Row],[Date]])</f>
        <v>534105.86008996377</v>
      </c>
      <c r="P1200" s="33">
        <f>SUMIFS(DaybyDay[Retail-Budgets],DaybyDay[Date],"&gt;="&amp;$C$5,DaybyDay[RowYear],"&gt;="&amp;$C$4,DaybyDay[Date],"&lt;="&amp;DaybyDay[[#This Row],[Date]])</f>
        <v>129900.59433198278</v>
      </c>
      <c r="Q1200" s="34">
        <f>SUMIFS(DaybyDay[Service-Actuals],DaybyDay[Date],"&gt;="&amp;$C$5,DaybyDay[RowYear],"&gt;="&amp;$C$4,DaybyDay[Date],"&lt;="&amp;DaybyDay[[#This Row],[Date]])</f>
        <v>385554.23</v>
      </c>
      <c r="R1200" s="34">
        <f>SUMIFS(DaybyDay[Retail-Actuals],DaybyDay[Date],"&gt;="&amp;$C$5,DaybyDay[RowYear],"&gt;="&amp;$C$4,DaybyDay[Date],"&lt;="&amp;DaybyDay[[#This Row],[Date]])</f>
        <v>88360.030000000028</v>
      </c>
      <c r="S1200" s="35">
        <f>SUMIFS(DaybyDay[Service-LY],DaybyDay[Date],"&gt;="&amp;$C$5,DaybyDay[RowYear],"&gt;="&amp;$C$4,DaybyDay[Date],"&lt;="&amp;DaybyDay[[#This Row],[Date]])</f>
        <v>505456.89999999997</v>
      </c>
      <c r="T1200" s="35">
        <f>SUMIFS(DaybyDay[Retail-LY],DaybyDay[Date],"&gt;="&amp;$C$5,DaybyDay[RowYear],"&gt;="&amp;$C$4,DaybyDay[Date],"&lt;="&amp;DaybyDay[[#This Row],[Date]])</f>
        <v>109393.33999999998</v>
      </c>
      <c r="U1200" s="32">
        <f>DaybyDay[[#This Row],[Serv-Bud-RU]]+DaybyDay[[#This Row],[Ret-Bud-RU]]</f>
        <v>664006.45442194655</v>
      </c>
      <c r="V1200" s="32">
        <f>DaybyDay[[#This Row],[Serv-Act-RU]]+DaybyDay[[#This Row],[Ret-Act-RU]]</f>
        <v>473914.26</v>
      </c>
      <c r="W1200" s="36" t="str">
        <f>IF(DaybyDay[[#This Row],[_Space]],IFERROR(
((DaybyDay[[#This Row],[Actual-Rollup]]-DaybyDay[[#This Row],[Budget-Rollup]])/DaybyDay[[#This Row],[Budget-Rollup]]),0),"")</f>
        <v/>
      </c>
      <c r="X1200" t="b">
        <f>NOT(AND(ISBLANK(DaybyDay[[#This Row],[Appts]]),ISBLANK(DaybyDay[[#This Row],[Service-Actuals]]),ISBLANK(DaybyDay[[#This Row],[Retail-Actuals]])))</f>
        <v>0</v>
      </c>
      <c r="Y1200" s="36" t="str">
        <f>IF(DaybyDay[[#This Row],[_Space]],IFERROR(
((DaybyDay[[#This Row],[Actual-Rollup]]-DaybyDay[[#This Row],[LY-Rollup]])/DaybyDay[[#This Row],[LY-Rollup]]),0),"")</f>
        <v/>
      </c>
      <c r="Z1200"/>
      <c r="AA1200" s="37" t="str">
        <f>IF(DaybyDay[[#This Row],[_Space]],DaybyDay[[#This Row],[Ret-Act-RU]]/DaybyDay[[#This Row],[Serv-Act-RU]],"")</f>
        <v/>
      </c>
      <c r="AB1200" s="50" t="str">
        <f>IF(DaybyDay[[#This Row],[_Space]],DaybyDay[[#This Row],[RETPEN-Act]]/DaybyDay[[#This Row],[RETPEN-Bud]],"")</f>
        <v/>
      </c>
      <c r="AC1200" s="37" t="str">
        <f>IF(DaybyDay[[#This Row],[_Space]],DaybyDay[[#This Row],[Ret-Bud-RU]]/DaybyDay[[#This Row],[Serv-Bud-RU]],"")</f>
        <v/>
      </c>
      <c r="AD1200" s="37" t="str">
        <f>IF(DaybyDay[[#This Row],[_Space]],DaybyDay[[#This Row],[Ret-LY-RU]]/DaybyDay[[#This Row],[Serv-LY-RU]],"")</f>
        <v/>
      </c>
      <c r="AE1200" s="30">
        <f>WEEKDAY(DaybyDay[[#This Row],[LY-Date]])</f>
        <v>4</v>
      </c>
      <c r="AF1200" s="38">
        <f>$E$2+_xlfn.DAYS(DaybyDay[[#This Row],[Date]],minDate)</f>
        <v>43565</v>
      </c>
      <c r="AG1200" s="39" cm="1">
        <f t="array" ref="AG1200">IFERROR(INDEX(DaybyDay[],DaybyDay[[#This Row],[FORM_MATCH_HELPER]],8),"")</f>
        <v>19</v>
      </c>
      <c r="AH1200" s="39" cm="1">
        <f t="array" ref="AH1200">IFERROR(INDEX(DaybyDay[],DaybyDay[[#This Row],[FORM_MATCH_HELPER]],10),"")</f>
        <v>3687.3999999999996</v>
      </c>
      <c r="AI1200" s="39" cm="1">
        <f t="array" ref="AI1200">IFERROR(INDEX(DaybyDay[],DaybyDay[[#This Row],[FORM_MATCH_HELPER]],12),"")</f>
        <v>1295</v>
      </c>
      <c r="AJ1200" s="32">
        <f>IFERROR(DaybyDay[[#This Row],[Serv-LY-RU]]+DaybyDay[[#This Row],[Ret-LY-RU]],"")</f>
        <v>614850.24</v>
      </c>
      <c r="AK12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625264.86112598551</v>
      </c>
      <c r="AL1200" s="77"/>
      <c r="AM1200" s="40" t="str">
        <f>IF(DaybyDay[[#This Row],[Admin Hours]]&gt;0,DaybyDay[[#This Row],[Admin Hours]]*$AM$2+$AM$3,"")</f>
        <v/>
      </c>
      <c r="AN1200" s="40">
        <f>SUMIFS(DaybyDay[Est-Admin-Payroll],DaybyDay[Date],"&gt;="&amp;$C$5,DaybyDay[RowYear],"&gt;="&amp;$C$4,DaybyDay[Date],"&lt;="&amp;DaybyDay[[#This Row],[Date]])</f>
        <v>13941.779999999997</v>
      </c>
      <c r="AO1200" s="41" t="str">
        <f>IF(AND(DaybyDay[[#This Row],[_Space]],ISNUMBER(DaybyDay[[#This Row],[Admin Hours]])),DaybyDay[[#This Row],[Est-Admin-Payroll]]/(DaybyDay[[#This Row],[Service-Actuals]]+DaybyDay[[#This Row],[Retail-Actuals]]),"")</f>
        <v/>
      </c>
      <c r="AP1200" s="41">
        <f>DaybyDay[[#This Row],[Estimated-Payroll-Rollup]]/DaybyDay[[#This Row],[Simple-Forecast]]</f>
        <v>2.2297398857331355E-2</v>
      </c>
      <c r="AQ12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113768.32219661621</v>
      </c>
      <c r="AR1200" s="77"/>
      <c r="AS1200" s="40" t="str">
        <f>IF(DaybyDay[[#This Row],[Retail Hours]]&gt;0,DaybyDay[[#This Row],[Retail Hours]]*$AS$2,"")</f>
        <v/>
      </c>
      <c r="AT1200" s="40">
        <f>SUMIFS(DaybyDay[Est-Retail-Payroll],DaybyDay[Date],"&gt;="&amp;$C$5,DaybyDay[RowYear],"&gt;="&amp;$C$4,DaybyDay[Date],"&lt;="&amp;DaybyDay[[#This Row],[Date]])</f>
        <v>2627.1</v>
      </c>
      <c r="AU1200" s="82" t="str">
        <f>IF(AND(DaybyDay[[#This Row],[_Space]],ISNUMBER(DaybyDay[[#This Row],[Retail Hours]])),DaybyDay[[#This Row],[Est-Retail-Payroll]]/(DaybyDay[[#This Row],[Retail-Actuals]]),"")</f>
        <v/>
      </c>
      <c r="AV1200" s="82">
        <f>DaybyDay[[#This Row],[Est-Retail-PayrollRU]]/DaybyDay[[#This Row],[Simple-Forecast-Retail]]</f>
        <v>2.3091665142602739E-2</v>
      </c>
      <c r="AW1200" s="8"/>
      <c r="AX1200" s="15"/>
      <c r="AY1200" s="8"/>
    </row>
    <row r="1201" spans="3:51" hidden="1" x14ac:dyDescent="0.25">
      <c r="C1201" s="26" t="str">
        <f>Tools!$C$1</f>
        <v>Example</v>
      </c>
      <c r="D1201" s="27" t="s">
        <v>71</v>
      </c>
      <c r="E1201" s="28">
        <v>2020</v>
      </c>
      <c r="F1201" s="28">
        <f>MATCH(DaybyDay[[#This Row],[RowMonth]],Table3[SummaryMonth],0)</f>
        <v>4</v>
      </c>
      <c r="G1201" s="29">
        <f>MATCH(DaybyDay[[#This Row],[LY-Date]],DaybyDay[Date],0)</f>
        <v>831</v>
      </c>
      <c r="H1201" s="30">
        <f>WEEKDAY(DaybyDay[[#This Row],[Date]])</f>
        <v>5</v>
      </c>
      <c r="I1201" s="31">
        <v>43930</v>
      </c>
      <c r="J1201" s="74"/>
      <c r="K1201" s="32">
        <f>SUMIFS(BudgetSeasonality[365 Seasonality],BudgetSeasonality[MonthAdjustment],DaybyDay[[#This Row],[Date]])*SUMIFS(Budgets[Service-Budget],Budgets[BudgetMonth],DaybyDay[[#This Row],[RowMonth]],Budgets[BudgetYear],DaybyDay[[#This Row],[RowYear]])</f>
        <v>5154.4289695640809</v>
      </c>
      <c r="L1201" s="75"/>
      <c r="M1201" s="32">
        <f>INDEX(BudgetSeasonality[365 Seasonality],MATCH(DaybyDay[[#This Row],[Date]],BudgetSeasonality[MonthAdjustment],0))*SUMIFS(Budgets[Retail-Budget],Budgets[BudgetMonth],DaybyDay[[#This Row],[RowMonth]],Budgets[BudgetYear],DaybyDay[[#This Row],[RowYear]])</f>
        <v>1356.0940896868551</v>
      </c>
      <c r="N1201" s="75"/>
      <c r="O1201" s="33">
        <f>SUMIFS(DaybyDay[Service-Budgets],DaybyDay[Date],"&gt;="&amp;$C$5,DaybyDay[RowYear],"&gt;="&amp;$C$4,DaybyDay[Date],"&lt;="&amp;DaybyDay[[#This Row],[Date]])</f>
        <v>539260.2890595278</v>
      </c>
      <c r="P1201" s="33">
        <f>SUMIFS(DaybyDay[Retail-Budgets],DaybyDay[Date],"&gt;="&amp;$C$5,DaybyDay[RowYear],"&gt;="&amp;$C$4,DaybyDay[Date],"&lt;="&amp;DaybyDay[[#This Row],[Date]])</f>
        <v>131256.68842166962</v>
      </c>
      <c r="Q1201" s="34">
        <f>SUMIFS(DaybyDay[Service-Actuals],DaybyDay[Date],"&gt;="&amp;$C$5,DaybyDay[RowYear],"&gt;="&amp;$C$4,DaybyDay[Date],"&lt;="&amp;DaybyDay[[#This Row],[Date]])</f>
        <v>385554.23</v>
      </c>
      <c r="R1201" s="34">
        <f>SUMIFS(DaybyDay[Retail-Actuals],DaybyDay[Date],"&gt;="&amp;$C$5,DaybyDay[RowYear],"&gt;="&amp;$C$4,DaybyDay[Date],"&lt;="&amp;DaybyDay[[#This Row],[Date]])</f>
        <v>88360.030000000028</v>
      </c>
      <c r="S1201" s="35">
        <f>SUMIFS(DaybyDay[Service-LY],DaybyDay[Date],"&gt;="&amp;$C$5,DaybyDay[RowYear],"&gt;="&amp;$C$4,DaybyDay[Date],"&lt;="&amp;DaybyDay[[#This Row],[Date]])</f>
        <v>509212.1</v>
      </c>
      <c r="T1201" s="35">
        <f>SUMIFS(DaybyDay[Retail-LY],DaybyDay[Date],"&gt;="&amp;$C$5,DaybyDay[RowYear],"&gt;="&amp;$C$4,DaybyDay[Date],"&lt;="&amp;DaybyDay[[#This Row],[Date]])</f>
        <v>109479.43999999999</v>
      </c>
      <c r="U1201" s="32">
        <f>DaybyDay[[#This Row],[Serv-Bud-RU]]+DaybyDay[[#This Row],[Ret-Bud-RU]]</f>
        <v>670516.97748119745</v>
      </c>
      <c r="V1201" s="32">
        <f>DaybyDay[[#This Row],[Serv-Act-RU]]+DaybyDay[[#This Row],[Ret-Act-RU]]</f>
        <v>473914.26</v>
      </c>
      <c r="W1201" s="36" t="str">
        <f>IF(DaybyDay[[#This Row],[_Space]],IFERROR(
((DaybyDay[[#This Row],[Actual-Rollup]]-DaybyDay[[#This Row],[Budget-Rollup]])/DaybyDay[[#This Row],[Budget-Rollup]]),0),"")</f>
        <v/>
      </c>
      <c r="X1201" t="b">
        <f>NOT(AND(ISBLANK(DaybyDay[[#This Row],[Appts]]),ISBLANK(DaybyDay[[#This Row],[Service-Actuals]]),ISBLANK(DaybyDay[[#This Row],[Retail-Actuals]])))</f>
        <v>0</v>
      </c>
      <c r="Y1201" s="36" t="str">
        <f>IF(DaybyDay[[#This Row],[_Space]],IFERROR(
((DaybyDay[[#This Row],[Actual-Rollup]]-DaybyDay[[#This Row],[LY-Rollup]])/DaybyDay[[#This Row],[LY-Rollup]]),0),"")</f>
        <v/>
      </c>
      <c r="Z1201"/>
      <c r="AA1201" s="37" t="str">
        <f>IF(DaybyDay[[#This Row],[_Space]],DaybyDay[[#This Row],[Ret-Act-RU]]/DaybyDay[[#This Row],[Serv-Act-RU]],"")</f>
        <v/>
      </c>
      <c r="AB1201" s="50" t="str">
        <f>IF(DaybyDay[[#This Row],[_Space]],DaybyDay[[#This Row],[RETPEN-Act]]/DaybyDay[[#This Row],[RETPEN-Bud]],"")</f>
        <v/>
      </c>
      <c r="AC1201" s="37" t="str">
        <f>IF(DaybyDay[[#This Row],[_Space]],DaybyDay[[#This Row],[Ret-Bud-RU]]/DaybyDay[[#This Row],[Serv-Bud-RU]],"")</f>
        <v/>
      </c>
      <c r="AD1201" s="37" t="str">
        <f>IF(DaybyDay[[#This Row],[_Space]],DaybyDay[[#This Row],[Ret-LY-RU]]/DaybyDay[[#This Row],[Serv-LY-RU]],"")</f>
        <v/>
      </c>
      <c r="AE1201" s="30">
        <f>WEEKDAY(DaybyDay[[#This Row],[LY-Date]])</f>
        <v>5</v>
      </c>
      <c r="AF1201" s="38">
        <f>$E$2+_xlfn.DAYS(DaybyDay[[#This Row],[Date]],minDate)</f>
        <v>43566</v>
      </c>
      <c r="AG1201" s="39" cm="1">
        <f t="array" ref="AG1201">IFERROR(INDEX(DaybyDay[],DaybyDay[[#This Row],[FORM_MATCH_HELPER]],8),"")</f>
        <v>20</v>
      </c>
      <c r="AH1201" s="39" cm="1">
        <f t="array" ref="AH1201">IFERROR(INDEX(DaybyDay[],DaybyDay[[#This Row],[FORM_MATCH_HELPER]],10),"")</f>
        <v>3755.2000000000003</v>
      </c>
      <c r="AI1201" s="39" cm="1">
        <f t="array" ref="AI1201">IFERROR(INDEX(DaybyDay[],DaybyDay[[#This Row],[FORM_MATCH_HELPER]],12),"")</f>
        <v>86.1</v>
      </c>
      <c r="AJ1201" s="32">
        <f>IFERROR(DaybyDay[[#This Row],[Serv-LY-RU]]+DaybyDay[[#This Row],[Ret-LY-RU]],"")</f>
        <v>618691.53999999992</v>
      </c>
      <c r="AK12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629928.07038160809</v>
      </c>
      <c r="AL1201" s="77"/>
      <c r="AM1201" s="40" t="str">
        <f>IF(DaybyDay[[#This Row],[Admin Hours]]&gt;0,DaybyDay[[#This Row],[Admin Hours]]*$AM$2+$AM$3,"")</f>
        <v/>
      </c>
      <c r="AN1201" s="40">
        <f>SUMIFS(DaybyDay[Est-Admin-Payroll],DaybyDay[Date],"&gt;="&amp;$C$5,DaybyDay[RowYear],"&gt;="&amp;$C$4,DaybyDay[Date],"&lt;="&amp;DaybyDay[[#This Row],[Date]])</f>
        <v>13941.779999999997</v>
      </c>
      <c r="AO1201" s="41" t="str">
        <f>IF(AND(DaybyDay[[#This Row],[_Space]],ISNUMBER(DaybyDay[[#This Row],[Admin Hours]])),DaybyDay[[#This Row],[Est-Admin-Payroll]]/(DaybyDay[[#This Row],[Service-Actuals]]+DaybyDay[[#This Row],[Retail-Actuals]]),"")</f>
        <v/>
      </c>
      <c r="AP1201" s="41">
        <f>DaybyDay[[#This Row],[Estimated-Payroll-Rollup]]/DaybyDay[[#This Row],[Simple-Forecast]]</f>
        <v>2.2132336461136139E-2</v>
      </c>
      <c r="AQ12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114387.59436931385</v>
      </c>
      <c r="AR1201" s="77"/>
      <c r="AS1201" s="40" t="str">
        <f>IF(DaybyDay[[#This Row],[Retail Hours]]&gt;0,DaybyDay[[#This Row],[Retail Hours]]*$AS$2,"")</f>
        <v/>
      </c>
      <c r="AT1201" s="40">
        <f>SUMIFS(DaybyDay[Est-Retail-Payroll],DaybyDay[Date],"&gt;="&amp;$C$5,DaybyDay[RowYear],"&gt;="&amp;$C$4,DaybyDay[Date],"&lt;="&amp;DaybyDay[[#This Row],[Date]])</f>
        <v>2627.1</v>
      </c>
      <c r="AU1201" s="82" t="str">
        <f>IF(AND(DaybyDay[[#This Row],[_Space]],ISNUMBER(DaybyDay[[#This Row],[Retail Hours]])),DaybyDay[[#This Row],[Est-Retail-Payroll]]/(DaybyDay[[#This Row],[Retail-Actuals]]),"")</f>
        <v/>
      </c>
      <c r="AV1201" s="82">
        <f>DaybyDay[[#This Row],[Est-Retail-PayrollRU]]/DaybyDay[[#This Row],[Simple-Forecast-Retail]]</f>
        <v>2.2966651361843466E-2</v>
      </c>
      <c r="AW1201" s="8"/>
      <c r="AX1201" s="15"/>
      <c r="AY1201" s="8"/>
    </row>
    <row r="1202" spans="3:51" hidden="1" x14ac:dyDescent="0.25">
      <c r="C1202" s="26" t="str">
        <f>Tools!$C$1</f>
        <v>Example</v>
      </c>
      <c r="D1202" s="27" t="s">
        <v>71</v>
      </c>
      <c r="E1202" s="28">
        <v>2020</v>
      </c>
      <c r="F1202" s="28">
        <f>MATCH(DaybyDay[[#This Row],[RowMonth]],Table3[SummaryMonth],0)</f>
        <v>4</v>
      </c>
      <c r="G1202" s="29">
        <f>MATCH(DaybyDay[[#This Row],[LY-Date]],DaybyDay[Date],0)</f>
        <v>832</v>
      </c>
      <c r="H1202" s="30">
        <f>WEEKDAY(DaybyDay[[#This Row],[Date]])</f>
        <v>6</v>
      </c>
      <c r="I1202" s="31">
        <v>43931</v>
      </c>
      <c r="J1202" s="74"/>
      <c r="K1202" s="32">
        <f>SUMIFS(BudgetSeasonality[365 Seasonality],BudgetSeasonality[MonthAdjustment],DaybyDay[[#This Row],[Date]])*SUMIFS(Budgets[Service-Budget],Budgets[BudgetMonth],DaybyDay[[#This Row],[RowMonth]],Budgets[BudgetYear],DaybyDay[[#This Row],[RowYear]])</f>
        <v>6125.5084500165149</v>
      </c>
      <c r="L1202" s="75"/>
      <c r="M1202" s="32">
        <f>INDEX(BudgetSeasonality[365 Seasonality],MATCH(DaybyDay[[#This Row],[Date]],BudgetSeasonality[MonthAdjustment],0))*SUMIFS(Budgets[Retail-Budget],Budgets[BudgetMonth],DaybyDay[[#This Row],[RowMonth]],Budgets[BudgetYear],DaybyDay[[#This Row],[RowYear]])</f>
        <v>1611.5782862552092</v>
      </c>
      <c r="N1202" s="75"/>
      <c r="O1202" s="33">
        <f>SUMIFS(DaybyDay[Service-Budgets],DaybyDay[Date],"&gt;="&amp;$C$5,DaybyDay[RowYear],"&gt;="&amp;$C$4,DaybyDay[Date],"&lt;="&amp;DaybyDay[[#This Row],[Date]])</f>
        <v>545385.7975095443</v>
      </c>
      <c r="P1202" s="33">
        <f>SUMIFS(DaybyDay[Retail-Budgets],DaybyDay[Date],"&gt;="&amp;$C$5,DaybyDay[RowYear],"&gt;="&amp;$C$4,DaybyDay[Date],"&lt;="&amp;DaybyDay[[#This Row],[Date]])</f>
        <v>132868.26670792483</v>
      </c>
      <c r="Q1202" s="34">
        <f>SUMIFS(DaybyDay[Service-Actuals],DaybyDay[Date],"&gt;="&amp;$C$5,DaybyDay[RowYear],"&gt;="&amp;$C$4,DaybyDay[Date],"&lt;="&amp;DaybyDay[[#This Row],[Date]])</f>
        <v>385554.23</v>
      </c>
      <c r="R1202" s="34">
        <f>SUMIFS(DaybyDay[Retail-Actuals],DaybyDay[Date],"&gt;="&amp;$C$5,DaybyDay[RowYear],"&gt;="&amp;$C$4,DaybyDay[Date],"&lt;="&amp;DaybyDay[[#This Row],[Date]])</f>
        <v>88360.030000000028</v>
      </c>
      <c r="S1202" s="35">
        <f>SUMIFS(DaybyDay[Service-LY],DaybyDay[Date],"&gt;="&amp;$C$5,DaybyDay[RowYear],"&gt;="&amp;$C$4,DaybyDay[Date],"&lt;="&amp;DaybyDay[[#This Row],[Date]])</f>
        <v>512302.3</v>
      </c>
      <c r="T1202" s="35">
        <f>SUMIFS(DaybyDay[Retail-LY],DaybyDay[Date],"&gt;="&amp;$C$5,DaybyDay[RowYear],"&gt;="&amp;$C$4,DaybyDay[Date],"&lt;="&amp;DaybyDay[[#This Row],[Date]])</f>
        <v>109584.43999999999</v>
      </c>
      <c r="U1202" s="32">
        <f>DaybyDay[[#This Row],[Serv-Bud-RU]]+DaybyDay[[#This Row],[Ret-Bud-RU]]</f>
        <v>678254.06421746919</v>
      </c>
      <c r="V1202" s="32">
        <f>DaybyDay[[#This Row],[Serv-Act-RU]]+DaybyDay[[#This Row],[Ret-Act-RU]]</f>
        <v>473914.26</v>
      </c>
      <c r="W1202" s="36" t="str">
        <f>IF(DaybyDay[[#This Row],[_Space]],IFERROR(
((DaybyDay[[#This Row],[Actual-Rollup]]-DaybyDay[[#This Row],[Budget-Rollup]])/DaybyDay[[#This Row],[Budget-Rollup]]),0),"")</f>
        <v/>
      </c>
      <c r="X1202" t="b">
        <f>NOT(AND(ISBLANK(DaybyDay[[#This Row],[Appts]]),ISBLANK(DaybyDay[[#This Row],[Service-Actuals]]),ISBLANK(DaybyDay[[#This Row],[Retail-Actuals]])))</f>
        <v>0</v>
      </c>
      <c r="Y1202" s="36" t="str">
        <f>IF(DaybyDay[[#This Row],[_Space]],IFERROR(
((DaybyDay[[#This Row],[Actual-Rollup]]-DaybyDay[[#This Row],[LY-Rollup]])/DaybyDay[[#This Row],[LY-Rollup]]),0),"")</f>
        <v/>
      </c>
      <c r="Z1202"/>
      <c r="AA1202" s="37" t="str">
        <f>IF(DaybyDay[[#This Row],[_Space]],DaybyDay[[#This Row],[Ret-Act-RU]]/DaybyDay[[#This Row],[Serv-Act-RU]],"")</f>
        <v/>
      </c>
      <c r="AB1202" s="50" t="str">
        <f>IF(DaybyDay[[#This Row],[_Space]],DaybyDay[[#This Row],[RETPEN-Act]]/DaybyDay[[#This Row],[RETPEN-Bud]],"")</f>
        <v/>
      </c>
      <c r="AC1202" s="37" t="str">
        <f>IF(DaybyDay[[#This Row],[_Space]],DaybyDay[[#This Row],[Ret-Bud-RU]]/DaybyDay[[#This Row],[Serv-Bud-RU]],"")</f>
        <v/>
      </c>
      <c r="AD1202" s="37" t="str">
        <f>IF(DaybyDay[[#This Row],[_Space]],DaybyDay[[#This Row],[Ret-LY-RU]]/DaybyDay[[#This Row],[Serv-LY-RU]],"")</f>
        <v/>
      </c>
      <c r="AE1202" s="30">
        <f>WEEKDAY(DaybyDay[[#This Row],[LY-Date]])</f>
        <v>6</v>
      </c>
      <c r="AF1202" s="38">
        <f>$E$2+_xlfn.DAYS(DaybyDay[[#This Row],[Date]],minDate)</f>
        <v>43567</v>
      </c>
      <c r="AG1202" s="39" cm="1">
        <f t="array" ref="AG1202">IFERROR(INDEX(DaybyDay[],DaybyDay[[#This Row],[FORM_MATCH_HELPER]],8),"")</f>
        <v>18</v>
      </c>
      <c r="AH1202" s="39" cm="1">
        <f t="array" ref="AH1202">IFERROR(INDEX(DaybyDay[],DaybyDay[[#This Row],[FORM_MATCH_HELPER]],10),"")</f>
        <v>3090.2</v>
      </c>
      <c r="AI1202" s="39" cm="1">
        <f t="array" ref="AI1202">IFERROR(INDEX(DaybyDay[],DaybyDay[[#This Row],[FORM_MATCH_HELPER]],12),"")</f>
        <v>105</v>
      </c>
      <c r="AJ1202" s="32">
        <f>IFERROR(DaybyDay[[#This Row],[Serv-LY-RU]]+DaybyDay[[#This Row],[Ret-LY-RU]],"")</f>
        <v>621886.74</v>
      </c>
      <c r="AK12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634794.44917959662</v>
      </c>
      <c r="AL1202" s="77"/>
      <c r="AM1202" s="40" t="str">
        <f>IF(DaybyDay[[#This Row],[Admin Hours]]&gt;0,DaybyDay[[#This Row],[Admin Hours]]*$AM$2+$AM$3,"")</f>
        <v/>
      </c>
      <c r="AN1202" s="40">
        <f>SUMIFS(DaybyDay[Est-Admin-Payroll],DaybyDay[Date],"&gt;="&amp;$C$5,DaybyDay[RowYear],"&gt;="&amp;$C$4,DaybyDay[Date],"&lt;="&amp;DaybyDay[[#This Row],[Date]])</f>
        <v>13941.779999999997</v>
      </c>
      <c r="AO1202" s="41" t="str">
        <f>IF(AND(DaybyDay[[#This Row],[_Space]],ISNUMBER(DaybyDay[[#This Row],[Admin Hours]])),DaybyDay[[#This Row],[Est-Admin-Payroll]]/(DaybyDay[[#This Row],[Service-Actuals]]+DaybyDay[[#This Row],[Retail-Actuals]]),"")</f>
        <v/>
      </c>
      <c r="AP1202" s="41">
        <f>DaybyDay[[#This Row],[Estimated-Payroll-Rollup]]/DaybyDay[[#This Row],[Simple-Forecast]]</f>
        <v>2.1962668416553175E-2</v>
      </c>
      <c r="AQ12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115124.85649218914</v>
      </c>
      <c r="AR1202" s="77"/>
      <c r="AS1202" s="40" t="str">
        <f>IF(DaybyDay[[#This Row],[Retail Hours]]&gt;0,DaybyDay[[#This Row],[Retail Hours]]*$AS$2,"")</f>
        <v/>
      </c>
      <c r="AT1202" s="40">
        <f>SUMIFS(DaybyDay[Est-Retail-Payroll],DaybyDay[Date],"&gt;="&amp;$C$5,DaybyDay[RowYear],"&gt;="&amp;$C$4,DaybyDay[Date],"&lt;="&amp;DaybyDay[[#This Row],[Date]])</f>
        <v>2627.1</v>
      </c>
      <c r="AU1202" s="82" t="str">
        <f>IF(AND(DaybyDay[[#This Row],[_Space]],ISNUMBER(DaybyDay[[#This Row],[Retail Hours]])),DaybyDay[[#This Row],[Est-Retail-Payroll]]/(DaybyDay[[#This Row],[Retail-Actuals]]),"")</f>
        <v/>
      </c>
      <c r="AV1202" s="82">
        <f>DaybyDay[[#This Row],[Est-Retail-PayrollRU]]/DaybyDay[[#This Row],[Simple-Forecast-Retail]]</f>
        <v>2.2819572419430032E-2</v>
      </c>
      <c r="AW1202" s="8"/>
      <c r="AX1202" s="15"/>
      <c r="AY1202" s="8"/>
    </row>
    <row r="1203" spans="3:51" hidden="1" x14ac:dyDescent="0.25">
      <c r="C1203" s="26" t="str">
        <f>Tools!$C$1</f>
        <v>Example</v>
      </c>
      <c r="D1203" s="27" t="s">
        <v>71</v>
      </c>
      <c r="E1203" s="28">
        <v>2020</v>
      </c>
      <c r="F1203" s="28">
        <f>MATCH(DaybyDay[[#This Row],[RowMonth]],Table3[SummaryMonth],0)</f>
        <v>4</v>
      </c>
      <c r="G1203" s="29">
        <f>MATCH(DaybyDay[[#This Row],[LY-Date]],DaybyDay[Date],0)</f>
        <v>833</v>
      </c>
      <c r="H1203" s="30">
        <f>WEEKDAY(DaybyDay[[#This Row],[Date]])</f>
        <v>7</v>
      </c>
      <c r="I1203" s="31">
        <v>43932</v>
      </c>
      <c r="J1203" s="74"/>
      <c r="K1203" s="32">
        <f>SUMIFS(BudgetSeasonality[365 Seasonality],BudgetSeasonality[MonthAdjustment],DaybyDay[[#This Row],[Date]])*SUMIFS(Budgets[Service-Budget],Budgets[BudgetMonth],DaybyDay[[#This Row],[RowMonth]],Budgets[BudgetYear],DaybyDay[[#This Row],[RowYear]])</f>
        <v>8366.0881109786696</v>
      </c>
      <c r="L1203" s="75"/>
      <c r="M1203" s="32">
        <f>INDEX(BudgetSeasonality[365 Seasonality],MATCH(DaybyDay[[#This Row],[Date]],BudgetSeasonality[MonthAdjustment],0))*SUMIFS(Budgets[Retail-Budget],Budgets[BudgetMonth],DaybyDay[[#This Row],[RowMonth]],Budgets[BudgetYear],DaybyDay[[#This Row],[RowYear]])</f>
        <v>2201.0590713518209</v>
      </c>
      <c r="N1203" s="75"/>
      <c r="O1203" s="33">
        <f>SUMIFS(DaybyDay[Service-Budgets],DaybyDay[Date],"&gt;="&amp;$C$5,DaybyDay[RowYear],"&gt;="&amp;$C$4,DaybyDay[Date],"&lt;="&amp;DaybyDay[[#This Row],[Date]])</f>
        <v>553751.88562052301</v>
      </c>
      <c r="P1203" s="33">
        <f>SUMIFS(DaybyDay[Retail-Budgets],DaybyDay[Date],"&gt;="&amp;$C$5,DaybyDay[RowYear],"&gt;="&amp;$C$4,DaybyDay[Date],"&lt;="&amp;DaybyDay[[#This Row],[Date]])</f>
        <v>135069.32577927667</v>
      </c>
      <c r="Q1203" s="34">
        <f>SUMIFS(DaybyDay[Service-Actuals],DaybyDay[Date],"&gt;="&amp;$C$5,DaybyDay[RowYear],"&gt;="&amp;$C$4,DaybyDay[Date],"&lt;="&amp;DaybyDay[[#This Row],[Date]])</f>
        <v>385554.23</v>
      </c>
      <c r="R1203" s="34">
        <f>SUMIFS(DaybyDay[Retail-Actuals],DaybyDay[Date],"&gt;="&amp;$C$5,DaybyDay[RowYear],"&gt;="&amp;$C$4,DaybyDay[Date],"&lt;="&amp;DaybyDay[[#This Row],[Date]])</f>
        <v>88360.030000000028</v>
      </c>
      <c r="S1203" s="35">
        <f>SUMIFS(DaybyDay[Service-LY],DaybyDay[Date],"&gt;="&amp;$C$5,DaybyDay[RowYear],"&gt;="&amp;$C$4,DaybyDay[Date],"&lt;="&amp;DaybyDay[[#This Row],[Date]])</f>
        <v>521180.5</v>
      </c>
      <c r="T1203" s="35">
        <f>SUMIFS(DaybyDay[Retail-LY],DaybyDay[Date],"&gt;="&amp;$C$5,DaybyDay[RowYear],"&gt;="&amp;$C$4,DaybyDay[Date],"&lt;="&amp;DaybyDay[[#This Row],[Date]])</f>
        <v>109895.46999999999</v>
      </c>
      <c r="U1203" s="32">
        <f>DaybyDay[[#This Row],[Serv-Bud-RU]]+DaybyDay[[#This Row],[Ret-Bud-RU]]</f>
        <v>688821.21139979968</v>
      </c>
      <c r="V1203" s="32">
        <f>DaybyDay[[#This Row],[Serv-Act-RU]]+DaybyDay[[#This Row],[Ret-Act-RU]]</f>
        <v>473914.26</v>
      </c>
      <c r="W1203" s="36" t="str">
        <f>IF(DaybyDay[[#This Row],[_Space]],IFERROR(
((DaybyDay[[#This Row],[Actual-Rollup]]-DaybyDay[[#This Row],[Budget-Rollup]])/DaybyDay[[#This Row],[Budget-Rollup]]),0),"")</f>
        <v/>
      </c>
      <c r="X1203" t="b">
        <f>NOT(AND(ISBLANK(DaybyDay[[#This Row],[Appts]]),ISBLANK(DaybyDay[[#This Row],[Service-Actuals]]),ISBLANK(DaybyDay[[#This Row],[Retail-Actuals]])))</f>
        <v>0</v>
      </c>
      <c r="Y1203" s="36" t="str">
        <f>IF(DaybyDay[[#This Row],[_Space]],IFERROR(
((DaybyDay[[#This Row],[Actual-Rollup]]-DaybyDay[[#This Row],[LY-Rollup]])/DaybyDay[[#This Row],[LY-Rollup]]),0),"")</f>
        <v/>
      </c>
      <c r="Z1203"/>
      <c r="AA1203" s="37" t="str">
        <f>IF(DaybyDay[[#This Row],[_Space]],DaybyDay[[#This Row],[Ret-Act-RU]]/DaybyDay[[#This Row],[Serv-Act-RU]],"")</f>
        <v/>
      </c>
      <c r="AB1203" s="50" t="str">
        <f>IF(DaybyDay[[#This Row],[_Space]],DaybyDay[[#This Row],[RETPEN-Act]]/DaybyDay[[#This Row],[RETPEN-Bud]],"")</f>
        <v/>
      </c>
      <c r="AC1203" s="37" t="str">
        <f>IF(DaybyDay[[#This Row],[_Space]],DaybyDay[[#This Row],[Ret-Bud-RU]]/DaybyDay[[#This Row],[Serv-Bud-RU]],"")</f>
        <v/>
      </c>
      <c r="AD1203" s="37" t="str">
        <f>IF(DaybyDay[[#This Row],[_Space]],DaybyDay[[#This Row],[Ret-LY-RU]]/DaybyDay[[#This Row],[Serv-LY-RU]],"")</f>
        <v/>
      </c>
      <c r="AE1203" s="30">
        <f>WEEKDAY(DaybyDay[[#This Row],[LY-Date]])</f>
        <v>7</v>
      </c>
      <c r="AF1203" s="38">
        <f>$E$2+_xlfn.DAYS(DaybyDay[[#This Row],[Date]],minDate)</f>
        <v>43568</v>
      </c>
      <c r="AG1203" s="39" cm="1">
        <f t="array" ref="AG1203">IFERROR(INDEX(DaybyDay[],DaybyDay[[#This Row],[FORM_MATCH_HELPER]],8),"")</f>
        <v>33</v>
      </c>
      <c r="AH1203" s="39" cm="1">
        <f t="array" ref="AH1203">IFERROR(INDEX(DaybyDay[],DaybyDay[[#This Row],[FORM_MATCH_HELPER]],10),"")</f>
        <v>8878.1999999999989</v>
      </c>
      <c r="AI1203" s="39" cm="1">
        <f t="array" ref="AI1203">IFERROR(INDEX(DaybyDay[],DaybyDay[[#This Row],[FORM_MATCH_HELPER]],12),"")</f>
        <v>311.02999999999997</v>
      </c>
      <c r="AJ1203" s="32">
        <f>IFERROR(DaybyDay[[#This Row],[Serv-LY-RU]]+DaybyDay[[#This Row],[Ret-LY-RU]],"")</f>
        <v>631075.97</v>
      </c>
      <c r="AK12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643819.92366755661</v>
      </c>
      <c r="AL1203" s="77"/>
      <c r="AM1203" s="40" t="str">
        <f>IF(DaybyDay[[#This Row],[Admin Hours]]&gt;0,DaybyDay[[#This Row],[Admin Hours]]*$AM$2+$AM$3,"")</f>
        <v/>
      </c>
      <c r="AN1203" s="40">
        <f>SUMIFS(DaybyDay[Est-Admin-Payroll],DaybyDay[Date],"&gt;="&amp;$C$5,DaybyDay[RowYear],"&gt;="&amp;$C$4,DaybyDay[Date],"&lt;="&amp;DaybyDay[[#This Row],[Date]])</f>
        <v>13941.779999999997</v>
      </c>
      <c r="AO1203" s="41" t="str">
        <f>IF(AND(DaybyDay[[#This Row],[_Space]],ISNUMBER(DaybyDay[[#This Row],[Admin Hours]])),DaybyDay[[#This Row],[Est-Admin-Payroll]]/(DaybyDay[[#This Row],[Service-Actuals]]+DaybyDay[[#This Row],[Retail-Actuals]]),"")</f>
        <v/>
      </c>
      <c r="AP1203" s="41">
        <f>DaybyDay[[#This Row],[Estimated-Payroll-Rollup]]/DaybyDay[[#This Row],[Simple-Forecast]]</f>
        <v>2.1654781853565293E-2</v>
      </c>
      <c r="AQ12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116214.4388002917</v>
      </c>
      <c r="AR1203" s="77"/>
      <c r="AS1203" s="40" t="str">
        <f>IF(DaybyDay[[#This Row],[Retail Hours]]&gt;0,DaybyDay[[#This Row],[Retail Hours]]*$AS$2,"")</f>
        <v/>
      </c>
      <c r="AT1203" s="40">
        <f>SUMIFS(DaybyDay[Est-Retail-Payroll],DaybyDay[Date],"&gt;="&amp;$C$5,DaybyDay[RowYear],"&gt;="&amp;$C$4,DaybyDay[Date],"&lt;="&amp;DaybyDay[[#This Row],[Date]])</f>
        <v>2627.1</v>
      </c>
      <c r="AU1203" s="82" t="str">
        <f>IF(AND(DaybyDay[[#This Row],[_Space]],ISNUMBER(DaybyDay[[#This Row],[Retail Hours]])),DaybyDay[[#This Row],[Est-Retail-Payroll]]/(DaybyDay[[#This Row],[Retail-Actuals]]),"")</f>
        <v/>
      </c>
      <c r="AV1203" s="82">
        <f>DaybyDay[[#This Row],[Est-Retail-PayrollRU]]/DaybyDay[[#This Row],[Simple-Forecast-Retail]]</f>
        <v>2.2605624801187836E-2</v>
      </c>
      <c r="AW1203" s="8"/>
      <c r="AX1203" s="15"/>
      <c r="AY1203" s="8"/>
    </row>
    <row r="1204" spans="3:51" hidden="1" x14ac:dyDescent="0.25">
      <c r="C1204" s="26" t="str">
        <f>Tools!$C$1</f>
        <v>Example</v>
      </c>
      <c r="D1204" s="27" t="s">
        <v>71</v>
      </c>
      <c r="E1204" s="28">
        <v>2020</v>
      </c>
      <c r="F1204" s="28">
        <f>MATCH(DaybyDay[[#This Row],[RowMonth]],Table3[SummaryMonth],0)</f>
        <v>4</v>
      </c>
      <c r="G1204" s="29">
        <f>MATCH(DaybyDay[[#This Row],[LY-Date]],DaybyDay[Date],0)</f>
        <v>834</v>
      </c>
      <c r="H1204" s="30">
        <f>WEEKDAY(DaybyDay[[#This Row],[Date]])</f>
        <v>1</v>
      </c>
      <c r="I1204" s="31">
        <v>43933</v>
      </c>
      <c r="J1204" s="74"/>
      <c r="K1204" s="32">
        <f>SUMIFS(BudgetSeasonality[365 Seasonality],BudgetSeasonality[MonthAdjustment],DaybyDay[[#This Row],[Date]])*SUMIFS(Budgets[Service-Budget],Budgets[BudgetMonth],DaybyDay[[#This Row],[RowMonth]],Budgets[BudgetYear],DaybyDay[[#This Row],[RowYear]])</f>
        <v>6425.9007498023311</v>
      </c>
      <c r="L1204" s="75"/>
      <c r="M1204" s="32">
        <f>INDEX(BudgetSeasonality[365 Seasonality],MATCH(DaybyDay[[#This Row],[Date]],BudgetSeasonality[MonthAdjustment],0))*SUMIFS(Budgets[Retail-Budget],Budgets[BudgetMonth],DaybyDay[[#This Row],[RowMonth]],Budgets[BudgetYear],DaybyDay[[#This Row],[RowYear]])</f>
        <v>1690.6093922676057</v>
      </c>
      <c r="N1204" s="75"/>
      <c r="O1204" s="33">
        <f>SUMIFS(DaybyDay[Service-Budgets],DaybyDay[Date],"&gt;="&amp;$C$5,DaybyDay[RowYear],"&gt;="&amp;$C$4,DaybyDay[Date],"&lt;="&amp;DaybyDay[[#This Row],[Date]])</f>
        <v>560177.78637032537</v>
      </c>
      <c r="P1204" s="33">
        <f>SUMIFS(DaybyDay[Retail-Budgets],DaybyDay[Date],"&gt;="&amp;$C$5,DaybyDay[RowYear],"&gt;="&amp;$C$4,DaybyDay[Date],"&lt;="&amp;DaybyDay[[#This Row],[Date]])</f>
        <v>136759.93517154426</v>
      </c>
      <c r="Q1204" s="34">
        <f>SUMIFS(DaybyDay[Service-Actuals],DaybyDay[Date],"&gt;="&amp;$C$5,DaybyDay[RowYear],"&gt;="&amp;$C$4,DaybyDay[Date],"&lt;="&amp;DaybyDay[[#This Row],[Date]])</f>
        <v>385554.23</v>
      </c>
      <c r="R1204" s="34">
        <f>SUMIFS(DaybyDay[Retail-Actuals],DaybyDay[Date],"&gt;="&amp;$C$5,DaybyDay[RowYear],"&gt;="&amp;$C$4,DaybyDay[Date],"&lt;="&amp;DaybyDay[[#This Row],[Date]])</f>
        <v>88360.030000000028</v>
      </c>
      <c r="S1204" s="35">
        <f>SUMIFS(DaybyDay[Service-LY],DaybyDay[Date],"&gt;="&amp;$C$5,DaybyDay[RowYear],"&gt;="&amp;$C$4,DaybyDay[Date],"&lt;="&amp;DaybyDay[[#This Row],[Date]])</f>
        <v>527158.22</v>
      </c>
      <c r="T1204" s="35">
        <f>SUMIFS(DaybyDay[Retail-LY],DaybyDay[Date],"&gt;="&amp;$C$5,DaybyDay[RowYear],"&gt;="&amp;$C$4,DaybyDay[Date],"&lt;="&amp;DaybyDay[[#This Row],[Date]])</f>
        <v>110059.46999999999</v>
      </c>
      <c r="U1204" s="32">
        <f>DaybyDay[[#This Row],[Serv-Bud-RU]]+DaybyDay[[#This Row],[Ret-Bud-RU]]</f>
        <v>696937.72154186969</v>
      </c>
      <c r="V1204" s="32">
        <f>DaybyDay[[#This Row],[Serv-Act-RU]]+DaybyDay[[#This Row],[Ret-Act-RU]]</f>
        <v>473914.26</v>
      </c>
      <c r="W1204" s="36" t="str">
        <f>IF(DaybyDay[[#This Row],[_Space]],IFERROR(
((DaybyDay[[#This Row],[Actual-Rollup]]-DaybyDay[[#This Row],[Budget-Rollup]])/DaybyDay[[#This Row],[Budget-Rollup]]),0),"")</f>
        <v/>
      </c>
      <c r="X1204" t="b">
        <f>NOT(AND(ISBLANK(DaybyDay[[#This Row],[Appts]]),ISBLANK(DaybyDay[[#This Row],[Service-Actuals]]),ISBLANK(DaybyDay[[#This Row],[Retail-Actuals]])))</f>
        <v>0</v>
      </c>
      <c r="Y1204" s="36" t="str">
        <f>IF(DaybyDay[[#This Row],[_Space]],IFERROR(
((DaybyDay[[#This Row],[Actual-Rollup]]-DaybyDay[[#This Row],[LY-Rollup]])/DaybyDay[[#This Row],[LY-Rollup]]),0),"")</f>
        <v/>
      </c>
      <c r="Z1204"/>
      <c r="AA1204" s="37" t="str">
        <f>IF(DaybyDay[[#This Row],[_Space]],DaybyDay[[#This Row],[Ret-Act-RU]]/DaybyDay[[#This Row],[Serv-Act-RU]],"")</f>
        <v/>
      </c>
      <c r="AB1204" s="50" t="str">
        <f>IF(DaybyDay[[#This Row],[_Space]],DaybyDay[[#This Row],[RETPEN-Act]]/DaybyDay[[#This Row],[RETPEN-Bud]],"")</f>
        <v/>
      </c>
      <c r="AC1204" s="37" t="str">
        <f>IF(DaybyDay[[#This Row],[_Space]],DaybyDay[[#This Row],[Ret-Bud-RU]]/DaybyDay[[#This Row],[Serv-Bud-RU]],"")</f>
        <v/>
      </c>
      <c r="AD1204" s="37" t="str">
        <f>IF(DaybyDay[[#This Row],[_Space]],DaybyDay[[#This Row],[Ret-LY-RU]]/DaybyDay[[#This Row],[Serv-LY-RU]],"")</f>
        <v/>
      </c>
      <c r="AE1204" s="30">
        <f>WEEKDAY(DaybyDay[[#This Row],[LY-Date]])</f>
        <v>1</v>
      </c>
      <c r="AF1204" s="38">
        <f>$E$2+_xlfn.DAYS(DaybyDay[[#This Row],[Date]],minDate)</f>
        <v>43569</v>
      </c>
      <c r="AG1204" s="39" cm="1">
        <f t="array" ref="AG1204">IFERROR(INDEX(DaybyDay[],DaybyDay[[#This Row],[FORM_MATCH_HELPER]],8),"")</f>
        <v>30</v>
      </c>
      <c r="AH1204" s="39" cm="1">
        <f t="array" ref="AH1204">IFERROR(INDEX(DaybyDay[],DaybyDay[[#This Row],[FORM_MATCH_HELPER]],10),"")</f>
        <v>5977.72</v>
      </c>
      <c r="AI1204" s="39" cm="1">
        <f t="array" ref="AI1204">IFERROR(INDEX(DaybyDay[],DaybyDay[[#This Row],[FORM_MATCH_HELPER]],12),"")</f>
        <v>164</v>
      </c>
      <c r="AJ1204" s="32">
        <f>IFERROR(DaybyDay[[#This Row],[Serv-LY-RU]]+DaybyDay[[#This Row],[Ret-LY-RU]],"")</f>
        <v>637217.68999999994</v>
      </c>
      <c r="AK12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650300.45374635584</v>
      </c>
      <c r="AL1204" s="77"/>
      <c r="AM1204" s="40" t="str">
        <f>IF(DaybyDay[[#This Row],[Admin Hours]]&gt;0,DaybyDay[[#This Row],[Admin Hours]]*$AM$2+$AM$3,"")</f>
        <v/>
      </c>
      <c r="AN1204" s="40">
        <f>SUMIFS(DaybyDay[Est-Admin-Payroll],DaybyDay[Date],"&gt;="&amp;$C$5,DaybyDay[RowYear],"&gt;="&amp;$C$4,DaybyDay[Date],"&lt;="&amp;DaybyDay[[#This Row],[Date]])</f>
        <v>13941.779999999997</v>
      </c>
      <c r="AO1204" s="41" t="str">
        <f>IF(AND(DaybyDay[[#This Row],[_Space]],ISNUMBER(DaybyDay[[#This Row],[Admin Hours]])),DaybyDay[[#This Row],[Est-Admin-Payroll]]/(DaybyDay[[#This Row],[Service-Actuals]]+DaybyDay[[#This Row],[Retail-Actuals]]),"")</f>
        <v/>
      </c>
      <c r="AP1204" s="41">
        <f>DaybyDay[[#This Row],[Estimated-Payroll-Rollup]]/DaybyDay[[#This Row],[Simple-Forecast]]</f>
        <v>2.1438982426787403E-2</v>
      </c>
      <c r="AQ12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117014.40673466066</v>
      </c>
      <c r="AR1204" s="77"/>
      <c r="AS1204" s="40" t="str">
        <f>IF(DaybyDay[[#This Row],[Retail Hours]]&gt;0,DaybyDay[[#This Row],[Retail Hours]]*$AS$2,"")</f>
        <v/>
      </c>
      <c r="AT1204" s="40">
        <f>SUMIFS(DaybyDay[Est-Retail-Payroll],DaybyDay[Date],"&gt;="&amp;$C$5,DaybyDay[RowYear],"&gt;="&amp;$C$4,DaybyDay[Date],"&lt;="&amp;DaybyDay[[#This Row],[Date]])</f>
        <v>2627.1</v>
      </c>
      <c r="AU1204" s="82" t="str">
        <f>IF(AND(DaybyDay[[#This Row],[_Space]],ISNUMBER(DaybyDay[[#This Row],[Retail Hours]])),DaybyDay[[#This Row],[Est-Retail-Payroll]]/(DaybyDay[[#This Row],[Retail-Actuals]]),"")</f>
        <v/>
      </c>
      <c r="AV1204" s="82">
        <f>DaybyDay[[#This Row],[Est-Retail-PayrollRU]]/DaybyDay[[#This Row],[Simple-Forecast-Retail]]</f>
        <v>2.2451081651485488E-2</v>
      </c>
      <c r="AW1204" s="8"/>
      <c r="AX1204" s="15"/>
      <c r="AY1204" s="8"/>
    </row>
    <row r="1205" spans="3:51" hidden="1" x14ac:dyDescent="0.25">
      <c r="C1205" s="26" t="str">
        <f>Tools!$C$1</f>
        <v>Example</v>
      </c>
      <c r="D1205" s="27" t="s">
        <v>71</v>
      </c>
      <c r="E1205" s="28">
        <v>2020</v>
      </c>
      <c r="F1205" s="28">
        <f>MATCH(DaybyDay[[#This Row],[RowMonth]],Table3[SummaryMonth],0)</f>
        <v>4</v>
      </c>
      <c r="G1205" s="29">
        <f>MATCH(DaybyDay[[#This Row],[LY-Date]],DaybyDay[Date],0)</f>
        <v>835</v>
      </c>
      <c r="H1205" s="30">
        <f>WEEKDAY(DaybyDay[[#This Row],[Date]])</f>
        <v>2</v>
      </c>
      <c r="I1205" s="31">
        <v>43934</v>
      </c>
      <c r="J1205" s="74"/>
      <c r="K1205" s="32">
        <f>SUMIFS(BudgetSeasonality[365 Seasonality],BudgetSeasonality[MonthAdjustment],DaybyDay[[#This Row],[Date]])*SUMIFS(Budgets[Service-Budget],Budgets[BudgetMonth],DaybyDay[[#This Row],[RowMonth]],Budgets[BudgetYear],DaybyDay[[#This Row],[RowYear]])</f>
        <v>3675.612546052183</v>
      </c>
      <c r="L1205" s="75"/>
      <c r="M1205" s="32">
        <f>INDEX(BudgetSeasonality[365 Seasonality],MATCH(DaybyDay[[#This Row],[Date]],BudgetSeasonality[MonthAdjustment],0))*SUMIFS(Budgets[Retail-Budget],Budgets[BudgetMonth],DaybyDay[[#This Row],[RowMonth]],Budgets[BudgetYear],DaybyDay[[#This Row],[RowYear]])</f>
        <v>967.027866542075</v>
      </c>
      <c r="N1205" s="75"/>
      <c r="O1205" s="33">
        <f>SUMIFS(DaybyDay[Service-Budgets],DaybyDay[Date],"&gt;="&amp;$C$5,DaybyDay[RowYear],"&gt;="&amp;$C$4,DaybyDay[Date],"&lt;="&amp;DaybyDay[[#This Row],[Date]])</f>
        <v>563853.39891637757</v>
      </c>
      <c r="P1205" s="33">
        <f>SUMIFS(DaybyDay[Retail-Budgets],DaybyDay[Date],"&gt;="&amp;$C$5,DaybyDay[RowYear],"&gt;="&amp;$C$4,DaybyDay[Date],"&lt;="&amp;DaybyDay[[#This Row],[Date]])</f>
        <v>137726.96303808634</v>
      </c>
      <c r="Q1205" s="34">
        <f>SUMIFS(DaybyDay[Service-Actuals],DaybyDay[Date],"&gt;="&amp;$C$5,DaybyDay[RowYear],"&gt;="&amp;$C$4,DaybyDay[Date],"&lt;="&amp;DaybyDay[[#This Row],[Date]])</f>
        <v>385554.23</v>
      </c>
      <c r="R1205" s="34">
        <f>SUMIFS(DaybyDay[Retail-Actuals],DaybyDay[Date],"&gt;="&amp;$C$5,DaybyDay[RowYear],"&gt;="&amp;$C$4,DaybyDay[Date],"&lt;="&amp;DaybyDay[[#This Row],[Date]])</f>
        <v>88360.030000000028</v>
      </c>
      <c r="S1205" s="35">
        <f>SUMIFS(DaybyDay[Service-LY],DaybyDay[Date],"&gt;="&amp;$C$5,DaybyDay[RowYear],"&gt;="&amp;$C$4,DaybyDay[Date],"&lt;="&amp;DaybyDay[[#This Row],[Date]])</f>
        <v>529094.41999999993</v>
      </c>
      <c r="T1205" s="35">
        <f>SUMIFS(DaybyDay[Retail-LY],DaybyDay[Date],"&gt;="&amp;$C$5,DaybyDay[RowYear],"&gt;="&amp;$C$4,DaybyDay[Date],"&lt;="&amp;DaybyDay[[#This Row],[Date]])</f>
        <v>110059.46999999999</v>
      </c>
      <c r="U1205" s="32">
        <f>DaybyDay[[#This Row],[Serv-Bud-RU]]+DaybyDay[[#This Row],[Ret-Bud-RU]]</f>
        <v>701580.36195446388</v>
      </c>
      <c r="V1205" s="32">
        <f>DaybyDay[[#This Row],[Serv-Act-RU]]+DaybyDay[[#This Row],[Ret-Act-RU]]</f>
        <v>473914.26</v>
      </c>
      <c r="W1205" s="36" t="str">
        <f>IF(DaybyDay[[#This Row],[_Space]],IFERROR(
((DaybyDay[[#This Row],[Actual-Rollup]]-DaybyDay[[#This Row],[Budget-Rollup]])/DaybyDay[[#This Row],[Budget-Rollup]]),0),"")</f>
        <v/>
      </c>
      <c r="X1205" t="b">
        <f>NOT(AND(ISBLANK(DaybyDay[[#This Row],[Appts]]),ISBLANK(DaybyDay[[#This Row],[Service-Actuals]]),ISBLANK(DaybyDay[[#This Row],[Retail-Actuals]])))</f>
        <v>0</v>
      </c>
      <c r="Y1205" s="36" t="str">
        <f>IF(DaybyDay[[#This Row],[_Space]],IFERROR(
((DaybyDay[[#This Row],[Actual-Rollup]]-DaybyDay[[#This Row],[LY-Rollup]])/DaybyDay[[#This Row],[LY-Rollup]]),0),"")</f>
        <v/>
      </c>
      <c r="Z1205"/>
      <c r="AA1205" s="37" t="str">
        <f>IF(DaybyDay[[#This Row],[_Space]],DaybyDay[[#This Row],[Ret-Act-RU]]/DaybyDay[[#This Row],[Serv-Act-RU]],"")</f>
        <v/>
      </c>
      <c r="AB1205" s="50" t="str">
        <f>IF(DaybyDay[[#This Row],[_Space]],DaybyDay[[#This Row],[RETPEN-Act]]/DaybyDay[[#This Row],[RETPEN-Bud]],"")</f>
        <v/>
      </c>
      <c r="AC1205" s="37" t="str">
        <f>IF(DaybyDay[[#This Row],[_Space]],DaybyDay[[#This Row],[Ret-Bud-RU]]/DaybyDay[[#This Row],[Serv-Bud-RU]],"")</f>
        <v/>
      </c>
      <c r="AD1205" s="37" t="str">
        <f>IF(DaybyDay[[#This Row],[_Space]],DaybyDay[[#This Row],[Ret-LY-RU]]/DaybyDay[[#This Row],[Serv-LY-RU]],"")</f>
        <v/>
      </c>
      <c r="AE1205" s="30">
        <f>WEEKDAY(DaybyDay[[#This Row],[LY-Date]])</f>
        <v>2</v>
      </c>
      <c r="AF1205" s="38">
        <f>$E$2+_xlfn.DAYS(DaybyDay[[#This Row],[Date]],minDate)</f>
        <v>43570</v>
      </c>
      <c r="AG1205" s="39" cm="1">
        <f t="array" ref="AG1205">IFERROR(INDEX(DaybyDay[],DaybyDay[[#This Row],[FORM_MATCH_HELPER]],8),"")</f>
        <v>7</v>
      </c>
      <c r="AH1205" s="39" cm="1">
        <f t="array" ref="AH1205">IFERROR(INDEX(DaybyDay[],DaybyDay[[#This Row],[FORM_MATCH_HELPER]],10),"")</f>
        <v>1936.2</v>
      </c>
      <c r="AI1205" s="39" cm="1">
        <f t="array" ref="AI1205">IFERROR(INDEX(DaybyDay[],DaybyDay[[#This Row],[FORM_MATCH_HELPER]],12),"")</f>
        <v>0</v>
      </c>
      <c r="AJ1205" s="32">
        <f>IFERROR(DaybyDay[[#This Row],[Serv-LY-RU]]+DaybyDay[[#This Row],[Ret-LY-RU]],"")</f>
        <v>639153.8899999999</v>
      </c>
      <c r="AK12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653229.853485186</v>
      </c>
      <c r="AL1205" s="77"/>
      <c r="AM1205" s="40" t="str">
        <f>IF(DaybyDay[[#This Row],[Admin Hours]]&gt;0,DaybyDay[[#This Row],[Admin Hours]]*$AM$2+$AM$3,"")</f>
        <v/>
      </c>
      <c r="AN1205" s="40">
        <f>SUMIFS(DaybyDay[Est-Admin-Payroll],DaybyDay[Date],"&gt;="&amp;$C$5,DaybyDay[RowYear],"&gt;="&amp;$C$4,DaybyDay[Date],"&lt;="&amp;DaybyDay[[#This Row],[Date]])</f>
        <v>13941.779999999997</v>
      </c>
      <c r="AO1205" s="41" t="str">
        <f>IF(AND(DaybyDay[[#This Row],[_Space]],ISNUMBER(DaybyDay[[#This Row],[Admin Hours]])),DaybyDay[[#This Row],[Est-Admin-Payroll]]/(DaybyDay[[#This Row],[Service-Actuals]]+DaybyDay[[#This Row],[Retail-Actuals]]),"")</f>
        <v/>
      </c>
      <c r="AP1205" s="41">
        <f>DaybyDay[[#This Row],[Estimated-Payroll-Rollup]]/DaybyDay[[#This Row],[Simple-Forecast]]</f>
        <v>2.1342839623168217E-2</v>
      </c>
      <c r="AQ12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117425.73669452663</v>
      </c>
      <c r="AR1205" s="77"/>
      <c r="AS1205" s="40" t="str">
        <f>IF(DaybyDay[[#This Row],[Retail Hours]]&gt;0,DaybyDay[[#This Row],[Retail Hours]]*$AS$2,"")</f>
        <v/>
      </c>
      <c r="AT1205" s="40">
        <f>SUMIFS(DaybyDay[Est-Retail-Payroll],DaybyDay[Date],"&gt;="&amp;$C$5,DaybyDay[RowYear],"&gt;="&amp;$C$4,DaybyDay[Date],"&lt;="&amp;DaybyDay[[#This Row],[Date]])</f>
        <v>2627.1</v>
      </c>
      <c r="AU1205" s="82" t="str">
        <f>IF(AND(DaybyDay[[#This Row],[_Space]],ISNUMBER(DaybyDay[[#This Row],[Retail Hours]])),DaybyDay[[#This Row],[Est-Retail-Payroll]]/(DaybyDay[[#This Row],[Retail-Actuals]]),"")</f>
        <v/>
      </c>
      <c r="AV1205" s="82">
        <f>DaybyDay[[#This Row],[Est-Retail-PayrollRU]]/DaybyDay[[#This Row],[Simple-Forecast-Retail]]</f>
        <v>2.2372437882456585E-2</v>
      </c>
      <c r="AW1205" s="8"/>
      <c r="AX1205" s="15"/>
      <c r="AY1205" s="8"/>
    </row>
    <row r="1206" spans="3:51" hidden="1" x14ac:dyDescent="0.25">
      <c r="C1206" s="26" t="str">
        <f>Tools!$C$1</f>
        <v>Example</v>
      </c>
      <c r="D1206" s="27" t="s">
        <v>71</v>
      </c>
      <c r="E1206" s="28">
        <v>2020</v>
      </c>
      <c r="F1206" s="28">
        <f>MATCH(DaybyDay[[#This Row],[RowMonth]],Table3[SummaryMonth],0)</f>
        <v>4</v>
      </c>
      <c r="G1206" s="29">
        <f>MATCH(DaybyDay[[#This Row],[LY-Date]],DaybyDay[Date],0)</f>
        <v>836</v>
      </c>
      <c r="H1206" s="30">
        <f>WEEKDAY(DaybyDay[[#This Row],[Date]])</f>
        <v>3</v>
      </c>
      <c r="I1206" s="31">
        <v>43935</v>
      </c>
      <c r="J1206" s="74"/>
      <c r="K1206" s="32">
        <f>SUMIFS(BudgetSeasonality[365 Seasonality],BudgetSeasonality[MonthAdjustment],DaybyDay[[#This Row],[Date]])*SUMIFS(Budgets[Service-Budget],Budgets[BudgetMonth],DaybyDay[[#This Row],[RowMonth]],Budgets[BudgetYear],DaybyDay[[#This Row],[RowYear]])</f>
        <v>3665.8386536502189</v>
      </c>
      <c r="L1206" s="75"/>
      <c r="M1206" s="32">
        <f>INDEX(BudgetSeasonality[365 Seasonality],MATCH(DaybyDay[[#This Row],[Date]],BudgetSeasonality[MonthAdjustment],0))*SUMIFS(Budgets[Retail-Budget],Budgets[BudgetMonth],DaybyDay[[#This Row],[RowMonth]],Budgets[BudgetYear],DaybyDay[[#This Row],[RowYear]])</f>
        <v>964.45642404130479</v>
      </c>
      <c r="N1206" s="75"/>
      <c r="O1206" s="33">
        <f>SUMIFS(DaybyDay[Service-Budgets],DaybyDay[Date],"&gt;="&amp;$C$5,DaybyDay[RowYear],"&gt;="&amp;$C$4,DaybyDay[Date],"&lt;="&amp;DaybyDay[[#This Row],[Date]])</f>
        <v>567519.23757002782</v>
      </c>
      <c r="P1206" s="33">
        <f>SUMIFS(DaybyDay[Retail-Budgets],DaybyDay[Date],"&gt;="&amp;$C$5,DaybyDay[RowYear],"&gt;="&amp;$C$4,DaybyDay[Date],"&lt;="&amp;DaybyDay[[#This Row],[Date]])</f>
        <v>138691.41946212764</v>
      </c>
      <c r="Q1206" s="34">
        <f>SUMIFS(DaybyDay[Service-Actuals],DaybyDay[Date],"&gt;="&amp;$C$5,DaybyDay[RowYear],"&gt;="&amp;$C$4,DaybyDay[Date],"&lt;="&amp;DaybyDay[[#This Row],[Date]])</f>
        <v>385554.23</v>
      </c>
      <c r="R1206" s="34">
        <f>SUMIFS(DaybyDay[Retail-Actuals],DaybyDay[Date],"&gt;="&amp;$C$5,DaybyDay[RowYear],"&gt;="&amp;$C$4,DaybyDay[Date],"&lt;="&amp;DaybyDay[[#This Row],[Date]])</f>
        <v>88360.030000000028</v>
      </c>
      <c r="S1206" s="35">
        <f>SUMIFS(DaybyDay[Service-LY],DaybyDay[Date],"&gt;="&amp;$C$5,DaybyDay[RowYear],"&gt;="&amp;$C$4,DaybyDay[Date],"&lt;="&amp;DaybyDay[[#This Row],[Date]])</f>
        <v>530528.0199999999</v>
      </c>
      <c r="T1206" s="35">
        <f>SUMIFS(DaybyDay[Retail-LY],DaybyDay[Date],"&gt;="&amp;$C$5,DaybyDay[RowYear],"&gt;="&amp;$C$4,DaybyDay[Date],"&lt;="&amp;DaybyDay[[#This Row],[Date]])</f>
        <v>110059.46999999999</v>
      </c>
      <c r="U1206" s="32">
        <f>DaybyDay[[#This Row],[Serv-Bud-RU]]+DaybyDay[[#This Row],[Ret-Bud-RU]]</f>
        <v>706210.65703215543</v>
      </c>
      <c r="V1206" s="32">
        <f>DaybyDay[[#This Row],[Serv-Act-RU]]+DaybyDay[[#This Row],[Ret-Act-RU]]</f>
        <v>473914.26</v>
      </c>
      <c r="W1206" s="36" t="str">
        <f>IF(DaybyDay[[#This Row],[_Space]],IFERROR(
((DaybyDay[[#This Row],[Actual-Rollup]]-DaybyDay[[#This Row],[Budget-Rollup]])/DaybyDay[[#This Row],[Budget-Rollup]]),0),"")</f>
        <v/>
      </c>
      <c r="X1206" t="b">
        <f>NOT(AND(ISBLANK(DaybyDay[[#This Row],[Appts]]),ISBLANK(DaybyDay[[#This Row],[Service-Actuals]]),ISBLANK(DaybyDay[[#This Row],[Retail-Actuals]])))</f>
        <v>0</v>
      </c>
      <c r="Y1206" s="36" t="str">
        <f>IF(DaybyDay[[#This Row],[_Space]],IFERROR(
((DaybyDay[[#This Row],[Actual-Rollup]]-DaybyDay[[#This Row],[LY-Rollup]])/DaybyDay[[#This Row],[LY-Rollup]]),0),"")</f>
        <v/>
      </c>
      <c r="Z1206"/>
      <c r="AA1206" s="37" t="str">
        <f>IF(DaybyDay[[#This Row],[_Space]],DaybyDay[[#This Row],[Ret-Act-RU]]/DaybyDay[[#This Row],[Serv-Act-RU]],"")</f>
        <v/>
      </c>
      <c r="AB1206" s="50" t="str">
        <f>IF(DaybyDay[[#This Row],[_Space]],DaybyDay[[#This Row],[RETPEN-Act]]/DaybyDay[[#This Row],[RETPEN-Bud]],"")</f>
        <v/>
      </c>
      <c r="AC1206" s="37" t="str">
        <f>IF(DaybyDay[[#This Row],[_Space]],DaybyDay[[#This Row],[Ret-Bud-RU]]/DaybyDay[[#This Row],[Serv-Bud-RU]],"")</f>
        <v/>
      </c>
      <c r="AD1206" s="37" t="str">
        <f>IF(DaybyDay[[#This Row],[_Space]],DaybyDay[[#This Row],[Ret-LY-RU]]/DaybyDay[[#This Row],[Serv-LY-RU]],"")</f>
        <v/>
      </c>
      <c r="AE1206" s="30">
        <f>WEEKDAY(DaybyDay[[#This Row],[LY-Date]])</f>
        <v>3</v>
      </c>
      <c r="AF1206" s="38">
        <f>$E$2+_xlfn.DAYS(DaybyDay[[#This Row],[Date]],minDate)</f>
        <v>43571</v>
      </c>
      <c r="AG1206" s="39" cm="1">
        <f t="array" ref="AG1206">IFERROR(INDEX(DaybyDay[],DaybyDay[[#This Row],[FORM_MATCH_HELPER]],8),"")</f>
        <v>8</v>
      </c>
      <c r="AH1206" s="39" cm="1">
        <f t="array" ref="AH1206">IFERROR(INDEX(DaybyDay[],DaybyDay[[#This Row],[FORM_MATCH_HELPER]],10),"")</f>
        <v>1433.6</v>
      </c>
      <c r="AI1206" s="39" cm="1">
        <f t="array" ref="AI1206">IFERROR(INDEX(DaybyDay[],DaybyDay[[#This Row],[FORM_MATCH_HELPER]],12),"")</f>
        <v>0</v>
      </c>
      <c r="AJ1206" s="32">
        <f>IFERROR(DaybyDay[[#This Row],[Serv-LY-RU]]+DaybyDay[[#This Row],[Ret-LY-RU]],"")</f>
        <v>640587.48999999987</v>
      </c>
      <c r="AK12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655906.19855409465</v>
      </c>
      <c r="AL1206" s="77"/>
      <c r="AM1206" s="40" t="str">
        <f>IF(DaybyDay[[#This Row],[Admin Hours]]&gt;0,DaybyDay[[#This Row],[Admin Hours]]*$AM$2+$AM$3,"")</f>
        <v/>
      </c>
      <c r="AN1206" s="40">
        <f>SUMIFS(DaybyDay[Est-Admin-Payroll],DaybyDay[Date],"&gt;="&amp;$C$5,DaybyDay[RowYear],"&gt;="&amp;$C$4,DaybyDay[Date],"&lt;="&amp;DaybyDay[[#This Row],[Date]])</f>
        <v>13941.779999999997</v>
      </c>
      <c r="AO1206" s="41" t="str">
        <f>IF(AND(DaybyDay[[#This Row],[_Space]],ISNUMBER(DaybyDay[[#This Row],[Admin Hours]])),DaybyDay[[#This Row],[Est-Admin-Payroll]]/(DaybyDay[[#This Row],[Service-Actuals]]+DaybyDay[[#This Row],[Retail-Actuals]]),"")</f>
        <v/>
      </c>
      <c r="AP1206" s="41">
        <f>DaybyDay[[#This Row],[Estimated-Payroll-Rollup]]/DaybyDay[[#This Row],[Simple-Forecast]]</f>
        <v>2.1255752774914774E-2</v>
      </c>
      <c r="AQ12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117835.9728789418</v>
      </c>
      <c r="AR1206" s="77"/>
      <c r="AS1206" s="40" t="str">
        <f>IF(DaybyDay[[#This Row],[Retail Hours]]&gt;0,DaybyDay[[#This Row],[Retail Hours]]*$AS$2,"")</f>
        <v/>
      </c>
      <c r="AT1206" s="40">
        <f>SUMIFS(DaybyDay[Est-Retail-Payroll],DaybyDay[Date],"&gt;="&amp;$C$5,DaybyDay[RowYear],"&gt;="&amp;$C$4,DaybyDay[Date],"&lt;="&amp;DaybyDay[[#This Row],[Date]])</f>
        <v>2627.1</v>
      </c>
      <c r="AU1206" s="82" t="str">
        <f>IF(AND(DaybyDay[[#This Row],[_Space]],ISNUMBER(DaybyDay[[#This Row],[Retail Hours]])),DaybyDay[[#This Row],[Est-Retail-Payroll]]/(DaybyDay[[#This Row],[Retail-Actuals]]),"")</f>
        <v/>
      </c>
      <c r="AV1206" s="82">
        <f>DaybyDay[[#This Row],[Est-Retail-PayrollRU]]/DaybyDay[[#This Row],[Simple-Forecast-Retail]]</f>
        <v>2.229455009209232E-2</v>
      </c>
      <c r="AW1206" s="8"/>
      <c r="AX1206" s="15"/>
      <c r="AY1206" s="8"/>
    </row>
    <row r="1207" spans="3:51" hidden="1" x14ac:dyDescent="0.25">
      <c r="C1207" s="26" t="str">
        <f>Tools!$C$1</f>
        <v>Example</v>
      </c>
      <c r="D1207" s="27" t="s">
        <v>71</v>
      </c>
      <c r="E1207" s="28">
        <v>2020</v>
      </c>
      <c r="F1207" s="28">
        <f>MATCH(DaybyDay[[#This Row],[RowMonth]],Table3[SummaryMonth],0)</f>
        <v>4</v>
      </c>
      <c r="G1207" s="29">
        <f>MATCH(DaybyDay[[#This Row],[LY-Date]],DaybyDay[Date],0)</f>
        <v>837</v>
      </c>
      <c r="H1207" s="30">
        <f>WEEKDAY(DaybyDay[[#This Row],[Date]])</f>
        <v>4</v>
      </c>
      <c r="I1207" s="31">
        <v>43936</v>
      </c>
      <c r="J1207" s="74"/>
      <c r="K1207" s="32">
        <f>SUMIFS(BudgetSeasonality[365 Seasonality],BudgetSeasonality[MonthAdjustment],DaybyDay[[#This Row],[Date]])*SUMIFS(Budgets[Service-Budget],Budgets[BudgetMonth],DaybyDay[[#This Row],[RowMonth]],Budgets[BudgetYear],DaybyDay[[#This Row],[RowYear]])</f>
        <v>4145.2328004657093</v>
      </c>
      <c r="L1207" s="75"/>
      <c r="M1207" s="32">
        <f>INDEX(BudgetSeasonality[365 Seasonality],MATCH(DaybyDay[[#This Row],[Date]],BudgetSeasonality[MonthAdjustment],0))*SUMIFS(Budgets[Retail-Budget],Budgets[BudgetMonth],DaybyDay[[#This Row],[RowMonth]],Budgets[BudgetYear],DaybyDay[[#This Row],[RowYear]])</f>
        <v>1090.5816598270137</v>
      </c>
      <c r="N1207" s="75"/>
      <c r="O1207" s="33">
        <f>SUMIFS(DaybyDay[Service-Budgets],DaybyDay[Date],"&gt;="&amp;$C$5,DaybyDay[RowYear],"&gt;="&amp;$C$4,DaybyDay[Date],"&lt;="&amp;DaybyDay[[#This Row],[Date]])</f>
        <v>571664.47037049348</v>
      </c>
      <c r="P1207" s="33">
        <f>SUMIFS(DaybyDay[Retail-Budgets],DaybyDay[Date],"&gt;="&amp;$C$5,DaybyDay[RowYear],"&gt;="&amp;$C$4,DaybyDay[Date],"&lt;="&amp;DaybyDay[[#This Row],[Date]])</f>
        <v>139782.00112195464</v>
      </c>
      <c r="Q1207" s="34">
        <f>SUMIFS(DaybyDay[Service-Actuals],DaybyDay[Date],"&gt;="&amp;$C$5,DaybyDay[RowYear],"&gt;="&amp;$C$4,DaybyDay[Date],"&lt;="&amp;DaybyDay[[#This Row],[Date]])</f>
        <v>385554.23</v>
      </c>
      <c r="R1207" s="34">
        <f>SUMIFS(DaybyDay[Retail-Actuals],DaybyDay[Date],"&gt;="&amp;$C$5,DaybyDay[RowYear],"&gt;="&amp;$C$4,DaybyDay[Date],"&lt;="&amp;DaybyDay[[#This Row],[Date]])</f>
        <v>88360.030000000028</v>
      </c>
      <c r="S1207" s="35">
        <f>SUMIFS(DaybyDay[Service-LY],DaybyDay[Date],"&gt;="&amp;$C$5,DaybyDay[RowYear],"&gt;="&amp;$C$4,DaybyDay[Date],"&lt;="&amp;DaybyDay[[#This Row],[Date]])</f>
        <v>534057.41999999993</v>
      </c>
      <c r="T1207" s="35">
        <f>SUMIFS(DaybyDay[Retail-LY],DaybyDay[Date],"&gt;="&amp;$C$5,DaybyDay[RowYear],"&gt;="&amp;$C$4,DaybyDay[Date],"&lt;="&amp;DaybyDay[[#This Row],[Date]])</f>
        <v>110347.46999999999</v>
      </c>
      <c r="U1207" s="32">
        <f>DaybyDay[[#This Row],[Serv-Bud-RU]]+DaybyDay[[#This Row],[Ret-Bud-RU]]</f>
        <v>711446.47149244812</v>
      </c>
      <c r="V1207" s="32">
        <f>DaybyDay[[#This Row],[Serv-Act-RU]]+DaybyDay[[#This Row],[Ret-Act-RU]]</f>
        <v>473914.26</v>
      </c>
      <c r="W1207" s="36" t="str">
        <f>IF(DaybyDay[[#This Row],[_Space]],IFERROR(
((DaybyDay[[#This Row],[Actual-Rollup]]-DaybyDay[[#This Row],[Budget-Rollup]])/DaybyDay[[#This Row],[Budget-Rollup]]),0),"")</f>
        <v/>
      </c>
      <c r="X1207" t="b">
        <f>NOT(AND(ISBLANK(DaybyDay[[#This Row],[Appts]]),ISBLANK(DaybyDay[[#This Row],[Service-Actuals]]),ISBLANK(DaybyDay[[#This Row],[Retail-Actuals]])))</f>
        <v>0</v>
      </c>
      <c r="Y1207" s="36" t="str">
        <f>IF(DaybyDay[[#This Row],[_Space]],IFERROR(
((DaybyDay[[#This Row],[Actual-Rollup]]-DaybyDay[[#This Row],[LY-Rollup]])/DaybyDay[[#This Row],[LY-Rollup]]),0),"")</f>
        <v/>
      </c>
      <c r="Z1207"/>
      <c r="AA1207" s="37" t="str">
        <f>IF(DaybyDay[[#This Row],[_Space]],DaybyDay[[#This Row],[Ret-Act-RU]]/DaybyDay[[#This Row],[Serv-Act-RU]],"")</f>
        <v/>
      </c>
      <c r="AB1207" s="50" t="str">
        <f>IF(DaybyDay[[#This Row],[_Space]],DaybyDay[[#This Row],[RETPEN-Act]]/DaybyDay[[#This Row],[RETPEN-Bud]],"")</f>
        <v/>
      </c>
      <c r="AC1207" s="37" t="str">
        <f>IF(DaybyDay[[#This Row],[_Space]],DaybyDay[[#This Row],[Ret-Bud-RU]]/DaybyDay[[#This Row],[Serv-Bud-RU]],"")</f>
        <v/>
      </c>
      <c r="AD1207" s="37" t="str">
        <f>IF(DaybyDay[[#This Row],[_Space]],DaybyDay[[#This Row],[Ret-LY-RU]]/DaybyDay[[#This Row],[Serv-LY-RU]],"")</f>
        <v/>
      </c>
      <c r="AE1207" s="30">
        <f>WEEKDAY(DaybyDay[[#This Row],[LY-Date]])</f>
        <v>4</v>
      </c>
      <c r="AF1207" s="38">
        <f>$E$2+_xlfn.DAYS(DaybyDay[[#This Row],[Date]],minDate)</f>
        <v>43572</v>
      </c>
      <c r="AG1207" s="39" cm="1">
        <f t="array" ref="AG1207">IFERROR(INDEX(DaybyDay[],DaybyDay[[#This Row],[FORM_MATCH_HELPER]],8),"")</f>
        <v>17</v>
      </c>
      <c r="AH1207" s="39" cm="1">
        <f t="array" ref="AH1207">IFERROR(INDEX(DaybyDay[],DaybyDay[[#This Row],[FORM_MATCH_HELPER]],10),"")</f>
        <v>3529.4</v>
      </c>
      <c r="AI1207" s="39" cm="1">
        <f t="array" ref="AI1207">IFERROR(INDEX(DaybyDay[],DaybyDay[[#This Row],[FORM_MATCH_HELPER]],12),"")</f>
        <v>288</v>
      </c>
      <c r="AJ1207" s="32">
        <f>IFERROR(DaybyDay[[#This Row],[Serv-LY-RU]]+DaybyDay[[#This Row],[Ret-LY-RU]],"")</f>
        <v>644404.8899999999</v>
      </c>
      <c r="AK12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660015.42063569347</v>
      </c>
      <c r="AL1207" s="77"/>
      <c r="AM1207" s="40" t="str">
        <f>IF(DaybyDay[[#This Row],[Admin Hours]]&gt;0,DaybyDay[[#This Row],[Admin Hours]]*$AM$2+$AM$3,"")</f>
        <v/>
      </c>
      <c r="AN1207" s="40">
        <f>SUMIFS(DaybyDay[Est-Admin-Payroll],DaybyDay[Date],"&gt;="&amp;$C$5,DaybyDay[RowYear],"&gt;="&amp;$C$4,DaybyDay[Date],"&lt;="&amp;DaybyDay[[#This Row],[Date]])</f>
        <v>13941.779999999997</v>
      </c>
      <c r="AO1207" s="41" t="str">
        <f>IF(AND(DaybyDay[[#This Row],[_Space]],ISNUMBER(DaybyDay[[#This Row],[Admin Hours]])),DaybyDay[[#This Row],[Est-Admin-Payroll]]/(DaybyDay[[#This Row],[Service-Actuals]]+DaybyDay[[#This Row],[Retail-Actuals]]),"")</f>
        <v/>
      </c>
      <c r="AP1207" s="41">
        <f>DaybyDay[[#This Row],[Estimated-Payroll-Rollup]]/DaybyDay[[#This Row],[Simple-Forecast]]</f>
        <v>2.112341555076392E-2</v>
      </c>
      <c r="AQ12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118441.8534870705</v>
      </c>
      <c r="AR1207" s="77"/>
      <c r="AS1207" s="40" t="str">
        <f>IF(DaybyDay[[#This Row],[Retail Hours]]&gt;0,DaybyDay[[#This Row],[Retail Hours]]*$AS$2,"")</f>
        <v/>
      </c>
      <c r="AT1207" s="40">
        <f>SUMIFS(DaybyDay[Est-Retail-Payroll],DaybyDay[Date],"&gt;="&amp;$C$5,DaybyDay[RowYear],"&gt;="&amp;$C$4,DaybyDay[Date],"&lt;="&amp;DaybyDay[[#This Row],[Date]])</f>
        <v>2627.1</v>
      </c>
      <c r="AU1207" s="82" t="str">
        <f>IF(AND(DaybyDay[[#This Row],[_Space]],ISNUMBER(DaybyDay[[#This Row],[Retail Hours]])),DaybyDay[[#This Row],[Est-Retail-Payroll]]/(DaybyDay[[#This Row],[Retail-Actuals]]),"")</f>
        <v/>
      </c>
      <c r="AV1207" s="82">
        <f>DaybyDay[[#This Row],[Est-Retail-PayrollRU]]/DaybyDay[[#This Row],[Simple-Forecast-Retail]]</f>
        <v>2.2180503957469584E-2</v>
      </c>
      <c r="AW1207" s="8"/>
      <c r="AX1207" s="15"/>
      <c r="AY1207" s="8"/>
    </row>
    <row r="1208" spans="3:51" hidden="1" x14ac:dyDescent="0.25">
      <c r="C1208" s="26" t="str">
        <f>Tools!$C$1</f>
        <v>Example</v>
      </c>
      <c r="D1208" s="27" t="s">
        <v>71</v>
      </c>
      <c r="E1208" s="28">
        <v>2020</v>
      </c>
      <c r="F1208" s="28">
        <f>MATCH(DaybyDay[[#This Row],[RowMonth]],Table3[SummaryMonth],0)</f>
        <v>4</v>
      </c>
      <c r="G1208" s="29">
        <f>MATCH(DaybyDay[[#This Row],[LY-Date]],DaybyDay[Date],0)</f>
        <v>838</v>
      </c>
      <c r="H1208" s="30">
        <f>WEEKDAY(DaybyDay[[#This Row],[Date]])</f>
        <v>5</v>
      </c>
      <c r="I1208" s="31">
        <v>43937</v>
      </c>
      <c r="J1208" s="74"/>
      <c r="K1208" s="32">
        <f>SUMIFS(BudgetSeasonality[365 Seasonality],BudgetSeasonality[MonthAdjustment],DaybyDay[[#This Row],[Date]])*SUMIFS(Budgets[Service-Budget],Budgets[BudgetMonth],DaybyDay[[#This Row],[RowMonth]],Budgets[BudgetYear],DaybyDay[[#This Row],[RowYear]])</f>
        <v>4150.3598043836937</v>
      </c>
      <c r="L1208" s="75"/>
      <c r="M1208" s="32">
        <f>INDEX(BudgetSeasonality[365 Seasonality],MATCH(DaybyDay[[#This Row],[Date]],BudgetSeasonality[MonthAdjustment],0))*SUMIFS(Budgets[Retail-Budget],Budgets[BudgetMonth],DaybyDay[[#This Row],[RowMonth]],Budgets[BudgetYear],DaybyDay[[#This Row],[RowYear]])</f>
        <v>1091.9305385780906</v>
      </c>
      <c r="N1208" s="75"/>
      <c r="O1208" s="33">
        <f>SUMIFS(DaybyDay[Service-Budgets],DaybyDay[Date],"&gt;="&amp;$C$5,DaybyDay[RowYear],"&gt;="&amp;$C$4,DaybyDay[Date],"&lt;="&amp;DaybyDay[[#This Row],[Date]])</f>
        <v>575814.83017487719</v>
      </c>
      <c r="P1208" s="33">
        <f>SUMIFS(DaybyDay[Retail-Budgets],DaybyDay[Date],"&gt;="&amp;$C$5,DaybyDay[RowYear],"&gt;="&amp;$C$4,DaybyDay[Date],"&lt;="&amp;DaybyDay[[#This Row],[Date]])</f>
        <v>140873.93166053275</v>
      </c>
      <c r="Q1208" s="34">
        <f>SUMIFS(DaybyDay[Service-Actuals],DaybyDay[Date],"&gt;="&amp;$C$5,DaybyDay[RowYear],"&gt;="&amp;$C$4,DaybyDay[Date],"&lt;="&amp;DaybyDay[[#This Row],[Date]])</f>
        <v>385554.23</v>
      </c>
      <c r="R1208" s="34">
        <f>SUMIFS(DaybyDay[Retail-Actuals],DaybyDay[Date],"&gt;="&amp;$C$5,DaybyDay[RowYear],"&gt;="&amp;$C$4,DaybyDay[Date],"&lt;="&amp;DaybyDay[[#This Row],[Date]])</f>
        <v>88360.030000000028</v>
      </c>
      <c r="S1208" s="35">
        <f>SUMIFS(DaybyDay[Service-LY],DaybyDay[Date],"&gt;="&amp;$C$5,DaybyDay[RowYear],"&gt;="&amp;$C$4,DaybyDay[Date],"&lt;="&amp;DaybyDay[[#This Row],[Date]])</f>
        <v>537144.3899999999</v>
      </c>
      <c r="T1208" s="35">
        <f>SUMIFS(DaybyDay[Retail-LY],DaybyDay[Date],"&gt;="&amp;$C$5,DaybyDay[RowYear],"&gt;="&amp;$C$4,DaybyDay[Date],"&lt;="&amp;DaybyDay[[#This Row],[Date]])</f>
        <v>111127.56999999999</v>
      </c>
      <c r="U1208" s="32">
        <f>DaybyDay[[#This Row],[Serv-Bud-RU]]+DaybyDay[[#This Row],[Ret-Bud-RU]]</f>
        <v>716688.76183540991</v>
      </c>
      <c r="V1208" s="32">
        <f>DaybyDay[[#This Row],[Serv-Act-RU]]+DaybyDay[[#This Row],[Ret-Act-RU]]</f>
        <v>473914.26</v>
      </c>
      <c r="W1208" s="36" t="str">
        <f>IF(DaybyDay[[#This Row],[_Space]],IFERROR(
((DaybyDay[[#This Row],[Actual-Rollup]]-DaybyDay[[#This Row],[Budget-Rollup]])/DaybyDay[[#This Row],[Budget-Rollup]]),0),"")</f>
        <v/>
      </c>
      <c r="X1208" t="b">
        <f>NOT(AND(ISBLANK(DaybyDay[[#This Row],[Appts]]),ISBLANK(DaybyDay[[#This Row],[Service-Actuals]]),ISBLANK(DaybyDay[[#This Row],[Retail-Actuals]])))</f>
        <v>0</v>
      </c>
      <c r="Y1208" s="36" t="str">
        <f>IF(DaybyDay[[#This Row],[_Space]],IFERROR(
((DaybyDay[[#This Row],[Actual-Rollup]]-DaybyDay[[#This Row],[LY-Rollup]])/DaybyDay[[#This Row],[LY-Rollup]]),0),"")</f>
        <v/>
      </c>
      <c r="Z1208"/>
      <c r="AA1208" s="37" t="str">
        <f>IF(DaybyDay[[#This Row],[_Space]],DaybyDay[[#This Row],[Ret-Act-RU]]/DaybyDay[[#This Row],[Serv-Act-RU]],"")</f>
        <v/>
      </c>
      <c r="AB1208" s="50" t="str">
        <f>IF(DaybyDay[[#This Row],[_Space]],DaybyDay[[#This Row],[RETPEN-Act]]/DaybyDay[[#This Row],[RETPEN-Bud]],"")</f>
        <v/>
      </c>
      <c r="AC1208" s="37" t="str">
        <f>IF(DaybyDay[[#This Row],[_Space]],DaybyDay[[#This Row],[Ret-Bud-RU]]/DaybyDay[[#This Row],[Serv-Bud-RU]],"")</f>
        <v/>
      </c>
      <c r="AD1208" s="37" t="str">
        <f>IF(DaybyDay[[#This Row],[_Space]],DaybyDay[[#This Row],[Ret-LY-RU]]/DaybyDay[[#This Row],[Serv-LY-RU]],"")</f>
        <v/>
      </c>
      <c r="AE1208" s="30">
        <f>WEEKDAY(DaybyDay[[#This Row],[LY-Date]])</f>
        <v>5</v>
      </c>
      <c r="AF1208" s="38">
        <f>$E$2+_xlfn.DAYS(DaybyDay[[#This Row],[Date]],minDate)</f>
        <v>43573</v>
      </c>
      <c r="AG1208" s="39" cm="1">
        <f t="array" ref="AG1208">IFERROR(INDEX(DaybyDay[],DaybyDay[[#This Row],[FORM_MATCH_HELPER]],8),"")</f>
        <v>16</v>
      </c>
      <c r="AH1208" s="39" cm="1">
        <f t="array" ref="AH1208">IFERROR(INDEX(DaybyDay[],DaybyDay[[#This Row],[FORM_MATCH_HELPER]],10),"")</f>
        <v>3086.9700000000003</v>
      </c>
      <c r="AI1208" s="39" cm="1">
        <f t="array" ref="AI1208">IFERROR(INDEX(DaybyDay[],DaybyDay[[#This Row],[FORM_MATCH_HELPER]],12),"")</f>
        <v>780.1</v>
      </c>
      <c r="AJ1208" s="32">
        <f>IFERROR(DaybyDay[[#This Row],[Serv-LY-RU]]+DaybyDay[[#This Row],[Ret-LY-RU]],"")</f>
        <v>648271.95999999985</v>
      </c>
      <c r="AK12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664151.88672189822</v>
      </c>
      <c r="AL1208" s="77"/>
      <c r="AM1208" s="40" t="str">
        <f>IF(DaybyDay[[#This Row],[Admin Hours]]&gt;0,DaybyDay[[#This Row],[Admin Hours]]*$AM$2+$AM$3,"")</f>
        <v/>
      </c>
      <c r="AN1208" s="40">
        <f>SUMIFS(DaybyDay[Est-Admin-Payroll],DaybyDay[Date],"&gt;="&amp;$C$5,DaybyDay[RowYear],"&gt;="&amp;$C$4,DaybyDay[Date],"&lt;="&amp;DaybyDay[[#This Row],[Date]])</f>
        <v>13941.779999999997</v>
      </c>
      <c r="AO1208" s="41" t="str">
        <f>IF(AND(DaybyDay[[#This Row],[_Space]],ISNUMBER(DaybyDay[[#This Row],[Admin Hours]])),DaybyDay[[#This Row],[Est-Admin-Payroll]]/(DaybyDay[[#This Row],[Service-Actuals]]+DaybyDay[[#This Row],[Retail-Actuals]]),"")</f>
        <v/>
      </c>
      <c r="AP1208" s="41">
        <f>DaybyDay[[#This Row],[Estimated-Payroll-Rollup]]/DaybyDay[[#This Row],[Simple-Forecast]]</f>
        <v>2.0991854843345297E-2</v>
      </c>
      <c r="AQ12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119290.93441573407</v>
      </c>
      <c r="AR1208" s="77"/>
      <c r="AS1208" s="40" t="str">
        <f>IF(DaybyDay[[#This Row],[Retail Hours]]&gt;0,DaybyDay[[#This Row],[Retail Hours]]*$AS$2,"")</f>
        <v/>
      </c>
      <c r="AT1208" s="40">
        <f>SUMIFS(DaybyDay[Est-Retail-Payroll],DaybyDay[Date],"&gt;="&amp;$C$5,DaybyDay[RowYear],"&gt;="&amp;$C$4,DaybyDay[Date],"&lt;="&amp;DaybyDay[[#This Row],[Date]])</f>
        <v>2627.1</v>
      </c>
      <c r="AU1208" s="82" t="str">
        <f>IF(AND(DaybyDay[[#This Row],[_Space]],ISNUMBER(DaybyDay[[#This Row],[Retail Hours]])),DaybyDay[[#This Row],[Est-Retail-Payroll]]/(DaybyDay[[#This Row],[Retail-Actuals]]),"")</f>
        <v/>
      </c>
      <c r="AV1208" s="82">
        <f>DaybyDay[[#This Row],[Est-Retail-PayrollRU]]/DaybyDay[[#This Row],[Simple-Forecast-Retail]]</f>
        <v>2.2022629069569047E-2</v>
      </c>
      <c r="AW1208" s="8"/>
      <c r="AX1208" s="15"/>
      <c r="AY1208" s="8"/>
    </row>
    <row r="1209" spans="3:51" hidden="1" x14ac:dyDescent="0.25">
      <c r="C1209" s="26" t="str">
        <f>Tools!$C$1</f>
        <v>Example</v>
      </c>
      <c r="D1209" s="27" t="s">
        <v>71</v>
      </c>
      <c r="E1209" s="28">
        <v>2020</v>
      </c>
      <c r="F1209" s="28">
        <f>MATCH(DaybyDay[[#This Row],[RowMonth]],Table3[SummaryMonth],0)</f>
        <v>4</v>
      </c>
      <c r="G1209" s="29">
        <f>MATCH(DaybyDay[[#This Row],[LY-Date]],DaybyDay[Date],0)</f>
        <v>839</v>
      </c>
      <c r="H1209" s="30">
        <f>WEEKDAY(DaybyDay[[#This Row],[Date]])</f>
        <v>6</v>
      </c>
      <c r="I1209" s="31">
        <v>43938</v>
      </c>
      <c r="J1209" s="74"/>
      <c r="K1209" s="32">
        <f>SUMIFS(BudgetSeasonality[365 Seasonality],BudgetSeasonality[MonthAdjustment],DaybyDay[[#This Row],[Date]])*SUMIFS(Budgets[Service-Budget],Budgets[BudgetMonth],DaybyDay[[#This Row],[RowMonth]],Budgets[BudgetYear],DaybyDay[[#This Row],[RowYear]])</f>
        <v>5178.6893979806382</v>
      </c>
      <c r="L1209" s="75"/>
      <c r="M1209" s="32">
        <f>INDEX(BudgetSeasonality[365 Seasonality],MATCH(DaybyDay[[#This Row],[Date]],BudgetSeasonality[MonthAdjustment],0))*SUMIFS(Budgets[Retail-Budget],Budgets[BudgetMonth],DaybyDay[[#This Row],[RowMonth]],Budgets[BudgetYear],DaybyDay[[#This Row],[RowYear]])</f>
        <v>1362.4768381509875</v>
      </c>
      <c r="N1209" s="75"/>
      <c r="O1209" s="33">
        <f>SUMIFS(DaybyDay[Service-Budgets],DaybyDay[Date],"&gt;="&amp;$C$5,DaybyDay[RowYear],"&gt;="&amp;$C$4,DaybyDay[Date],"&lt;="&amp;DaybyDay[[#This Row],[Date]])</f>
        <v>580993.51957285788</v>
      </c>
      <c r="P1209" s="33">
        <f>SUMIFS(DaybyDay[Retail-Budgets],DaybyDay[Date],"&gt;="&amp;$C$5,DaybyDay[RowYear],"&gt;="&amp;$C$4,DaybyDay[Date],"&lt;="&amp;DaybyDay[[#This Row],[Date]])</f>
        <v>142236.40849868374</v>
      </c>
      <c r="Q1209" s="34">
        <f>SUMIFS(DaybyDay[Service-Actuals],DaybyDay[Date],"&gt;="&amp;$C$5,DaybyDay[RowYear],"&gt;="&amp;$C$4,DaybyDay[Date],"&lt;="&amp;DaybyDay[[#This Row],[Date]])</f>
        <v>385554.23</v>
      </c>
      <c r="R1209" s="34">
        <f>SUMIFS(DaybyDay[Retail-Actuals],DaybyDay[Date],"&gt;="&amp;$C$5,DaybyDay[RowYear],"&gt;="&amp;$C$4,DaybyDay[Date],"&lt;="&amp;DaybyDay[[#This Row],[Date]])</f>
        <v>88360.030000000028</v>
      </c>
      <c r="S1209" s="35">
        <f>SUMIFS(DaybyDay[Service-LY],DaybyDay[Date],"&gt;="&amp;$C$5,DaybyDay[RowYear],"&gt;="&amp;$C$4,DaybyDay[Date],"&lt;="&amp;DaybyDay[[#This Row],[Date]])</f>
        <v>542421.28999999992</v>
      </c>
      <c r="T1209" s="35">
        <f>SUMIFS(DaybyDay[Retail-LY],DaybyDay[Date],"&gt;="&amp;$C$5,DaybyDay[RowYear],"&gt;="&amp;$C$4,DaybyDay[Date],"&lt;="&amp;DaybyDay[[#This Row],[Date]])</f>
        <v>114136.06999999999</v>
      </c>
      <c r="U1209" s="32">
        <f>DaybyDay[[#This Row],[Serv-Bud-RU]]+DaybyDay[[#This Row],[Ret-Bud-RU]]</f>
        <v>723229.9280715416</v>
      </c>
      <c r="V1209" s="32">
        <f>DaybyDay[[#This Row],[Serv-Act-RU]]+DaybyDay[[#This Row],[Ret-Act-RU]]</f>
        <v>473914.26</v>
      </c>
      <c r="W1209" s="36" t="str">
        <f>IF(DaybyDay[[#This Row],[_Space]],IFERROR(
((DaybyDay[[#This Row],[Actual-Rollup]]-DaybyDay[[#This Row],[Budget-Rollup]])/DaybyDay[[#This Row],[Budget-Rollup]]),0),"")</f>
        <v/>
      </c>
      <c r="X1209" t="b">
        <f>NOT(AND(ISBLANK(DaybyDay[[#This Row],[Appts]]),ISBLANK(DaybyDay[[#This Row],[Service-Actuals]]),ISBLANK(DaybyDay[[#This Row],[Retail-Actuals]])))</f>
        <v>0</v>
      </c>
      <c r="Y1209" s="36" t="str">
        <f>IF(DaybyDay[[#This Row],[_Space]],IFERROR(
((DaybyDay[[#This Row],[Actual-Rollup]]-DaybyDay[[#This Row],[LY-Rollup]])/DaybyDay[[#This Row],[LY-Rollup]]),0),"")</f>
        <v/>
      </c>
      <c r="Z1209"/>
      <c r="AA1209" s="37" t="str">
        <f>IF(DaybyDay[[#This Row],[_Space]],DaybyDay[[#This Row],[Ret-Act-RU]]/DaybyDay[[#This Row],[Serv-Act-RU]],"")</f>
        <v/>
      </c>
      <c r="AB1209" s="50" t="str">
        <f>IF(DaybyDay[[#This Row],[_Space]],DaybyDay[[#This Row],[RETPEN-Act]]/DaybyDay[[#This Row],[RETPEN-Bud]],"")</f>
        <v/>
      </c>
      <c r="AC1209" s="37" t="str">
        <f>IF(DaybyDay[[#This Row],[_Space]],DaybyDay[[#This Row],[Ret-Bud-RU]]/DaybyDay[[#This Row],[Serv-Bud-RU]],"")</f>
        <v/>
      </c>
      <c r="AD1209" s="37" t="str">
        <f>IF(DaybyDay[[#This Row],[_Space]],DaybyDay[[#This Row],[Ret-LY-RU]]/DaybyDay[[#This Row],[Serv-LY-RU]],"")</f>
        <v/>
      </c>
      <c r="AE1209" s="30">
        <f>WEEKDAY(DaybyDay[[#This Row],[LY-Date]])</f>
        <v>6</v>
      </c>
      <c r="AF1209" s="38">
        <f>$E$2+_xlfn.DAYS(DaybyDay[[#This Row],[Date]],minDate)</f>
        <v>43574</v>
      </c>
      <c r="AG1209" s="39" cm="1">
        <f t="array" ref="AG1209">IFERROR(INDEX(DaybyDay[],DaybyDay[[#This Row],[FORM_MATCH_HELPER]],8),"")</f>
        <v>22</v>
      </c>
      <c r="AH1209" s="39" cm="1">
        <f t="array" ref="AH1209">IFERROR(INDEX(DaybyDay[],DaybyDay[[#This Row],[FORM_MATCH_HELPER]],10),"")</f>
        <v>5276.9</v>
      </c>
      <c r="AI1209" s="39" cm="1">
        <f t="array" ref="AI1209">IFERROR(INDEX(DaybyDay[],DaybyDay[[#This Row],[FORM_MATCH_HELPER]],12),"")</f>
        <v>3008.5</v>
      </c>
      <c r="AJ1209" s="32">
        <f>IFERROR(DaybyDay[[#This Row],[Serv-LY-RU]]+DaybyDay[[#This Row],[Ret-LY-RU]],"")</f>
        <v>656557.35999999987</v>
      </c>
      <c r="AK12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671019.26357347518</v>
      </c>
      <c r="AL1209" s="77"/>
      <c r="AM1209" s="40" t="str">
        <f>IF(DaybyDay[[#This Row],[Admin Hours]]&gt;0,DaybyDay[[#This Row],[Admin Hours]]*$AM$2+$AM$3,"")</f>
        <v/>
      </c>
      <c r="AN1209" s="40">
        <f>SUMIFS(DaybyDay[Est-Admin-Payroll],DaybyDay[Date],"&gt;="&amp;$C$5,DaybyDay[RowYear],"&gt;="&amp;$C$4,DaybyDay[Date],"&lt;="&amp;DaybyDay[[#This Row],[Date]])</f>
        <v>13941.779999999997</v>
      </c>
      <c r="AO1209" s="41" t="str">
        <f>IF(AND(DaybyDay[[#This Row],[_Space]],ISNUMBER(DaybyDay[[#This Row],[Admin Hours]])),DaybyDay[[#This Row],[Est-Admin-Payroll]]/(DaybyDay[[#This Row],[Service-Actuals]]+DaybyDay[[#This Row],[Retail-Actuals]]),"")</f>
        <v/>
      </c>
      <c r="AP1209" s="41">
        <f>DaybyDay[[#This Row],[Estimated-Payroll-Rollup]]/DaybyDay[[#This Row],[Simple-Forecast]]</f>
        <v>2.0777019016941234E-2</v>
      </c>
      <c r="AQ12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121353.79102676432</v>
      </c>
      <c r="AR1209" s="77"/>
      <c r="AS1209" s="40" t="str">
        <f>IF(DaybyDay[[#This Row],[Retail Hours]]&gt;0,DaybyDay[[#This Row],[Retail Hours]]*$AS$2,"")</f>
        <v/>
      </c>
      <c r="AT1209" s="40">
        <f>SUMIFS(DaybyDay[Est-Retail-Payroll],DaybyDay[Date],"&gt;="&amp;$C$5,DaybyDay[RowYear],"&gt;="&amp;$C$4,DaybyDay[Date],"&lt;="&amp;DaybyDay[[#This Row],[Date]])</f>
        <v>2627.1</v>
      </c>
      <c r="AU1209" s="82" t="str">
        <f>IF(AND(DaybyDay[[#This Row],[_Space]],ISNUMBER(DaybyDay[[#This Row],[Retail Hours]])),DaybyDay[[#This Row],[Est-Retail-Payroll]]/(DaybyDay[[#This Row],[Retail-Actuals]]),"")</f>
        <v/>
      </c>
      <c r="AV1209" s="82">
        <f>DaybyDay[[#This Row],[Est-Retail-PayrollRU]]/DaybyDay[[#This Row],[Simple-Forecast-Retail]]</f>
        <v>2.1648273018686319E-2</v>
      </c>
      <c r="AW1209" s="8"/>
      <c r="AX1209" s="15"/>
      <c r="AY1209" s="8"/>
    </row>
    <row r="1210" spans="3:51" hidden="1" x14ac:dyDescent="0.25">
      <c r="C1210" s="26" t="str">
        <f>Tools!$C$1</f>
        <v>Example</v>
      </c>
      <c r="D1210" s="27" t="s">
        <v>71</v>
      </c>
      <c r="E1210" s="28">
        <v>2020</v>
      </c>
      <c r="F1210" s="28">
        <f>MATCH(DaybyDay[[#This Row],[RowMonth]],Table3[SummaryMonth],0)</f>
        <v>4</v>
      </c>
      <c r="G1210" s="29">
        <f>MATCH(DaybyDay[[#This Row],[LY-Date]],DaybyDay[Date],0)</f>
        <v>840</v>
      </c>
      <c r="H1210" s="30">
        <f>WEEKDAY(DaybyDay[[#This Row],[Date]])</f>
        <v>7</v>
      </c>
      <c r="I1210" s="31">
        <v>43939</v>
      </c>
      <c r="J1210" s="74"/>
      <c r="K1210" s="32">
        <f>SUMIFS(BudgetSeasonality[365 Seasonality],BudgetSeasonality[MonthAdjustment],DaybyDay[[#This Row],[Date]])*SUMIFS(Budgets[Service-Budget],Budgets[BudgetMonth],DaybyDay[[#This Row],[RowMonth]],Budgets[BudgetYear],DaybyDay[[#This Row],[RowYear]])</f>
        <v>7491.4171412427504</v>
      </c>
      <c r="L1210" s="75"/>
      <c r="M1210" s="32">
        <f>INDEX(BudgetSeasonality[365 Seasonality],MATCH(DaybyDay[[#This Row],[Date]],BudgetSeasonality[MonthAdjustment],0))*SUMIFS(Budgets[Retail-Budget],Budgets[BudgetMonth],DaybyDay[[#This Row],[RowMonth]],Budgets[BudgetYear],DaybyDay[[#This Row],[RowYear]])</f>
        <v>1970.9392773875513</v>
      </c>
      <c r="N1210" s="75"/>
      <c r="O1210" s="33">
        <f>SUMIFS(DaybyDay[Service-Budgets],DaybyDay[Date],"&gt;="&amp;$C$5,DaybyDay[RowYear],"&gt;="&amp;$C$4,DaybyDay[Date],"&lt;="&amp;DaybyDay[[#This Row],[Date]])</f>
        <v>588484.93671410065</v>
      </c>
      <c r="P1210" s="33">
        <f>SUMIFS(DaybyDay[Retail-Budgets],DaybyDay[Date],"&gt;="&amp;$C$5,DaybyDay[RowYear],"&gt;="&amp;$C$4,DaybyDay[Date],"&lt;="&amp;DaybyDay[[#This Row],[Date]])</f>
        <v>144207.34777607128</v>
      </c>
      <c r="Q1210" s="34">
        <f>SUMIFS(DaybyDay[Service-Actuals],DaybyDay[Date],"&gt;="&amp;$C$5,DaybyDay[RowYear],"&gt;="&amp;$C$4,DaybyDay[Date],"&lt;="&amp;DaybyDay[[#This Row],[Date]])</f>
        <v>385554.23</v>
      </c>
      <c r="R1210" s="34">
        <f>SUMIFS(DaybyDay[Retail-Actuals],DaybyDay[Date],"&gt;="&amp;$C$5,DaybyDay[RowYear],"&gt;="&amp;$C$4,DaybyDay[Date],"&lt;="&amp;DaybyDay[[#This Row],[Date]])</f>
        <v>88360.030000000028</v>
      </c>
      <c r="S1210" s="35">
        <f>SUMIFS(DaybyDay[Service-LY],DaybyDay[Date],"&gt;="&amp;$C$5,DaybyDay[RowYear],"&gt;="&amp;$C$4,DaybyDay[Date],"&lt;="&amp;DaybyDay[[#This Row],[Date]])</f>
        <v>550947.77999999991</v>
      </c>
      <c r="T1210" s="35">
        <f>SUMIFS(DaybyDay[Retail-LY],DaybyDay[Date],"&gt;="&amp;$C$5,DaybyDay[RowYear],"&gt;="&amp;$C$4,DaybyDay[Date],"&lt;="&amp;DaybyDay[[#This Row],[Date]])</f>
        <v>114976.87</v>
      </c>
      <c r="U1210" s="32">
        <f>DaybyDay[[#This Row],[Serv-Bud-RU]]+DaybyDay[[#This Row],[Ret-Bud-RU]]</f>
        <v>732692.28449017194</v>
      </c>
      <c r="V1210" s="32">
        <f>DaybyDay[[#This Row],[Serv-Act-RU]]+DaybyDay[[#This Row],[Ret-Act-RU]]</f>
        <v>473914.26</v>
      </c>
      <c r="W1210" s="36" t="str">
        <f>IF(DaybyDay[[#This Row],[_Space]],IFERROR(
((DaybyDay[[#This Row],[Actual-Rollup]]-DaybyDay[[#This Row],[Budget-Rollup]])/DaybyDay[[#This Row],[Budget-Rollup]]),0),"")</f>
        <v/>
      </c>
      <c r="X1210" t="b">
        <f>NOT(AND(ISBLANK(DaybyDay[[#This Row],[Appts]]),ISBLANK(DaybyDay[[#This Row],[Service-Actuals]]),ISBLANK(DaybyDay[[#This Row],[Retail-Actuals]])))</f>
        <v>0</v>
      </c>
      <c r="Y1210" s="36" t="str">
        <f>IF(DaybyDay[[#This Row],[_Space]],IFERROR(
((DaybyDay[[#This Row],[Actual-Rollup]]-DaybyDay[[#This Row],[LY-Rollup]])/DaybyDay[[#This Row],[LY-Rollup]]),0),"")</f>
        <v/>
      </c>
      <c r="Z1210"/>
      <c r="AA1210" s="37" t="str">
        <f>IF(DaybyDay[[#This Row],[_Space]],DaybyDay[[#This Row],[Ret-Act-RU]]/DaybyDay[[#This Row],[Serv-Act-RU]],"")</f>
        <v/>
      </c>
      <c r="AB1210" s="50" t="str">
        <f>IF(DaybyDay[[#This Row],[_Space]],DaybyDay[[#This Row],[RETPEN-Act]]/DaybyDay[[#This Row],[RETPEN-Bud]],"")</f>
        <v/>
      </c>
      <c r="AC1210" s="37" t="str">
        <f>IF(DaybyDay[[#This Row],[_Space]],DaybyDay[[#This Row],[Ret-Bud-RU]]/DaybyDay[[#This Row],[Serv-Bud-RU]],"")</f>
        <v/>
      </c>
      <c r="AD1210" s="37" t="str">
        <f>IF(DaybyDay[[#This Row],[_Space]],DaybyDay[[#This Row],[Ret-LY-RU]]/DaybyDay[[#This Row],[Serv-LY-RU]],"")</f>
        <v/>
      </c>
      <c r="AE1210" s="30">
        <f>WEEKDAY(DaybyDay[[#This Row],[LY-Date]])</f>
        <v>7</v>
      </c>
      <c r="AF1210" s="38">
        <f>$E$2+_xlfn.DAYS(DaybyDay[[#This Row],[Date]],minDate)</f>
        <v>43575</v>
      </c>
      <c r="AG1210" s="39" cm="1">
        <f t="array" ref="AG1210">IFERROR(INDEX(DaybyDay[],DaybyDay[[#This Row],[FORM_MATCH_HELPER]],8),"")</f>
        <v>37</v>
      </c>
      <c r="AH1210" s="39" cm="1">
        <f t="array" ref="AH1210">IFERROR(INDEX(DaybyDay[],DaybyDay[[#This Row],[FORM_MATCH_HELPER]],10),"")</f>
        <v>8526.4900000000016</v>
      </c>
      <c r="AI1210" s="39" cm="1">
        <f t="array" ref="AI1210">IFERROR(INDEX(DaybyDay[],DaybyDay[[#This Row],[FORM_MATCH_HELPER]],12),"")</f>
        <v>840.8</v>
      </c>
      <c r="AJ1210" s="32">
        <f>IFERROR(DaybyDay[[#This Row],[Serv-LY-RU]]+DaybyDay[[#This Row],[Ret-LY-RU]],"")</f>
        <v>665924.64999999991</v>
      </c>
      <c r="AK12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679662.60126556724</v>
      </c>
      <c r="AL1210" s="77"/>
      <c r="AM1210" s="40" t="str">
        <f>IF(DaybyDay[[#This Row],[Admin Hours]]&gt;0,DaybyDay[[#This Row],[Admin Hours]]*$AM$2+$AM$3,"")</f>
        <v/>
      </c>
      <c r="AN1210" s="40">
        <f>SUMIFS(DaybyDay[Est-Admin-Payroll],DaybyDay[Date],"&gt;="&amp;$C$5,DaybyDay[RowYear],"&gt;="&amp;$C$4,DaybyDay[Date],"&lt;="&amp;DaybyDay[[#This Row],[Date]])</f>
        <v>13941.779999999997</v>
      </c>
      <c r="AO1210" s="41" t="str">
        <f>IF(AND(DaybyDay[[#This Row],[_Space]],ISNUMBER(DaybyDay[[#This Row],[Admin Hours]])),DaybyDay[[#This Row],[Est-Admin-Payroll]]/(DaybyDay[[#This Row],[Service-Actuals]]+DaybyDay[[#This Row],[Retail-Actuals]]),"")</f>
        <v/>
      </c>
      <c r="AP1210" s="41">
        <f>DaybyDay[[#This Row],[Estimated-Payroll-Rollup]]/DaybyDay[[#This Row],[Simple-Forecast]]</f>
        <v>2.051279557539237E-2</v>
      </c>
      <c r="AQ12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122606.6902788884</v>
      </c>
      <c r="AR1210" s="77"/>
      <c r="AS1210" s="40" t="str">
        <f>IF(DaybyDay[[#This Row],[Retail Hours]]&gt;0,DaybyDay[[#This Row],[Retail Hours]]*$AS$2,"")</f>
        <v/>
      </c>
      <c r="AT1210" s="40">
        <f>SUMIFS(DaybyDay[Est-Retail-Payroll],DaybyDay[Date],"&gt;="&amp;$C$5,DaybyDay[RowYear],"&gt;="&amp;$C$4,DaybyDay[Date],"&lt;="&amp;DaybyDay[[#This Row],[Date]])</f>
        <v>2627.1</v>
      </c>
      <c r="AU1210" s="82" t="str">
        <f>IF(AND(DaybyDay[[#This Row],[_Space]],ISNUMBER(DaybyDay[[#This Row],[Retail Hours]])),DaybyDay[[#This Row],[Est-Retail-Payroll]]/(DaybyDay[[#This Row],[Retail-Actuals]]),"")</f>
        <v/>
      </c>
      <c r="AV1210" s="82">
        <f>DaybyDay[[#This Row],[Est-Retail-PayrollRU]]/DaybyDay[[#This Row],[Simple-Forecast-Retail]]</f>
        <v>2.1427052585990564E-2</v>
      </c>
      <c r="AW1210" s="8"/>
      <c r="AX1210" s="15"/>
      <c r="AY1210" s="8"/>
    </row>
    <row r="1211" spans="3:51" hidden="1" x14ac:dyDescent="0.25">
      <c r="C1211" s="26" t="str">
        <f>Tools!$C$1</f>
        <v>Example</v>
      </c>
      <c r="D1211" s="27" t="s">
        <v>71</v>
      </c>
      <c r="E1211" s="28">
        <v>2020</v>
      </c>
      <c r="F1211" s="28">
        <f>MATCH(DaybyDay[[#This Row],[RowMonth]],Table3[SummaryMonth],0)</f>
        <v>4</v>
      </c>
      <c r="G1211" s="29">
        <f>MATCH(DaybyDay[[#This Row],[LY-Date]],DaybyDay[Date],0)</f>
        <v>841</v>
      </c>
      <c r="H1211" s="30">
        <f>WEEKDAY(DaybyDay[[#This Row],[Date]])</f>
        <v>1</v>
      </c>
      <c r="I1211" s="31">
        <v>43940</v>
      </c>
      <c r="J1211" s="74"/>
      <c r="K1211" s="32">
        <f>SUMIFS(BudgetSeasonality[365 Seasonality],BudgetSeasonality[MonthAdjustment],DaybyDay[[#This Row],[Date]])*SUMIFS(Budgets[Service-Budget],Budgets[BudgetMonth],DaybyDay[[#This Row],[RowMonth]],Budgets[BudgetYear],DaybyDay[[#This Row],[RowYear]])</f>
        <v>5636.75588679047</v>
      </c>
      <c r="L1211" s="75"/>
      <c r="M1211" s="32">
        <f>INDEX(BudgetSeasonality[365 Seasonality],MATCH(DaybyDay[[#This Row],[Date]],BudgetSeasonality[MonthAdjustment],0))*SUMIFS(Budgets[Retail-Budget],Budgets[BudgetMonth],DaybyDay[[#This Row],[RowMonth]],Budgets[BudgetYear],DaybyDay[[#This Row],[RowYear]])</f>
        <v>1482.9909167863862</v>
      </c>
      <c r="N1211" s="75"/>
      <c r="O1211" s="33">
        <f>SUMIFS(DaybyDay[Service-Budgets],DaybyDay[Date],"&gt;="&amp;$C$5,DaybyDay[RowYear],"&gt;="&amp;$C$4,DaybyDay[Date],"&lt;="&amp;DaybyDay[[#This Row],[Date]])</f>
        <v>594121.69260089111</v>
      </c>
      <c r="P1211" s="33">
        <f>SUMIFS(DaybyDay[Retail-Budgets],DaybyDay[Date],"&gt;="&amp;$C$5,DaybyDay[RowYear],"&gt;="&amp;$C$4,DaybyDay[Date],"&lt;="&amp;DaybyDay[[#This Row],[Date]])</f>
        <v>145690.33869285768</v>
      </c>
      <c r="Q1211" s="34">
        <f>SUMIFS(DaybyDay[Service-Actuals],DaybyDay[Date],"&gt;="&amp;$C$5,DaybyDay[RowYear],"&gt;="&amp;$C$4,DaybyDay[Date],"&lt;="&amp;DaybyDay[[#This Row],[Date]])</f>
        <v>385554.23</v>
      </c>
      <c r="R1211" s="34">
        <f>SUMIFS(DaybyDay[Retail-Actuals],DaybyDay[Date],"&gt;="&amp;$C$5,DaybyDay[RowYear],"&gt;="&amp;$C$4,DaybyDay[Date],"&lt;="&amp;DaybyDay[[#This Row],[Date]])</f>
        <v>88360.030000000028</v>
      </c>
      <c r="S1211" s="35">
        <f>SUMIFS(DaybyDay[Service-LY],DaybyDay[Date],"&gt;="&amp;$C$5,DaybyDay[RowYear],"&gt;="&amp;$C$4,DaybyDay[Date],"&lt;="&amp;DaybyDay[[#This Row],[Date]])</f>
        <v>555496.77999999991</v>
      </c>
      <c r="T1211" s="35">
        <f>SUMIFS(DaybyDay[Retail-LY],DaybyDay[Date],"&gt;="&amp;$C$5,DaybyDay[RowYear],"&gt;="&amp;$C$4,DaybyDay[Date],"&lt;="&amp;DaybyDay[[#This Row],[Date]])</f>
        <v>115797.37</v>
      </c>
      <c r="U1211" s="32">
        <f>DaybyDay[[#This Row],[Serv-Bud-RU]]+DaybyDay[[#This Row],[Ret-Bud-RU]]</f>
        <v>739812.03129374876</v>
      </c>
      <c r="V1211" s="32">
        <f>DaybyDay[[#This Row],[Serv-Act-RU]]+DaybyDay[[#This Row],[Ret-Act-RU]]</f>
        <v>473914.26</v>
      </c>
      <c r="W1211" s="36" t="str">
        <f>IF(DaybyDay[[#This Row],[_Space]],IFERROR(
((DaybyDay[[#This Row],[Actual-Rollup]]-DaybyDay[[#This Row],[Budget-Rollup]])/DaybyDay[[#This Row],[Budget-Rollup]]),0),"")</f>
        <v/>
      </c>
      <c r="X1211" t="b">
        <f>NOT(AND(ISBLANK(DaybyDay[[#This Row],[Appts]]),ISBLANK(DaybyDay[[#This Row],[Service-Actuals]]),ISBLANK(DaybyDay[[#This Row],[Retail-Actuals]])))</f>
        <v>0</v>
      </c>
      <c r="Y1211" s="36" t="str">
        <f>IF(DaybyDay[[#This Row],[_Space]],IFERROR(
((DaybyDay[[#This Row],[Actual-Rollup]]-DaybyDay[[#This Row],[LY-Rollup]])/DaybyDay[[#This Row],[LY-Rollup]]),0),"")</f>
        <v/>
      </c>
      <c r="Z1211"/>
      <c r="AA1211" s="37" t="str">
        <f>IF(DaybyDay[[#This Row],[_Space]],DaybyDay[[#This Row],[Ret-Act-RU]]/DaybyDay[[#This Row],[Serv-Act-RU]],"")</f>
        <v/>
      </c>
      <c r="AB1211" s="50" t="str">
        <f>IF(DaybyDay[[#This Row],[_Space]],DaybyDay[[#This Row],[RETPEN-Act]]/DaybyDay[[#This Row],[RETPEN-Bud]],"")</f>
        <v/>
      </c>
      <c r="AC1211" s="37" t="str">
        <f>IF(DaybyDay[[#This Row],[_Space]],DaybyDay[[#This Row],[Ret-Bud-RU]]/DaybyDay[[#This Row],[Serv-Bud-RU]],"")</f>
        <v/>
      </c>
      <c r="AD1211" s="37" t="str">
        <f>IF(DaybyDay[[#This Row],[_Space]],DaybyDay[[#This Row],[Ret-LY-RU]]/DaybyDay[[#This Row],[Serv-LY-RU]],"")</f>
        <v/>
      </c>
      <c r="AE1211" s="30">
        <f>WEEKDAY(DaybyDay[[#This Row],[LY-Date]])</f>
        <v>1</v>
      </c>
      <c r="AF1211" s="38">
        <f>$E$2+_xlfn.DAYS(DaybyDay[[#This Row],[Date]],minDate)</f>
        <v>43576</v>
      </c>
      <c r="AG1211" s="39" cm="1">
        <f t="array" ref="AG1211">IFERROR(INDEX(DaybyDay[],DaybyDay[[#This Row],[FORM_MATCH_HELPER]],8),"")</f>
        <v>17</v>
      </c>
      <c r="AH1211" s="39" cm="1">
        <f t="array" ref="AH1211">IFERROR(INDEX(DaybyDay[],DaybyDay[[#This Row],[FORM_MATCH_HELPER]],10),"")</f>
        <v>4549</v>
      </c>
      <c r="AI1211" s="39" cm="1">
        <f t="array" ref="AI1211">IFERROR(INDEX(DaybyDay[],DaybyDay[[#This Row],[FORM_MATCH_HELPER]],12),"")</f>
        <v>820.5</v>
      </c>
      <c r="AJ1211" s="32">
        <f>IFERROR(DaybyDay[[#This Row],[Serv-LY-RU]]+DaybyDay[[#This Row],[Ret-LY-RU]],"")</f>
        <v>671294.14999999991</v>
      </c>
      <c r="AK12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685338.41542311944</v>
      </c>
      <c r="AL1211" s="77"/>
      <c r="AM1211" s="40" t="str">
        <f>IF(DaybyDay[[#This Row],[Admin Hours]]&gt;0,DaybyDay[[#This Row],[Admin Hours]]*$AM$2+$AM$3,"")</f>
        <v/>
      </c>
      <c r="AN1211" s="40">
        <f>SUMIFS(DaybyDay[Est-Admin-Payroll],DaybyDay[Date],"&gt;="&amp;$C$5,DaybyDay[RowYear],"&gt;="&amp;$C$4,DaybyDay[Date],"&lt;="&amp;DaybyDay[[#This Row],[Date]])</f>
        <v>13941.779999999997</v>
      </c>
      <c r="AO1211" s="41" t="str">
        <f>IF(AND(DaybyDay[[#This Row],[_Space]],ISNUMBER(DaybyDay[[#This Row],[Admin Hours]])),DaybyDay[[#This Row],[Est-Admin-Payroll]]/(DaybyDay[[#This Row],[Service-Actuals]]+DaybyDay[[#This Row],[Retail-Actuals]]),"")</f>
        <v/>
      </c>
      <c r="AP1211" s="41">
        <f>DaybyDay[[#This Row],[Estimated-Payroll-Rollup]]/DaybyDay[[#This Row],[Simple-Forecast]]</f>
        <v>2.0342913349447243E-2</v>
      </c>
      <c r="AQ12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123642.02956869826</v>
      </c>
      <c r="AR1211" s="77"/>
      <c r="AS1211" s="40" t="str">
        <f>IF(DaybyDay[[#This Row],[Retail Hours]]&gt;0,DaybyDay[[#This Row],[Retail Hours]]*$AS$2,"")</f>
        <v/>
      </c>
      <c r="AT1211" s="40">
        <f>SUMIFS(DaybyDay[Est-Retail-Payroll],DaybyDay[Date],"&gt;="&amp;$C$5,DaybyDay[RowYear],"&gt;="&amp;$C$4,DaybyDay[Date],"&lt;="&amp;DaybyDay[[#This Row],[Date]])</f>
        <v>2627.1</v>
      </c>
      <c r="AU1211" s="82" t="str">
        <f>IF(AND(DaybyDay[[#This Row],[_Space]],ISNUMBER(DaybyDay[[#This Row],[Retail Hours]])),DaybyDay[[#This Row],[Est-Retail-Payroll]]/(DaybyDay[[#This Row],[Retail-Actuals]]),"")</f>
        <v/>
      </c>
      <c r="AV1211" s="82">
        <f>DaybyDay[[#This Row],[Est-Retail-PayrollRU]]/DaybyDay[[#This Row],[Simple-Forecast-Retail]]</f>
        <v>2.1247629217703231E-2</v>
      </c>
      <c r="AW1211" s="8"/>
      <c r="AX1211" s="15"/>
      <c r="AY1211" s="8"/>
    </row>
    <row r="1212" spans="3:51" hidden="1" x14ac:dyDescent="0.25">
      <c r="C1212" s="26" t="str">
        <f>Tools!$C$1</f>
        <v>Example</v>
      </c>
      <c r="D1212" s="27" t="s">
        <v>71</v>
      </c>
      <c r="E1212" s="28">
        <v>2020</v>
      </c>
      <c r="F1212" s="28">
        <f>MATCH(DaybyDay[[#This Row],[RowMonth]],Table3[SummaryMonth],0)</f>
        <v>4</v>
      </c>
      <c r="G1212" s="29">
        <f>MATCH(DaybyDay[[#This Row],[LY-Date]],DaybyDay[Date],0)</f>
        <v>842</v>
      </c>
      <c r="H1212" s="30">
        <f>WEEKDAY(DaybyDay[[#This Row],[Date]])</f>
        <v>2</v>
      </c>
      <c r="I1212" s="31">
        <v>43941</v>
      </c>
      <c r="J1212" s="74"/>
      <c r="K1212" s="32">
        <f>SUMIFS(BudgetSeasonality[365 Seasonality],BudgetSeasonality[MonthAdjustment],DaybyDay[[#This Row],[Date]])*SUMIFS(Budgets[Service-Budget],Budgets[BudgetMonth],DaybyDay[[#This Row],[RowMonth]],Budgets[BudgetYear],DaybyDay[[#This Row],[RowYear]])</f>
        <v>2983.5852424736217</v>
      </c>
      <c r="L1212" s="75"/>
      <c r="M1212" s="32">
        <f>INDEX(BudgetSeasonality[365 Seasonality],MATCH(DaybyDay[[#This Row],[Date]],BudgetSeasonality[MonthAdjustment],0))*SUMIFS(Budgets[Retail-Budget],Budgets[BudgetMonth],DaybyDay[[#This Row],[RowMonth]],Budgets[BudgetYear],DaybyDay[[#This Row],[RowYear]])</f>
        <v>784.96033940643872</v>
      </c>
      <c r="N1212" s="75"/>
      <c r="O1212" s="33">
        <f>SUMIFS(DaybyDay[Service-Budgets],DaybyDay[Date],"&gt;="&amp;$C$5,DaybyDay[RowYear],"&gt;="&amp;$C$4,DaybyDay[Date],"&lt;="&amp;DaybyDay[[#This Row],[Date]])</f>
        <v>597105.27784336475</v>
      </c>
      <c r="P1212" s="33">
        <f>SUMIFS(DaybyDay[Retail-Budgets],DaybyDay[Date],"&gt;="&amp;$C$5,DaybyDay[RowYear],"&gt;="&amp;$C$4,DaybyDay[Date],"&lt;="&amp;DaybyDay[[#This Row],[Date]])</f>
        <v>146475.29903226413</v>
      </c>
      <c r="Q1212" s="34">
        <f>SUMIFS(DaybyDay[Service-Actuals],DaybyDay[Date],"&gt;="&amp;$C$5,DaybyDay[RowYear],"&gt;="&amp;$C$4,DaybyDay[Date],"&lt;="&amp;DaybyDay[[#This Row],[Date]])</f>
        <v>385554.23</v>
      </c>
      <c r="R1212" s="34">
        <f>SUMIFS(DaybyDay[Retail-Actuals],DaybyDay[Date],"&gt;="&amp;$C$5,DaybyDay[RowYear],"&gt;="&amp;$C$4,DaybyDay[Date],"&lt;="&amp;DaybyDay[[#This Row],[Date]])</f>
        <v>88360.030000000028</v>
      </c>
      <c r="S1212" s="35">
        <f>SUMIFS(DaybyDay[Service-LY],DaybyDay[Date],"&gt;="&amp;$C$5,DaybyDay[RowYear],"&gt;="&amp;$C$4,DaybyDay[Date],"&lt;="&amp;DaybyDay[[#This Row],[Date]])</f>
        <v>558834.27999999991</v>
      </c>
      <c r="T1212" s="35">
        <f>SUMIFS(DaybyDay[Retail-LY],DaybyDay[Date],"&gt;="&amp;$C$5,DaybyDay[RowYear],"&gt;="&amp;$C$4,DaybyDay[Date],"&lt;="&amp;DaybyDay[[#This Row],[Date]])</f>
        <v>116438.37999999999</v>
      </c>
      <c r="U1212" s="32">
        <f>DaybyDay[[#This Row],[Serv-Bud-RU]]+DaybyDay[[#This Row],[Ret-Bud-RU]]</f>
        <v>743580.5768756289</v>
      </c>
      <c r="V1212" s="32">
        <f>DaybyDay[[#This Row],[Serv-Act-RU]]+DaybyDay[[#This Row],[Ret-Act-RU]]</f>
        <v>473914.26</v>
      </c>
      <c r="W1212" s="36" t="str">
        <f>IF(DaybyDay[[#This Row],[_Space]],IFERROR(
((DaybyDay[[#This Row],[Actual-Rollup]]-DaybyDay[[#This Row],[Budget-Rollup]])/DaybyDay[[#This Row],[Budget-Rollup]]),0),"")</f>
        <v/>
      </c>
      <c r="X1212" t="b">
        <f>NOT(AND(ISBLANK(DaybyDay[[#This Row],[Appts]]),ISBLANK(DaybyDay[[#This Row],[Service-Actuals]]),ISBLANK(DaybyDay[[#This Row],[Retail-Actuals]])))</f>
        <v>0</v>
      </c>
      <c r="Y1212" s="36" t="str">
        <f>IF(DaybyDay[[#This Row],[_Space]],IFERROR(
((DaybyDay[[#This Row],[Actual-Rollup]]-DaybyDay[[#This Row],[LY-Rollup]])/DaybyDay[[#This Row],[LY-Rollup]]),0),"")</f>
        <v/>
      </c>
      <c r="Z1212"/>
      <c r="AA1212" s="37" t="str">
        <f>IF(DaybyDay[[#This Row],[_Space]],DaybyDay[[#This Row],[Ret-Act-RU]]/DaybyDay[[#This Row],[Serv-Act-RU]],"")</f>
        <v/>
      </c>
      <c r="AB1212" s="50" t="str">
        <f>IF(DaybyDay[[#This Row],[_Space]],DaybyDay[[#This Row],[RETPEN-Act]]/DaybyDay[[#This Row],[RETPEN-Bud]],"")</f>
        <v/>
      </c>
      <c r="AC1212" s="37" t="str">
        <f>IF(DaybyDay[[#This Row],[_Space]],DaybyDay[[#This Row],[Ret-Bud-RU]]/DaybyDay[[#This Row],[Serv-Bud-RU]],"")</f>
        <v/>
      </c>
      <c r="AD1212" s="37" t="str">
        <f>IF(DaybyDay[[#This Row],[_Space]],DaybyDay[[#This Row],[Ret-LY-RU]]/DaybyDay[[#This Row],[Serv-LY-RU]],"")</f>
        <v/>
      </c>
      <c r="AE1212" s="30">
        <f>WEEKDAY(DaybyDay[[#This Row],[LY-Date]])</f>
        <v>2</v>
      </c>
      <c r="AF1212" s="38">
        <f>$E$2+_xlfn.DAYS(DaybyDay[[#This Row],[Date]],minDate)</f>
        <v>43577</v>
      </c>
      <c r="AG1212" s="39" cm="1">
        <f t="array" ref="AG1212">IFERROR(INDEX(DaybyDay[],DaybyDay[[#This Row],[FORM_MATCH_HELPER]],8),"")</f>
        <v>16</v>
      </c>
      <c r="AH1212" s="39" cm="1">
        <f t="array" ref="AH1212">IFERROR(INDEX(DaybyDay[],DaybyDay[[#This Row],[FORM_MATCH_HELPER]],10),"")</f>
        <v>3337.5</v>
      </c>
      <c r="AI1212" s="39" cm="1">
        <f t="array" ref="AI1212">IFERROR(INDEX(DaybyDay[],DaybyDay[[#This Row],[FORM_MATCH_HELPER]],12),"")</f>
        <v>641.01</v>
      </c>
      <c r="AJ1212" s="32">
        <f>IFERROR(DaybyDay[[#This Row],[Serv-LY-RU]]+DaybyDay[[#This Row],[Ret-LY-RU]],"")</f>
        <v>675272.65999999992</v>
      </c>
      <c r="AK12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688902.96181462752</v>
      </c>
      <c r="AL1212" s="77"/>
      <c r="AM1212" s="40" t="str">
        <f>IF(DaybyDay[[#This Row],[Admin Hours]]&gt;0,DaybyDay[[#This Row],[Admin Hours]]*$AM$2+$AM$3,"")</f>
        <v/>
      </c>
      <c r="AN1212" s="40">
        <f>SUMIFS(DaybyDay[Est-Admin-Payroll],DaybyDay[Date],"&gt;="&amp;$C$5,DaybyDay[RowYear],"&gt;="&amp;$C$4,DaybyDay[Date],"&lt;="&amp;DaybyDay[[#This Row],[Date]])</f>
        <v>13941.779999999997</v>
      </c>
      <c r="AO1212" s="41" t="str">
        <f>IF(AND(DaybyDay[[#This Row],[_Space]],ISNUMBER(DaybyDay[[#This Row],[Admin Hours]])),DaybyDay[[#This Row],[Est-Admin-Payroll]]/(DaybyDay[[#This Row],[Service-Actuals]]+DaybyDay[[#This Row],[Retail-Actuals]]),"")</f>
        <v/>
      </c>
      <c r="AP1212" s="41">
        <f>DaybyDay[[#This Row],[Estimated-Payroll-Rollup]]/DaybyDay[[#This Row],[Simple-Forecast]]</f>
        <v>2.0237654318216593E-2</v>
      </c>
      <c r="AQ12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124291.96186345273</v>
      </c>
      <c r="AR1212" s="77"/>
      <c r="AS1212" s="40" t="str">
        <f>IF(DaybyDay[[#This Row],[Retail Hours]]&gt;0,DaybyDay[[#This Row],[Retail Hours]]*$AS$2,"")</f>
        <v/>
      </c>
      <c r="AT1212" s="40">
        <f>SUMIFS(DaybyDay[Est-Retail-Payroll],DaybyDay[Date],"&gt;="&amp;$C$5,DaybyDay[RowYear],"&gt;="&amp;$C$4,DaybyDay[Date],"&lt;="&amp;DaybyDay[[#This Row],[Date]])</f>
        <v>2627.1</v>
      </c>
      <c r="AU1212" s="82" t="str">
        <f>IF(AND(DaybyDay[[#This Row],[_Space]],ISNUMBER(DaybyDay[[#This Row],[Retail Hours]])),DaybyDay[[#This Row],[Est-Retail-Payroll]]/(DaybyDay[[#This Row],[Retail-Actuals]]),"")</f>
        <v/>
      </c>
      <c r="AV1212" s="82">
        <f>DaybyDay[[#This Row],[Est-Retail-PayrollRU]]/DaybyDay[[#This Row],[Simple-Forecast-Retail]]</f>
        <v>2.1136523718936342E-2</v>
      </c>
      <c r="AW1212" s="8"/>
      <c r="AX1212" s="15"/>
      <c r="AY1212" s="8"/>
    </row>
    <row r="1213" spans="3:51" hidden="1" x14ac:dyDescent="0.25">
      <c r="C1213" s="26" t="str">
        <f>Tools!$C$1</f>
        <v>Example</v>
      </c>
      <c r="D1213" s="27" t="s">
        <v>71</v>
      </c>
      <c r="E1213" s="28">
        <v>2020</v>
      </c>
      <c r="F1213" s="28">
        <f>MATCH(DaybyDay[[#This Row],[RowMonth]],Table3[SummaryMonth],0)</f>
        <v>4</v>
      </c>
      <c r="G1213" s="29">
        <f>MATCH(DaybyDay[[#This Row],[LY-Date]],DaybyDay[Date],0)</f>
        <v>843</v>
      </c>
      <c r="H1213" s="30">
        <f>WEEKDAY(DaybyDay[[#This Row],[Date]])</f>
        <v>3</v>
      </c>
      <c r="I1213" s="31">
        <v>43942</v>
      </c>
      <c r="J1213" s="74"/>
      <c r="K1213" s="32">
        <f>SUMIFS(BudgetSeasonality[365 Seasonality],BudgetSeasonality[MonthAdjustment],DaybyDay[[#This Row],[Date]])*SUMIFS(Budgets[Service-Budget],Budgets[BudgetMonth],DaybyDay[[#This Row],[RowMonth]],Budgets[BudgetYear],DaybyDay[[#This Row],[RowYear]])</f>
        <v>3080.5065148072681</v>
      </c>
      <c r="L1213" s="75"/>
      <c r="M1213" s="32">
        <f>INDEX(BudgetSeasonality[365 Seasonality],MATCH(DaybyDay[[#This Row],[Date]],BudgetSeasonality[MonthAdjustment],0))*SUMIFS(Budgets[Retail-Budget],Budgets[BudgetMonth],DaybyDay[[#This Row],[RowMonth]],Budgets[BudgetYear],DaybyDay[[#This Row],[RowYear]])</f>
        <v>810.45964599358604</v>
      </c>
      <c r="N1213" s="75"/>
      <c r="O1213" s="33">
        <f>SUMIFS(DaybyDay[Service-Budgets],DaybyDay[Date],"&gt;="&amp;$C$5,DaybyDay[RowYear],"&gt;="&amp;$C$4,DaybyDay[Date],"&lt;="&amp;DaybyDay[[#This Row],[Date]])</f>
        <v>600185.78435817198</v>
      </c>
      <c r="P1213" s="33">
        <f>SUMIFS(DaybyDay[Retail-Budgets],DaybyDay[Date],"&gt;="&amp;$C$5,DaybyDay[RowYear],"&gt;="&amp;$C$4,DaybyDay[Date],"&lt;="&amp;DaybyDay[[#This Row],[Date]])</f>
        <v>147285.75867825773</v>
      </c>
      <c r="Q1213" s="34">
        <f>SUMIFS(DaybyDay[Service-Actuals],DaybyDay[Date],"&gt;="&amp;$C$5,DaybyDay[RowYear],"&gt;="&amp;$C$4,DaybyDay[Date],"&lt;="&amp;DaybyDay[[#This Row],[Date]])</f>
        <v>385554.23</v>
      </c>
      <c r="R1213" s="34">
        <f>SUMIFS(DaybyDay[Retail-Actuals],DaybyDay[Date],"&gt;="&amp;$C$5,DaybyDay[RowYear],"&gt;="&amp;$C$4,DaybyDay[Date],"&lt;="&amp;DaybyDay[[#This Row],[Date]])</f>
        <v>88360.030000000028</v>
      </c>
      <c r="S1213" s="35">
        <f>SUMIFS(DaybyDay[Service-LY],DaybyDay[Date],"&gt;="&amp;$C$5,DaybyDay[RowYear],"&gt;="&amp;$C$4,DaybyDay[Date],"&lt;="&amp;DaybyDay[[#This Row],[Date]])</f>
        <v>562911.87999999989</v>
      </c>
      <c r="T1213" s="35">
        <f>SUMIFS(DaybyDay[Retail-LY],DaybyDay[Date],"&gt;="&amp;$C$5,DaybyDay[RowYear],"&gt;="&amp;$C$4,DaybyDay[Date],"&lt;="&amp;DaybyDay[[#This Row],[Date]])</f>
        <v>116586.87999999999</v>
      </c>
      <c r="U1213" s="32">
        <f>DaybyDay[[#This Row],[Serv-Bud-RU]]+DaybyDay[[#This Row],[Ret-Bud-RU]]</f>
        <v>747471.54303642968</v>
      </c>
      <c r="V1213" s="32">
        <f>DaybyDay[[#This Row],[Serv-Act-RU]]+DaybyDay[[#This Row],[Ret-Act-RU]]</f>
        <v>473914.26</v>
      </c>
      <c r="W1213" s="36" t="str">
        <f>IF(DaybyDay[[#This Row],[_Space]],IFERROR(
((DaybyDay[[#This Row],[Actual-Rollup]]-DaybyDay[[#This Row],[Budget-Rollup]])/DaybyDay[[#This Row],[Budget-Rollup]]),0),"")</f>
        <v/>
      </c>
      <c r="X1213" t="b">
        <f>NOT(AND(ISBLANK(DaybyDay[[#This Row],[Appts]]),ISBLANK(DaybyDay[[#This Row],[Service-Actuals]]),ISBLANK(DaybyDay[[#This Row],[Retail-Actuals]])))</f>
        <v>0</v>
      </c>
      <c r="Y1213" s="36" t="str">
        <f>IF(DaybyDay[[#This Row],[_Space]],IFERROR(
((DaybyDay[[#This Row],[Actual-Rollup]]-DaybyDay[[#This Row],[LY-Rollup]])/DaybyDay[[#This Row],[LY-Rollup]]),0),"")</f>
        <v/>
      </c>
      <c r="Z1213"/>
      <c r="AA1213" s="37" t="str">
        <f>IF(DaybyDay[[#This Row],[_Space]],DaybyDay[[#This Row],[Ret-Act-RU]]/DaybyDay[[#This Row],[Serv-Act-RU]],"")</f>
        <v/>
      </c>
      <c r="AB1213" s="50" t="str">
        <f>IF(DaybyDay[[#This Row],[_Space]],DaybyDay[[#This Row],[RETPEN-Act]]/DaybyDay[[#This Row],[RETPEN-Bud]],"")</f>
        <v/>
      </c>
      <c r="AC1213" s="37" t="str">
        <f>IF(DaybyDay[[#This Row],[_Space]],DaybyDay[[#This Row],[Ret-Bud-RU]]/DaybyDay[[#This Row],[Serv-Bud-RU]],"")</f>
        <v/>
      </c>
      <c r="AD1213" s="37" t="str">
        <f>IF(DaybyDay[[#This Row],[_Space]],DaybyDay[[#This Row],[Ret-LY-RU]]/DaybyDay[[#This Row],[Serv-LY-RU]],"")</f>
        <v/>
      </c>
      <c r="AE1213" s="30">
        <f>WEEKDAY(DaybyDay[[#This Row],[LY-Date]])</f>
        <v>3</v>
      </c>
      <c r="AF1213" s="38">
        <f>$E$2+_xlfn.DAYS(DaybyDay[[#This Row],[Date]],minDate)</f>
        <v>43578</v>
      </c>
      <c r="AG1213" s="39" cm="1">
        <f t="array" ref="AG1213">IFERROR(INDEX(DaybyDay[],DaybyDay[[#This Row],[FORM_MATCH_HELPER]],8),"")</f>
        <v>21</v>
      </c>
      <c r="AH1213" s="39" cm="1">
        <f t="array" ref="AH1213">IFERROR(INDEX(DaybyDay[],DaybyDay[[#This Row],[FORM_MATCH_HELPER]],10),"")</f>
        <v>4077.6000000000004</v>
      </c>
      <c r="AI1213" s="39" cm="1">
        <f t="array" ref="AI1213">IFERROR(INDEX(DaybyDay[],DaybyDay[[#This Row],[FORM_MATCH_HELPER]],12),"")</f>
        <v>148.5</v>
      </c>
      <c r="AJ1213" s="32">
        <f>IFERROR(DaybyDay[[#This Row],[Serv-LY-RU]]+DaybyDay[[#This Row],[Ret-LY-RU]],"")</f>
        <v>679498.75999999989</v>
      </c>
      <c r="AK12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692641.65295969928</v>
      </c>
      <c r="AL1213" s="77"/>
      <c r="AM1213" s="40" t="str">
        <f>IF(DaybyDay[[#This Row],[Admin Hours]]&gt;0,DaybyDay[[#This Row],[Admin Hours]]*$AM$2+$AM$3,"")</f>
        <v/>
      </c>
      <c r="AN1213" s="40">
        <f>SUMIFS(DaybyDay[Est-Admin-Payroll],DaybyDay[Date],"&gt;="&amp;$C$5,DaybyDay[RowYear],"&gt;="&amp;$C$4,DaybyDay[Date],"&lt;="&amp;DaybyDay[[#This Row],[Date]])</f>
        <v>13941.779999999997</v>
      </c>
      <c r="AO1213" s="41" t="str">
        <f>IF(AND(DaybyDay[[#This Row],[_Space]],ISNUMBER(DaybyDay[[#This Row],[Admin Hours]])),DaybyDay[[#This Row],[Est-Admin-Payroll]]/(DaybyDay[[#This Row],[Service-Actuals]]+DaybyDay[[#This Row],[Retail-Actuals]]),"")</f>
        <v/>
      </c>
      <c r="AP1213" s="41">
        <f>DaybyDay[[#This Row],[Estimated-Payroll-Rollup]]/DaybyDay[[#This Row],[Simple-Forecast]]</f>
        <v>2.0128416967743618E-2</v>
      </c>
      <c r="AQ12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124709.91169487633</v>
      </c>
      <c r="AR1213" s="77"/>
      <c r="AS1213" s="40" t="str">
        <f>IF(DaybyDay[[#This Row],[Retail Hours]]&gt;0,DaybyDay[[#This Row],[Retail Hours]]*$AS$2,"")</f>
        <v/>
      </c>
      <c r="AT1213" s="40">
        <f>SUMIFS(DaybyDay[Est-Retail-Payroll],DaybyDay[Date],"&gt;="&amp;$C$5,DaybyDay[RowYear],"&gt;="&amp;$C$4,DaybyDay[Date],"&lt;="&amp;DaybyDay[[#This Row],[Date]])</f>
        <v>2627.1</v>
      </c>
      <c r="AU1213" s="82" t="str">
        <f>IF(AND(DaybyDay[[#This Row],[_Space]],ISNUMBER(DaybyDay[[#This Row],[Retail Hours]])),DaybyDay[[#This Row],[Est-Retail-Payroll]]/(DaybyDay[[#This Row],[Retail-Actuals]]),"")</f>
        <v/>
      </c>
      <c r="AV1213" s="82">
        <f>DaybyDay[[#This Row],[Est-Retail-PayrollRU]]/DaybyDay[[#This Row],[Simple-Forecast-Retail]]</f>
        <v>2.106568727614562E-2</v>
      </c>
      <c r="AW1213" s="8"/>
      <c r="AX1213" s="15"/>
      <c r="AY1213" s="8"/>
    </row>
    <row r="1214" spans="3:51" hidden="1" x14ac:dyDescent="0.25">
      <c r="C1214" s="26" t="str">
        <f>Tools!$C$1</f>
        <v>Example</v>
      </c>
      <c r="D1214" s="27" t="s">
        <v>71</v>
      </c>
      <c r="E1214" s="28">
        <v>2020</v>
      </c>
      <c r="F1214" s="28">
        <f>MATCH(DaybyDay[[#This Row],[RowMonth]],Table3[SummaryMonth],0)</f>
        <v>4</v>
      </c>
      <c r="G1214" s="29">
        <f>MATCH(DaybyDay[[#This Row],[LY-Date]],DaybyDay[Date],0)</f>
        <v>844</v>
      </c>
      <c r="H1214" s="30">
        <f>WEEKDAY(DaybyDay[[#This Row],[Date]])</f>
        <v>4</v>
      </c>
      <c r="I1214" s="31">
        <v>43943</v>
      </c>
      <c r="J1214" s="74"/>
      <c r="K1214" s="32">
        <f>SUMIFS(BudgetSeasonality[365 Seasonality],BudgetSeasonality[MonthAdjustment],DaybyDay[[#This Row],[Date]])*SUMIFS(Budgets[Service-Budget],Budgets[BudgetMonth],DaybyDay[[#This Row],[RowMonth]],Budgets[BudgetYear],DaybyDay[[#This Row],[RowYear]])</f>
        <v>3673.9769502935105</v>
      </c>
      <c r="L1214" s="75"/>
      <c r="M1214" s="32">
        <f>INDEX(BudgetSeasonality[365 Seasonality],MATCH(DaybyDay[[#This Row],[Date]],BudgetSeasonality[MonthAdjustment],0))*SUMIFS(Budgets[Retail-Budget],Budgets[BudgetMonth],DaybyDay[[#This Row],[RowMonth]],Budgets[BudgetYear],DaybyDay[[#This Row],[RowYear]])</f>
        <v>966.59755277607883</v>
      </c>
      <c r="N1214" s="75"/>
      <c r="O1214" s="33">
        <f>SUMIFS(DaybyDay[Service-Budgets],DaybyDay[Date],"&gt;="&amp;$C$5,DaybyDay[RowYear],"&gt;="&amp;$C$4,DaybyDay[Date],"&lt;="&amp;DaybyDay[[#This Row],[Date]])</f>
        <v>603859.7613084655</v>
      </c>
      <c r="P1214" s="33">
        <f>SUMIFS(DaybyDay[Retail-Budgets],DaybyDay[Date],"&gt;="&amp;$C$5,DaybyDay[RowYear],"&gt;="&amp;$C$4,DaybyDay[Date],"&lt;="&amp;DaybyDay[[#This Row],[Date]])</f>
        <v>148252.3562310338</v>
      </c>
      <c r="Q1214" s="34">
        <f>SUMIFS(DaybyDay[Service-Actuals],DaybyDay[Date],"&gt;="&amp;$C$5,DaybyDay[RowYear],"&gt;="&amp;$C$4,DaybyDay[Date],"&lt;="&amp;DaybyDay[[#This Row],[Date]])</f>
        <v>385554.23</v>
      </c>
      <c r="R1214" s="34">
        <f>SUMIFS(DaybyDay[Retail-Actuals],DaybyDay[Date],"&gt;="&amp;$C$5,DaybyDay[RowYear],"&gt;="&amp;$C$4,DaybyDay[Date],"&lt;="&amp;DaybyDay[[#This Row],[Date]])</f>
        <v>88360.030000000028</v>
      </c>
      <c r="S1214" s="35">
        <f>SUMIFS(DaybyDay[Service-LY],DaybyDay[Date],"&gt;="&amp;$C$5,DaybyDay[RowYear],"&gt;="&amp;$C$4,DaybyDay[Date],"&lt;="&amp;DaybyDay[[#This Row],[Date]])</f>
        <v>567236.12999999989</v>
      </c>
      <c r="T1214" s="35">
        <f>SUMIFS(DaybyDay[Retail-LY],DaybyDay[Date],"&gt;="&amp;$C$5,DaybyDay[RowYear],"&gt;="&amp;$C$4,DaybyDay[Date],"&lt;="&amp;DaybyDay[[#This Row],[Date]])</f>
        <v>117134.37999999999</v>
      </c>
      <c r="U1214" s="32">
        <f>DaybyDay[[#This Row],[Serv-Bud-RU]]+DaybyDay[[#This Row],[Ret-Bud-RU]]</f>
        <v>752112.1175394993</v>
      </c>
      <c r="V1214" s="32">
        <f>DaybyDay[[#This Row],[Serv-Act-RU]]+DaybyDay[[#This Row],[Ret-Act-RU]]</f>
        <v>473914.26</v>
      </c>
      <c r="W1214" s="36" t="str">
        <f>IF(DaybyDay[[#This Row],[_Space]],IFERROR(
((DaybyDay[[#This Row],[Actual-Rollup]]-DaybyDay[[#This Row],[Budget-Rollup]])/DaybyDay[[#This Row],[Budget-Rollup]]),0),"")</f>
        <v/>
      </c>
      <c r="X1214" t="b">
        <f>NOT(AND(ISBLANK(DaybyDay[[#This Row],[Appts]]),ISBLANK(DaybyDay[[#This Row],[Service-Actuals]]),ISBLANK(DaybyDay[[#This Row],[Retail-Actuals]])))</f>
        <v>0</v>
      </c>
      <c r="Y1214" s="36" t="str">
        <f>IF(DaybyDay[[#This Row],[_Space]],IFERROR(
((DaybyDay[[#This Row],[Actual-Rollup]]-DaybyDay[[#This Row],[LY-Rollup]])/DaybyDay[[#This Row],[LY-Rollup]]),0),"")</f>
        <v/>
      </c>
      <c r="Z1214"/>
      <c r="AA1214" s="37" t="str">
        <f>IF(DaybyDay[[#This Row],[_Space]],DaybyDay[[#This Row],[Ret-Act-RU]]/DaybyDay[[#This Row],[Serv-Act-RU]],"")</f>
        <v/>
      </c>
      <c r="AB1214" s="50" t="str">
        <f>IF(DaybyDay[[#This Row],[_Space]],DaybyDay[[#This Row],[RETPEN-Act]]/DaybyDay[[#This Row],[RETPEN-Bud]],"")</f>
        <v/>
      </c>
      <c r="AC1214" s="37" t="str">
        <f>IF(DaybyDay[[#This Row],[_Space]],DaybyDay[[#This Row],[Ret-Bud-RU]]/DaybyDay[[#This Row],[Serv-Bud-RU]],"")</f>
        <v/>
      </c>
      <c r="AD1214" s="37" t="str">
        <f>IF(DaybyDay[[#This Row],[_Space]],DaybyDay[[#This Row],[Ret-LY-RU]]/DaybyDay[[#This Row],[Serv-LY-RU]],"")</f>
        <v/>
      </c>
      <c r="AE1214" s="30">
        <f>WEEKDAY(DaybyDay[[#This Row],[LY-Date]])</f>
        <v>4</v>
      </c>
      <c r="AF1214" s="38">
        <f>$E$2+_xlfn.DAYS(DaybyDay[[#This Row],[Date]],minDate)</f>
        <v>43579</v>
      </c>
      <c r="AG1214" s="39" cm="1">
        <f t="array" ref="AG1214">IFERROR(INDEX(DaybyDay[],DaybyDay[[#This Row],[FORM_MATCH_HELPER]],8),"")</f>
        <v>23</v>
      </c>
      <c r="AH1214" s="39" cm="1">
        <f t="array" ref="AH1214">IFERROR(INDEX(DaybyDay[],DaybyDay[[#This Row],[FORM_MATCH_HELPER]],10),"")</f>
        <v>4324.25</v>
      </c>
      <c r="AI1214" s="39" cm="1">
        <f t="array" ref="AI1214">IFERROR(INDEX(DaybyDay[],DaybyDay[[#This Row],[FORM_MATCH_HELPER]],12),"")</f>
        <v>547.5</v>
      </c>
      <c r="AJ1214" s="32">
        <f>IFERROR(DaybyDay[[#This Row],[Serv-LY-RU]]+DaybyDay[[#This Row],[Ret-LY-RU]],"")</f>
        <v>684370.50999999989</v>
      </c>
      <c r="AK12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697017.52697784139</v>
      </c>
      <c r="AL1214" s="77"/>
      <c r="AM1214" s="40" t="str">
        <f>IF(DaybyDay[[#This Row],[Admin Hours]]&gt;0,DaybyDay[[#This Row],[Admin Hours]]*$AM$2+$AM$3,"")</f>
        <v/>
      </c>
      <c r="AN1214" s="40">
        <f>SUMIFS(DaybyDay[Est-Admin-Payroll],DaybyDay[Date],"&gt;="&amp;$C$5,DaybyDay[RowYear],"&gt;="&amp;$C$4,DaybyDay[Date],"&lt;="&amp;DaybyDay[[#This Row],[Date]])</f>
        <v>13941.779999999997</v>
      </c>
      <c r="AO1214" s="41" t="str">
        <f>IF(AND(DaybyDay[[#This Row],[_Space]],ISNUMBER(DaybyDay[[#This Row],[Admin Hours]])),DaybyDay[[#This Row],[Est-Admin-Payroll]]/(DaybyDay[[#This Row],[Service-Actuals]]+DaybyDay[[#This Row],[Retail-Actuals]]),"")</f>
        <v/>
      </c>
      <c r="AP1214" s="41">
        <f>DaybyDay[[#This Row],[Estimated-Payroll-Rollup]]/DaybyDay[[#This Row],[Simple-Forecast]]</f>
        <v>2.0002050824244503E-2</v>
      </c>
      <c r="AQ12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125390.99978154889</v>
      </c>
      <c r="AR1214" s="77"/>
      <c r="AS1214" s="40" t="str">
        <f>IF(DaybyDay[[#This Row],[Retail Hours]]&gt;0,DaybyDay[[#This Row],[Retail Hours]]*$AS$2,"")</f>
        <v/>
      </c>
      <c r="AT1214" s="40">
        <f>SUMIFS(DaybyDay[Est-Retail-Payroll],DaybyDay[Date],"&gt;="&amp;$C$5,DaybyDay[RowYear],"&gt;="&amp;$C$4,DaybyDay[Date],"&lt;="&amp;DaybyDay[[#This Row],[Date]])</f>
        <v>2627.1</v>
      </c>
      <c r="AU1214" s="82" t="str">
        <f>IF(AND(DaybyDay[[#This Row],[_Space]],ISNUMBER(DaybyDay[[#This Row],[Retail Hours]])),DaybyDay[[#This Row],[Est-Retail-Payroll]]/(DaybyDay[[#This Row],[Retail-Actuals]]),"")</f>
        <v/>
      </c>
      <c r="AV1214" s="82">
        <f>DaybyDay[[#This Row],[Est-Retail-PayrollRU]]/DaybyDay[[#This Row],[Simple-Forecast-Retail]]</f>
        <v>2.0951264481317056E-2</v>
      </c>
      <c r="AW1214" s="8"/>
      <c r="AX1214" s="15"/>
      <c r="AY1214" s="8"/>
    </row>
    <row r="1215" spans="3:51" hidden="1" x14ac:dyDescent="0.25">
      <c r="C1215" s="26" t="str">
        <f>Tools!$C$1</f>
        <v>Example</v>
      </c>
      <c r="D1215" s="27" t="s">
        <v>71</v>
      </c>
      <c r="E1215" s="28">
        <v>2020</v>
      </c>
      <c r="F1215" s="28">
        <f>MATCH(DaybyDay[[#This Row],[RowMonth]],Table3[SummaryMonth],0)</f>
        <v>4</v>
      </c>
      <c r="G1215" s="29">
        <f>MATCH(DaybyDay[[#This Row],[LY-Date]],DaybyDay[Date],0)</f>
        <v>845</v>
      </c>
      <c r="H1215" s="30">
        <f>WEEKDAY(DaybyDay[[#This Row],[Date]])</f>
        <v>5</v>
      </c>
      <c r="I1215" s="31">
        <v>43944</v>
      </c>
      <c r="J1215" s="74"/>
      <c r="K1215" s="32">
        <f>SUMIFS(BudgetSeasonality[365 Seasonality],BudgetSeasonality[MonthAdjustment],DaybyDay[[#This Row],[Date]])*SUMIFS(Budgets[Service-Budget],Budgets[BudgetMonth],DaybyDay[[#This Row],[RowMonth]],Budgets[BudgetYear],DaybyDay[[#This Row],[RowYear]])</f>
        <v>3798.2311515151932</v>
      </c>
      <c r="L1215" s="75"/>
      <c r="M1215" s="32">
        <f>INDEX(BudgetSeasonality[365 Seasonality],MATCH(DaybyDay[[#This Row],[Date]],BudgetSeasonality[MonthAdjustment],0))*SUMIFS(Budgets[Retail-Budget],Budgets[BudgetMonth],DaybyDay[[#This Row],[RowMonth]],Budgets[BudgetYear],DaybyDay[[#This Row],[RowYear]])</f>
        <v>999.28796113953626</v>
      </c>
      <c r="N1215" s="75"/>
      <c r="O1215" s="33">
        <f>SUMIFS(DaybyDay[Service-Budgets],DaybyDay[Date],"&gt;="&amp;$C$5,DaybyDay[RowYear],"&gt;="&amp;$C$4,DaybyDay[Date],"&lt;="&amp;DaybyDay[[#This Row],[Date]])</f>
        <v>607657.99245998065</v>
      </c>
      <c r="P1215" s="33">
        <f>SUMIFS(DaybyDay[Retail-Budgets],DaybyDay[Date],"&gt;="&amp;$C$5,DaybyDay[RowYear],"&gt;="&amp;$C$4,DaybyDay[Date],"&lt;="&amp;DaybyDay[[#This Row],[Date]])</f>
        <v>149251.64419217335</v>
      </c>
      <c r="Q1215" s="34">
        <f>SUMIFS(DaybyDay[Service-Actuals],DaybyDay[Date],"&gt;="&amp;$C$5,DaybyDay[RowYear],"&gt;="&amp;$C$4,DaybyDay[Date],"&lt;="&amp;DaybyDay[[#This Row],[Date]])</f>
        <v>385554.23</v>
      </c>
      <c r="R1215" s="34">
        <f>SUMIFS(DaybyDay[Retail-Actuals],DaybyDay[Date],"&gt;="&amp;$C$5,DaybyDay[RowYear],"&gt;="&amp;$C$4,DaybyDay[Date],"&lt;="&amp;DaybyDay[[#This Row],[Date]])</f>
        <v>88360.030000000028</v>
      </c>
      <c r="S1215" s="35">
        <f>SUMIFS(DaybyDay[Service-LY],DaybyDay[Date],"&gt;="&amp;$C$5,DaybyDay[RowYear],"&gt;="&amp;$C$4,DaybyDay[Date],"&lt;="&amp;DaybyDay[[#This Row],[Date]])</f>
        <v>571099.52999999991</v>
      </c>
      <c r="T1215" s="35">
        <f>SUMIFS(DaybyDay[Retail-LY],DaybyDay[Date],"&gt;="&amp;$C$5,DaybyDay[RowYear],"&gt;="&amp;$C$4,DaybyDay[Date],"&lt;="&amp;DaybyDay[[#This Row],[Date]])</f>
        <v>117858.73</v>
      </c>
      <c r="U1215" s="32">
        <f>DaybyDay[[#This Row],[Serv-Bud-RU]]+DaybyDay[[#This Row],[Ret-Bud-RU]]</f>
        <v>756909.63665215403</v>
      </c>
      <c r="V1215" s="32">
        <f>DaybyDay[[#This Row],[Serv-Act-RU]]+DaybyDay[[#This Row],[Ret-Act-RU]]</f>
        <v>473914.26</v>
      </c>
      <c r="W1215" s="36" t="str">
        <f>IF(DaybyDay[[#This Row],[_Space]],IFERROR(
((DaybyDay[[#This Row],[Actual-Rollup]]-DaybyDay[[#This Row],[Budget-Rollup]])/DaybyDay[[#This Row],[Budget-Rollup]]),0),"")</f>
        <v/>
      </c>
      <c r="X1215" t="b">
        <f>NOT(AND(ISBLANK(DaybyDay[[#This Row],[Appts]]),ISBLANK(DaybyDay[[#This Row],[Service-Actuals]]),ISBLANK(DaybyDay[[#This Row],[Retail-Actuals]])))</f>
        <v>0</v>
      </c>
      <c r="Y1215" s="36" t="str">
        <f>IF(DaybyDay[[#This Row],[_Space]],IFERROR(
((DaybyDay[[#This Row],[Actual-Rollup]]-DaybyDay[[#This Row],[LY-Rollup]])/DaybyDay[[#This Row],[LY-Rollup]]),0),"")</f>
        <v/>
      </c>
      <c r="Z1215"/>
      <c r="AA1215" s="37" t="str">
        <f>IF(DaybyDay[[#This Row],[_Space]],DaybyDay[[#This Row],[Ret-Act-RU]]/DaybyDay[[#This Row],[Serv-Act-RU]],"")</f>
        <v/>
      </c>
      <c r="AB1215" s="50" t="str">
        <f>IF(DaybyDay[[#This Row],[_Space]],DaybyDay[[#This Row],[RETPEN-Act]]/DaybyDay[[#This Row],[RETPEN-Bud]],"")</f>
        <v/>
      </c>
      <c r="AC1215" s="37" t="str">
        <f>IF(DaybyDay[[#This Row],[_Space]],DaybyDay[[#This Row],[Ret-Bud-RU]]/DaybyDay[[#This Row],[Serv-Bud-RU]],"")</f>
        <v/>
      </c>
      <c r="AD1215" s="37" t="str">
        <f>IF(DaybyDay[[#This Row],[_Space]],DaybyDay[[#This Row],[Ret-LY-RU]]/DaybyDay[[#This Row],[Serv-LY-RU]],"")</f>
        <v/>
      </c>
      <c r="AE1215" s="30">
        <f>WEEKDAY(DaybyDay[[#This Row],[LY-Date]])</f>
        <v>5</v>
      </c>
      <c r="AF1215" s="38">
        <f>$E$2+_xlfn.DAYS(DaybyDay[[#This Row],[Date]],minDate)</f>
        <v>43580</v>
      </c>
      <c r="AG1215" s="39" cm="1">
        <f t="array" ref="AG1215">IFERROR(INDEX(DaybyDay[],DaybyDay[[#This Row],[FORM_MATCH_HELPER]],8),"")</f>
        <v>21</v>
      </c>
      <c r="AH1215" s="39" cm="1">
        <f t="array" ref="AH1215">IFERROR(INDEX(DaybyDay[],DaybyDay[[#This Row],[FORM_MATCH_HELPER]],10),"")</f>
        <v>3863.4</v>
      </c>
      <c r="AI1215" s="39" cm="1">
        <f t="array" ref="AI1215">IFERROR(INDEX(DaybyDay[],DaybyDay[[#This Row],[FORM_MATCH_HELPER]],12),"")</f>
        <v>724.35</v>
      </c>
      <c r="AJ1215" s="32">
        <f>IFERROR(DaybyDay[[#This Row],[Serv-LY-RU]]+DaybyDay[[#This Row],[Ret-LY-RU]],"")</f>
        <v>688958.25999999989</v>
      </c>
      <c r="AK12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701320.13386703259</v>
      </c>
      <c r="AL1215" s="77"/>
      <c r="AM1215" s="40" t="str">
        <f>IF(DaybyDay[[#This Row],[Admin Hours]]&gt;0,DaybyDay[[#This Row],[Admin Hours]]*$AM$2+$AM$3,"")</f>
        <v/>
      </c>
      <c r="AN1215" s="40">
        <f>SUMIFS(DaybyDay[Est-Admin-Payroll],DaybyDay[Date],"&gt;="&amp;$C$5,DaybyDay[RowYear],"&gt;="&amp;$C$4,DaybyDay[Date],"&lt;="&amp;DaybyDay[[#This Row],[Date]])</f>
        <v>13941.779999999997</v>
      </c>
      <c r="AO1215" s="41" t="str">
        <f>IF(AND(DaybyDay[[#This Row],[_Space]],ISNUMBER(DaybyDay[[#This Row],[Admin Hours]])),DaybyDay[[#This Row],[Est-Admin-Payroll]]/(DaybyDay[[#This Row],[Service-Actuals]]+DaybyDay[[#This Row],[Retail-Actuals]]),"")</f>
        <v/>
      </c>
      <c r="AP1215" s="41">
        <f>DaybyDay[[#This Row],[Estimated-Payroll-Rollup]]/DaybyDay[[#This Row],[Simple-Forecast]]</f>
        <v>1.9879338018040277E-2</v>
      </c>
      <c r="AQ12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126173.18758426442</v>
      </c>
      <c r="AR1215" s="77"/>
      <c r="AS1215" s="40" t="str">
        <f>IF(DaybyDay[[#This Row],[Retail Hours]]&gt;0,DaybyDay[[#This Row],[Retail Hours]]*$AS$2,"")</f>
        <v/>
      </c>
      <c r="AT1215" s="40">
        <f>SUMIFS(DaybyDay[Est-Retail-Payroll],DaybyDay[Date],"&gt;="&amp;$C$5,DaybyDay[RowYear],"&gt;="&amp;$C$4,DaybyDay[Date],"&lt;="&amp;DaybyDay[[#This Row],[Date]])</f>
        <v>2627.1</v>
      </c>
      <c r="AU1215" s="82" t="str">
        <f>IF(AND(DaybyDay[[#This Row],[_Space]],ISNUMBER(DaybyDay[[#This Row],[Retail Hours]])),DaybyDay[[#This Row],[Est-Retail-Payroll]]/(DaybyDay[[#This Row],[Retail-Actuals]]),"")</f>
        <v/>
      </c>
      <c r="AV1215" s="82">
        <f>DaybyDay[[#This Row],[Est-Retail-PayrollRU]]/DaybyDay[[#This Row],[Simple-Forecast-Retail]]</f>
        <v>2.0821380915382662E-2</v>
      </c>
      <c r="AW1215" s="8"/>
      <c r="AX1215" s="15"/>
      <c r="AY1215" s="8"/>
    </row>
    <row r="1216" spans="3:51" hidden="1" x14ac:dyDescent="0.25">
      <c r="C1216" s="26" t="str">
        <f>Tools!$C$1</f>
        <v>Example</v>
      </c>
      <c r="D1216" s="27" t="s">
        <v>71</v>
      </c>
      <c r="E1216" s="28">
        <v>2020</v>
      </c>
      <c r="F1216" s="28">
        <f>MATCH(DaybyDay[[#This Row],[RowMonth]],Table3[SummaryMonth],0)</f>
        <v>4</v>
      </c>
      <c r="G1216" s="29">
        <f>MATCH(DaybyDay[[#This Row],[LY-Date]],DaybyDay[Date],0)</f>
        <v>846</v>
      </c>
      <c r="H1216" s="30">
        <f>WEEKDAY(DaybyDay[[#This Row],[Date]])</f>
        <v>6</v>
      </c>
      <c r="I1216" s="31">
        <v>43945</v>
      </c>
      <c r="J1216" s="74"/>
      <c r="K1216" s="32">
        <f>SUMIFS(BudgetSeasonality[365 Seasonality],BudgetSeasonality[MonthAdjustment],DaybyDay[[#This Row],[Date]])*SUMIFS(Budgets[Service-Budget],Budgets[BudgetMonth],DaybyDay[[#This Row],[RowMonth]],Budgets[BudgetYear],DaybyDay[[#This Row],[RowYear]])</f>
        <v>4948.3269004761778</v>
      </c>
      <c r="L1216" s="75"/>
      <c r="M1216" s="32">
        <f>INDEX(BudgetSeasonality[365 Seasonality],MATCH(DaybyDay[[#This Row],[Date]],BudgetSeasonality[MonthAdjustment],0))*SUMIFS(Budgets[Retail-Budget],Budgets[BudgetMonth],DaybyDay[[#This Row],[RowMonth]],Budgets[BudgetYear],DaybyDay[[#This Row],[RowYear]])</f>
        <v>1301.8700816710896</v>
      </c>
      <c r="N1216" s="75"/>
      <c r="O1216" s="33">
        <f>SUMIFS(DaybyDay[Service-Budgets],DaybyDay[Date],"&gt;="&amp;$C$5,DaybyDay[RowYear],"&gt;="&amp;$C$4,DaybyDay[Date],"&lt;="&amp;DaybyDay[[#This Row],[Date]])</f>
        <v>612606.31936045678</v>
      </c>
      <c r="P1216" s="33">
        <f>SUMIFS(DaybyDay[Retail-Budgets],DaybyDay[Date],"&gt;="&amp;$C$5,DaybyDay[RowYear],"&gt;="&amp;$C$4,DaybyDay[Date],"&lt;="&amp;DaybyDay[[#This Row],[Date]])</f>
        <v>150553.51427384443</v>
      </c>
      <c r="Q1216" s="34">
        <f>SUMIFS(DaybyDay[Service-Actuals],DaybyDay[Date],"&gt;="&amp;$C$5,DaybyDay[RowYear],"&gt;="&amp;$C$4,DaybyDay[Date],"&lt;="&amp;DaybyDay[[#This Row],[Date]])</f>
        <v>385554.23</v>
      </c>
      <c r="R1216" s="34">
        <f>SUMIFS(DaybyDay[Retail-Actuals],DaybyDay[Date],"&gt;="&amp;$C$5,DaybyDay[RowYear],"&gt;="&amp;$C$4,DaybyDay[Date],"&lt;="&amp;DaybyDay[[#This Row],[Date]])</f>
        <v>88360.030000000028</v>
      </c>
      <c r="S1216" s="35">
        <f>SUMIFS(DaybyDay[Service-LY],DaybyDay[Date],"&gt;="&amp;$C$5,DaybyDay[RowYear],"&gt;="&amp;$C$4,DaybyDay[Date],"&lt;="&amp;DaybyDay[[#This Row],[Date]])</f>
        <v>575075.5199999999</v>
      </c>
      <c r="T1216" s="35">
        <f>SUMIFS(DaybyDay[Retail-LY],DaybyDay[Date],"&gt;="&amp;$C$5,DaybyDay[RowYear],"&gt;="&amp;$C$4,DaybyDay[Date],"&lt;="&amp;DaybyDay[[#This Row],[Date]])</f>
        <v>118291.03</v>
      </c>
      <c r="U1216" s="32">
        <f>DaybyDay[[#This Row],[Serv-Bud-RU]]+DaybyDay[[#This Row],[Ret-Bud-RU]]</f>
        <v>763159.83363430121</v>
      </c>
      <c r="V1216" s="32">
        <f>DaybyDay[[#This Row],[Serv-Act-RU]]+DaybyDay[[#This Row],[Ret-Act-RU]]</f>
        <v>473914.26</v>
      </c>
      <c r="W1216" s="36" t="str">
        <f>IF(DaybyDay[[#This Row],[_Space]],IFERROR(
((DaybyDay[[#This Row],[Actual-Rollup]]-DaybyDay[[#This Row],[Budget-Rollup]])/DaybyDay[[#This Row],[Budget-Rollup]]),0),"")</f>
        <v/>
      </c>
      <c r="X1216" t="b">
        <f>NOT(AND(ISBLANK(DaybyDay[[#This Row],[Appts]]),ISBLANK(DaybyDay[[#This Row],[Service-Actuals]]),ISBLANK(DaybyDay[[#This Row],[Retail-Actuals]])))</f>
        <v>0</v>
      </c>
      <c r="Y1216" s="36" t="str">
        <f>IF(DaybyDay[[#This Row],[_Space]],IFERROR(
((DaybyDay[[#This Row],[Actual-Rollup]]-DaybyDay[[#This Row],[LY-Rollup]])/DaybyDay[[#This Row],[LY-Rollup]]),0),"")</f>
        <v/>
      </c>
      <c r="Z1216"/>
      <c r="AA1216" s="37" t="str">
        <f>IF(DaybyDay[[#This Row],[_Space]],DaybyDay[[#This Row],[Ret-Act-RU]]/DaybyDay[[#This Row],[Serv-Act-RU]],"")</f>
        <v/>
      </c>
      <c r="AB1216" s="50" t="str">
        <f>IF(DaybyDay[[#This Row],[_Space]],DaybyDay[[#This Row],[RETPEN-Act]]/DaybyDay[[#This Row],[RETPEN-Bud]],"")</f>
        <v/>
      </c>
      <c r="AC1216" s="37" t="str">
        <f>IF(DaybyDay[[#This Row],[_Space]],DaybyDay[[#This Row],[Ret-Bud-RU]]/DaybyDay[[#This Row],[Serv-Bud-RU]],"")</f>
        <v/>
      </c>
      <c r="AD1216" s="37" t="str">
        <f>IF(DaybyDay[[#This Row],[_Space]],DaybyDay[[#This Row],[Ret-LY-RU]]/DaybyDay[[#This Row],[Serv-LY-RU]],"")</f>
        <v/>
      </c>
      <c r="AE1216" s="30">
        <f>WEEKDAY(DaybyDay[[#This Row],[LY-Date]])</f>
        <v>6</v>
      </c>
      <c r="AF1216" s="38">
        <f>$E$2+_xlfn.DAYS(DaybyDay[[#This Row],[Date]],minDate)</f>
        <v>43581</v>
      </c>
      <c r="AG1216" s="39" cm="1">
        <f t="array" ref="AG1216">IFERROR(INDEX(DaybyDay[],DaybyDay[[#This Row],[FORM_MATCH_HELPER]],8),"")</f>
        <v>18</v>
      </c>
      <c r="AH1216" s="39" cm="1">
        <f t="array" ref="AH1216">IFERROR(INDEX(DaybyDay[],DaybyDay[[#This Row],[FORM_MATCH_HELPER]],10),"")</f>
        <v>3975.99</v>
      </c>
      <c r="AI1216" s="39" cm="1">
        <f t="array" ref="AI1216">IFERROR(INDEX(DaybyDay[],DaybyDay[[#This Row],[FORM_MATCH_HELPER]],12),"")</f>
        <v>432.3</v>
      </c>
      <c r="AJ1216" s="32">
        <f>IFERROR(DaybyDay[[#This Row],[Serv-LY-RU]]+DaybyDay[[#This Row],[Ret-LY-RU]],"")</f>
        <v>693366.54999999993</v>
      </c>
      <c r="AK12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706152.16274732235</v>
      </c>
      <c r="AL1216" s="77"/>
      <c r="AM1216" s="40" t="str">
        <f>IF(DaybyDay[[#This Row],[Admin Hours]]&gt;0,DaybyDay[[#This Row],[Admin Hours]]*$AM$2+$AM$3,"")</f>
        <v/>
      </c>
      <c r="AN1216" s="40">
        <f>SUMIFS(DaybyDay[Est-Admin-Payroll],DaybyDay[Date],"&gt;="&amp;$C$5,DaybyDay[RowYear],"&gt;="&amp;$C$4,DaybyDay[Date],"&lt;="&amp;DaybyDay[[#This Row],[Date]])</f>
        <v>13941.779999999997</v>
      </c>
      <c r="AO1216" s="41" t="str">
        <f>IF(AND(DaybyDay[[#This Row],[_Space]],ISNUMBER(DaybyDay[[#This Row],[Admin Hours]])),DaybyDay[[#This Row],[Est-Admin-Payroll]]/(DaybyDay[[#This Row],[Service-Actuals]]+DaybyDay[[#This Row],[Retail-Actuals]]),"")</f>
        <v/>
      </c>
      <c r="AP1216" s="41">
        <f>DaybyDay[[#This Row],[Estimated-Payroll-Rollup]]/DaybyDay[[#This Row],[Simple-Forecast]]</f>
        <v>1.9743308504159732E-2</v>
      </c>
      <c r="AQ12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126940.08687672464</v>
      </c>
      <c r="AR1216" s="77"/>
      <c r="AS1216" s="40" t="str">
        <f>IF(DaybyDay[[#This Row],[Retail Hours]]&gt;0,DaybyDay[[#This Row],[Retail Hours]]*$AS$2,"")</f>
        <v/>
      </c>
      <c r="AT1216" s="40">
        <f>SUMIFS(DaybyDay[Est-Retail-Payroll],DaybyDay[Date],"&gt;="&amp;$C$5,DaybyDay[RowYear],"&gt;="&amp;$C$4,DaybyDay[Date],"&lt;="&amp;DaybyDay[[#This Row],[Date]])</f>
        <v>2627.1</v>
      </c>
      <c r="AU1216" s="82" t="str">
        <f>IF(AND(DaybyDay[[#This Row],[_Space]],ISNUMBER(DaybyDay[[#This Row],[Retail Hours]])),DaybyDay[[#This Row],[Est-Retail-Payroll]]/(DaybyDay[[#This Row],[Retail-Actuals]]),"")</f>
        <v/>
      </c>
      <c r="AV1216" s="82">
        <f>DaybyDay[[#This Row],[Est-Retail-PayrollRU]]/DaybyDay[[#This Row],[Simple-Forecast-Retail]]</f>
        <v>2.0695590058570357E-2</v>
      </c>
      <c r="AW1216" s="8"/>
      <c r="AX1216" s="15"/>
      <c r="AY1216" s="8"/>
    </row>
    <row r="1217" spans="3:51" hidden="1" x14ac:dyDescent="0.25">
      <c r="C1217" s="26" t="str">
        <f>Tools!$C$1</f>
        <v>Example</v>
      </c>
      <c r="D1217" s="27" t="s">
        <v>71</v>
      </c>
      <c r="E1217" s="28">
        <v>2020</v>
      </c>
      <c r="F1217" s="28">
        <f>MATCH(DaybyDay[[#This Row],[RowMonth]],Table3[SummaryMonth],0)</f>
        <v>4</v>
      </c>
      <c r="G1217" s="29">
        <f>MATCH(DaybyDay[[#This Row],[LY-Date]],DaybyDay[Date],0)</f>
        <v>847</v>
      </c>
      <c r="H1217" s="30">
        <f>WEEKDAY(DaybyDay[[#This Row],[Date]])</f>
        <v>7</v>
      </c>
      <c r="I1217" s="31">
        <v>43946</v>
      </c>
      <c r="J1217" s="74"/>
      <c r="K1217" s="32">
        <f>SUMIFS(BudgetSeasonality[365 Seasonality],BudgetSeasonality[MonthAdjustment],DaybyDay[[#This Row],[Date]])*SUMIFS(Budgets[Service-Budget],Budgets[BudgetMonth],DaybyDay[[#This Row],[RowMonth]],Budgets[BudgetYear],DaybyDay[[#This Row],[RowYear]])</f>
        <v>7383.0199661009674</v>
      </c>
      <c r="L1217" s="75"/>
      <c r="M1217" s="32">
        <f>INDEX(BudgetSeasonality[365 Seasonality],MATCH(DaybyDay[[#This Row],[Date]],BudgetSeasonality[MonthAdjustment],0))*SUMIFS(Budgets[Retail-Budget],Budgets[BudgetMonth],DaybyDay[[#This Row],[RowMonth]],Budgets[BudgetYear],DaybyDay[[#This Row],[RowYear]])</f>
        <v>1942.420741305958</v>
      </c>
      <c r="N1217" s="75"/>
      <c r="O1217" s="33">
        <f>SUMIFS(DaybyDay[Service-Budgets],DaybyDay[Date],"&gt;="&amp;$C$5,DaybyDay[RowYear],"&gt;="&amp;$C$4,DaybyDay[Date],"&lt;="&amp;DaybyDay[[#This Row],[Date]])</f>
        <v>619989.3393265577</v>
      </c>
      <c r="P1217" s="33">
        <f>SUMIFS(DaybyDay[Retail-Budgets],DaybyDay[Date],"&gt;="&amp;$C$5,DaybyDay[RowYear],"&gt;="&amp;$C$4,DaybyDay[Date],"&lt;="&amp;DaybyDay[[#This Row],[Date]])</f>
        <v>152495.93501515037</v>
      </c>
      <c r="Q1217" s="34">
        <f>SUMIFS(DaybyDay[Service-Actuals],DaybyDay[Date],"&gt;="&amp;$C$5,DaybyDay[RowYear],"&gt;="&amp;$C$4,DaybyDay[Date],"&lt;="&amp;DaybyDay[[#This Row],[Date]])</f>
        <v>385554.23</v>
      </c>
      <c r="R1217" s="34">
        <f>SUMIFS(DaybyDay[Retail-Actuals],DaybyDay[Date],"&gt;="&amp;$C$5,DaybyDay[RowYear],"&gt;="&amp;$C$4,DaybyDay[Date],"&lt;="&amp;DaybyDay[[#This Row],[Date]])</f>
        <v>88360.030000000028</v>
      </c>
      <c r="S1217" s="35">
        <f>SUMIFS(DaybyDay[Service-LY],DaybyDay[Date],"&gt;="&amp;$C$5,DaybyDay[RowYear],"&gt;="&amp;$C$4,DaybyDay[Date],"&lt;="&amp;DaybyDay[[#This Row],[Date]])</f>
        <v>582357.25999999989</v>
      </c>
      <c r="T1217" s="35">
        <f>SUMIFS(DaybyDay[Retail-LY],DaybyDay[Date],"&gt;="&amp;$C$5,DaybyDay[RowYear],"&gt;="&amp;$C$4,DaybyDay[Date],"&lt;="&amp;DaybyDay[[#This Row],[Date]])</f>
        <v>118794.38</v>
      </c>
      <c r="U1217" s="32">
        <f>DaybyDay[[#This Row],[Serv-Bud-RU]]+DaybyDay[[#This Row],[Ret-Bud-RU]]</f>
        <v>772485.27434170805</v>
      </c>
      <c r="V1217" s="32">
        <f>DaybyDay[[#This Row],[Serv-Act-RU]]+DaybyDay[[#This Row],[Ret-Act-RU]]</f>
        <v>473914.26</v>
      </c>
      <c r="W1217" s="36" t="str">
        <f>IF(DaybyDay[[#This Row],[_Space]],IFERROR(
((DaybyDay[[#This Row],[Actual-Rollup]]-DaybyDay[[#This Row],[Budget-Rollup]])/DaybyDay[[#This Row],[Budget-Rollup]]),0),"")</f>
        <v/>
      </c>
      <c r="X1217" t="b">
        <f>NOT(AND(ISBLANK(DaybyDay[[#This Row],[Appts]]),ISBLANK(DaybyDay[[#This Row],[Service-Actuals]]),ISBLANK(DaybyDay[[#This Row],[Retail-Actuals]])))</f>
        <v>0</v>
      </c>
      <c r="Y1217" s="36" t="str">
        <f>IF(DaybyDay[[#This Row],[_Space]],IFERROR(
((DaybyDay[[#This Row],[Actual-Rollup]]-DaybyDay[[#This Row],[LY-Rollup]])/DaybyDay[[#This Row],[LY-Rollup]]),0),"")</f>
        <v/>
      </c>
      <c r="Z1217"/>
      <c r="AA1217" s="37" t="str">
        <f>IF(DaybyDay[[#This Row],[_Space]],DaybyDay[[#This Row],[Ret-Act-RU]]/DaybyDay[[#This Row],[Serv-Act-RU]],"")</f>
        <v/>
      </c>
      <c r="AB1217" s="50" t="str">
        <f>IF(DaybyDay[[#This Row],[_Space]],DaybyDay[[#This Row],[RETPEN-Act]]/DaybyDay[[#This Row],[RETPEN-Bud]],"")</f>
        <v/>
      </c>
      <c r="AC1217" s="37" t="str">
        <f>IF(DaybyDay[[#This Row],[_Space]],DaybyDay[[#This Row],[Ret-Bud-RU]]/DaybyDay[[#This Row],[Serv-Bud-RU]],"")</f>
        <v/>
      </c>
      <c r="AD1217" s="37" t="str">
        <f>IF(DaybyDay[[#This Row],[_Space]],DaybyDay[[#This Row],[Ret-LY-RU]]/DaybyDay[[#This Row],[Serv-LY-RU]],"")</f>
        <v/>
      </c>
      <c r="AE1217" s="30">
        <f>WEEKDAY(DaybyDay[[#This Row],[LY-Date]])</f>
        <v>7</v>
      </c>
      <c r="AF1217" s="38">
        <f>$E$2+_xlfn.DAYS(DaybyDay[[#This Row],[Date]],minDate)</f>
        <v>43582</v>
      </c>
      <c r="AG1217" s="39" cm="1">
        <f t="array" ref="AG1217">IFERROR(INDEX(DaybyDay[],DaybyDay[[#This Row],[FORM_MATCH_HELPER]],8),"")</f>
        <v>37</v>
      </c>
      <c r="AH1217" s="39" cm="1">
        <f t="array" ref="AH1217">IFERROR(INDEX(DaybyDay[],DaybyDay[[#This Row],[FORM_MATCH_HELPER]],10),"")</f>
        <v>7281.74</v>
      </c>
      <c r="AI1217" s="39" cm="1">
        <f t="array" ref="AI1217">IFERROR(INDEX(DaybyDay[],DaybyDay[[#This Row],[FORM_MATCH_HELPER]],12),"")</f>
        <v>503.35</v>
      </c>
      <c r="AJ1217" s="32">
        <f>IFERROR(DaybyDay[[#This Row],[Serv-LY-RU]]+DaybyDay[[#This Row],[Ret-LY-RU]],"")</f>
        <v>701151.6399999999</v>
      </c>
      <c r="AK12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713957.16969994863</v>
      </c>
      <c r="AL1217" s="77"/>
      <c r="AM1217" s="40" t="str">
        <f>IF(DaybyDay[[#This Row],[Admin Hours]]&gt;0,DaybyDay[[#This Row],[Admin Hours]]*$AM$2+$AM$3,"")</f>
        <v/>
      </c>
      <c r="AN1217" s="40">
        <f>SUMIFS(DaybyDay[Est-Admin-Payroll],DaybyDay[Date],"&gt;="&amp;$C$5,DaybyDay[RowYear],"&gt;="&amp;$C$4,DaybyDay[Date],"&lt;="&amp;DaybyDay[[#This Row],[Date]])</f>
        <v>13941.779999999997</v>
      </c>
      <c r="AO1217" s="41" t="str">
        <f>IF(AND(DaybyDay[[#This Row],[_Space]],ISNUMBER(DaybyDay[[#This Row],[Admin Hours]])),DaybyDay[[#This Row],[Est-Admin-Payroll]]/(DaybyDay[[#This Row],[Service-Actuals]]+DaybyDay[[#This Row],[Retail-Actuals]]),"")</f>
        <v/>
      </c>
      <c r="AP1217" s="41">
        <f>DaybyDay[[#This Row],[Estimated-Payroll-Rollup]]/DaybyDay[[#This Row],[Simple-Forecast]]</f>
        <v>1.9527473904154841E-2</v>
      </c>
      <c r="AQ12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128014.47819767147</v>
      </c>
      <c r="AR1217" s="77"/>
      <c r="AS1217" s="40" t="str">
        <f>IF(DaybyDay[[#This Row],[Retail Hours]]&gt;0,DaybyDay[[#This Row],[Retail Hours]]*$AS$2,"")</f>
        <v/>
      </c>
      <c r="AT1217" s="40">
        <f>SUMIFS(DaybyDay[Est-Retail-Payroll],DaybyDay[Date],"&gt;="&amp;$C$5,DaybyDay[RowYear],"&gt;="&amp;$C$4,DaybyDay[Date],"&lt;="&amp;DaybyDay[[#This Row],[Date]])</f>
        <v>2627.1</v>
      </c>
      <c r="AU1217" s="82" t="str">
        <f>IF(AND(DaybyDay[[#This Row],[_Space]],ISNUMBER(DaybyDay[[#This Row],[Retail Hours]])),DaybyDay[[#This Row],[Est-Retail-Payroll]]/(DaybyDay[[#This Row],[Retail-Actuals]]),"")</f>
        <v/>
      </c>
      <c r="AV1217" s="82">
        <f>DaybyDay[[#This Row],[Est-Retail-PayrollRU]]/DaybyDay[[#This Row],[Simple-Forecast-Retail]]</f>
        <v>2.0521897499307901E-2</v>
      </c>
      <c r="AW1217" s="8"/>
      <c r="AX1217" s="15"/>
      <c r="AY1217" s="8"/>
    </row>
    <row r="1218" spans="3:51" hidden="1" x14ac:dyDescent="0.25">
      <c r="C1218" s="26" t="str">
        <f>Tools!$C$1</f>
        <v>Example</v>
      </c>
      <c r="D1218" s="27" t="s">
        <v>71</v>
      </c>
      <c r="E1218" s="28">
        <v>2020</v>
      </c>
      <c r="F1218" s="28">
        <f>MATCH(DaybyDay[[#This Row],[RowMonth]],Table3[SummaryMonth],0)</f>
        <v>4</v>
      </c>
      <c r="G1218" s="29">
        <f>MATCH(DaybyDay[[#This Row],[LY-Date]],DaybyDay[Date],0)</f>
        <v>848</v>
      </c>
      <c r="H1218" s="30">
        <f>WEEKDAY(DaybyDay[[#This Row],[Date]])</f>
        <v>1</v>
      </c>
      <c r="I1218" s="31">
        <v>43947</v>
      </c>
      <c r="J1218" s="74"/>
      <c r="K1218" s="32">
        <f>SUMIFS(BudgetSeasonality[365 Seasonality],BudgetSeasonality[MonthAdjustment],DaybyDay[[#This Row],[Date]])*SUMIFS(Budgets[Service-Budget],Budgets[BudgetMonth],DaybyDay[[#This Row],[RowMonth]],Budgets[BudgetYear],DaybyDay[[#This Row],[RowYear]])</f>
        <v>5648.1100468154918</v>
      </c>
      <c r="L1218" s="75"/>
      <c r="M1218" s="32">
        <f>INDEX(BudgetSeasonality[365 Seasonality],MATCH(DaybyDay[[#This Row],[Date]],BudgetSeasonality[MonthAdjustment],0))*SUMIFS(Budgets[Retail-Budget],Budgets[BudgetMonth],DaybyDay[[#This Row],[RowMonth]],Budgets[BudgetYear],DaybyDay[[#This Row],[RowYear]])</f>
        <v>1485.9781166089483</v>
      </c>
      <c r="N1218" s="75"/>
      <c r="O1218" s="33">
        <f>SUMIFS(DaybyDay[Service-Budgets],DaybyDay[Date],"&gt;="&amp;$C$5,DaybyDay[RowYear],"&gt;="&amp;$C$4,DaybyDay[Date],"&lt;="&amp;DaybyDay[[#This Row],[Date]])</f>
        <v>625637.44937337318</v>
      </c>
      <c r="P1218" s="33">
        <f>SUMIFS(DaybyDay[Retail-Budgets],DaybyDay[Date],"&gt;="&amp;$C$5,DaybyDay[RowYear],"&gt;="&amp;$C$4,DaybyDay[Date],"&lt;="&amp;DaybyDay[[#This Row],[Date]])</f>
        <v>153981.91313175933</v>
      </c>
      <c r="Q1218" s="34">
        <f>SUMIFS(DaybyDay[Service-Actuals],DaybyDay[Date],"&gt;="&amp;$C$5,DaybyDay[RowYear],"&gt;="&amp;$C$4,DaybyDay[Date],"&lt;="&amp;DaybyDay[[#This Row],[Date]])</f>
        <v>385554.23</v>
      </c>
      <c r="R1218" s="34">
        <f>SUMIFS(DaybyDay[Retail-Actuals],DaybyDay[Date],"&gt;="&amp;$C$5,DaybyDay[RowYear],"&gt;="&amp;$C$4,DaybyDay[Date],"&lt;="&amp;DaybyDay[[#This Row],[Date]])</f>
        <v>88360.030000000028</v>
      </c>
      <c r="S1218" s="35">
        <f>SUMIFS(DaybyDay[Service-LY],DaybyDay[Date],"&gt;="&amp;$C$5,DaybyDay[RowYear],"&gt;="&amp;$C$4,DaybyDay[Date],"&lt;="&amp;DaybyDay[[#This Row],[Date]])</f>
        <v>590465.64999999991</v>
      </c>
      <c r="T1218" s="35">
        <f>SUMIFS(DaybyDay[Retail-LY],DaybyDay[Date],"&gt;="&amp;$C$5,DaybyDay[RowYear],"&gt;="&amp;$C$4,DaybyDay[Date],"&lt;="&amp;DaybyDay[[#This Row],[Date]])</f>
        <v>120719.88</v>
      </c>
      <c r="U1218" s="32">
        <f>DaybyDay[[#This Row],[Serv-Bud-RU]]+DaybyDay[[#This Row],[Ret-Bud-RU]]</f>
        <v>779619.36250513257</v>
      </c>
      <c r="V1218" s="32">
        <f>DaybyDay[[#This Row],[Serv-Act-RU]]+DaybyDay[[#This Row],[Ret-Act-RU]]</f>
        <v>473914.26</v>
      </c>
      <c r="W1218" s="36" t="str">
        <f>IF(DaybyDay[[#This Row],[_Space]],IFERROR(
((DaybyDay[[#This Row],[Actual-Rollup]]-DaybyDay[[#This Row],[Budget-Rollup]])/DaybyDay[[#This Row],[Budget-Rollup]]),0),"")</f>
        <v/>
      </c>
      <c r="X1218" t="b">
        <f>NOT(AND(ISBLANK(DaybyDay[[#This Row],[Appts]]),ISBLANK(DaybyDay[[#This Row],[Service-Actuals]]),ISBLANK(DaybyDay[[#This Row],[Retail-Actuals]])))</f>
        <v>0</v>
      </c>
      <c r="Y1218" s="36" t="str">
        <f>IF(DaybyDay[[#This Row],[_Space]],IFERROR(
((DaybyDay[[#This Row],[Actual-Rollup]]-DaybyDay[[#This Row],[LY-Rollup]])/DaybyDay[[#This Row],[LY-Rollup]]),0),"")</f>
        <v/>
      </c>
      <c r="Z1218"/>
      <c r="AA1218" s="37" t="str">
        <f>IF(DaybyDay[[#This Row],[_Space]],DaybyDay[[#This Row],[Ret-Act-RU]]/DaybyDay[[#This Row],[Serv-Act-RU]],"")</f>
        <v/>
      </c>
      <c r="AB1218" s="50" t="str">
        <f>IF(DaybyDay[[#This Row],[_Space]],DaybyDay[[#This Row],[RETPEN-Act]]/DaybyDay[[#This Row],[RETPEN-Bud]],"")</f>
        <v/>
      </c>
      <c r="AC1218" s="37" t="str">
        <f>IF(DaybyDay[[#This Row],[_Space]],DaybyDay[[#This Row],[Ret-Bud-RU]]/DaybyDay[[#This Row],[Serv-Bud-RU]],"")</f>
        <v/>
      </c>
      <c r="AD1218" s="37" t="str">
        <f>IF(DaybyDay[[#This Row],[_Space]],DaybyDay[[#This Row],[Ret-LY-RU]]/DaybyDay[[#This Row],[Serv-LY-RU]],"")</f>
        <v/>
      </c>
      <c r="AE1218" s="30">
        <f>WEEKDAY(DaybyDay[[#This Row],[LY-Date]])</f>
        <v>1</v>
      </c>
      <c r="AF1218" s="38">
        <f>$E$2+_xlfn.DAYS(DaybyDay[[#This Row],[Date]],minDate)</f>
        <v>43583</v>
      </c>
      <c r="AG1218" s="39" cm="1">
        <f t="array" ref="AG1218">IFERROR(INDEX(DaybyDay[],DaybyDay[[#This Row],[FORM_MATCH_HELPER]],8),"")</f>
        <v>34</v>
      </c>
      <c r="AH1218" s="39" cm="1">
        <f t="array" ref="AH1218">IFERROR(INDEX(DaybyDay[],DaybyDay[[#This Row],[FORM_MATCH_HELPER]],10),"")</f>
        <v>8108.3899999999994</v>
      </c>
      <c r="AI1218" s="39" cm="1">
        <f t="array" ref="AI1218">IFERROR(INDEX(DaybyDay[],DaybyDay[[#This Row],[FORM_MATCH_HELPER]],12),"")</f>
        <v>1925.5</v>
      </c>
      <c r="AJ1218" s="32">
        <f>IFERROR(DaybyDay[[#This Row],[Serv-LY-RU]]+DaybyDay[[#This Row],[Ret-LY-RU]],"")</f>
        <v>711185.52999999991</v>
      </c>
      <c r="AK12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721938.82988796639</v>
      </c>
      <c r="AL1218" s="77"/>
      <c r="AM1218" s="40" t="str">
        <f>IF(DaybyDay[[#This Row],[Admin Hours]]&gt;0,DaybyDay[[#This Row],[Admin Hours]]*$AM$2+$AM$3,"")</f>
        <v/>
      </c>
      <c r="AN1218" s="40">
        <f>SUMIFS(DaybyDay[Est-Admin-Payroll],DaybyDay[Date],"&gt;="&amp;$C$5,DaybyDay[RowYear],"&gt;="&amp;$C$4,DaybyDay[Date],"&lt;="&amp;DaybyDay[[#This Row],[Date]])</f>
        <v>13941.779999999997</v>
      </c>
      <c r="AO1218" s="41" t="str">
        <f>IF(AND(DaybyDay[[#This Row],[_Space]],ISNUMBER(DaybyDay[[#This Row],[Admin Hours]])),DaybyDay[[#This Row],[Est-Admin-Payroll]]/(DaybyDay[[#This Row],[Service-Actuals]]+DaybyDay[[#This Row],[Retail-Actuals]]),"")</f>
        <v/>
      </c>
      <c r="AP1218" s="41">
        <f>DaybyDay[[#This Row],[Estimated-Payroll-Rollup]]/DaybyDay[[#This Row],[Simple-Forecast]]</f>
        <v>1.9311580736228778E-2</v>
      </c>
      <c r="AQ12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129595.9008651874</v>
      </c>
      <c r="AR1218" s="77"/>
      <c r="AS1218" s="40" t="str">
        <f>IF(DaybyDay[[#This Row],[Retail Hours]]&gt;0,DaybyDay[[#This Row],[Retail Hours]]*$AS$2,"")</f>
        <v/>
      </c>
      <c r="AT1218" s="40">
        <f>SUMIFS(DaybyDay[Est-Retail-Payroll],DaybyDay[Date],"&gt;="&amp;$C$5,DaybyDay[RowYear],"&gt;="&amp;$C$4,DaybyDay[Date],"&lt;="&amp;DaybyDay[[#This Row],[Date]])</f>
        <v>2627.1</v>
      </c>
      <c r="AU1218" s="82" t="str">
        <f>IF(AND(DaybyDay[[#This Row],[_Space]],ISNUMBER(DaybyDay[[#This Row],[Retail Hours]])),DaybyDay[[#This Row],[Est-Retail-Payroll]]/(DaybyDay[[#This Row],[Retail-Actuals]]),"")</f>
        <v/>
      </c>
      <c r="AV1218" s="82">
        <f>DaybyDay[[#This Row],[Est-Retail-PayrollRU]]/DaybyDay[[#This Row],[Simple-Forecast-Retail]]</f>
        <v>2.0271474502367555E-2</v>
      </c>
      <c r="AW1218" s="8"/>
      <c r="AX1218" s="15"/>
      <c r="AY1218" s="8"/>
    </row>
    <row r="1219" spans="3:51" hidden="1" x14ac:dyDescent="0.25">
      <c r="C1219" s="26" t="str">
        <f>Tools!$C$1</f>
        <v>Example</v>
      </c>
      <c r="D1219" s="27" t="s">
        <v>71</v>
      </c>
      <c r="E1219" s="28">
        <v>2020</v>
      </c>
      <c r="F1219" s="28">
        <f>MATCH(DaybyDay[[#This Row],[RowMonth]],Table3[SummaryMonth],0)</f>
        <v>4</v>
      </c>
      <c r="G1219" s="29">
        <f>MATCH(DaybyDay[[#This Row],[LY-Date]],DaybyDay[Date],0)</f>
        <v>849</v>
      </c>
      <c r="H1219" s="30">
        <f>WEEKDAY(DaybyDay[[#This Row],[Date]])</f>
        <v>2</v>
      </c>
      <c r="I1219" s="31">
        <v>43948</v>
      </c>
      <c r="J1219" s="74"/>
      <c r="K1219" s="32">
        <f>SUMIFS(BudgetSeasonality[365 Seasonality],BudgetSeasonality[MonthAdjustment],DaybyDay[[#This Row],[Date]])*SUMIFS(Budgets[Service-Budget],Budgets[BudgetMonth],DaybyDay[[#This Row],[RowMonth]],Budgets[BudgetYear],DaybyDay[[#This Row],[RowYear]])</f>
        <v>3110.1440147061735</v>
      </c>
      <c r="L1219" s="75"/>
      <c r="M1219" s="32">
        <f>INDEX(BudgetSeasonality[365 Seasonality],MATCH(DaybyDay[[#This Row],[Date]],BudgetSeasonality[MonthAdjustment],0))*SUMIFS(Budgets[Retail-Budget],Budgets[BudgetMonth],DaybyDay[[#This Row],[RowMonth]],Budgets[BudgetYear],DaybyDay[[#This Row],[RowYear]])</f>
        <v>818.2570642300816</v>
      </c>
      <c r="N1219" s="75"/>
      <c r="O1219" s="33">
        <f>SUMIFS(DaybyDay[Service-Budgets],DaybyDay[Date],"&gt;="&amp;$C$5,DaybyDay[RowYear],"&gt;="&amp;$C$4,DaybyDay[Date],"&lt;="&amp;DaybyDay[[#This Row],[Date]])</f>
        <v>628747.59338807932</v>
      </c>
      <c r="P1219" s="33">
        <f>SUMIFS(DaybyDay[Retail-Budgets],DaybyDay[Date],"&gt;="&amp;$C$5,DaybyDay[RowYear],"&gt;="&amp;$C$4,DaybyDay[Date],"&lt;="&amp;DaybyDay[[#This Row],[Date]])</f>
        <v>154800.1701959894</v>
      </c>
      <c r="Q1219" s="34">
        <f>SUMIFS(DaybyDay[Service-Actuals],DaybyDay[Date],"&gt;="&amp;$C$5,DaybyDay[RowYear],"&gt;="&amp;$C$4,DaybyDay[Date],"&lt;="&amp;DaybyDay[[#This Row],[Date]])</f>
        <v>385554.23</v>
      </c>
      <c r="R1219" s="34">
        <f>SUMIFS(DaybyDay[Retail-Actuals],DaybyDay[Date],"&gt;="&amp;$C$5,DaybyDay[RowYear],"&gt;="&amp;$C$4,DaybyDay[Date],"&lt;="&amp;DaybyDay[[#This Row],[Date]])</f>
        <v>88360.030000000028</v>
      </c>
      <c r="S1219" s="35">
        <f>SUMIFS(DaybyDay[Service-LY],DaybyDay[Date],"&gt;="&amp;$C$5,DaybyDay[RowYear],"&gt;="&amp;$C$4,DaybyDay[Date],"&lt;="&amp;DaybyDay[[#This Row],[Date]])</f>
        <v>591513.64999999991</v>
      </c>
      <c r="T1219" s="35">
        <f>SUMIFS(DaybyDay[Retail-LY],DaybyDay[Date],"&gt;="&amp;$C$5,DaybyDay[RowYear],"&gt;="&amp;$C$4,DaybyDay[Date],"&lt;="&amp;DaybyDay[[#This Row],[Date]])</f>
        <v>120719.88</v>
      </c>
      <c r="U1219" s="32">
        <f>DaybyDay[[#This Row],[Serv-Bud-RU]]+DaybyDay[[#This Row],[Ret-Bud-RU]]</f>
        <v>783547.76358406874</v>
      </c>
      <c r="V1219" s="32">
        <f>DaybyDay[[#This Row],[Serv-Act-RU]]+DaybyDay[[#This Row],[Ret-Act-RU]]</f>
        <v>473914.26</v>
      </c>
      <c r="W1219" s="36" t="str">
        <f>IF(DaybyDay[[#This Row],[_Space]],IFERROR(
((DaybyDay[[#This Row],[Actual-Rollup]]-DaybyDay[[#This Row],[Budget-Rollup]])/DaybyDay[[#This Row],[Budget-Rollup]]),0),"")</f>
        <v/>
      </c>
      <c r="X1219" t="b">
        <f>NOT(AND(ISBLANK(DaybyDay[[#This Row],[Appts]]),ISBLANK(DaybyDay[[#This Row],[Service-Actuals]]),ISBLANK(DaybyDay[[#This Row],[Retail-Actuals]])))</f>
        <v>0</v>
      </c>
      <c r="Y1219" s="36" t="str">
        <f>IF(DaybyDay[[#This Row],[_Space]],IFERROR(
((DaybyDay[[#This Row],[Actual-Rollup]]-DaybyDay[[#This Row],[LY-Rollup]])/DaybyDay[[#This Row],[LY-Rollup]]),0),"")</f>
        <v/>
      </c>
      <c r="Z1219"/>
      <c r="AA1219" s="37" t="str">
        <f>IF(DaybyDay[[#This Row],[_Space]],DaybyDay[[#This Row],[Ret-Act-RU]]/DaybyDay[[#This Row],[Serv-Act-RU]],"")</f>
        <v/>
      </c>
      <c r="AB1219" s="50" t="str">
        <f>IF(DaybyDay[[#This Row],[_Space]],DaybyDay[[#This Row],[RETPEN-Act]]/DaybyDay[[#This Row],[RETPEN-Bud]],"")</f>
        <v/>
      </c>
      <c r="AC1219" s="37" t="str">
        <f>IF(DaybyDay[[#This Row],[_Space]],DaybyDay[[#This Row],[Ret-Bud-RU]]/DaybyDay[[#This Row],[Serv-Bud-RU]],"")</f>
        <v/>
      </c>
      <c r="AD1219" s="37" t="str">
        <f>IF(DaybyDay[[#This Row],[_Space]],DaybyDay[[#This Row],[Ret-LY-RU]]/DaybyDay[[#This Row],[Serv-LY-RU]],"")</f>
        <v/>
      </c>
      <c r="AE1219" s="30">
        <f>WEEKDAY(DaybyDay[[#This Row],[LY-Date]])</f>
        <v>2</v>
      </c>
      <c r="AF1219" s="38">
        <f>$E$2+_xlfn.DAYS(DaybyDay[[#This Row],[Date]],minDate)</f>
        <v>43584</v>
      </c>
      <c r="AG1219" s="39" cm="1">
        <f t="array" ref="AG1219">IFERROR(INDEX(DaybyDay[],DaybyDay[[#This Row],[FORM_MATCH_HELPER]],8),"")</f>
        <v>7</v>
      </c>
      <c r="AH1219" s="39" cm="1">
        <f t="array" ref="AH1219">IFERROR(INDEX(DaybyDay[],DaybyDay[[#This Row],[FORM_MATCH_HELPER]],10),"")</f>
        <v>1048</v>
      </c>
      <c r="AI1219" s="39" cm="1">
        <f t="array" ref="AI1219">IFERROR(INDEX(DaybyDay[],DaybyDay[[#This Row],[FORM_MATCH_HELPER]],12),"")</f>
        <v>0</v>
      </c>
      <c r="AJ1219" s="32">
        <f>IFERROR(DaybyDay[[#This Row],[Serv-LY-RU]]+DaybyDay[[#This Row],[Ret-LY-RU]],"")</f>
        <v>712233.52999999991</v>
      </c>
      <c r="AK12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724126.50349890045</v>
      </c>
      <c r="AL1219" s="77"/>
      <c r="AM1219" s="40" t="str">
        <f>IF(DaybyDay[[#This Row],[Admin Hours]]&gt;0,DaybyDay[[#This Row],[Admin Hours]]*$AM$2+$AM$3,"")</f>
        <v/>
      </c>
      <c r="AN1219" s="40">
        <f>SUMIFS(DaybyDay[Est-Admin-Payroll],DaybyDay[Date],"&gt;="&amp;$C$5,DaybyDay[RowYear],"&gt;="&amp;$C$4,DaybyDay[Date],"&lt;="&amp;DaybyDay[[#This Row],[Date]])</f>
        <v>13941.779999999997</v>
      </c>
      <c r="AO1219" s="41" t="str">
        <f>IF(AND(DaybyDay[[#This Row],[_Space]],ISNUMBER(DaybyDay[[#This Row],[Admin Hours]])),DaybyDay[[#This Row],[Est-Admin-Payroll]]/(DaybyDay[[#This Row],[Service-Actuals]]+DaybyDay[[#This Row],[Retail-Actuals]]),"")</f>
        <v/>
      </c>
      <c r="AP1219" s="41">
        <f>DaybyDay[[#This Row],[Estimated-Payroll-Rollup]]/DaybyDay[[#This Row],[Simple-Forecast]]</f>
        <v>1.9253238118802217E-2</v>
      </c>
      <c r="AQ12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129943.9504478673</v>
      </c>
      <c r="AR1219" s="77"/>
      <c r="AS1219" s="40" t="str">
        <f>IF(DaybyDay[[#This Row],[Retail Hours]]&gt;0,DaybyDay[[#This Row],[Retail Hours]]*$AS$2,"")</f>
        <v/>
      </c>
      <c r="AT1219" s="40">
        <f>SUMIFS(DaybyDay[Est-Retail-Payroll],DaybyDay[Date],"&gt;="&amp;$C$5,DaybyDay[RowYear],"&gt;="&amp;$C$4,DaybyDay[Date],"&lt;="&amp;DaybyDay[[#This Row],[Date]])</f>
        <v>2627.1</v>
      </c>
      <c r="AU1219" s="82" t="str">
        <f>IF(AND(DaybyDay[[#This Row],[_Space]],ISNUMBER(DaybyDay[[#This Row],[Retail Hours]])),DaybyDay[[#This Row],[Est-Retail-Payroll]]/(DaybyDay[[#This Row],[Retail-Actuals]]),"")</f>
        <v/>
      </c>
      <c r="AV1219" s="82">
        <f>DaybyDay[[#This Row],[Est-Retail-PayrollRU]]/DaybyDay[[#This Row],[Simple-Forecast-Retail]]</f>
        <v>2.0217178182942622E-2</v>
      </c>
      <c r="AW1219" s="8"/>
      <c r="AX1219" s="15"/>
      <c r="AY1219" s="8"/>
    </row>
    <row r="1220" spans="3:51" hidden="1" x14ac:dyDescent="0.25">
      <c r="C1220" s="26" t="str">
        <f>Tools!$C$1</f>
        <v>Example</v>
      </c>
      <c r="D1220" s="27" t="s">
        <v>71</v>
      </c>
      <c r="E1220" s="28">
        <v>2020</v>
      </c>
      <c r="F1220" s="28">
        <f>MATCH(DaybyDay[[#This Row],[RowMonth]],Table3[SummaryMonth],0)</f>
        <v>4</v>
      </c>
      <c r="G1220" s="29">
        <f>MATCH(DaybyDay[[#This Row],[LY-Date]],DaybyDay[Date],0)</f>
        <v>850</v>
      </c>
      <c r="H1220" s="30">
        <f>WEEKDAY(DaybyDay[[#This Row],[Date]])</f>
        <v>3</v>
      </c>
      <c r="I1220" s="31">
        <v>43949</v>
      </c>
      <c r="J1220" s="74"/>
      <c r="K1220" s="32">
        <f>SUMIFS(BudgetSeasonality[365 Seasonality],BudgetSeasonality[MonthAdjustment],DaybyDay[[#This Row],[Date]])*SUMIFS(Budgets[Service-Budget],Budgets[BudgetMonth],DaybyDay[[#This Row],[RowMonth]],Budgets[BudgetYear],DaybyDay[[#This Row],[RowYear]])</f>
        <v>3315.522624590395</v>
      </c>
      <c r="L1220" s="75"/>
      <c r="M1220" s="32">
        <f>INDEX(BudgetSeasonality[365 Seasonality],MATCH(DaybyDay[[#This Row],[Date]],BudgetSeasonality[MonthAdjustment],0))*SUMIFS(Budgets[Retail-Budget],Budgets[BudgetMonth],DaybyDay[[#This Row],[RowMonth]],Budgets[BudgetYear],DaybyDay[[#This Row],[RowYear]])</f>
        <v>872.29073520637394</v>
      </c>
      <c r="N1220" s="75"/>
      <c r="O1220" s="33">
        <f>SUMIFS(DaybyDay[Service-Budgets],DaybyDay[Date],"&gt;="&amp;$C$5,DaybyDay[RowYear],"&gt;="&amp;$C$4,DaybyDay[Date],"&lt;="&amp;DaybyDay[[#This Row],[Date]])</f>
        <v>632063.11601266975</v>
      </c>
      <c r="P1220" s="33">
        <f>SUMIFS(DaybyDay[Retail-Budgets],DaybyDay[Date],"&gt;="&amp;$C$5,DaybyDay[RowYear],"&gt;="&amp;$C$4,DaybyDay[Date],"&lt;="&amp;DaybyDay[[#This Row],[Date]])</f>
        <v>155672.46093119576</v>
      </c>
      <c r="Q1220" s="34">
        <f>SUMIFS(DaybyDay[Service-Actuals],DaybyDay[Date],"&gt;="&amp;$C$5,DaybyDay[RowYear],"&gt;="&amp;$C$4,DaybyDay[Date],"&lt;="&amp;DaybyDay[[#This Row],[Date]])</f>
        <v>385554.23</v>
      </c>
      <c r="R1220" s="34">
        <f>SUMIFS(DaybyDay[Retail-Actuals],DaybyDay[Date],"&gt;="&amp;$C$5,DaybyDay[RowYear],"&gt;="&amp;$C$4,DaybyDay[Date],"&lt;="&amp;DaybyDay[[#This Row],[Date]])</f>
        <v>88360.030000000028</v>
      </c>
      <c r="S1220" s="35">
        <f>SUMIFS(DaybyDay[Service-LY],DaybyDay[Date],"&gt;="&amp;$C$5,DaybyDay[RowYear],"&gt;="&amp;$C$4,DaybyDay[Date],"&lt;="&amp;DaybyDay[[#This Row],[Date]])</f>
        <v>594664.04999999993</v>
      </c>
      <c r="T1220" s="35">
        <f>SUMIFS(DaybyDay[Retail-LY],DaybyDay[Date],"&gt;="&amp;$C$5,DaybyDay[RowYear],"&gt;="&amp;$C$4,DaybyDay[Date],"&lt;="&amp;DaybyDay[[#This Row],[Date]])</f>
        <v>120849.88</v>
      </c>
      <c r="U1220" s="32">
        <f>DaybyDay[[#This Row],[Serv-Bud-RU]]+DaybyDay[[#This Row],[Ret-Bud-RU]]</f>
        <v>787735.57694386551</v>
      </c>
      <c r="V1220" s="32">
        <f>DaybyDay[[#This Row],[Serv-Act-RU]]+DaybyDay[[#This Row],[Ret-Act-RU]]</f>
        <v>473914.26</v>
      </c>
      <c r="W1220" s="36" t="str">
        <f>IF(DaybyDay[[#This Row],[_Space]],IFERROR(
((DaybyDay[[#This Row],[Actual-Rollup]]-DaybyDay[[#This Row],[Budget-Rollup]])/DaybyDay[[#This Row],[Budget-Rollup]]),0),"")</f>
        <v/>
      </c>
      <c r="X1220" t="b">
        <f>NOT(AND(ISBLANK(DaybyDay[[#This Row],[Appts]]),ISBLANK(DaybyDay[[#This Row],[Service-Actuals]]),ISBLANK(DaybyDay[[#This Row],[Retail-Actuals]])))</f>
        <v>0</v>
      </c>
      <c r="Y1220" s="36" t="str">
        <f>IF(DaybyDay[[#This Row],[_Space]],IFERROR(
((DaybyDay[[#This Row],[Actual-Rollup]]-DaybyDay[[#This Row],[LY-Rollup]])/DaybyDay[[#This Row],[LY-Rollup]]),0),"")</f>
        <v/>
      </c>
      <c r="Z1220"/>
      <c r="AA1220" s="37" t="str">
        <f>IF(DaybyDay[[#This Row],[_Space]],DaybyDay[[#This Row],[Ret-Act-RU]]/DaybyDay[[#This Row],[Serv-Act-RU]],"")</f>
        <v/>
      </c>
      <c r="AB1220" s="50" t="str">
        <f>IF(DaybyDay[[#This Row],[_Space]],DaybyDay[[#This Row],[RETPEN-Act]]/DaybyDay[[#This Row],[RETPEN-Bud]],"")</f>
        <v/>
      </c>
      <c r="AC1220" s="37" t="str">
        <f>IF(DaybyDay[[#This Row],[_Space]],DaybyDay[[#This Row],[Ret-Bud-RU]]/DaybyDay[[#This Row],[Serv-Bud-RU]],"")</f>
        <v/>
      </c>
      <c r="AD1220" s="37" t="str">
        <f>IF(DaybyDay[[#This Row],[_Space]],DaybyDay[[#This Row],[Ret-LY-RU]]/DaybyDay[[#This Row],[Serv-LY-RU]],"")</f>
        <v/>
      </c>
      <c r="AE1220" s="30">
        <f>WEEKDAY(DaybyDay[[#This Row],[LY-Date]])</f>
        <v>3</v>
      </c>
      <c r="AF1220" s="38">
        <f>$E$2+_xlfn.DAYS(DaybyDay[[#This Row],[Date]],minDate)</f>
        <v>43585</v>
      </c>
      <c r="AG1220" s="39" cm="1">
        <f t="array" ref="AG1220">IFERROR(INDEX(DaybyDay[],DaybyDay[[#This Row],[FORM_MATCH_HELPER]],8),"")</f>
        <v>14</v>
      </c>
      <c r="AH1220" s="39" cm="1">
        <f t="array" ref="AH1220">IFERROR(INDEX(DaybyDay[],DaybyDay[[#This Row],[FORM_MATCH_HELPER]],10),"")</f>
        <v>3150.4</v>
      </c>
      <c r="AI1220" s="39" cm="1">
        <f t="array" ref="AI1220">IFERROR(INDEX(DaybyDay[],DaybyDay[[#This Row],[FORM_MATCH_HELPER]],12),"")</f>
        <v>130</v>
      </c>
      <c r="AJ1220" s="32">
        <f>IFERROR(DaybyDay[[#This Row],[Serv-LY-RU]]+DaybyDay[[#This Row],[Ret-LY-RU]],"")</f>
        <v>715513.92999999993</v>
      </c>
      <c r="AK12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727525.18905660394</v>
      </c>
      <c r="AL1220" s="77"/>
      <c r="AM1220" s="40" t="str">
        <f>IF(DaybyDay[[#This Row],[Admin Hours]]&gt;0,DaybyDay[[#This Row],[Admin Hours]]*$AM$2+$AM$3,"")</f>
        <v/>
      </c>
      <c r="AN1220" s="40">
        <f>SUMIFS(DaybyDay[Est-Admin-Payroll],DaybyDay[Date],"&gt;="&amp;$C$5,DaybyDay[RowYear],"&gt;="&amp;$C$4,DaybyDay[Date],"&lt;="&amp;DaybyDay[[#This Row],[Date]])</f>
        <v>13941.779999999997</v>
      </c>
      <c r="AO1220" s="41" t="str">
        <f>IF(AND(DaybyDay[[#This Row],[_Space]],ISNUMBER(DaybyDay[[#This Row],[Admin Hours]])),DaybyDay[[#This Row],[Est-Admin-Payroll]]/(DaybyDay[[#This Row],[Service-Actuals]]+DaybyDay[[#This Row],[Retail-Actuals]]),"")</f>
        <v/>
      </c>
      <c r="AP1220" s="41">
        <f>DaybyDay[[#This Row],[Estimated-Payroll-Rollup]]/DaybyDay[[#This Row],[Simple-Forecast]]</f>
        <v>1.9163295250407171E-2</v>
      </c>
      <c r="AQ12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130379.07913127591</v>
      </c>
      <c r="AR1220" s="77"/>
      <c r="AS1220" s="40" t="str">
        <f>IF(DaybyDay[[#This Row],[Retail Hours]]&gt;0,DaybyDay[[#This Row],[Retail Hours]]*$AS$2,"")</f>
        <v/>
      </c>
      <c r="AT1220" s="40">
        <f>SUMIFS(DaybyDay[Est-Retail-Payroll],DaybyDay[Date],"&gt;="&amp;$C$5,DaybyDay[RowYear],"&gt;="&amp;$C$4,DaybyDay[Date],"&lt;="&amp;DaybyDay[[#This Row],[Date]])</f>
        <v>2627.1</v>
      </c>
      <c r="AU1220" s="82" t="str">
        <f>IF(AND(DaybyDay[[#This Row],[_Space]],ISNUMBER(DaybyDay[[#This Row],[Retail Hours]])),DaybyDay[[#This Row],[Est-Retail-Payroll]]/(DaybyDay[[#This Row],[Retail-Actuals]]),"")</f>
        <v/>
      </c>
      <c r="AV1220" s="82">
        <f>DaybyDay[[#This Row],[Est-Retail-PayrollRU]]/DaybyDay[[#This Row],[Simple-Forecast-Retail]]</f>
        <v>2.0149705132944135E-2</v>
      </c>
      <c r="AW1220" s="8"/>
      <c r="AX1220" s="15"/>
      <c r="AY1220" s="8"/>
    </row>
    <row r="1221" spans="3:51" hidden="1" x14ac:dyDescent="0.25">
      <c r="C1221" s="26" t="str">
        <f>Tools!$C$1</f>
        <v>Example</v>
      </c>
      <c r="D1221" s="27" t="s">
        <v>71</v>
      </c>
      <c r="E1221" s="28">
        <v>2020</v>
      </c>
      <c r="F1221" s="28">
        <f>MATCH(DaybyDay[[#This Row],[RowMonth]],Table3[SummaryMonth],0)</f>
        <v>4</v>
      </c>
      <c r="G1221" s="29">
        <f>MATCH(DaybyDay[[#This Row],[LY-Date]],DaybyDay[Date],0)</f>
        <v>851</v>
      </c>
      <c r="H1221" s="30">
        <f>WEEKDAY(DaybyDay[[#This Row],[Date]])</f>
        <v>4</v>
      </c>
      <c r="I1221" s="31">
        <v>43950</v>
      </c>
      <c r="J1221" s="74"/>
      <c r="K1221" s="32">
        <f>SUMIFS(BudgetSeasonality[365 Seasonality],BudgetSeasonality[MonthAdjustment],DaybyDay[[#This Row],[Date]])*SUMIFS(Budgets[Service-Budget],Budgets[BudgetMonth],DaybyDay[[#This Row],[RowMonth]],Budgets[BudgetYear],DaybyDay[[#This Row],[RowYear]])</f>
        <v>4008.6832805369722</v>
      </c>
      <c r="L1221" s="75"/>
      <c r="M1221" s="32">
        <f>INDEX(BudgetSeasonality[365 Seasonality],MATCH(DaybyDay[[#This Row],[Date]],BudgetSeasonality[MonthAdjustment],0))*SUMIFS(Budgets[Retail-Budget],Budgets[BudgetMonth],DaybyDay[[#This Row],[RowMonth]],Budgets[BudgetYear],DaybyDay[[#This Row],[RowYear]])</f>
        <v>1054.6564393965152</v>
      </c>
      <c r="N1221" s="75"/>
      <c r="O1221" s="33">
        <f>SUMIFS(DaybyDay[Service-Budgets],DaybyDay[Date],"&gt;="&amp;$C$5,DaybyDay[RowYear],"&gt;="&amp;$C$4,DaybyDay[Date],"&lt;="&amp;DaybyDay[[#This Row],[Date]])</f>
        <v>636071.79929320677</v>
      </c>
      <c r="P1221" s="33">
        <f>SUMIFS(DaybyDay[Retail-Budgets],DaybyDay[Date],"&gt;="&amp;$C$5,DaybyDay[RowYear],"&gt;="&amp;$C$4,DaybyDay[Date],"&lt;="&amp;DaybyDay[[#This Row],[Date]])</f>
        <v>156727.11737059228</v>
      </c>
      <c r="Q1221" s="34">
        <f>SUMIFS(DaybyDay[Service-Actuals],DaybyDay[Date],"&gt;="&amp;$C$5,DaybyDay[RowYear],"&gt;="&amp;$C$4,DaybyDay[Date],"&lt;="&amp;DaybyDay[[#This Row],[Date]])</f>
        <v>385554.23</v>
      </c>
      <c r="R1221" s="34">
        <f>SUMIFS(DaybyDay[Retail-Actuals],DaybyDay[Date],"&gt;="&amp;$C$5,DaybyDay[RowYear],"&gt;="&amp;$C$4,DaybyDay[Date],"&lt;="&amp;DaybyDay[[#This Row],[Date]])</f>
        <v>88360.030000000028</v>
      </c>
      <c r="S1221" s="35">
        <f>SUMIFS(DaybyDay[Service-LY],DaybyDay[Date],"&gt;="&amp;$C$5,DaybyDay[RowYear],"&gt;="&amp;$C$4,DaybyDay[Date],"&lt;="&amp;DaybyDay[[#This Row],[Date]])</f>
        <v>599997.24999999988</v>
      </c>
      <c r="T1221" s="35">
        <f>SUMIFS(DaybyDay[Retail-LY],DaybyDay[Date],"&gt;="&amp;$C$5,DaybyDay[RowYear],"&gt;="&amp;$C$4,DaybyDay[Date],"&lt;="&amp;DaybyDay[[#This Row],[Date]])</f>
        <v>124247.54000000001</v>
      </c>
      <c r="U1221" s="32">
        <f>DaybyDay[[#This Row],[Serv-Bud-RU]]+DaybyDay[[#This Row],[Ret-Bud-RU]]</f>
        <v>792798.91666379909</v>
      </c>
      <c r="V1221" s="32">
        <f>DaybyDay[[#This Row],[Serv-Act-RU]]+DaybyDay[[#This Row],[Ret-Act-RU]]</f>
        <v>473914.26</v>
      </c>
      <c r="W1221" s="36" t="str">
        <f>IF(DaybyDay[[#This Row],[_Space]],IFERROR(
((DaybyDay[[#This Row],[Actual-Rollup]]-DaybyDay[[#This Row],[Budget-Rollup]])/DaybyDay[[#This Row],[Budget-Rollup]]),0),"")</f>
        <v/>
      </c>
      <c r="X1221" t="b">
        <f>NOT(AND(ISBLANK(DaybyDay[[#This Row],[Appts]]),ISBLANK(DaybyDay[[#This Row],[Service-Actuals]]),ISBLANK(DaybyDay[[#This Row],[Retail-Actuals]])))</f>
        <v>0</v>
      </c>
      <c r="Y1221" s="36" t="str">
        <f>IF(DaybyDay[[#This Row],[_Space]],IFERROR(
((DaybyDay[[#This Row],[Actual-Rollup]]-DaybyDay[[#This Row],[LY-Rollup]])/DaybyDay[[#This Row],[LY-Rollup]]),0),"")</f>
        <v/>
      </c>
      <c r="Z1221"/>
      <c r="AA1221" s="37" t="str">
        <f>IF(DaybyDay[[#This Row],[_Space]],DaybyDay[[#This Row],[Ret-Act-RU]]/DaybyDay[[#This Row],[Serv-Act-RU]],"")</f>
        <v/>
      </c>
      <c r="AB1221" s="50" t="str">
        <f>IF(DaybyDay[[#This Row],[_Space]],DaybyDay[[#This Row],[RETPEN-Act]]/DaybyDay[[#This Row],[RETPEN-Bud]],"")</f>
        <v/>
      </c>
      <c r="AC1221" s="37" t="str">
        <f>IF(DaybyDay[[#This Row],[_Space]],DaybyDay[[#This Row],[Ret-Bud-RU]]/DaybyDay[[#This Row],[Serv-Bud-RU]],"")</f>
        <v/>
      </c>
      <c r="AD1221" s="37" t="str">
        <f>IF(DaybyDay[[#This Row],[_Space]],DaybyDay[[#This Row],[Ret-LY-RU]]/DaybyDay[[#This Row],[Serv-LY-RU]],"")</f>
        <v/>
      </c>
      <c r="AE1221" s="30">
        <f>WEEKDAY(DaybyDay[[#This Row],[LY-Date]])</f>
        <v>4</v>
      </c>
      <c r="AF1221" s="38">
        <f>$E$2+_xlfn.DAYS(DaybyDay[[#This Row],[Date]],minDate)</f>
        <v>43586</v>
      </c>
      <c r="AG1221" s="39" cm="1">
        <f t="array" ref="AG1221">IFERROR(INDEX(DaybyDay[],DaybyDay[[#This Row],[FORM_MATCH_HELPER]],8),"")</f>
        <v>20</v>
      </c>
      <c r="AH1221" s="39" cm="1">
        <f t="array" ref="AH1221">IFERROR(INDEX(DaybyDay[],DaybyDay[[#This Row],[FORM_MATCH_HELPER]],10),"")</f>
        <v>5333.2000000000007</v>
      </c>
      <c r="AI1221" s="39" cm="1">
        <f t="array" ref="AI1221">IFERROR(INDEX(DaybyDay[],DaybyDay[[#This Row],[FORM_MATCH_HELPER]],12),"")</f>
        <v>3397.66</v>
      </c>
      <c r="AJ1221" s="32">
        <f>IFERROR(DaybyDay[[#This Row],[Serv-LY-RU]]+DaybyDay[[#This Row],[Ret-LY-RU]],"")</f>
        <v>724244.78999999992</v>
      </c>
      <c r="AK12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733983.59631556598</v>
      </c>
      <c r="AL1221" s="77"/>
      <c r="AM1221" s="40" t="str">
        <f>IF(DaybyDay[[#This Row],[Admin Hours]]&gt;0,DaybyDay[[#This Row],[Admin Hours]]*$AM$2+$AM$3,"")</f>
        <v/>
      </c>
      <c r="AN1221" s="40">
        <f>SUMIFS(DaybyDay[Est-Admin-Payroll],DaybyDay[Date],"&gt;="&amp;$C$5,DaybyDay[RowYear],"&gt;="&amp;$C$4,DaybyDay[Date],"&lt;="&amp;DaybyDay[[#This Row],[Date]])</f>
        <v>13941.779999999997</v>
      </c>
      <c r="AO1221" s="41" t="str">
        <f>IF(AND(DaybyDay[[#This Row],[_Space]],ISNUMBER(DaybyDay[[#This Row],[Admin Hours]])),DaybyDay[[#This Row],[Est-Admin-Payroll]]/(DaybyDay[[#This Row],[Service-Actuals]]+DaybyDay[[#This Row],[Retail-Actuals]]),"")</f>
        <v/>
      </c>
      <c r="AP1221" s="41">
        <f>DaybyDay[[#This Row],[Estimated-Payroll-Rollup]]/DaybyDay[[#This Row],[Simple-Forecast]]</f>
        <v>1.8994675180732411E-2</v>
      </c>
      <c r="AQ12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132502.87555276835</v>
      </c>
      <c r="AR1221" s="77"/>
      <c r="AS1221" s="40" t="str">
        <f>IF(DaybyDay[[#This Row],[Retail Hours]]&gt;0,DaybyDay[[#This Row],[Retail Hours]]*$AS$2,"")</f>
        <v/>
      </c>
      <c r="AT1221" s="40">
        <f>SUMIFS(DaybyDay[Est-Retail-Payroll],DaybyDay[Date],"&gt;="&amp;$C$5,DaybyDay[RowYear],"&gt;="&amp;$C$4,DaybyDay[Date],"&lt;="&amp;DaybyDay[[#This Row],[Date]])</f>
        <v>2627.1</v>
      </c>
      <c r="AU1221" s="82" t="str">
        <f>IF(AND(DaybyDay[[#This Row],[_Space]],ISNUMBER(DaybyDay[[#This Row],[Retail Hours]])),DaybyDay[[#This Row],[Est-Retail-Payroll]]/(DaybyDay[[#This Row],[Retail-Actuals]]),"")</f>
        <v/>
      </c>
      <c r="AV1221" s="82">
        <f>DaybyDay[[#This Row],[Est-Retail-PayrollRU]]/DaybyDay[[#This Row],[Simple-Forecast-Retail]]</f>
        <v>1.9826739525768067E-2</v>
      </c>
      <c r="AW1221" s="8"/>
      <c r="AX1221" s="15"/>
      <c r="AY1221" s="8"/>
    </row>
    <row r="1222" spans="3:51" hidden="1" x14ac:dyDescent="0.25">
      <c r="C1222" s="26" t="str">
        <f>Tools!$C$1</f>
        <v>Example</v>
      </c>
      <c r="D1222" s="27" t="s">
        <v>71</v>
      </c>
      <c r="E1222" s="28">
        <v>2020</v>
      </c>
      <c r="F1222" s="28">
        <f>MATCH(DaybyDay[[#This Row],[RowMonth]],Table3[SummaryMonth],0)</f>
        <v>4</v>
      </c>
      <c r="G1222" s="29">
        <f>MATCH(DaybyDay[[#This Row],[LY-Date]],DaybyDay[Date],0)</f>
        <v>852</v>
      </c>
      <c r="H1222" s="30">
        <f>WEEKDAY(DaybyDay[[#This Row],[Date]])</f>
        <v>5</v>
      </c>
      <c r="I1222" s="31">
        <v>43951</v>
      </c>
      <c r="J1222" s="74"/>
      <c r="K1222" s="32">
        <f>SUMIFS(BudgetSeasonality[365 Seasonality],BudgetSeasonality[MonthAdjustment],DaybyDay[[#This Row],[Date]])*SUMIFS(Budgets[Service-Budget],Budgets[BudgetMonth],DaybyDay[[#This Row],[RowMonth]],Budgets[BudgetYear],DaybyDay[[#This Row],[RowYear]])</f>
        <v>4222.0655232078798</v>
      </c>
      <c r="L1222" s="75"/>
      <c r="M1222" s="32">
        <f>INDEX(BudgetSeasonality[365 Seasonality],MATCH(DaybyDay[[#This Row],[Date]],BudgetSeasonality[MonthAdjustment],0))*SUMIFS(Budgets[Retail-Budget],Budgets[BudgetMonth],DaybyDay[[#This Row],[RowMonth]],Budgets[BudgetYear],DaybyDay[[#This Row],[RowYear]])</f>
        <v>1110.7958099919385</v>
      </c>
      <c r="N1222" s="75"/>
      <c r="O1222" s="33">
        <f>SUMIFS(DaybyDay[Service-Budgets],DaybyDay[Date],"&gt;="&amp;$C$5,DaybyDay[RowYear],"&gt;="&amp;$C$4,DaybyDay[Date],"&lt;="&amp;DaybyDay[[#This Row],[Date]])</f>
        <v>640293.86481641466</v>
      </c>
      <c r="P1222" s="33">
        <f>SUMIFS(DaybyDay[Retail-Budgets],DaybyDay[Date],"&gt;="&amp;$C$5,DaybyDay[RowYear],"&gt;="&amp;$C$4,DaybyDay[Date],"&lt;="&amp;DaybyDay[[#This Row],[Date]])</f>
        <v>157837.91318058423</v>
      </c>
      <c r="Q1222" s="34">
        <f>SUMIFS(DaybyDay[Service-Actuals],DaybyDay[Date],"&gt;="&amp;$C$5,DaybyDay[RowYear],"&gt;="&amp;$C$4,DaybyDay[Date],"&lt;="&amp;DaybyDay[[#This Row],[Date]])</f>
        <v>385554.23</v>
      </c>
      <c r="R1222" s="34">
        <f>SUMIFS(DaybyDay[Retail-Actuals],DaybyDay[Date],"&gt;="&amp;$C$5,DaybyDay[RowYear],"&gt;="&amp;$C$4,DaybyDay[Date],"&lt;="&amp;DaybyDay[[#This Row],[Date]])</f>
        <v>88360.030000000028</v>
      </c>
      <c r="S1222" s="35">
        <f>SUMIFS(DaybyDay[Service-LY],DaybyDay[Date],"&gt;="&amp;$C$5,DaybyDay[RowYear],"&gt;="&amp;$C$4,DaybyDay[Date],"&lt;="&amp;DaybyDay[[#This Row],[Date]])</f>
        <v>604091.64999999991</v>
      </c>
      <c r="T1222" s="35">
        <f>SUMIFS(DaybyDay[Retail-LY],DaybyDay[Date],"&gt;="&amp;$C$5,DaybyDay[RowYear],"&gt;="&amp;$C$4,DaybyDay[Date],"&lt;="&amp;DaybyDay[[#This Row],[Date]])</f>
        <v>127877.04000000001</v>
      </c>
      <c r="U1222" s="32">
        <f>DaybyDay[[#This Row],[Serv-Bud-RU]]+DaybyDay[[#This Row],[Ret-Bud-RU]]</f>
        <v>798131.77799699886</v>
      </c>
      <c r="V1222" s="32">
        <f>DaybyDay[[#This Row],[Serv-Act-RU]]+DaybyDay[[#This Row],[Ret-Act-RU]]</f>
        <v>473914.26</v>
      </c>
      <c r="W1222" s="36" t="str">
        <f>IF(DaybyDay[[#This Row],[_Space]],IFERROR(
((DaybyDay[[#This Row],[Actual-Rollup]]-DaybyDay[[#This Row],[Budget-Rollup]])/DaybyDay[[#This Row],[Budget-Rollup]]),0),"")</f>
        <v/>
      </c>
      <c r="X1222" t="b">
        <f>NOT(AND(ISBLANK(DaybyDay[[#This Row],[Appts]]),ISBLANK(DaybyDay[[#This Row],[Service-Actuals]]),ISBLANK(DaybyDay[[#This Row],[Retail-Actuals]])))</f>
        <v>0</v>
      </c>
      <c r="Y1222" s="36" t="str">
        <f>IF(DaybyDay[[#This Row],[_Space]],IFERROR(
((DaybyDay[[#This Row],[Actual-Rollup]]-DaybyDay[[#This Row],[LY-Rollup]])/DaybyDay[[#This Row],[LY-Rollup]]),0),"")</f>
        <v/>
      </c>
      <c r="Z1222"/>
      <c r="AA1222" s="37" t="str">
        <f>IF(DaybyDay[[#This Row],[_Space]],DaybyDay[[#This Row],[Ret-Act-RU]]/DaybyDay[[#This Row],[Serv-Act-RU]],"")</f>
        <v/>
      </c>
      <c r="AB1222" s="50" t="str">
        <f>IF(DaybyDay[[#This Row],[_Space]],DaybyDay[[#This Row],[RETPEN-Act]]/DaybyDay[[#This Row],[RETPEN-Bud]],"")</f>
        <v/>
      </c>
      <c r="AC1222" s="37" t="str">
        <f>IF(DaybyDay[[#This Row],[_Space]],DaybyDay[[#This Row],[Ret-Bud-RU]]/DaybyDay[[#This Row],[Serv-Bud-RU]],"")</f>
        <v/>
      </c>
      <c r="AD1222" s="37" t="str">
        <f>IF(DaybyDay[[#This Row],[_Space]],DaybyDay[[#This Row],[Ret-LY-RU]]/DaybyDay[[#This Row],[Serv-LY-RU]],"")</f>
        <v/>
      </c>
      <c r="AE1222" s="30">
        <f>WEEKDAY(DaybyDay[[#This Row],[LY-Date]])</f>
        <v>5</v>
      </c>
      <c r="AF1222" s="38">
        <f>$E$2+_xlfn.DAYS(DaybyDay[[#This Row],[Date]],minDate)</f>
        <v>43587</v>
      </c>
      <c r="AG1222" s="39" cm="1">
        <f t="array" ref="AG1222">IFERROR(INDEX(DaybyDay[],DaybyDay[[#This Row],[FORM_MATCH_HELPER]],8),"")</f>
        <v>16</v>
      </c>
      <c r="AH1222" s="39" cm="1">
        <f t="array" ref="AH1222">IFERROR(INDEX(DaybyDay[],DaybyDay[[#This Row],[FORM_MATCH_HELPER]],10),"")</f>
        <v>4094.3999999999996</v>
      </c>
      <c r="AI1222" s="39" cm="1">
        <f t="array" ref="AI1222">IFERROR(INDEX(DaybyDay[],DaybyDay[[#This Row],[FORM_MATCH_HELPER]],12),"")</f>
        <v>3629.5</v>
      </c>
      <c r="AJ1222" s="32">
        <f>IFERROR(DaybyDay[[#This Row],[Serv-LY-RU]]+DaybyDay[[#This Row],[Ret-LY-RU]],"")</f>
        <v>731968.69</v>
      </c>
      <c r="AK12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740060.17109003547</v>
      </c>
      <c r="AL1222" s="77"/>
      <c r="AM1222" s="40" t="str">
        <f>IF(DaybyDay[[#This Row],[Admin Hours]]&gt;0,DaybyDay[[#This Row],[Admin Hours]]*$AM$2+$AM$3,"")</f>
        <v/>
      </c>
      <c r="AN1222" s="40">
        <f>SUMIFS(DaybyDay[Est-Admin-Payroll],DaybyDay[Date],"&gt;="&amp;$C$5,DaybyDay[RowYear],"&gt;="&amp;$C$4,DaybyDay[Date],"&lt;="&amp;DaybyDay[[#This Row],[Date]])</f>
        <v>13941.779999999997</v>
      </c>
      <c r="AO1222" s="41" t="str">
        <f>IF(AND(DaybyDay[[#This Row],[_Space]],ISNUMBER(DaybyDay[[#This Row],[Admin Hours]])),DaybyDay[[#This Row],[Est-Admin-Payroll]]/(DaybyDay[[#This Row],[Service-Actuals]]+DaybyDay[[#This Row],[Retail-Actuals]]),"")</f>
        <v/>
      </c>
      <c r="AP1222" s="41">
        <f>DaybyDay[[#This Row],[Estimated-Payroll-Rollup]]/DaybyDay[[#This Row],[Simple-Forecast]]</f>
        <v>1.8838711424592858E-2</v>
      </c>
      <c r="AQ12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134764.85826596696</v>
      </c>
      <c r="AR1222" s="77"/>
      <c r="AS1222" s="40" t="str">
        <f>IF(DaybyDay[[#This Row],[Retail Hours]]&gt;0,DaybyDay[[#This Row],[Retail Hours]]*$AS$2,"")</f>
        <v/>
      </c>
      <c r="AT1222" s="40">
        <f>SUMIFS(DaybyDay[Est-Retail-Payroll],DaybyDay[Date],"&gt;="&amp;$C$5,DaybyDay[RowYear],"&gt;="&amp;$C$4,DaybyDay[Date],"&lt;="&amp;DaybyDay[[#This Row],[Date]])</f>
        <v>2627.1</v>
      </c>
      <c r="AU1222" s="82" t="str">
        <f>IF(AND(DaybyDay[[#This Row],[_Space]],ISNUMBER(DaybyDay[[#This Row],[Retail Hours]])),DaybyDay[[#This Row],[Est-Retail-Payroll]]/(DaybyDay[[#This Row],[Retail-Actuals]]),"")</f>
        <v/>
      </c>
      <c r="AV1222" s="82">
        <f>DaybyDay[[#This Row],[Est-Retail-PayrollRU]]/DaybyDay[[#This Row],[Simple-Forecast-Retail]]</f>
        <v>1.949395438694598E-2</v>
      </c>
      <c r="AW1222" s="8"/>
      <c r="AX1222" s="15"/>
      <c r="AY1222" s="8"/>
    </row>
    <row r="1223" spans="3:51" hidden="1" x14ac:dyDescent="0.25">
      <c r="C1223" s="26" t="str">
        <f>Tools!$C$1</f>
        <v>Example</v>
      </c>
      <c r="D1223" s="27" t="s">
        <v>71</v>
      </c>
      <c r="E1223" s="28">
        <v>2020</v>
      </c>
      <c r="F1223" s="28">
        <f>MATCH(DaybyDay[[#This Row],[RowMonth]],Table3[SummaryMonth],0)</f>
        <v>4</v>
      </c>
      <c r="G1223" s="29">
        <f>MATCH(DaybyDay[[#This Row],[LY-Date]],DaybyDay[Date],0)</f>
        <v>853</v>
      </c>
      <c r="H1223" s="30">
        <f>WEEKDAY(DaybyDay[[#This Row],[Date]])</f>
        <v>6</v>
      </c>
      <c r="I1223" s="31">
        <v>43952</v>
      </c>
      <c r="J1223" s="74"/>
      <c r="K1223" s="32">
        <f>SUMIFS(BudgetSeasonality[365 Seasonality],BudgetSeasonality[MonthAdjustment],DaybyDay[[#This Row],[Date]])*SUMIFS(Budgets[Service-Budget],Budgets[BudgetMonth],DaybyDay[[#This Row],[RowMonth]],Budgets[BudgetYear],DaybyDay[[#This Row],[RowYear]])</f>
        <v>5449.1954416465005</v>
      </c>
      <c r="L1223" s="75"/>
      <c r="M1223" s="32">
        <f>INDEX(BudgetSeasonality[365 Seasonality],MATCH(DaybyDay[[#This Row],[Date]],BudgetSeasonality[MonthAdjustment],0))*SUMIFS(Budgets[Retail-Budget],Budgets[BudgetMonth],DaybyDay[[#This Row],[RowMonth]],Budgets[BudgetYear],DaybyDay[[#This Row],[RowYear]])</f>
        <v>1433.6450799108259</v>
      </c>
      <c r="N1223" s="75"/>
      <c r="O1223" s="33">
        <f>SUMIFS(DaybyDay[Service-Budgets],DaybyDay[Date],"&gt;="&amp;$C$5,DaybyDay[RowYear],"&gt;="&amp;$C$4,DaybyDay[Date],"&lt;="&amp;DaybyDay[[#This Row],[Date]])</f>
        <v>645743.06025806116</v>
      </c>
      <c r="P1223" s="33">
        <f>SUMIFS(DaybyDay[Retail-Budgets],DaybyDay[Date],"&gt;="&amp;$C$5,DaybyDay[RowYear],"&gt;="&amp;$C$4,DaybyDay[Date],"&lt;="&amp;DaybyDay[[#This Row],[Date]])</f>
        <v>159271.55826049505</v>
      </c>
      <c r="Q1223" s="34">
        <f>SUMIFS(DaybyDay[Service-Actuals],DaybyDay[Date],"&gt;="&amp;$C$5,DaybyDay[RowYear],"&gt;="&amp;$C$4,DaybyDay[Date],"&lt;="&amp;DaybyDay[[#This Row],[Date]])</f>
        <v>385554.23</v>
      </c>
      <c r="R1223" s="34">
        <f>SUMIFS(DaybyDay[Retail-Actuals],DaybyDay[Date],"&gt;="&amp;$C$5,DaybyDay[RowYear],"&gt;="&amp;$C$4,DaybyDay[Date],"&lt;="&amp;DaybyDay[[#This Row],[Date]])</f>
        <v>88360.030000000028</v>
      </c>
      <c r="S1223" s="35">
        <f>SUMIFS(DaybyDay[Service-LY],DaybyDay[Date],"&gt;="&amp;$C$5,DaybyDay[RowYear],"&gt;="&amp;$C$4,DaybyDay[Date],"&lt;="&amp;DaybyDay[[#This Row],[Date]])</f>
        <v>609527.24999999988</v>
      </c>
      <c r="T1223" s="35">
        <f>SUMIFS(DaybyDay[Retail-LY],DaybyDay[Date],"&gt;="&amp;$C$5,DaybyDay[RowYear],"&gt;="&amp;$C$4,DaybyDay[Date],"&lt;="&amp;DaybyDay[[#This Row],[Date]])</f>
        <v>137426.11000000002</v>
      </c>
      <c r="U1223" s="32">
        <f>DaybyDay[[#This Row],[Serv-Bud-RU]]+DaybyDay[[#This Row],[Ret-Bud-RU]]</f>
        <v>805014.61851855624</v>
      </c>
      <c r="V1223" s="32">
        <f>DaybyDay[[#This Row],[Serv-Act-RU]]+DaybyDay[[#This Row],[Ret-Act-RU]]</f>
        <v>473914.26</v>
      </c>
      <c r="W1223" s="36" t="str">
        <f>IF(DaybyDay[[#This Row],[_Space]],IFERROR(
((DaybyDay[[#This Row],[Actual-Rollup]]-DaybyDay[[#This Row],[Budget-Rollup]])/DaybyDay[[#This Row],[Budget-Rollup]]),0),"")</f>
        <v/>
      </c>
      <c r="X1223" t="b">
        <f>NOT(AND(ISBLANK(DaybyDay[[#This Row],[Appts]]),ISBLANK(DaybyDay[[#This Row],[Service-Actuals]]),ISBLANK(DaybyDay[[#This Row],[Retail-Actuals]])))</f>
        <v>0</v>
      </c>
      <c r="Y1223" s="36" t="str">
        <f>IF(DaybyDay[[#This Row],[_Space]],IFERROR(
((DaybyDay[[#This Row],[Actual-Rollup]]-DaybyDay[[#This Row],[LY-Rollup]])/DaybyDay[[#This Row],[LY-Rollup]]),0),"")</f>
        <v/>
      </c>
      <c r="Z1223"/>
      <c r="AA1223" s="37" t="str">
        <f>IF(DaybyDay[[#This Row],[_Space]],DaybyDay[[#This Row],[Ret-Act-RU]]/DaybyDay[[#This Row],[Serv-Act-RU]],"")</f>
        <v/>
      </c>
      <c r="AB1223" s="50" t="str">
        <f>IF(DaybyDay[[#This Row],[_Space]],DaybyDay[[#This Row],[RETPEN-Act]]/DaybyDay[[#This Row],[RETPEN-Bud]],"")</f>
        <v/>
      </c>
      <c r="AC1223" s="37" t="str">
        <f>IF(DaybyDay[[#This Row],[_Space]],DaybyDay[[#This Row],[Ret-Bud-RU]]/DaybyDay[[#This Row],[Serv-Bud-RU]],"")</f>
        <v/>
      </c>
      <c r="AD1223" s="37" t="str">
        <f>IF(DaybyDay[[#This Row],[_Space]],DaybyDay[[#This Row],[Ret-LY-RU]]/DaybyDay[[#This Row],[Serv-LY-RU]],"")</f>
        <v/>
      </c>
      <c r="AE1223" s="30">
        <f>WEEKDAY(DaybyDay[[#This Row],[LY-Date]])</f>
        <v>6</v>
      </c>
      <c r="AF1223" s="38">
        <f>$E$2+_xlfn.DAYS(DaybyDay[[#This Row],[Date]],minDate)</f>
        <v>43588</v>
      </c>
      <c r="AG1223" s="39" cm="1">
        <f t="array" ref="AG1223">IFERROR(INDEX(DaybyDay[],DaybyDay[[#This Row],[FORM_MATCH_HELPER]],8),"")</f>
        <v>22</v>
      </c>
      <c r="AH1223" s="39" cm="1">
        <f t="array" ref="AH1223">IFERROR(INDEX(DaybyDay[],DaybyDay[[#This Row],[FORM_MATCH_HELPER]],10),"")</f>
        <v>5435.6</v>
      </c>
      <c r="AI1223" s="39" cm="1">
        <f t="array" ref="AI1223">IFERROR(INDEX(DaybyDay[],DaybyDay[[#This Row],[FORM_MATCH_HELPER]],12),"")</f>
        <v>9549.07</v>
      </c>
      <c r="AJ1223" s="32">
        <f>IFERROR(DaybyDay[[#This Row],[Serv-LY-RU]]+DaybyDay[[#This Row],[Ret-LY-RU]],"")</f>
        <v>746953.35999999987</v>
      </c>
      <c r="AK12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750375.91039538314</v>
      </c>
      <c r="AL1223" s="77"/>
      <c r="AM1223" s="40" t="str">
        <f>IF(DaybyDay[[#This Row],[Admin Hours]]&gt;0,DaybyDay[[#This Row],[Admin Hours]]*$AM$2+$AM$3,"")</f>
        <v/>
      </c>
      <c r="AN1223" s="40">
        <f>SUMIFS(DaybyDay[Est-Admin-Payroll],DaybyDay[Date],"&gt;="&amp;$C$5,DaybyDay[RowYear],"&gt;="&amp;$C$4,DaybyDay[Date],"&lt;="&amp;DaybyDay[[#This Row],[Date]])</f>
        <v>13941.779999999997</v>
      </c>
      <c r="AO1223" s="41" t="str">
        <f>IF(AND(DaybyDay[[#This Row],[_Space]],ISNUMBER(DaybyDay[[#This Row],[Admin Hours]])),DaybyDay[[#This Row],[Est-Admin-Payroll]]/(DaybyDay[[#This Row],[Service-Actuals]]+DaybyDay[[#This Row],[Retail-Actuals]]),"")</f>
        <v/>
      </c>
      <c r="AP1223" s="41">
        <f>DaybyDay[[#This Row],[Estimated-Payroll-Rollup]]/DaybyDay[[#This Row],[Simple-Forecast]]</f>
        <v>1.8579727583010876E-2</v>
      </c>
      <c r="AQ12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140082.77032346014</v>
      </c>
      <c r="AR1223" s="77"/>
      <c r="AS1223" s="40" t="str">
        <f>IF(DaybyDay[[#This Row],[Retail Hours]]&gt;0,DaybyDay[[#This Row],[Retail Hours]]*$AS$2,"")</f>
        <v/>
      </c>
      <c r="AT1223" s="40">
        <f>SUMIFS(DaybyDay[Est-Retail-Payroll],DaybyDay[Date],"&gt;="&amp;$C$5,DaybyDay[RowYear],"&gt;="&amp;$C$4,DaybyDay[Date],"&lt;="&amp;DaybyDay[[#This Row],[Date]])</f>
        <v>2627.1</v>
      </c>
      <c r="AU1223" s="82" t="str">
        <f>IF(AND(DaybyDay[[#This Row],[_Space]],ISNUMBER(DaybyDay[[#This Row],[Retail Hours]])),DaybyDay[[#This Row],[Est-Retail-Payroll]]/(DaybyDay[[#This Row],[Retail-Actuals]]),"")</f>
        <v/>
      </c>
      <c r="AV1223" s="82">
        <f>DaybyDay[[#This Row],[Est-Retail-PayrollRU]]/DaybyDay[[#This Row],[Simple-Forecast-Retail]]</f>
        <v>1.8753912375760823E-2</v>
      </c>
      <c r="AW1223" s="8"/>
      <c r="AX1223" s="15"/>
      <c r="AY1223" s="8"/>
    </row>
    <row r="1224" spans="3:51" hidden="1" x14ac:dyDescent="0.25">
      <c r="C1224" s="26" t="str">
        <f>Tools!$C$1</f>
        <v>Example</v>
      </c>
      <c r="D1224" s="27" t="s">
        <v>71</v>
      </c>
      <c r="E1224" s="28">
        <v>2020</v>
      </c>
      <c r="F1224" s="28">
        <f>MATCH(DaybyDay[[#This Row],[RowMonth]],Table3[SummaryMonth],0)</f>
        <v>4</v>
      </c>
      <c r="G1224" s="29">
        <f>MATCH(DaybyDay[[#This Row],[LY-Date]],DaybyDay[Date],0)</f>
        <v>854</v>
      </c>
      <c r="H1224" s="30">
        <f>WEEKDAY(DaybyDay[[#This Row],[Date]])</f>
        <v>7</v>
      </c>
      <c r="I1224" s="31">
        <v>43953</v>
      </c>
      <c r="J1224" s="74"/>
      <c r="K1224" s="32">
        <f>SUMIFS(BudgetSeasonality[365 Seasonality],BudgetSeasonality[MonthAdjustment],DaybyDay[[#This Row],[Date]])*SUMIFS(Budgets[Service-Budget],Budgets[BudgetMonth],DaybyDay[[#This Row],[RowMonth]],Budgets[BudgetYear],DaybyDay[[#This Row],[RowYear]])</f>
        <v>7947.5926147340697</v>
      </c>
      <c r="L1224" s="75"/>
      <c r="M1224" s="32">
        <f>INDEX(BudgetSeasonality[365 Seasonality],MATCH(DaybyDay[[#This Row],[Date]],BudgetSeasonality[MonthAdjustment],0))*SUMIFS(Budgets[Retail-Budget],Budgets[BudgetMonth],DaybyDay[[#This Row],[RowMonth]],Budgets[BudgetYear],DaybyDay[[#This Row],[RowYear]])</f>
        <v>2090.9558431632163</v>
      </c>
      <c r="N1224" s="75"/>
      <c r="O1224" s="33">
        <f>SUMIFS(DaybyDay[Service-Budgets],DaybyDay[Date],"&gt;="&amp;$C$5,DaybyDay[RowYear],"&gt;="&amp;$C$4,DaybyDay[Date],"&lt;="&amp;DaybyDay[[#This Row],[Date]])</f>
        <v>653690.65287279524</v>
      </c>
      <c r="P1224" s="33">
        <f>SUMIFS(DaybyDay[Retail-Budgets],DaybyDay[Date],"&gt;="&amp;$C$5,DaybyDay[RowYear],"&gt;="&amp;$C$4,DaybyDay[Date],"&lt;="&amp;DaybyDay[[#This Row],[Date]])</f>
        <v>161362.51410365826</v>
      </c>
      <c r="Q1224" s="34">
        <f>SUMIFS(DaybyDay[Service-Actuals],DaybyDay[Date],"&gt;="&amp;$C$5,DaybyDay[RowYear],"&gt;="&amp;$C$4,DaybyDay[Date],"&lt;="&amp;DaybyDay[[#This Row],[Date]])</f>
        <v>385554.23</v>
      </c>
      <c r="R1224" s="34">
        <f>SUMIFS(DaybyDay[Retail-Actuals],DaybyDay[Date],"&gt;="&amp;$C$5,DaybyDay[RowYear],"&gt;="&amp;$C$4,DaybyDay[Date],"&lt;="&amp;DaybyDay[[#This Row],[Date]])</f>
        <v>88360.030000000028</v>
      </c>
      <c r="S1224" s="35">
        <f>SUMIFS(DaybyDay[Service-LY],DaybyDay[Date],"&gt;="&amp;$C$5,DaybyDay[RowYear],"&gt;="&amp;$C$4,DaybyDay[Date],"&lt;="&amp;DaybyDay[[#This Row],[Date]])</f>
        <v>619561.89999999991</v>
      </c>
      <c r="T1224" s="35">
        <f>SUMIFS(DaybyDay[Retail-LY],DaybyDay[Date],"&gt;="&amp;$C$5,DaybyDay[RowYear],"&gt;="&amp;$C$4,DaybyDay[Date],"&lt;="&amp;DaybyDay[[#This Row],[Date]])</f>
        <v>140667.04</v>
      </c>
      <c r="U1224" s="32">
        <f>DaybyDay[[#This Row],[Serv-Bud-RU]]+DaybyDay[[#This Row],[Ret-Bud-RU]]</f>
        <v>815053.1669764535</v>
      </c>
      <c r="V1224" s="32">
        <f>DaybyDay[[#This Row],[Serv-Act-RU]]+DaybyDay[[#This Row],[Ret-Act-RU]]</f>
        <v>473914.26</v>
      </c>
      <c r="W1224" s="36" t="str">
        <f>IF(DaybyDay[[#This Row],[_Space]],IFERROR(
((DaybyDay[[#This Row],[Actual-Rollup]]-DaybyDay[[#This Row],[Budget-Rollup]])/DaybyDay[[#This Row],[Budget-Rollup]]),0),"")</f>
        <v/>
      </c>
      <c r="X1224" t="b">
        <f>NOT(AND(ISBLANK(DaybyDay[[#This Row],[Appts]]),ISBLANK(DaybyDay[[#This Row],[Service-Actuals]]),ISBLANK(DaybyDay[[#This Row],[Retail-Actuals]])))</f>
        <v>0</v>
      </c>
      <c r="Y1224" s="36" t="str">
        <f>IF(DaybyDay[[#This Row],[_Space]],IFERROR(
((DaybyDay[[#This Row],[Actual-Rollup]]-DaybyDay[[#This Row],[LY-Rollup]])/DaybyDay[[#This Row],[LY-Rollup]]),0),"")</f>
        <v/>
      </c>
      <c r="Z1224"/>
      <c r="AA1224" s="37" t="str">
        <f>IF(DaybyDay[[#This Row],[_Space]],DaybyDay[[#This Row],[Ret-Act-RU]]/DaybyDay[[#This Row],[Serv-Act-RU]],"")</f>
        <v/>
      </c>
      <c r="AB1224" s="50" t="str">
        <f>IF(DaybyDay[[#This Row],[_Space]],DaybyDay[[#This Row],[RETPEN-Act]]/DaybyDay[[#This Row],[RETPEN-Bud]],"")</f>
        <v/>
      </c>
      <c r="AC1224" s="37" t="str">
        <f>IF(DaybyDay[[#This Row],[_Space]],DaybyDay[[#This Row],[Ret-Bud-RU]]/DaybyDay[[#This Row],[Serv-Bud-RU]],"")</f>
        <v/>
      </c>
      <c r="AD1224" s="37" t="str">
        <f>IF(DaybyDay[[#This Row],[_Space]],DaybyDay[[#This Row],[Ret-LY-RU]]/DaybyDay[[#This Row],[Serv-LY-RU]],"")</f>
        <v/>
      </c>
      <c r="AE1224" s="30">
        <f>WEEKDAY(DaybyDay[[#This Row],[LY-Date]])</f>
        <v>7</v>
      </c>
      <c r="AF1224" s="38">
        <f>$E$2+_xlfn.DAYS(DaybyDay[[#This Row],[Date]],minDate)</f>
        <v>43589</v>
      </c>
      <c r="AG1224" s="39" cm="1">
        <f t="array" ref="AG1224">IFERROR(INDEX(DaybyDay[],DaybyDay[[#This Row],[FORM_MATCH_HELPER]],8),"")</f>
        <v>43</v>
      </c>
      <c r="AH1224" s="39" cm="1">
        <f t="array" ref="AH1224">IFERROR(INDEX(DaybyDay[],DaybyDay[[#This Row],[FORM_MATCH_HELPER]],10),"")</f>
        <v>10034.65</v>
      </c>
      <c r="AI1224" s="39" cm="1">
        <f t="array" ref="AI1224">IFERROR(INDEX(DaybyDay[],DaybyDay[[#This Row],[FORM_MATCH_HELPER]],12),"")</f>
        <v>3240.93</v>
      </c>
      <c r="AJ1224" s="32">
        <f>IFERROR(DaybyDay[[#This Row],[Serv-LY-RU]]+DaybyDay[[#This Row],[Ret-LY-RU]],"")</f>
        <v>760228.94</v>
      </c>
      <c r="AK12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761191.29003159818</v>
      </c>
      <c r="AL1224" s="77"/>
      <c r="AM1224" s="40" t="str">
        <f>IF(DaybyDay[[#This Row],[Admin Hours]]&gt;0,DaybyDay[[#This Row],[Admin Hours]]*$AM$2+$AM$3,"")</f>
        <v/>
      </c>
      <c r="AN1224" s="40">
        <f>SUMIFS(DaybyDay[Est-Admin-Payroll],DaybyDay[Date],"&gt;="&amp;$C$5,DaybyDay[RowYear],"&gt;="&amp;$C$4,DaybyDay[Date],"&lt;="&amp;DaybyDay[[#This Row],[Date]])</f>
        <v>13941.779999999997</v>
      </c>
      <c r="AO1224" s="41" t="str">
        <f>IF(AND(DaybyDay[[#This Row],[_Space]],ISNUMBER(DaybyDay[[#This Row],[Admin Hours]])),DaybyDay[[#This Row],[Est-Admin-Payroll]]/(DaybyDay[[#This Row],[Service-Actuals]]+DaybyDay[[#This Row],[Retail-Actuals]]),"")</f>
        <v/>
      </c>
      <c r="AP1224" s="41">
        <f>DaybyDay[[#This Row],[Estimated-Payroll-Rollup]]/DaybyDay[[#This Row],[Simple-Forecast]]</f>
        <v>1.8315737689827288E-2</v>
      </c>
      <c r="AQ12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142570.08702292311</v>
      </c>
      <c r="AR1224" s="77"/>
      <c r="AS1224" s="40" t="str">
        <f>IF(DaybyDay[[#This Row],[Retail Hours]]&gt;0,DaybyDay[[#This Row],[Retail Hours]]*$AS$2,"")</f>
        <v/>
      </c>
      <c r="AT1224" s="40">
        <f>SUMIFS(DaybyDay[Est-Retail-Payroll],DaybyDay[Date],"&gt;="&amp;$C$5,DaybyDay[RowYear],"&gt;="&amp;$C$4,DaybyDay[Date],"&lt;="&amp;DaybyDay[[#This Row],[Date]])</f>
        <v>2627.1</v>
      </c>
      <c r="AU1224" s="82" t="str">
        <f>IF(AND(DaybyDay[[#This Row],[_Space]],ISNUMBER(DaybyDay[[#This Row],[Retail Hours]])),DaybyDay[[#This Row],[Est-Retail-Payroll]]/(DaybyDay[[#This Row],[Retail-Actuals]]),"")</f>
        <v/>
      </c>
      <c r="AV1224" s="82">
        <f>DaybyDay[[#This Row],[Est-Retail-PayrollRU]]/DaybyDay[[#This Row],[Simple-Forecast-Retail]]</f>
        <v>1.8426726495422579E-2</v>
      </c>
      <c r="AW1224" s="8"/>
      <c r="AX1224" s="15"/>
      <c r="AY1224" s="8"/>
    </row>
    <row r="1225" spans="3:51" hidden="1" x14ac:dyDescent="0.25">
      <c r="C1225" s="26" t="str">
        <f>Tools!$C$1</f>
        <v>Example</v>
      </c>
      <c r="D1225" s="27" t="s">
        <v>72</v>
      </c>
      <c r="E1225" s="28">
        <v>2020</v>
      </c>
      <c r="F1225" s="28">
        <f>MATCH(DaybyDay[[#This Row],[RowMonth]],Table3[SummaryMonth],0)</f>
        <v>5</v>
      </c>
      <c r="G1225" s="29">
        <f>MATCH(DaybyDay[[#This Row],[LY-Date]],DaybyDay[Date],0)</f>
        <v>855</v>
      </c>
      <c r="H1225" s="30">
        <f>WEEKDAY(DaybyDay[[#This Row],[Date]])</f>
        <v>1</v>
      </c>
      <c r="I1225" s="31">
        <v>43954</v>
      </c>
      <c r="J1225" s="74"/>
      <c r="K1225" s="32">
        <f>SUMIFS(BudgetSeasonality[365 Seasonality],BudgetSeasonality[MonthAdjustment],DaybyDay[[#This Row],[Date]])*SUMIFS(Budgets[Service-Budget],Budgets[BudgetMonth],DaybyDay[[#This Row],[RowMonth]],Budgets[BudgetYear],DaybyDay[[#This Row],[RowYear]])</f>
        <v>6622.6956313441597</v>
      </c>
      <c r="L1225" s="75"/>
      <c r="M1225" s="32">
        <f>INDEX(BudgetSeasonality[365 Seasonality],MATCH(DaybyDay[[#This Row],[Date]],BudgetSeasonality[MonthAdjustment],0))*SUMIFS(Budgets[Retail-Budget],Budgets[BudgetMonth],DaybyDay[[#This Row],[RowMonth]],Budgets[BudgetYear],DaybyDay[[#This Row],[RowYear]])</f>
        <v>1740.8969976559251</v>
      </c>
      <c r="N1225" s="75"/>
      <c r="O1225" s="33">
        <f>SUMIFS(DaybyDay[Service-Budgets],DaybyDay[Date],"&gt;="&amp;$C$5,DaybyDay[RowYear],"&gt;="&amp;$C$4,DaybyDay[Date],"&lt;="&amp;DaybyDay[[#This Row],[Date]])</f>
        <v>660313.34850413934</v>
      </c>
      <c r="P1225" s="33">
        <f>SUMIFS(DaybyDay[Retail-Budgets],DaybyDay[Date],"&gt;="&amp;$C$5,DaybyDay[RowYear],"&gt;="&amp;$C$4,DaybyDay[Date],"&lt;="&amp;DaybyDay[[#This Row],[Date]])</f>
        <v>163103.41110131418</v>
      </c>
      <c r="Q1225" s="34">
        <f>SUMIFS(DaybyDay[Service-Actuals],DaybyDay[Date],"&gt;="&amp;$C$5,DaybyDay[RowYear],"&gt;="&amp;$C$4,DaybyDay[Date],"&lt;="&amp;DaybyDay[[#This Row],[Date]])</f>
        <v>385554.23</v>
      </c>
      <c r="R1225" s="34">
        <f>SUMIFS(DaybyDay[Retail-Actuals],DaybyDay[Date],"&gt;="&amp;$C$5,DaybyDay[RowYear],"&gt;="&amp;$C$4,DaybyDay[Date],"&lt;="&amp;DaybyDay[[#This Row],[Date]])</f>
        <v>88360.030000000028</v>
      </c>
      <c r="S1225" s="35">
        <f>SUMIFS(DaybyDay[Service-LY],DaybyDay[Date],"&gt;="&amp;$C$5,DaybyDay[RowYear],"&gt;="&amp;$C$4,DaybyDay[Date],"&lt;="&amp;DaybyDay[[#This Row],[Date]])</f>
        <v>625696.21</v>
      </c>
      <c r="T1225" s="35">
        <f>SUMIFS(DaybyDay[Retail-LY],DaybyDay[Date],"&gt;="&amp;$C$5,DaybyDay[RowYear],"&gt;="&amp;$C$4,DaybyDay[Date],"&lt;="&amp;DaybyDay[[#This Row],[Date]])</f>
        <v>143869.94</v>
      </c>
      <c r="U1225" s="32">
        <f>DaybyDay[[#This Row],[Serv-Bud-RU]]+DaybyDay[[#This Row],[Ret-Bud-RU]]</f>
        <v>823416.75960545358</v>
      </c>
      <c r="V1225" s="32">
        <f>DaybyDay[[#This Row],[Serv-Act-RU]]+DaybyDay[[#This Row],[Ret-Act-RU]]</f>
        <v>473914.26</v>
      </c>
      <c r="W1225" s="36" t="str">
        <f>IF(DaybyDay[[#This Row],[_Space]],IFERROR(
((DaybyDay[[#This Row],[Actual-Rollup]]-DaybyDay[[#This Row],[Budget-Rollup]])/DaybyDay[[#This Row],[Budget-Rollup]]),0),"")</f>
        <v/>
      </c>
      <c r="X1225" t="b">
        <f>NOT(AND(ISBLANK(DaybyDay[[#This Row],[Appts]]),ISBLANK(DaybyDay[[#This Row],[Service-Actuals]]),ISBLANK(DaybyDay[[#This Row],[Retail-Actuals]])))</f>
        <v>0</v>
      </c>
      <c r="Y1225" s="36" t="str">
        <f>IF(DaybyDay[[#This Row],[_Space]],IFERROR(
((DaybyDay[[#This Row],[Actual-Rollup]]-DaybyDay[[#This Row],[LY-Rollup]])/DaybyDay[[#This Row],[LY-Rollup]]),0),"")</f>
        <v/>
      </c>
      <c r="Z1225"/>
      <c r="AA1225" s="37" t="str">
        <f>IF(DaybyDay[[#This Row],[_Space]],DaybyDay[[#This Row],[Ret-Act-RU]]/DaybyDay[[#This Row],[Serv-Act-RU]],"")</f>
        <v/>
      </c>
      <c r="AB1225" s="50" t="str">
        <f>IF(DaybyDay[[#This Row],[_Space]],DaybyDay[[#This Row],[RETPEN-Act]]/DaybyDay[[#This Row],[RETPEN-Bud]],"")</f>
        <v/>
      </c>
      <c r="AC1225" s="37" t="str">
        <f>IF(DaybyDay[[#This Row],[_Space]],DaybyDay[[#This Row],[Ret-Bud-RU]]/DaybyDay[[#This Row],[Serv-Bud-RU]],"")</f>
        <v/>
      </c>
      <c r="AD1225" s="37" t="str">
        <f>IF(DaybyDay[[#This Row],[_Space]],DaybyDay[[#This Row],[Ret-LY-RU]]/DaybyDay[[#This Row],[Serv-LY-RU]],"")</f>
        <v/>
      </c>
      <c r="AE1225" s="30">
        <f>WEEKDAY(DaybyDay[[#This Row],[LY-Date]])</f>
        <v>1</v>
      </c>
      <c r="AF1225" s="38">
        <f>$E$2+_xlfn.DAYS(DaybyDay[[#This Row],[Date]],minDate)</f>
        <v>43590</v>
      </c>
      <c r="AG1225" s="39" cm="1">
        <f t="array" ref="AG1225">IFERROR(INDEX(DaybyDay[],DaybyDay[[#This Row],[FORM_MATCH_HELPER]],8),"")</f>
        <v>41</v>
      </c>
      <c r="AH1225" s="39" cm="1">
        <f t="array" ref="AH1225">IFERROR(INDEX(DaybyDay[],DaybyDay[[#This Row],[FORM_MATCH_HELPER]],10),"")</f>
        <v>6134.3099999999995</v>
      </c>
      <c r="AI1225" s="39" cm="1">
        <f t="array" ref="AI1225">IFERROR(INDEX(DaybyDay[],DaybyDay[[#This Row],[FORM_MATCH_HELPER]],12),"")</f>
        <v>3202.9</v>
      </c>
      <c r="AJ1225" s="32">
        <f>IFERROR(DaybyDay[[#This Row],[Serv-LY-RU]]+DaybyDay[[#This Row],[Ret-LY-RU]],"")</f>
        <v>769566.14999999991</v>
      </c>
      <c r="AK12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769352.43251449801</v>
      </c>
      <c r="AL1225" s="77"/>
      <c r="AM1225" s="40" t="str">
        <f>IF(DaybyDay[[#This Row],[Admin Hours]]&gt;0,DaybyDay[[#This Row],[Admin Hours]]*$AM$2+$AM$3,"")</f>
        <v/>
      </c>
      <c r="AN1225" s="40">
        <f>SUMIFS(DaybyDay[Est-Admin-Payroll],DaybyDay[Date],"&gt;="&amp;$C$5,DaybyDay[RowYear],"&gt;="&amp;$C$4,DaybyDay[Date],"&lt;="&amp;DaybyDay[[#This Row],[Date]])</f>
        <v>13941.779999999997</v>
      </c>
      <c r="AO1225" s="41" t="str">
        <f>IF(AND(DaybyDay[[#This Row],[_Space]],ISNUMBER(DaybyDay[[#This Row],[Admin Hours]])),DaybyDay[[#This Row],[Est-Admin-Payroll]]/(DaybyDay[[#This Row],[Service-Actuals]]+DaybyDay[[#This Row],[Retail-Actuals]]),"")</f>
        <v/>
      </c>
      <c r="AP1225" s="41">
        <f>DaybyDay[[#This Row],[Estimated-Payroll-Rollup]]/DaybyDay[[#This Row],[Simple-Forecast]]</f>
        <v>1.8121447870689967E-2</v>
      </c>
      <c r="AQ12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144889.75407305261</v>
      </c>
      <c r="AR1225" s="77"/>
      <c r="AS1225" s="40" t="str">
        <f>IF(DaybyDay[[#This Row],[Retail Hours]]&gt;0,DaybyDay[[#This Row],[Retail Hours]]*$AS$2,"")</f>
        <v/>
      </c>
      <c r="AT1225" s="40">
        <f>SUMIFS(DaybyDay[Est-Retail-Payroll],DaybyDay[Date],"&gt;="&amp;$C$5,DaybyDay[RowYear],"&gt;="&amp;$C$4,DaybyDay[Date],"&lt;="&amp;DaybyDay[[#This Row],[Date]])</f>
        <v>2627.1</v>
      </c>
      <c r="AU1225" s="82" t="str">
        <f>IF(AND(DaybyDay[[#This Row],[_Space]],ISNUMBER(DaybyDay[[#This Row],[Retail Hours]])),DaybyDay[[#This Row],[Est-Retail-Payroll]]/(DaybyDay[[#This Row],[Retail-Actuals]]),"")</f>
        <v/>
      </c>
      <c r="AV1225" s="82">
        <f>DaybyDay[[#This Row],[Est-Retail-PayrollRU]]/DaybyDay[[#This Row],[Simple-Forecast-Retail]]</f>
        <v>1.8131716882309225E-2</v>
      </c>
      <c r="AW1225" s="8"/>
      <c r="AX1225" s="15"/>
      <c r="AY1225" s="8"/>
    </row>
    <row r="1226" spans="3:51" hidden="1" x14ac:dyDescent="0.25">
      <c r="C1226" s="26" t="str">
        <f>Tools!$C$1</f>
        <v>Example</v>
      </c>
      <c r="D1226" s="27" t="s">
        <v>72</v>
      </c>
      <c r="E1226" s="28">
        <v>2020</v>
      </c>
      <c r="F1226" s="28">
        <f>MATCH(DaybyDay[[#This Row],[RowMonth]],Table3[SummaryMonth],0)</f>
        <v>5</v>
      </c>
      <c r="G1226" s="29">
        <f>MATCH(DaybyDay[[#This Row],[LY-Date]],DaybyDay[Date],0)</f>
        <v>856</v>
      </c>
      <c r="H1226" s="30">
        <f>WEEKDAY(DaybyDay[[#This Row],[Date]])</f>
        <v>2</v>
      </c>
      <c r="I1226" s="31">
        <v>43955</v>
      </c>
      <c r="J1226" s="74"/>
      <c r="K1226" s="32">
        <f>SUMIFS(BudgetSeasonality[365 Seasonality],BudgetSeasonality[MonthAdjustment],DaybyDay[[#This Row],[Date]])*SUMIFS(Budgets[Service-Budget],Budgets[BudgetMonth],DaybyDay[[#This Row],[RowMonth]],Budgets[BudgetYear],DaybyDay[[#This Row],[RowYear]])</f>
        <v>3975.2297364239321</v>
      </c>
      <c r="L1226" s="75"/>
      <c r="M1226" s="32">
        <f>INDEX(BudgetSeasonality[365 Seasonality],MATCH(DaybyDay[[#This Row],[Date]],BudgetSeasonality[MonthAdjustment],0))*SUMIFS(Budgets[Retail-Budget],Budgets[BudgetMonth],DaybyDay[[#This Row],[RowMonth]],Budgets[BudgetYear],DaybyDay[[#This Row],[RowYear]])</f>
        <v>1044.9620363616775</v>
      </c>
      <c r="N1226" s="75"/>
      <c r="O1226" s="33">
        <f>SUMIFS(DaybyDay[Service-Budgets],DaybyDay[Date],"&gt;="&amp;$C$5,DaybyDay[RowYear],"&gt;="&amp;$C$4,DaybyDay[Date],"&lt;="&amp;DaybyDay[[#This Row],[Date]])</f>
        <v>664288.57824056328</v>
      </c>
      <c r="P1226" s="33">
        <f>SUMIFS(DaybyDay[Retail-Budgets],DaybyDay[Date],"&gt;="&amp;$C$5,DaybyDay[RowYear],"&gt;="&amp;$C$4,DaybyDay[Date],"&lt;="&amp;DaybyDay[[#This Row],[Date]])</f>
        <v>164148.37313767587</v>
      </c>
      <c r="Q1226" s="34">
        <f>SUMIFS(DaybyDay[Service-Actuals],DaybyDay[Date],"&gt;="&amp;$C$5,DaybyDay[RowYear],"&gt;="&amp;$C$4,DaybyDay[Date],"&lt;="&amp;DaybyDay[[#This Row],[Date]])</f>
        <v>385554.23</v>
      </c>
      <c r="R1226" s="34">
        <f>SUMIFS(DaybyDay[Retail-Actuals],DaybyDay[Date],"&gt;="&amp;$C$5,DaybyDay[RowYear],"&gt;="&amp;$C$4,DaybyDay[Date],"&lt;="&amp;DaybyDay[[#This Row],[Date]])</f>
        <v>88360.030000000028</v>
      </c>
      <c r="S1226" s="35">
        <f>SUMIFS(DaybyDay[Service-LY],DaybyDay[Date],"&gt;="&amp;$C$5,DaybyDay[RowYear],"&gt;="&amp;$C$4,DaybyDay[Date],"&lt;="&amp;DaybyDay[[#This Row],[Date]])</f>
        <v>628664.90999999992</v>
      </c>
      <c r="T1226" s="35">
        <f>SUMIFS(DaybyDay[Retail-LY],DaybyDay[Date],"&gt;="&amp;$C$5,DaybyDay[RowYear],"&gt;="&amp;$C$4,DaybyDay[Date],"&lt;="&amp;DaybyDay[[#This Row],[Date]])</f>
        <v>144987.94</v>
      </c>
      <c r="U1226" s="32">
        <f>DaybyDay[[#This Row],[Serv-Bud-RU]]+DaybyDay[[#This Row],[Ret-Bud-RU]]</f>
        <v>828436.95137823909</v>
      </c>
      <c r="V1226" s="32">
        <f>DaybyDay[[#This Row],[Serv-Act-RU]]+DaybyDay[[#This Row],[Ret-Act-RU]]</f>
        <v>473914.26</v>
      </c>
      <c r="W1226" s="36" t="str">
        <f>IF(DaybyDay[[#This Row],[_Space]],IFERROR(
((DaybyDay[[#This Row],[Actual-Rollup]]-DaybyDay[[#This Row],[Budget-Rollup]])/DaybyDay[[#This Row],[Budget-Rollup]]),0),"")</f>
        <v/>
      </c>
      <c r="X1226" t="b">
        <f>NOT(AND(ISBLANK(DaybyDay[[#This Row],[Appts]]),ISBLANK(DaybyDay[[#This Row],[Service-Actuals]]),ISBLANK(DaybyDay[[#This Row],[Retail-Actuals]])))</f>
        <v>0</v>
      </c>
      <c r="Y1226" s="36" t="str">
        <f>IF(DaybyDay[[#This Row],[_Space]],IFERROR(
((DaybyDay[[#This Row],[Actual-Rollup]]-DaybyDay[[#This Row],[LY-Rollup]])/DaybyDay[[#This Row],[LY-Rollup]]),0),"")</f>
        <v/>
      </c>
      <c r="Z1226"/>
      <c r="AA1226" s="37" t="str">
        <f>IF(DaybyDay[[#This Row],[_Space]],DaybyDay[[#This Row],[Ret-Act-RU]]/DaybyDay[[#This Row],[Serv-Act-RU]],"")</f>
        <v/>
      </c>
      <c r="AB1226" s="50" t="str">
        <f>IF(DaybyDay[[#This Row],[_Space]],DaybyDay[[#This Row],[RETPEN-Act]]/DaybyDay[[#This Row],[RETPEN-Bud]],"")</f>
        <v/>
      </c>
      <c r="AC1226" s="37" t="str">
        <f>IF(DaybyDay[[#This Row],[_Space]],DaybyDay[[#This Row],[Ret-Bud-RU]]/DaybyDay[[#This Row],[Serv-Bud-RU]],"")</f>
        <v/>
      </c>
      <c r="AD1226" s="37" t="str">
        <f>IF(DaybyDay[[#This Row],[_Space]],DaybyDay[[#This Row],[Ret-LY-RU]]/DaybyDay[[#This Row],[Serv-LY-RU]],"")</f>
        <v/>
      </c>
      <c r="AE1226" s="30">
        <f>WEEKDAY(DaybyDay[[#This Row],[LY-Date]])</f>
        <v>2</v>
      </c>
      <c r="AF1226" s="38">
        <f>$E$2+_xlfn.DAYS(DaybyDay[[#This Row],[Date]],minDate)</f>
        <v>43591</v>
      </c>
      <c r="AG1226" s="39" cm="1">
        <f t="array" ref="AG1226">IFERROR(INDEX(DaybyDay[],DaybyDay[[#This Row],[FORM_MATCH_HELPER]],8),"")</f>
        <v>13</v>
      </c>
      <c r="AH1226" s="39" cm="1">
        <f t="array" ref="AH1226">IFERROR(INDEX(DaybyDay[],DaybyDay[[#This Row],[FORM_MATCH_HELPER]],10),"")</f>
        <v>2968.7</v>
      </c>
      <c r="AI1226" s="39" cm="1">
        <f t="array" ref="AI1226">IFERROR(INDEX(DaybyDay[],DaybyDay[[#This Row],[FORM_MATCH_HELPER]],12),"")</f>
        <v>1118</v>
      </c>
      <c r="AJ1226" s="32">
        <f>IFERROR(DaybyDay[[#This Row],[Serv-LY-RU]]+DaybyDay[[#This Row],[Ret-LY-RU]],"")</f>
        <v>773652.84999999986</v>
      </c>
      <c r="AK12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773502.71498670173</v>
      </c>
      <c r="AL1226" s="77"/>
      <c r="AM1226" s="40" t="str">
        <f>IF(DaybyDay[[#This Row],[Admin Hours]]&gt;0,DaybyDay[[#This Row],[Admin Hours]]*$AM$2+$AM$3,"")</f>
        <v/>
      </c>
      <c r="AN1226" s="40">
        <f>SUMIFS(DaybyDay[Est-Admin-Payroll],DaybyDay[Date],"&gt;="&amp;$C$5,DaybyDay[RowYear],"&gt;="&amp;$C$4,DaybyDay[Date],"&lt;="&amp;DaybyDay[[#This Row],[Date]])</f>
        <v>13941.779999999997</v>
      </c>
      <c r="AO1226" s="41" t="str">
        <f>IF(AND(DaybyDay[[#This Row],[_Space]],ISNUMBER(DaybyDay[[#This Row],[Admin Hours]])),DaybyDay[[#This Row],[Est-Admin-Payroll]]/(DaybyDay[[#This Row],[Service-Actuals]]+DaybyDay[[#This Row],[Retail-Actuals]]),"")</f>
        <v/>
      </c>
      <c r="AP1226" s="41">
        <f>DaybyDay[[#This Row],[Estimated-Payroll-Rollup]]/DaybyDay[[#This Row],[Simple-Forecast]]</f>
        <v>1.8024215985123836E-2</v>
      </c>
      <c r="AQ12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145885.45602708589</v>
      </c>
      <c r="AR1226" s="77"/>
      <c r="AS1226" s="40" t="str">
        <f>IF(DaybyDay[[#This Row],[Retail Hours]]&gt;0,DaybyDay[[#This Row],[Retail Hours]]*$AS$2,"")</f>
        <v/>
      </c>
      <c r="AT1226" s="40">
        <f>SUMIFS(DaybyDay[Est-Retail-Payroll],DaybyDay[Date],"&gt;="&amp;$C$5,DaybyDay[RowYear],"&gt;="&amp;$C$4,DaybyDay[Date],"&lt;="&amp;DaybyDay[[#This Row],[Date]])</f>
        <v>2627.1</v>
      </c>
      <c r="AU1226" s="82" t="str">
        <f>IF(AND(DaybyDay[[#This Row],[_Space]],ISNUMBER(DaybyDay[[#This Row],[Retail Hours]])),DaybyDay[[#This Row],[Est-Retail-Payroll]]/(DaybyDay[[#This Row],[Retail-Actuals]]),"")</f>
        <v/>
      </c>
      <c r="AV1226" s="82">
        <f>DaybyDay[[#This Row],[Est-Retail-PayrollRU]]/DaybyDay[[#This Row],[Simple-Forecast-Retail]]</f>
        <v>1.8007963724034546E-2</v>
      </c>
      <c r="AW1226" s="8"/>
      <c r="AX1226" s="15"/>
      <c r="AY1226" s="8"/>
    </row>
    <row r="1227" spans="3:51" hidden="1" x14ac:dyDescent="0.25">
      <c r="C1227" s="26" t="str">
        <f>Tools!$C$1</f>
        <v>Example</v>
      </c>
      <c r="D1227" s="27" t="s">
        <v>72</v>
      </c>
      <c r="E1227" s="28">
        <v>2020</v>
      </c>
      <c r="F1227" s="28">
        <f>MATCH(DaybyDay[[#This Row],[RowMonth]],Table3[SummaryMonth],0)</f>
        <v>5</v>
      </c>
      <c r="G1227" s="29">
        <f>MATCH(DaybyDay[[#This Row],[LY-Date]],DaybyDay[Date],0)</f>
        <v>857</v>
      </c>
      <c r="H1227" s="30">
        <f>WEEKDAY(DaybyDay[[#This Row],[Date]])</f>
        <v>3</v>
      </c>
      <c r="I1227" s="31">
        <v>43956</v>
      </c>
      <c r="J1227" s="74"/>
      <c r="K1227" s="32">
        <f>SUMIFS(BudgetSeasonality[365 Seasonality],BudgetSeasonality[MonthAdjustment],DaybyDay[[#This Row],[Date]])*SUMIFS(Budgets[Service-Budget],Budgets[BudgetMonth],DaybyDay[[#This Row],[RowMonth]],Budgets[BudgetYear],DaybyDay[[#This Row],[RowYear]])</f>
        <v>4213.138989103888</v>
      </c>
      <c r="L1227" s="75"/>
      <c r="M1227" s="32">
        <f>INDEX(BudgetSeasonality[365 Seasonality],MATCH(DaybyDay[[#This Row],[Date]],BudgetSeasonality[MonthAdjustment],0))*SUMIFS(Budgets[Retail-Budget],Budgets[BudgetMonth],DaybyDay[[#This Row],[RowMonth]],Budgets[BudgetYear],DaybyDay[[#This Row],[RowYear]])</f>
        <v>1107.5008463509021</v>
      </c>
      <c r="N1227" s="75"/>
      <c r="O1227" s="33">
        <f>SUMIFS(DaybyDay[Service-Budgets],DaybyDay[Date],"&gt;="&amp;$C$5,DaybyDay[RowYear],"&gt;="&amp;$C$4,DaybyDay[Date],"&lt;="&amp;DaybyDay[[#This Row],[Date]])</f>
        <v>668501.71722966712</v>
      </c>
      <c r="P1227" s="33">
        <f>SUMIFS(DaybyDay[Retail-Budgets],DaybyDay[Date],"&gt;="&amp;$C$5,DaybyDay[RowYear],"&gt;="&amp;$C$4,DaybyDay[Date],"&lt;="&amp;DaybyDay[[#This Row],[Date]])</f>
        <v>165255.87398402678</v>
      </c>
      <c r="Q1227" s="34">
        <f>SUMIFS(DaybyDay[Service-Actuals],DaybyDay[Date],"&gt;="&amp;$C$5,DaybyDay[RowYear],"&gt;="&amp;$C$4,DaybyDay[Date],"&lt;="&amp;DaybyDay[[#This Row],[Date]])</f>
        <v>385554.23</v>
      </c>
      <c r="R1227" s="34">
        <f>SUMIFS(DaybyDay[Retail-Actuals],DaybyDay[Date],"&gt;="&amp;$C$5,DaybyDay[RowYear],"&gt;="&amp;$C$4,DaybyDay[Date],"&lt;="&amp;DaybyDay[[#This Row],[Date]])</f>
        <v>88360.030000000028</v>
      </c>
      <c r="S1227" s="35">
        <f>SUMIFS(DaybyDay[Service-LY],DaybyDay[Date],"&gt;="&amp;$C$5,DaybyDay[RowYear],"&gt;="&amp;$C$4,DaybyDay[Date],"&lt;="&amp;DaybyDay[[#This Row],[Date]])</f>
        <v>632055.15999999992</v>
      </c>
      <c r="T1227" s="35">
        <f>SUMIFS(DaybyDay[Retail-LY],DaybyDay[Date],"&gt;="&amp;$C$5,DaybyDay[RowYear],"&gt;="&amp;$C$4,DaybyDay[Date],"&lt;="&amp;DaybyDay[[#This Row],[Date]])</f>
        <v>144987.94</v>
      </c>
      <c r="U1227" s="32">
        <f>DaybyDay[[#This Row],[Serv-Bud-RU]]+DaybyDay[[#This Row],[Ret-Bud-RU]]</f>
        <v>833757.59121369384</v>
      </c>
      <c r="V1227" s="32">
        <f>DaybyDay[[#This Row],[Serv-Act-RU]]+DaybyDay[[#This Row],[Ret-Act-RU]]</f>
        <v>473914.26</v>
      </c>
      <c r="W1227" s="36" t="str">
        <f>IF(DaybyDay[[#This Row],[_Space]],IFERROR(
((DaybyDay[[#This Row],[Actual-Rollup]]-DaybyDay[[#This Row],[Budget-Rollup]])/DaybyDay[[#This Row],[Budget-Rollup]]),0),"")</f>
        <v/>
      </c>
      <c r="X1227" t="b">
        <f>NOT(AND(ISBLANK(DaybyDay[[#This Row],[Appts]]),ISBLANK(DaybyDay[[#This Row],[Service-Actuals]]),ISBLANK(DaybyDay[[#This Row],[Retail-Actuals]])))</f>
        <v>0</v>
      </c>
      <c r="Y1227" s="36" t="str">
        <f>IF(DaybyDay[[#This Row],[_Space]],IFERROR(
((DaybyDay[[#This Row],[Actual-Rollup]]-DaybyDay[[#This Row],[LY-Rollup]])/DaybyDay[[#This Row],[LY-Rollup]]),0),"")</f>
        <v/>
      </c>
      <c r="Z1227"/>
      <c r="AA1227" s="37" t="str">
        <f>IF(DaybyDay[[#This Row],[_Space]],DaybyDay[[#This Row],[Ret-Act-RU]]/DaybyDay[[#This Row],[Serv-Act-RU]],"")</f>
        <v/>
      </c>
      <c r="AB1227" s="50" t="str">
        <f>IF(DaybyDay[[#This Row],[_Space]],DaybyDay[[#This Row],[RETPEN-Act]]/DaybyDay[[#This Row],[RETPEN-Bud]],"")</f>
        <v/>
      </c>
      <c r="AC1227" s="37" t="str">
        <f>IF(DaybyDay[[#This Row],[_Space]],DaybyDay[[#This Row],[Ret-Bud-RU]]/DaybyDay[[#This Row],[Serv-Bud-RU]],"")</f>
        <v/>
      </c>
      <c r="AD1227" s="37" t="str">
        <f>IF(DaybyDay[[#This Row],[_Space]],DaybyDay[[#This Row],[Ret-LY-RU]]/DaybyDay[[#This Row],[Serv-LY-RU]],"")</f>
        <v/>
      </c>
      <c r="AE1227" s="30">
        <f>WEEKDAY(DaybyDay[[#This Row],[LY-Date]])</f>
        <v>3</v>
      </c>
      <c r="AF1227" s="38">
        <f>$E$2+_xlfn.DAYS(DaybyDay[[#This Row],[Date]],minDate)</f>
        <v>43592</v>
      </c>
      <c r="AG1227" s="39" cm="1">
        <f t="array" ref="AG1227">IFERROR(INDEX(DaybyDay[],DaybyDay[[#This Row],[FORM_MATCH_HELPER]],8),"")</f>
        <v>12</v>
      </c>
      <c r="AH1227" s="39" cm="1">
        <f t="array" ref="AH1227">IFERROR(INDEX(DaybyDay[],DaybyDay[[#This Row],[FORM_MATCH_HELPER]],10),"")</f>
        <v>3390.25</v>
      </c>
      <c r="AI1227" s="39" cm="1">
        <f t="array" ref="AI1227">IFERROR(INDEX(DaybyDay[],DaybyDay[[#This Row],[FORM_MATCH_HELPER]],12),"")</f>
        <v>0</v>
      </c>
      <c r="AJ1227" s="32">
        <f>IFERROR(DaybyDay[[#This Row],[Serv-LY-RU]]+DaybyDay[[#This Row],[Ret-LY-RU]],"")</f>
        <v>777043.09999999986</v>
      </c>
      <c r="AK12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777437.41453877534</v>
      </c>
      <c r="AL1227" s="77"/>
      <c r="AM1227" s="40" t="str">
        <f>IF(DaybyDay[[#This Row],[Admin Hours]]&gt;0,DaybyDay[[#This Row],[Admin Hours]]*$AM$2+$AM$3,"")</f>
        <v/>
      </c>
      <c r="AN1227" s="40">
        <f>SUMIFS(DaybyDay[Est-Admin-Payroll],DaybyDay[Date],"&gt;="&amp;$C$5,DaybyDay[RowYear],"&gt;="&amp;$C$4,DaybyDay[Date],"&lt;="&amp;DaybyDay[[#This Row],[Date]])</f>
        <v>13941.779999999997</v>
      </c>
      <c r="AO1227" s="41" t="str">
        <f>IF(AND(DaybyDay[[#This Row],[_Space]],ISNUMBER(DaybyDay[[#This Row],[Admin Hours]])),DaybyDay[[#This Row],[Est-Admin-Payroll]]/(DaybyDay[[#This Row],[Service-Actuals]]+DaybyDay[[#This Row],[Retail-Actuals]]),"")</f>
        <v/>
      </c>
      <c r="AP1227" s="41">
        <f>DaybyDay[[#This Row],[Estimated-Payroll-Rollup]]/DaybyDay[[#This Row],[Simple-Forecast]]</f>
        <v>1.7932993369339106E-2</v>
      </c>
      <c r="AQ12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146356.53684537709</v>
      </c>
      <c r="AR1227" s="77"/>
      <c r="AS1227" s="40" t="str">
        <f>IF(DaybyDay[[#This Row],[Retail Hours]]&gt;0,DaybyDay[[#This Row],[Retail Hours]]*$AS$2,"")</f>
        <v/>
      </c>
      <c r="AT1227" s="40">
        <f>SUMIFS(DaybyDay[Est-Retail-Payroll],DaybyDay[Date],"&gt;="&amp;$C$5,DaybyDay[RowYear],"&gt;="&amp;$C$4,DaybyDay[Date],"&lt;="&amp;DaybyDay[[#This Row],[Date]])</f>
        <v>2627.1</v>
      </c>
      <c r="AU1227" s="82" t="str">
        <f>IF(AND(DaybyDay[[#This Row],[_Space]],ISNUMBER(DaybyDay[[#This Row],[Retail Hours]])),DaybyDay[[#This Row],[Est-Retail-Payroll]]/(DaybyDay[[#This Row],[Retail-Actuals]]),"")</f>
        <v/>
      </c>
      <c r="AV1227" s="82">
        <f>DaybyDay[[#This Row],[Est-Retail-PayrollRU]]/DaybyDay[[#This Row],[Simple-Forecast-Retail]]</f>
        <v>1.79500011179923E-2</v>
      </c>
      <c r="AW1227" s="8"/>
      <c r="AX1227" s="15"/>
      <c r="AY1227" s="8"/>
    </row>
    <row r="1228" spans="3:51" hidden="1" x14ac:dyDescent="0.25">
      <c r="C1228" s="26" t="str">
        <f>Tools!$C$1</f>
        <v>Example</v>
      </c>
      <c r="D1228" s="27" t="s">
        <v>72</v>
      </c>
      <c r="E1228" s="28">
        <v>2020</v>
      </c>
      <c r="F1228" s="28">
        <f>MATCH(DaybyDay[[#This Row],[RowMonth]],Table3[SummaryMonth],0)</f>
        <v>5</v>
      </c>
      <c r="G1228" s="29">
        <f>MATCH(DaybyDay[[#This Row],[LY-Date]],DaybyDay[Date],0)</f>
        <v>858</v>
      </c>
      <c r="H1228" s="30">
        <f>WEEKDAY(DaybyDay[[#This Row],[Date]])</f>
        <v>4</v>
      </c>
      <c r="I1228" s="31">
        <v>43957</v>
      </c>
      <c r="J1228" s="74"/>
      <c r="K1228" s="32">
        <f>SUMIFS(BudgetSeasonality[365 Seasonality],BudgetSeasonality[MonthAdjustment],DaybyDay[[#This Row],[Date]])*SUMIFS(Budgets[Service-Budget],Budgets[BudgetMonth],DaybyDay[[#This Row],[RowMonth]],Budgets[BudgetYear],DaybyDay[[#This Row],[RowYear]])</f>
        <v>4951.1141428475039</v>
      </c>
      <c r="L1228" s="75"/>
      <c r="M1228" s="32">
        <f>INDEX(BudgetSeasonality[365 Seasonality],MATCH(DaybyDay[[#This Row],[Date]],BudgetSeasonality[MonthAdjustment],0))*SUMIFS(Budgets[Retail-Budget],Budgets[BudgetMonth],DaybyDay[[#This Row],[RowMonth]],Budgets[BudgetYear],DaybyDay[[#This Row],[RowYear]])</f>
        <v>1301.491148942564</v>
      </c>
      <c r="N1228" s="75"/>
      <c r="O1228" s="33">
        <f>SUMIFS(DaybyDay[Service-Budgets],DaybyDay[Date],"&gt;="&amp;$C$5,DaybyDay[RowYear],"&gt;="&amp;$C$4,DaybyDay[Date],"&lt;="&amp;DaybyDay[[#This Row],[Date]])</f>
        <v>673452.8313725146</v>
      </c>
      <c r="P1228" s="33">
        <f>SUMIFS(DaybyDay[Retail-Budgets],DaybyDay[Date],"&gt;="&amp;$C$5,DaybyDay[RowYear],"&gt;="&amp;$C$4,DaybyDay[Date],"&lt;="&amp;DaybyDay[[#This Row],[Date]])</f>
        <v>166557.36513296934</v>
      </c>
      <c r="Q1228" s="34">
        <f>SUMIFS(DaybyDay[Service-Actuals],DaybyDay[Date],"&gt;="&amp;$C$5,DaybyDay[RowYear],"&gt;="&amp;$C$4,DaybyDay[Date],"&lt;="&amp;DaybyDay[[#This Row],[Date]])</f>
        <v>385554.23</v>
      </c>
      <c r="R1228" s="34">
        <f>SUMIFS(DaybyDay[Retail-Actuals],DaybyDay[Date],"&gt;="&amp;$C$5,DaybyDay[RowYear],"&gt;="&amp;$C$4,DaybyDay[Date],"&lt;="&amp;DaybyDay[[#This Row],[Date]])</f>
        <v>88360.030000000028</v>
      </c>
      <c r="S1228" s="35">
        <f>SUMIFS(DaybyDay[Service-LY],DaybyDay[Date],"&gt;="&amp;$C$5,DaybyDay[RowYear],"&gt;="&amp;$C$4,DaybyDay[Date],"&lt;="&amp;DaybyDay[[#This Row],[Date]])</f>
        <v>635257.55999999994</v>
      </c>
      <c r="T1228" s="35">
        <f>SUMIFS(DaybyDay[Retail-LY],DaybyDay[Date],"&gt;="&amp;$C$5,DaybyDay[RowYear],"&gt;="&amp;$C$4,DaybyDay[Date],"&lt;="&amp;DaybyDay[[#This Row],[Date]])</f>
        <v>145454.94</v>
      </c>
      <c r="U1228" s="32">
        <f>DaybyDay[[#This Row],[Serv-Bud-RU]]+DaybyDay[[#This Row],[Ret-Bud-RU]]</f>
        <v>840010.19650548394</v>
      </c>
      <c r="V1228" s="32">
        <f>DaybyDay[[#This Row],[Serv-Act-RU]]+DaybyDay[[#This Row],[Ret-Act-RU]]</f>
        <v>473914.26</v>
      </c>
      <c r="W1228" s="36" t="str">
        <f>IF(DaybyDay[[#This Row],[_Space]],IFERROR(
((DaybyDay[[#This Row],[Actual-Rollup]]-DaybyDay[[#This Row],[Budget-Rollup]])/DaybyDay[[#This Row],[Budget-Rollup]]),0),"")</f>
        <v/>
      </c>
      <c r="X1228" t="b">
        <f>NOT(AND(ISBLANK(DaybyDay[[#This Row],[Appts]]),ISBLANK(DaybyDay[[#This Row],[Service-Actuals]]),ISBLANK(DaybyDay[[#This Row],[Retail-Actuals]])))</f>
        <v>0</v>
      </c>
      <c r="Y1228" s="36" t="str">
        <f>IF(DaybyDay[[#This Row],[_Space]],IFERROR(
((DaybyDay[[#This Row],[Actual-Rollup]]-DaybyDay[[#This Row],[LY-Rollup]])/DaybyDay[[#This Row],[LY-Rollup]]),0),"")</f>
        <v/>
      </c>
      <c r="Z1228"/>
      <c r="AA1228" s="37" t="str">
        <f>IF(DaybyDay[[#This Row],[_Space]],DaybyDay[[#This Row],[Ret-Act-RU]]/DaybyDay[[#This Row],[Serv-Act-RU]],"")</f>
        <v/>
      </c>
      <c r="AB1228" s="50" t="str">
        <f>IF(DaybyDay[[#This Row],[_Space]],DaybyDay[[#This Row],[RETPEN-Act]]/DaybyDay[[#This Row],[RETPEN-Bud]],"")</f>
        <v/>
      </c>
      <c r="AC1228" s="37" t="str">
        <f>IF(DaybyDay[[#This Row],[_Space]],DaybyDay[[#This Row],[Ret-Bud-RU]]/DaybyDay[[#This Row],[Serv-Bud-RU]],"")</f>
        <v/>
      </c>
      <c r="AD1228" s="37" t="str">
        <f>IF(DaybyDay[[#This Row],[_Space]],DaybyDay[[#This Row],[Ret-LY-RU]]/DaybyDay[[#This Row],[Serv-LY-RU]],"")</f>
        <v/>
      </c>
      <c r="AE1228" s="30">
        <f>WEEKDAY(DaybyDay[[#This Row],[LY-Date]])</f>
        <v>4</v>
      </c>
      <c r="AF1228" s="38">
        <f>$E$2+_xlfn.DAYS(DaybyDay[[#This Row],[Date]],minDate)</f>
        <v>43593</v>
      </c>
      <c r="AG1228" s="39" cm="1">
        <f t="array" ref="AG1228">IFERROR(INDEX(DaybyDay[],DaybyDay[[#This Row],[FORM_MATCH_HELPER]],8),"")</f>
        <v>16</v>
      </c>
      <c r="AH1228" s="39" cm="1">
        <f t="array" ref="AH1228">IFERROR(INDEX(DaybyDay[],DaybyDay[[#This Row],[FORM_MATCH_HELPER]],10),"")</f>
        <v>3202.4</v>
      </c>
      <c r="AI1228" s="39" cm="1">
        <f t="array" ref="AI1228">IFERROR(INDEX(DaybyDay[],DaybyDay[[#This Row],[FORM_MATCH_HELPER]],12),"")</f>
        <v>467</v>
      </c>
      <c r="AJ1228" s="32">
        <f>IFERROR(DaybyDay[[#This Row],[Serv-LY-RU]]+DaybyDay[[#This Row],[Ret-LY-RU]],"")</f>
        <v>780712.5</v>
      </c>
      <c r="AK12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781906.16310049302</v>
      </c>
      <c r="AL1228" s="77"/>
      <c r="AM1228" s="40" t="str">
        <f>IF(DaybyDay[[#This Row],[Admin Hours]]&gt;0,DaybyDay[[#This Row],[Admin Hours]]*$AM$2+$AM$3,"")</f>
        <v/>
      </c>
      <c r="AN1228" s="40">
        <f>SUMIFS(DaybyDay[Est-Admin-Payroll],DaybyDay[Date],"&gt;="&amp;$C$5,DaybyDay[RowYear],"&gt;="&amp;$C$4,DaybyDay[Date],"&lt;="&amp;DaybyDay[[#This Row],[Date]])</f>
        <v>13941.779999999997</v>
      </c>
      <c r="AO1228" s="41" t="str">
        <f>IF(AND(DaybyDay[[#This Row],[_Space]],ISNUMBER(DaybyDay[[#This Row],[Admin Hours]])),DaybyDay[[#This Row],[Est-Admin-Payroll]]/(DaybyDay[[#This Row],[Service-Actuals]]+DaybyDay[[#This Row],[Retail-Actuals]]),"")</f>
        <v/>
      </c>
      <c r="AP1228" s="41">
        <f>DaybyDay[[#This Row],[Estimated-Payroll-Rollup]]/DaybyDay[[#This Row],[Simple-Forecast]]</f>
        <v>1.7830502760991993E-2</v>
      </c>
      <c r="AQ12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147140.38355670343</v>
      </c>
      <c r="AR1228" s="77"/>
      <c r="AS1228" s="40" t="str">
        <f>IF(DaybyDay[[#This Row],[Retail Hours]]&gt;0,DaybyDay[[#This Row],[Retail Hours]]*$AS$2,"")</f>
        <v/>
      </c>
      <c r="AT1228" s="40">
        <f>SUMIFS(DaybyDay[Est-Retail-Payroll],DaybyDay[Date],"&gt;="&amp;$C$5,DaybyDay[RowYear],"&gt;="&amp;$C$4,DaybyDay[Date],"&lt;="&amp;DaybyDay[[#This Row],[Date]])</f>
        <v>2627.1</v>
      </c>
      <c r="AU1228" s="82" t="str">
        <f>IF(AND(DaybyDay[[#This Row],[_Space]],ISNUMBER(DaybyDay[[#This Row],[Retail Hours]])),DaybyDay[[#This Row],[Est-Retail-Payroll]]/(DaybyDay[[#This Row],[Retail-Actuals]]),"")</f>
        <v/>
      </c>
      <c r="AV1228" s="82">
        <f>DaybyDay[[#This Row],[Est-Retail-PayrollRU]]/DaybyDay[[#This Row],[Simple-Forecast-Retail]]</f>
        <v>1.7854377815914795E-2</v>
      </c>
      <c r="AW1228" s="8"/>
      <c r="AX1228" s="15"/>
      <c r="AY1228" s="8"/>
    </row>
    <row r="1229" spans="3:51" hidden="1" x14ac:dyDescent="0.25">
      <c r="C1229" s="26" t="str">
        <f>Tools!$C$1</f>
        <v>Example</v>
      </c>
      <c r="D1229" s="27" t="s">
        <v>72</v>
      </c>
      <c r="E1229" s="28">
        <v>2020</v>
      </c>
      <c r="F1229" s="28">
        <f>MATCH(DaybyDay[[#This Row],[RowMonth]],Table3[SummaryMonth],0)</f>
        <v>5</v>
      </c>
      <c r="G1229" s="29">
        <f>MATCH(DaybyDay[[#This Row],[LY-Date]],DaybyDay[Date],0)</f>
        <v>859</v>
      </c>
      <c r="H1229" s="30">
        <f>WEEKDAY(DaybyDay[[#This Row],[Date]])</f>
        <v>5</v>
      </c>
      <c r="I1229" s="31">
        <v>43958</v>
      </c>
      <c r="J1229" s="74"/>
      <c r="K1229" s="32">
        <f>SUMIFS(BudgetSeasonality[365 Seasonality],BudgetSeasonality[MonthAdjustment],DaybyDay[[#This Row],[Date]])*SUMIFS(Budgets[Service-Budget],Budgets[BudgetMonth],DaybyDay[[#This Row],[RowMonth]],Budgets[BudgetYear],DaybyDay[[#This Row],[RowYear]])</f>
        <v>5166.3656815144595</v>
      </c>
      <c r="L1229" s="75"/>
      <c r="M1229" s="32">
        <f>INDEX(BudgetSeasonality[365 Seasonality],MATCH(DaybyDay[[#This Row],[Date]],BudgetSeasonality[MonthAdjustment],0))*SUMIFS(Budgets[Retail-Budget],Budgets[BudgetMonth],DaybyDay[[#This Row],[RowMonth]],Budgets[BudgetYear],DaybyDay[[#This Row],[RowYear]])</f>
        <v>1358.073963292748</v>
      </c>
      <c r="N1229" s="75"/>
      <c r="O1229" s="33">
        <f>SUMIFS(DaybyDay[Service-Budgets],DaybyDay[Date],"&gt;="&amp;$C$5,DaybyDay[RowYear],"&gt;="&amp;$C$4,DaybyDay[Date],"&lt;="&amp;DaybyDay[[#This Row],[Date]])</f>
        <v>678619.19705402909</v>
      </c>
      <c r="P1229" s="33">
        <f>SUMIFS(DaybyDay[Retail-Budgets],DaybyDay[Date],"&gt;="&amp;$C$5,DaybyDay[RowYear],"&gt;="&amp;$C$4,DaybyDay[Date],"&lt;="&amp;DaybyDay[[#This Row],[Date]])</f>
        <v>167915.4390962621</v>
      </c>
      <c r="Q1229" s="34">
        <f>SUMIFS(DaybyDay[Service-Actuals],DaybyDay[Date],"&gt;="&amp;$C$5,DaybyDay[RowYear],"&gt;="&amp;$C$4,DaybyDay[Date],"&lt;="&amp;DaybyDay[[#This Row],[Date]])</f>
        <v>385554.23</v>
      </c>
      <c r="R1229" s="34">
        <f>SUMIFS(DaybyDay[Retail-Actuals],DaybyDay[Date],"&gt;="&amp;$C$5,DaybyDay[RowYear],"&gt;="&amp;$C$4,DaybyDay[Date],"&lt;="&amp;DaybyDay[[#This Row],[Date]])</f>
        <v>88360.030000000028</v>
      </c>
      <c r="S1229" s="35">
        <f>SUMIFS(DaybyDay[Service-LY],DaybyDay[Date],"&gt;="&amp;$C$5,DaybyDay[RowYear],"&gt;="&amp;$C$4,DaybyDay[Date],"&lt;="&amp;DaybyDay[[#This Row],[Date]])</f>
        <v>640339.61</v>
      </c>
      <c r="T1229" s="35">
        <f>SUMIFS(DaybyDay[Retail-LY],DaybyDay[Date],"&gt;="&amp;$C$5,DaybyDay[RowYear],"&gt;="&amp;$C$4,DaybyDay[Date],"&lt;="&amp;DaybyDay[[#This Row],[Date]])</f>
        <v>146906.84</v>
      </c>
      <c r="U1229" s="32">
        <f>DaybyDay[[#This Row],[Serv-Bud-RU]]+DaybyDay[[#This Row],[Ret-Bud-RU]]</f>
        <v>846534.63615029119</v>
      </c>
      <c r="V1229" s="32">
        <f>DaybyDay[[#This Row],[Serv-Act-RU]]+DaybyDay[[#This Row],[Ret-Act-RU]]</f>
        <v>473914.26</v>
      </c>
      <c r="W1229" s="36" t="str">
        <f>IF(DaybyDay[[#This Row],[_Space]],IFERROR(
((DaybyDay[[#This Row],[Actual-Rollup]]-DaybyDay[[#This Row],[Budget-Rollup]])/DaybyDay[[#This Row],[Budget-Rollup]]),0),"")</f>
        <v/>
      </c>
      <c r="X1229" t="b">
        <f>NOT(AND(ISBLANK(DaybyDay[[#This Row],[Appts]]),ISBLANK(DaybyDay[[#This Row],[Service-Actuals]]),ISBLANK(DaybyDay[[#This Row],[Retail-Actuals]])))</f>
        <v>0</v>
      </c>
      <c r="Y1229" s="36" t="str">
        <f>IF(DaybyDay[[#This Row],[_Space]],IFERROR(
((DaybyDay[[#This Row],[Actual-Rollup]]-DaybyDay[[#This Row],[LY-Rollup]])/DaybyDay[[#This Row],[LY-Rollup]]),0),"")</f>
        <v/>
      </c>
      <c r="Z1229"/>
      <c r="AA1229" s="37" t="str">
        <f>IF(DaybyDay[[#This Row],[_Space]],DaybyDay[[#This Row],[Ret-Act-RU]]/DaybyDay[[#This Row],[Serv-Act-RU]],"")</f>
        <v/>
      </c>
      <c r="AB1229" s="50" t="str">
        <f>IF(DaybyDay[[#This Row],[_Space]],DaybyDay[[#This Row],[RETPEN-Act]]/DaybyDay[[#This Row],[RETPEN-Bud]],"")</f>
        <v/>
      </c>
      <c r="AC1229" s="37" t="str">
        <f>IF(DaybyDay[[#This Row],[_Space]],DaybyDay[[#This Row],[Ret-Bud-RU]]/DaybyDay[[#This Row],[Serv-Bud-RU]],"")</f>
        <v/>
      </c>
      <c r="AD1229" s="37" t="str">
        <f>IF(DaybyDay[[#This Row],[_Space]],DaybyDay[[#This Row],[Ret-LY-RU]]/DaybyDay[[#This Row],[Serv-LY-RU]],"")</f>
        <v/>
      </c>
      <c r="AE1229" s="30">
        <f>WEEKDAY(DaybyDay[[#This Row],[LY-Date]])</f>
        <v>5</v>
      </c>
      <c r="AF1229" s="38">
        <f>$E$2+_xlfn.DAYS(DaybyDay[[#This Row],[Date]],minDate)</f>
        <v>43594</v>
      </c>
      <c r="AG1229" s="39" cm="1">
        <f t="array" ref="AG1229">IFERROR(INDEX(DaybyDay[],DaybyDay[[#This Row],[FORM_MATCH_HELPER]],8),"")</f>
        <v>23</v>
      </c>
      <c r="AH1229" s="39" cm="1">
        <f t="array" ref="AH1229">IFERROR(INDEX(DaybyDay[],DaybyDay[[#This Row],[FORM_MATCH_HELPER]],10),"")</f>
        <v>5082.0499999999993</v>
      </c>
      <c r="AI1229" s="39" cm="1">
        <f t="array" ref="AI1229">IFERROR(INDEX(DaybyDay[],DaybyDay[[#This Row],[FORM_MATCH_HELPER]],12),"")</f>
        <v>1451.9</v>
      </c>
      <c r="AJ1229" s="32">
        <f>IFERROR(DaybyDay[[#This Row],[Serv-LY-RU]]+DaybyDay[[#This Row],[Ret-LY-RU]],"")</f>
        <v>787246.45</v>
      </c>
      <c r="AK12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787902.88466858689</v>
      </c>
      <c r="AL1229" s="77"/>
      <c r="AM1229" s="40" t="str">
        <f>IF(DaybyDay[[#This Row],[Admin Hours]]&gt;0,DaybyDay[[#This Row],[Admin Hours]]*$AM$2+$AM$3,"")</f>
        <v/>
      </c>
      <c r="AN1229" s="40">
        <f>SUMIFS(DaybyDay[Est-Admin-Payroll],DaybyDay[Date],"&gt;="&amp;$C$5,DaybyDay[RowYear],"&gt;="&amp;$C$4,DaybyDay[Date],"&lt;="&amp;DaybyDay[[#This Row],[Date]])</f>
        <v>13941.779999999997</v>
      </c>
      <c r="AO1229" s="41" t="str">
        <f>IF(AND(DaybyDay[[#This Row],[_Space]],ISNUMBER(DaybyDay[[#This Row],[Admin Hours]])),DaybyDay[[#This Row],[Est-Admin-Payroll]]/(DaybyDay[[#This Row],[Service-Actuals]]+DaybyDay[[#This Row],[Retail-Actuals]]),"")</f>
        <v/>
      </c>
      <c r="AP1229" s="41">
        <f>DaybyDay[[#This Row],[Estimated-Payroll-Rollup]]/DaybyDay[[#This Row],[Simple-Forecast]]</f>
        <v>1.769479496938799E-2</v>
      </c>
      <c r="AQ12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148433.89630777322</v>
      </c>
      <c r="AR1229" s="77"/>
      <c r="AS1229" s="40" t="str">
        <f>IF(DaybyDay[[#This Row],[Retail Hours]]&gt;0,DaybyDay[[#This Row],[Retail Hours]]*$AS$2,"")</f>
        <v/>
      </c>
      <c r="AT1229" s="40">
        <f>SUMIFS(DaybyDay[Est-Retail-Payroll],DaybyDay[Date],"&gt;="&amp;$C$5,DaybyDay[RowYear],"&gt;="&amp;$C$4,DaybyDay[Date],"&lt;="&amp;DaybyDay[[#This Row],[Date]])</f>
        <v>2627.1</v>
      </c>
      <c r="AU1229" s="82" t="str">
        <f>IF(AND(DaybyDay[[#This Row],[_Space]],ISNUMBER(DaybyDay[[#This Row],[Retail Hours]])),DaybyDay[[#This Row],[Est-Retail-Payroll]]/(DaybyDay[[#This Row],[Retail-Actuals]]),"")</f>
        <v/>
      </c>
      <c r="AV1229" s="82">
        <f>DaybyDay[[#This Row],[Est-Retail-PayrollRU]]/DaybyDay[[#This Row],[Simple-Forecast-Retail]]</f>
        <v>1.7698787577150082E-2</v>
      </c>
      <c r="AW1229" s="8"/>
      <c r="AX1229" s="15"/>
      <c r="AY1229" s="8"/>
    </row>
    <row r="1230" spans="3:51" hidden="1" x14ac:dyDescent="0.25">
      <c r="C1230" s="26" t="str">
        <f>Tools!$C$1</f>
        <v>Example</v>
      </c>
      <c r="D1230" s="27" t="s">
        <v>72</v>
      </c>
      <c r="E1230" s="28">
        <v>2020</v>
      </c>
      <c r="F1230" s="28">
        <f>MATCH(DaybyDay[[#This Row],[RowMonth]],Table3[SummaryMonth],0)</f>
        <v>5</v>
      </c>
      <c r="G1230" s="29">
        <f>MATCH(DaybyDay[[#This Row],[LY-Date]],DaybyDay[Date],0)</f>
        <v>860</v>
      </c>
      <c r="H1230" s="30">
        <f>WEEKDAY(DaybyDay[[#This Row],[Date]])</f>
        <v>6</v>
      </c>
      <c r="I1230" s="31">
        <v>43959</v>
      </c>
      <c r="J1230" s="74"/>
      <c r="K1230" s="32">
        <f>SUMIFS(BudgetSeasonality[365 Seasonality],BudgetSeasonality[MonthAdjustment],DaybyDay[[#This Row],[Date]])*SUMIFS(Budgets[Service-Budget],Budgets[BudgetMonth],DaybyDay[[#This Row],[RowMonth]],Budgets[BudgetYear],DaybyDay[[#This Row],[RowYear]])</f>
        <v>6439.2337182387046</v>
      </c>
      <c r="L1230" s="75"/>
      <c r="M1230" s="32">
        <f>INDEX(BudgetSeasonality[365 Seasonality],MATCH(DaybyDay[[#This Row],[Date]],BudgetSeasonality[MonthAdjustment],0))*SUMIFS(Budgets[Retail-Budget],Budgets[BudgetMonth],DaybyDay[[#This Row],[RowMonth]],Budgets[BudgetYear],DaybyDay[[#This Row],[RowYear]])</f>
        <v>1692.6706693617657</v>
      </c>
      <c r="N1230" s="75"/>
      <c r="O1230" s="33">
        <f>SUMIFS(DaybyDay[Service-Budgets],DaybyDay[Date],"&gt;="&amp;$C$5,DaybyDay[RowYear],"&gt;="&amp;$C$4,DaybyDay[Date],"&lt;="&amp;DaybyDay[[#This Row],[Date]])</f>
        <v>685058.43077226775</v>
      </c>
      <c r="P1230" s="33">
        <f>SUMIFS(DaybyDay[Retail-Budgets],DaybyDay[Date],"&gt;="&amp;$C$5,DaybyDay[RowYear],"&gt;="&amp;$C$4,DaybyDay[Date],"&lt;="&amp;DaybyDay[[#This Row],[Date]])</f>
        <v>169608.10976562387</v>
      </c>
      <c r="Q1230" s="34">
        <f>SUMIFS(DaybyDay[Service-Actuals],DaybyDay[Date],"&gt;="&amp;$C$5,DaybyDay[RowYear],"&gt;="&amp;$C$4,DaybyDay[Date],"&lt;="&amp;DaybyDay[[#This Row],[Date]])</f>
        <v>385554.23</v>
      </c>
      <c r="R1230" s="34">
        <f>SUMIFS(DaybyDay[Retail-Actuals],DaybyDay[Date],"&gt;="&amp;$C$5,DaybyDay[RowYear],"&gt;="&amp;$C$4,DaybyDay[Date],"&lt;="&amp;DaybyDay[[#This Row],[Date]])</f>
        <v>88360.030000000028</v>
      </c>
      <c r="S1230" s="35">
        <f>SUMIFS(DaybyDay[Service-LY],DaybyDay[Date],"&gt;="&amp;$C$5,DaybyDay[RowYear],"&gt;="&amp;$C$4,DaybyDay[Date],"&lt;="&amp;DaybyDay[[#This Row],[Date]])</f>
        <v>645354.79999999993</v>
      </c>
      <c r="T1230" s="35">
        <f>SUMIFS(DaybyDay[Retail-LY],DaybyDay[Date],"&gt;="&amp;$C$5,DaybyDay[RowYear],"&gt;="&amp;$C$4,DaybyDay[Date],"&lt;="&amp;DaybyDay[[#This Row],[Date]])</f>
        <v>147739.19</v>
      </c>
      <c r="U1230" s="32">
        <f>DaybyDay[[#This Row],[Serv-Bud-RU]]+DaybyDay[[#This Row],[Ret-Bud-RU]]</f>
        <v>854666.54053789168</v>
      </c>
      <c r="V1230" s="32">
        <f>DaybyDay[[#This Row],[Serv-Act-RU]]+DaybyDay[[#This Row],[Ret-Act-RU]]</f>
        <v>473914.26</v>
      </c>
      <c r="W1230" s="36" t="str">
        <f>IF(DaybyDay[[#This Row],[_Space]],IFERROR(
((DaybyDay[[#This Row],[Actual-Rollup]]-DaybyDay[[#This Row],[Budget-Rollup]])/DaybyDay[[#This Row],[Budget-Rollup]]),0),"")</f>
        <v/>
      </c>
      <c r="X1230" t="b">
        <f>NOT(AND(ISBLANK(DaybyDay[[#This Row],[Appts]]),ISBLANK(DaybyDay[[#This Row],[Service-Actuals]]),ISBLANK(DaybyDay[[#This Row],[Retail-Actuals]])))</f>
        <v>0</v>
      </c>
      <c r="Y1230" s="36" t="str">
        <f>IF(DaybyDay[[#This Row],[_Space]],IFERROR(
((DaybyDay[[#This Row],[Actual-Rollup]]-DaybyDay[[#This Row],[LY-Rollup]])/DaybyDay[[#This Row],[LY-Rollup]]),0),"")</f>
        <v/>
      </c>
      <c r="Z1230"/>
      <c r="AA1230" s="37" t="str">
        <f>IF(DaybyDay[[#This Row],[_Space]],DaybyDay[[#This Row],[Ret-Act-RU]]/DaybyDay[[#This Row],[Serv-Act-RU]],"")</f>
        <v/>
      </c>
      <c r="AB1230" s="50" t="str">
        <f>IF(DaybyDay[[#This Row],[_Space]],DaybyDay[[#This Row],[RETPEN-Act]]/DaybyDay[[#This Row],[RETPEN-Bud]],"")</f>
        <v/>
      </c>
      <c r="AC1230" s="37" t="str">
        <f>IF(DaybyDay[[#This Row],[_Space]],DaybyDay[[#This Row],[Ret-Bud-RU]]/DaybyDay[[#This Row],[Serv-Bud-RU]],"")</f>
        <v/>
      </c>
      <c r="AD1230" s="37" t="str">
        <f>IF(DaybyDay[[#This Row],[_Space]],DaybyDay[[#This Row],[Ret-LY-RU]]/DaybyDay[[#This Row],[Serv-LY-RU]],"")</f>
        <v/>
      </c>
      <c r="AE1230" s="30">
        <f>WEEKDAY(DaybyDay[[#This Row],[LY-Date]])</f>
        <v>6</v>
      </c>
      <c r="AF1230" s="38">
        <f>$E$2+_xlfn.DAYS(DaybyDay[[#This Row],[Date]],minDate)</f>
        <v>43595</v>
      </c>
      <c r="AG1230" s="39" cm="1">
        <f t="array" ref="AG1230">IFERROR(INDEX(DaybyDay[],DaybyDay[[#This Row],[FORM_MATCH_HELPER]],8),"")</f>
        <v>33</v>
      </c>
      <c r="AH1230" s="39" cm="1">
        <f t="array" ref="AH1230">IFERROR(INDEX(DaybyDay[],DaybyDay[[#This Row],[FORM_MATCH_HELPER]],10),"")</f>
        <v>5015.1899999999996</v>
      </c>
      <c r="AI1230" s="39" cm="1">
        <f t="array" ref="AI1230">IFERROR(INDEX(DaybyDay[],DaybyDay[[#This Row],[FORM_MATCH_HELPER]],12),"")</f>
        <v>832.35</v>
      </c>
      <c r="AJ1230" s="32">
        <f>IFERROR(DaybyDay[[#This Row],[Serv-LY-RU]]+DaybyDay[[#This Row],[Ret-LY-RU]],"")</f>
        <v>793093.99</v>
      </c>
      <c r="AK12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794244.9193094552</v>
      </c>
      <c r="AL1230" s="77"/>
      <c r="AM1230" s="40" t="str">
        <f>IF(DaybyDay[[#This Row],[Admin Hours]]&gt;0,DaybyDay[[#This Row],[Admin Hours]]*$AM$2+$AM$3,"")</f>
        <v/>
      </c>
      <c r="AN1230" s="40">
        <f>SUMIFS(DaybyDay[Est-Admin-Payroll],DaybyDay[Date],"&gt;="&amp;$C$5,DaybyDay[RowYear],"&gt;="&amp;$C$4,DaybyDay[Date],"&lt;="&amp;DaybyDay[[#This Row],[Date]])</f>
        <v>13941.779999999997</v>
      </c>
      <c r="AO1230" s="41" t="str">
        <f>IF(AND(DaybyDay[[#This Row],[_Space]],ISNUMBER(DaybyDay[[#This Row],[Admin Hours]])),DaybyDay[[#This Row],[Est-Admin-Payroll]]/(DaybyDay[[#This Row],[Service-Actuals]]+DaybyDay[[#This Row],[Retail-Actuals]]),"")</f>
        <v/>
      </c>
      <c r="AP1230" s="41">
        <f>DaybyDay[[#This Row],[Estimated-Payroll-Rollup]]/DaybyDay[[#This Row],[Simple-Forecast]]</f>
        <v>1.7553502277510919E-2</v>
      </c>
      <c r="AQ12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149564.26645223223</v>
      </c>
      <c r="AR1230" s="77"/>
      <c r="AS1230" s="40" t="str">
        <f>IF(DaybyDay[[#This Row],[Retail Hours]]&gt;0,DaybyDay[[#This Row],[Retail Hours]]*$AS$2,"")</f>
        <v/>
      </c>
      <c r="AT1230" s="40">
        <f>SUMIFS(DaybyDay[Est-Retail-Payroll],DaybyDay[Date],"&gt;="&amp;$C$5,DaybyDay[RowYear],"&gt;="&amp;$C$4,DaybyDay[Date],"&lt;="&amp;DaybyDay[[#This Row],[Date]])</f>
        <v>2627.1</v>
      </c>
      <c r="AU1230" s="82" t="str">
        <f>IF(AND(DaybyDay[[#This Row],[_Space]],ISNUMBER(DaybyDay[[#This Row],[Retail Hours]])),DaybyDay[[#This Row],[Est-Retail-Payroll]]/(DaybyDay[[#This Row],[Retail-Actuals]]),"")</f>
        <v/>
      </c>
      <c r="AV1230" s="82">
        <f>DaybyDay[[#This Row],[Est-Retail-PayrollRU]]/DaybyDay[[#This Row],[Simple-Forecast-Retail]]</f>
        <v>1.756502446952489E-2</v>
      </c>
      <c r="AW1230" s="8"/>
      <c r="AX1230" s="15"/>
      <c r="AY1230" s="8"/>
    </row>
    <row r="1231" spans="3:51" hidden="1" x14ac:dyDescent="0.25">
      <c r="C1231" s="26" t="str">
        <f>Tools!$C$1</f>
        <v>Example</v>
      </c>
      <c r="D1231" s="27" t="s">
        <v>72</v>
      </c>
      <c r="E1231" s="28">
        <v>2020</v>
      </c>
      <c r="F1231" s="28">
        <f>MATCH(DaybyDay[[#This Row],[RowMonth]],Table3[SummaryMonth],0)</f>
        <v>5</v>
      </c>
      <c r="G1231" s="29">
        <f>MATCH(DaybyDay[[#This Row],[LY-Date]],DaybyDay[Date],0)</f>
        <v>861</v>
      </c>
      <c r="H1231" s="30">
        <f>WEEKDAY(DaybyDay[[#This Row],[Date]])</f>
        <v>7</v>
      </c>
      <c r="I1231" s="31">
        <v>43960</v>
      </c>
      <c r="J1231" s="74"/>
      <c r="K1231" s="32">
        <f>SUMIFS(BudgetSeasonality[365 Seasonality],BudgetSeasonality[MonthAdjustment],DaybyDay[[#This Row],[Date]])*SUMIFS(Budgets[Service-Budget],Budgets[BudgetMonth],DaybyDay[[#This Row],[RowMonth]],Budgets[BudgetYear],DaybyDay[[#This Row],[RowYear]])</f>
        <v>9043.2025360558891</v>
      </c>
      <c r="L1231" s="75"/>
      <c r="M1231" s="32">
        <f>INDEX(BudgetSeasonality[365 Seasonality],MATCH(DaybyDay[[#This Row],[Date]],BudgetSeasonality[MonthAdjustment],0))*SUMIFS(Budgets[Retail-Budget],Budgets[BudgetMonth],DaybyDay[[#This Row],[RowMonth]],Budgets[BudgetYear],DaybyDay[[#This Row],[RowYear]])</f>
        <v>2377.1716262640393</v>
      </c>
      <c r="N1231" s="75"/>
      <c r="O1231" s="33">
        <f>SUMIFS(DaybyDay[Service-Budgets],DaybyDay[Date],"&gt;="&amp;$C$5,DaybyDay[RowYear],"&gt;="&amp;$C$4,DaybyDay[Date],"&lt;="&amp;DaybyDay[[#This Row],[Date]])</f>
        <v>694101.63330832368</v>
      </c>
      <c r="P1231" s="33">
        <f>SUMIFS(DaybyDay[Retail-Budgets],DaybyDay[Date],"&gt;="&amp;$C$5,DaybyDay[RowYear],"&gt;="&amp;$C$4,DaybyDay[Date],"&lt;="&amp;DaybyDay[[#This Row],[Date]])</f>
        <v>171985.2813918879</v>
      </c>
      <c r="Q1231" s="34">
        <f>SUMIFS(DaybyDay[Service-Actuals],DaybyDay[Date],"&gt;="&amp;$C$5,DaybyDay[RowYear],"&gt;="&amp;$C$4,DaybyDay[Date],"&lt;="&amp;DaybyDay[[#This Row],[Date]])</f>
        <v>385554.23</v>
      </c>
      <c r="R1231" s="34">
        <f>SUMIFS(DaybyDay[Retail-Actuals],DaybyDay[Date],"&gt;="&amp;$C$5,DaybyDay[RowYear],"&gt;="&amp;$C$4,DaybyDay[Date],"&lt;="&amp;DaybyDay[[#This Row],[Date]])</f>
        <v>88360.030000000028</v>
      </c>
      <c r="S1231" s="35">
        <f>SUMIFS(DaybyDay[Service-LY],DaybyDay[Date],"&gt;="&amp;$C$5,DaybyDay[RowYear],"&gt;="&amp;$C$4,DaybyDay[Date],"&lt;="&amp;DaybyDay[[#This Row],[Date]])</f>
        <v>654969.09</v>
      </c>
      <c r="T1231" s="35">
        <f>SUMIFS(DaybyDay[Retail-LY],DaybyDay[Date],"&gt;="&amp;$C$5,DaybyDay[RowYear],"&gt;="&amp;$C$4,DaybyDay[Date],"&lt;="&amp;DaybyDay[[#This Row],[Date]])</f>
        <v>149353.19</v>
      </c>
      <c r="U1231" s="32">
        <f>DaybyDay[[#This Row],[Serv-Bud-RU]]+DaybyDay[[#This Row],[Ret-Bud-RU]]</f>
        <v>866086.91470021161</v>
      </c>
      <c r="V1231" s="32">
        <f>DaybyDay[[#This Row],[Serv-Act-RU]]+DaybyDay[[#This Row],[Ret-Act-RU]]</f>
        <v>473914.26</v>
      </c>
      <c r="W1231" s="36" t="str">
        <f>IF(DaybyDay[[#This Row],[_Space]],IFERROR(
((DaybyDay[[#This Row],[Actual-Rollup]]-DaybyDay[[#This Row],[Budget-Rollup]])/DaybyDay[[#This Row],[Budget-Rollup]]),0),"")</f>
        <v/>
      </c>
      <c r="X1231" t="b">
        <f>NOT(AND(ISBLANK(DaybyDay[[#This Row],[Appts]]),ISBLANK(DaybyDay[[#This Row],[Service-Actuals]]),ISBLANK(DaybyDay[[#This Row],[Retail-Actuals]])))</f>
        <v>0</v>
      </c>
      <c r="Y1231" s="36" t="str">
        <f>IF(DaybyDay[[#This Row],[_Space]],IFERROR(
((DaybyDay[[#This Row],[Actual-Rollup]]-DaybyDay[[#This Row],[LY-Rollup]])/DaybyDay[[#This Row],[LY-Rollup]]),0),"")</f>
        <v/>
      </c>
      <c r="Z1231"/>
      <c r="AA1231" s="37" t="str">
        <f>IF(DaybyDay[[#This Row],[_Space]],DaybyDay[[#This Row],[Ret-Act-RU]]/DaybyDay[[#This Row],[Serv-Act-RU]],"")</f>
        <v/>
      </c>
      <c r="AB1231" s="50" t="str">
        <f>IF(DaybyDay[[#This Row],[_Space]],DaybyDay[[#This Row],[RETPEN-Act]]/DaybyDay[[#This Row],[RETPEN-Bud]],"")</f>
        <v/>
      </c>
      <c r="AC1231" s="37" t="str">
        <f>IF(DaybyDay[[#This Row],[_Space]],DaybyDay[[#This Row],[Ret-Bud-RU]]/DaybyDay[[#This Row],[Serv-Bud-RU]],"")</f>
        <v/>
      </c>
      <c r="AD1231" s="37" t="str">
        <f>IF(DaybyDay[[#This Row],[_Space]],DaybyDay[[#This Row],[Ret-LY-RU]]/DaybyDay[[#This Row],[Serv-LY-RU]],"")</f>
        <v/>
      </c>
      <c r="AE1231" s="30">
        <f>WEEKDAY(DaybyDay[[#This Row],[LY-Date]])</f>
        <v>7</v>
      </c>
      <c r="AF1231" s="38">
        <f>$E$2+_xlfn.DAYS(DaybyDay[[#This Row],[Date]],minDate)</f>
        <v>43596</v>
      </c>
      <c r="AG1231" s="39" cm="1">
        <f t="array" ref="AG1231">IFERROR(INDEX(DaybyDay[],DaybyDay[[#This Row],[FORM_MATCH_HELPER]],8),"")</f>
        <v>53</v>
      </c>
      <c r="AH1231" s="39" cm="1">
        <f t="array" ref="AH1231">IFERROR(INDEX(DaybyDay[],DaybyDay[[#This Row],[FORM_MATCH_HELPER]],10),"")</f>
        <v>9614.2900000000009</v>
      </c>
      <c r="AI1231" s="39" cm="1">
        <f t="array" ref="AI1231">IFERROR(INDEX(DaybyDay[],DaybyDay[[#This Row],[FORM_MATCH_HELPER]],12),"")</f>
        <v>1614</v>
      </c>
      <c r="AJ1231" s="32">
        <f>IFERROR(DaybyDay[[#This Row],[Serv-LY-RU]]+DaybyDay[[#This Row],[Ret-LY-RU]],"")</f>
        <v>804322.28</v>
      </c>
      <c r="AK12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804638.66270992532</v>
      </c>
      <c r="AL1231" s="77"/>
      <c r="AM1231" s="40" t="str">
        <f>IF(DaybyDay[[#This Row],[Admin Hours]]&gt;0,DaybyDay[[#This Row],[Admin Hours]]*$AM$2+$AM$3,"")</f>
        <v/>
      </c>
      <c r="AN1231" s="40">
        <f>SUMIFS(DaybyDay[Est-Admin-Payroll],DaybyDay[Date],"&gt;="&amp;$C$5,DaybyDay[RowYear],"&gt;="&amp;$C$4,DaybyDay[Date],"&lt;="&amp;DaybyDay[[#This Row],[Date]])</f>
        <v>13941.779999999997</v>
      </c>
      <c r="AO1231" s="41" t="str">
        <f>IF(AND(DaybyDay[[#This Row],[_Space]],ISNUMBER(DaybyDay[[#This Row],[Admin Hours]])),DaybyDay[[#This Row],[Est-Admin-Payroll]]/(DaybyDay[[#This Row],[Service-Actuals]]+DaybyDay[[#This Row],[Retail-Actuals]]),"")</f>
        <v/>
      </c>
      <c r="AP1231" s="41">
        <f>DaybyDay[[#This Row],[Estimated-Payroll-Rollup]]/DaybyDay[[#This Row],[Simple-Forecast]]</f>
        <v>1.7326758762803884E-2</v>
      </c>
      <c r="AQ12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151371.17960775635</v>
      </c>
      <c r="AR1231" s="77"/>
      <c r="AS1231" s="40" t="str">
        <f>IF(DaybyDay[[#This Row],[Retail Hours]]&gt;0,DaybyDay[[#This Row],[Retail Hours]]*$AS$2,"")</f>
        <v/>
      </c>
      <c r="AT1231" s="40">
        <f>SUMIFS(DaybyDay[Est-Retail-Payroll],DaybyDay[Date],"&gt;="&amp;$C$5,DaybyDay[RowYear],"&gt;="&amp;$C$4,DaybyDay[Date],"&lt;="&amp;DaybyDay[[#This Row],[Date]])</f>
        <v>2627.1</v>
      </c>
      <c r="AU1231" s="82" t="str">
        <f>IF(AND(DaybyDay[[#This Row],[_Space]],ISNUMBER(DaybyDay[[#This Row],[Retail Hours]])),DaybyDay[[#This Row],[Est-Retail-Payroll]]/(DaybyDay[[#This Row],[Retail-Actuals]]),"")</f>
        <v/>
      </c>
      <c r="AV1231" s="82">
        <f>DaybyDay[[#This Row],[Est-Retail-PayrollRU]]/DaybyDay[[#This Row],[Simple-Forecast-Retail]]</f>
        <v>1.7355351308006757E-2</v>
      </c>
      <c r="AW1231" s="8"/>
      <c r="AX1231" s="15"/>
      <c r="AY1231" s="8"/>
    </row>
    <row r="1232" spans="3:51" hidden="1" x14ac:dyDescent="0.25">
      <c r="C1232" s="26" t="str">
        <f>Tools!$C$1</f>
        <v>Example</v>
      </c>
      <c r="D1232" s="27" t="s">
        <v>72</v>
      </c>
      <c r="E1232" s="28">
        <v>2020</v>
      </c>
      <c r="F1232" s="28">
        <f>MATCH(DaybyDay[[#This Row],[RowMonth]],Table3[SummaryMonth],0)</f>
        <v>5</v>
      </c>
      <c r="G1232" s="29">
        <f>MATCH(DaybyDay[[#This Row],[LY-Date]],DaybyDay[Date],0)</f>
        <v>862</v>
      </c>
      <c r="H1232" s="30">
        <f>WEEKDAY(DaybyDay[[#This Row],[Date]])</f>
        <v>1</v>
      </c>
      <c r="I1232" s="31">
        <v>43961</v>
      </c>
      <c r="J1232" s="74"/>
      <c r="K1232" s="32">
        <f>SUMIFS(BudgetSeasonality[365 Seasonality],BudgetSeasonality[MonthAdjustment],DaybyDay[[#This Row],[Date]])*SUMIFS(Budgets[Service-Budget],Budgets[BudgetMonth],DaybyDay[[#This Row],[RowMonth]],Budgets[BudgetYear],DaybyDay[[#This Row],[RowYear]])</f>
        <v>7210.4882391075653</v>
      </c>
      <c r="L1232" s="75"/>
      <c r="M1232" s="32">
        <f>INDEX(BudgetSeasonality[365 Seasonality],MATCH(DaybyDay[[#This Row],[Date]],BudgetSeasonality[MonthAdjustment],0))*SUMIFS(Budgets[Retail-Budget],Budgets[BudgetMonth],DaybyDay[[#This Row],[RowMonth]],Budgets[BudgetYear],DaybyDay[[#This Row],[RowYear]])</f>
        <v>1895.409063899255</v>
      </c>
      <c r="N1232" s="75"/>
      <c r="O1232" s="33">
        <f>SUMIFS(DaybyDay[Service-Budgets],DaybyDay[Date],"&gt;="&amp;$C$5,DaybyDay[RowYear],"&gt;="&amp;$C$4,DaybyDay[Date],"&lt;="&amp;DaybyDay[[#This Row],[Date]])</f>
        <v>701312.12154743122</v>
      </c>
      <c r="P1232" s="33">
        <f>SUMIFS(DaybyDay[Retail-Budgets],DaybyDay[Date],"&gt;="&amp;$C$5,DaybyDay[RowYear],"&gt;="&amp;$C$4,DaybyDay[Date],"&lt;="&amp;DaybyDay[[#This Row],[Date]])</f>
        <v>173880.69045578715</v>
      </c>
      <c r="Q1232" s="34">
        <f>SUMIFS(DaybyDay[Service-Actuals],DaybyDay[Date],"&gt;="&amp;$C$5,DaybyDay[RowYear],"&gt;="&amp;$C$4,DaybyDay[Date],"&lt;="&amp;DaybyDay[[#This Row],[Date]])</f>
        <v>385554.23</v>
      </c>
      <c r="R1232" s="34">
        <f>SUMIFS(DaybyDay[Retail-Actuals],DaybyDay[Date],"&gt;="&amp;$C$5,DaybyDay[RowYear],"&gt;="&amp;$C$4,DaybyDay[Date],"&lt;="&amp;DaybyDay[[#This Row],[Date]])</f>
        <v>88360.030000000028</v>
      </c>
      <c r="S1232" s="35">
        <f>SUMIFS(DaybyDay[Service-LY],DaybyDay[Date],"&gt;="&amp;$C$5,DaybyDay[RowYear],"&gt;="&amp;$C$4,DaybyDay[Date],"&lt;="&amp;DaybyDay[[#This Row],[Date]])</f>
        <v>665355.68999999994</v>
      </c>
      <c r="T1232" s="35">
        <f>SUMIFS(DaybyDay[Retail-LY],DaybyDay[Date],"&gt;="&amp;$C$5,DaybyDay[RowYear],"&gt;="&amp;$C$4,DaybyDay[Date],"&lt;="&amp;DaybyDay[[#This Row],[Date]])</f>
        <v>150488.68</v>
      </c>
      <c r="U1232" s="32">
        <f>DaybyDay[[#This Row],[Serv-Bud-RU]]+DaybyDay[[#This Row],[Ret-Bud-RU]]</f>
        <v>875192.81200321834</v>
      </c>
      <c r="V1232" s="32">
        <f>DaybyDay[[#This Row],[Serv-Act-RU]]+DaybyDay[[#This Row],[Ret-Act-RU]]</f>
        <v>473914.26</v>
      </c>
      <c r="W1232" s="36" t="str">
        <f>IF(DaybyDay[[#This Row],[_Space]],IFERROR(
((DaybyDay[[#This Row],[Actual-Rollup]]-DaybyDay[[#This Row],[Budget-Rollup]])/DaybyDay[[#This Row],[Budget-Rollup]]),0),"")</f>
        <v/>
      </c>
      <c r="X1232" t="b">
        <f>NOT(AND(ISBLANK(DaybyDay[[#This Row],[Appts]]),ISBLANK(DaybyDay[[#This Row],[Service-Actuals]]),ISBLANK(DaybyDay[[#This Row],[Retail-Actuals]])))</f>
        <v>0</v>
      </c>
      <c r="Y1232" s="36" t="str">
        <f>IF(DaybyDay[[#This Row],[_Space]],IFERROR(
((DaybyDay[[#This Row],[Actual-Rollup]]-DaybyDay[[#This Row],[LY-Rollup]])/DaybyDay[[#This Row],[LY-Rollup]]),0),"")</f>
        <v/>
      </c>
      <c r="Z1232"/>
      <c r="AA1232" s="37" t="str">
        <f>IF(DaybyDay[[#This Row],[_Space]],DaybyDay[[#This Row],[Ret-Act-RU]]/DaybyDay[[#This Row],[Serv-Act-RU]],"")</f>
        <v/>
      </c>
      <c r="AB1232" s="50" t="str">
        <f>IF(DaybyDay[[#This Row],[_Space]],DaybyDay[[#This Row],[RETPEN-Act]]/DaybyDay[[#This Row],[RETPEN-Bud]],"")</f>
        <v/>
      </c>
      <c r="AC1232" s="37" t="str">
        <f>IF(DaybyDay[[#This Row],[_Space]],DaybyDay[[#This Row],[Ret-Bud-RU]]/DaybyDay[[#This Row],[Serv-Bud-RU]],"")</f>
        <v/>
      </c>
      <c r="AD1232" s="37" t="str">
        <f>IF(DaybyDay[[#This Row],[_Space]],DaybyDay[[#This Row],[Ret-LY-RU]]/DaybyDay[[#This Row],[Serv-LY-RU]],"")</f>
        <v/>
      </c>
      <c r="AE1232" s="30">
        <f>WEEKDAY(DaybyDay[[#This Row],[LY-Date]])</f>
        <v>1</v>
      </c>
      <c r="AF1232" s="38">
        <f>$E$2+_xlfn.DAYS(DaybyDay[[#This Row],[Date]],minDate)</f>
        <v>43597</v>
      </c>
      <c r="AG1232" s="39" cm="1">
        <f t="array" ref="AG1232">IFERROR(INDEX(DaybyDay[],DaybyDay[[#This Row],[FORM_MATCH_HELPER]],8),"")</f>
        <v>41</v>
      </c>
      <c r="AH1232" s="39" cm="1">
        <f t="array" ref="AH1232">IFERROR(INDEX(DaybyDay[],DaybyDay[[#This Row],[FORM_MATCH_HELPER]],10),"")</f>
        <v>10386.6</v>
      </c>
      <c r="AI1232" s="39" cm="1">
        <f t="array" ref="AI1232">IFERROR(INDEX(DaybyDay[],DaybyDay[[#This Row],[FORM_MATCH_HELPER]],12),"")</f>
        <v>1135.49</v>
      </c>
      <c r="AJ1232" s="32">
        <f>IFERROR(DaybyDay[[#This Row],[Serv-LY-RU]]+DaybyDay[[#This Row],[Ret-LY-RU]],"")</f>
        <v>815844.36999999988</v>
      </c>
      <c r="AK12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814192.78833063762</v>
      </c>
      <c r="AL1232" s="77"/>
      <c r="AM1232" s="40" t="str">
        <f>IF(DaybyDay[[#This Row],[Admin Hours]]&gt;0,DaybyDay[[#This Row],[Admin Hours]]*$AM$2+$AM$3,"")</f>
        <v/>
      </c>
      <c r="AN1232" s="40">
        <f>SUMIFS(DaybyDay[Est-Admin-Payroll],DaybyDay[Date],"&gt;="&amp;$C$5,DaybyDay[RowYear],"&gt;="&amp;$C$4,DaybyDay[Date],"&lt;="&amp;DaybyDay[[#This Row],[Date]])</f>
        <v>13941.779999999997</v>
      </c>
      <c r="AO1232" s="41" t="str">
        <f>IF(AND(DaybyDay[[#This Row],[_Space]],ISNUMBER(DaybyDay[[#This Row],[Admin Hours]])),DaybyDay[[#This Row],[Est-Admin-Payroll]]/(DaybyDay[[#This Row],[Service-Actuals]]+DaybyDay[[#This Row],[Retail-Actuals]]),"")</f>
        <v/>
      </c>
      <c r="AP1232" s="41">
        <f>DaybyDay[[#This Row],[Estimated-Payroll-Rollup]]/DaybyDay[[#This Row],[Simple-Forecast]]</f>
        <v>1.7123438330355664E-2</v>
      </c>
      <c r="AQ12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152737.24662629105</v>
      </c>
      <c r="AR1232" s="77"/>
      <c r="AS1232" s="40" t="str">
        <f>IF(DaybyDay[[#This Row],[Retail Hours]]&gt;0,DaybyDay[[#This Row],[Retail Hours]]*$AS$2,"")</f>
        <v/>
      </c>
      <c r="AT1232" s="40">
        <f>SUMIFS(DaybyDay[Est-Retail-Payroll],DaybyDay[Date],"&gt;="&amp;$C$5,DaybyDay[RowYear],"&gt;="&amp;$C$4,DaybyDay[Date],"&lt;="&amp;DaybyDay[[#This Row],[Date]])</f>
        <v>2627.1</v>
      </c>
      <c r="AU1232" s="82" t="str">
        <f>IF(AND(DaybyDay[[#This Row],[_Space]],ISNUMBER(DaybyDay[[#This Row],[Retail Hours]])),DaybyDay[[#This Row],[Est-Retail-Payroll]]/(DaybyDay[[#This Row],[Retail-Actuals]]),"")</f>
        <v/>
      </c>
      <c r="AV1232" s="82">
        <f>DaybyDay[[#This Row],[Est-Retail-PayrollRU]]/DaybyDay[[#This Row],[Simple-Forecast-Retail]]</f>
        <v>1.720012674071467E-2</v>
      </c>
      <c r="AW1232" s="8"/>
      <c r="AX1232" s="15"/>
      <c r="AY1232" s="8"/>
    </row>
    <row r="1233" spans="3:51" hidden="1" x14ac:dyDescent="0.25">
      <c r="C1233" s="26" t="str">
        <f>Tools!$C$1</f>
        <v>Example</v>
      </c>
      <c r="D1233" s="27" t="s">
        <v>72</v>
      </c>
      <c r="E1233" s="28">
        <v>2020</v>
      </c>
      <c r="F1233" s="28">
        <f>MATCH(DaybyDay[[#This Row],[RowMonth]],Table3[SummaryMonth],0)</f>
        <v>5</v>
      </c>
      <c r="G1233" s="29">
        <f>MATCH(DaybyDay[[#This Row],[LY-Date]],DaybyDay[Date],0)</f>
        <v>863</v>
      </c>
      <c r="H1233" s="30">
        <f>WEEKDAY(DaybyDay[[#This Row],[Date]])</f>
        <v>2</v>
      </c>
      <c r="I1233" s="31">
        <v>43962</v>
      </c>
      <c r="J1233" s="74"/>
      <c r="K1233" s="32">
        <f>SUMIFS(BudgetSeasonality[365 Seasonality],BudgetSeasonality[MonthAdjustment],DaybyDay[[#This Row],[Date]])*SUMIFS(Budgets[Service-Budget],Budgets[BudgetMonth],DaybyDay[[#This Row],[RowMonth]],Budgets[BudgetYear],DaybyDay[[#This Row],[RowYear]])</f>
        <v>4502.5261642014711</v>
      </c>
      <c r="L1233" s="75"/>
      <c r="M1233" s="32">
        <f>INDEX(BudgetSeasonality[365 Seasonality],MATCH(DaybyDay[[#This Row],[Date]],BudgetSeasonality[MonthAdjustment],0))*SUMIFS(Budgets[Retail-Budget],Budgets[BudgetMonth],DaybyDay[[#This Row],[RowMonth]],Budgets[BudgetYear],DaybyDay[[#This Row],[RowYear]])</f>
        <v>1183.571572280558</v>
      </c>
      <c r="N1233" s="75"/>
      <c r="O1233" s="33">
        <f>SUMIFS(DaybyDay[Service-Budgets],DaybyDay[Date],"&gt;="&amp;$C$5,DaybyDay[RowYear],"&gt;="&amp;$C$4,DaybyDay[Date],"&lt;="&amp;DaybyDay[[#This Row],[Date]])</f>
        <v>705814.64771163266</v>
      </c>
      <c r="P1233" s="33">
        <f>SUMIFS(DaybyDay[Retail-Budgets],DaybyDay[Date],"&gt;="&amp;$C$5,DaybyDay[RowYear],"&gt;="&amp;$C$4,DaybyDay[Date],"&lt;="&amp;DaybyDay[[#This Row],[Date]])</f>
        <v>175064.26202806769</v>
      </c>
      <c r="Q1233" s="34">
        <f>SUMIFS(DaybyDay[Service-Actuals],DaybyDay[Date],"&gt;="&amp;$C$5,DaybyDay[RowYear],"&gt;="&amp;$C$4,DaybyDay[Date],"&lt;="&amp;DaybyDay[[#This Row],[Date]])</f>
        <v>385554.23</v>
      </c>
      <c r="R1233" s="34">
        <f>SUMIFS(DaybyDay[Retail-Actuals],DaybyDay[Date],"&gt;="&amp;$C$5,DaybyDay[RowYear],"&gt;="&amp;$C$4,DaybyDay[Date],"&lt;="&amp;DaybyDay[[#This Row],[Date]])</f>
        <v>88360.030000000028</v>
      </c>
      <c r="S1233" s="35">
        <f>SUMIFS(DaybyDay[Service-LY],DaybyDay[Date],"&gt;="&amp;$C$5,DaybyDay[RowYear],"&gt;="&amp;$C$4,DaybyDay[Date],"&lt;="&amp;DaybyDay[[#This Row],[Date]])</f>
        <v>668133.68999999994</v>
      </c>
      <c r="T1233" s="35">
        <f>SUMIFS(DaybyDay[Retail-LY],DaybyDay[Date],"&gt;="&amp;$C$5,DaybyDay[RowYear],"&gt;="&amp;$C$4,DaybyDay[Date],"&lt;="&amp;DaybyDay[[#This Row],[Date]])</f>
        <v>152747.68</v>
      </c>
      <c r="U1233" s="32">
        <f>DaybyDay[[#This Row],[Serv-Bud-RU]]+DaybyDay[[#This Row],[Ret-Bud-RU]]</f>
        <v>880878.90973970038</v>
      </c>
      <c r="V1233" s="32">
        <f>DaybyDay[[#This Row],[Serv-Act-RU]]+DaybyDay[[#This Row],[Ret-Act-RU]]</f>
        <v>473914.26</v>
      </c>
      <c r="W1233" s="36" t="str">
        <f>IF(DaybyDay[[#This Row],[_Space]],IFERROR(
((DaybyDay[[#This Row],[Actual-Rollup]]-DaybyDay[[#This Row],[Budget-Rollup]])/DaybyDay[[#This Row],[Budget-Rollup]]),0),"")</f>
        <v/>
      </c>
      <c r="X1233" t="b">
        <f>NOT(AND(ISBLANK(DaybyDay[[#This Row],[Appts]]),ISBLANK(DaybyDay[[#This Row],[Service-Actuals]]),ISBLANK(DaybyDay[[#This Row],[Retail-Actuals]])))</f>
        <v>0</v>
      </c>
      <c r="Y1233" s="36" t="str">
        <f>IF(DaybyDay[[#This Row],[_Space]],IFERROR(
((DaybyDay[[#This Row],[Actual-Rollup]]-DaybyDay[[#This Row],[LY-Rollup]])/DaybyDay[[#This Row],[LY-Rollup]]),0),"")</f>
        <v/>
      </c>
      <c r="Z1233"/>
      <c r="AA1233" s="37" t="str">
        <f>IF(DaybyDay[[#This Row],[_Space]],DaybyDay[[#This Row],[Ret-Act-RU]]/DaybyDay[[#This Row],[Serv-Act-RU]],"")</f>
        <v/>
      </c>
      <c r="AB1233" s="50" t="str">
        <f>IF(DaybyDay[[#This Row],[_Space]],DaybyDay[[#This Row],[RETPEN-Act]]/DaybyDay[[#This Row],[RETPEN-Bud]],"")</f>
        <v/>
      </c>
      <c r="AC1233" s="37" t="str">
        <f>IF(DaybyDay[[#This Row],[_Space]],DaybyDay[[#This Row],[Ret-Bud-RU]]/DaybyDay[[#This Row],[Serv-Bud-RU]],"")</f>
        <v/>
      </c>
      <c r="AD1233" s="37" t="str">
        <f>IF(DaybyDay[[#This Row],[_Space]],DaybyDay[[#This Row],[Ret-LY-RU]]/DaybyDay[[#This Row],[Serv-LY-RU]],"")</f>
        <v/>
      </c>
      <c r="AE1233" s="30">
        <f>WEEKDAY(DaybyDay[[#This Row],[LY-Date]])</f>
        <v>2</v>
      </c>
      <c r="AF1233" s="38">
        <f>$E$2+_xlfn.DAYS(DaybyDay[[#This Row],[Date]],minDate)</f>
        <v>43598</v>
      </c>
      <c r="AG1233" s="39" cm="1">
        <f t="array" ref="AG1233">IFERROR(INDEX(DaybyDay[],DaybyDay[[#This Row],[FORM_MATCH_HELPER]],8),"")</f>
        <v>13</v>
      </c>
      <c r="AH1233" s="39" cm="1">
        <f t="array" ref="AH1233">IFERROR(INDEX(DaybyDay[],DaybyDay[[#This Row],[FORM_MATCH_HELPER]],10),"")</f>
        <v>2778</v>
      </c>
      <c r="AI1233" s="39" cm="1">
        <f t="array" ref="AI1233">IFERROR(INDEX(DaybyDay[],DaybyDay[[#This Row],[FORM_MATCH_HELPER]],12),"")</f>
        <v>2259</v>
      </c>
      <c r="AJ1233" s="32">
        <f>IFERROR(DaybyDay[[#This Row],[Serv-LY-RU]]+DaybyDay[[#This Row],[Ret-LY-RU]],"")</f>
        <v>820881.36999999988</v>
      </c>
      <c r="AK12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819094.85608301894</v>
      </c>
      <c r="AL1233" s="77"/>
      <c r="AM1233" s="40" t="str">
        <f>IF(DaybyDay[[#This Row],[Admin Hours]]&gt;0,DaybyDay[[#This Row],[Admin Hours]]*$AM$2+$AM$3,"")</f>
        <v/>
      </c>
      <c r="AN1233" s="40">
        <f>SUMIFS(DaybyDay[Est-Admin-Payroll],DaybyDay[Date],"&gt;="&amp;$C$5,DaybyDay[RowYear],"&gt;="&amp;$C$4,DaybyDay[Date],"&lt;="&amp;DaybyDay[[#This Row],[Date]])</f>
        <v>13941.779999999997</v>
      </c>
      <c r="AO1233" s="41" t="str">
        <f>IF(AND(DaybyDay[[#This Row],[_Space]],ISNUMBER(DaybyDay[[#This Row],[Admin Hours]])),DaybyDay[[#This Row],[Est-Admin-Payroll]]/(DaybyDay[[#This Row],[Service-Actuals]]+DaybyDay[[#This Row],[Retail-Actuals]]),"")</f>
        <v/>
      </c>
      <c r="AP1233" s="41">
        <f>DaybyDay[[#This Row],[Estimated-Payroll-Rollup]]/DaybyDay[[#This Row],[Simple-Forecast]]</f>
        <v>1.7020959045782283E-2</v>
      </c>
      <c r="AQ12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154354.46912770643</v>
      </c>
      <c r="AR1233" s="77"/>
      <c r="AS1233" s="40" t="str">
        <f>IF(DaybyDay[[#This Row],[Retail Hours]]&gt;0,DaybyDay[[#This Row],[Retail Hours]]*$AS$2,"")</f>
        <v/>
      </c>
      <c r="AT1233" s="40">
        <f>SUMIFS(DaybyDay[Est-Retail-Payroll],DaybyDay[Date],"&gt;="&amp;$C$5,DaybyDay[RowYear],"&gt;="&amp;$C$4,DaybyDay[Date],"&lt;="&amp;DaybyDay[[#This Row],[Date]])</f>
        <v>2627.1</v>
      </c>
      <c r="AU1233" s="82" t="str">
        <f>IF(AND(DaybyDay[[#This Row],[_Space]],ISNUMBER(DaybyDay[[#This Row],[Retail Hours]])),DaybyDay[[#This Row],[Est-Retail-Payroll]]/(DaybyDay[[#This Row],[Retail-Actuals]]),"")</f>
        <v/>
      </c>
      <c r="AV1233" s="82">
        <f>DaybyDay[[#This Row],[Est-Retail-PayrollRU]]/DaybyDay[[#This Row],[Simple-Forecast-Retail]]</f>
        <v>1.7019915360056388E-2</v>
      </c>
      <c r="AW1233" s="8"/>
      <c r="AX1233" s="15"/>
      <c r="AY1233" s="8"/>
    </row>
    <row r="1234" spans="3:51" hidden="1" x14ac:dyDescent="0.25">
      <c r="C1234" s="26" t="str">
        <f>Tools!$C$1</f>
        <v>Example</v>
      </c>
      <c r="D1234" s="27" t="s">
        <v>72</v>
      </c>
      <c r="E1234" s="28">
        <v>2020</v>
      </c>
      <c r="F1234" s="28">
        <f>MATCH(DaybyDay[[#This Row],[RowMonth]],Table3[SummaryMonth],0)</f>
        <v>5</v>
      </c>
      <c r="G1234" s="29">
        <f>MATCH(DaybyDay[[#This Row],[LY-Date]],DaybyDay[Date],0)</f>
        <v>864</v>
      </c>
      <c r="H1234" s="30">
        <f>WEEKDAY(DaybyDay[[#This Row],[Date]])</f>
        <v>3</v>
      </c>
      <c r="I1234" s="31">
        <v>43963</v>
      </c>
      <c r="J1234" s="74"/>
      <c r="K1234" s="32">
        <f>SUMIFS(BudgetSeasonality[365 Seasonality],BudgetSeasonality[MonthAdjustment],DaybyDay[[#This Row],[Date]])*SUMIFS(Budgets[Service-Budget],Budgets[BudgetMonth],DaybyDay[[#This Row],[RowMonth]],Budgets[BudgetYear],DaybyDay[[#This Row],[RowYear]])</f>
        <v>4671.5260419263832</v>
      </c>
      <c r="L1234" s="75"/>
      <c r="M1234" s="32">
        <f>INDEX(BudgetSeasonality[365 Seasonality],MATCH(DaybyDay[[#This Row],[Date]],BudgetSeasonality[MonthAdjustment],0))*SUMIFS(Budgets[Retail-Budget],Budgets[BudgetMonth],DaybyDay[[#This Row],[RowMonth]],Budgets[BudgetYear],DaybyDay[[#This Row],[RowYear]])</f>
        <v>1227.9962893614795</v>
      </c>
      <c r="N1234" s="75"/>
      <c r="O1234" s="33">
        <f>SUMIFS(DaybyDay[Service-Budgets],DaybyDay[Date],"&gt;="&amp;$C$5,DaybyDay[RowYear],"&gt;="&amp;$C$4,DaybyDay[Date],"&lt;="&amp;DaybyDay[[#This Row],[Date]])</f>
        <v>710486.17375355901</v>
      </c>
      <c r="P1234" s="33">
        <f>SUMIFS(DaybyDay[Retail-Budgets],DaybyDay[Date],"&gt;="&amp;$C$5,DaybyDay[RowYear],"&gt;="&amp;$C$4,DaybyDay[Date],"&lt;="&amp;DaybyDay[[#This Row],[Date]])</f>
        <v>176292.25831742916</v>
      </c>
      <c r="Q1234" s="34">
        <f>SUMIFS(DaybyDay[Service-Actuals],DaybyDay[Date],"&gt;="&amp;$C$5,DaybyDay[RowYear],"&gt;="&amp;$C$4,DaybyDay[Date],"&lt;="&amp;DaybyDay[[#This Row],[Date]])</f>
        <v>385554.23</v>
      </c>
      <c r="R1234" s="34">
        <f>SUMIFS(DaybyDay[Retail-Actuals],DaybyDay[Date],"&gt;="&amp;$C$5,DaybyDay[RowYear],"&gt;="&amp;$C$4,DaybyDay[Date],"&lt;="&amp;DaybyDay[[#This Row],[Date]])</f>
        <v>88360.030000000028</v>
      </c>
      <c r="S1234" s="35">
        <f>SUMIFS(DaybyDay[Service-LY],DaybyDay[Date],"&gt;="&amp;$C$5,DaybyDay[RowYear],"&gt;="&amp;$C$4,DaybyDay[Date],"&lt;="&amp;DaybyDay[[#This Row],[Date]])</f>
        <v>671882.69</v>
      </c>
      <c r="T1234" s="35">
        <f>SUMIFS(DaybyDay[Retail-LY],DaybyDay[Date],"&gt;="&amp;$C$5,DaybyDay[RowYear],"&gt;="&amp;$C$4,DaybyDay[Date],"&lt;="&amp;DaybyDay[[#This Row],[Date]])</f>
        <v>153805.65</v>
      </c>
      <c r="U1234" s="32">
        <f>DaybyDay[[#This Row],[Serv-Bud-RU]]+DaybyDay[[#This Row],[Ret-Bud-RU]]</f>
        <v>886778.43207098823</v>
      </c>
      <c r="V1234" s="32">
        <f>DaybyDay[[#This Row],[Serv-Act-RU]]+DaybyDay[[#This Row],[Ret-Act-RU]]</f>
        <v>473914.26</v>
      </c>
      <c r="W1234" s="36" t="str">
        <f>IF(DaybyDay[[#This Row],[_Space]],IFERROR(
((DaybyDay[[#This Row],[Actual-Rollup]]-DaybyDay[[#This Row],[Budget-Rollup]])/DaybyDay[[#This Row],[Budget-Rollup]]),0),"")</f>
        <v/>
      </c>
      <c r="X1234" t="b">
        <f>NOT(AND(ISBLANK(DaybyDay[[#This Row],[Appts]]),ISBLANK(DaybyDay[[#This Row],[Service-Actuals]]),ISBLANK(DaybyDay[[#This Row],[Retail-Actuals]])))</f>
        <v>0</v>
      </c>
      <c r="Y1234" s="36" t="str">
        <f>IF(DaybyDay[[#This Row],[_Space]],IFERROR(
((DaybyDay[[#This Row],[Actual-Rollup]]-DaybyDay[[#This Row],[LY-Rollup]])/DaybyDay[[#This Row],[LY-Rollup]]),0),"")</f>
        <v/>
      </c>
      <c r="Z1234"/>
      <c r="AA1234" s="37" t="str">
        <f>IF(DaybyDay[[#This Row],[_Space]],DaybyDay[[#This Row],[Ret-Act-RU]]/DaybyDay[[#This Row],[Serv-Act-RU]],"")</f>
        <v/>
      </c>
      <c r="AB1234" s="50" t="str">
        <f>IF(DaybyDay[[#This Row],[_Space]],DaybyDay[[#This Row],[RETPEN-Act]]/DaybyDay[[#This Row],[RETPEN-Bud]],"")</f>
        <v/>
      </c>
      <c r="AC1234" s="37" t="str">
        <f>IF(DaybyDay[[#This Row],[_Space]],DaybyDay[[#This Row],[Ret-Bud-RU]]/DaybyDay[[#This Row],[Serv-Bud-RU]],"")</f>
        <v/>
      </c>
      <c r="AD1234" s="37" t="str">
        <f>IF(DaybyDay[[#This Row],[_Space]],DaybyDay[[#This Row],[Ret-LY-RU]]/DaybyDay[[#This Row],[Serv-LY-RU]],"")</f>
        <v/>
      </c>
      <c r="AE1234" s="30">
        <f>WEEKDAY(DaybyDay[[#This Row],[LY-Date]])</f>
        <v>3</v>
      </c>
      <c r="AF1234" s="38">
        <f>$E$2+_xlfn.DAYS(DaybyDay[[#This Row],[Date]],minDate)</f>
        <v>43599</v>
      </c>
      <c r="AG1234" s="39" cm="1">
        <f t="array" ref="AG1234">IFERROR(INDEX(DaybyDay[],DaybyDay[[#This Row],[FORM_MATCH_HELPER]],8),"")</f>
        <v>16</v>
      </c>
      <c r="AH1234" s="39" cm="1">
        <f t="array" ref="AH1234">IFERROR(INDEX(DaybyDay[],DaybyDay[[#This Row],[FORM_MATCH_HELPER]],10),"")</f>
        <v>3749</v>
      </c>
      <c r="AI1234" s="39" cm="1">
        <f t="array" ref="AI1234">IFERROR(INDEX(DaybyDay[],DaybyDay[[#This Row],[FORM_MATCH_HELPER]],12),"")</f>
        <v>1057.97</v>
      </c>
      <c r="AJ1234" s="32">
        <f>IFERROR(DaybyDay[[#This Row],[Serv-LY-RU]]+DaybyDay[[#This Row],[Ret-LY-RU]],"")</f>
        <v>825688.34</v>
      </c>
      <c r="AK12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823974.29028272117</v>
      </c>
      <c r="AL1234" s="77"/>
      <c r="AM1234" s="40" t="str">
        <f>IF(DaybyDay[[#This Row],[Admin Hours]]&gt;0,DaybyDay[[#This Row],[Admin Hours]]*$AM$2+$AM$3,"")</f>
        <v/>
      </c>
      <c r="AN1234" s="40">
        <f>SUMIFS(DaybyDay[Est-Admin-Payroll],DaybyDay[Date],"&gt;="&amp;$C$5,DaybyDay[RowYear],"&gt;="&amp;$C$4,DaybyDay[Date],"&lt;="&amp;DaybyDay[[#This Row],[Date]])</f>
        <v>13941.779999999997</v>
      </c>
      <c r="AO1234" s="41" t="str">
        <f>IF(AND(DaybyDay[[#This Row],[_Space]],ISNUMBER(DaybyDay[[#This Row],[Admin Hours]])),DaybyDay[[#This Row],[Est-Admin-Payroll]]/(DaybyDay[[#This Row],[Service-Actuals]]+DaybyDay[[#This Row],[Retail-Actuals]]),"")</f>
        <v/>
      </c>
      <c r="AP1234" s="41">
        <f>DaybyDay[[#This Row],[Estimated-Payroll-Rollup]]/DaybyDay[[#This Row],[Simple-Forecast]]</f>
        <v>1.6920163850277791E-2</v>
      </c>
      <c r="AQ12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155398.42819819093</v>
      </c>
      <c r="AR1234" s="77"/>
      <c r="AS1234" s="40" t="str">
        <f>IF(DaybyDay[[#This Row],[Retail Hours]]&gt;0,DaybyDay[[#This Row],[Retail Hours]]*$AS$2,"")</f>
        <v/>
      </c>
      <c r="AT1234" s="40">
        <f>SUMIFS(DaybyDay[Est-Retail-Payroll],DaybyDay[Date],"&gt;="&amp;$C$5,DaybyDay[RowYear],"&gt;="&amp;$C$4,DaybyDay[Date],"&lt;="&amp;DaybyDay[[#This Row],[Date]])</f>
        <v>2627.1</v>
      </c>
      <c r="AU1234" s="82" t="str">
        <f>IF(AND(DaybyDay[[#This Row],[_Space]],ISNUMBER(DaybyDay[[#This Row],[Retail Hours]])),DaybyDay[[#This Row],[Est-Retail-Payroll]]/(DaybyDay[[#This Row],[Retail-Actuals]]),"")</f>
        <v/>
      </c>
      <c r="AV1234" s="82">
        <f>DaybyDay[[#This Row],[Est-Retail-PayrollRU]]/DaybyDay[[#This Row],[Simple-Forecast-Retail]]</f>
        <v>1.6905576397783562E-2</v>
      </c>
      <c r="AW1234" s="8"/>
      <c r="AX1234" s="15"/>
      <c r="AY1234" s="8"/>
    </row>
    <row r="1235" spans="3:51" hidden="1" x14ac:dyDescent="0.25">
      <c r="C1235" s="26" t="str">
        <f>Tools!$C$1</f>
        <v>Example</v>
      </c>
      <c r="D1235" s="27" t="s">
        <v>72</v>
      </c>
      <c r="E1235" s="28">
        <v>2020</v>
      </c>
      <c r="F1235" s="28">
        <f>MATCH(DaybyDay[[#This Row],[RowMonth]],Table3[SummaryMonth],0)</f>
        <v>5</v>
      </c>
      <c r="G1235" s="29">
        <f>MATCH(DaybyDay[[#This Row],[LY-Date]],DaybyDay[Date],0)</f>
        <v>865</v>
      </c>
      <c r="H1235" s="30">
        <f>WEEKDAY(DaybyDay[[#This Row],[Date]])</f>
        <v>4</v>
      </c>
      <c r="I1235" s="31">
        <v>43964</v>
      </c>
      <c r="J1235" s="74"/>
      <c r="K1235" s="32">
        <f>SUMIFS(BudgetSeasonality[365 Seasonality],BudgetSeasonality[MonthAdjustment],DaybyDay[[#This Row],[Date]])*SUMIFS(Budgets[Service-Budget],Budgets[BudgetMonth],DaybyDay[[#This Row],[RowMonth]],Budgets[BudgetYear],DaybyDay[[#This Row],[RowYear]])</f>
        <v>5334.1911595764041</v>
      </c>
      <c r="L1235" s="75"/>
      <c r="M1235" s="32">
        <f>INDEX(BudgetSeasonality[365 Seasonality],MATCH(DaybyDay[[#This Row],[Date]],BudgetSeasonality[MonthAdjustment],0))*SUMIFS(Budgets[Retail-Budget],Budgets[BudgetMonth],DaybyDay[[#This Row],[RowMonth]],Budgets[BudgetYear],DaybyDay[[#This Row],[RowYear]])</f>
        <v>1402.189967885414</v>
      </c>
      <c r="N1235" s="75"/>
      <c r="O1235" s="33">
        <f>SUMIFS(DaybyDay[Service-Budgets],DaybyDay[Date],"&gt;="&amp;$C$5,DaybyDay[RowYear],"&gt;="&amp;$C$4,DaybyDay[Date],"&lt;="&amp;DaybyDay[[#This Row],[Date]])</f>
        <v>715820.36491313542</v>
      </c>
      <c r="P1235" s="33">
        <f>SUMIFS(DaybyDay[Retail-Budgets],DaybyDay[Date],"&gt;="&amp;$C$5,DaybyDay[RowYear],"&gt;="&amp;$C$4,DaybyDay[Date],"&lt;="&amp;DaybyDay[[#This Row],[Date]])</f>
        <v>177694.44828531457</v>
      </c>
      <c r="Q1235" s="34">
        <f>SUMIFS(DaybyDay[Service-Actuals],DaybyDay[Date],"&gt;="&amp;$C$5,DaybyDay[RowYear],"&gt;="&amp;$C$4,DaybyDay[Date],"&lt;="&amp;DaybyDay[[#This Row],[Date]])</f>
        <v>385554.23</v>
      </c>
      <c r="R1235" s="34">
        <f>SUMIFS(DaybyDay[Retail-Actuals],DaybyDay[Date],"&gt;="&amp;$C$5,DaybyDay[RowYear],"&gt;="&amp;$C$4,DaybyDay[Date],"&lt;="&amp;DaybyDay[[#This Row],[Date]])</f>
        <v>88360.030000000028</v>
      </c>
      <c r="S1235" s="35">
        <f>SUMIFS(DaybyDay[Service-LY],DaybyDay[Date],"&gt;="&amp;$C$5,DaybyDay[RowYear],"&gt;="&amp;$C$4,DaybyDay[Date],"&lt;="&amp;DaybyDay[[#This Row],[Date]])</f>
        <v>676829.08</v>
      </c>
      <c r="T1235" s="35">
        <f>SUMIFS(DaybyDay[Retail-LY],DaybyDay[Date],"&gt;="&amp;$C$5,DaybyDay[RowYear],"&gt;="&amp;$C$4,DaybyDay[Date],"&lt;="&amp;DaybyDay[[#This Row],[Date]])</f>
        <v>153916.71</v>
      </c>
      <c r="U1235" s="32">
        <f>DaybyDay[[#This Row],[Serv-Bud-RU]]+DaybyDay[[#This Row],[Ret-Bud-RU]]</f>
        <v>893514.81319845002</v>
      </c>
      <c r="V1235" s="32">
        <f>DaybyDay[[#This Row],[Serv-Act-RU]]+DaybyDay[[#This Row],[Ret-Act-RU]]</f>
        <v>473914.26</v>
      </c>
      <c r="W1235" s="36" t="str">
        <f>IF(DaybyDay[[#This Row],[_Space]],IFERROR(
((DaybyDay[[#This Row],[Actual-Rollup]]-DaybyDay[[#This Row],[Budget-Rollup]])/DaybyDay[[#This Row],[Budget-Rollup]]),0),"")</f>
        <v/>
      </c>
      <c r="X1235" t="b">
        <f>NOT(AND(ISBLANK(DaybyDay[[#This Row],[Appts]]),ISBLANK(DaybyDay[[#This Row],[Service-Actuals]]),ISBLANK(DaybyDay[[#This Row],[Retail-Actuals]])))</f>
        <v>0</v>
      </c>
      <c r="Y1235" s="36" t="str">
        <f>IF(DaybyDay[[#This Row],[_Space]],IFERROR(
((DaybyDay[[#This Row],[Actual-Rollup]]-DaybyDay[[#This Row],[LY-Rollup]])/DaybyDay[[#This Row],[LY-Rollup]]),0),"")</f>
        <v/>
      </c>
      <c r="Z1235"/>
      <c r="AA1235" s="37" t="str">
        <f>IF(DaybyDay[[#This Row],[_Space]],DaybyDay[[#This Row],[Ret-Act-RU]]/DaybyDay[[#This Row],[Serv-Act-RU]],"")</f>
        <v/>
      </c>
      <c r="AB1235" s="50" t="str">
        <f>IF(DaybyDay[[#This Row],[_Space]],DaybyDay[[#This Row],[RETPEN-Act]]/DaybyDay[[#This Row],[RETPEN-Bud]],"")</f>
        <v/>
      </c>
      <c r="AC1235" s="37" t="str">
        <f>IF(DaybyDay[[#This Row],[_Space]],DaybyDay[[#This Row],[Ret-Bud-RU]]/DaybyDay[[#This Row],[Serv-Bud-RU]],"")</f>
        <v/>
      </c>
      <c r="AD1235" s="37" t="str">
        <f>IF(DaybyDay[[#This Row],[_Space]],DaybyDay[[#This Row],[Ret-LY-RU]]/DaybyDay[[#This Row],[Serv-LY-RU]],"")</f>
        <v/>
      </c>
      <c r="AE1235" s="30">
        <f>WEEKDAY(DaybyDay[[#This Row],[LY-Date]])</f>
        <v>4</v>
      </c>
      <c r="AF1235" s="38">
        <f>$E$2+_xlfn.DAYS(DaybyDay[[#This Row],[Date]],minDate)</f>
        <v>43600</v>
      </c>
      <c r="AG1235" s="39" cm="1">
        <f t="array" ref="AG1235">IFERROR(INDEX(DaybyDay[],DaybyDay[[#This Row],[FORM_MATCH_HELPER]],8),"")</f>
        <v>20</v>
      </c>
      <c r="AH1235" s="39" cm="1">
        <f t="array" ref="AH1235">IFERROR(INDEX(DaybyDay[],DaybyDay[[#This Row],[FORM_MATCH_HELPER]],10),"")</f>
        <v>4946.3899999999994</v>
      </c>
      <c r="AI1235" s="39" cm="1">
        <f t="array" ref="AI1235">IFERROR(INDEX(DaybyDay[],DaybyDay[[#This Row],[FORM_MATCH_HELPER]],12),"")</f>
        <v>111.06</v>
      </c>
      <c r="AJ1235" s="32">
        <f>IFERROR(DaybyDay[[#This Row],[Serv-LY-RU]]+DaybyDay[[#This Row],[Ret-LY-RU]],"")</f>
        <v>830745.78999999992</v>
      </c>
      <c r="AK12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829333.18386705918</v>
      </c>
      <c r="AL1235" s="77"/>
      <c r="AM1235" s="40" t="str">
        <f>IF(DaybyDay[[#This Row],[Admin Hours]]&gt;0,DaybyDay[[#This Row],[Admin Hours]]*$AM$2+$AM$3,"")</f>
        <v/>
      </c>
      <c r="AN1235" s="40">
        <f>SUMIFS(DaybyDay[Est-Admin-Payroll],DaybyDay[Date],"&gt;="&amp;$C$5,DaybyDay[RowYear],"&gt;="&amp;$C$4,DaybyDay[Date],"&lt;="&amp;DaybyDay[[#This Row],[Date]])</f>
        <v>13941.779999999997</v>
      </c>
      <c r="AO1235" s="41" t="str">
        <f>IF(AND(DaybyDay[[#This Row],[_Space]],ISNUMBER(DaybyDay[[#This Row],[Admin Hours]])),DaybyDay[[#This Row],[Est-Admin-Payroll]]/(DaybyDay[[#This Row],[Service-Actuals]]+DaybyDay[[#This Row],[Retail-Actuals]]),"")</f>
        <v/>
      </c>
      <c r="AP1235" s="41">
        <f>DaybyDay[[#This Row],[Estimated-Payroll-Rollup]]/DaybyDay[[#This Row],[Simple-Forecast]]</f>
        <v>1.6810831004001936E-2</v>
      </c>
      <c r="AQ12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156049.61383342644</v>
      </c>
      <c r="AR1235" s="77"/>
      <c r="AS1235" s="40" t="str">
        <f>IF(DaybyDay[[#This Row],[Retail Hours]]&gt;0,DaybyDay[[#This Row],[Retail Hours]]*$AS$2,"")</f>
        <v/>
      </c>
      <c r="AT1235" s="40">
        <f>SUMIFS(DaybyDay[Est-Retail-Payroll],DaybyDay[Date],"&gt;="&amp;$C$5,DaybyDay[RowYear],"&gt;="&amp;$C$4,DaybyDay[Date],"&lt;="&amp;DaybyDay[[#This Row],[Date]])</f>
        <v>2627.1</v>
      </c>
      <c r="AU1235" s="82" t="str">
        <f>IF(AND(DaybyDay[[#This Row],[_Space]],ISNUMBER(DaybyDay[[#This Row],[Retail Hours]])),DaybyDay[[#This Row],[Est-Retail-Payroll]]/(DaybyDay[[#This Row],[Retail-Actuals]]),"")</f>
        <v/>
      </c>
      <c r="AV1235" s="82">
        <f>DaybyDay[[#This Row],[Est-Retail-PayrollRU]]/DaybyDay[[#This Row],[Simple-Forecast-Retail]]</f>
        <v>1.6835030446177655E-2</v>
      </c>
      <c r="AW1235" s="8"/>
      <c r="AX1235" s="15"/>
      <c r="AY1235" s="8"/>
    </row>
    <row r="1236" spans="3:51" hidden="1" x14ac:dyDescent="0.25">
      <c r="C1236" s="26" t="str">
        <f>Tools!$C$1</f>
        <v>Example</v>
      </c>
      <c r="D1236" s="27" t="s">
        <v>72</v>
      </c>
      <c r="E1236" s="28">
        <v>2020</v>
      </c>
      <c r="F1236" s="28">
        <f>MATCH(DaybyDay[[#This Row],[RowMonth]],Table3[SummaryMonth],0)</f>
        <v>5</v>
      </c>
      <c r="G1236" s="29">
        <f>MATCH(DaybyDay[[#This Row],[LY-Date]],DaybyDay[Date],0)</f>
        <v>866</v>
      </c>
      <c r="H1236" s="30">
        <f>WEEKDAY(DaybyDay[[#This Row],[Date]])</f>
        <v>5</v>
      </c>
      <c r="I1236" s="31">
        <v>43965</v>
      </c>
      <c r="J1236" s="74"/>
      <c r="K1236" s="32">
        <f>SUMIFS(BudgetSeasonality[365 Seasonality],BudgetSeasonality[MonthAdjustment],DaybyDay[[#This Row],[Date]])*SUMIFS(Budgets[Service-Budget],Budgets[BudgetMonth],DaybyDay[[#This Row],[RowMonth]],Budgets[BudgetYear],DaybyDay[[#This Row],[RowYear]])</f>
        <v>5469.8408747481408</v>
      </c>
      <c r="L1236" s="75"/>
      <c r="M1236" s="32">
        <f>INDEX(BudgetSeasonality[365 Seasonality],MATCH(DaybyDay[[#This Row],[Date]],BudgetSeasonality[MonthAdjustment],0))*SUMIFS(Budgets[Retail-Budget],Budgets[BudgetMonth],DaybyDay[[#This Row],[RowMonth]],Budgets[BudgetYear],DaybyDay[[#This Row],[RowYear]])</f>
        <v>1437.8479831439877</v>
      </c>
      <c r="N1236" s="75"/>
      <c r="O1236" s="33">
        <f>SUMIFS(DaybyDay[Service-Budgets],DaybyDay[Date],"&gt;="&amp;$C$5,DaybyDay[RowYear],"&gt;="&amp;$C$4,DaybyDay[Date],"&lt;="&amp;DaybyDay[[#This Row],[Date]])</f>
        <v>721290.20578788361</v>
      </c>
      <c r="P1236" s="33">
        <f>SUMIFS(DaybyDay[Retail-Budgets],DaybyDay[Date],"&gt;="&amp;$C$5,DaybyDay[RowYear],"&gt;="&amp;$C$4,DaybyDay[Date],"&lt;="&amp;DaybyDay[[#This Row],[Date]])</f>
        <v>179132.29626845857</v>
      </c>
      <c r="Q1236" s="34">
        <f>SUMIFS(DaybyDay[Service-Actuals],DaybyDay[Date],"&gt;="&amp;$C$5,DaybyDay[RowYear],"&gt;="&amp;$C$4,DaybyDay[Date],"&lt;="&amp;DaybyDay[[#This Row],[Date]])</f>
        <v>385554.23</v>
      </c>
      <c r="R1236" s="34">
        <f>SUMIFS(DaybyDay[Retail-Actuals],DaybyDay[Date],"&gt;="&amp;$C$5,DaybyDay[RowYear],"&gt;="&amp;$C$4,DaybyDay[Date],"&lt;="&amp;DaybyDay[[#This Row],[Date]])</f>
        <v>88360.030000000028</v>
      </c>
      <c r="S1236" s="35">
        <f>SUMIFS(DaybyDay[Service-LY],DaybyDay[Date],"&gt;="&amp;$C$5,DaybyDay[RowYear],"&gt;="&amp;$C$4,DaybyDay[Date],"&lt;="&amp;DaybyDay[[#This Row],[Date]])</f>
        <v>680759.08</v>
      </c>
      <c r="T1236" s="35">
        <f>SUMIFS(DaybyDay[Retail-LY],DaybyDay[Date],"&gt;="&amp;$C$5,DaybyDay[RowYear],"&gt;="&amp;$C$4,DaybyDay[Date],"&lt;="&amp;DaybyDay[[#This Row],[Date]])</f>
        <v>155931.66</v>
      </c>
      <c r="U1236" s="32">
        <f>DaybyDay[[#This Row],[Serv-Bud-RU]]+DaybyDay[[#This Row],[Ret-Bud-RU]]</f>
        <v>900422.5020563422</v>
      </c>
      <c r="V1236" s="32">
        <f>DaybyDay[[#This Row],[Serv-Act-RU]]+DaybyDay[[#This Row],[Ret-Act-RU]]</f>
        <v>473914.26</v>
      </c>
      <c r="W1236" s="36" t="str">
        <f>IF(DaybyDay[[#This Row],[_Space]],IFERROR(
((DaybyDay[[#This Row],[Actual-Rollup]]-DaybyDay[[#This Row],[Budget-Rollup]])/DaybyDay[[#This Row],[Budget-Rollup]]),0),"")</f>
        <v/>
      </c>
      <c r="X1236" t="b">
        <f>NOT(AND(ISBLANK(DaybyDay[[#This Row],[Appts]]),ISBLANK(DaybyDay[[#This Row],[Service-Actuals]]),ISBLANK(DaybyDay[[#This Row],[Retail-Actuals]])))</f>
        <v>0</v>
      </c>
      <c r="Y1236" s="36" t="str">
        <f>IF(DaybyDay[[#This Row],[_Space]],IFERROR(
((DaybyDay[[#This Row],[Actual-Rollup]]-DaybyDay[[#This Row],[LY-Rollup]])/DaybyDay[[#This Row],[LY-Rollup]]),0),"")</f>
        <v/>
      </c>
      <c r="Z1236"/>
      <c r="AA1236" s="37" t="str">
        <f>IF(DaybyDay[[#This Row],[_Space]],DaybyDay[[#This Row],[Ret-Act-RU]]/DaybyDay[[#This Row],[Serv-Act-RU]],"")</f>
        <v/>
      </c>
      <c r="AB1236" s="50" t="str">
        <f>IF(DaybyDay[[#This Row],[_Space]],DaybyDay[[#This Row],[RETPEN-Act]]/DaybyDay[[#This Row],[RETPEN-Bud]],"")</f>
        <v/>
      </c>
      <c r="AC1236" s="37" t="str">
        <f>IF(DaybyDay[[#This Row],[_Space]],DaybyDay[[#This Row],[Ret-Bud-RU]]/DaybyDay[[#This Row],[Serv-Bud-RU]],"")</f>
        <v/>
      </c>
      <c r="AD1236" s="37" t="str">
        <f>IF(DaybyDay[[#This Row],[_Space]],DaybyDay[[#This Row],[Ret-LY-RU]]/DaybyDay[[#This Row],[Serv-LY-RU]],"")</f>
        <v/>
      </c>
      <c r="AE1236" s="30">
        <f>WEEKDAY(DaybyDay[[#This Row],[LY-Date]])</f>
        <v>5</v>
      </c>
      <c r="AF1236" s="38">
        <f>$E$2+_xlfn.DAYS(DaybyDay[[#This Row],[Date]],minDate)</f>
        <v>43601</v>
      </c>
      <c r="AG1236" s="39" cm="1">
        <f t="array" ref="AG1236">IFERROR(INDEX(DaybyDay[],DaybyDay[[#This Row],[FORM_MATCH_HELPER]],8),"")</f>
        <v>20</v>
      </c>
      <c r="AH1236" s="39" cm="1">
        <f t="array" ref="AH1236">IFERROR(INDEX(DaybyDay[],DaybyDay[[#This Row],[FORM_MATCH_HELPER]],10),"")</f>
        <v>3930</v>
      </c>
      <c r="AI1236" s="39" cm="1">
        <f t="array" ref="AI1236">IFERROR(INDEX(DaybyDay[],DaybyDay[[#This Row],[FORM_MATCH_HELPER]],12),"")</f>
        <v>2014.95</v>
      </c>
      <c r="AJ1236" s="32">
        <f>IFERROR(DaybyDay[[#This Row],[Serv-LY-RU]]+DaybyDay[[#This Row],[Ret-LY-RU]],"")</f>
        <v>836690.74</v>
      </c>
      <c r="AK12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835202.51987705799</v>
      </c>
      <c r="AL1236" s="77"/>
      <c r="AM1236" s="40" t="str">
        <f>IF(DaybyDay[[#This Row],[Admin Hours]]&gt;0,DaybyDay[[#This Row],[Admin Hours]]*$AM$2+$AM$3,"")</f>
        <v/>
      </c>
      <c r="AN1236" s="40">
        <f>SUMIFS(DaybyDay[Est-Admin-Payroll],DaybyDay[Date],"&gt;="&amp;$C$5,DaybyDay[RowYear],"&gt;="&amp;$C$4,DaybyDay[Date],"&lt;="&amp;DaybyDay[[#This Row],[Date]])</f>
        <v>13941.779999999997</v>
      </c>
      <c r="AO1236" s="41" t="str">
        <f>IF(AND(DaybyDay[[#This Row],[_Space]],ISNUMBER(DaybyDay[[#This Row],[Admin Hours]])),DaybyDay[[#This Row],[Est-Admin-Payroll]]/(DaybyDay[[#This Row],[Service-Actuals]]+DaybyDay[[#This Row],[Retail-Actuals]]),"")</f>
        <v/>
      </c>
      <c r="AP1236" s="41">
        <f>DaybyDay[[#This Row],[Estimated-Payroll-Rollup]]/DaybyDay[[#This Row],[Simple-Forecast]]</f>
        <v>1.6692693889443999E-2</v>
      </c>
      <c r="AQ12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157654.66683290785</v>
      </c>
      <c r="AR1236" s="77"/>
      <c r="AS1236" s="40" t="str">
        <f>IF(DaybyDay[[#This Row],[Retail Hours]]&gt;0,DaybyDay[[#This Row],[Retail Hours]]*$AS$2,"")</f>
        <v/>
      </c>
      <c r="AT1236" s="40">
        <f>SUMIFS(DaybyDay[Est-Retail-Payroll],DaybyDay[Date],"&gt;="&amp;$C$5,DaybyDay[RowYear],"&gt;="&amp;$C$4,DaybyDay[Date],"&lt;="&amp;DaybyDay[[#This Row],[Date]])</f>
        <v>2627.1</v>
      </c>
      <c r="AU1236" s="82" t="str">
        <f>IF(AND(DaybyDay[[#This Row],[_Space]],ISNUMBER(DaybyDay[[#This Row],[Retail Hours]])),DaybyDay[[#This Row],[Est-Retail-Payroll]]/(DaybyDay[[#This Row],[Retail-Actuals]]),"")</f>
        <v/>
      </c>
      <c r="AV1236" s="82">
        <f>DaybyDay[[#This Row],[Est-Retail-PayrollRU]]/DaybyDay[[#This Row],[Simple-Forecast-Retail]]</f>
        <v>1.6663636115411429E-2</v>
      </c>
      <c r="AW1236" s="8"/>
      <c r="AX1236" s="15"/>
      <c r="AY1236" s="8"/>
    </row>
    <row r="1237" spans="3:51" hidden="1" x14ac:dyDescent="0.25">
      <c r="C1237" s="26" t="str">
        <f>Tools!$C$1</f>
        <v>Example</v>
      </c>
      <c r="D1237" s="27" t="s">
        <v>72</v>
      </c>
      <c r="E1237" s="28">
        <v>2020</v>
      </c>
      <c r="F1237" s="28">
        <f>MATCH(DaybyDay[[#This Row],[RowMonth]],Table3[SummaryMonth],0)</f>
        <v>5</v>
      </c>
      <c r="G1237" s="29">
        <f>MATCH(DaybyDay[[#This Row],[LY-Date]],DaybyDay[Date],0)</f>
        <v>867</v>
      </c>
      <c r="H1237" s="30">
        <f>WEEKDAY(DaybyDay[[#This Row],[Date]])</f>
        <v>6</v>
      </c>
      <c r="I1237" s="31">
        <v>43966</v>
      </c>
      <c r="J1237" s="74"/>
      <c r="K1237" s="32">
        <f>SUMIFS(BudgetSeasonality[365 Seasonality],BudgetSeasonality[MonthAdjustment],DaybyDay[[#This Row],[Date]])*SUMIFS(Budgets[Service-Budget],Budgets[BudgetMonth],DaybyDay[[#This Row],[RowMonth]],Budgets[BudgetYear],DaybyDay[[#This Row],[RowYear]])</f>
        <v>6660.9658866531227</v>
      </c>
      <c r="L1237" s="75"/>
      <c r="M1237" s="32">
        <f>INDEX(BudgetSeasonality[365 Seasonality],MATCH(DaybyDay[[#This Row],[Date]],BudgetSeasonality[MonthAdjustment],0))*SUMIFS(Budgets[Retail-Budget],Budgets[BudgetMonth],DaybyDay[[#This Row],[RowMonth]],Budgets[BudgetYear],DaybyDay[[#This Row],[RowYear]])</f>
        <v>1750.9570360867381</v>
      </c>
      <c r="N1237" s="75"/>
      <c r="O1237" s="33">
        <f>SUMIFS(DaybyDay[Service-Budgets],DaybyDay[Date],"&gt;="&amp;$C$5,DaybyDay[RowYear],"&gt;="&amp;$C$4,DaybyDay[Date],"&lt;="&amp;DaybyDay[[#This Row],[Date]])</f>
        <v>727951.17167453677</v>
      </c>
      <c r="P1237" s="33">
        <f>SUMIFS(DaybyDay[Retail-Budgets],DaybyDay[Date],"&gt;="&amp;$C$5,DaybyDay[RowYear],"&gt;="&amp;$C$4,DaybyDay[Date],"&lt;="&amp;DaybyDay[[#This Row],[Date]])</f>
        <v>180883.2533045453</v>
      </c>
      <c r="Q1237" s="34">
        <f>SUMIFS(DaybyDay[Service-Actuals],DaybyDay[Date],"&gt;="&amp;$C$5,DaybyDay[RowYear],"&gt;="&amp;$C$4,DaybyDay[Date],"&lt;="&amp;DaybyDay[[#This Row],[Date]])</f>
        <v>385554.23</v>
      </c>
      <c r="R1237" s="34">
        <f>SUMIFS(DaybyDay[Retail-Actuals],DaybyDay[Date],"&gt;="&amp;$C$5,DaybyDay[RowYear],"&gt;="&amp;$C$4,DaybyDay[Date],"&lt;="&amp;DaybyDay[[#This Row],[Date]])</f>
        <v>88360.030000000028</v>
      </c>
      <c r="S1237" s="35">
        <f>SUMIFS(DaybyDay[Service-LY],DaybyDay[Date],"&gt;="&amp;$C$5,DaybyDay[RowYear],"&gt;="&amp;$C$4,DaybyDay[Date],"&lt;="&amp;DaybyDay[[#This Row],[Date]])</f>
        <v>687368.04999999993</v>
      </c>
      <c r="T1237" s="35">
        <f>SUMIFS(DaybyDay[Retail-LY],DaybyDay[Date],"&gt;="&amp;$C$5,DaybyDay[RowYear],"&gt;="&amp;$C$4,DaybyDay[Date],"&lt;="&amp;DaybyDay[[#This Row],[Date]])</f>
        <v>156656.66</v>
      </c>
      <c r="U1237" s="32">
        <f>DaybyDay[[#This Row],[Serv-Bud-RU]]+DaybyDay[[#This Row],[Ret-Bud-RU]]</f>
        <v>908834.42497908208</v>
      </c>
      <c r="V1237" s="32">
        <f>DaybyDay[[#This Row],[Serv-Act-RU]]+DaybyDay[[#This Row],[Ret-Act-RU]]</f>
        <v>473914.26</v>
      </c>
      <c r="W1237" s="36" t="str">
        <f>IF(DaybyDay[[#This Row],[_Space]],IFERROR(
((DaybyDay[[#This Row],[Actual-Rollup]]-DaybyDay[[#This Row],[Budget-Rollup]])/DaybyDay[[#This Row],[Budget-Rollup]]),0),"")</f>
        <v/>
      </c>
      <c r="X1237" t="b">
        <f>NOT(AND(ISBLANK(DaybyDay[[#This Row],[Appts]]),ISBLANK(DaybyDay[[#This Row],[Service-Actuals]]),ISBLANK(DaybyDay[[#This Row],[Retail-Actuals]])))</f>
        <v>0</v>
      </c>
      <c r="Y1237" s="36" t="str">
        <f>IF(DaybyDay[[#This Row],[_Space]],IFERROR(
((DaybyDay[[#This Row],[Actual-Rollup]]-DaybyDay[[#This Row],[LY-Rollup]])/DaybyDay[[#This Row],[LY-Rollup]]),0),"")</f>
        <v/>
      </c>
      <c r="Z1237"/>
      <c r="AA1237" s="37" t="str">
        <f>IF(DaybyDay[[#This Row],[_Space]],DaybyDay[[#This Row],[Ret-Act-RU]]/DaybyDay[[#This Row],[Serv-Act-RU]],"")</f>
        <v/>
      </c>
      <c r="AB1237" s="50" t="str">
        <f>IF(DaybyDay[[#This Row],[_Space]],DaybyDay[[#This Row],[RETPEN-Act]]/DaybyDay[[#This Row],[RETPEN-Bud]],"")</f>
        <v/>
      </c>
      <c r="AC1237" s="37" t="str">
        <f>IF(DaybyDay[[#This Row],[_Space]],DaybyDay[[#This Row],[Ret-Bud-RU]]/DaybyDay[[#This Row],[Serv-Bud-RU]],"")</f>
        <v/>
      </c>
      <c r="AD1237" s="37" t="str">
        <f>IF(DaybyDay[[#This Row],[_Space]],DaybyDay[[#This Row],[Ret-LY-RU]]/DaybyDay[[#This Row],[Serv-LY-RU]],"")</f>
        <v/>
      </c>
      <c r="AE1237" s="30">
        <f>WEEKDAY(DaybyDay[[#This Row],[LY-Date]])</f>
        <v>6</v>
      </c>
      <c r="AF1237" s="38">
        <f>$E$2+_xlfn.DAYS(DaybyDay[[#This Row],[Date]],minDate)</f>
        <v>43602</v>
      </c>
      <c r="AG1237" s="39" cm="1">
        <f t="array" ref="AG1237">IFERROR(INDEX(DaybyDay[],DaybyDay[[#This Row],[FORM_MATCH_HELPER]],8),"")</f>
        <v>34</v>
      </c>
      <c r="AH1237" s="39" cm="1">
        <f t="array" ref="AH1237">IFERROR(INDEX(DaybyDay[],DaybyDay[[#This Row],[FORM_MATCH_HELPER]],10),"")</f>
        <v>6608.97</v>
      </c>
      <c r="AI1237" s="39" cm="1">
        <f t="array" ref="AI1237">IFERROR(INDEX(DaybyDay[],DaybyDay[[#This Row],[FORM_MATCH_HELPER]],12),"")</f>
        <v>725</v>
      </c>
      <c r="AJ1237" s="32">
        <f>IFERROR(DaybyDay[[#This Row],[Serv-LY-RU]]+DaybyDay[[#This Row],[Ret-LY-RU]],"")</f>
        <v>844024.71</v>
      </c>
      <c r="AK12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842396.53598351264</v>
      </c>
      <c r="AL1237" s="77"/>
      <c r="AM1237" s="40" t="str">
        <f>IF(DaybyDay[[#This Row],[Admin Hours]]&gt;0,DaybyDay[[#This Row],[Admin Hours]]*$AM$2+$AM$3,"")</f>
        <v/>
      </c>
      <c r="AN1237" s="40">
        <f>SUMIFS(DaybyDay[Est-Admin-Payroll],DaybyDay[Date],"&gt;="&amp;$C$5,DaybyDay[RowYear],"&gt;="&amp;$C$4,DaybyDay[Date],"&lt;="&amp;DaybyDay[[#This Row],[Date]])</f>
        <v>13941.779999999997</v>
      </c>
      <c r="AO1237" s="41" t="str">
        <f>IF(AND(DaybyDay[[#This Row],[_Space]],ISNUMBER(DaybyDay[[#This Row],[Admin Hours]])),DaybyDay[[#This Row],[Est-Admin-Payroll]]/(DaybyDay[[#This Row],[Service-Actuals]]+DaybyDay[[#This Row],[Retail-Actuals]]),"")</f>
        <v/>
      </c>
      <c r="AP1237" s="41">
        <f>DaybyDay[[#This Row],[Estimated-Payroll-Rollup]]/DaybyDay[[#This Row],[Simple-Forecast]]</f>
        <v>1.6550139280573757E-2</v>
      </c>
      <c r="AQ12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158756.90117449267</v>
      </c>
      <c r="AR1237" s="77"/>
      <c r="AS1237" s="40" t="str">
        <f>IF(DaybyDay[[#This Row],[Retail Hours]]&gt;0,DaybyDay[[#This Row],[Retail Hours]]*$AS$2,"")</f>
        <v/>
      </c>
      <c r="AT1237" s="40">
        <f>SUMIFS(DaybyDay[Est-Retail-Payroll],DaybyDay[Date],"&gt;="&amp;$C$5,DaybyDay[RowYear],"&gt;="&amp;$C$4,DaybyDay[Date],"&lt;="&amp;DaybyDay[[#This Row],[Date]])</f>
        <v>2627.1</v>
      </c>
      <c r="AU1237" s="82" t="str">
        <f>IF(AND(DaybyDay[[#This Row],[_Space]],ISNUMBER(DaybyDay[[#This Row],[Retail Hours]])),DaybyDay[[#This Row],[Est-Retail-Payroll]]/(DaybyDay[[#This Row],[Retail-Actuals]]),"")</f>
        <v/>
      </c>
      <c r="AV1237" s="82">
        <f>DaybyDay[[#This Row],[Est-Retail-PayrollRU]]/DaybyDay[[#This Row],[Simple-Forecast-Retail]]</f>
        <v>1.6547942045760298E-2</v>
      </c>
      <c r="AW1237" s="8"/>
      <c r="AX1237" s="15"/>
      <c r="AY1237" s="8"/>
    </row>
    <row r="1238" spans="3:51" hidden="1" x14ac:dyDescent="0.25">
      <c r="C1238" s="26" t="str">
        <f>Tools!$C$1</f>
        <v>Example</v>
      </c>
      <c r="D1238" s="27" t="s">
        <v>72</v>
      </c>
      <c r="E1238" s="28">
        <v>2020</v>
      </c>
      <c r="F1238" s="28">
        <f>MATCH(DaybyDay[[#This Row],[RowMonth]],Table3[SummaryMonth],0)</f>
        <v>5</v>
      </c>
      <c r="G1238" s="29">
        <f>MATCH(DaybyDay[[#This Row],[LY-Date]],DaybyDay[Date],0)</f>
        <v>868</v>
      </c>
      <c r="H1238" s="30">
        <f>WEEKDAY(DaybyDay[[#This Row],[Date]])</f>
        <v>7</v>
      </c>
      <c r="I1238" s="31">
        <v>43967</v>
      </c>
      <c r="J1238" s="74"/>
      <c r="K1238" s="32">
        <f>SUMIFS(BudgetSeasonality[365 Seasonality],BudgetSeasonality[MonthAdjustment],DaybyDay[[#This Row],[Date]])*SUMIFS(Budgets[Service-Budget],Budgets[BudgetMonth],DaybyDay[[#This Row],[RowMonth]],Budgets[BudgetYear],DaybyDay[[#This Row],[RowYear]])</f>
        <v>9183.1877051096963</v>
      </c>
      <c r="L1238" s="75"/>
      <c r="M1238" s="32">
        <f>INDEX(BudgetSeasonality[365 Seasonality],MATCH(DaybyDay[[#This Row],[Date]],BudgetSeasonality[MonthAdjustment],0))*SUMIFS(Budgets[Retail-Budget],Budgets[BudgetMonth],DaybyDay[[#This Row],[RowMonth]],Budgets[BudgetYear],DaybyDay[[#This Row],[RowYear]])</f>
        <v>2413.9692950816639</v>
      </c>
      <c r="N1238" s="75"/>
      <c r="O1238" s="33">
        <f>SUMIFS(DaybyDay[Service-Budgets],DaybyDay[Date],"&gt;="&amp;$C$5,DaybyDay[RowYear],"&gt;="&amp;$C$4,DaybyDay[Date],"&lt;="&amp;DaybyDay[[#This Row],[Date]])</f>
        <v>737134.35937964648</v>
      </c>
      <c r="P1238" s="33">
        <f>SUMIFS(DaybyDay[Retail-Budgets],DaybyDay[Date],"&gt;="&amp;$C$5,DaybyDay[RowYear],"&gt;="&amp;$C$4,DaybyDay[Date],"&lt;="&amp;DaybyDay[[#This Row],[Date]])</f>
        <v>183297.22259962696</v>
      </c>
      <c r="Q1238" s="34">
        <f>SUMIFS(DaybyDay[Service-Actuals],DaybyDay[Date],"&gt;="&amp;$C$5,DaybyDay[RowYear],"&gt;="&amp;$C$4,DaybyDay[Date],"&lt;="&amp;DaybyDay[[#This Row],[Date]])</f>
        <v>385554.23</v>
      </c>
      <c r="R1238" s="34">
        <f>SUMIFS(DaybyDay[Retail-Actuals],DaybyDay[Date],"&gt;="&amp;$C$5,DaybyDay[RowYear],"&gt;="&amp;$C$4,DaybyDay[Date],"&lt;="&amp;DaybyDay[[#This Row],[Date]])</f>
        <v>88360.030000000028</v>
      </c>
      <c r="S1238" s="35">
        <f>SUMIFS(DaybyDay[Service-LY],DaybyDay[Date],"&gt;="&amp;$C$5,DaybyDay[RowYear],"&gt;="&amp;$C$4,DaybyDay[Date],"&lt;="&amp;DaybyDay[[#This Row],[Date]])</f>
        <v>695391.61</v>
      </c>
      <c r="T1238" s="35">
        <f>SUMIFS(DaybyDay[Retail-LY],DaybyDay[Date],"&gt;="&amp;$C$5,DaybyDay[RowYear],"&gt;="&amp;$C$4,DaybyDay[Date],"&lt;="&amp;DaybyDay[[#This Row],[Date]])</f>
        <v>160999.66</v>
      </c>
      <c r="U1238" s="32">
        <f>DaybyDay[[#This Row],[Serv-Bud-RU]]+DaybyDay[[#This Row],[Ret-Bud-RU]]</f>
        <v>920431.58197927347</v>
      </c>
      <c r="V1238" s="32">
        <f>DaybyDay[[#This Row],[Serv-Act-RU]]+DaybyDay[[#This Row],[Ret-Act-RU]]</f>
        <v>473914.26</v>
      </c>
      <c r="W1238" s="36" t="str">
        <f>IF(DaybyDay[[#This Row],[_Space]],IFERROR(
((DaybyDay[[#This Row],[Actual-Rollup]]-DaybyDay[[#This Row],[Budget-Rollup]])/DaybyDay[[#This Row],[Budget-Rollup]]),0),"")</f>
        <v/>
      </c>
      <c r="X1238" t="b">
        <f>NOT(AND(ISBLANK(DaybyDay[[#This Row],[Appts]]),ISBLANK(DaybyDay[[#This Row],[Service-Actuals]]),ISBLANK(DaybyDay[[#This Row],[Retail-Actuals]])))</f>
        <v>0</v>
      </c>
      <c r="Y1238" s="36" t="str">
        <f>IF(DaybyDay[[#This Row],[_Space]],IFERROR(
((DaybyDay[[#This Row],[Actual-Rollup]]-DaybyDay[[#This Row],[LY-Rollup]])/DaybyDay[[#This Row],[LY-Rollup]]),0),"")</f>
        <v/>
      </c>
      <c r="Z1238"/>
      <c r="AA1238" s="37" t="str">
        <f>IF(DaybyDay[[#This Row],[_Space]],DaybyDay[[#This Row],[Ret-Act-RU]]/DaybyDay[[#This Row],[Serv-Act-RU]],"")</f>
        <v/>
      </c>
      <c r="AB1238" s="50" t="str">
        <f>IF(DaybyDay[[#This Row],[_Space]],DaybyDay[[#This Row],[RETPEN-Act]]/DaybyDay[[#This Row],[RETPEN-Bud]],"")</f>
        <v/>
      </c>
      <c r="AC1238" s="37" t="str">
        <f>IF(DaybyDay[[#This Row],[_Space]],DaybyDay[[#This Row],[Ret-Bud-RU]]/DaybyDay[[#This Row],[Serv-Bud-RU]],"")</f>
        <v/>
      </c>
      <c r="AD1238" s="37" t="str">
        <f>IF(DaybyDay[[#This Row],[_Space]],DaybyDay[[#This Row],[Ret-LY-RU]]/DaybyDay[[#This Row],[Serv-LY-RU]],"")</f>
        <v/>
      </c>
      <c r="AE1238" s="30">
        <f>WEEKDAY(DaybyDay[[#This Row],[LY-Date]])</f>
        <v>7</v>
      </c>
      <c r="AF1238" s="38">
        <f>$E$2+_xlfn.DAYS(DaybyDay[[#This Row],[Date]],minDate)</f>
        <v>43603</v>
      </c>
      <c r="AG1238" s="39" cm="1">
        <f t="array" ref="AG1238">IFERROR(INDEX(DaybyDay[],DaybyDay[[#This Row],[FORM_MATCH_HELPER]],8),"")</f>
        <v>34</v>
      </c>
      <c r="AH1238" s="39" cm="1">
        <f t="array" ref="AH1238">IFERROR(INDEX(DaybyDay[],DaybyDay[[#This Row],[FORM_MATCH_HELPER]],10),"")</f>
        <v>8023.5599999999995</v>
      </c>
      <c r="AI1238" s="39" cm="1">
        <f t="array" ref="AI1238">IFERROR(INDEX(DaybyDay[],DaybyDay[[#This Row],[FORM_MATCH_HELPER]],12),"")</f>
        <v>4343</v>
      </c>
      <c r="AJ1238" s="32">
        <f>IFERROR(DaybyDay[[#This Row],[Serv-LY-RU]]+DaybyDay[[#This Row],[Ret-LY-RU]],"")</f>
        <v>856391.27</v>
      </c>
      <c r="AK12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853426.69112118823</v>
      </c>
      <c r="AL1238" s="77"/>
      <c r="AM1238" s="40" t="str">
        <f>IF(DaybyDay[[#This Row],[Admin Hours]]&gt;0,DaybyDay[[#This Row],[Admin Hours]]*$AM$2+$AM$3,"")</f>
        <v/>
      </c>
      <c r="AN1238" s="40">
        <f>SUMIFS(DaybyDay[Est-Admin-Payroll],DaybyDay[Date],"&gt;="&amp;$C$5,DaybyDay[RowYear],"&gt;="&amp;$C$4,DaybyDay[Date],"&lt;="&amp;DaybyDay[[#This Row],[Date]])</f>
        <v>13941.779999999997</v>
      </c>
      <c r="AO1238" s="41" t="str">
        <f>IF(AND(DaybyDay[[#This Row],[_Space]],ISNUMBER(DaybyDay[[#This Row],[Admin Hours]])),DaybyDay[[#This Row],[Est-Admin-Payroll]]/(DaybyDay[[#This Row],[Service-Actuals]]+DaybyDay[[#This Row],[Retail-Actuals]]),"")</f>
        <v/>
      </c>
      <c r="AP1238" s="41">
        <f>DaybyDay[[#This Row],[Estimated-Payroll-Rollup]]/DaybyDay[[#This Row],[Simple-Forecast]]</f>
        <v>1.6336236193508314E-2</v>
      </c>
      <c r="AQ12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161924.98134247938</v>
      </c>
      <c r="AR1238" s="77"/>
      <c r="AS1238" s="40" t="str">
        <f>IF(DaybyDay[[#This Row],[Retail Hours]]&gt;0,DaybyDay[[#This Row],[Retail Hours]]*$AS$2,"")</f>
        <v/>
      </c>
      <c r="AT1238" s="40">
        <f>SUMIFS(DaybyDay[Est-Retail-Payroll],DaybyDay[Date],"&gt;="&amp;$C$5,DaybyDay[RowYear],"&gt;="&amp;$C$4,DaybyDay[Date],"&lt;="&amp;DaybyDay[[#This Row],[Date]])</f>
        <v>2627.1</v>
      </c>
      <c r="AU1238" s="82" t="str">
        <f>IF(AND(DaybyDay[[#This Row],[_Space]],ISNUMBER(DaybyDay[[#This Row],[Retail Hours]])),DaybyDay[[#This Row],[Est-Retail-Payroll]]/(DaybyDay[[#This Row],[Retail-Actuals]]),"")</f>
        <v/>
      </c>
      <c r="AV1238" s="82">
        <f>DaybyDay[[#This Row],[Est-Retail-PayrollRU]]/DaybyDay[[#This Row],[Simple-Forecast-Retail]]</f>
        <v>1.6224179729522729E-2</v>
      </c>
      <c r="AW1238" s="8"/>
      <c r="AX1238" s="15"/>
      <c r="AY1238" s="8"/>
    </row>
    <row r="1239" spans="3:51" hidden="1" x14ac:dyDescent="0.25">
      <c r="C1239" s="26" t="str">
        <f>Tools!$C$1</f>
        <v>Example</v>
      </c>
      <c r="D1239" s="27" t="s">
        <v>72</v>
      </c>
      <c r="E1239" s="28">
        <v>2020</v>
      </c>
      <c r="F1239" s="28">
        <f>MATCH(DaybyDay[[#This Row],[RowMonth]],Table3[SummaryMonth],0)</f>
        <v>5</v>
      </c>
      <c r="G1239" s="29">
        <f>MATCH(DaybyDay[[#This Row],[LY-Date]],DaybyDay[Date],0)</f>
        <v>869</v>
      </c>
      <c r="H1239" s="30">
        <f>WEEKDAY(DaybyDay[[#This Row],[Date]])</f>
        <v>1</v>
      </c>
      <c r="I1239" s="31">
        <v>43968</v>
      </c>
      <c r="J1239" s="74"/>
      <c r="K1239" s="32">
        <f>SUMIFS(BudgetSeasonality[365 Seasonality],BudgetSeasonality[MonthAdjustment],DaybyDay[[#This Row],[Date]])*SUMIFS(Budgets[Service-Budget],Budgets[BudgetMonth],DaybyDay[[#This Row],[RowMonth]],Budgets[BudgetYear],DaybyDay[[#This Row],[RowYear]])</f>
        <v>7270.7922205502255</v>
      </c>
      <c r="L1239" s="75"/>
      <c r="M1239" s="32">
        <f>INDEX(BudgetSeasonality[365 Seasonality],MATCH(DaybyDay[[#This Row],[Date]],BudgetSeasonality[MonthAdjustment],0))*SUMIFS(Budgets[Retail-Budget],Budgets[BudgetMonth],DaybyDay[[#This Row],[RowMonth]],Budgets[BudgetYear],DaybyDay[[#This Row],[RowYear]])</f>
        <v>1911.2610713119705</v>
      </c>
      <c r="N1239" s="75"/>
      <c r="O1239" s="33">
        <f>SUMIFS(DaybyDay[Service-Budgets],DaybyDay[Date],"&gt;="&amp;$C$5,DaybyDay[RowYear],"&gt;="&amp;$C$4,DaybyDay[Date],"&lt;="&amp;DaybyDay[[#This Row],[Date]])</f>
        <v>744405.15160019672</v>
      </c>
      <c r="P1239" s="33">
        <f>SUMIFS(DaybyDay[Retail-Budgets],DaybyDay[Date],"&gt;="&amp;$C$5,DaybyDay[RowYear],"&gt;="&amp;$C$4,DaybyDay[Date],"&lt;="&amp;DaybyDay[[#This Row],[Date]])</f>
        <v>185208.48367093893</v>
      </c>
      <c r="Q1239" s="34">
        <f>SUMIFS(DaybyDay[Service-Actuals],DaybyDay[Date],"&gt;="&amp;$C$5,DaybyDay[RowYear],"&gt;="&amp;$C$4,DaybyDay[Date],"&lt;="&amp;DaybyDay[[#This Row],[Date]])</f>
        <v>385554.23</v>
      </c>
      <c r="R1239" s="34">
        <f>SUMIFS(DaybyDay[Retail-Actuals],DaybyDay[Date],"&gt;="&amp;$C$5,DaybyDay[RowYear],"&gt;="&amp;$C$4,DaybyDay[Date],"&lt;="&amp;DaybyDay[[#This Row],[Date]])</f>
        <v>88360.030000000028</v>
      </c>
      <c r="S1239" s="35">
        <f>SUMIFS(DaybyDay[Service-LY],DaybyDay[Date],"&gt;="&amp;$C$5,DaybyDay[RowYear],"&gt;="&amp;$C$4,DaybyDay[Date],"&lt;="&amp;DaybyDay[[#This Row],[Date]])</f>
        <v>702411.01</v>
      </c>
      <c r="T1239" s="35">
        <f>SUMIFS(DaybyDay[Retail-LY],DaybyDay[Date],"&gt;="&amp;$C$5,DaybyDay[RowYear],"&gt;="&amp;$C$4,DaybyDay[Date],"&lt;="&amp;DaybyDay[[#This Row],[Date]])</f>
        <v>162561.66</v>
      </c>
      <c r="U1239" s="32">
        <f>DaybyDay[[#This Row],[Serv-Bud-RU]]+DaybyDay[[#This Row],[Ret-Bud-RU]]</f>
        <v>929613.63527113572</v>
      </c>
      <c r="V1239" s="32">
        <f>DaybyDay[[#This Row],[Serv-Act-RU]]+DaybyDay[[#This Row],[Ret-Act-RU]]</f>
        <v>473914.26</v>
      </c>
      <c r="W1239" s="36" t="str">
        <f>IF(DaybyDay[[#This Row],[_Space]],IFERROR(
((DaybyDay[[#This Row],[Actual-Rollup]]-DaybyDay[[#This Row],[Budget-Rollup]])/DaybyDay[[#This Row],[Budget-Rollup]]),0),"")</f>
        <v/>
      </c>
      <c r="X1239" t="b">
        <f>NOT(AND(ISBLANK(DaybyDay[[#This Row],[Appts]]),ISBLANK(DaybyDay[[#This Row],[Service-Actuals]]),ISBLANK(DaybyDay[[#This Row],[Retail-Actuals]])))</f>
        <v>0</v>
      </c>
      <c r="Y1239" s="36" t="str">
        <f>IF(DaybyDay[[#This Row],[_Space]],IFERROR(
((DaybyDay[[#This Row],[Actual-Rollup]]-DaybyDay[[#This Row],[LY-Rollup]])/DaybyDay[[#This Row],[LY-Rollup]]),0),"")</f>
        <v/>
      </c>
      <c r="Z1239"/>
      <c r="AA1239" s="37" t="str">
        <f>IF(DaybyDay[[#This Row],[_Space]],DaybyDay[[#This Row],[Ret-Act-RU]]/DaybyDay[[#This Row],[Serv-Act-RU]],"")</f>
        <v/>
      </c>
      <c r="AB1239" s="50" t="str">
        <f>IF(DaybyDay[[#This Row],[_Space]],DaybyDay[[#This Row],[RETPEN-Act]]/DaybyDay[[#This Row],[RETPEN-Bud]],"")</f>
        <v/>
      </c>
      <c r="AC1239" s="37" t="str">
        <f>IF(DaybyDay[[#This Row],[_Space]],DaybyDay[[#This Row],[Ret-Bud-RU]]/DaybyDay[[#This Row],[Serv-Bud-RU]],"")</f>
        <v/>
      </c>
      <c r="AD1239" s="37" t="str">
        <f>IF(DaybyDay[[#This Row],[_Space]],DaybyDay[[#This Row],[Ret-LY-RU]]/DaybyDay[[#This Row],[Serv-LY-RU]],"")</f>
        <v/>
      </c>
      <c r="AE1239" s="30">
        <f>WEEKDAY(DaybyDay[[#This Row],[LY-Date]])</f>
        <v>1</v>
      </c>
      <c r="AF1239" s="38">
        <f>$E$2+_xlfn.DAYS(DaybyDay[[#This Row],[Date]],minDate)</f>
        <v>43604</v>
      </c>
      <c r="AG1239" s="39" cm="1">
        <f t="array" ref="AG1239">IFERROR(INDEX(DaybyDay[],DaybyDay[[#This Row],[FORM_MATCH_HELPER]],8),"")</f>
        <v>41</v>
      </c>
      <c r="AH1239" s="39" cm="1">
        <f t="array" ref="AH1239">IFERROR(INDEX(DaybyDay[],DaybyDay[[#This Row],[FORM_MATCH_HELPER]],10),"")</f>
        <v>7019.4</v>
      </c>
      <c r="AI1239" s="39" cm="1">
        <f t="array" ref="AI1239">IFERROR(INDEX(DaybyDay[],DaybyDay[[#This Row],[FORM_MATCH_HELPER]],12),"")</f>
        <v>1562</v>
      </c>
      <c r="AJ1239" s="32">
        <f>IFERROR(DaybyDay[[#This Row],[Serv-LY-RU]]+DaybyDay[[#This Row],[Ret-LY-RU]],"")</f>
        <v>864972.67</v>
      </c>
      <c r="AK12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861563.32279247127</v>
      </c>
      <c r="AL1239" s="77"/>
      <c r="AM1239" s="40" t="str">
        <f>IF(DaybyDay[[#This Row],[Admin Hours]]&gt;0,DaybyDay[[#This Row],[Admin Hours]]*$AM$2+$AM$3,"")</f>
        <v/>
      </c>
      <c r="AN1239" s="40">
        <f>SUMIFS(DaybyDay[Est-Admin-Payroll],DaybyDay[Date],"&gt;="&amp;$C$5,DaybyDay[RowYear],"&gt;="&amp;$C$4,DaybyDay[Date],"&lt;="&amp;DaybyDay[[#This Row],[Date]])</f>
        <v>13941.779999999997</v>
      </c>
      <c r="AO1239" s="41" t="str">
        <f>IF(AND(DaybyDay[[#This Row],[_Space]],ISNUMBER(DaybyDay[[#This Row],[Admin Hours]])),DaybyDay[[#This Row],[Est-Admin-Payroll]]/(DaybyDay[[#This Row],[Service-Actuals]]+DaybyDay[[#This Row],[Retail-Actuals]]),"")</f>
        <v/>
      </c>
      <c r="AP1239" s="41">
        <f>DaybyDay[[#This Row],[Estimated-Payroll-Rollup]]/DaybyDay[[#This Row],[Simple-Forecast]]</f>
        <v>1.6181956254605116E-2</v>
      </c>
      <c r="AQ12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163508.07895238011</v>
      </c>
      <c r="AR1239" s="77"/>
      <c r="AS1239" s="40" t="str">
        <f>IF(DaybyDay[[#This Row],[Retail Hours]]&gt;0,DaybyDay[[#This Row],[Retail Hours]]*$AS$2,"")</f>
        <v/>
      </c>
      <c r="AT1239" s="40">
        <f>SUMIFS(DaybyDay[Est-Retail-Payroll],DaybyDay[Date],"&gt;="&amp;$C$5,DaybyDay[RowYear],"&gt;="&amp;$C$4,DaybyDay[Date],"&lt;="&amp;DaybyDay[[#This Row],[Date]])</f>
        <v>2627.1</v>
      </c>
      <c r="AU1239" s="82" t="str">
        <f>IF(AND(DaybyDay[[#This Row],[_Space]],ISNUMBER(DaybyDay[[#This Row],[Retail Hours]])),DaybyDay[[#This Row],[Est-Retail-Payroll]]/(DaybyDay[[#This Row],[Retail-Actuals]]),"")</f>
        <v/>
      </c>
      <c r="AV1239" s="82">
        <f>DaybyDay[[#This Row],[Est-Retail-PayrollRU]]/DaybyDay[[#This Row],[Simple-Forecast-Retail]]</f>
        <v>1.6067095992028095E-2</v>
      </c>
      <c r="AW1239" s="8"/>
      <c r="AX1239" s="15"/>
      <c r="AY1239" s="8"/>
    </row>
    <row r="1240" spans="3:51" hidden="1" x14ac:dyDescent="0.25">
      <c r="C1240" s="26" t="str">
        <f>Tools!$C$1</f>
        <v>Example</v>
      </c>
      <c r="D1240" s="27" t="s">
        <v>72</v>
      </c>
      <c r="E1240" s="28">
        <v>2020</v>
      </c>
      <c r="F1240" s="28">
        <f>MATCH(DaybyDay[[#This Row],[RowMonth]],Table3[SummaryMonth],0)</f>
        <v>5</v>
      </c>
      <c r="G1240" s="29">
        <f>MATCH(DaybyDay[[#This Row],[LY-Date]],DaybyDay[Date],0)</f>
        <v>870</v>
      </c>
      <c r="H1240" s="30">
        <f>WEEKDAY(DaybyDay[[#This Row],[Date]])</f>
        <v>2</v>
      </c>
      <c r="I1240" s="31">
        <v>43969</v>
      </c>
      <c r="J1240" s="74"/>
      <c r="K1240" s="32">
        <f>SUMIFS(BudgetSeasonality[365 Seasonality],BudgetSeasonality[MonthAdjustment],DaybyDay[[#This Row],[Date]])*SUMIFS(Budgets[Service-Budget],Budgets[BudgetMonth],DaybyDay[[#This Row],[RowMonth]],Budgets[BudgetYear],DaybyDay[[#This Row],[RowYear]])</f>
        <v>4487.1653872570414</v>
      </c>
      <c r="L1240" s="75"/>
      <c r="M1240" s="32">
        <f>INDEX(BudgetSeasonality[365 Seasonality],MATCH(DaybyDay[[#This Row],[Date]],BudgetSeasonality[MonthAdjustment],0))*SUMIFS(Budgets[Retail-Budget],Budgets[BudgetMonth],DaybyDay[[#This Row],[RowMonth]],Budgets[BudgetYear],DaybyDay[[#This Row],[RowYear]])</f>
        <v>1179.5337103655916</v>
      </c>
      <c r="N1240" s="75"/>
      <c r="O1240" s="33">
        <f>SUMIFS(DaybyDay[Service-Budgets],DaybyDay[Date],"&gt;="&amp;$C$5,DaybyDay[RowYear],"&gt;="&amp;$C$4,DaybyDay[Date],"&lt;="&amp;DaybyDay[[#This Row],[Date]])</f>
        <v>748892.31698745373</v>
      </c>
      <c r="P1240" s="33">
        <f>SUMIFS(DaybyDay[Retail-Budgets],DaybyDay[Date],"&gt;="&amp;$C$5,DaybyDay[RowYear],"&gt;="&amp;$C$4,DaybyDay[Date],"&lt;="&amp;DaybyDay[[#This Row],[Date]])</f>
        <v>186388.01738130453</v>
      </c>
      <c r="Q1240" s="34">
        <f>SUMIFS(DaybyDay[Service-Actuals],DaybyDay[Date],"&gt;="&amp;$C$5,DaybyDay[RowYear],"&gt;="&amp;$C$4,DaybyDay[Date],"&lt;="&amp;DaybyDay[[#This Row],[Date]])</f>
        <v>385554.23</v>
      </c>
      <c r="R1240" s="34">
        <f>SUMIFS(DaybyDay[Retail-Actuals],DaybyDay[Date],"&gt;="&amp;$C$5,DaybyDay[RowYear],"&gt;="&amp;$C$4,DaybyDay[Date],"&lt;="&amp;DaybyDay[[#This Row],[Date]])</f>
        <v>88360.030000000028</v>
      </c>
      <c r="S1240" s="35">
        <f>SUMIFS(DaybyDay[Service-LY],DaybyDay[Date],"&gt;="&amp;$C$5,DaybyDay[RowYear],"&gt;="&amp;$C$4,DaybyDay[Date],"&lt;="&amp;DaybyDay[[#This Row],[Date]])</f>
        <v>707267.81</v>
      </c>
      <c r="T1240" s="35">
        <f>SUMIFS(DaybyDay[Retail-LY],DaybyDay[Date],"&gt;="&amp;$C$5,DaybyDay[RowYear],"&gt;="&amp;$C$4,DaybyDay[Date],"&lt;="&amp;DaybyDay[[#This Row],[Date]])</f>
        <v>163013.66</v>
      </c>
      <c r="U1240" s="32">
        <f>DaybyDay[[#This Row],[Serv-Bud-RU]]+DaybyDay[[#This Row],[Ret-Bud-RU]]</f>
        <v>935280.33436875825</v>
      </c>
      <c r="V1240" s="32">
        <f>DaybyDay[[#This Row],[Serv-Act-RU]]+DaybyDay[[#This Row],[Ret-Act-RU]]</f>
        <v>473914.26</v>
      </c>
      <c r="W1240" s="36" t="str">
        <f>IF(DaybyDay[[#This Row],[_Space]],IFERROR(
((DaybyDay[[#This Row],[Actual-Rollup]]-DaybyDay[[#This Row],[Budget-Rollup]])/DaybyDay[[#This Row],[Budget-Rollup]]),0),"")</f>
        <v/>
      </c>
      <c r="X1240" t="b">
        <f>NOT(AND(ISBLANK(DaybyDay[[#This Row],[Appts]]),ISBLANK(DaybyDay[[#This Row],[Service-Actuals]]),ISBLANK(DaybyDay[[#This Row],[Retail-Actuals]])))</f>
        <v>0</v>
      </c>
      <c r="Y1240" s="36" t="str">
        <f>IF(DaybyDay[[#This Row],[_Space]],IFERROR(
((DaybyDay[[#This Row],[Actual-Rollup]]-DaybyDay[[#This Row],[LY-Rollup]])/DaybyDay[[#This Row],[LY-Rollup]]),0),"")</f>
        <v/>
      </c>
      <c r="Z1240"/>
      <c r="AA1240" s="37" t="str">
        <f>IF(DaybyDay[[#This Row],[_Space]],DaybyDay[[#This Row],[Ret-Act-RU]]/DaybyDay[[#This Row],[Serv-Act-RU]],"")</f>
        <v/>
      </c>
      <c r="AB1240" s="50" t="str">
        <f>IF(DaybyDay[[#This Row],[_Space]],DaybyDay[[#This Row],[RETPEN-Act]]/DaybyDay[[#This Row],[RETPEN-Bud]],"")</f>
        <v/>
      </c>
      <c r="AC1240" s="37" t="str">
        <f>IF(DaybyDay[[#This Row],[_Space]],DaybyDay[[#This Row],[Ret-Bud-RU]]/DaybyDay[[#This Row],[Serv-Bud-RU]],"")</f>
        <v/>
      </c>
      <c r="AD1240" s="37" t="str">
        <f>IF(DaybyDay[[#This Row],[_Space]],DaybyDay[[#This Row],[Ret-LY-RU]]/DaybyDay[[#This Row],[Serv-LY-RU]],"")</f>
        <v/>
      </c>
      <c r="AE1240" s="30">
        <f>WEEKDAY(DaybyDay[[#This Row],[LY-Date]])</f>
        <v>2</v>
      </c>
      <c r="AF1240" s="38">
        <f>$E$2+_xlfn.DAYS(DaybyDay[[#This Row],[Date]],minDate)</f>
        <v>43605</v>
      </c>
      <c r="AG1240" s="39" cm="1">
        <f t="array" ref="AG1240">IFERROR(INDEX(DaybyDay[],DaybyDay[[#This Row],[FORM_MATCH_HELPER]],8),"")</f>
        <v>21</v>
      </c>
      <c r="AH1240" s="39" cm="1">
        <f t="array" ref="AH1240">IFERROR(INDEX(DaybyDay[],DaybyDay[[#This Row],[FORM_MATCH_HELPER]],10),"")</f>
        <v>4856.8</v>
      </c>
      <c r="AI1240" s="39" cm="1">
        <f t="array" ref="AI1240">IFERROR(INDEX(DaybyDay[],DaybyDay[[#This Row],[FORM_MATCH_HELPER]],12),"")</f>
        <v>452</v>
      </c>
      <c r="AJ1240" s="32">
        <f>IFERROR(DaybyDay[[#This Row],[Serv-LY-RU]]+DaybyDay[[#This Row],[Ret-LY-RU]],"")</f>
        <v>870281.47000000009</v>
      </c>
      <c r="AK12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866591.14838753827</v>
      </c>
      <c r="AL1240" s="77"/>
      <c r="AM1240" s="40" t="str">
        <f>IF(DaybyDay[[#This Row],[Admin Hours]]&gt;0,DaybyDay[[#This Row],[Admin Hours]]*$AM$2+$AM$3,"")</f>
        <v/>
      </c>
      <c r="AN1240" s="40">
        <f>SUMIFS(DaybyDay[Est-Admin-Payroll],DaybyDay[Date],"&gt;="&amp;$C$5,DaybyDay[RowYear],"&gt;="&amp;$C$4,DaybyDay[Date],"&lt;="&amp;DaybyDay[[#This Row],[Date]])</f>
        <v>13941.779999999997</v>
      </c>
      <c r="AO1240" s="41" t="str">
        <f>IF(AND(DaybyDay[[#This Row],[_Space]],ISNUMBER(DaybyDay[[#This Row],[Admin Hours]])),DaybyDay[[#This Row],[Est-Admin-Payroll]]/(DaybyDay[[#This Row],[Service-Actuals]]+DaybyDay[[#This Row],[Retail-Actuals]]),"")</f>
        <v/>
      </c>
      <c r="AP1240" s="41">
        <f>DaybyDay[[#This Row],[Estimated-Payroll-Rollup]]/DaybyDay[[#This Row],[Simple-Forecast]]</f>
        <v>1.6088071088588195E-2</v>
      </c>
      <c r="AQ12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164232.65483161088</v>
      </c>
      <c r="AR1240" s="77"/>
      <c r="AS1240" s="40" t="str">
        <f>IF(DaybyDay[[#This Row],[Retail Hours]]&gt;0,DaybyDay[[#This Row],[Retail Hours]]*$AS$2,"")</f>
        <v/>
      </c>
      <c r="AT1240" s="40">
        <f>SUMIFS(DaybyDay[Est-Retail-Payroll],DaybyDay[Date],"&gt;="&amp;$C$5,DaybyDay[RowYear],"&gt;="&amp;$C$4,DaybyDay[Date],"&lt;="&amp;DaybyDay[[#This Row],[Date]])</f>
        <v>2627.1</v>
      </c>
      <c r="AU1240" s="82" t="str">
        <f>IF(AND(DaybyDay[[#This Row],[_Space]],ISNUMBER(DaybyDay[[#This Row],[Retail Hours]])),DaybyDay[[#This Row],[Est-Retail-Payroll]]/(DaybyDay[[#This Row],[Retail-Actuals]]),"")</f>
        <v/>
      </c>
      <c r="AV1240" s="82">
        <f>DaybyDay[[#This Row],[Est-Retail-PayrollRU]]/DaybyDay[[#This Row],[Simple-Forecast-Retail]]</f>
        <v>1.5996209783575549E-2</v>
      </c>
      <c r="AW1240" s="8"/>
      <c r="AX1240" s="15"/>
      <c r="AY1240" s="8"/>
    </row>
    <row r="1241" spans="3:51" hidden="1" x14ac:dyDescent="0.25">
      <c r="C1241" s="26" t="str">
        <f>Tools!$C$1</f>
        <v>Example</v>
      </c>
      <c r="D1241" s="27" t="s">
        <v>72</v>
      </c>
      <c r="E1241" s="28">
        <v>2020</v>
      </c>
      <c r="F1241" s="28">
        <f>MATCH(DaybyDay[[#This Row],[RowMonth]],Table3[SummaryMonth],0)</f>
        <v>5</v>
      </c>
      <c r="G1241" s="29">
        <f>MATCH(DaybyDay[[#This Row],[LY-Date]],DaybyDay[Date],0)</f>
        <v>871</v>
      </c>
      <c r="H1241" s="30">
        <f>WEEKDAY(DaybyDay[[#This Row],[Date]])</f>
        <v>3</v>
      </c>
      <c r="I1241" s="31">
        <v>43970</v>
      </c>
      <c r="J1241" s="74"/>
      <c r="K1241" s="32">
        <f>SUMIFS(BudgetSeasonality[365 Seasonality],BudgetSeasonality[MonthAdjustment],DaybyDay[[#This Row],[Date]])*SUMIFS(Budgets[Service-Budget],Budgets[BudgetMonth],DaybyDay[[#This Row],[RowMonth]],Budgets[BudgetYear],DaybyDay[[#This Row],[RowYear]])</f>
        <v>4586.3003400726766</v>
      </c>
      <c r="L1241" s="75"/>
      <c r="M1241" s="32">
        <f>INDEX(BudgetSeasonality[365 Seasonality],MATCH(DaybyDay[[#This Row],[Date]],BudgetSeasonality[MonthAdjustment],0))*SUMIFS(Budgets[Retail-Budget],Budgets[BudgetMonth],DaybyDay[[#This Row],[RowMonth]],Budgets[BudgetYear],DaybyDay[[#This Row],[RowYear]])</f>
        <v>1205.5931507092923</v>
      </c>
      <c r="N1241" s="75"/>
      <c r="O1241" s="33">
        <f>SUMIFS(DaybyDay[Service-Budgets],DaybyDay[Date],"&gt;="&amp;$C$5,DaybyDay[RowYear],"&gt;="&amp;$C$4,DaybyDay[Date],"&lt;="&amp;DaybyDay[[#This Row],[Date]])</f>
        <v>753478.61732752644</v>
      </c>
      <c r="P1241" s="33">
        <f>SUMIFS(DaybyDay[Retail-Budgets],DaybyDay[Date],"&gt;="&amp;$C$5,DaybyDay[RowYear],"&gt;="&amp;$C$4,DaybyDay[Date],"&lt;="&amp;DaybyDay[[#This Row],[Date]])</f>
        <v>187593.61053201382</v>
      </c>
      <c r="Q1241" s="34">
        <f>SUMIFS(DaybyDay[Service-Actuals],DaybyDay[Date],"&gt;="&amp;$C$5,DaybyDay[RowYear],"&gt;="&amp;$C$4,DaybyDay[Date],"&lt;="&amp;DaybyDay[[#This Row],[Date]])</f>
        <v>385554.23</v>
      </c>
      <c r="R1241" s="34">
        <f>SUMIFS(DaybyDay[Retail-Actuals],DaybyDay[Date],"&gt;="&amp;$C$5,DaybyDay[RowYear],"&gt;="&amp;$C$4,DaybyDay[Date],"&lt;="&amp;DaybyDay[[#This Row],[Date]])</f>
        <v>88360.030000000028</v>
      </c>
      <c r="S1241" s="35">
        <f>SUMIFS(DaybyDay[Service-LY],DaybyDay[Date],"&gt;="&amp;$C$5,DaybyDay[RowYear],"&gt;="&amp;$C$4,DaybyDay[Date],"&lt;="&amp;DaybyDay[[#This Row],[Date]])</f>
        <v>709636.29</v>
      </c>
      <c r="T1241" s="35">
        <f>SUMIFS(DaybyDay[Retail-LY],DaybyDay[Date],"&gt;="&amp;$C$5,DaybyDay[RowYear],"&gt;="&amp;$C$4,DaybyDay[Date],"&lt;="&amp;DaybyDay[[#This Row],[Date]])</f>
        <v>163584.11000000002</v>
      </c>
      <c r="U1241" s="32">
        <f>DaybyDay[[#This Row],[Serv-Bud-RU]]+DaybyDay[[#This Row],[Ret-Bud-RU]]</f>
        <v>941072.22785954026</v>
      </c>
      <c r="V1241" s="32">
        <f>DaybyDay[[#This Row],[Serv-Act-RU]]+DaybyDay[[#This Row],[Ret-Act-RU]]</f>
        <v>473914.26</v>
      </c>
      <c r="W1241" s="36" t="str">
        <f>IF(DaybyDay[[#This Row],[_Space]],IFERROR(
((DaybyDay[[#This Row],[Actual-Rollup]]-DaybyDay[[#This Row],[Budget-Rollup]])/DaybyDay[[#This Row],[Budget-Rollup]]),0),"")</f>
        <v/>
      </c>
      <c r="X1241" t="b">
        <f>NOT(AND(ISBLANK(DaybyDay[[#This Row],[Appts]]),ISBLANK(DaybyDay[[#This Row],[Service-Actuals]]),ISBLANK(DaybyDay[[#This Row],[Retail-Actuals]])))</f>
        <v>0</v>
      </c>
      <c r="Y1241" s="36" t="str">
        <f>IF(DaybyDay[[#This Row],[_Space]],IFERROR(
((DaybyDay[[#This Row],[Actual-Rollup]]-DaybyDay[[#This Row],[LY-Rollup]])/DaybyDay[[#This Row],[LY-Rollup]]),0),"")</f>
        <v/>
      </c>
      <c r="Z1241"/>
      <c r="AA1241" s="37" t="str">
        <f>IF(DaybyDay[[#This Row],[_Space]],DaybyDay[[#This Row],[Ret-Act-RU]]/DaybyDay[[#This Row],[Serv-Act-RU]],"")</f>
        <v/>
      </c>
      <c r="AB1241" s="50" t="str">
        <f>IF(DaybyDay[[#This Row],[_Space]],DaybyDay[[#This Row],[RETPEN-Act]]/DaybyDay[[#This Row],[RETPEN-Bud]],"")</f>
        <v/>
      </c>
      <c r="AC1241" s="37" t="str">
        <f>IF(DaybyDay[[#This Row],[_Space]],DaybyDay[[#This Row],[Ret-Bud-RU]]/DaybyDay[[#This Row],[Serv-Bud-RU]],"")</f>
        <v/>
      </c>
      <c r="AD1241" s="37" t="str">
        <f>IF(DaybyDay[[#This Row],[_Space]],DaybyDay[[#This Row],[Ret-LY-RU]]/DaybyDay[[#This Row],[Serv-LY-RU]],"")</f>
        <v/>
      </c>
      <c r="AE1241" s="30">
        <f>WEEKDAY(DaybyDay[[#This Row],[LY-Date]])</f>
        <v>3</v>
      </c>
      <c r="AF1241" s="38">
        <f>$E$2+_xlfn.DAYS(DaybyDay[[#This Row],[Date]],minDate)</f>
        <v>43606</v>
      </c>
      <c r="AG1241" s="39" cm="1">
        <f t="array" ref="AG1241">IFERROR(INDEX(DaybyDay[],DaybyDay[[#This Row],[FORM_MATCH_HELPER]],8),"")</f>
        <v>12</v>
      </c>
      <c r="AH1241" s="39" cm="1">
        <f t="array" ref="AH1241">IFERROR(INDEX(DaybyDay[],DaybyDay[[#This Row],[FORM_MATCH_HELPER]],10),"")</f>
        <v>2368.4799999999996</v>
      </c>
      <c r="AI1241" s="39" cm="1">
        <f t="array" ref="AI1241">IFERROR(INDEX(DaybyDay[],DaybyDay[[#This Row],[FORM_MATCH_HELPER]],12),"")</f>
        <v>570.45000000000005</v>
      </c>
      <c r="AJ1241" s="32">
        <f>IFERROR(DaybyDay[[#This Row],[Serv-LY-RU]]+DaybyDay[[#This Row],[Ret-LY-RU]],"")</f>
        <v>873220.4</v>
      </c>
      <c r="AK12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870503.77768532163</v>
      </c>
      <c r="AL1241" s="77"/>
      <c r="AM1241" s="40" t="str">
        <f>IF(DaybyDay[[#This Row],[Admin Hours]]&gt;0,DaybyDay[[#This Row],[Admin Hours]]*$AM$2+$AM$3,"")</f>
        <v/>
      </c>
      <c r="AN1241" s="40">
        <f>SUMIFS(DaybyDay[Est-Admin-Payroll],DaybyDay[Date],"&gt;="&amp;$C$5,DaybyDay[RowYear],"&gt;="&amp;$C$4,DaybyDay[Date],"&lt;="&amp;DaybyDay[[#This Row],[Date]])</f>
        <v>13941.779999999997</v>
      </c>
      <c r="AO1241" s="41" t="str">
        <f>IF(AND(DaybyDay[[#This Row],[_Space]],ISNUMBER(DaybyDay[[#This Row],[Admin Hours]])),DaybyDay[[#This Row],[Est-Admin-Payroll]]/(DaybyDay[[#This Row],[Service-Actuals]]+DaybyDay[[#This Row],[Retail-Actuals]]),"")</f>
        <v/>
      </c>
      <c r="AP1241" s="41">
        <f>DaybyDay[[#This Row],[Estimated-Payroll-Rollup]]/DaybyDay[[#This Row],[Simple-Forecast]]</f>
        <v>1.6015760479605651E-2</v>
      </c>
      <c r="AQ12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165026.71618866909</v>
      </c>
      <c r="AR1241" s="77"/>
      <c r="AS1241" s="40" t="str">
        <f>IF(DaybyDay[[#This Row],[Retail Hours]]&gt;0,DaybyDay[[#This Row],[Retail Hours]]*$AS$2,"")</f>
        <v/>
      </c>
      <c r="AT1241" s="40">
        <f>SUMIFS(DaybyDay[Est-Retail-Payroll],DaybyDay[Date],"&gt;="&amp;$C$5,DaybyDay[RowYear],"&gt;="&amp;$C$4,DaybyDay[Date],"&lt;="&amp;DaybyDay[[#This Row],[Date]])</f>
        <v>2627.1</v>
      </c>
      <c r="AU1241" s="82" t="str">
        <f>IF(AND(DaybyDay[[#This Row],[_Space]],ISNUMBER(DaybyDay[[#This Row],[Retail Hours]])),DaybyDay[[#This Row],[Est-Retail-Payroll]]/(DaybyDay[[#This Row],[Retail-Actuals]]),"")</f>
        <v/>
      </c>
      <c r="AV1241" s="82">
        <f>DaybyDay[[#This Row],[Est-Retail-PayrollRU]]/DaybyDay[[#This Row],[Simple-Forecast-Retail]]</f>
        <v>1.5919240597362012E-2</v>
      </c>
      <c r="AW1241" s="8"/>
      <c r="AX1241" s="15"/>
      <c r="AY1241" s="8"/>
    </row>
    <row r="1242" spans="3:51" hidden="1" x14ac:dyDescent="0.25">
      <c r="C1242" s="26" t="str">
        <f>Tools!$C$1</f>
        <v>Example</v>
      </c>
      <c r="D1242" s="27" t="s">
        <v>72</v>
      </c>
      <c r="E1242" s="28">
        <v>2020</v>
      </c>
      <c r="F1242" s="28">
        <f>MATCH(DaybyDay[[#This Row],[RowMonth]],Table3[SummaryMonth],0)</f>
        <v>5</v>
      </c>
      <c r="G1242" s="29">
        <f>MATCH(DaybyDay[[#This Row],[LY-Date]],DaybyDay[Date],0)</f>
        <v>872</v>
      </c>
      <c r="H1242" s="30">
        <f>WEEKDAY(DaybyDay[[#This Row],[Date]])</f>
        <v>4</v>
      </c>
      <c r="I1242" s="31">
        <v>43971</v>
      </c>
      <c r="J1242" s="74"/>
      <c r="K1242" s="32">
        <f>SUMIFS(BudgetSeasonality[365 Seasonality],BudgetSeasonality[MonthAdjustment],DaybyDay[[#This Row],[Date]])*SUMIFS(Budgets[Service-Budget],Budgets[BudgetMonth],DaybyDay[[#This Row],[RowMonth]],Budgets[BudgetYear],DaybyDay[[#This Row],[RowYear]])</f>
        <v>5186.4734046627436</v>
      </c>
      <c r="L1242" s="75"/>
      <c r="M1242" s="32">
        <f>INDEX(BudgetSeasonality[365 Seasonality],MATCH(DaybyDay[[#This Row],[Date]],BudgetSeasonality[MonthAdjustment],0))*SUMIFS(Budgets[Retail-Budget],Budgets[BudgetMonth],DaybyDay[[#This Row],[RowMonth]],Budgets[BudgetYear],DaybyDay[[#This Row],[RowYear]])</f>
        <v>1363.3596470697387</v>
      </c>
      <c r="N1242" s="75"/>
      <c r="O1242" s="33">
        <f>SUMIFS(DaybyDay[Service-Budgets],DaybyDay[Date],"&gt;="&amp;$C$5,DaybyDay[RowYear],"&gt;="&amp;$C$4,DaybyDay[Date],"&lt;="&amp;DaybyDay[[#This Row],[Date]])</f>
        <v>758665.09073218924</v>
      </c>
      <c r="P1242" s="33">
        <f>SUMIFS(DaybyDay[Retail-Budgets],DaybyDay[Date],"&gt;="&amp;$C$5,DaybyDay[RowYear],"&gt;="&amp;$C$4,DaybyDay[Date],"&lt;="&amp;DaybyDay[[#This Row],[Date]])</f>
        <v>188956.97017908355</v>
      </c>
      <c r="Q1242" s="34">
        <f>SUMIFS(DaybyDay[Service-Actuals],DaybyDay[Date],"&gt;="&amp;$C$5,DaybyDay[RowYear],"&gt;="&amp;$C$4,DaybyDay[Date],"&lt;="&amp;DaybyDay[[#This Row],[Date]])</f>
        <v>385554.23</v>
      </c>
      <c r="R1242" s="34">
        <f>SUMIFS(DaybyDay[Retail-Actuals],DaybyDay[Date],"&gt;="&amp;$C$5,DaybyDay[RowYear],"&gt;="&amp;$C$4,DaybyDay[Date],"&lt;="&amp;DaybyDay[[#This Row],[Date]])</f>
        <v>88360.030000000028</v>
      </c>
      <c r="S1242" s="35">
        <f>SUMIFS(DaybyDay[Service-LY],DaybyDay[Date],"&gt;="&amp;$C$5,DaybyDay[RowYear],"&gt;="&amp;$C$4,DaybyDay[Date],"&lt;="&amp;DaybyDay[[#This Row],[Date]])</f>
        <v>714226.66</v>
      </c>
      <c r="T1242" s="35">
        <f>SUMIFS(DaybyDay[Retail-LY],DaybyDay[Date],"&gt;="&amp;$C$5,DaybyDay[RowYear],"&gt;="&amp;$C$4,DaybyDay[Date],"&lt;="&amp;DaybyDay[[#This Row],[Date]])</f>
        <v>164553.51</v>
      </c>
      <c r="U1242" s="32">
        <f>DaybyDay[[#This Row],[Serv-Bud-RU]]+DaybyDay[[#This Row],[Ret-Bud-RU]]</f>
        <v>947622.06091127277</v>
      </c>
      <c r="V1242" s="32">
        <f>DaybyDay[[#This Row],[Serv-Act-RU]]+DaybyDay[[#This Row],[Ret-Act-RU]]</f>
        <v>473914.26</v>
      </c>
      <c r="W1242" s="36" t="str">
        <f>IF(DaybyDay[[#This Row],[_Space]],IFERROR(
((DaybyDay[[#This Row],[Actual-Rollup]]-DaybyDay[[#This Row],[Budget-Rollup]])/DaybyDay[[#This Row],[Budget-Rollup]]),0),"")</f>
        <v/>
      </c>
      <c r="X1242" t="b">
        <f>NOT(AND(ISBLANK(DaybyDay[[#This Row],[Appts]]),ISBLANK(DaybyDay[[#This Row],[Service-Actuals]]),ISBLANK(DaybyDay[[#This Row],[Retail-Actuals]])))</f>
        <v>0</v>
      </c>
      <c r="Y1242" s="36" t="str">
        <f>IF(DaybyDay[[#This Row],[_Space]],IFERROR(
((DaybyDay[[#This Row],[Actual-Rollup]]-DaybyDay[[#This Row],[LY-Rollup]])/DaybyDay[[#This Row],[LY-Rollup]]),0),"")</f>
        <v/>
      </c>
      <c r="Z1242"/>
      <c r="AA1242" s="37" t="str">
        <f>IF(DaybyDay[[#This Row],[_Space]],DaybyDay[[#This Row],[Ret-Act-RU]]/DaybyDay[[#This Row],[Serv-Act-RU]],"")</f>
        <v/>
      </c>
      <c r="AB1242" s="50" t="str">
        <f>IF(DaybyDay[[#This Row],[_Space]],DaybyDay[[#This Row],[RETPEN-Act]]/DaybyDay[[#This Row],[RETPEN-Bud]],"")</f>
        <v/>
      </c>
      <c r="AC1242" s="37" t="str">
        <f>IF(DaybyDay[[#This Row],[_Space]],DaybyDay[[#This Row],[Ret-Bud-RU]]/DaybyDay[[#This Row],[Serv-Bud-RU]],"")</f>
        <v/>
      </c>
      <c r="AD1242" s="37" t="str">
        <f>IF(DaybyDay[[#This Row],[_Space]],DaybyDay[[#This Row],[Ret-LY-RU]]/DaybyDay[[#This Row],[Serv-LY-RU]],"")</f>
        <v/>
      </c>
      <c r="AE1242" s="30">
        <f>WEEKDAY(DaybyDay[[#This Row],[LY-Date]])</f>
        <v>4</v>
      </c>
      <c r="AF1242" s="38">
        <f>$E$2+_xlfn.DAYS(DaybyDay[[#This Row],[Date]],minDate)</f>
        <v>43607</v>
      </c>
      <c r="AG1242" s="39" cm="1">
        <f t="array" ref="AG1242">IFERROR(INDEX(DaybyDay[],DaybyDay[[#This Row],[FORM_MATCH_HELPER]],8),"")</f>
        <v>22</v>
      </c>
      <c r="AH1242" s="39" cm="1">
        <f t="array" ref="AH1242">IFERROR(INDEX(DaybyDay[],DaybyDay[[#This Row],[FORM_MATCH_HELPER]],10),"")</f>
        <v>4590.3700000000008</v>
      </c>
      <c r="AI1242" s="39" cm="1">
        <f t="array" ref="AI1242">IFERROR(INDEX(DaybyDay[],DaybyDay[[#This Row],[FORM_MATCH_HELPER]],12),"")</f>
        <v>969.4</v>
      </c>
      <c r="AJ1242" s="32">
        <f>IFERROR(DaybyDay[[#This Row],[Serv-LY-RU]]+DaybyDay[[#This Row],[Ret-LY-RU]],"")</f>
        <v>878780.17</v>
      </c>
      <c r="AK12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876030.98761747358</v>
      </c>
      <c r="AL1242" s="77"/>
      <c r="AM1242" s="40" t="str">
        <f>IF(DaybyDay[[#This Row],[Admin Hours]]&gt;0,DaybyDay[[#This Row],[Admin Hours]]*$AM$2+$AM$3,"")</f>
        <v/>
      </c>
      <c r="AN1242" s="40">
        <f>SUMIFS(DaybyDay[Est-Admin-Payroll],DaybyDay[Date],"&gt;="&amp;$C$5,DaybyDay[RowYear],"&gt;="&amp;$C$4,DaybyDay[Date],"&lt;="&amp;DaybyDay[[#This Row],[Date]])</f>
        <v>13941.779999999997</v>
      </c>
      <c r="AO1242" s="41" t="str">
        <f>IF(AND(DaybyDay[[#This Row],[_Space]],ISNUMBER(DaybyDay[[#This Row],[Admin Hours]])),DaybyDay[[#This Row],[Est-Admin-Payroll]]/(DaybyDay[[#This Row],[Service-Actuals]]+DaybyDay[[#This Row],[Retail-Actuals]]),"")</f>
        <v/>
      </c>
      <c r="AP1242" s="41">
        <f>DaybyDay[[#This Row],[Estimated-Payroll-Rollup]]/DaybyDay[[#This Row],[Simple-Forecast]]</f>
        <v>1.5914711005734189E-2</v>
      </c>
      <c r="AQ12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166084.58387723489</v>
      </c>
      <c r="AR1242" s="77"/>
      <c r="AS1242" s="40" t="str">
        <f>IF(DaybyDay[[#This Row],[Retail Hours]]&gt;0,DaybyDay[[#This Row],[Retail Hours]]*$AS$2,"")</f>
        <v/>
      </c>
      <c r="AT1242" s="40">
        <f>SUMIFS(DaybyDay[Est-Retail-Payroll],DaybyDay[Date],"&gt;="&amp;$C$5,DaybyDay[RowYear],"&gt;="&amp;$C$4,DaybyDay[Date],"&lt;="&amp;DaybyDay[[#This Row],[Date]])</f>
        <v>2627.1</v>
      </c>
      <c r="AU1242" s="82" t="str">
        <f>IF(AND(DaybyDay[[#This Row],[_Space]],ISNUMBER(DaybyDay[[#This Row],[Retail Hours]])),DaybyDay[[#This Row],[Est-Retail-Payroll]]/(DaybyDay[[#This Row],[Retail-Actuals]]),"")</f>
        <v/>
      </c>
      <c r="AV1242" s="82">
        <f>DaybyDay[[#This Row],[Est-Retail-PayrollRU]]/DaybyDay[[#This Row],[Simple-Forecast-Retail]]</f>
        <v>1.5817843767738728E-2</v>
      </c>
      <c r="AW1242" s="8"/>
      <c r="AX1242" s="15"/>
      <c r="AY1242" s="8"/>
    </row>
    <row r="1243" spans="3:51" hidden="1" x14ac:dyDescent="0.25">
      <c r="C1243" s="26" t="str">
        <f>Tools!$C$1</f>
        <v>Example</v>
      </c>
      <c r="D1243" s="27" t="s">
        <v>72</v>
      </c>
      <c r="E1243" s="28">
        <v>2020</v>
      </c>
      <c r="F1243" s="28">
        <f>MATCH(DaybyDay[[#This Row],[RowMonth]],Table3[SummaryMonth],0)</f>
        <v>5</v>
      </c>
      <c r="G1243" s="29">
        <f>MATCH(DaybyDay[[#This Row],[LY-Date]],DaybyDay[Date],0)</f>
        <v>873</v>
      </c>
      <c r="H1243" s="30">
        <f>WEEKDAY(DaybyDay[[#This Row],[Date]])</f>
        <v>5</v>
      </c>
      <c r="I1243" s="31">
        <v>43972</v>
      </c>
      <c r="J1243" s="74"/>
      <c r="K1243" s="32">
        <f>SUMIFS(BudgetSeasonality[365 Seasonality],BudgetSeasonality[MonthAdjustment],DaybyDay[[#This Row],[Date]])*SUMIFS(Budgets[Service-Budget],Budgets[BudgetMonth],DaybyDay[[#This Row],[RowMonth]],Budgets[BudgetYear],DaybyDay[[#This Row],[RowYear]])</f>
        <v>5268.3294533945818</v>
      </c>
      <c r="L1243" s="75"/>
      <c r="M1243" s="32">
        <f>INDEX(BudgetSeasonality[365 Seasonality],MATCH(DaybyDay[[#This Row],[Date]],BudgetSeasonality[MonthAdjustment],0))*SUMIFS(Budgets[Retail-Budget],Budgets[BudgetMonth],DaybyDay[[#This Row],[RowMonth]],Budgets[BudgetYear],DaybyDay[[#This Row],[RowYear]])</f>
        <v>1384.8770106041266</v>
      </c>
      <c r="N1243" s="75"/>
      <c r="O1243" s="33">
        <f>SUMIFS(DaybyDay[Service-Budgets],DaybyDay[Date],"&gt;="&amp;$C$5,DaybyDay[RowYear],"&gt;="&amp;$C$4,DaybyDay[Date],"&lt;="&amp;DaybyDay[[#This Row],[Date]])</f>
        <v>763933.42018558388</v>
      </c>
      <c r="P1243" s="33">
        <f>SUMIFS(DaybyDay[Retail-Budgets],DaybyDay[Date],"&gt;="&amp;$C$5,DaybyDay[RowYear],"&gt;="&amp;$C$4,DaybyDay[Date],"&lt;="&amp;DaybyDay[[#This Row],[Date]])</f>
        <v>190341.84718968769</v>
      </c>
      <c r="Q1243" s="34">
        <f>SUMIFS(DaybyDay[Service-Actuals],DaybyDay[Date],"&gt;="&amp;$C$5,DaybyDay[RowYear],"&gt;="&amp;$C$4,DaybyDay[Date],"&lt;="&amp;DaybyDay[[#This Row],[Date]])</f>
        <v>385554.23</v>
      </c>
      <c r="R1243" s="34">
        <f>SUMIFS(DaybyDay[Retail-Actuals],DaybyDay[Date],"&gt;="&amp;$C$5,DaybyDay[RowYear],"&gt;="&amp;$C$4,DaybyDay[Date],"&lt;="&amp;DaybyDay[[#This Row],[Date]])</f>
        <v>88360.030000000028</v>
      </c>
      <c r="S1243" s="35">
        <f>SUMIFS(DaybyDay[Service-LY],DaybyDay[Date],"&gt;="&amp;$C$5,DaybyDay[RowYear],"&gt;="&amp;$C$4,DaybyDay[Date],"&lt;="&amp;DaybyDay[[#This Row],[Date]])</f>
        <v>718983.56</v>
      </c>
      <c r="T1243" s="35">
        <f>SUMIFS(DaybyDay[Retail-LY],DaybyDay[Date],"&gt;="&amp;$C$5,DaybyDay[RowYear],"&gt;="&amp;$C$4,DaybyDay[Date],"&lt;="&amp;DaybyDay[[#This Row],[Date]])</f>
        <v>165843.31</v>
      </c>
      <c r="U1243" s="32">
        <f>DaybyDay[[#This Row],[Serv-Bud-RU]]+DaybyDay[[#This Row],[Ret-Bud-RU]]</f>
        <v>954275.26737527153</v>
      </c>
      <c r="V1243" s="32">
        <f>DaybyDay[[#This Row],[Serv-Act-RU]]+DaybyDay[[#This Row],[Ret-Act-RU]]</f>
        <v>473914.26</v>
      </c>
      <c r="W1243" s="36" t="str">
        <f>IF(DaybyDay[[#This Row],[_Space]],IFERROR(
((DaybyDay[[#This Row],[Actual-Rollup]]-DaybyDay[[#This Row],[Budget-Rollup]])/DaybyDay[[#This Row],[Budget-Rollup]]),0),"")</f>
        <v/>
      </c>
      <c r="X1243" t="b">
        <f>NOT(AND(ISBLANK(DaybyDay[[#This Row],[Appts]]),ISBLANK(DaybyDay[[#This Row],[Service-Actuals]]),ISBLANK(DaybyDay[[#This Row],[Retail-Actuals]])))</f>
        <v>0</v>
      </c>
      <c r="Y1243" s="36" t="str">
        <f>IF(DaybyDay[[#This Row],[_Space]],IFERROR(
((DaybyDay[[#This Row],[Actual-Rollup]]-DaybyDay[[#This Row],[LY-Rollup]])/DaybyDay[[#This Row],[LY-Rollup]]),0),"")</f>
        <v/>
      </c>
      <c r="Z1243"/>
      <c r="AA1243" s="37" t="str">
        <f>IF(DaybyDay[[#This Row],[_Space]],DaybyDay[[#This Row],[Ret-Act-RU]]/DaybyDay[[#This Row],[Serv-Act-RU]],"")</f>
        <v/>
      </c>
      <c r="AB1243" s="50" t="str">
        <f>IF(DaybyDay[[#This Row],[_Space]],DaybyDay[[#This Row],[RETPEN-Act]]/DaybyDay[[#This Row],[RETPEN-Bud]],"")</f>
        <v/>
      </c>
      <c r="AC1243" s="37" t="str">
        <f>IF(DaybyDay[[#This Row],[_Space]],DaybyDay[[#This Row],[Ret-Bud-RU]]/DaybyDay[[#This Row],[Serv-Bud-RU]],"")</f>
        <v/>
      </c>
      <c r="AD1243" s="37" t="str">
        <f>IF(DaybyDay[[#This Row],[_Space]],DaybyDay[[#This Row],[Ret-LY-RU]]/DaybyDay[[#This Row],[Serv-LY-RU]],"")</f>
        <v/>
      </c>
      <c r="AE1243" s="30">
        <f>WEEKDAY(DaybyDay[[#This Row],[LY-Date]])</f>
        <v>5</v>
      </c>
      <c r="AF1243" s="38">
        <f>$E$2+_xlfn.DAYS(DaybyDay[[#This Row],[Date]],minDate)</f>
        <v>43608</v>
      </c>
      <c r="AG1243" s="39" cm="1">
        <f t="array" ref="AG1243">IFERROR(INDEX(DaybyDay[],DaybyDay[[#This Row],[FORM_MATCH_HELPER]],8),"")</f>
        <v>19</v>
      </c>
      <c r="AH1243" s="39" cm="1">
        <f t="array" ref="AH1243">IFERROR(INDEX(DaybyDay[],DaybyDay[[#This Row],[FORM_MATCH_HELPER]],10),"")</f>
        <v>4756.8999999999996</v>
      </c>
      <c r="AI1243" s="39" cm="1">
        <f t="array" ref="AI1243">IFERROR(INDEX(DaybyDay[],DaybyDay[[#This Row],[FORM_MATCH_HELPER]],12),"")</f>
        <v>1289.8</v>
      </c>
      <c r="AJ1243" s="32">
        <f>IFERROR(DaybyDay[[#This Row],[Serv-LY-RU]]+DaybyDay[[#This Row],[Ret-LY-RU]],"")</f>
        <v>884826.87000000011</v>
      </c>
      <c r="AK12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881842.24546335533</v>
      </c>
      <c r="AL1243" s="77"/>
      <c r="AM1243" s="40" t="str">
        <f>IF(DaybyDay[[#This Row],[Admin Hours]]&gt;0,DaybyDay[[#This Row],[Admin Hours]]*$AM$2+$AM$3,"")</f>
        <v/>
      </c>
      <c r="AN1243" s="40">
        <f>SUMIFS(DaybyDay[Est-Admin-Payroll],DaybyDay[Date],"&gt;="&amp;$C$5,DaybyDay[RowYear],"&gt;="&amp;$C$4,DaybyDay[Date],"&lt;="&amp;DaybyDay[[#This Row],[Date]])</f>
        <v>13941.779999999997</v>
      </c>
      <c r="AO1243" s="41" t="str">
        <f>IF(AND(DaybyDay[[#This Row],[_Space]],ISNUMBER(DaybyDay[[#This Row],[Admin Hours]])),DaybyDay[[#This Row],[Est-Admin-Payroll]]/(DaybyDay[[#This Row],[Service-Actuals]]+DaybyDay[[#This Row],[Retail-Actuals]]),"")</f>
        <v/>
      </c>
      <c r="AP1243" s="41">
        <f>DaybyDay[[#This Row],[Estimated-Payroll-Rollup]]/DaybyDay[[#This Row],[Simple-Forecast]]</f>
        <v>1.5809834550027057E-2</v>
      </c>
      <c r="AQ12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167309.57512762252</v>
      </c>
      <c r="AR1243" s="77"/>
      <c r="AS1243" s="40" t="str">
        <f>IF(DaybyDay[[#This Row],[Retail Hours]]&gt;0,DaybyDay[[#This Row],[Retail Hours]]*$AS$2,"")</f>
        <v/>
      </c>
      <c r="AT1243" s="40">
        <f>SUMIFS(DaybyDay[Est-Retail-Payroll],DaybyDay[Date],"&gt;="&amp;$C$5,DaybyDay[RowYear],"&gt;="&amp;$C$4,DaybyDay[Date],"&lt;="&amp;DaybyDay[[#This Row],[Date]])</f>
        <v>2627.1</v>
      </c>
      <c r="AU1243" s="82" t="str">
        <f>IF(AND(DaybyDay[[#This Row],[_Space]],ISNUMBER(DaybyDay[[#This Row],[Retail Hours]])),DaybyDay[[#This Row],[Est-Retail-Payroll]]/(DaybyDay[[#This Row],[Retail-Actuals]]),"")</f>
        <v/>
      </c>
      <c r="AV1243" s="82">
        <f>DaybyDay[[#This Row],[Est-Retail-PayrollRU]]/DaybyDay[[#This Row],[Simple-Forecast-Retail]]</f>
        <v>1.5702030191613762E-2</v>
      </c>
      <c r="AW1243" s="8"/>
      <c r="AX1243" s="15"/>
      <c r="AY1243" s="8"/>
    </row>
    <row r="1244" spans="3:51" hidden="1" x14ac:dyDescent="0.25">
      <c r="C1244" s="26" t="str">
        <f>Tools!$C$1</f>
        <v>Example</v>
      </c>
      <c r="D1244" s="27" t="s">
        <v>72</v>
      </c>
      <c r="E1244" s="28">
        <v>2020</v>
      </c>
      <c r="F1244" s="28">
        <f>MATCH(DaybyDay[[#This Row],[RowMonth]],Table3[SummaryMonth],0)</f>
        <v>5</v>
      </c>
      <c r="G1244" s="29">
        <f>MATCH(DaybyDay[[#This Row],[LY-Date]],DaybyDay[Date],0)</f>
        <v>874</v>
      </c>
      <c r="H1244" s="30">
        <f>WEEKDAY(DaybyDay[[#This Row],[Date]])</f>
        <v>6</v>
      </c>
      <c r="I1244" s="31">
        <v>43973</v>
      </c>
      <c r="J1244" s="74"/>
      <c r="K1244" s="32">
        <f>SUMIFS(BudgetSeasonality[365 Seasonality],BudgetSeasonality[MonthAdjustment],DaybyDay[[#This Row],[Date]])*SUMIFS(Budgets[Service-Budget],Budgets[BudgetMonth],DaybyDay[[#This Row],[RowMonth]],Budgets[BudgetYear],DaybyDay[[#This Row],[RowYear]])</f>
        <v>6415.406913638587</v>
      </c>
      <c r="L1244" s="75"/>
      <c r="M1244" s="32">
        <f>INDEX(BudgetSeasonality[365 Seasonality],MATCH(DaybyDay[[#This Row],[Date]],BudgetSeasonality[MonthAdjustment],0))*SUMIFS(Budgets[Retail-Budget],Budgets[BudgetMonth],DaybyDay[[#This Row],[RowMonth]],Budgets[BudgetYear],DaybyDay[[#This Row],[RowYear]])</f>
        <v>1686.4073568224183</v>
      </c>
      <c r="N1244" s="75"/>
      <c r="O1244" s="33">
        <f>SUMIFS(DaybyDay[Service-Budgets],DaybyDay[Date],"&gt;="&amp;$C$5,DaybyDay[RowYear],"&gt;="&amp;$C$4,DaybyDay[Date],"&lt;="&amp;DaybyDay[[#This Row],[Date]])</f>
        <v>770348.82709922246</v>
      </c>
      <c r="P1244" s="33">
        <f>SUMIFS(DaybyDay[Retail-Budgets],DaybyDay[Date],"&gt;="&amp;$C$5,DaybyDay[RowYear],"&gt;="&amp;$C$4,DaybyDay[Date],"&lt;="&amp;DaybyDay[[#This Row],[Date]])</f>
        <v>192028.25454651011</v>
      </c>
      <c r="Q1244" s="34">
        <f>SUMIFS(DaybyDay[Service-Actuals],DaybyDay[Date],"&gt;="&amp;$C$5,DaybyDay[RowYear],"&gt;="&amp;$C$4,DaybyDay[Date],"&lt;="&amp;DaybyDay[[#This Row],[Date]])</f>
        <v>385554.23</v>
      </c>
      <c r="R1244" s="34">
        <f>SUMIFS(DaybyDay[Retail-Actuals],DaybyDay[Date],"&gt;="&amp;$C$5,DaybyDay[RowYear],"&gt;="&amp;$C$4,DaybyDay[Date],"&lt;="&amp;DaybyDay[[#This Row],[Date]])</f>
        <v>88360.030000000028</v>
      </c>
      <c r="S1244" s="35">
        <f>SUMIFS(DaybyDay[Service-LY],DaybyDay[Date],"&gt;="&amp;$C$5,DaybyDay[RowYear],"&gt;="&amp;$C$4,DaybyDay[Date],"&lt;="&amp;DaybyDay[[#This Row],[Date]])</f>
        <v>725349.47000000009</v>
      </c>
      <c r="T1244" s="35">
        <f>SUMIFS(DaybyDay[Retail-LY],DaybyDay[Date],"&gt;="&amp;$C$5,DaybyDay[RowYear],"&gt;="&amp;$C$4,DaybyDay[Date],"&lt;="&amp;DaybyDay[[#This Row],[Date]])</f>
        <v>169920.5</v>
      </c>
      <c r="U1244" s="32">
        <f>DaybyDay[[#This Row],[Serv-Bud-RU]]+DaybyDay[[#This Row],[Ret-Bud-RU]]</f>
        <v>962377.08164573251</v>
      </c>
      <c r="V1244" s="32">
        <f>DaybyDay[[#This Row],[Serv-Act-RU]]+DaybyDay[[#This Row],[Ret-Act-RU]]</f>
        <v>473914.26</v>
      </c>
      <c r="W1244" s="36" t="str">
        <f>IF(DaybyDay[[#This Row],[_Space]],IFERROR(
((DaybyDay[[#This Row],[Actual-Rollup]]-DaybyDay[[#This Row],[Budget-Rollup]])/DaybyDay[[#This Row],[Budget-Rollup]]),0),"")</f>
        <v/>
      </c>
      <c r="X1244" t="b">
        <f>NOT(AND(ISBLANK(DaybyDay[[#This Row],[Appts]]),ISBLANK(DaybyDay[[#This Row],[Service-Actuals]]),ISBLANK(DaybyDay[[#This Row],[Retail-Actuals]])))</f>
        <v>0</v>
      </c>
      <c r="Y1244" s="36" t="str">
        <f>IF(DaybyDay[[#This Row],[_Space]],IFERROR(
((DaybyDay[[#This Row],[Actual-Rollup]]-DaybyDay[[#This Row],[LY-Rollup]])/DaybyDay[[#This Row],[LY-Rollup]]),0),"")</f>
        <v/>
      </c>
      <c r="Z1244"/>
      <c r="AA1244" s="37" t="str">
        <f>IF(DaybyDay[[#This Row],[_Space]],DaybyDay[[#This Row],[Ret-Act-RU]]/DaybyDay[[#This Row],[Serv-Act-RU]],"")</f>
        <v/>
      </c>
      <c r="AB1244" s="50" t="str">
        <f>IF(DaybyDay[[#This Row],[_Space]],DaybyDay[[#This Row],[RETPEN-Act]]/DaybyDay[[#This Row],[RETPEN-Bud]],"")</f>
        <v/>
      </c>
      <c r="AC1244" s="37" t="str">
        <f>IF(DaybyDay[[#This Row],[_Space]],DaybyDay[[#This Row],[Ret-Bud-RU]]/DaybyDay[[#This Row],[Serv-Bud-RU]],"")</f>
        <v/>
      </c>
      <c r="AD1244" s="37" t="str">
        <f>IF(DaybyDay[[#This Row],[_Space]],DaybyDay[[#This Row],[Ret-LY-RU]]/DaybyDay[[#This Row],[Serv-LY-RU]],"")</f>
        <v/>
      </c>
      <c r="AE1244" s="30">
        <f>WEEKDAY(DaybyDay[[#This Row],[LY-Date]])</f>
        <v>6</v>
      </c>
      <c r="AF1244" s="38">
        <f>$E$2+_xlfn.DAYS(DaybyDay[[#This Row],[Date]],minDate)</f>
        <v>43609</v>
      </c>
      <c r="AG1244" s="39" cm="1">
        <f t="array" ref="AG1244">IFERROR(INDEX(DaybyDay[],DaybyDay[[#This Row],[FORM_MATCH_HELPER]],8),"")</f>
        <v>25</v>
      </c>
      <c r="AH1244" s="39" cm="1">
        <f t="array" ref="AH1244">IFERROR(INDEX(DaybyDay[],DaybyDay[[#This Row],[FORM_MATCH_HELPER]],10),"")</f>
        <v>6365.91</v>
      </c>
      <c r="AI1244" s="39" cm="1">
        <f t="array" ref="AI1244">IFERROR(INDEX(DaybyDay[],DaybyDay[[#This Row],[FORM_MATCH_HELPER]],12),"")</f>
        <v>4077.19</v>
      </c>
      <c r="AJ1244" s="32">
        <f>IFERROR(DaybyDay[[#This Row],[Serv-LY-RU]]+DaybyDay[[#This Row],[Ret-LY-RU]],"")</f>
        <v>895269.97000000009</v>
      </c>
      <c r="AK12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890437.29082716908</v>
      </c>
      <c r="AL1244" s="77"/>
      <c r="AM1244" s="40" t="str">
        <f>IF(DaybyDay[[#This Row],[Admin Hours]]&gt;0,DaybyDay[[#This Row],[Admin Hours]]*$AM$2+$AM$3,"")</f>
        <v/>
      </c>
      <c r="AN1244" s="40">
        <f>SUMIFS(DaybyDay[Est-Admin-Payroll],DaybyDay[Date],"&gt;="&amp;$C$5,DaybyDay[RowYear],"&gt;="&amp;$C$4,DaybyDay[Date],"&lt;="&amp;DaybyDay[[#This Row],[Date]])</f>
        <v>13941.779999999997</v>
      </c>
      <c r="AO1244" s="41" t="str">
        <f>IF(AND(DaybyDay[[#This Row],[_Space]],ISNUMBER(DaybyDay[[#This Row],[Admin Hours]])),DaybyDay[[#This Row],[Est-Admin-Payroll]]/(DaybyDay[[#This Row],[Service-Actuals]]+DaybyDay[[#This Row],[Retail-Actuals]]),"")</f>
        <v/>
      </c>
      <c r="AP1244" s="41">
        <f>DaybyDay[[#This Row],[Estimated-Payroll-Rollup]]/DaybyDay[[#This Row],[Simple-Forecast]]</f>
        <v>1.565722835692205E-2</v>
      </c>
      <c r="AQ12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170037.12750325928</v>
      </c>
      <c r="AR1244" s="77"/>
      <c r="AS1244" s="40" t="str">
        <f>IF(DaybyDay[[#This Row],[Retail Hours]]&gt;0,DaybyDay[[#This Row],[Retail Hours]]*$AS$2,"")</f>
        <v/>
      </c>
      <c r="AT1244" s="40">
        <f>SUMIFS(DaybyDay[Est-Retail-Payroll],DaybyDay[Date],"&gt;="&amp;$C$5,DaybyDay[RowYear],"&gt;="&amp;$C$4,DaybyDay[Date],"&lt;="&amp;DaybyDay[[#This Row],[Date]])</f>
        <v>2627.1</v>
      </c>
      <c r="AU1244" s="82" t="str">
        <f>IF(AND(DaybyDay[[#This Row],[_Space]],ISNUMBER(DaybyDay[[#This Row],[Retail Hours]])),DaybyDay[[#This Row],[Est-Retail-Payroll]]/(DaybyDay[[#This Row],[Retail-Actuals]]),"")</f>
        <v/>
      </c>
      <c r="AV1244" s="82">
        <f>DaybyDay[[#This Row],[Est-Retail-PayrollRU]]/DaybyDay[[#This Row],[Simple-Forecast-Retail]]</f>
        <v>1.5450155143026887E-2</v>
      </c>
      <c r="AW1244" s="8"/>
      <c r="AX1244" s="15"/>
      <c r="AY1244" s="8"/>
    </row>
    <row r="1245" spans="3:51" hidden="1" x14ac:dyDescent="0.25">
      <c r="C1245" s="26" t="str">
        <f>Tools!$C$1</f>
        <v>Example</v>
      </c>
      <c r="D1245" s="27" t="s">
        <v>72</v>
      </c>
      <c r="E1245" s="28">
        <v>2020</v>
      </c>
      <c r="F1245" s="28">
        <f>MATCH(DaybyDay[[#This Row],[RowMonth]],Table3[SummaryMonth],0)</f>
        <v>5</v>
      </c>
      <c r="G1245" s="29">
        <f>MATCH(DaybyDay[[#This Row],[LY-Date]],DaybyDay[Date],0)</f>
        <v>875</v>
      </c>
      <c r="H1245" s="30">
        <f>WEEKDAY(DaybyDay[[#This Row],[Date]])</f>
        <v>7</v>
      </c>
      <c r="I1245" s="31">
        <v>43974</v>
      </c>
      <c r="J1245" s="74"/>
      <c r="K1245" s="32">
        <f>SUMIFS(BudgetSeasonality[365 Seasonality],BudgetSeasonality[MonthAdjustment],DaybyDay[[#This Row],[Date]])*SUMIFS(Budgets[Service-Budget],Budgets[BudgetMonth],DaybyDay[[#This Row],[RowMonth]],Budgets[BudgetYear],DaybyDay[[#This Row],[RowYear]])</f>
        <v>8904.0746322100895</v>
      </c>
      <c r="L1245" s="75"/>
      <c r="M1245" s="32">
        <f>INDEX(BudgetSeasonality[365 Seasonality],MATCH(DaybyDay[[#This Row],[Date]],BudgetSeasonality[MonthAdjustment],0))*SUMIFS(Budgets[Retail-Budget],Budgets[BudgetMonth],DaybyDay[[#This Row],[RowMonth]],Budgets[BudgetYear],DaybyDay[[#This Row],[RowYear]])</f>
        <v>2340.5993053273828</v>
      </c>
      <c r="N1245" s="75"/>
      <c r="O1245" s="33">
        <f>SUMIFS(DaybyDay[Service-Budgets],DaybyDay[Date],"&gt;="&amp;$C$5,DaybyDay[RowYear],"&gt;="&amp;$C$4,DaybyDay[Date],"&lt;="&amp;DaybyDay[[#This Row],[Date]])</f>
        <v>779252.90173143253</v>
      </c>
      <c r="P1245" s="33">
        <f>SUMIFS(DaybyDay[Retail-Budgets],DaybyDay[Date],"&gt;="&amp;$C$5,DaybyDay[RowYear],"&gt;="&amp;$C$4,DaybyDay[Date],"&lt;="&amp;DaybyDay[[#This Row],[Date]])</f>
        <v>194368.85385183748</v>
      </c>
      <c r="Q1245" s="34">
        <f>SUMIFS(DaybyDay[Service-Actuals],DaybyDay[Date],"&gt;="&amp;$C$5,DaybyDay[RowYear],"&gt;="&amp;$C$4,DaybyDay[Date],"&lt;="&amp;DaybyDay[[#This Row],[Date]])</f>
        <v>385554.23</v>
      </c>
      <c r="R1245" s="34">
        <f>SUMIFS(DaybyDay[Retail-Actuals],DaybyDay[Date],"&gt;="&amp;$C$5,DaybyDay[RowYear],"&gt;="&amp;$C$4,DaybyDay[Date],"&lt;="&amp;DaybyDay[[#This Row],[Date]])</f>
        <v>88360.030000000028</v>
      </c>
      <c r="S1245" s="35">
        <f>SUMIFS(DaybyDay[Service-LY],DaybyDay[Date],"&gt;="&amp;$C$5,DaybyDay[RowYear],"&gt;="&amp;$C$4,DaybyDay[Date],"&lt;="&amp;DaybyDay[[#This Row],[Date]])</f>
        <v>733564.87000000011</v>
      </c>
      <c r="T1245" s="35">
        <f>SUMIFS(DaybyDay[Retail-LY],DaybyDay[Date],"&gt;="&amp;$C$5,DaybyDay[RowYear],"&gt;="&amp;$C$4,DaybyDay[Date],"&lt;="&amp;DaybyDay[[#This Row],[Date]])</f>
        <v>171440.5</v>
      </c>
      <c r="U1245" s="32">
        <f>DaybyDay[[#This Row],[Serv-Bud-RU]]+DaybyDay[[#This Row],[Ret-Bud-RU]]</f>
        <v>973621.75558326999</v>
      </c>
      <c r="V1245" s="32">
        <f>DaybyDay[[#This Row],[Serv-Act-RU]]+DaybyDay[[#This Row],[Ret-Act-RU]]</f>
        <v>473914.26</v>
      </c>
      <c r="W1245" s="36" t="str">
        <f>IF(DaybyDay[[#This Row],[_Space]],IFERROR(
((DaybyDay[[#This Row],[Actual-Rollup]]-DaybyDay[[#This Row],[Budget-Rollup]])/DaybyDay[[#This Row],[Budget-Rollup]]),0),"")</f>
        <v/>
      </c>
      <c r="X1245" t="b">
        <f>NOT(AND(ISBLANK(DaybyDay[[#This Row],[Appts]]),ISBLANK(DaybyDay[[#This Row],[Service-Actuals]]),ISBLANK(DaybyDay[[#This Row],[Retail-Actuals]])))</f>
        <v>0</v>
      </c>
      <c r="Y1245" s="36" t="str">
        <f>IF(DaybyDay[[#This Row],[_Space]],IFERROR(
((DaybyDay[[#This Row],[Actual-Rollup]]-DaybyDay[[#This Row],[LY-Rollup]])/DaybyDay[[#This Row],[LY-Rollup]]),0),"")</f>
        <v/>
      </c>
      <c r="Z1245"/>
      <c r="AA1245" s="37" t="str">
        <f>IF(DaybyDay[[#This Row],[_Space]],DaybyDay[[#This Row],[Ret-Act-RU]]/DaybyDay[[#This Row],[Serv-Act-RU]],"")</f>
        <v/>
      </c>
      <c r="AB1245" s="50" t="str">
        <f>IF(DaybyDay[[#This Row],[_Space]],DaybyDay[[#This Row],[RETPEN-Act]]/DaybyDay[[#This Row],[RETPEN-Bud]],"")</f>
        <v/>
      </c>
      <c r="AC1245" s="37" t="str">
        <f>IF(DaybyDay[[#This Row],[_Space]],DaybyDay[[#This Row],[Ret-Bud-RU]]/DaybyDay[[#This Row],[Serv-Bud-RU]],"")</f>
        <v/>
      </c>
      <c r="AD1245" s="37" t="str">
        <f>IF(DaybyDay[[#This Row],[_Space]],DaybyDay[[#This Row],[Ret-LY-RU]]/DaybyDay[[#This Row],[Serv-LY-RU]],"")</f>
        <v/>
      </c>
      <c r="AE1245" s="30">
        <f>WEEKDAY(DaybyDay[[#This Row],[LY-Date]])</f>
        <v>7</v>
      </c>
      <c r="AF1245" s="38">
        <f>$E$2+_xlfn.DAYS(DaybyDay[[#This Row],[Date]],minDate)</f>
        <v>43610</v>
      </c>
      <c r="AG1245" s="39" cm="1">
        <f t="array" ref="AG1245">IFERROR(INDEX(DaybyDay[],DaybyDay[[#This Row],[FORM_MATCH_HELPER]],8),"")</f>
        <v>32</v>
      </c>
      <c r="AH1245" s="39" cm="1">
        <f t="array" ref="AH1245">IFERROR(INDEX(DaybyDay[],DaybyDay[[#This Row],[FORM_MATCH_HELPER]],10),"")</f>
        <v>8215.4</v>
      </c>
      <c r="AI1245" s="39" cm="1">
        <f t="array" ref="AI1245">IFERROR(INDEX(DaybyDay[],DaybyDay[[#This Row],[FORM_MATCH_HELPER]],12),"")</f>
        <v>1520</v>
      </c>
      <c r="AJ1245" s="32">
        <f>IFERROR(DaybyDay[[#This Row],[Serv-LY-RU]]+DaybyDay[[#This Row],[Ret-LY-RU]],"")</f>
        <v>905005.37000000011</v>
      </c>
      <c r="AK12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900020.23999852</v>
      </c>
      <c r="AL1245" s="77"/>
      <c r="AM1245" s="40" t="str">
        <f>IF(DaybyDay[[#This Row],[Admin Hours]]&gt;0,DaybyDay[[#This Row],[Admin Hours]]*$AM$2+$AM$3,"")</f>
        <v/>
      </c>
      <c r="AN1245" s="40">
        <f>SUMIFS(DaybyDay[Est-Admin-Payroll],DaybyDay[Date],"&gt;="&amp;$C$5,DaybyDay[RowYear],"&gt;="&amp;$C$4,DaybyDay[Date],"&lt;="&amp;DaybyDay[[#This Row],[Date]])</f>
        <v>13941.779999999997</v>
      </c>
      <c r="AO1245" s="41" t="str">
        <f>IF(AND(DaybyDay[[#This Row],[_Space]],ISNUMBER(DaybyDay[[#This Row],[Admin Hours]])),DaybyDay[[#This Row],[Est-Admin-Payroll]]/(DaybyDay[[#This Row],[Service-Actuals]]+DaybyDay[[#This Row],[Retail-Actuals]]),"")</f>
        <v/>
      </c>
      <c r="AP1245" s="41">
        <f>DaybyDay[[#This Row],[Estimated-Payroll-Rollup]]/DaybyDay[[#This Row],[Simple-Forecast]]</f>
        <v>1.5490518302147208E-2</v>
      </c>
      <c r="AQ12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171782.13838329387</v>
      </c>
      <c r="AR1245" s="77"/>
      <c r="AS1245" s="40" t="str">
        <f>IF(DaybyDay[[#This Row],[Retail Hours]]&gt;0,DaybyDay[[#This Row],[Retail Hours]]*$AS$2,"")</f>
        <v/>
      </c>
      <c r="AT1245" s="40">
        <f>SUMIFS(DaybyDay[Est-Retail-Payroll],DaybyDay[Date],"&gt;="&amp;$C$5,DaybyDay[RowYear],"&gt;="&amp;$C$4,DaybyDay[Date],"&lt;="&amp;DaybyDay[[#This Row],[Date]])</f>
        <v>2627.1</v>
      </c>
      <c r="AU1245" s="82" t="str">
        <f>IF(AND(DaybyDay[[#This Row],[_Space]],ISNUMBER(DaybyDay[[#This Row],[Retail Hours]])),DaybyDay[[#This Row],[Est-Retail-Payroll]]/(DaybyDay[[#This Row],[Retail-Actuals]]),"")</f>
        <v/>
      </c>
      <c r="AV1245" s="82">
        <f>DaybyDay[[#This Row],[Est-Retail-PayrollRU]]/DaybyDay[[#This Row],[Simple-Forecast-Retail]]</f>
        <v>1.5293208157289363E-2</v>
      </c>
      <c r="AW1245" s="8"/>
      <c r="AX1245" s="15"/>
      <c r="AY1245" s="8"/>
    </row>
    <row r="1246" spans="3:51" hidden="1" x14ac:dyDescent="0.25">
      <c r="C1246" s="26" t="str">
        <f>Tools!$C$1</f>
        <v>Example</v>
      </c>
      <c r="D1246" s="27" t="s">
        <v>72</v>
      </c>
      <c r="E1246" s="28">
        <v>2020</v>
      </c>
      <c r="F1246" s="28">
        <f>MATCH(DaybyDay[[#This Row],[RowMonth]],Table3[SummaryMonth],0)</f>
        <v>5</v>
      </c>
      <c r="G1246" s="29">
        <f>MATCH(DaybyDay[[#This Row],[LY-Date]],DaybyDay[Date],0)</f>
        <v>876</v>
      </c>
      <c r="H1246" s="30">
        <f>WEEKDAY(DaybyDay[[#This Row],[Date]])</f>
        <v>1</v>
      </c>
      <c r="I1246" s="31">
        <v>43975</v>
      </c>
      <c r="J1246" s="74"/>
      <c r="K1246" s="32">
        <f>SUMIFS(BudgetSeasonality[365 Seasonality],BudgetSeasonality[MonthAdjustment],DaybyDay[[#This Row],[Date]])*SUMIFS(Budgets[Service-Budget],Budgets[BudgetMonth],DaybyDay[[#This Row],[RowMonth]],Budgets[BudgetYear],DaybyDay[[#This Row],[RowYear]])</f>
        <v>6969.0510258939948</v>
      </c>
      <c r="L1246" s="75"/>
      <c r="M1246" s="32">
        <f>INDEX(BudgetSeasonality[365 Seasonality],MATCH(DaybyDay[[#This Row],[Date]],BudgetSeasonality[MonthAdjustment],0))*SUMIFS(Budgets[Retail-Budget],Budgets[BudgetMonth],DaybyDay[[#This Row],[RowMonth]],Budgets[BudgetYear],DaybyDay[[#This Row],[RowYear]])</f>
        <v>1831.9428647859177</v>
      </c>
      <c r="N1246" s="75"/>
      <c r="O1246" s="33">
        <f>SUMIFS(DaybyDay[Service-Budgets],DaybyDay[Date],"&gt;="&amp;$C$5,DaybyDay[RowYear],"&gt;="&amp;$C$4,DaybyDay[Date],"&lt;="&amp;DaybyDay[[#This Row],[Date]])</f>
        <v>786221.95275732654</v>
      </c>
      <c r="P1246" s="33">
        <f>SUMIFS(DaybyDay[Retail-Budgets],DaybyDay[Date],"&gt;="&amp;$C$5,DaybyDay[RowYear],"&gt;="&amp;$C$4,DaybyDay[Date],"&lt;="&amp;DaybyDay[[#This Row],[Date]])</f>
        <v>196200.79671662342</v>
      </c>
      <c r="Q1246" s="34">
        <f>SUMIFS(DaybyDay[Service-Actuals],DaybyDay[Date],"&gt;="&amp;$C$5,DaybyDay[RowYear],"&gt;="&amp;$C$4,DaybyDay[Date],"&lt;="&amp;DaybyDay[[#This Row],[Date]])</f>
        <v>385554.23</v>
      </c>
      <c r="R1246" s="34">
        <f>SUMIFS(DaybyDay[Retail-Actuals],DaybyDay[Date],"&gt;="&amp;$C$5,DaybyDay[RowYear],"&gt;="&amp;$C$4,DaybyDay[Date],"&lt;="&amp;DaybyDay[[#This Row],[Date]])</f>
        <v>88360.030000000028</v>
      </c>
      <c r="S1246" s="35">
        <f>SUMIFS(DaybyDay[Service-LY],DaybyDay[Date],"&gt;="&amp;$C$5,DaybyDay[RowYear],"&gt;="&amp;$C$4,DaybyDay[Date],"&lt;="&amp;DaybyDay[[#This Row],[Date]])</f>
        <v>741452.37000000011</v>
      </c>
      <c r="T1246" s="35">
        <f>SUMIFS(DaybyDay[Retail-LY],DaybyDay[Date],"&gt;="&amp;$C$5,DaybyDay[RowYear],"&gt;="&amp;$C$4,DaybyDay[Date],"&lt;="&amp;DaybyDay[[#This Row],[Date]])</f>
        <v>175152.58</v>
      </c>
      <c r="U1246" s="32">
        <f>DaybyDay[[#This Row],[Serv-Bud-RU]]+DaybyDay[[#This Row],[Ret-Bud-RU]]</f>
        <v>982422.74947394989</v>
      </c>
      <c r="V1246" s="32">
        <f>DaybyDay[[#This Row],[Serv-Act-RU]]+DaybyDay[[#This Row],[Ret-Act-RU]]</f>
        <v>473914.26</v>
      </c>
      <c r="W1246" s="36" t="str">
        <f>IF(DaybyDay[[#This Row],[_Space]],IFERROR(
((DaybyDay[[#This Row],[Actual-Rollup]]-DaybyDay[[#This Row],[Budget-Rollup]])/DaybyDay[[#This Row],[Budget-Rollup]]),0),"")</f>
        <v/>
      </c>
      <c r="X1246" t="b">
        <f>NOT(AND(ISBLANK(DaybyDay[[#This Row],[Appts]]),ISBLANK(DaybyDay[[#This Row],[Service-Actuals]]),ISBLANK(DaybyDay[[#This Row],[Retail-Actuals]])))</f>
        <v>0</v>
      </c>
      <c r="Y1246" s="36" t="str">
        <f>IF(DaybyDay[[#This Row],[_Space]],IFERROR(
((DaybyDay[[#This Row],[Actual-Rollup]]-DaybyDay[[#This Row],[LY-Rollup]])/DaybyDay[[#This Row],[LY-Rollup]]),0),"")</f>
        <v/>
      </c>
      <c r="Z1246"/>
      <c r="AA1246" s="37" t="str">
        <f>IF(DaybyDay[[#This Row],[_Space]],DaybyDay[[#This Row],[Ret-Act-RU]]/DaybyDay[[#This Row],[Serv-Act-RU]],"")</f>
        <v/>
      </c>
      <c r="AB1246" s="50" t="str">
        <f>IF(DaybyDay[[#This Row],[_Space]],DaybyDay[[#This Row],[RETPEN-Act]]/DaybyDay[[#This Row],[RETPEN-Bud]],"")</f>
        <v/>
      </c>
      <c r="AC1246" s="37" t="str">
        <f>IF(DaybyDay[[#This Row],[_Space]],DaybyDay[[#This Row],[Ret-Bud-RU]]/DaybyDay[[#This Row],[Serv-Bud-RU]],"")</f>
        <v/>
      </c>
      <c r="AD1246" s="37" t="str">
        <f>IF(DaybyDay[[#This Row],[_Space]],DaybyDay[[#This Row],[Ret-LY-RU]]/DaybyDay[[#This Row],[Serv-LY-RU]],"")</f>
        <v/>
      </c>
      <c r="AE1246" s="30">
        <f>WEEKDAY(DaybyDay[[#This Row],[LY-Date]])</f>
        <v>1</v>
      </c>
      <c r="AF1246" s="38">
        <f>$E$2+_xlfn.DAYS(DaybyDay[[#This Row],[Date]],minDate)</f>
        <v>43611</v>
      </c>
      <c r="AG1246" s="39" cm="1">
        <f t="array" ref="AG1246">IFERROR(INDEX(DaybyDay[],DaybyDay[[#This Row],[FORM_MATCH_HELPER]],8),"")</f>
        <v>45</v>
      </c>
      <c r="AH1246" s="39" cm="1">
        <f t="array" ref="AH1246">IFERROR(INDEX(DaybyDay[],DaybyDay[[#This Row],[FORM_MATCH_HELPER]],10),"")</f>
        <v>7887.5</v>
      </c>
      <c r="AI1246" s="39" cm="1">
        <f t="array" ref="AI1246">IFERROR(INDEX(DaybyDay[],DaybyDay[[#This Row],[FORM_MATCH_HELPER]],12),"")</f>
        <v>3712.08</v>
      </c>
      <c r="AJ1246" s="32">
        <f>IFERROR(DaybyDay[[#This Row],[Serv-LY-RU]]+DaybyDay[[#This Row],[Ret-LY-RU]],"")</f>
        <v>916604.95000000007</v>
      </c>
      <c r="AK12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909482.87940360419</v>
      </c>
      <c r="AL1246" s="77"/>
      <c r="AM1246" s="40" t="str">
        <f>IF(DaybyDay[[#This Row],[Admin Hours]]&gt;0,DaybyDay[[#This Row],[Admin Hours]]*$AM$2+$AM$3,"")</f>
        <v/>
      </c>
      <c r="AN1246" s="40">
        <f>SUMIFS(DaybyDay[Est-Admin-Payroll],DaybyDay[Date],"&gt;="&amp;$C$5,DaybyDay[RowYear],"&gt;="&amp;$C$4,DaybyDay[Date],"&lt;="&amp;DaybyDay[[#This Row],[Date]])</f>
        <v>13941.779999999997</v>
      </c>
      <c r="AO1246" s="41" t="str">
        <f>IF(AND(DaybyDay[[#This Row],[_Space]],ISNUMBER(DaybyDay[[#This Row],[Admin Hours]])),DaybyDay[[#This Row],[Est-Admin-Payroll]]/(DaybyDay[[#This Row],[Service-Actuals]]+DaybyDay[[#This Row],[Retail-Actuals]]),"")</f>
        <v/>
      </c>
      <c r="AP1246" s="41">
        <f>DaybyDay[[#This Row],[Estimated-Payroll-Rollup]]/DaybyDay[[#This Row],[Simple-Forecast]]</f>
        <v>1.5329348485528783E-2</v>
      </c>
      <c r="AQ12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174391.57997810535</v>
      </c>
      <c r="AR1246" s="77"/>
      <c r="AS1246" s="40" t="str">
        <f>IF(DaybyDay[[#This Row],[Retail Hours]]&gt;0,DaybyDay[[#This Row],[Retail Hours]]*$AS$2,"")</f>
        <v/>
      </c>
      <c r="AT1246" s="40">
        <f>SUMIFS(DaybyDay[Est-Retail-Payroll],DaybyDay[Date],"&gt;="&amp;$C$5,DaybyDay[RowYear],"&gt;="&amp;$C$4,DaybyDay[Date],"&lt;="&amp;DaybyDay[[#This Row],[Date]])</f>
        <v>2627.1</v>
      </c>
      <c r="AU1246" s="82" t="str">
        <f>IF(AND(DaybyDay[[#This Row],[_Space]],ISNUMBER(DaybyDay[[#This Row],[Retail Hours]])),DaybyDay[[#This Row],[Est-Retail-Payroll]]/(DaybyDay[[#This Row],[Retail-Actuals]]),"")</f>
        <v/>
      </c>
      <c r="AV1246" s="82">
        <f>DaybyDay[[#This Row],[Est-Retail-PayrollRU]]/DaybyDay[[#This Row],[Simple-Forecast-Retail]]</f>
        <v>1.5064374096099302E-2</v>
      </c>
      <c r="AW1246" s="8"/>
      <c r="AX1246" s="15"/>
      <c r="AY1246" s="8"/>
    </row>
    <row r="1247" spans="3:51" hidden="1" x14ac:dyDescent="0.25">
      <c r="C1247" s="26" t="str">
        <f>Tools!$C$1</f>
        <v>Example</v>
      </c>
      <c r="D1247" s="27" t="s">
        <v>72</v>
      </c>
      <c r="E1247" s="28">
        <v>2020</v>
      </c>
      <c r="F1247" s="28">
        <f>MATCH(DaybyDay[[#This Row],[RowMonth]],Table3[SummaryMonth],0)</f>
        <v>5</v>
      </c>
      <c r="G1247" s="29">
        <f>MATCH(DaybyDay[[#This Row],[LY-Date]],DaybyDay[Date],0)</f>
        <v>877</v>
      </c>
      <c r="H1247" s="30">
        <f>WEEKDAY(DaybyDay[[#This Row],[Date]])</f>
        <v>2</v>
      </c>
      <c r="I1247" s="31">
        <v>43976</v>
      </c>
      <c r="J1247" s="74"/>
      <c r="K1247" s="32">
        <f>SUMIFS(BudgetSeasonality[365 Seasonality],BudgetSeasonality[MonthAdjustment],DaybyDay[[#This Row],[Date]])*SUMIFS(Budgets[Service-Budget],Budgets[BudgetMonth],DaybyDay[[#This Row],[RowMonth]],Budgets[BudgetYear],DaybyDay[[#This Row],[RowYear]])</f>
        <v>4173.8338650617343</v>
      </c>
      <c r="L1247" s="75"/>
      <c r="M1247" s="32">
        <f>INDEX(BudgetSeasonality[365 Seasonality],MATCH(DaybyDay[[#This Row],[Date]],BudgetSeasonality[MonthAdjustment],0))*SUMIFS(Budgets[Retail-Budget],Budgets[BudgetMonth],DaybyDay[[#This Row],[RowMonth]],Budgets[BudgetYear],DaybyDay[[#This Row],[RowYear]])</f>
        <v>1097.1687736955275</v>
      </c>
      <c r="N1247" s="75"/>
      <c r="O1247" s="33">
        <f>SUMIFS(DaybyDay[Service-Budgets],DaybyDay[Date],"&gt;="&amp;$C$5,DaybyDay[RowYear],"&gt;="&amp;$C$4,DaybyDay[Date],"&lt;="&amp;DaybyDay[[#This Row],[Date]])</f>
        <v>790395.78662238829</v>
      </c>
      <c r="P1247" s="33">
        <f>SUMIFS(DaybyDay[Retail-Budgets],DaybyDay[Date],"&gt;="&amp;$C$5,DaybyDay[RowYear],"&gt;="&amp;$C$4,DaybyDay[Date],"&lt;="&amp;DaybyDay[[#This Row],[Date]])</f>
        <v>197297.96549031895</v>
      </c>
      <c r="Q1247" s="34">
        <f>SUMIFS(DaybyDay[Service-Actuals],DaybyDay[Date],"&gt;="&amp;$C$5,DaybyDay[RowYear],"&gt;="&amp;$C$4,DaybyDay[Date],"&lt;="&amp;DaybyDay[[#This Row],[Date]])</f>
        <v>385554.23</v>
      </c>
      <c r="R1247" s="34">
        <f>SUMIFS(DaybyDay[Retail-Actuals],DaybyDay[Date],"&gt;="&amp;$C$5,DaybyDay[RowYear],"&gt;="&amp;$C$4,DaybyDay[Date],"&lt;="&amp;DaybyDay[[#This Row],[Date]])</f>
        <v>88360.030000000028</v>
      </c>
      <c r="S1247" s="35">
        <f>SUMIFS(DaybyDay[Service-LY],DaybyDay[Date],"&gt;="&amp;$C$5,DaybyDay[RowYear],"&gt;="&amp;$C$4,DaybyDay[Date],"&lt;="&amp;DaybyDay[[#This Row],[Date]])</f>
        <v>746232.57000000007</v>
      </c>
      <c r="T1247" s="35">
        <f>SUMIFS(DaybyDay[Retail-LY],DaybyDay[Date],"&gt;="&amp;$C$5,DaybyDay[RowYear],"&gt;="&amp;$C$4,DaybyDay[Date],"&lt;="&amp;DaybyDay[[#This Row],[Date]])</f>
        <v>176344.18</v>
      </c>
      <c r="U1247" s="32">
        <f>DaybyDay[[#This Row],[Serv-Bud-RU]]+DaybyDay[[#This Row],[Ret-Bud-RU]]</f>
        <v>987693.75211270724</v>
      </c>
      <c r="V1247" s="32">
        <f>DaybyDay[[#This Row],[Serv-Act-RU]]+DaybyDay[[#This Row],[Ret-Act-RU]]</f>
        <v>473914.26</v>
      </c>
      <c r="W1247" s="36" t="str">
        <f>IF(DaybyDay[[#This Row],[_Space]],IFERROR(
((DaybyDay[[#This Row],[Actual-Rollup]]-DaybyDay[[#This Row],[Budget-Rollup]])/DaybyDay[[#This Row],[Budget-Rollup]]),0),"")</f>
        <v/>
      </c>
      <c r="X1247" t="b">
        <f>NOT(AND(ISBLANK(DaybyDay[[#This Row],[Appts]]),ISBLANK(DaybyDay[[#This Row],[Service-Actuals]]),ISBLANK(DaybyDay[[#This Row],[Retail-Actuals]])))</f>
        <v>0</v>
      </c>
      <c r="Y1247" s="36" t="str">
        <f>IF(DaybyDay[[#This Row],[_Space]],IFERROR(
((DaybyDay[[#This Row],[Actual-Rollup]]-DaybyDay[[#This Row],[LY-Rollup]])/DaybyDay[[#This Row],[LY-Rollup]]),0),"")</f>
        <v/>
      </c>
      <c r="Z1247"/>
      <c r="AA1247" s="37" t="str">
        <f>IF(DaybyDay[[#This Row],[_Space]],DaybyDay[[#This Row],[Ret-Act-RU]]/DaybyDay[[#This Row],[Serv-Act-RU]],"")</f>
        <v/>
      </c>
      <c r="AB1247" s="50" t="str">
        <f>IF(DaybyDay[[#This Row],[_Space]],DaybyDay[[#This Row],[RETPEN-Act]]/DaybyDay[[#This Row],[RETPEN-Bud]],"")</f>
        <v/>
      </c>
      <c r="AC1247" s="37" t="str">
        <f>IF(DaybyDay[[#This Row],[_Space]],DaybyDay[[#This Row],[Ret-Bud-RU]]/DaybyDay[[#This Row],[Serv-Bud-RU]],"")</f>
        <v/>
      </c>
      <c r="AD1247" s="37" t="str">
        <f>IF(DaybyDay[[#This Row],[_Space]],DaybyDay[[#This Row],[Ret-LY-RU]]/DaybyDay[[#This Row],[Serv-LY-RU]],"")</f>
        <v/>
      </c>
      <c r="AE1247" s="30">
        <f>WEEKDAY(DaybyDay[[#This Row],[LY-Date]])</f>
        <v>2</v>
      </c>
      <c r="AF1247" s="38">
        <f>$E$2+_xlfn.DAYS(DaybyDay[[#This Row],[Date]],minDate)</f>
        <v>43612</v>
      </c>
      <c r="AG1247" s="39" cm="1">
        <f t="array" ref="AG1247">IFERROR(INDEX(DaybyDay[],DaybyDay[[#This Row],[FORM_MATCH_HELPER]],8),"")</f>
        <v>24</v>
      </c>
      <c r="AH1247" s="39" cm="1">
        <f t="array" ref="AH1247">IFERROR(INDEX(DaybyDay[],DaybyDay[[#This Row],[FORM_MATCH_HELPER]],10),"")</f>
        <v>4780.2000000000007</v>
      </c>
      <c r="AI1247" s="39" cm="1">
        <f t="array" ref="AI1247">IFERROR(INDEX(DaybyDay[],DaybyDay[[#This Row],[FORM_MATCH_HELPER]],12),"")</f>
        <v>1191.5999999999999</v>
      </c>
      <c r="AJ1247" s="32">
        <f>IFERROR(DaybyDay[[#This Row],[Serv-LY-RU]]+DaybyDay[[#This Row],[Ret-LY-RU]],"")</f>
        <v>922576.75</v>
      </c>
      <c r="AK12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914669.28125909762</v>
      </c>
      <c r="AL1247" s="77"/>
      <c r="AM1247" s="40" t="str">
        <f>IF(DaybyDay[[#This Row],[Admin Hours]]&gt;0,DaybyDay[[#This Row],[Admin Hours]]*$AM$2+$AM$3,"")</f>
        <v/>
      </c>
      <c r="AN1247" s="40">
        <f>SUMIFS(DaybyDay[Est-Admin-Payroll],DaybyDay[Date],"&gt;="&amp;$C$5,DaybyDay[RowYear],"&gt;="&amp;$C$4,DaybyDay[Date],"&lt;="&amp;DaybyDay[[#This Row],[Date]])</f>
        <v>13941.779999999997</v>
      </c>
      <c r="AO1247" s="41" t="str">
        <f>IF(AND(DaybyDay[[#This Row],[_Space]],ISNUMBER(DaybyDay[[#This Row],[Admin Hours]])),DaybyDay[[#This Row],[Est-Admin-Payroll]]/(DaybyDay[[#This Row],[Service-Actuals]]+DaybyDay[[#This Row],[Retail-Actuals]]),"")</f>
        <v/>
      </c>
      <c r="AP1247" s="41">
        <f>DaybyDay[[#This Row],[Estimated-Payroll-Rollup]]/DaybyDay[[#This Row],[Simple-Forecast]]</f>
        <v>1.5242427274706649E-2</v>
      </c>
      <c r="AQ12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175445.77630024814</v>
      </c>
      <c r="AR1247" s="77"/>
      <c r="AS1247" s="40" t="str">
        <f>IF(DaybyDay[[#This Row],[Retail Hours]]&gt;0,DaybyDay[[#This Row],[Retail Hours]]*$AS$2,"")</f>
        <v/>
      </c>
      <c r="AT1247" s="40">
        <f>SUMIFS(DaybyDay[Est-Retail-Payroll],DaybyDay[Date],"&gt;="&amp;$C$5,DaybyDay[RowYear],"&gt;="&amp;$C$4,DaybyDay[Date],"&lt;="&amp;DaybyDay[[#This Row],[Date]])</f>
        <v>2627.1</v>
      </c>
      <c r="AU1247" s="82" t="str">
        <f>IF(AND(DaybyDay[[#This Row],[_Space]],ISNUMBER(DaybyDay[[#This Row],[Retail Hours]])),DaybyDay[[#This Row],[Est-Retail-Payroll]]/(DaybyDay[[#This Row],[Retail-Actuals]]),"")</f>
        <v/>
      </c>
      <c r="AV1247" s="82">
        <f>DaybyDay[[#This Row],[Est-Retail-PayrollRU]]/DaybyDay[[#This Row],[Simple-Forecast-Retail]]</f>
        <v>1.4973857196220713E-2</v>
      </c>
      <c r="AW1247" s="8"/>
      <c r="AX1247" s="15"/>
      <c r="AY1247" s="8"/>
    </row>
    <row r="1248" spans="3:51" hidden="1" x14ac:dyDescent="0.25">
      <c r="C1248" s="26" t="str">
        <f>Tools!$C$1</f>
        <v>Example</v>
      </c>
      <c r="D1248" s="27" t="s">
        <v>72</v>
      </c>
      <c r="E1248" s="28">
        <v>2020</v>
      </c>
      <c r="F1248" s="28">
        <f>MATCH(DaybyDay[[#This Row],[RowMonth]],Table3[SummaryMonth],0)</f>
        <v>5</v>
      </c>
      <c r="G1248" s="29">
        <f>MATCH(DaybyDay[[#This Row],[LY-Date]],DaybyDay[Date],0)</f>
        <v>878</v>
      </c>
      <c r="H1248" s="30">
        <f>WEEKDAY(DaybyDay[[#This Row],[Date]])</f>
        <v>3</v>
      </c>
      <c r="I1248" s="31">
        <v>43977</v>
      </c>
      <c r="J1248" s="74"/>
      <c r="K1248" s="32">
        <f>SUMIFS(BudgetSeasonality[365 Seasonality],BudgetSeasonality[MonthAdjustment],DaybyDay[[#This Row],[Date]])*SUMIFS(Budgets[Service-Budget],Budgets[BudgetMonth],DaybyDay[[#This Row],[RowMonth]],Budgets[BudgetYear],DaybyDay[[#This Row],[RowYear]])</f>
        <v>4272.2100734003479</v>
      </c>
      <c r="L1248" s="75"/>
      <c r="M1248" s="32">
        <f>INDEX(BudgetSeasonality[365 Seasonality],MATCH(DaybyDay[[#This Row],[Date]],BudgetSeasonality[MonthAdjustment],0))*SUMIFS(Budgets[Retail-Budget],Budgets[BudgetMonth],DaybyDay[[#This Row],[RowMonth]],Budgets[BudgetYear],DaybyDay[[#This Row],[RowYear]])</f>
        <v>1123.0287641391328</v>
      </c>
      <c r="N1248" s="75"/>
      <c r="O1248" s="33">
        <f>SUMIFS(DaybyDay[Service-Budgets],DaybyDay[Date],"&gt;="&amp;$C$5,DaybyDay[RowYear],"&gt;="&amp;$C$4,DaybyDay[Date],"&lt;="&amp;DaybyDay[[#This Row],[Date]])</f>
        <v>794667.99669578869</v>
      </c>
      <c r="P1248" s="33">
        <f>SUMIFS(DaybyDay[Retail-Budgets],DaybyDay[Date],"&gt;="&amp;$C$5,DaybyDay[RowYear],"&gt;="&amp;$C$4,DaybyDay[Date],"&lt;="&amp;DaybyDay[[#This Row],[Date]])</f>
        <v>198420.99425445808</v>
      </c>
      <c r="Q1248" s="34">
        <f>SUMIFS(DaybyDay[Service-Actuals],DaybyDay[Date],"&gt;="&amp;$C$5,DaybyDay[RowYear],"&gt;="&amp;$C$4,DaybyDay[Date],"&lt;="&amp;DaybyDay[[#This Row],[Date]])</f>
        <v>385554.23</v>
      </c>
      <c r="R1248" s="34">
        <f>SUMIFS(DaybyDay[Retail-Actuals],DaybyDay[Date],"&gt;="&amp;$C$5,DaybyDay[RowYear],"&gt;="&amp;$C$4,DaybyDay[Date],"&lt;="&amp;DaybyDay[[#This Row],[Date]])</f>
        <v>88360.030000000028</v>
      </c>
      <c r="S1248" s="35">
        <f>SUMIFS(DaybyDay[Service-LY],DaybyDay[Date],"&gt;="&amp;$C$5,DaybyDay[RowYear],"&gt;="&amp;$C$4,DaybyDay[Date],"&lt;="&amp;DaybyDay[[#This Row],[Date]])</f>
        <v>749582.77</v>
      </c>
      <c r="T1248" s="35">
        <f>SUMIFS(DaybyDay[Retail-LY],DaybyDay[Date],"&gt;="&amp;$C$5,DaybyDay[RowYear],"&gt;="&amp;$C$4,DaybyDay[Date],"&lt;="&amp;DaybyDay[[#This Row],[Date]])</f>
        <v>177064.68</v>
      </c>
      <c r="U1248" s="32">
        <f>DaybyDay[[#This Row],[Serv-Bud-RU]]+DaybyDay[[#This Row],[Ret-Bud-RU]]</f>
        <v>993088.99095024681</v>
      </c>
      <c r="V1248" s="32">
        <f>DaybyDay[[#This Row],[Serv-Act-RU]]+DaybyDay[[#This Row],[Ret-Act-RU]]</f>
        <v>473914.26</v>
      </c>
      <c r="W1248" s="36" t="str">
        <f>IF(DaybyDay[[#This Row],[_Space]],IFERROR(
((DaybyDay[[#This Row],[Actual-Rollup]]-DaybyDay[[#This Row],[Budget-Rollup]])/DaybyDay[[#This Row],[Budget-Rollup]]),0),"")</f>
        <v/>
      </c>
      <c r="X1248" t="b">
        <f>NOT(AND(ISBLANK(DaybyDay[[#This Row],[Appts]]),ISBLANK(DaybyDay[[#This Row],[Service-Actuals]]),ISBLANK(DaybyDay[[#This Row],[Retail-Actuals]])))</f>
        <v>0</v>
      </c>
      <c r="Y1248" s="36" t="str">
        <f>IF(DaybyDay[[#This Row],[_Space]],IFERROR(
((DaybyDay[[#This Row],[Actual-Rollup]]-DaybyDay[[#This Row],[LY-Rollup]])/DaybyDay[[#This Row],[LY-Rollup]]),0),"")</f>
        <v/>
      </c>
      <c r="Z1248"/>
      <c r="AA1248" s="37" t="str">
        <f>IF(DaybyDay[[#This Row],[_Space]],DaybyDay[[#This Row],[Ret-Act-RU]]/DaybyDay[[#This Row],[Serv-Act-RU]],"")</f>
        <v/>
      </c>
      <c r="AB1248" s="50" t="str">
        <f>IF(DaybyDay[[#This Row],[_Space]],DaybyDay[[#This Row],[RETPEN-Act]]/DaybyDay[[#This Row],[RETPEN-Bud]],"")</f>
        <v/>
      </c>
      <c r="AC1248" s="37" t="str">
        <f>IF(DaybyDay[[#This Row],[_Space]],DaybyDay[[#This Row],[Ret-Bud-RU]]/DaybyDay[[#This Row],[Serv-Bud-RU]],"")</f>
        <v/>
      </c>
      <c r="AD1248" s="37" t="str">
        <f>IF(DaybyDay[[#This Row],[_Space]],DaybyDay[[#This Row],[Ret-LY-RU]]/DaybyDay[[#This Row],[Serv-LY-RU]],"")</f>
        <v/>
      </c>
      <c r="AE1248" s="30">
        <f>WEEKDAY(DaybyDay[[#This Row],[LY-Date]])</f>
        <v>3</v>
      </c>
      <c r="AF1248" s="38">
        <f>$E$2+_xlfn.DAYS(DaybyDay[[#This Row],[Date]],minDate)</f>
        <v>43613</v>
      </c>
      <c r="AG1248" s="39" cm="1">
        <f t="array" ref="AG1248">IFERROR(INDEX(DaybyDay[],DaybyDay[[#This Row],[FORM_MATCH_HELPER]],8),"")</f>
        <v>15</v>
      </c>
      <c r="AH1248" s="39" cm="1">
        <f t="array" ref="AH1248">IFERROR(INDEX(DaybyDay[],DaybyDay[[#This Row],[FORM_MATCH_HELPER]],10),"")</f>
        <v>3350.2</v>
      </c>
      <c r="AI1248" s="39" cm="1">
        <f t="array" ref="AI1248">IFERROR(INDEX(DaybyDay[],DaybyDay[[#This Row],[FORM_MATCH_HELPER]],12),"")</f>
        <v>720.5</v>
      </c>
      <c r="AJ1248" s="32">
        <f>IFERROR(DaybyDay[[#This Row],[Serv-LY-RU]]+DaybyDay[[#This Row],[Ret-LY-RU]],"")</f>
        <v>926647.45</v>
      </c>
      <c r="AK12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918971.20311485929</v>
      </c>
      <c r="AL1248" s="77"/>
      <c r="AM1248" s="40" t="str">
        <f>IF(DaybyDay[[#This Row],[Admin Hours]]&gt;0,DaybyDay[[#This Row],[Admin Hours]]*$AM$2+$AM$3,"")</f>
        <v/>
      </c>
      <c r="AN1248" s="40">
        <f>SUMIFS(DaybyDay[Est-Admin-Payroll],DaybyDay[Date],"&gt;="&amp;$C$5,DaybyDay[RowYear],"&gt;="&amp;$C$4,DaybyDay[Date],"&lt;="&amp;DaybyDay[[#This Row],[Date]])</f>
        <v>13941.779999999997</v>
      </c>
      <c r="AO1248" s="41" t="str">
        <f>IF(AND(DaybyDay[[#This Row],[_Space]],ISNUMBER(DaybyDay[[#This Row],[Admin Hours]])),DaybyDay[[#This Row],[Est-Admin-Payroll]]/(DaybyDay[[#This Row],[Service-Actuals]]+DaybyDay[[#This Row],[Retail-Actuals]]),"")</f>
        <v/>
      </c>
      <c r="AP1248" s="41">
        <f>DaybyDay[[#This Row],[Estimated-Payroll-Rollup]]/DaybyDay[[#This Row],[Simple-Forecast]]</f>
        <v>1.5171073862536973E-2</v>
      </c>
      <c r="AQ12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176278.69963301119</v>
      </c>
      <c r="AR1248" s="77"/>
      <c r="AS1248" s="40" t="str">
        <f>IF(DaybyDay[[#This Row],[Retail Hours]]&gt;0,DaybyDay[[#This Row],[Retail Hours]]*$AS$2,"")</f>
        <v/>
      </c>
      <c r="AT1248" s="40">
        <f>SUMIFS(DaybyDay[Est-Retail-Payroll],DaybyDay[Date],"&gt;="&amp;$C$5,DaybyDay[RowYear],"&gt;="&amp;$C$4,DaybyDay[Date],"&lt;="&amp;DaybyDay[[#This Row],[Date]])</f>
        <v>2627.1</v>
      </c>
      <c r="AU1248" s="82" t="str">
        <f>IF(AND(DaybyDay[[#This Row],[_Space]],ISNUMBER(DaybyDay[[#This Row],[Retail Hours]])),DaybyDay[[#This Row],[Est-Retail-Payroll]]/(DaybyDay[[#This Row],[Retail-Actuals]]),"")</f>
        <v/>
      </c>
      <c r="AV1248" s="82">
        <f>DaybyDay[[#This Row],[Est-Retail-PayrollRU]]/DaybyDay[[#This Row],[Simple-Forecast-Retail]]</f>
        <v>1.4903105170785086E-2</v>
      </c>
      <c r="AW1248" s="8"/>
      <c r="AX1248" s="15"/>
      <c r="AY1248" s="8"/>
    </row>
    <row r="1249" spans="3:51" hidden="1" x14ac:dyDescent="0.25">
      <c r="C1249" s="26" t="str">
        <f>Tools!$C$1</f>
        <v>Example</v>
      </c>
      <c r="D1249" s="27" t="s">
        <v>72</v>
      </c>
      <c r="E1249" s="28">
        <v>2020</v>
      </c>
      <c r="F1249" s="28">
        <f>MATCH(DaybyDay[[#This Row],[RowMonth]],Table3[SummaryMonth],0)</f>
        <v>5</v>
      </c>
      <c r="G1249" s="29">
        <f>MATCH(DaybyDay[[#This Row],[LY-Date]],DaybyDay[Date],0)</f>
        <v>879</v>
      </c>
      <c r="H1249" s="30">
        <f>WEEKDAY(DaybyDay[[#This Row],[Date]])</f>
        <v>4</v>
      </c>
      <c r="I1249" s="31">
        <v>43978</v>
      </c>
      <c r="J1249" s="74"/>
      <c r="K1249" s="32">
        <f>SUMIFS(BudgetSeasonality[365 Seasonality],BudgetSeasonality[MonthAdjustment],DaybyDay[[#This Row],[Date]])*SUMIFS(Budgets[Service-Budget],Budgets[BudgetMonth],DaybyDay[[#This Row],[RowMonth]],Budgets[BudgetYear],DaybyDay[[#This Row],[RowYear]])</f>
        <v>4881.9429189705288</v>
      </c>
      <c r="L1249" s="75"/>
      <c r="M1249" s="32">
        <f>INDEX(BudgetSeasonality[365 Seasonality],MATCH(DaybyDay[[#This Row],[Date]],BudgetSeasonality[MonthAdjustment],0))*SUMIFS(Budgets[Retail-Budget],Budgets[BudgetMonth],DaybyDay[[#This Row],[RowMonth]],Budgets[BudgetYear],DaybyDay[[#This Row],[RowYear]])</f>
        <v>1283.3082242431885</v>
      </c>
      <c r="N1249" s="75"/>
      <c r="O1249" s="33">
        <f>SUMIFS(DaybyDay[Service-Budgets],DaybyDay[Date],"&gt;="&amp;$C$5,DaybyDay[RowYear],"&gt;="&amp;$C$4,DaybyDay[Date],"&lt;="&amp;DaybyDay[[#This Row],[Date]])</f>
        <v>799549.93961475918</v>
      </c>
      <c r="P1249" s="33">
        <f>SUMIFS(DaybyDay[Retail-Budgets],DaybyDay[Date],"&gt;="&amp;$C$5,DaybyDay[RowYear],"&gt;="&amp;$C$4,DaybyDay[Date],"&lt;="&amp;DaybyDay[[#This Row],[Date]])</f>
        <v>199704.30247870128</v>
      </c>
      <c r="Q1249" s="34">
        <f>SUMIFS(DaybyDay[Service-Actuals],DaybyDay[Date],"&gt;="&amp;$C$5,DaybyDay[RowYear],"&gt;="&amp;$C$4,DaybyDay[Date],"&lt;="&amp;DaybyDay[[#This Row],[Date]])</f>
        <v>385554.23</v>
      </c>
      <c r="R1249" s="34">
        <f>SUMIFS(DaybyDay[Retail-Actuals],DaybyDay[Date],"&gt;="&amp;$C$5,DaybyDay[RowYear],"&gt;="&amp;$C$4,DaybyDay[Date],"&lt;="&amp;DaybyDay[[#This Row],[Date]])</f>
        <v>88360.030000000028</v>
      </c>
      <c r="S1249" s="35">
        <f>SUMIFS(DaybyDay[Service-LY],DaybyDay[Date],"&gt;="&amp;$C$5,DaybyDay[RowYear],"&gt;="&amp;$C$4,DaybyDay[Date],"&lt;="&amp;DaybyDay[[#This Row],[Date]])</f>
        <v>753298.37</v>
      </c>
      <c r="T1249" s="35">
        <f>SUMIFS(DaybyDay[Retail-LY],DaybyDay[Date],"&gt;="&amp;$C$5,DaybyDay[RowYear],"&gt;="&amp;$C$4,DaybyDay[Date],"&lt;="&amp;DaybyDay[[#This Row],[Date]])</f>
        <v>179788.18</v>
      </c>
      <c r="U1249" s="32">
        <f>DaybyDay[[#This Row],[Serv-Bud-RU]]+DaybyDay[[#This Row],[Ret-Bud-RU]]</f>
        <v>999254.2420934604</v>
      </c>
      <c r="V1249" s="32">
        <f>DaybyDay[[#This Row],[Serv-Act-RU]]+DaybyDay[[#This Row],[Ret-Act-RU]]</f>
        <v>473914.26</v>
      </c>
      <c r="W1249" s="36" t="str">
        <f>IF(DaybyDay[[#This Row],[_Space]],IFERROR(
((DaybyDay[[#This Row],[Actual-Rollup]]-DaybyDay[[#This Row],[Budget-Rollup]])/DaybyDay[[#This Row],[Budget-Rollup]]),0),"")</f>
        <v/>
      </c>
      <c r="X1249" t="b">
        <f>NOT(AND(ISBLANK(DaybyDay[[#This Row],[Appts]]),ISBLANK(DaybyDay[[#This Row],[Service-Actuals]]),ISBLANK(DaybyDay[[#This Row],[Retail-Actuals]])))</f>
        <v>0</v>
      </c>
      <c r="Y1249" s="36" t="str">
        <f>IF(DaybyDay[[#This Row],[_Space]],IFERROR(
((DaybyDay[[#This Row],[Actual-Rollup]]-DaybyDay[[#This Row],[LY-Rollup]])/DaybyDay[[#This Row],[LY-Rollup]]),0),"")</f>
        <v/>
      </c>
      <c r="Z1249"/>
      <c r="AA1249" s="37" t="str">
        <f>IF(DaybyDay[[#This Row],[_Space]],DaybyDay[[#This Row],[Ret-Act-RU]]/DaybyDay[[#This Row],[Serv-Act-RU]],"")</f>
        <v/>
      </c>
      <c r="AB1249" s="50" t="str">
        <f>IF(DaybyDay[[#This Row],[_Space]],DaybyDay[[#This Row],[RETPEN-Act]]/DaybyDay[[#This Row],[RETPEN-Bud]],"")</f>
        <v/>
      </c>
      <c r="AC1249" s="37" t="str">
        <f>IF(DaybyDay[[#This Row],[_Space]],DaybyDay[[#This Row],[Ret-Bud-RU]]/DaybyDay[[#This Row],[Serv-Bud-RU]],"")</f>
        <v/>
      </c>
      <c r="AD1249" s="37" t="str">
        <f>IF(DaybyDay[[#This Row],[_Space]],DaybyDay[[#This Row],[Ret-LY-RU]]/DaybyDay[[#This Row],[Serv-LY-RU]],"")</f>
        <v/>
      </c>
      <c r="AE1249" s="30">
        <f>WEEKDAY(DaybyDay[[#This Row],[LY-Date]])</f>
        <v>4</v>
      </c>
      <c r="AF1249" s="38">
        <f>$E$2+_xlfn.DAYS(DaybyDay[[#This Row],[Date]],minDate)</f>
        <v>43614</v>
      </c>
      <c r="AG1249" s="39" cm="1">
        <f t="array" ref="AG1249">IFERROR(INDEX(DaybyDay[],DaybyDay[[#This Row],[FORM_MATCH_HELPER]],8),"")</f>
        <v>13</v>
      </c>
      <c r="AH1249" s="39" cm="1">
        <f t="array" ref="AH1249">IFERROR(INDEX(DaybyDay[],DaybyDay[[#This Row],[FORM_MATCH_HELPER]],10),"")</f>
        <v>3715.6000000000004</v>
      </c>
      <c r="AI1249" s="39" cm="1">
        <f t="array" ref="AI1249">IFERROR(INDEX(DaybyDay[],DaybyDay[[#This Row],[FORM_MATCH_HELPER]],12),"")</f>
        <v>2723.5</v>
      </c>
      <c r="AJ1249" s="32">
        <f>IFERROR(DaybyDay[[#This Row],[Serv-LY-RU]]+DaybyDay[[#This Row],[Ret-LY-RU]],"")</f>
        <v>933086.55</v>
      </c>
      <c r="AK12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924768.37697468966</v>
      </c>
      <c r="AL1249" s="77"/>
      <c r="AM1249" s="40" t="str">
        <f>IF(DaybyDay[[#This Row],[Admin Hours]]&gt;0,DaybyDay[[#This Row],[Admin Hours]]*$AM$2+$AM$3,"")</f>
        <v/>
      </c>
      <c r="AN1249" s="40">
        <f>SUMIFS(DaybyDay[Est-Admin-Payroll],DaybyDay[Date],"&gt;="&amp;$C$5,DaybyDay[RowYear],"&gt;="&amp;$C$4,DaybyDay[Date],"&lt;="&amp;DaybyDay[[#This Row],[Date]])</f>
        <v>13941.779999999997</v>
      </c>
      <c r="AO1249" s="41" t="str">
        <f>IF(AND(DaybyDay[[#This Row],[_Space]],ISNUMBER(DaybyDay[[#This Row],[Admin Hours]])),DaybyDay[[#This Row],[Est-Admin-Payroll]]/(DaybyDay[[#This Row],[Service-Actuals]]+DaybyDay[[#This Row],[Retail-Actuals]]),"")</f>
        <v/>
      </c>
      <c r="AP1249" s="41">
        <f>DaybyDay[[#This Row],[Estimated-Payroll-Rollup]]/DaybyDay[[#This Row],[Simple-Forecast]]</f>
        <v>1.5075969666706688E-2</v>
      </c>
      <c r="AQ12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178167.36417522799</v>
      </c>
      <c r="AR1249" s="77"/>
      <c r="AS1249" s="40" t="str">
        <f>IF(DaybyDay[[#This Row],[Retail Hours]]&gt;0,DaybyDay[[#This Row],[Retail Hours]]*$AS$2,"")</f>
        <v/>
      </c>
      <c r="AT1249" s="40">
        <f>SUMIFS(DaybyDay[Est-Retail-Payroll],DaybyDay[Date],"&gt;="&amp;$C$5,DaybyDay[RowYear],"&gt;="&amp;$C$4,DaybyDay[Date],"&lt;="&amp;DaybyDay[[#This Row],[Date]])</f>
        <v>2627.1</v>
      </c>
      <c r="AU1249" s="82" t="str">
        <f>IF(AND(DaybyDay[[#This Row],[_Space]],ISNUMBER(DaybyDay[[#This Row],[Retail Hours]])),DaybyDay[[#This Row],[Est-Retail-Payroll]]/(DaybyDay[[#This Row],[Retail-Actuals]]),"")</f>
        <v/>
      </c>
      <c r="AV1249" s="82">
        <f>DaybyDay[[#This Row],[Est-Retail-PayrollRU]]/DaybyDay[[#This Row],[Simple-Forecast-Retail]]</f>
        <v>1.4745124687460949E-2</v>
      </c>
      <c r="AW1249" s="8"/>
      <c r="AX1249" s="15"/>
      <c r="AY1249" s="8"/>
    </row>
    <row r="1250" spans="3:51" hidden="1" x14ac:dyDescent="0.25">
      <c r="C1250" s="26" t="str">
        <f>Tools!$C$1</f>
        <v>Example</v>
      </c>
      <c r="D1250" s="27" t="s">
        <v>72</v>
      </c>
      <c r="E1250" s="28">
        <v>2020</v>
      </c>
      <c r="F1250" s="28">
        <f>MATCH(DaybyDay[[#This Row],[RowMonth]],Table3[SummaryMonth],0)</f>
        <v>5</v>
      </c>
      <c r="G1250" s="29">
        <f>MATCH(DaybyDay[[#This Row],[LY-Date]],DaybyDay[Date],0)</f>
        <v>880</v>
      </c>
      <c r="H1250" s="30">
        <f>WEEKDAY(DaybyDay[[#This Row],[Date]])</f>
        <v>5</v>
      </c>
      <c r="I1250" s="31">
        <v>43979</v>
      </c>
      <c r="J1250" s="74"/>
      <c r="K1250" s="32">
        <f>SUMIFS(BudgetSeasonality[365 Seasonality],BudgetSeasonality[MonthAdjustment],DaybyDay[[#This Row],[Date]])*SUMIFS(Budgets[Service-Budget],Budgets[BudgetMonth],DaybyDay[[#This Row],[RowMonth]],Budgets[BudgetYear],DaybyDay[[#This Row],[RowYear]])</f>
        <v>4982.8766394615232</v>
      </c>
      <c r="L1250" s="75"/>
      <c r="M1250" s="32">
        <f>INDEX(BudgetSeasonality[365 Seasonality],MATCH(DaybyDay[[#This Row],[Date]],BudgetSeasonality[MonthAdjustment],0))*SUMIFS(Budgets[Retail-Budget],Budgets[BudgetMonth],DaybyDay[[#This Row],[RowMonth]],Budgets[BudgetYear],DaybyDay[[#This Row],[RowYear]])</f>
        <v>1309.840503657236</v>
      </c>
      <c r="N1250" s="75"/>
      <c r="O1250" s="33">
        <f>SUMIFS(DaybyDay[Service-Budgets],DaybyDay[Date],"&gt;="&amp;$C$5,DaybyDay[RowYear],"&gt;="&amp;$C$4,DaybyDay[Date],"&lt;="&amp;DaybyDay[[#This Row],[Date]])</f>
        <v>804532.81625422067</v>
      </c>
      <c r="P1250" s="33">
        <f>SUMIFS(DaybyDay[Retail-Budgets],DaybyDay[Date],"&gt;="&amp;$C$5,DaybyDay[RowYear],"&gt;="&amp;$C$4,DaybyDay[Date],"&lt;="&amp;DaybyDay[[#This Row],[Date]])</f>
        <v>201014.14298235852</v>
      </c>
      <c r="Q1250" s="34">
        <f>SUMIFS(DaybyDay[Service-Actuals],DaybyDay[Date],"&gt;="&amp;$C$5,DaybyDay[RowYear],"&gt;="&amp;$C$4,DaybyDay[Date],"&lt;="&amp;DaybyDay[[#This Row],[Date]])</f>
        <v>385554.23</v>
      </c>
      <c r="R1250" s="34">
        <f>SUMIFS(DaybyDay[Retail-Actuals],DaybyDay[Date],"&gt;="&amp;$C$5,DaybyDay[RowYear],"&gt;="&amp;$C$4,DaybyDay[Date],"&lt;="&amp;DaybyDay[[#This Row],[Date]])</f>
        <v>88360.030000000028</v>
      </c>
      <c r="S1250" s="35">
        <f>SUMIFS(DaybyDay[Service-LY],DaybyDay[Date],"&gt;="&amp;$C$5,DaybyDay[RowYear],"&gt;="&amp;$C$4,DaybyDay[Date],"&lt;="&amp;DaybyDay[[#This Row],[Date]])</f>
        <v>756483.22</v>
      </c>
      <c r="T1250" s="35">
        <f>SUMIFS(DaybyDay[Retail-LY],DaybyDay[Date],"&gt;="&amp;$C$5,DaybyDay[RowYear],"&gt;="&amp;$C$4,DaybyDay[Date],"&lt;="&amp;DaybyDay[[#This Row],[Date]])</f>
        <v>181905.18</v>
      </c>
      <c r="U1250" s="32">
        <f>DaybyDay[[#This Row],[Serv-Bud-RU]]+DaybyDay[[#This Row],[Ret-Bud-RU]]</f>
        <v>1005546.9592365792</v>
      </c>
      <c r="V1250" s="32">
        <f>DaybyDay[[#This Row],[Serv-Act-RU]]+DaybyDay[[#This Row],[Ret-Act-RU]]</f>
        <v>473914.26</v>
      </c>
      <c r="W1250" s="36" t="str">
        <f>IF(DaybyDay[[#This Row],[_Space]],IFERROR(
((DaybyDay[[#This Row],[Actual-Rollup]]-DaybyDay[[#This Row],[Budget-Rollup]])/DaybyDay[[#This Row],[Budget-Rollup]]),0),"")</f>
        <v/>
      </c>
      <c r="X1250" t="b">
        <f>NOT(AND(ISBLANK(DaybyDay[[#This Row],[Appts]]),ISBLANK(DaybyDay[[#This Row],[Service-Actuals]]),ISBLANK(DaybyDay[[#This Row],[Retail-Actuals]])))</f>
        <v>0</v>
      </c>
      <c r="Y1250" s="36" t="str">
        <f>IF(DaybyDay[[#This Row],[_Space]],IFERROR(
((DaybyDay[[#This Row],[Actual-Rollup]]-DaybyDay[[#This Row],[LY-Rollup]])/DaybyDay[[#This Row],[LY-Rollup]]),0),"")</f>
        <v/>
      </c>
      <c r="Z1250"/>
      <c r="AA1250" s="37" t="str">
        <f>IF(DaybyDay[[#This Row],[_Space]],DaybyDay[[#This Row],[Ret-Act-RU]]/DaybyDay[[#This Row],[Serv-Act-RU]],"")</f>
        <v/>
      </c>
      <c r="AB1250" s="50" t="str">
        <f>IF(DaybyDay[[#This Row],[_Space]],DaybyDay[[#This Row],[RETPEN-Act]]/DaybyDay[[#This Row],[RETPEN-Bud]],"")</f>
        <v/>
      </c>
      <c r="AC1250" s="37" t="str">
        <f>IF(DaybyDay[[#This Row],[_Space]],DaybyDay[[#This Row],[Ret-Bud-RU]]/DaybyDay[[#This Row],[Serv-Bud-RU]],"")</f>
        <v/>
      </c>
      <c r="AD1250" s="37" t="str">
        <f>IF(DaybyDay[[#This Row],[_Space]],DaybyDay[[#This Row],[Ret-LY-RU]]/DaybyDay[[#This Row],[Serv-LY-RU]],"")</f>
        <v/>
      </c>
      <c r="AE1250" s="30">
        <f>WEEKDAY(DaybyDay[[#This Row],[LY-Date]])</f>
        <v>5</v>
      </c>
      <c r="AF1250" s="38">
        <f>$E$2+_xlfn.DAYS(DaybyDay[[#This Row],[Date]],minDate)</f>
        <v>43615</v>
      </c>
      <c r="AG1250" s="39" cm="1">
        <f t="array" ref="AG1250">IFERROR(INDEX(DaybyDay[],DaybyDay[[#This Row],[FORM_MATCH_HELPER]],8),"")</f>
        <v>16</v>
      </c>
      <c r="AH1250" s="39" cm="1">
        <f t="array" ref="AH1250">IFERROR(INDEX(DaybyDay[],DaybyDay[[#This Row],[FORM_MATCH_HELPER]],10),"")</f>
        <v>3184.8500000000004</v>
      </c>
      <c r="AI1250" s="39" cm="1">
        <f t="array" ref="AI1250">IFERROR(INDEX(DaybyDay[],DaybyDay[[#This Row],[FORM_MATCH_HELPER]],12),"")</f>
        <v>2117</v>
      </c>
      <c r="AJ1250" s="32">
        <f>IFERROR(DaybyDay[[#This Row],[Serv-LY-RU]]+DaybyDay[[#This Row],[Ret-LY-RU]],"")</f>
        <v>938388.39999999991</v>
      </c>
      <c r="AK12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930059.05570969172</v>
      </c>
      <c r="AL1250" s="77"/>
      <c r="AM1250" s="40" t="str">
        <f>IF(DaybyDay[[#This Row],[Admin Hours]]&gt;0,DaybyDay[[#This Row],[Admin Hours]]*$AM$2+$AM$3,"")</f>
        <v/>
      </c>
      <c r="AN1250" s="40">
        <f>SUMIFS(DaybyDay[Est-Admin-Payroll],DaybyDay[Date],"&gt;="&amp;$C$5,DaybyDay[RowYear],"&gt;="&amp;$C$4,DaybyDay[Date],"&lt;="&amp;DaybyDay[[#This Row],[Date]])</f>
        <v>13941.779999999997</v>
      </c>
      <c r="AO1250" s="41" t="str">
        <f>IF(AND(DaybyDay[[#This Row],[_Space]],ISNUMBER(DaybyDay[[#This Row],[Admin Hours]])),DaybyDay[[#This Row],[Est-Admin-Payroll]]/(DaybyDay[[#This Row],[Service-Actuals]]+DaybyDay[[#This Row],[Retail-Actuals]]),"")</f>
        <v/>
      </c>
      <c r="AP1250" s="41">
        <f>DaybyDay[[#This Row],[Estimated-Payroll-Rollup]]/DaybyDay[[#This Row],[Simple-Forecast]]</f>
        <v>1.4990209400586471E-2</v>
      </c>
      <c r="AQ12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179768.28363745552</v>
      </c>
      <c r="AR1250" s="77"/>
      <c r="AS1250" s="40" t="str">
        <f>IF(DaybyDay[[#This Row],[Retail Hours]]&gt;0,DaybyDay[[#This Row],[Retail Hours]]*$AS$2,"")</f>
        <v/>
      </c>
      <c r="AT1250" s="40">
        <f>SUMIFS(DaybyDay[Est-Retail-Payroll],DaybyDay[Date],"&gt;="&amp;$C$5,DaybyDay[RowYear],"&gt;="&amp;$C$4,DaybyDay[Date],"&lt;="&amp;DaybyDay[[#This Row],[Date]])</f>
        <v>2627.1</v>
      </c>
      <c r="AU1250" s="82" t="str">
        <f>IF(AND(DaybyDay[[#This Row],[_Space]],ISNUMBER(DaybyDay[[#This Row],[Retail Hours]])),DaybyDay[[#This Row],[Est-Retail-Payroll]]/(DaybyDay[[#This Row],[Retail-Actuals]]),"")</f>
        <v/>
      </c>
      <c r="AV1250" s="82">
        <f>DaybyDay[[#This Row],[Est-Retail-PayrollRU]]/DaybyDay[[#This Row],[Simple-Forecast-Retail]]</f>
        <v>1.4613812552709002E-2</v>
      </c>
      <c r="AW1250" s="8"/>
      <c r="AX1250" s="15"/>
      <c r="AY1250" s="8"/>
    </row>
    <row r="1251" spans="3:51" hidden="1" x14ac:dyDescent="0.25">
      <c r="C1251" s="26" t="str">
        <f>Tools!$C$1</f>
        <v>Example</v>
      </c>
      <c r="D1251" s="27" t="s">
        <v>72</v>
      </c>
      <c r="E1251" s="28">
        <v>2020</v>
      </c>
      <c r="F1251" s="28">
        <f>MATCH(DaybyDay[[#This Row],[RowMonth]],Table3[SummaryMonth],0)</f>
        <v>5</v>
      </c>
      <c r="G1251" s="29">
        <f>MATCH(DaybyDay[[#This Row],[LY-Date]],DaybyDay[Date],0)</f>
        <v>881</v>
      </c>
      <c r="H1251" s="30">
        <f>WEEKDAY(DaybyDay[[#This Row],[Date]])</f>
        <v>6</v>
      </c>
      <c r="I1251" s="31">
        <v>43980</v>
      </c>
      <c r="J1251" s="74"/>
      <c r="K1251" s="32">
        <f>SUMIFS(BudgetSeasonality[365 Seasonality],BudgetSeasonality[MonthAdjustment],DaybyDay[[#This Row],[Date]])*SUMIFS(Budgets[Service-Budget],Budgets[BudgetMonth],DaybyDay[[#This Row],[RowMonth]],Budgets[BudgetYear],DaybyDay[[#This Row],[RowYear]])</f>
        <v>6157.4882899807899</v>
      </c>
      <c r="L1251" s="75"/>
      <c r="M1251" s="32">
        <f>INDEX(BudgetSeasonality[365 Seasonality],MATCH(DaybyDay[[#This Row],[Date]],BudgetSeasonality[MonthAdjustment],0))*SUMIFS(Budgets[Retail-Budget],Budgets[BudgetMonth],DaybyDay[[#This Row],[RowMonth]],Budgets[BudgetYear],DaybyDay[[#This Row],[RowYear]])</f>
        <v>1618.6087167278447</v>
      </c>
      <c r="N1251" s="75"/>
      <c r="O1251" s="33">
        <f>SUMIFS(DaybyDay[Service-Budgets],DaybyDay[Date],"&gt;="&amp;$C$5,DaybyDay[RowYear],"&gt;="&amp;$C$4,DaybyDay[Date],"&lt;="&amp;DaybyDay[[#This Row],[Date]])</f>
        <v>810690.30454420147</v>
      </c>
      <c r="P1251" s="33">
        <f>SUMIFS(DaybyDay[Retail-Budgets],DaybyDay[Date],"&gt;="&amp;$C$5,DaybyDay[RowYear],"&gt;="&amp;$C$4,DaybyDay[Date],"&lt;="&amp;DaybyDay[[#This Row],[Date]])</f>
        <v>202632.75169908637</v>
      </c>
      <c r="Q1251" s="34">
        <f>SUMIFS(DaybyDay[Service-Actuals],DaybyDay[Date],"&gt;="&amp;$C$5,DaybyDay[RowYear],"&gt;="&amp;$C$4,DaybyDay[Date],"&lt;="&amp;DaybyDay[[#This Row],[Date]])</f>
        <v>385554.23</v>
      </c>
      <c r="R1251" s="34">
        <f>SUMIFS(DaybyDay[Retail-Actuals],DaybyDay[Date],"&gt;="&amp;$C$5,DaybyDay[RowYear],"&gt;="&amp;$C$4,DaybyDay[Date],"&lt;="&amp;DaybyDay[[#This Row],[Date]])</f>
        <v>88360.030000000028</v>
      </c>
      <c r="S1251" s="35">
        <f>SUMIFS(DaybyDay[Service-LY],DaybyDay[Date],"&gt;="&amp;$C$5,DaybyDay[RowYear],"&gt;="&amp;$C$4,DaybyDay[Date],"&lt;="&amp;DaybyDay[[#This Row],[Date]])</f>
        <v>761962.82</v>
      </c>
      <c r="T1251" s="35">
        <f>SUMIFS(DaybyDay[Retail-LY],DaybyDay[Date],"&gt;="&amp;$C$5,DaybyDay[RowYear],"&gt;="&amp;$C$4,DaybyDay[Date],"&lt;="&amp;DaybyDay[[#This Row],[Date]])</f>
        <v>182751.9</v>
      </c>
      <c r="U1251" s="32">
        <f>DaybyDay[[#This Row],[Serv-Bud-RU]]+DaybyDay[[#This Row],[Ret-Bud-RU]]</f>
        <v>1013323.0562432879</v>
      </c>
      <c r="V1251" s="32">
        <f>DaybyDay[[#This Row],[Serv-Act-RU]]+DaybyDay[[#This Row],[Ret-Act-RU]]</f>
        <v>473914.26</v>
      </c>
      <c r="W1251" s="36" t="str">
        <f>IF(DaybyDay[[#This Row],[_Space]],IFERROR(
((DaybyDay[[#This Row],[Actual-Rollup]]-DaybyDay[[#This Row],[Budget-Rollup]])/DaybyDay[[#This Row],[Budget-Rollup]]),0),"")</f>
        <v/>
      </c>
      <c r="X1251" t="b">
        <f>NOT(AND(ISBLANK(DaybyDay[[#This Row],[Appts]]),ISBLANK(DaybyDay[[#This Row],[Service-Actuals]]),ISBLANK(DaybyDay[[#This Row],[Retail-Actuals]])))</f>
        <v>0</v>
      </c>
      <c r="Y1251" s="36" t="str">
        <f>IF(DaybyDay[[#This Row],[_Space]],IFERROR(
((DaybyDay[[#This Row],[Actual-Rollup]]-DaybyDay[[#This Row],[LY-Rollup]])/DaybyDay[[#This Row],[LY-Rollup]]),0),"")</f>
        <v/>
      </c>
      <c r="Z1251"/>
      <c r="AA1251" s="37" t="str">
        <f>IF(DaybyDay[[#This Row],[_Space]],DaybyDay[[#This Row],[Ret-Act-RU]]/DaybyDay[[#This Row],[Serv-Act-RU]],"")</f>
        <v/>
      </c>
      <c r="AB1251" s="50" t="str">
        <f>IF(DaybyDay[[#This Row],[_Space]],DaybyDay[[#This Row],[RETPEN-Act]]/DaybyDay[[#This Row],[RETPEN-Bud]],"")</f>
        <v/>
      </c>
      <c r="AC1251" s="37" t="str">
        <f>IF(DaybyDay[[#This Row],[_Space]],DaybyDay[[#This Row],[Ret-Bud-RU]]/DaybyDay[[#This Row],[Serv-Bud-RU]],"")</f>
        <v/>
      </c>
      <c r="AD1251" s="37" t="str">
        <f>IF(DaybyDay[[#This Row],[_Space]],DaybyDay[[#This Row],[Ret-LY-RU]]/DaybyDay[[#This Row],[Serv-LY-RU]],"")</f>
        <v/>
      </c>
      <c r="AE1251" s="30">
        <f>WEEKDAY(DaybyDay[[#This Row],[LY-Date]])</f>
        <v>6</v>
      </c>
      <c r="AF1251" s="38">
        <f>$E$2+_xlfn.DAYS(DaybyDay[[#This Row],[Date]],minDate)</f>
        <v>43616</v>
      </c>
      <c r="AG1251" s="39" cm="1">
        <f t="array" ref="AG1251">IFERROR(INDEX(DaybyDay[],DaybyDay[[#This Row],[FORM_MATCH_HELPER]],8),"")</f>
        <v>25</v>
      </c>
      <c r="AH1251" s="39" cm="1">
        <f t="array" ref="AH1251">IFERROR(INDEX(DaybyDay[],DaybyDay[[#This Row],[FORM_MATCH_HELPER]],10),"")</f>
        <v>5479.5999999999995</v>
      </c>
      <c r="AI1251" s="39" cm="1">
        <f t="array" ref="AI1251">IFERROR(INDEX(DaybyDay[],DaybyDay[[#This Row],[FORM_MATCH_HELPER]],12),"")</f>
        <v>846.72</v>
      </c>
      <c r="AJ1251" s="32">
        <f>IFERROR(DaybyDay[[#This Row],[Serv-LY-RU]]+DaybyDay[[#This Row],[Ret-LY-RU]],"")</f>
        <v>944714.72</v>
      </c>
      <c r="AK12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936485.80520044162</v>
      </c>
      <c r="AL1251" s="77"/>
      <c r="AM1251" s="40" t="str">
        <f>IF(DaybyDay[[#This Row],[Admin Hours]]&gt;0,DaybyDay[[#This Row],[Admin Hours]]*$AM$2+$AM$3,"")</f>
        <v/>
      </c>
      <c r="AN1251" s="40">
        <f>SUMIFS(DaybyDay[Est-Admin-Payroll],DaybyDay[Date],"&gt;="&amp;$C$5,DaybyDay[RowYear],"&gt;="&amp;$C$4,DaybyDay[Date],"&lt;="&amp;DaybyDay[[#This Row],[Date]])</f>
        <v>13941.779999999997</v>
      </c>
      <c r="AO1251" s="41" t="str">
        <f>IF(AND(DaybyDay[[#This Row],[_Space]],ISNUMBER(DaybyDay[[#This Row],[Admin Hours]])),DaybyDay[[#This Row],[Est-Admin-Payroll]]/(DaybyDay[[#This Row],[Service-Actuals]]+DaybyDay[[#This Row],[Retail-Actuals]]),"")</f>
        <v/>
      </c>
      <c r="AP1251" s="41">
        <f>DaybyDay[[#This Row],[Estimated-Payroll-Rollup]]/DaybyDay[[#This Row],[Simple-Forecast]]</f>
        <v>1.4887337237339071E-2</v>
      </c>
      <c r="AQ12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180874.23620477645</v>
      </c>
      <c r="AR1251" s="77"/>
      <c r="AS1251" s="40" t="str">
        <f>IF(DaybyDay[[#This Row],[Retail Hours]]&gt;0,DaybyDay[[#This Row],[Retail Hours]]*$AS$2,"")</f>
        <v/>
      </c>
      <c r="AT1251" s="40">
        <f>SUMIFS(DaybyDay[Est-Retail-Payroll],DaybyDay[Date],"&gt;="&amp;$C$5,DaybyDay[RowYear],"&gt;="&amp;$C$4,DaybyDay[Date],"&lt;="&amp;DaybyDay[[#This Row],[Date]])</f>
        <v>2627.1</v>
      </c>
      <c r="AU1251" s="82" t="str">
        <f>IF(AND(DaybyDay[[#This Row],[_Space]],ISNUMBER(DaybyDay[[#This Row],[Retail Hours]])),DaybyDay[[#This Row],[Est-Retail-Payroll]]/(DaybyDay[[#This Row],[Retail-Actuals]]),"")</f>
        <v/>
      </c>
      <c r="AV1251" s="82">
        <f>DaybyDay[[#This Row],[Est-Retail-PayrollRU]]/DaybyDay[[#This Row],[Simple-Forecast-Retail]]</f>
        <v>1.4524456634198213E-2</v>
      </c>
      <c r="AW1251" s="8"/>
      <c r="AX1251" s="15"/>
      <c r="AY1251" s="8"/>
    </row>
    <row r="1252" spans="3:51" hidden="1" x14ac:dyDescent="0.25">
      <c r="C1252" s="26" t="str">
        <f>Tools!$C$1</f>
        <v>Example</v>
      </c>
      <c r="D1252" s="27" t="s">
        <v>72</v>
      </c>
      <c r="E1252" s="28">
        <v>2020</v>
      </c>
      <c r="F1252" s="28">
        <f>MATCH(DaybyDay[[#This Row],[RowMonth]],Table3[SummaryMonth],0)</f>
        <v>5</v>
      </c>
      <c r="G1252" s="29">
        <f>MATCH(DaybyDay[[#This Row],[LY-Date]],DaybyDay[Date],0)</f>
        <v>882</v>
      </c>
      <c r="H1252" s="30">
        <f>WEEKDAY(DaybyDay[[#This Row],[Date]])</f>
        <v>7</v>
      </c>
      <c r="I1252" s="31">
        <v>43981</v>
      </c>
      <c r="J1252" s="74"/>
      <c r="K1252" s="32">
        <f>SUMIFS(BudgetSeasonality[365 Seasonality],BudgetSeasonality[MonthAdjustment],DaybyDay[[#This Row],[Date]])*SUMIFS(Budgets[Service-Budget],Budgets[BudgetMonth],DaybyDay[[#This Row],[RowMonth]],Budgets[BudgetYear],DaybyDay[[#This Row],[RowYear]])</f>
        <v>8680.8582080057258</v>
      </c>
      <c r="L1252" s="75"/>
      <c r="M1252" s="32">
        <f>INDEX(BudgetSeasonality[365 Seasonality],MATCH(DaybyDay[[#This Row],[Date]],BudgetSeasonality[MonthAdjustment],0))*SUMIFS(Budgets[Retail-Budget],Budgets[BudgetMonth],DaybyDay[[#This Row],[RowMonth]],Budgets[BudgetYear],DaybyDay[[#This Row],[RowYear]])</f>
        <v>2281.9227747488517</v>
      </c>
      <c r="N1252" s="75"/>
      <c r="O1252" s="33">
        <f>SUMIFS(DaybyDay[Service-Budgets],DaybyDay[Date],"&gt;="&amp;$C$5,DaybyDay[RowYear],"&gt;="&amp;$C$4,DaybyDay[Date],"&lt;="&amp;DaybyDay[[#This Row],[Date]])</f>
        <v>819371.16275220725</v>
      </c>
      <c r="P1252" s="33">
        <f>SUMIFS(DaybyDay[Retail-Budgets],DaybyDay[Date],"&gt;="&amp;$C$5,DaybyDay[RowYear],"&gt;="&amp;$C$4,DaybyDay[Date],"&lt;="&amp;DaybyDay[[#This Row],[Date]])</f>
        <v>204914.67447383521</v>
      </c>
      <c r="Q1252" s="34">
        <f>SUMIFS(DaybyDay[Service-Actuals],DaybyDay[Date],"&gt;="&amp;$C$5,DaybyDay[RowYear],"&gt;="&amp;$C$4,DaybyDay[Date],"&lt;="&amp;DaybyDay[[#This Row],[Date]])</f>
        <v>385554.23</v>
      </c>
      <c r="R1252" s="34">
        <f>SUMIFS(DaybyDay[Retail-Actuals],DaybyDay[Date],"&gt;="&amp;$C$5,DaybyDay[RowYear],"&gt;="&amp;$C$4,DaybyDay[Date],"&lt;="&amp;DaybyDay[[#This Row],[Date]])</f>
        <v>88360.030000000028</v>
      </c>
      <c r="S1252" s="35">
        <f>SUMIFS(DaybyDay[Service-LY],DaybyDay[Date],"&gt;="&amp;$C$5,DaybyDay[RowYear],"&gt;="&amp;$C$4,DaybyDay[Date],"&lt;="&amp;DaybyDay[[#This Row],[Date]])</f>
        <v>770771.22</v>
      </c>
      <c r="T1252" s="35">
        <f>SUMIFS(DaybyDay[Retail-LY],DaybyDay[Date],"&gt;="&amp;$C$5,DaybyDay[RowYear],"&gt;="&amp;$C$4,DaybyDay[Date],"&lt;="&amp;DaybyDay[[#This Row],[Date]])</f>
        <v>184655.9</v>
      </c>
      <c r="U1252" s="32">
        <f>DaybyDay[[#This Row],[Serv-Bud-RU]]+DaybyDay[[#This Row],[Ret-Bud-RU]]</f>
        <v>1024285.8372260425</v>
      </c>
      <c r="V1252" s="32">
        <f>DaybyDay[[#This Row],[Serv-Act-RU]]+DaybyDay[[#This Row],[Ret-Act-RU]]</f>
        <v>473914.26</v>
      </c>
      <c r="W1252" s="36" t="str">
        <f>IF(DaybyDay[[#This Row],[_Space]],IFERROR(
((DaybyDay[[#This Row],[Actual-Rollup]]-DaybyDay[[#This Row],[Budget-Rollup]])/DaybyDay[[#This Row],[Budget-Rollup]]),0),"")</f>
        <v/>
      </c>
      <c r="X1252" t="b">
        <f>NOT(AND(ISBLANK(DaybyDay[[#This Row],[Appts]]),ISBLANK(DaybyDay[[#This Row],[Service-Actuals]]),ISBLANK(DaybyDay[[#This Row],[Retail-Actuals]])))</f>
        <v>0</v>
      </c>
      <c r="Y1252" s="36" t="str">
        <f>IF(DaybyDay[[#This Row],[_Space]],IFERROR(
((DaybyDay[[#This Row],[Actual-Rollup]]-DaybyDay[[#This Row],[LY-Rollup]])/DaybyDay[[#This Row],[LY-Rollup]]),0),"")</f>
        <v/>
      </c>
      <c r="Z1252"/>
      <c r="AA1252" s="37" t="str">
        <f>IF(DaybyDay[[#This Row],[_Space]],DaybyDay[[#This Row],[Ret-Act-RU]]/DaybyDay[[#This Row],[Serv-Act-RU]],"")</f>
        <v/>
      </c>
      <c r="AB1252" s="50" t="str">
        <f>IF(DaybyDay[[#This Row],[_Space]],DaybyDay[[#This Row],[RETPEN-Act]]/DaybyDay[[#This Row],[RETPEN-Bud]],"")</f>
        <v/>
      </c>
      <c r="AC1252" s="37" t="str">
        <f>IF(DaybyDay[[#This Row],[_Space]],DaybyDay[[#This Row],[Ret-Bud-RU]]/DaybyDay[[#This Row],[Serv-Bud-RU]],"")</f>
        <v/>
      </c>
      <c r="AD1252" s="37" t="str">
        <f>IF(DaybyDay[[#This Row],[_Space]],DaybyDay[[#This Row],[Ret-LY-RU]]/DaybyDay[[#This Row],[Serv-LY-RU]],"")</f>
        <v/>
      </c>
      <c r="AE1252" s="30">
        <f>WEEKDAY(DaybyDay[[#This Row],[LY-Date]])</f>
        <v>7</v>
      </c>
      <c r="AF1252" s="38">
        <f>$E$2+_xlfn.DAYS(DaybyDay[[#This Row],[Date]],minDate)</f>
        <v>43617</v>
      </c>
      <c r="AG1252" s="39" cm="1">
        <f t="array" ref="AG1252">IFERROR(INDEX(DaybyDay[],DaybyDay[[#This Row],[FORM_MATCH_HELPER]],8),"")</f>
        <v>31</v>
      </c>
      <c r="AH1252" s="39" cm="1">
        <f t="array" ref="AH1252">IFERROR(INDEX(DaybyDay[],DaybyDay[[#This Row],[FORM_MATCH_HELPER]],10),"")</f>
        <v>8808.4</v>
      </c>
      <c r="AI1252" s="39" cm="1">
        <f t="array" ref="AI1252">IFERROR(INDEX(DaybyDay[],DaybyDay[[#This Row],[FORM_MATCH_HELPER]],12),"")</f>
        <v>1904</v>
      </c>
      <c r="AJ1252" s="32">
        <f>IFERROR(DaybyDay[[#This Row],[Serv-LY-RU]]+DaybyDay[[#This Row],[Ret-LY-RU]],"")</f>
        <v>955427.12</v>
      </c>
      <c r="AK12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946430.55307173042</v>
      </c>
      <c r="AL1252" s="77"/>
      <c r="AM1252" s="40" t="str">
        <f>IF(DaybyDay[[#This Row],[Admin Hours]]&gt;0,DaybyDay[[#This Row],[Admin Hours]]*$AM$2+$AM$3,"")</f>
        <v/>
      </c>
      <c r="AN1252" s="40">
        <f>SUMIFS(DaybyDay[Est-Admin-Payroll],DaybyDay[Date],"&gt;="&amp;$C$5,DaybyDay[RowYear],"&gt;="&amp;$C$4,DaybyDay[Date],"&lt;="&amp;DaybyDay[[#This Row],[Date]])</f>
        <v>13941.779999999997</v>
      </c>
      <c r="AO1252" s="41" t="str">
        <f>IF(AND(DaybyDay[[#This Row],[_Space]],ISNUMBER(DaybyDay[[#This Row],[Admin Hours]])),DaybyDay[[#This Row],[Est-Admin-Payroll]]/(DaybyDay[[#This Row],[Service-Actuals]]+DaybyDay[[#This Row],[Retail-Actuals]]),"")</f>
        <v/>
      </c>
      <c r="AP1252" s="41">
        <f>DaybyDay[[#This Row],[Estimated-Payroll-Rollup]]/DaybyDay[[#This Row],[Simple-Forecast]]</f>
        <v>1.4730906514747039E-2</v>
      </c>
      <c r="AQ12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182783.61733636825</v>
      </c>
      <c r="AR1252" s="77"/>
      <c r="AS1252" s="40" t="str">
        <f>IF(DaybyDay[[#This Row],[Retail Hours]]&gt;0,DaybyDay[[#This Row],[Retail Hours]]*$AS$2,"")</f>
        <v/>
      </c>
      <c r="AT1252" s="40">
        <f>SUMIFS(DaybyDay[Est-Retail-Payroll],DaybyDay[Date],"&gt;="&amp;$C$5,DaybyDay[RowYear],"&gt;="&amp;$C$4,DaybyDay[Date],"&lt;="&amp;DaybyDay[[#This Row],[Date]])</f>
        <v>2627.1</v>
      </c>
      <c r="AU1252" s="82" t="str">
        <f>IF(AND(DaybyDay[[#This Row],[_Space]],ISNUMBER(DaybyDay[[#This Row],[Retail Hours]])),DaybyDay[[#This Row],[Est-Retail-Payroll]]/(DaybyDay[[#This Row],[Retail-Actuals]]),"")</f>
        <v/>
      </c>
      <c r="AV1252" s="82">
        <f>DaybyDay[[#This Row],[Est-Retail-PayrollRU]]/DaybyDay[[#This Row],[Simple-Forecast-Retail]]</f>
        <v>1.4372732295616347E-2</v>
      </c>
      <c r="AW1252" s="8"/>
      <c r="AX1252" s="15"/>
      <c r="AY1252" s="8"/>
    </row>
    <row r="1253" spans="3:51" hidden="1" x14ac:dyDescent="0.25">
      <c r="C1253" s="26" t="str">
        <f>Tools!$C$1</f>
        <v>Example</v>
      </c>
      <c r="D1253" s="27" t="s">
        <v>73</v>
      </c>
      <c r="E1253" s="28">
        <v>2020</v>
      </c>
      <c r="F1253" s="28">
        <f>MATCH(DaybyDay[[#This Row],[RowMonth]],Table3[SummaryMonth],0)</f>
        <v>6</v>
      </c>
      <c r="G1253" s="29">
        <f>MATCH(DaybyDay[[#This Row],[LY-Date]],DaybyDay[Date],0)</f>
        <v>883</v>
      </c>
      <c r="H1253" s="30">
        <f>WEEKDAY(DaybyDay[[#This Row],[Date]])</f>
        <v>1</v>
      </c>
      <c r="I1253" s="31">
        <v>43982</v>
      </c>
      <c r="J1253" s="74"/>
      <c r="K1253" s="32">
        <f>SUMIFS(BudgetSeasonality[365 Seasonality],BudgetSeasonality[MonthAdjustment],DaybyDay[[#This Row],[Date]])*SUMIFS(Budgets[Service-Budget],Budgets[BudgetMonth],DaybyDay[[#This Row],[RowMonth]],Budgets[BudgetYear],DaybyDay[[#This Row],[RowYear]])</f>
        <v>6415.6919615472834</v>
      </c>
      <c r="L1253" s="75"/>
      <c r="M1253" s="32">
        <f>INDEX(BudgetSeasonality[365 Seasonality],MATCH(DaybyDay[[#This Row],[Date]],BudgetSeasonality[MonthAdjustment],0))*SUMIFS(Budgets[Retail-Budget],Budgets[BudgetMonth],DaybyDay[[#This Row],[RowMonth]],Budgets[BudgetYear],DaybyDay[[#This Row],[RowYear]])</f>
        <v>1651.4230785288901</v>
      </c>
      <c r="N1253" s="75"/>
      <c r="O1253" s="33">
        <f>SUMIFS(DaybyDay[Service-Budgets],DaybyDay[Date],"&gt;="&amp;$C$5,DaybyDay[RowYear],"&gt;="&amp;$C$4,DaybyDay[Date],"&lt;="&amp;DaybyDay[[#This Row],[Date]])</f>
        <v>825786.8547137545</v>
      </c>
      <c r="P1253" s="33">
        <f>SUMIFS(DaybyDay[Retail-Budgets],DaybyDay[Date],"&gt;="&amp;$C$5,DaybyDay[RowYear],"&gt;="&amp;$C$4,DaybyDay[Date],"&lt;="&amp;DaybyDay[[#This Row],[Date]])</f>
        <v>206566.09755236411</v>
      </c>
      <c r="Q1253" s="34">
        <f>SUMIFS(DaybyDay[Service-Actuals],DaybyDay[Date],"&gt;="&amp;$C$5,DaybyDay[RowYear],"&gt;="&amp;$C$4,DaybyDay[Date],"&lt;="&amp;DaybyDay[[#This Row],[Date]])</f>
        <v>385554.23</v>
      </c>
      <c r="R1253" s="34">
        <f>SUMIFS(DaybyDay[Retail-Actuals],DaybyDay[Date],"&gt;="&amp;$C$5,DaybyDay[RowYear],"&gt;="&amp;$C$4,DaybyDay[Date],"&lt;="&amp;DaybyDay[[#This Row],[Date]])</f>
        <v>88360.030000000028</v>
      </c>
      <c r="S1253" s="35">
        <f>SUMIFS(DaybyDay[Service-LY],DaybyDay[Date],"&gt;="&amp;$C$5,DaybyDay[RowYear],"&gt;="&amp;$C$4,DaybyDay[Date],"&lt;="&amp;DaybyDay[[#This Row],[Date]])</f>
        <v>776307.82</v>
      </c>
      <c r="T1253" s="35">
        <f>SUMIFS(DaybyDay[Retail-LY],DaybyDay[Date],"&gt;="&amp;$C$5,DaybyDay[RowYear],"&gt;="&amp;$C$4,DaybyDay[Date],"&lt;="&amp;DaybyDay[[#This Row],[Date]])</f>
        <v>185369.9</v>
      </c>
      <c r="U1253" s="32">
        <f>DaybyDay[[#This Row],[Serv-Bud-RU]]+DaybyDay[[#This Row],[Ret-Bud-RU]]</f>
        <v>1032352.9522661186</v>
      </c>
      <c r="V1253" s="32">
        <f>DaybyDay[[#This Row],[Serv-Act-RU]]+DaybyDay[[#This Row],[Ret-Act-RU]]</f>
        <v>473914.26</v>
      </c>
      <c r="W1253" s="36" t="str">
        <f>IF(DaybyDay[[#This Row],[_Space]],IFERROR(
((DaybyDay[[#This Row],[Actual-Rollup]]-DaybyDay[[#This Row],[Budget-Rollup]])/DaybyDay[[#This Row],[Budget-Rollup]]),0),"")</f>
        <v/>
      </c>
      <c r="X1253" t="b">
        <f>NOT(AND(ISBLANK(DaybyDay[[#This Row],[Appts]]),ISBLANK(DaybyDay[[#This Row],[Service-Actuals]]),ISBLANK(DaybyDay[[#This Row],[Retail-Actuals]])))</f>
        <v>0</v>
      </c>
      <c r="Y1253" s="36" t="str">
        <f>IF(DaybyDay[[#This Row],[_Space]],IFERROR(
((DaybyDay[[#This Row],[Actual-Rollup]]-DaybyDay[[#This Row],[LY-Rollup]])/DaybyDay[[#This Row],[LY-Rollup]]),0),"")</f>
        <v/>
      </c>
      <c r="Z1253"/>
      <c r="AA1253" s="37" t="str">
        <f>IF(DaybyDay[[#This Row],[_Space]],DaybyDay[[#This Row],[Ret-Act-RU]]/DaybyDay[[#This Row],[Serv-Act-RU]],"")</f>
        <v/>
      </c>
      <c r="AB1253" s="50" t="str">
        <f>IF(DaybyDay[[#This Row],[_Space]],DaybyDay[[#This Row],[RETPEN-Act]]/DaybyDay[[#This Row],[RETPEN-Bud]],"")</f>
        <v/>
      </c>
      <c r="AC1253" s="37" t="str">
        <f>IF(DaybyDay[[#This Row],[_Space]],DaybyDay[[#This Row],[Ret-Bud-RU]]/DaybyDay[[#This Row],[Serv-Bud-RU]],"")</f>
        <v/>
      </c>
      <c r="AD1253" s="37" t="str">
        <f>IF(DaybyDay[[#This Row],[_Space]],DaybyDay[[#This Row],[Ret-LY-RU]]/DaybyDay[[#This Row],[Serv-LY-RU]],"")</f>
        <v/>
      </c>
      <c r="AE1253" s="30">
        <f>WEEKDAY(DaybyDay[[#This Row],[LY-Date]])</f>
        <v>1</v>
      </c>
      <c r="AF1253" s="38">
        <f>$E$2+_xlfn.DAYS(DaybyDay[[#This Row],[Date]],minDate)</f>
        <v>43618</v>
      </c>
      <c r="AG1253" s="39" cm="1">
        <f t="array" ref="AG1253">IFERROR(INDEX(DaybyDay[],DaybyDay[[#This Row],[FORM_MATCH_HELPER]],8),"")</f>
        <v>29</v>
      </c>
      <c r="AH1253" s="39" cm="1">
        <f t="array" ref="AH1253">IFERROR(INDEX(DaybyDay[],DaybyDay[[#This Row],[FORM_MATCH_HELPER]],10),"")</f>
        <v>5536.6</v>
      </c>
      <c r="AI1253" s="39" cm="1">
        <f t="array" ref="AI1253">IFERROR(INDEX(DaybyDay[],DaybyDay[[#This Row],[FORM_MATCH_HELPER]],12),"")</f>
        <v>714</v>
      </c>
      <c r="AJ1253" s="32">
        <f>IFERROR(DaybyDay[[#This Row],[Serv-LY-RU]]+DaybyDay[[#This Row],[Ret-LY-RU]],"")</f>
        <v>961677.72</v>
      </c>
      <c r="AK12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952943.75525180053</v>
      </c>
      <c r="AL1253" s="77"/>
      <c r="AM1253" s="40" t="str">
        <f>IF(DaybyDay[[#This Row],[Admin Hours]]&gt;0,DaybyDay[[#This Row],[Admin Hours]]*$AM$2+$AM$3,"")</f>
        <v/>
      </c>
      <c r="AN1253" s="40">
        <f>SUMIFS(DaybyDay[Est-Admin-Payroll],DaybyDay[Date],"&gt;="&amp;$C$5,DaybyDay[RowYear],"&gt;="&amp;$C$4,DaybyDay[Date],"&lt;="&amp;DaybyDay[[#This Row],[Date]])</f>
        <v>13941.779999999997</v>
      </c>
      <c r="AO1253" s="41" t="str">
        <f>IF(AND(DaybyDay[[#This Row],[_Space]],ISNUMBER(DaybyDay[[#This Row],[Admin Hours]])),DaybyDay[[#This Row],[Est-Admin-Payroll]]/(DaybyDay[[#This Row],[Service-Actuals]]+DaybyDay[[#This Row],[Retail-Actuals]]),"")</f>
        <v/>
      </c>
      <c r="AP1253" s="41">
        <f>DaybyDay[[#This Row],[Estimated-Payroll-Rollup]]/DaybyDay[[#This Row],[Simple-Forecast]]</f>
        <v>1.4630223371699518E-2</v>
      </c>
      <c r="AQ12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183838.090954371</v>
      </c>
      <c r="AR1253" s="77"/>
      <c r="AS1253" s="40" t="str">
        <f>IF(DaybyDay[[#This Row],[Retail Hours]]&gt;0,DaybyDay[[#This Row],[Retail Hours]]*$AS$2,"")</f>
        <v/>
      </c>
      <c r="AT1253" s="40">
        <f>SUMIFS(DaybyDay[Est-Retail-Payroll],DaybyDay[Date],"&gt;="&amp;$C$5,DaybyDay[RowYear],"&gt;="&amp;$C$4,DaybyDay[Date],"&lt;="&amp;DaybyDay[[#This Row],[Date]])</f>
        <v>2627.1</v>
      </c>
      <c r="AU1253" s="82" t="str">
        <f>IF(AND(DaybyDay[[#This Row],[_Space]],ISNUMBER(DaybyDay[[#This Row],[Retail Hours]])),DaybyDay[[#This Row],[Est-Retail-Payroll]]/(DaybyDay[[#This Row],[Retail-Actuals]]),"")</f>
        <v/>
      </c>
      <c r="AV1253" s="82">
        <f>DaybyDay[[#This Row],[Est-Retail-PayrollRU]]/DaybyDay[[#This Row],[Simple-Forecast-Retail]]</f>
        <v>1.4290291997494967E-2</v>
      </c>
      <c r="AW1253" s="8"/>
      <c r="AX1253" s="15"/>
      <c r="AY1253" s="8"/>
    </row>
    <row r="1254" spans="3:51" hidden="1" x14ac:dyDescent="0.25">
      <c r="C1254" s="26" t="str">
        <f>Tools!$C$1</f>
        <v>Example</v>
      </c>
      <c r="D1254" s="27" t="s">
        <v>73</v>
      </c>
      <c r="E1254" s="28">
        <v>2020</v>
      </c>
      <c r="F1254" s="28">
        <f>MATCH(DaybyDay[[#This Row],[RowMonth]],Table3[SummaryMonth],0)</f>
        <v>6</v>
      </c>
      <c r="G1254" s="29">
        <f>MATCH(DaybyDay[[#This Row],[LY-Date]],DaybyDay[Date],0)</f>
        <v>884</v>
      </c>
      <c r="H1254" s="30">
        <f>WEEKDAY(DaybyDay[[#This Row],[Date]])</f>
        <v>2</v>
      </c>
      <c r="I1254" s="31">
        <v>43983</v>
      </c>
      <c r="J1254" s="74"/>
      <c r="K1254" s="32">
        <f>SUMIFS(BudgetSeasonality[365 Seasonality],BudgetSeasonality[MonthAdjustment],DaybyDay[[#This Row],[Date]])*SUMIFS(Budgets[Service-Budget],Budgets[BudgetMonth],DaybyDay[[#This Row],[RowMonth]],Budgets[BudgetYear],DaybyDay[[#This Row],[RowYear]])</f>
        <v>3815.1353325617802</v>
      </c>
      <c r="L1254" s="75"/>
      <c r="M1254" s="32">
        <f>INDEX(BudgetSeasonality[365 Seasonality],MATCH(DaybyDay[[#This Row],[Date]],BudgetSeasonality[MonthAdjustment],0))*SUMIFS(Budgets[Retail-Budget],Budgets[BudgetMonth],DaybyDay[[#This Row],[RowMonth]],Budgets[BudgetYear],DaybyDay[[#This Row],[RowYear]])</f>
        <v>982.0300871153479</v>
      </c>
      <c r="N1254" s="75"/>
      <c r="O1254" s="33">
        <f>SUMIFS(DaybyDay[Service-Budgets],DaybyDay[Date],"&gt;="&amp;$C$5,DaybyDay[RowYear],"&gt;="&amp;$C$4,DaybyDay[Date],"&lt;="&amp;DaybyDay[[#This Row],[Date]])</f>
        <v>829601.99004631629</v>
      </c>
      <c r="P1254" s="33">
        <f>SUMIFS(DaybyDay[Retail-Budgets],DaybyDay[Date],"&gt;="&amp;$C$5,DaybyDay[RowYear],"&gt;="&amp;$C$4,DaybyDay[Date],"&lt;="&amp;DaybyDay[[#This Row],[Date]])</f>
        <v>207548.12763947947</v>
      </c>
      <c r="Q1254" s="34">
        <f>SUMIFS(DaybyDay[Service-Actuals],DaybyDay[Date],"&gt;="&amp;$C$5,DaybyDay[RowYear],"&gt;="&amp;$C$4,DaybyDay[Date],"&lt;="&amp;DaybyDay[[#This Row],[Date]])</f>
        <v>385554.23</v>
      </c>
      <c r="R1254" s="34">
        <f>SUMIFS(DaybyDay[Retail-Actuals],DaybyDay[Date],"&gt;="&amp;$C$5,DaybyDay[RowYear],"&gt;="&amp;$C$4,DaybyDay[Date],"&lt;="&amp;DaybyDay[[#This Row],[Date]])</f>
        <v>88360.030000000028</v>
      </c>
      <c r="S1254" s="35">
        <f>SUMIFS(DaybyDay[Service-LY],DaybyDay[Date],"&gt;="&amp;$C$5,DaybyDay[RowYear],"&gt;="&amp;$C$4,DaybyDay[Date],"&lt;="&amp;DaybyDay[[#This Row],[Date]])</f>
        <v>778022.22</v>
      </c>
      <c r="T1254" s="35">
        <f>SUMIFS(DaybyDay[Retail-LY],DaybyDay[Date],"&gt;="&amp;$C$5,DaybyDay[RowYear],"&gt;="&amp;$C$4,DaybyDay[Date],"&lt;="&amp;DaybyDay[[#This Row],[Date]])</f>
        <v>185640.8</v>
      </c>
      <c r="U1254" s="32">
        <f>DaybyDay[[#This Row],[Serv-Bud-RU]]+DaybyDay[[#This Row],[Ret-Bud-RU]]</f>
        <v>1037150.1176857958</v>
      </c>
      <c r="V1254" s="32">
        <f>DaybyDay[[#This Row],[Serv-Act-RU]]+DaybyDay[[#This Row],[Ret-Act-RU]]</f>
        <v>473914.26</v>
      </c>
      <c r="W1254" s="36" t="str">
        <f>IF(DaybyDay[[#This Row],[_Space]],IFERROR(
((DaybyDay[[#This Row],[Actual-Rollup]]-DaybyDay[[#This Row],[Budget-Rollup]])/DaybyDay[[#This Row],[Budget-Rollup]]),0),"")</f>
        <v/>
      </c>
      <c r="X1254" t="b">
        <f>NOT(AND(ISBLANK(DaybyDay[[#This Row],[Appts]]),ISBLANK(DaybyDay[[#This Row],[Service-Actuals]]),ISBLANK(DaybyDay[[#This Row],[Retail-Actuals]])))</f>
        <v>0</v>
      </c>
      <c r="Y1254" s="36" t="str">
        <f>IF(DaybyDay[[#This Row],[_Space]],IFERROR(
((DaybyDay[[#This Row],[Actual-Rollup]]-DaybyDay[[#This Row],[LY-Rollup]])/DaybyDay[[#This Row],[LY-Rollup]]),0),"")</f>
        <v/>
      </c>
      <c r="Z1254"/>
      <c r="AA1254" s="37" t="str">
        <f>IF(DaybyDay[[#This Row],[_Space]],DaybyDay[[#This Row],[Ret-Act-RU]]/DaybyDay[[#This Row],[Serv-Act-RU]],"")</f>
        <v/>
      </c>
      <c r="AB1254" s="50" t="str">
        <f>IF(DaybyDay[[#This Row],[_Space]],DaybyDay[[#This Row],[RETPEN-Act]]/DaybyDay[[#This Row],[RETPEN-Bud]],"")</f>
        <v/>
      </c>
      <c r="AC1254" s="37" t="str">
        <f>IF(DaybyDay[[#This Row],[_Space]],DaybyDay[[#This Row],[Ret-Bud-RU]]/DaybyDay[[#This Row],[Serv-Bud-RU]],"")</f>
        <v/>
      </c>
      <c r="AD1254" s="37" t="str">
        <f>IF(DaybyDay[[#This Row],[_Space]],DaybyDay[[#This Row],[Ret-LY-RU]]/DaybyDay[[#This Row],[Serv-LY-RU]],"")</f>
        <v/>
      </c>
      <c r="AE1254" s="30">
        <f>WEEKDAY(DaybyDay[[#This Row],[LY-Date]])</f>
        <v>2</v>
      </c>
      <c r="AF1254" s="38">
        <f>$E$2+_xlfn.DAYS(DaybyDay[[#This Row],[Date]],minDate)</f>
        <v>43619</v>
      </c>
      <c r="AG1254" s="39" cm="1">
        <f t="array" ref="AG1254">IFERROR(INDEX(DaybyDay[],DaybyDay[[#This Row],[FORM_MATCH_HELPER]],8),"")</f>
        <v>7</v>
      </c>
      <c r="AH1254" s="39" cm="1">
        <f t="array" ref="AH1254">IFERROR(INDEX(DaybyDay[],DaybyDay[[#This Row],[FORM_MATCH_HELPER]],10),"")</f>
        <v>1714.4</v>
      </c>
      <c r="AI1254" s="39" cm="1">
        <f t="array" ref="AI1254">IFERROR(INDEX(DaybyDay[],DaybyDay[[#This Row],[FORM_MATCH_HELPER]],12),"")</f>
        <v>270.89999999999998</v>
      </c>
      <c r="AJ1254" s="32">
        <f>IFERROR(DaybyDay[[#This Row],[Serv-LY-RU]]+DaybyDay[[#This Row],[Ret-LY-RU]],"")</f>
        <v>963663.02</v>
      </c>
      <c r="AK12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955963.09136861819</v>
      </c>
      <c r="AL1254" s="77"/>
      <c r="AM1254" s="40" t="str">
        <f>IF(DaybyDay[[#This Row],[Admin Hours]]&gt;0,DaybyDay[[#This Row],[Admin Hours]]*$AM$2+$AM$3,"")</f>
        <v/>
      </c>
      <c r="AN1254" s="40">
        <f>SUMIFS(DaybyDay[Est-Admin-Payroll],DaybyDay[Date],"&gt;="&amp;$C$5,DaybyDay[RowYear],"&gt;="&amp;$C$4,DaybyDay[Date],"&lt;="&amp;DaybyDay[[#This Row],[Date]])</f>
        <v>13941.779999999997</v>
      </c>
      <c r="AO1254" s="41" t="str">
        <f>IF(AND(DaybyDay[[#This Row],[_Space]],ISNUMBER(DaybyDay[[#This Row],[Admin Hours]])),DaybyDay[[#This Row],[Est-Admin-Payroll]]/(DaybyDay[[#This Row],[Service-Actuals]]+DaybyDay[[#This Row],[Retail-Actuals]]),"")</f>
        <v/>
      </c>
      <c r="AP1254" s="41">
        <f>DaybyDay[[#This Row],[Estimated-Payroll-Rollup]]/DaybyDay[[#This Row],[Simple-Forecast]]</f>
        <v>1.458401493308706E-2</v>
      </c>
      <c r="AQ12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184389.36758924587</v>
      </c>
      <c r="AR1254" s="77"/>
      <c r="AS1254" s="40" t="str">
        <f>IF(DaybyDay[[#This Row],[Retail Hours]]&gt;0,DaybyDay[[#This Row],[Retail Hours]]*$AS$2,"")</f>
        <v/>
      </c>
      <c r="AT1254" s="40">
        <f>SUMIFS(DaybyDay[Est-Retail-Payroll],DaybyDay[Date],"&gt;="&amp;$C$5,DaybyDay[RowYear],"&gt;="&amp;$C$4,DaybyDay[Date],"&lt;="&amp;DaybyDay[[#This Row],[Date]])</f>
        <v>2627.1</v>
      </c>
      <c r="AU1254" s="82" t="str">
        <f>IF(AND(DaybyDay[[#This Row],[_Space]],ISNUMBER(DaybyDay[[#This Row],[Retail Hours]])),DaybyDay[[#This Row],[Est-Retail-Payroll]]/(DaybyDay[[#This Row],[Retail-Actuals]]),"")</f>
        <v/>
      </c>
      <c r="AV1254" s="82">
        <f>DaybyDay[[#This Row],[Est-Retail-PayrollRU]]/DaybyDay[[#This Row],[Simple-Forecast-Retail]]</f>
        <v>1.4247567711454205E-2</v>
      </c>
      <c r="AW1254" s="8"/>
      <c r="AX1254" s="15"/>
      <c r="AY1254" s="8"/>
    </row>
    <row r="1255" spans="3:51" hidden="1" x14ac:dyDescent="0.25">
      <c r="C1255" s="26" t="str">
        <f>Tools!$C$1</f>
        <v>Example</v>
      </c>
      <c r="D1255" s="27" t="s">
        <v>73</v>
      </c>
      <c r="E1255" s="28">
        <v>2020</v>
      </c>
      <c r="F1255" s="28">
        <f>MATCH(DaybyDay[[#This Row],[RowMonth]],Table3[SummaryMonth],0)</f>
        <v>6</v>
      </c>
      <c r="G1255" s="29">
        <f>MATCH(DaybyDay[[#This Row],[LY-Date]],DaybyDay[Date],0)</f>
        <v>885</v>
      </c>
      <c r="H1255" s="30">
        <f>WEEKDAY(DaybyDay[[#This Row],[Date]])</f>
        <v>3</v>
      </c>
      <c r="I1255" s="31">
        <v>43984</v>
      </c>
      <c r="J1255" s="74"/>
      <c r="K1255" s="32">
        <f>SUMIFS(BudgetSeasonality[365 Seasonality],BudgetSeasonality[MonthAdjustment],DaybyDay[[#This Row],[Date]])*SUMIFS(Budgets[Service-Budget],Budgets[BudgetMonth],DaybyDay[[#This Row],[RowMonth]],Budgets[BudgetYear],DaybyDay[[#This Row],[RowYear]])</f>
        <v>3952.406042397397</v>
      </c>
      <c r="L1255" s="75"/>
      <c r="M1255" s="32">
        <f>INDEX(BudgetSeasonality[365 Seasonality],MATCH(DaybyDay[[#This Row],[Date]],BudgetSeasonality[MonthAdjustment],0))*SUMIFS(Budgets[Retail-Budget],Budgets[BudgetMonth],DaybyDay[[#This Row],[RowMonth]],Budgets[BudgetYear],DaybyDay[[#This Row],[RowYear]])</f>
        <v>1017.3640806404841</v>
      </c>
      <c r="N1255" s="75"/>
      <c r="O1255" s="33">
        <f>SUMIFS(DaybyDay[Service-Budgets],DaybyDay[Date],"&gt;="&amp;$C$5,DaybyDay[RowYear],"&gt;="&amp;$C$4,DaybyDay[Date],"&lt;="&amp;DaybyDay[[#This Row],[Date]])</f>
        <v>833554.39608871366</v>
      </c>
      <c r="P1255" s="33">
        <f>SUMIFS(DaybyDay[Retail-Budgets],DaybyDay[Date],"&gt;="&amp;$C$5,DaybyDay[RowYear],"&gt;="&amp;$C$4,DaybyDay[Date],"&lt;="&amp;DaybyDay[[#This Row],[Date]])</f>
        <v>208565.49172011996</v>
      </c>
      <c r="Q1255" s="34">
        <f>SUMIFS(DaybyDay[Service-Actuals],DaybyDay[Date],"&gt;="&amp;$C$5,DaybyDay[RowYear],"&gt;="&amp;$C$4,DaybyDay[Date],"&lt;="&amp;DaybyDay[[#This Row],[Date]])</f>
        <v>385554.23</v>
      </c>
      <c r="R1255" s="34">
        <f>SUMIFS(DaybyDay[Retail-Actuals],DaybyDay[Date],"&gt;="&amp;$C$5,DaybyDay[RowYear],"&gt;="&amp;$C$4,DaybyDay[Date],"&lt;="&amp;DaybyDay[[#This Row],[Date]])</f>
        <v>88360.030000000028</v>
      </c>
      <c r="S1255" s="35">
        <f>SUMIFS(DaybyDay[Service-LY],DaybyDay[Date],"&gt;="&amp;$C$5,DaybyDay[RowYear],"&gt;="&amp;$C$4,DaybyDay[Date],"&lt;="&amp;DaybyDay[[#This Row],[Date]])</f>
        <v>780201.62</v>
      </c>
      <c r="T1255" s="35">
        <f>SUMIFS(DaybyDay[Retail-LY],DaybyDay[Date],"&gt;="&amp;$C$5,DaybyDay[RowYear],"&gt;="&amp;$C$4,DaybyDay[Date],"&lt;="&amp;DaybyDay[[#This Row],[Date]])</f>
        <v>186305.3</v>
      </c>
      <c r="U1255" s="32">
        <f>DaybyDay[[#This Row],[Serv-Bud-RU]]+DaybyDay[[#This Row],[Ret-Bud-RU]]</f>
        <v>1042119.8878088336</v>
      </c>
      <c r="V1255" s="32">
        <f>DaybyDay[[#This Row],[Serv-Act-RU]]+DaybyDay[[#This Row],[Ret-Act-RU]]</f>
        <v>473914.26</v>
      </c>
      <c r="W1255" s="36" t="str">
        <f>IF(DaybyDay[[#This Row],[_Space]],IFERROR(
((DaybyDay[[#This Row],[Actual-Rollup]]-DaybyDay[[#This Row],[Budget-Rollup]])/DaybyDay[[#This Row],[Budget-Rollup]]),0),"")</f>
        <v/>
      </c>
      <c r="X1255" t="b">
        <f>NOT(AND(ISBLANK(DaybyDay[[#This Row],[Appts]]),ISBLANK(DaybyDay[[#This Row],[Service-Actuals]]),ISBLANK(DaybyDay[[#This Row],[Retail-Actuals]])))</f>
        <v>0</v>
      </c>
      <c r="Y1255" s="36" t="str">
        <f>IF(DaybyDay[[#This Row],[_Space]],IFERROR(
((DaybyDay[[#This Row],[Actual-Rollup]]-DaybyDay[[#This Row],[LY-Rollup]])/DaybyDay[[#This Row],[LY-Rollup]]),0),"")</f>
        <v/>
      </c>
      <c r="Z1255"/>
      <c r="AA1255" s="37" t="str">
        <f>IF(DaybyDay[[#This Row],[_Space]],DaybyDay[[#This Row],[Ret-Act-RU]]/DaybyDay[[#This Row],[Serv-Act-RU]],"")</f>
        <v/>
      </c>
      <c r="AB1255" s="50" t="str">
        <f>IF(DaybyDay[[#This Row],[_Space]],DaybyDay[[#This Row],[RETPEN-Act]]/DaybyDay[[#This Row],[RETPEN-Bud]],"")</f>
        <v/>
      </c>
      <c r="AC1255" s="37" t="str">
        <f>IF(DaybyDay[[#This Row],[_Space]],DaybyDay[[#This Row],[Ret-Bud-RU]]/DaybyDay[[#This Row],[Serv-Bud-RU]],"")</f>
        <v/>
      </c>
      <c r="AD1255" s="37" t="str">
        <f>IF(DaybyDay[[#This Row],[_Space]],DaybyDay[[#This Row],[Ret-LY-RU]]/DaybyDay[[#This Row],[Serv-LY-RU]],"")</f>
        <v/>
      </c>
      <c r="AE1255" s="30">
        <f>WEEKDAY(DaybyDay[[#This Row],[LY-Date]])</f>
        <v>3</v>
      </c>
      <c r="AF1255" s="38">
        <f>$E$2+_xlfn.DAYS(DaybyDay[[#This Row],[Date]],minDate)</f>
        <v>43620</v>
      </c>
      <c r="AG1255" s="39" cm="1">
        <f t="array" ref="AG1255">IFERROR(INDEX(DaybyDay[],DaybyDay[[#This Row],[FORM_MATCH_HELPER]],8),"")</f>
        <v>11</v>
      </c>
      <c r="AH1255" s="39" cm="1">
        <f t="array" ref="AH1255">IFERROR(INDEX(DaybyDay[],DaybyDay[[#This Row],[FORM_MATCH_HELPER]],10),"")</f>
        <v>2179.4</v>
      </c>
      <c r="AI1255" s="39" cm="1">
        <f t="array" ref="AI1255">IFERROR(INDEX(DaybyDay[],DaybyDay[[#This Row],[FORM_MATCH_HELPER]],12),"")</f>
        <v>664.5</v>
      </c>
      <c r="AJ1255" s="32">
        <f>IFERROR(DaybyDay[[#This Row],[Serv-LY-RU]]+DaybyDay[[#This Row],[Ret-LY-RU]],"")</f>
        <v>966506.91999999993</v>
      </c>
      <c r="AK12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959479.17263572605</v>
      </c>
      <c r="AL1255" s="77"/>
      <c r="AM1255" s="40" t="str">
        <f>IF(DaybyDay[[#This Row],[Admin Hours]]&gt;0,DaybyDay[[#This Row],[Admin Hours]]*$AM$2+$AM$3,"")</f>
        <v/>
      </c>
      <c r="AN1255" s="40">
        <f>SUMIFS(DaybyDay[Est-Admin-Payroll],DaybyDay[Date],"&gt;="&amp;$C$5,DaybyDay[RowYear],"&gt;="&amp;$C$4,DaybyDay[Date],"&lt;="&amp;DaybyDay[[#This Row],[Date]])</f>
        <v>13941.779999999997</v>
      </c>
      <c r="AO1255" s="41" t="str">
        <f>IF(AND(DaybyDay[[#This Row],[_Space]],ISNUMBER(DaybyDay[[#This Row],[Admin Hours]])),DaybyDay[[#This Row],[Est-Admin-Payroll]]/(DaybyDay[[#This Row],[Service-Actuals]]+DaybyDay[[#This Row],[Retail-Actuals]]),"")</f>
        <v/>
      </c>
      <c r="AP1255" s="41">
        <f>DaybyDay[[#This Row],[Estimated-Payroll-Rollup]]/DaybyDay[[#This Row],[Simple-Forecast]]</f>
        <v>1.4530570748817187E-2</v>
      </c>
      <c r="AQ12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185149.73551973383</v>
      </c>
      <c r="AR1255" s="77"/>
      <c r="AS1255" s="40" t="str">
        <f>IF(DaybyDay[[#This Row],[Retail Hours]]&gt;0,DaybyDay[[#This Row],[Retail Hours]]*$AS$2,"")</f>
        <v/>
      </c>
      <c r="AT1255" s="40">
        <f>SUMIFS(DaybyDay[Est-Retail-Payroll],DaybyDay[Date],"&gt;="&amp;$C$5,DaybyDay[RowYear],"&gt;="&amp;$C$4,DaybyDay[Date],"&lt;="&amp;DaybyDay[[#This Row],[Date]])</f>
        <v>2627.1</v>
      </c>
      <c r="AU1255" s="82" t="str">
        <f>IF(AND(DaybyDay[[#This Row],[_Space]],ISNUMBER(DaybyDay[[#This Row],[Retail Hours]])),DaybyDay[[#This Row],[Est-Retail-Payroll]]/(DaybyDay[[#This Row],[Retail-Actuals]]),"")</f>
        <v/>
      </c>
      <c r="AV1255" s="82">
        <f>DaybyDay[[#This Row],[Est-Retail-PayrollRU]]/DaybyDay[[#This Row],[Simple-Forecast-Retail]]</f>
        <v>1.418905618539215E-2</v>
      </c>
      <c r="AW1255" s="8"/>
      <c r="AX1255" s="15"/>
      <c r="AY1255" s="8"/>
    </row>
    <row r="1256" spans="3:51" hidden="1" x14ac:dyDescent="0.25">
      <c r="C1256" s="26" t="str">
        <f>Tools!$C$1</f>
        <v>Example</v>
      </c>
      <c r="D1256" s="27" t="s">
        <v>73</v>
      </c>
      <c r="E1256" s="28">
        <v>2020</v>
      </c>
      <c r="F1256" s="28">
        <f>MATCH(DaybyDay[[#This Row],[RowMonth]],Table3[SummaryMonth],0)</f>
        <v>6</v>
      </c>
      <c r="G1256" s="29">
        <f>MATCH(DaybyDay[[#This Row],[LY-Date]],DaybyDay[Date],0)</f>
        <v>886</v>
      </c>
      <c r="H1256" s="30">
        <f>WEEKDAY(DaybyDay[[#This Row],[Date]])</f>
        <v>4</v>
      </c>
      <c r="I1256" s="31">
        <v>43985</v>
      </c>
      <c r="J1256" s="74"/>
      <c r="K1256" s="32">
        <f>SUMIFS(BudgetSeasonality[365 Seasonality],BudgetSeasonality[MonthAdjustment],DaybyDay[[#This Row],[Date]])*SUMIFS(Budgets[Service-Budget],Budgets[BudgetMonth],DaybyDay[[#This Row],[RowMonth]],Budgets[BudgetYear],DaybyDay[[#This Row],[RowYear]])</f>
        <v>4573.6751518394185</v>
      </c>
      <c r="L1256" s="75"/>
      <c r="M1256" s="32">
        <f>INDEX(BudgetSeasonality[365 Seasonality],MATCH(DaybyDay[[#This Row],[Date]],BudgetSeasonality[MonthAdjustment],0))*SUMIFS(Budgets[Retail-Budget],Budgets[BudgetMonth],DaybyDay[[#This Row],[RowMonth]],Budgets[BudgetYear],DaybyDay[[#This Row],[RowYear]])</f>
        <v>1177.2810703368236</v>
      </c>
      <c r="N1256" s="75"/>
      <c r="O1256" s="33">
        <f>SUMIFS(DaybyDay[Service-Budgets],DaybyDay[Date],"&gt;="&amp;$C$5,DaybyDay[RowYear],"&gt;="&amp;$C$4,DaybyDay[Date],"&lt;="&amp;DaybyDay[[#This Row],[Date]])</f>
        <v>838128.07124055305</v>
      </c>
      <c r="P1256" s="33">
        <f>SUMIFS(DaybyDay[Retail-Budgets],DaybyDay[Date],"&gt;="&amp;$C$5,DaybyDay[RowYear],"&gt;="&amp;$C$4,DaybyDay[Date],"&lt;="&amp;DaybyDay[[#This Row],[Date]])</f>
        <v>209742.77279045677</v>
      </c>
      <c r="Q1256" s="34">
        <f>SUMIFS(DaybyDay[Service-Actuals],DaybyDay[Date],"&gt;="&amp;$C$5,DaybyDay[RowYear],"&gt;="&amp;$C$4,DaybyDay[Date],"&lt;="&amp;DaybyDay[[#This Row],[Date]])</f>
        <v>385554.23</v>
      </c>
      <c r="R1256" s="34">
        <f>SUMIFS(DaybyDay[Retail-Actuals],DaybyDay[Date],"&gt;="&amp;$C$5,DaybyDay[RowYear],"&gt;="&amp;$C$4,DaybyDay[Date],"&lt;="&amp;DaybyDay[[#This Row],[Date]])</f>
        <v>88360.030000000028</v>
      </c>
      <c r="S1256" s="35">
        <f>SUMIFS(DaybyDay[Service-LY],DaybyDay[Date],"&gt;="&amp;$C$5,DaybyDay[RowYear],"&gt;="&amp;$C$4,DaybyDay[Date],"&lt;="&amp;DaybyDay[[#This Row],[Date]])</f>
        <v>784061.02</v>
      </c>
      <c r="T1256" s="35">
        <f>SUMIFS(DaybyDay[Retail-LY],DaybyDay[Date],"&gt;="&amp;$C$5,DaybyDay[RowYear],"&gt;="&amp;$C$4,DaybyDay[Date],"&lt;="&amp;DaybyDay[[#This Row],[Date]])</f>
        <v>188447.8</v>
      </c>
      <c r="U1256" s="32">
        <f>DaybyDay[[#This Row],[Serv-Bud-RU]]+DaybyDay[[#This Row],[Ret-Bud-RU]]</f>
        <v>1047870.8440310098</v>
      </c>
      <c r="V1256" s="32">
        <f>DaybyDay[[#This Row],[Serv-Act-RU]]+DaybyDay[[#This Row],[Ret-Act-RU]]</f>
        <v>473914.26</v>
      </c>
      <c r="W1256" s="36" t="str">
        <f>IF(DaybyDay[[#This Row],[_Space]],IFERROR(
((DaybyDay[[#This Row],[Actual-Rollup]]-DaybyDay[[#This Row],[Budget-Rollup]])/DaybyDay[[#This Row],[Budget-Rollup]]),0),"")</f>
        <v/>
      </c>
      <c r="X1256" t="b">
        <f>NOT(AND(ISBLANK(DaybyDay[[#This Row],[Appts]]),ISBLANK(DaybyDay[[#This Row],[Service-Actuals]]),ISBLANK(DaybyDay[[#This Row],[Retail-Actuals]])))</f>
        <v>0</v>
      </c>
      <c r="Y1256" s="36" t="str">
        <f>IF(DaybyDay[[#This Row],[_Space]],IFERROR(
((DaybyDay[[#This Row],[Actual-Rollup]]-DaybyDay[[#This Row],[LY-Rollup]])/DaybyDay[[#This Row],[LY-Rollup]]),0),"")</f>
        <v/>
      </c>
      <c r="Z1256"/>
      <c r="AA1256" s="37" t="str">
        <f>IF(DaybyDay[[#This Row],[_Space]],DaybyDay[[#This Row],[Ret-Act-RU]]/DaybyDay[[#This Row],[Serv-Act-RU]],"")</f>
        <v/>
      </c>
      <c r="AB1256" s="50" t="str">
        <f>IF(DaybyDay[[#This Row],[_Space]],DaybyDay[[#This Row],[RETPEN-Act]]/DaybyDay[[#This Row],[RETPEN-Bud]],"")</f>
        <v/>
      </c>
      <c r="AC1256" s="37" t="str">
        <f>IF(DaybyDay[[#This Row],[_Space]],DaybyDay[[#This Row],[Ret-Bud-RU]]/DaybyDay[[#This Row],[Serv-Bud-RU]],"")</f>
        <v/>
      </c>
      <c r="AD1256" s="37" t="str">
        <f>IF(DaybyDay[[#This Row],[_Space]],DaybyDay[[#This Row],[Ret-LY-RU]]/DaybyDay[[#This Row],[Serv-LY-RU]],"")</f>
        <v/>
      </c>
      <c r="AE1256" s="30">
        <f>WEEKDAY(DaybyDay[[#This Row],[LY-Date]])</f>
        <v>4</v>
      </c>
      <c r="AF1256" s="38">
        <f>$E$2+_xlfn.DAYS(DaybyDay[[#This Row],[Date]],minDate)</f>
        <v>43621</v>
      </c>
      <c r="AG1256" s="39" cm="1">
        <f t="array" ref="AG1256">IFERROR(INDEX(DaybyDay[],DaybyDay[[#This Row],[FORM_MATCH_HELPER]],8),"")</f>
        <v>17</v>
      </c>
      <c r="AH1256" s="39" cm="1">
        <f t="array" ref="AH1256">IFERROR(INDEX(DaybyDay[],DaybyDay[[#This Row],[FORM_MATCH_HELPER]],10),"")</f>
        <v>3859.3999999999996</v>
      </c>
      <c r="AI1256" s="39" cm="1">
        <f t="array" ref="AI1256">IFERROR(INDEX(DaybyDay[],DaybyDay[[#This Row],[FORM_MATCH_HELPER]],12),"")</f>
        <v>2142.5</v>
      </c>
      <c r="AJ1256" s="32">
        <f>IFERROR(DaybyDay[[#This Row],[Serv-LY-RU]]+DaybyDay[[#This Row],[Ret-LY-RU]],"")</f>
        <v>972508.82000000007</v>
      </c>
      <c r="AK12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964884.56566011347</v>
      </c>
      <c r="AL1256" s="77"/>
      <c r="AM1256" s="40" t="str">
        <f>IF(DaybyDay[[#This Row],[Admin Hours]]&gt;0,DaybyDay[[#This Row],[Admin Hours]]*$AM$2+$AM$3,"")</f>
        <v/>
      </c>
      <c r="AN1256" s="40">
        <f>SUMIFS(DaybyDay[Est-Admin-Payroll],DaybyDay[Date],"&gt;="&amp;$C$5,DaybyDay[RowYear],"&gt;="&amp;$C$4,DaybyDay[Date],"&lt;="&amp;DaybyDay[[#This Row],[Date]])</f>
        <v>13941.779999999997</v>
      </c>
      <c r="AO1256" s="41" t="str">
        <f>IF(AND(DaybyDay[[#This Row],[_Space]],ISNUMBER(DaybyDay[[#This Row],[Admin Hours]])),DaybyDay[[#This Row],[Est-Admin-Payroll]]/(DaybyDay[[#This Row],[Service-Actuals]]+DaybyDay[[#This Row],[Retail-Actuals]]),"")</f>
        <v/>
      </c>
      <c r="AP1256" s="41">
        <f>DaybyDay[[#This Row],[Estimated-Payroll-Rollup]]/DaybyDay[[#This Row],[Simple-Forecast]]</f>
        <v>1.444916883965483E-2</v>
      </c>
      <c r="AQ12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186706.8427907484</v>
      </c>
      <c r="AR1256" s="77"/>
      <c r="AS1256" s="40" t="str">
        <f>IF(DaybyDay[[#This Row],[Retail Hours]]&gt;0,DaybyDay[[#This Row],[Retail Hours]]*$AS$2,"")</f>
        <v/>
      </c>
      <c r="AT1256" s="40">
        <f>SUMIFS(DaybyDay[Est-Retail-Payroll],DaybyDay[Date],"&gt;="&amp;$C$5,DaybyDay[RowYear],"&gt;="&amp;$C$4,DaybyDay[Date],"&lt;="&amp;DaybyDay[[#This Row],[Date]])</f>
        <v>2627.1</v>
      </c>
      <c r="AU1256" s="82" t="str">
        <f>IF(AND(DaybyDay[[#This Row],[_Space]],ISNUMBER(DaybyDay[[#This Row],[Retail Hours]])),DaybyDay[[#This Row],[Est-Retail-Payroll]]/(DaybyDay[[#This Row],[Retail-Actuals]]),"")</f>
        <v/>
      </c>
      <c r="AV1256" s="82">
        <f>DaybyDay[[#This Row],[Est-Retail-PayrollRU]]/DaybyDay[[#This Row],[Simple-Forecast-Retail]]</f>
        <v>1.4070721569344521E-2</v>
      </c>
      <c r="AW1256" s="8"/>
      <c r="AX1256" s="15"/>
      <c r="AY1256" s="8"/>
    </row>
    <row r="1257" spans="3:51" hidden="1" x14ac:dyDescent="0.25">
      <c r="C1257" s="26" t="str">
        <f>Tools!$C$1</f>
        <v>Example</v>
      </c>
      <c r="D1257" s="27" t="s">
        <v>73</v>
      </c>
      <c r="E1257" s="28">
        <v>2020</v>
      </c>
      <c r="F1257" s="28">
        <f>MATCH(DaybyDay[[#This Row],[RowMonth]],Table3[SummaryMonth],0)</f>
        <v>6</v>
      </c>
      <c r="G1257" s="29">
        <f>MATCH(DaybyDay[[#This Row],[LY-Date]],DaybyDay[Date],0)</f>
        <v>887</v>
      </c>
      <c r="H1257" s="30">
        <f>WEEKDAY(DaybyDay[[#This Row],[Date]])</f>
        <v>5</v>
      </c>
      <c r="I1257" s="31">
        <v>43986</v>
      </c>
      <c r="J1257" s="74"/>
      <c r="K1257" s="32">
        <f>SUMIFS(BudgetSeasonality[365 Seasonality],BudgetSeasonality[MonthAdjustment],DaybyDay[[#This Row],[Date]])*SUMIFS(Budgets[Service-Budget],Budgets[BudgetMonth],DaybyDay[[#This Row],[RowMonth]],Budgets[BudgetYear],DaybyDay[[#This Row],[RowYear]])</f>
        <v>4712.8279043206458</v>
      </c>
      <c r="L1257" s="75"/>
      <c r="M1257" s="32">
        <f>INDEX(BudgetSeasonality[365 Seasonality],MATCH(DaybyDay[[#This Row],[Date]],BudgetSeasonality[MonthAdjustment],0))*SUMIFS(Budgets[Retail-Budget],Budgets[BudgetMonth],DaybyDay[[#This Row],[RowMonth]],Budgets[BudgetYear],DaybyDay[[#This Row],[RowYear]])</f>
        <v>1213.099508669841</v>
      </c>
      <c r="N1257" s="75"/>
      <c r="O1257" s="33">
        <f>SUMIFS(DaybyDay[Service-Budgets],DaybyDay[Date],"&gt;="&amp;$C$5,DaybyDay[RowYear],"&gt;="&amp;$C$4,DaybyDay[Date],"&lt;="&amp;DaybyDay[[#This Row],[Date]])</f>
        <v>842840.89914487372</v>
      </c>
      <c r="P1257" s="33">
        <f>SUMIFS(DaybyDay[Retail-Budgets],DaybyDay[Date],"&gt;="&amp;$C$5,DaybyDay[RowYear],"&gt;="&amp;$C$4,DaybyDay[Date],"&lt;="&amp;DaybyDay[[#This Row],[Date]])</f>
        <v>210955.87229912661</v>
      </c>
      <c r="Q1257" s="34">
        <f>SUMIFS(DaybyDay[Service-Actuals],DaybyDay[Date],"&gt;="&amp;$C$5,DaybyDay[RowYear],"&gt;="&amp;$C$4,DaybyDay[Date],"&lt;="&amp;DaybyDay[[#This Row],[Date]])</f>
        <v>385554.23</v>
      </c>
      <c r="R1257" s="34">
        <f>SUMIFS(DaybyDay[Retail-Actuals],DaybyDay[Date],"&gt;="&amp;$C$5,DaybyDay[RowYear],"&gt;="&amp;$C$4,DaybyDay[Date],"&lt;="&amp;DaybyDay[[#This Row],[Date]])</f>
        <v>88360.030000000028</v>
      </c>
      <c r="S1257" s="35">
        <f>SUMIFS(DaybyDay[Service-LY],DaybyDay[Date],"&gt;="&amp;$C$5,DaybyDay[RowYear],"&gt;="&amp;$C$4,DaybyDay[Date],"&lt;="&amp;DaybyDay[[#This Row],[Date]])</f>
        <v>788295.22</v>
      </c>
      <c r="T1257" s="35">
        <f>SUMIFS(DaybyDay[Retail-LY],DaybyDay[Date],"&gt;="&amp;$C$5,DaybyDay[RowYear],"&gt;="&amp;$C$4,DaybyDay[Date],"&lt;="&amp;DaybyDay[[#This Row],[Date]])</f>
        <v>189303.3</v>
      </c>
      <c r="U1257" s="32">
        <f>DaybyDay[[#This Row],[Serv-Bud-RU]]+DaybyDay[[#This Row],[Ret-Bud-RU]]</f>
        <v>1053796.7714440003</v>
      </c>
      <c r="V1257" s="32">
        <f>DaybyDay[[#This Row],[Serv-Act-RU]]+DaybyDay[[#This Row],[Ret-Act-RU]]</f>
        <v>473914.26</v>
      </c>
      <c r="W1257" s="36" t="str">
        <f>IF(DaybyDay[[#This Row],[_Space]],IFERROR(
((DaybyDay[[#This Row],[Actual-Rollup]]-DaybyDay[[#This Row],[Budget-Rollup]])/DaybyDay[[#This Row],[Budget-Rollup]]),0),"")</f>
        <v/>
      </c>
      <c r="X1257" t="b">
        <f>NOT(AND(ISBLANK(DaybyDay[[#This Row],[Appts]]),ISBLANK(DaybyDay[[#This Row],[Service-Actuals]]),ISBLANK(DaybyDay[[#This Row],[Retail-Actuals]])))</f>
        <v>0</v>
      </c>
      <c r="Y1257" s="36" t="str">
        <f>IF(DaybyDay[[#This Row],[_Space]],IFERROR(
((DaybyDay[[#This Row],[Actual-Rollup]]-DaybyDay[[#This Row],[LY-Rollup]])/DaybyDay[[#This Row],[LY-Rollup]]),0),"")</f>
        <v/>
      </c>
      <c r="Z1257"/>
      <c r="AA1257" s="37" t="str">
        <f>IF(DaybyDay[[#This Row],[_Space]],DaybyDay[[#This Row],[Ret-Act-RU]]/DaybyDay[[#This Row],[Serv-Act-RU]],"")</f>
        <v/>
      </c>
      <c r="AB1257" s="50" t="str">
        <f>IF(DaybyDay[[#This Row],[_Space]],DaybyDay[[#This Row],[RETPEN-Act]]/DaybyDay[[#This Row],[RETPEN-Bud]],"")</f>
        <v/>
      </c>
      <c r="AC1257" s="37" t="str">
        <f>IF(DaybyDay[[#This Row],[_Space]],DaybyDay[[#This Row],[Ret-Bud-RU]]/DaybyDay[[#This Row],[Serv-Bud-RU]],"")</f>
        <v/>
      </c>
      <c r="AD1257" s="37" t="str">
        <f>IF(DaybyDay[[#This Row],[_Space]],DaybyDay[[#This Row],[Ret-LY-RU]]/DaybyDay[[#This Row],[Serv-LY-RU]],"")</f>
        <v/>
      </c>
      <c r="AE1257" s="30">
        <f>WEEKDAY(DaybyDay[[#This Row],[LY-Date]])</f>
        <v>5</v>
      </c>
      <c r="AF1257" s="38">
        <f>$E$2+_xlfn.DAYS(DaybyDay[[#This Row],[Date]],minDate)</f>
        <v>43622</v>
      </c>
      <c r="AG1257" s="39" cm="1">
        <f t="array" ref="AG1257">IFERROR(INDEX(DaybyDay[],DaybyDay[[#This Row],[FORM_MATCH_HELPER]],8),"")</f>
        <v>20</v>
      </c>
      <c r="AH1257" s="39" cm="1">
        <f t="array" ref="AH1257">IFERROR(INDEX(DaybyDay[],DaybyDay[[#This Row],[FORM_MATCH_HELPER]],10),"")</f>
        <v>4234.2</v>
      </c>
      <c r="AI1257" s="39" cm="1">
        <f t="array" ref="AI1257">IFERROR(INDEX(DaybyDay[],DaybyDay[[#This Row],[FORM_MATCH_HELPER]],12),"")</f>
        <v>855.5</v>
      </c>
      <c r="AJ1257" s="32">
        <f>IFERROR(DaybyDay[[#This Row],[Serv-LY-RU]]+DaybyDay[[#This Row],[Ret-LY-RU]],"")</f>
        <v>977598.52</v>
      </c>
      <c r="AK12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969914.62949800794</v>
      </c>
      <c r="AL1257" s="77"/>
      <c r="AM1257" s="40" t="str">
        <f>IF(DaybyDay[[#This Row],[Admin Hours]]&gt;0,DaybyDay[[#This Row],[Admin Hours]]*$AM$2+$AM$3,"")</f>
        <v/>
      </c>
      <c r="AN1257" s="40">
        <f>SUMIFS(DaybyDay[Est-Admin-Payroll],DaybyDay[Date],"&gt;="&amp;$C$5,DaybyDay[RowYear],"&gt;="&amp;$C$4,DaybyDay[Date],"&lt;="&amp;DaybyDay[[#This Row],[Date]])</f>
        <v>13941.779999999997</v>
      </c>
      <c r="AO1257" s="41" t="str">
        <f>IF(AND(DaybyDay[[#This Row],[_Space]],ISNUMBER(DaybyDay[[#This Row],[Admin Hours]])),DaybyDay[[#This Row],[Est-Admin-Payroll]]/(DaybyDay[[#This Row],[Service-Actuals]]+DaybyDay[[#This Row],[Retail-Actuals]]),"")</f>
        <v/>
      </c>
      <c r="AP1257" s="41">
        <f>DaybyDay[[#This Row],[Estimated-Payroll-Rollup]]/DaybyDay[[#This Row],[Simple-Forecast]]</f>
        <v>1.437423416039796E-2</v>
      </c>
      <c r="AQ12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187644.63898311614</v>
      </c>
      <c r="AR1257" s="77"/>
      <c r="AS1257" s="40" t="str">
        <f>IF(DaybyDay[[#This Row],[Retail Hours]]&gt;0,DaybyDay[[#This Row],[Retail Hours]]*$AS$2,"")</f>
        <v/>
      </c>
      <c r="AT1257" s="40">
        <f>SUMIFS(DaybyDay[Est-Retail-Payroll],DaybyDay[Date],"&gt;="&amp;$C$5,DaybyDay[RowYear],"&gt;="&amp;$C$4,DaybyDay[Date],"&lt;="&amp;DaybyDay[[#This Row],[Date]])</f>
        <v>2627.1</v>
      </c>
      <c r="AU1257" s="82" t="str">
        <f>IF(AND(DaybyDay[[#This Row],[_Space]],ISNUMBER(DaybyDay[[#This Row],[Retail Hours]])),DaybyDay[[#This Row],[Est-Retail-Payroll]]/(DaybyDay[[#This Row],[Retail-Actuals]]),"")</f>
        <v/>
      </c>
      <c r="AV1257" s="82">
        <f>DaybyDay[[#This Row],[Est-Retail-PayrollRU]]/DaybyDay[[#This Row],[Simple-Forecast-Retail]]</f>
        <v>1.4000399980712376E-2</v>
      </c>
      <c r="AW1257" s="8"/>
      <c r="AX1257" s="15"/>
      <c r="AY1257" s="8"/>
    </row>
    <row r="1258" spans="3:51" hidden="1" x14ac:dyDescent="0.25">
      <c r="C1258" s="26" t="str">
        <f>Tools!$C$1</f>
        <v>Example</v>
      </c>
      <c r="D1258" s="27" t="s">
        <v>73</v>
      </c>
      <c r="E1258" s="28">
        <v>2020</v>
      </c>
      <c r="F1258" s="28">
        <f>MATCH(DaybyDay[[#This Row],[RowMonth]],Table3[SummaryMonth],0)</f>
        <v>6</v>
      </c>
      <c r="G1258" s="29">
        <f>MATCH(DaybyDay[[#This Row],[LY-Date]],DaybyDay[Date],0)</f>
        <v>888</v>
      </c>
      <c r="H1258" s="30">
        <f>WEEKDAY(DaybyDay[[#This Row],[Date]])</f>
        <v>6</v>
      </c>
      <c r="I1258" s="31">
        <v>43987</v>
      </c>
      <c r="J1258" s="74"/>
      <c r="K1258" s="32">
        <f>SUMIFS(BudgetSeasonality[365 Seasonality],BudgetSeasonality[MonthAdjustment],DaybyDay[[#This Row],[Date]])*SUMIFS(Budgets[Service-Budget],Budgets[BudgetMonth],DaybyDay[[#This Row],[RowMonth]],Budgets[BudgetYear],DaybyDay[[#This Row],[RowYear]])</f>
        <v>5864.3273508476441</v>
      </c>
      <c r="L1258" s="75"/>
      <c r="M1258" s="32">
        <f>INDEX(BudgetSeasonality[365 Seasonality],MATCH(DaybyDay[[#This Row],[Date]],BudgetSeasonality[MonthAdjustment],0))*SUMIFS(Budgets[Retail-Budget],Budgets[BudgetMonth],DaybyDay[[#This Row],[RowMonth]],Budgets[BudgetYear],DaybyDay[[#This Row],[RowYear]])</f>
        <v>1509.4997679568085</v>
      </c>
      <c r="N1258" s="75"/>
      <c r="O1258" s="33">
        <f>SUMIFS(DaybyDay[Service-Budgets],DaybyDay[Date],"&gt;="&amp;$C$5,DaybyDay[RowYear],"&gt;="&amp;$C$4,DaybyDay[Date],"&lt;="&amp;DaybyDay[[#This Row],[Date]])</f>
        <v>848705.22649572138</v>
      </c>
      <c r="P1258" s="33">
        <f>SUMIFS(DaybyDay[Retail-Budgets],DaybyDay[Date],"&gt;="&amp;$C$5,DaybyDay[RowYear],"&gt;="&amp;$C$4,DaybyDay[Date],"&lt;="&amp;DaybyDay[[#This Row],[Date]])</f>
        <v>212465.37206708343</v>
      </c>
      <c r="Q1258" s="34">
        <f>SUMIFS(DaybyDay[Service-Actuals],DaybyDay[Date],"&gt;="&amp;$C$5,DaybyDay[RowYear],"&gt;="&amp;$C$4,DaybyDay[Date],"&lt;="&amp;DaybyDay[[#This Row],[Date]])</f>
        <v>385554.23</v>
      </c>
      <c r="R1258" s="34">
        <f>SUMIFS(DaybyDay[Retail-Actuals],DaybyDay[Date],"&gt;="&amp;$C$5,DaybyDay[RowYear],"&gt;="&amp;$C$4,DaybyDay[Date],"&lt;="&amp;DaybyDay[[#This Row],[Date]])</f>
        <v>88360.030000000028</v>
      </c>
      <c r="S1258" s="35">
        <f>SUMIFS(DaybyDay[Service-LY],DaybyDay[Date],"&gt;="&amp;$C$5,DaybyDay[RowYear],"&gt;="&amp;$C$4,DaybyDay[Date],"&lt;="&amp;DaybyDay[[#This Row],[Date]])</f>
        <v>794023.09</v>
      </c>
      <c r="T1258" s="35">
        <f>SUMIFS(DaybyDay[Retail-LY],DaybyDay[Date],"&gt;="&amp;$C$5,DaybyDay[RowYear],"&gt;="&amp;$C$4,DaybyDay[Date],"&lt;="&amp;DaybyDay[[#This Row],[Date]])</f>
        <v>190109.11</v>
      </c>
      <c r="U1258" s="32">
        <f>DaybyDay[[#This Row],[Serv-Bud-RU]]+DaybyDay[[#This Row],[Ret-Bud-RU]]</f>
        <v>1061170.5985628047</v>
      </c>
      <c r="V1258" s="32">
        <f>DaybyDay[[#This Row],[Serv-Act-RU]]+DaybyDay[[#This Row],[Ret-Act-RU]]</f>
        <v>473914.26</v>
      </c>
      <c r="W1258" s="36" t="str">
        <f>IF(DaybyDay[[#This Row],[_Space]],IFERROR(
((DaybyDay[[#This Row],[Actual-Rollup]]-DaybyDay[[#This Row],[Budget-Rollup]])/DaybyDay[[#This Row],[Budget-Rollup]]),0),"")</f>
        <v/>
      </c>
      <c r="X1258" t="b">
        <f>NOT(AND(ISBLANK(DaybyDay[[#This Row],[Appts]]),ISBLANK(DaybyDay[[#This Row],[Service-Actuals]]),ISBLANK(DaybyDay[[#This Row],[Retail-Actuals]])))</f>
        <v>0</v>
      </c>
      <c r="Y1258" s="36" t="str">
        <f>IF(DaybyDay[[#This Row],[_Space]],IFERROR(
((DaybyDay[[#This Row],[Actual-Rollup]]-DaybyDay[[#This Row],[LY-Rollup]])/DaybyDay[[#This Row],[LY-Rollup]]),0),"")</f>
        <v/>
      </c>
      <c r="Z1258"/>
      <c r="AA1258" s="37" t="str">
        <f>IF(DaybyDay[[#This Row],[_Space]],DaybyDay[[#This Row],[Ret-Act-RU]]/DaybyDay[[#This Row],[Serv-Act-RU]],"")</f>
        <v/>
      </c>
      <c r="AB1258" s="50" t="str">
        <f>IF(DaybyDay[[#This Row],[_Space]],DaybyDay[[#This Row],[RETPEN-Act]]/DaybyDay[[#This Row],[RETPEN-Bud]],"")</f>
        <v/>
      </c>
      <c r="AC1258" s="37" t="str">
        <f>IF(DaybyDay[[#This Row],[_Space]],DaybyDay[[#This Row],[Ret-Bud-RU]]/DaybyDay[[#This Row],[Serv-Bud-RU]],"")</f>
        <v/>
      </c>
      <c r="AD1258" s="37" t="str">
        <f>IF(DaybyDay[[#This Row],[_Space]],DaybyDay[[#This Row],[Ret-LY-RU]]/DaybyDay[[#This Row],[Serv-LY-RU]],"")</f>
        <v/>
      </c>
      <c r="AE1258" s="30">
        <f>WEEKDAY(DaybyDay[[#This Row],[LY-Date]])</f>
        <v>6</v>
      </c>
      <c r="AF1258" s="38">
        <f>$E$2+_xlfn.DAYS(DaybyDay[[#This Row],[Date]],minDate)</f>
        <v>43623</v>
      </c>
      <c r="AG1258" s="39" cm="1">
        <f t="array" ref="AG1258">IFERROR(INDEX(DaybyDay[],DaybyDay[[#This Row],[FORM_MATCH_HELPER]],8),"")</f>
        <v>27</v>
      </c>
      <c r="AH1258" s="39" cm="1">
        <f t="array" ref="AH1258">IFERROR(INDEX(DaybyDay[],DaybyDay[[#This Row],[FORM_MATCH_HELPER]],10),"")</f>
        <v>5727.8700000000008</v>
      </c>
      <c r="AI1258" s="39" cm="1">
        <f t="array" ref="AI1258">IFERROR(INDEX(DaybyDay[],DaybyDay[[#This Row],[FORM_MATCH_HELPER]],12),"")</f>
        <v>805.81</v>
      </c>
      <c r="AJ1258" s="32">
        <f>IFERROR(DaybyDay[[#This Row],[Serv-LY-RU]]+DaybyDay[[#This Row],[Ret-LY-RU]],"")</f>
        <v>984132.2</v>
      </c>
      <c r="AK12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976272.5089968188</v>
      </c>
      <c r="AL1258" s="77"/>
      <c r="AM1258" s="40" t="str">
        <f>IF(DaybyDay[[#This Row],[Admin Hours]]&gt;0,DaybyDay[[#This Row],[Admin Hours]]*$AM$2+$AM$3,"")</f>
        <v/>
      </c>
      <c r="AN1258" s="40">
        <f>SUMIFS(DaybyDay[Est-Admin-Payroll],DaybyDay[Date],"&gt;="&amp;$C$5,DaybyDay[RowYear],"&gt;="&amp;$C$4,DaybyDay[Date],"&lt;="&amp;DaybyDay[[#This Row],[Date]])</f>
        <v>13941.779999999997</v>
      </c>
      <c r="AO1258" s="41" t="str">
        <f>IF(AND(DaybyDay[[#This Row],[_Space]],ISNUMBER(DaybyDay[[#This Row],[Admin Hours]])),DaybyDay[[#This Row],[Est-Admin-Payroll]]/(DaybyDay[[#This Row],[Service-Actuals]]+DaybyDay[[#This Row],[Retail-Actuals]]),"")</f>
        <v/>
      </c>
      <c r="AP1258" s="41">
        <f>DaybyDay[[#This Row],[Estimated-Payroll-Rollup]]/DaybyDay[[#This Row],[Simple-Forecast]]</f>
        <v>1.4280623362349976E-2</v>
      </c>
      <c r="AQ12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188684.01113552888</v>
      </c>
      <c r="AR1258" s="77"/>
      <c r="AS1258" s="40" t="str">
        <f>IF(DaybyDay[[#This Row],[Retail Hours]]&gt;0,DaybyDay[[#This Row],[Retail Hours]]*$AS$2,"")</f>
        <v/>
      </c>
      <c r="AT1258" s="40">
        <f>SUMIFS(DaybyDay[Est-Retail-Payroll],DaybyDay[Date],"&gt;="&amp;$C$5,DaybyDay[RowYear],"&gt;="&amp;$C$4,DaybyDay[Date],"&lt;="&amp;DaybyDay[[#This Row],[Date]])</f>
        <v>2627.1</v>
      </c>
      <c r="AU1258" s="82" t="str">
        <f>IF(AND(DaybyDay[[#This Row],[_Space]],ISNUMBER(DaybyDay[[#This Row],[Retail Hours]])),DaybyDay[[#This Row],[Est-Retail-Payroll]]/(DaybyDay[[#This Row],[Retail-Actuals]]),"")</f>
        <v/>
      </c>
      <c r="AV1258" s="82">
        <f>DaybyDay[[#This Row],[Est-Retail-PayrollRU]]/DaybyDay[[#This Row],[Simple-Forecast-Retail]]</f>
        <v>1.3923278311658287E-2</v>
      </c>
      <c r="AW1258" s="8"/>
      <c r="AX1258" s="15"/>
      <c r="AY1258" s="8"/>
    </row>
    <row r="1259" spans="3:51" hidden="1" x14ac:dyDescent="0.25">
      <c r="C1259" s="26" t="str">
        <f>Tools!$C$1</f>
        <v>Example</v>
      </c>
      <c r="D1259" s="27" t="s">
        <v>73</v>
      </c>
      <c r="E1259" s="28">
        <v>2020</v>
      </c>
      <c r="F1259" s="28">
        <f>MATCH(DaybyDay[[#This Row],[RowMonth]],Table3[SummaryMonth],0)</f>
        <v>6</v>
      </c>
      <c r="G1259" s="29">
        <f>MATCH(DaybyDay[[#This Row],[LY-Date]],DaybyDay[Date],0)</f>
        <v>889</v>
      </c>
      <c r="H1259" s="30">
        <f>WEEKDAY(DaybyDay[[#This Row],[Date]])</f>
        <v>7</v>
      </c>
      <c r="I1259" s="31">
        <v>43988</v>
      </c>
      <c r="J1259" s="74"/>
      <c r="K1259" s="32">
        <f>SUMIFS(BudgetSeasonality[365 Seasonality],BudgetSeasonality[MonthAdjustment],DaybyDay[[#This Row],[Date]])*SUMIFS(Budgets[Service-Budget],Budgets[BudgetMonth],DaybyDay[[#This Row],[RowMonth]],Budgets[BudgetYear],DaybyDay[[#This Row],[RowYear]])</f>
        <v>8286.7230535614399</v>
      </c>
      <c r="L1259" s="75"/>
      <c r="M1259" s="32">
        <f>INDEX(BudgetSeasonality[365 Seasonality],MATCH(DaybyDay[[#This Row],[Date]],BudgetSeasonality[MonthAdjustment],0))*SUMIFS(Budgets[Retail-Budget],Budgets[BudgetMonth],DaybyDay[[#This Row],[RowMonth]],Budgets[BudgetYear],DaybyDay[[#This Row],[RowYear]])</f>
        <v>2133.0334713776297</v>
      </c>
      <c r="N1259" s="75"/>
      <c r="O1259" s="33">
        <f>SUMIFS(DaybyDay[Service-Budgets],DaybyDay[Date],"&gt;="&amp;$C$5,DaybyDay[RowYear],"&gt;="&amp;$C$4,DaybyDay[Date],"&lt;="&amp;DaybyDay[[#This Row],[Date]])</f>
        <v>856991.94954928278</v>
      </c>
      <c r="P1259" s="33">
        <f>SUMIFS(DaybyDay[Retail-Budgets],DaybyDay[Date],"&gt;="&amp;$C$5,DaybyDay[RowYear],"&gt;="&amp;$C$4,DaybyDay[Date],"&lt;="&amp;DaybyDay[[#This Row],[Date]])</f>
        <v>214598.40553846105</v>
      </c>
      <c r="Q1259" s="34">
        <f>SUMIFS(DaybyDay[Service-Actuals],DaybyDay[Date],"&gt;="&amp;$C$5,DaybyDay[RowYear],"&gt;="&amp;$C$4,DaybyDay[Date],"&lt;="&amp;DaybyDay[[#This Row],[Date]])</f>
        <v>385554.23</v>
      </c>
      <c r="R1259" s="34">
        <f>SUMIFS(DaybyDay[Retail-Actuals],DaybyDay[Date],"&gt;="&amp;$C$5,DaybyDay[RowYear],"&gt;="&amp;$C$4,DaybyDay[Date],"&lt;="&amp;DaybyDay[[#This Row],[Date]])</f>
        <v>88360.030000000028</v>
      </c>
      <c r="S1259" s="35">
        <f>SUMIFS(DaybyDay[Service-LY],DaybyDay[Date],"&gt;="&amp;$C$5,DaybyDay[RowYear],"&gt;="&amp;$C$4,DaybyDay[Date],"&lt;="&amp;DaybyDay[[#This Row],[Date]])</f>
        <v>802237.32</v>
      </c>
      <c r="T1259" s="35">
        <f>SUMIFS(DaybyDay[Retail-LY],DaybyDay[Date],"&gt;="&amp;$C$5,DaybyDay[RowYear],"&gt;="&amp;$C$4,DaybyDay[Date],"&lt;="&amp;DaybyDay[[#This Row],[Date]])</f>
        <v>194608.11</v>
      </c>
      <c r="U1259" s="32">
        <f>DaybyDay[[#This Row],[Serv-Bud-RU]]+DaybyDay[[#This Row],[Ret-Bud-RU]]</f>
        <v>1071590.3550877438</v>
      </c>
      <c r="V1259" s="32">
        <f>DaybyDay[[#This Row],[Serv-Act-RU]]+DaybyDay[[#This Row],[Ret-Act-RU]]</f>
        <v>473914.26</v>
      </c>
      <c r="W1259" s="36" t="str">
        <f>IF(DaybyDay[[#This Row],[_Space]],IFERROR(
((DaybyDay[[#This Row],[Actual-Rollup]]-DaybyDay[[#This Row],[Budget-Rollup]])/DaybyDay[[#This Row],[Budget-Rollup]]),0),"")</f>
        <v/>
      </c>
      <c r="X1259" t="b">
        <f>NOT(AND(ISBLANK(DaybyDay[[#This Row],[Appts]]),ISBLANK(DaybyDay[[#This Row],[Service-Actuals]]),ISBLANK(DaybyDay[[#This Row],[Retail-Actuals]])))</f>
        <v>0</v>
      </c>
      <c r="Y1259" s="36" t="str">
        <f>IF(DaybyDay[[#This Row],[_Space]],IFERROR(
((DaybyDay[[#This Row],[Actual-Rollup]]-DaybyDay[[#This Row],[LY-Rollup]])/DaybyDay[[#This Row],[LY-Rollup]]),0),"")</f>
        <v/>
      </c>
      <c r="Z1259"/>
      <c r="AA1259" s="37" t="str">
        <f>IF(DaybyDay[[#This Row],[_Space]],DaybyDay[[#This Row],[Ret-Act-RU]]/DaybyDay[[#This Row],[Serv-Act-RU]],"")</f>
        <v/>
      </c>
      <c r="AB1259" s="50" t="str">
        <f>IF(DaybyDay[[#This Row],[_Space]],DaybyDay[[#This Row],[RETPEN-Act]]/DaybyDay[[#This Row],[RETPEN-Bud]],"")</f>
        <v/>
      </c>
      <c r="AC1259" s="37" t="str">
        <f>IF(DaybyDay[[#This Row],[_Space]],DaybyDay[[#This Row],[Ret-Bud-RU]]/DaybyDay[[#This Row],[Serv-Bud-RU]],"")</f>
        <v/>
      </c>
      <c r="AD1259" s="37" t="str">
        <f>IF(DaybyDay[[#This Row],[_Space]],DaybyDay[[#This Row],[Ret-LY-RU]]/DaybyDay[[#This Row],[Serv-LY-RU]],"")</f>
        <v/>
      </c>
      <c r="AE1259" s="30">
        <f>WEEKDAY(DaybyDay[[#This Row],[LY-Date]])</f>
        <v>7</v>
      </c>
      <c r="AF1259" s="38">
        <f>$E$2+_xlfn.DAYS(DaybyDay[[#This Row],[Date]],minDate)</f>
        <v>43624</v>
      </c>
      <c r="AG1259" s="39" cm="1">
        <f t="array" ref="AG1259">IFERROR(INDEX(DaybyDay[],DaybyDay[[#This Row],[FORM_MATCH_HELPER]],8),"")</f>
        <v>31</v>
      </c>
      <c r="AH1259" s="39" cm="1">
        <f t="array" ref="AH1259">IFERROR(INDEX(DaybyDay[],DaybyDay[[#This Row],[FORM_MATCH_HELPER]],10),"")</f>
        <v>8214.23</v>
      </c>
      <c r="AI1259" s="39" cm="1">
        <f t="array" ref="AI1259">IFERROR(INDEX(DaybyDay[],DaybyDay[[#This Row],[FORM_MATCH_HELPER]],12),"")</f>
        <v>4499</v>
      </c>
      <c r="AJ1259" s="32">
        <f>IFERROR(DaybyDay[[#This Row],[Serv-LY-RU]]+DaybyDay[[#This Row],[Ret-LY-RU]],"")</f>
        <v>996845.42999999993</v>
      </c>
      <c r="AK12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986972.77446544752</v>
      </c>
      <c r="AL1259" s="77"/>
      <c r="AM1259" s="40" t="str">
        <f>IF(DaybyDay[[#This Row],[Admin Hours]]&gt;0,DaybyDay[[#This Row],[Admin Hours]]*$AM$2+$AM$3,"")</f>
        <v/>
      </c>
      <c r="AN1259" s="40">
        <f>SUMIFS(DaybyDay[Est-Admin-Payroll],DaybyDay[Date],"&gt;="&amp;$C$5,DaybyDay[RowYear],"&gt;="&amp;$C$4,DaybyDay[Date],"&lt;="&amp;DaybyDay[[#This Row],[Date]])</f>
        <v>13941.779999999997</v>
      </c>
      <c r="AO1259" s="41" t="str">
        <f>IF(AND(DaybyDay[[#This Row],[_Space]],ISNUMBER(DaybyDay[[#This Row],[Admin Hours]])),DaybyDay[[#This Row],[Est-Admin-Payroll]]/(DaybyDay[[#This Row],[Service-Actuals]]+DaybyDay[[#This Row],[Retail-Actuals]]),"")</f>
        <v/>
      </c>
      <c r="AP1259" s="41">
        <f>DaybyDay[[#This Row],[Estimated-Payroll-Rollup]]/DaybyDay[[#This Row],[Simple-Forecast]]</f>
        <v>1.4125799982224413E-2</v>
      </c>
      <c r="AQ12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191809.50864031323</v>
      </c>
      <c r="AR1259" s="77"/>
      <c r="AS1259" s="40" t="str">
        <f>IF(DaybyDay[[#This Row],[Retail Hours]]&gt;0,DaybyDay[[#This Row],[Retail Hours]]*$AS$2,"")</f>
        <v/>
      </c>
      <c r="AT1259" s="40">
        <f>SUMIFS(DaybyDay[Est-Retail-Payroll],DaybyDay[Date],"&gt;="&amp;$C$5,DaybyDay[RowYear],"&gt;="&amp;$C$4,DaybyDay[Date],"&lt;="&amp;DaybyDay[[#This Row],[Date]])</f>
        <v>2627.1</v>
      </c>
      <c r="AU1259" s="82" t="str">
        <f>IF(AND(DaybyDay[[#This Row],[_Space]],ISNUMBER(DaybyDay[[#This Row],[Retail Hours]])),DaybyDay[[#This Row],[Est-Retail-Payroll]]/(DaybyDay[[#This Row],[Retail-Actuals]]),"")</f>
        <v/>
      </c>
      <c r="AV1259" s="82">
        <f>DaybyDay[[#This Row],[Est-Retail-PayrollRU]]/DaybyDay[[#This Row],[Simple-Forecast-Retail]]</f>
        <v>1.3696401281786371E-2</v>
      </c>
      <c r="AW1259" s="8"/>
      <c r="AX1259" s="15"/>
      <c r="AY1259" s="8"/>
    </row>
    <row r="1260" spans="3:51" hidden="1" x14ac:dyDescent="0.25">
      <c r="C1260" s="26" t="str">
        <f>Tools!$C$1</f>
        <v>Example</v>
      </c>
      <c r="D1260" s="27" t="s">
        <v>73</v>
      </c>
      <c r="E1260" s="28">
        <v>2020</v>
      </c>
      <c r="F1260" s="28">
        <f>MATCH(DaybyDay[[#This Row],[RowMonth]],Table3[SummaryMonth],0)</f>
        <v>6</v>
      </c>
      <c r="G1260" s="29">
        <f>MATCH(DaybyDay[[#This Row],[LY-Date]],DaybyDay[Date],0)</f>
        <v>890</v>
      </c>
      <c r="H1260" s="30">
        <f>WEEKDAY(DaybyDay[[#This Row],[Date]])</f>
        <v>1</v>
      </c>
      <c r="I1260" s="31">
        <v>43989</v>
      </c>
      <c r="J1260" s="74"/>
      <c r="K1260" s="32">
        <f>SUMIFS(BudgetSeasonality[365 Seasonality],BudgetSeasonality[MonthAdjustment],DaybyDay[[#This Row],[Date]])*SUMIFS(Budgets[Service-Budget],Budgets[BudgetMonth],DaybyDay[[#This Row],[RowMonth]],Budgets[BudgetYear],DaybyDay[[#This Row],[RowYear]])</f>
        <v>6526.7588275805492</v>
      </c>
      <c r="L1260" s="75"/>
      <c r="M1260" s="32">
        <f>INDEX(BudgetSeasonality[365 Seasonality],MATCH(DaybyDay[[#This Row],[Date]],BudgetSeasonality[MonthAdjustment],0))*SUMIFS(Budgets[Retail-Budget],Budgets[BudgetMonth],DaybyDay[[#This Row],[RowMonth]],Budgets[BudgetYear],DaybyDay[[#This Row],[RowYear]])</f>
        <v>1680.0121047674527</v>
      </c>
      <c r="N1260" s="75"/>
      <c r="O1260" s="33">
        <f>SUMIFS(DaybyDay[Service-Budgets],DaybyDay[Date],"&gt;="&amp;$C$5,DaybyDay[RowYear],"&gt;="&amp;$C$4,DaybyDay[Date],"&lt;="&amp;DaybyDay[[#This Row],[Date]])</f>
        <v>863518.70837686339</v>
      </c>
      <c r="P1260" s="33">
        <f>SUMIFS(DaybyDay[Retail-Budgets],DaybyDay[Date],"&gt;="&amp;$C$5,DaybyDay[RowYear],"&gt;="&amp;$C$4,DaybyDay[Date],"&lt;="&amp;DaybyDay[[#This Row],[Date]])</f>
        <v>216278.41764322852</v>
      </c>
      <c r="Q1260" s="34">
        <f>SUMIFS(DaybyDay[Service-Actuals],DaybyDay[Date],"&gt;="&amp;$C$5,DaybyDay[RowYear],"&gt;="&amp;$C$4,DaybyDay[Date],"&lt;="&amp;DaybyDay[[#This Row],[Date]])</f>
        <v>385554.23</v>
      </c>
      <c r="R1260" s="34">
        <f>SUMIFS(DaybyDay[Retail-Actuals],DaybyDay[Date],"&gt;="&amp;$C$5,DaybyDay[RowYear],"&gt;="&amp;$C$4,DaybyDay[Date],"&lt;="&amp;DaybyDay[[#This Row],[Date]])</f>
        <v>88360.030000000028</v>
      </c>
      <c r="S1260" s="35">
        <f>SUMIFS(DaybyDay[Service-LY],DaybyDay[Date],"&gt;="&amp;$C$5,DaybyDay[RowYear],"&gt;="&amp;$C$4,DaybyDay[Date],"&lt;="&amp;DaybyDay[[#This Row],[Date]])</f>
        <v>808518.00999999989</v>
      </c>
      <c r="T1260" s="35">
        <f>SUMIFS(DaybyDay[Retail-LY],DaybyDay[Date],"&gt;="&amp;$C$5,DaybyDay[RowYear],"&gt;="&amp;$C$4,DaybyDay[Date],"&lt;="&amp;DaybyDay[[#This Row],[Date]])</f>
        <v>195315.91999999998</v>
      </c>
      <c r="U1260" s="32">
        <f>DaybyDay[[#This Row],[Serv-Bud-RU]]+DaybyDay[[#This Row],[Ret-Bud-RU]]</f>
        <v>1079797.1260200918</v>
      </c>
      <c r="V1260" s="32">
        <f>DaybyDay[[#This Row],[Serv-Act-RU]]+DaybyDay[[#This Row],[Ret-Act-RU]]</f>
        <v>473914.26</v>
      </c>
      <c r="W1260" s="36" t="str">
        <f>IF(DaybyDay[[#This Row],[_Space]],IFERROR(
((DaybyDay[[#This Row],[Actual-Rollup]]-DaybyDay[[#This Row],[Budget-Rollup]])/DaybyDay[[#This Row],[Budget-Rollup]]),0),"")</f>
        <v/>
      </c>
      <c r="X1260" t="b">
        <f>NOT(AND(ISBLANK(DaybyDay[[#This Row],[Appts]]),ISBLANK(DaybyDay[[#This Row],[Service-Actuals]]),ISBLANK(DaybyDay[[#This Row],[Retail-Actuals]])))</f>
        <v>0</v>
      </c>
      <c r="Y1260" s="36" t="str">
        <f>IF(DaybyDay[[#This Row],[_Space]],IFERROR(
((DaybyDay[[#This Row],[Actual-Rollup]]-DaybyDay[[#This Row],[LY-Rollup]])/DaybyDay[[#This Row],[LY-Rollup]]),0),"")</f>
        <v/>
      </c>
      <c r="Z1260"/>
      <c r="AA1260" s="37" t="str">
        <f>IF(DaybyDay[[#This Row],[_Space]],DaybyDay[[#This Row],[Ret-Act-RU]]/DaybyDay[[#This Row],[Serv-Act-RU]],"")</f>
        <v/>
      </c>
      <c r="AB1260" s="50" t="str">
        <f>IF(DaybyDay[[#This Row],[_Space]],DaybyDay[[#This Row],[RETPEN-Act]]/DaybyDay[[#This Row],[RETPEN-Bud]],"")</f>
        <v/>
      </c>
      <c r="AC1260" s="37" t="str">
        <f>IF(DaybyDay[[#This Row],[_Space]],DaybyDay[[#This Row],[Ret-Bud-RU]]/DaybyDay[[#This Row],[Serv-Bud-RU]],"")</f>
        <v/>
      </c>
      <c r="AD1260" s="37" t="str">
        <f>IF(DaybyDay[[#This Row],[_Space]],DaybyDay[[#This Row],[Ret-LY-RU]]/DaybyDay[[#This Row],[Serv-LY-RU]],"")</f>
        <v/>
      </c>
      <c r="AE1260" s="30">
        <f>WEEKDAY(DaybyDay[[#This Row],[LY-Date]])</f>
        <v>1</v>
      </c>
      <c r="AF1260" s="38">
        <f>$E$2+_xlfn.DAYS(DaybyDay[[#This Row],[Date]],minDate)</f>
        <v>43625</v>
      </c>
      <c r="AG1260" s="39" cm="1">
        <f t="array" ref="AG1260">IFERROR(INDEX(DaybyDay[],DaybyDay[[#This Row],[FORM_MATCH_HELPER]],8),"")</f>
        <v>37</v>
      </c>
      <c r="AH1260" s="39" cm="1">
        <f t="array" ref="AH1260">IFERROR(INDEX(DaybyDay[],DaybyDay[[#This Row],[FORM_MATCH_HELPER]],10),"")</f>
        <v>6280.6900000000005</v>
      </c>
      <c r="AI1260" s="39" cm="1">
        <f t="array" ref="AI1260">IFERROR(INDEX(DaybyDay[],DaybyDay[[#This Row],[FORM_MATCH_HELPER]],12),"")</f>
        <v>707.81</v>
      </c>
      <c r="AJ1260" s="32">
        <f>IFERROR(DaybyDay[[#This Row],[Serv-LY-RU]]+DaybyDay[[#This Row],[Ret-LY-RU]],"")</f>
        <v>1003833.9299999999</v>
      </c>
      <c r="AK12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993909.19654371287</v>
      </c>
      <c r="AL1260" s="77"/>
      <c r="AM1260" s="40" t="str">
        <f>IF(DaybyDay[[#This Row],[Admin Hours]]&gt;0,DaybyDay[[#This Row],[Admin Hours]]*$AM$2+$AM$3,"")</f>
        <v/>
      </c>
      <c r="AN1260" s="40">
        <f>SUMIFS(DaybyDay[Est-Admin-Payroll],DaybyDay[Date],"&gt;="&amp;$C$5,DaybyDay[RowYear],"&gt;="&amp;$C$4,DaybyDay[Date],"&lt;="&amp;DaybyDay[[#This Row],[Date]])</f>
        <v>13941.779999999997</v>
      </c>
      <c r="AO1260" s="41" t="str">
        <f>IF(AND(DaybyDay[[#This Row],[_Space]],ISNUMBER(DaybyDay[[#This Row],[Admin Hours]])),DaybyDay[[#This Row],[Est-Admin-Payroll]]/(DaybyDay[[#This Row],[Service-Actuals]]+DaybyDay[[#This Row],[Retail-Actuals]]),"")</f>
        <v/>
      </c>
      <c r="AP1260" s="41">
        <f>DaybyDay[[#This Row],[Estimated-Payroll-Rollup]]/DaybyDay[[#This Row],[Simple-Forecast]]</f>
        <v>1.4027217021919192E-2</v>
      </c>
      <c r="AQ12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192873.09080076969</v>
      </c>
      <c r="AR1260" s="77"/>
      <c r="AS1260" s="40" t="str">
        <f>IF(DaybyDay[[#This Row],[Retail Hours]]&gt;0,DaybyDay[[#This Row],[Retail Hours]]*$AS$2,"")</f>
        <v/>
      </c>
      <c r="AT1260" s="40">
        <f>SUMIFS(DaybyDay[Est-Retail-Payroll],DaybyDay[Date],"&gt;="&amp;$C$5,DaybyDay[RowYear],"&gt;="&amp;$C$4,DaybyDay[Date],"&lt;="&amp;DaybyDay[[#This Row],[Date]])</f>
        <v>2627.1</v>
      </c>
      <c r="AU1260" s="82" t="str">
        <f>IF(AND(DaybyDay[[#This Row],[_Space]],ISNUMBER(DaybyDay[[#This Row],[Retail Hours]])),DaybyDay[[#This Row],[Est-Retail-Payroll]]/(DaybyDay[[#This Row],[Retail-Actuals]]),"")</f>
        <v/>
      </c>
      <c r="AV1260" s="82">
        <f>DaybyDay[[#This Row],[Est-Retail-PayrollRU]]/DaybyDay[[#This Row],[Simple-Forecast-Retail]]</f>
        <v>1.3620873648536544E-2</v>
      </c>
      <c r="AW1260" s="8"/>
      <c r="AX1260" s="15"/>
      <c r="AY1260" s="8"/>
    </row>
    <row r="1261" spans="3:51" hidden="1" x14ac:dyDescent="0.25">
      <c r="C1261" s="26" t="str">
        <f>Tools!$C$1</f>
        <v>Example</v>
      </c>
      <c r="D1261" s="27" t="s">
        <v>73</v>
      </c>
      <c r="E1261" s="28">
        <v>2020</v>
      </c>
      <c r="F1261" s="28">
        <f>MATCH(DaybyDay[[#This Row],[RowMonth]],Table3[SummaryMonth],0)</f>
        <v>6</v>
      </c>
      <c r="G1261" s="29">
        <f>MATCH(DaybyDay[[#This Row],[LY-Date]],DaybyDay[Date],0)</f>
        <v>891</v>
      </c>
      <c r="H1261" s="30">
        <f>WEEKDAY(DaybyDay[[#This Row],[Date]])</f>
        <v>2</v>
      </c>
      <c r="I1261" s="31">
        <v>43990</v>
      </c>
      <c r="J1261" s="74"/>
      <c r="K1261" s="32">
        <f>SUMIFS(BudgetSeasonality[365 Seasonality],BudgetSeasonality[MonthAdjustment],DaybyDay[[#This Row],[Date]])*SUMIFS(Budgets[Service-Budget],Budgets[BudgetMonth],DaybyDay[[#This Row],[RowMonth]],Budgets[BudgetYear],DaybyDay[[#This Row],[RowYear]])</f>
        <v>3950.6379608341053</v>
      </c>
      <c r="L1261" s="75"/>
      <c r="M1261" s="32">
        <f>INDEX(BudgetSeasonality[365 Seasonality],MATCH(DaybyDay[[#This Row],[Date]],BudgetSeasonality[MonthAdjustment],0))*SUMIFS(Budgets[Retail-Budget],Budgets[BudgetMonth],DaybyDay[[#This Row],[RowMonth]],Budgets[BudgetYear],DaybyDay[[#This Row],[RowYear]])</f>
        <v>1016.9089698409255</v>
      </c>
      <c r="N1261" s="75"/>
      <c r="O1261" s="33">
        <f>SUMIFS(DaybyDay[Service-Budgets],DaybyDay[Date],"&gt;="&amp;$C$5,DaybyDay[RowYear],"&gt;="&amp;$C$4,DaybyDay[Date],"&lt;="&amp;DaybyDay[[#This Row],[Date]])</f>
        <v>867469.34633769747</v>
      </c>
      <c r="P1261" s="33">
        <f>SUMIFS(DaybyDay[Retail-Budgets],DaybyDay[Date],"&gt;="&amp;$C$5,DaybyDay[RowYear],"&gt;="&amp;$C$4,DaybyDay[Date],"&lt;="&amp;DaybyDay[[#This Row],[Date]])</f>
        <v>217295.32661306945</v>
      </c>
      <c r="Q1261" s="34">
        <f>SUMIFS(DaybyDay[Service-Actuals],DaybyDay[Date],"&gt;="&amp;$C$5,DaybyDay[RowYear],"&gt;="&amp;$C$4,DaybyDay[Date],"&lt;="&amp;DaybyDay[[#This Row],[Date]])</f>
        <v>385554.23</v>
      </c>
      <c r="R1261" s="34">
        <f>SUMIFS(DaybyDay[Retail-Actuals],DaybyDay[Date],"&gt;="&amp;$C$5,DaybyDay[RowYear],"&gt;="&amp;$C$4,DaybyDay[Date],"&lt;="&amp;DaybyDay[[#This Row],[Date]])</f>
        <v>88360.030000000028</v>
      </c>
      <c r="S1261" s="35">
        <f>SUMIFS(DaybyDay[Service-LY],DaybyDay[Date],"&gt;="&amp;$C$5,DaybyDay[RowYear],"&gt;="&amp;$C$4,DaybyDay[Date],"&lt;="&amp;DaybyDay[[#This Row],[Date]])</f>
        <v>812822.00999999989</v>
      </c>
      <c r="T1261" s="35">
        <f>SUMIFS(DaybyDay[Retail-LY],DaybyDay[Date],"&gt;="&amp;$C$5,DaybyDay[RowYear],"&gt;="&amp;$C$4,DaybyDay[Date],"&lt;="&amp;DaybyDay[[#This Row],[Date]])</f>
        <v>195452.91999999998</v>
      </c>
      <c r="U1261" s="32">
        <f>DaybyDay[[#This Row],[Serv-Bud-RU]]+DaybyDay[[#This Row],[Ret-Bud-RU]]</f>
        <v>1084764.672950767</v>
      </c>
      <c r="V1261" s="32">
        <f>DaybyDay[[#This Row],[Serv-Act-RU]]+DaybyDay[[#This Row],[Ret-Act-RU]]</f>
        <v>473914.26</v>
      </c>
      <c r="W1261" s="36" t="str">
        <f>IF(DaybyDay[[#This Row],[_Space]],IFERROR(
((DaybyDay[[#This Row],[Actual-Rollup]]-DaybyDay[[#This Row],[Budget-Rollup]])/DaybyDay[[#This Row],[Budget-Rollup]]),0),"")</f>
        <v/>
      </c>
      <c r="X1261" t="b">
        <f>NOT(AND(ISBLANK(DaybyDay[[#This Row],[Appts]]),ISBLANK(DaybyDay[[#This Row],[Service-Actuals]]),ISBLANK(DaybyDay[[#This Row],[Retail-Actuals]])))</f>
        <v>0</v>
      </c>
      <c r="Y1261" s="36" t="str">
        <f>IF(DaybyDay[[#This Row],[_Space]],IFERROR(
((DaybyDay[[#This Row],[Actual-Rollup]]-DaybyDay[[#This Row],[LY-Rollup]])/DaybyDay[[#This Row],[LY-Rollup]]),0),"")</f>
        <v/>
      </c>
      <c r="Z1261"/>
      <c r="AA1261" s="37" t="str">
        <f>IF(DaybyDay[[#This Row],[_Space]],DaybyDay[[#This Row],[Ret-Act-RU]]/DaybyDay[[#This Row],[Serv-Act-RU]],"")</f>
        <v/>
      </c>
      <c r="AB1261" s="50" t="str">
        <f>IF(DaybyDay[[#This Row],[_Space]],DaybyDay[[#This Row],[RETPEN-Act]]/DaybyDay[[#This Row],[RETPEN-Bud]],"")</f>
        <v/>
      </c>
      <c r="AC1261" s="37" t="str">
        <f>IF(DaybyDay[[#This Row],[_Space]],DaybyDay[[#This Row],[Ret-Bud-RU]]/DaybyDay[[#This Row],[Serv-Bud-RU]],"")</f>
        <v/>
      </c>
      <c r="AD1261" s="37" t="str">
        <f>IF(DaybyDay[[#This Row],[_Space]],DaybyDay[[#This Row],[Ret-LY-RU]]/DaybyDay[[#This Row],[Serv-LY-RU]],"")</f>
        <v/>
      </c>
      <c r="AE1261" s="30">
        <f>WEEKDAY(DaybyDay[[#This Row],[LY-Date]])</f>
        <v>2</v>
      </c>
      <c r="AF1261" s="38">
        <f>$E$2+_xlfn.DAYS(DaybyDay[[#This Row],[Date]],minDate)</f>
        <v>43626</v>
      </c>
      <c r="AG1261" s="39" cm="1">
        <f t="array" ref="AG1261">IFERROR(INDEX(DaybyDay[],DaybyDay[[#This Row],[FORM_MATCH_HELPER]],8),"")</f>
        <v>21</v>
      </c>
      <c r="AH1261" s="39" cm="1">
        <f t="array" ref="AH1261">IFERROR(INDEX(DaybyDay[],DaybyDay[[#This Row],[FORM_MATCH_HELPER]],10),"")</f>
        <v>4304</v>
      </c>
      <c r="AI1261" s="39" cm="1">
        <f t="array" ref="AI1261">IFERROR(INDEX(DaybyDay[],DaybyDay[[#This Row],[FORM_MATCH_HELPER]],12),"")</f>
        <v>137</v>
      </c>
      <c r="AJ1261" s="32">
        <f>IFERROR(DaybyDay[[#This Row],[Serv-LY-RU]]+DaybyDay[[#This Row],[Ret-LY-RU]],"")</f>
        <v>1008274.9299999999</v>
      </c>
      <c r="AK12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998211.77149158181</v>
      </c>
      <c r="AL1261" s="77"/>
      <c r="AM1261" s="40" t="str">
        <f>IF(DaybyDay[[#This Row],[Admin Hours]]&gt;0,DaybyDay[[#This Row],[Admin Hours]]*$AM$2+$AM$3,"")</f>
        <v/>
      </c>
      <c r="AN1261" s="40">
        <f>SUMIFS(DaybyDay[Est-Admin-Payroll],DaybyDay[Date],"&gt;="&amp;$C$5,DaybyDay[RowYear],"&gt;="&amp;$C$4,DaybyDay[Date],"&lt;="&amp;DaybyDay[[#This Row],[Date]])</f>
        <v>13941.779999999997</v>
      </c>
      <c r="AO1261" s="41" t="str">
        <f>IF(AND(DaybyDay[[#This Row],[_Space]],ISNUMBER(DaybyDay[[#This Row],[Admin Hours]])),DaybyDay[[#This Row],[Est-Admin-Payroll]]/(DaybyDay[[#This Row],[Service-Actuals]]+DaybyDay[[#This Row],[Retail-Actuals]]),"")</f>
        <v/>
      </c>
      <c r="AP1261" s="41">
        <f>DaybyDay[[#This Row],[Estimated-Payroll-Rollup]]/DaybyDay[[#This Row],[Simple-Forecast]]</f>
        <v>1.3966755750803698E-2</v>
      </c>
      <c r="AQ12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193373.18484924419</v>
      </c>
      <c r="AR1261" s="77"/>
      <c r="AS1261" s="40" t="str">
        <f>IF(DaybyDay[[#This Row],[Retail Hours]]&gt;0,DaybyDay[[#This Row],[Retail Hours]]*$AS$2,"")</f>
        <v/>
      </c>
      <c r="AT1261" s="40">
        <f>SUMIFS(DaybyDay[Est-Retail-Payroll],DaybyDay[Date],"&gt;="&amp;$C$5,DaybyDay[RowYear],"&gt;="&amp;$C$4,DaybyDay[Date],"&lt;="&amp;DaybyDay[[#This Row],[Date]])</f>
        <v>2627.1</v>
      </c>
      <c r="AU1261" s="82" t="str">
        <f>IF(AND(DaybyDay[[#This Row],[_Space]],ISNUMBER(DaybyDay[[#This Row],[Retail Hours]])),DaybyDay[[#This Row],[Est-Retail-Payroll]]/(DaybyDay[[#This Row],[Retail-Actuals]]),"")</f>
        <v/>
      </c>
      <c r="AV1261" s="82">
        <f>DaybyDay[[#This Row],[Est-Retail-PayrollRU]]/DaybyDay[[#This Row],[Simple-Forecast-Retail]]</f>
        <v>1.3585647886226394E-2</v>
      </c>
      <c r="AW1261" s="8"/>
      <c r="AX1261" s="15"/>
      <c r="AY1261" s="8"/>
    </row>
    <row r="1262" spans="3:51" hidden="1" x14ac:dyDescent="0.25">
      <c r="C1262" s="26" t="str">
        <f>Tools!$C$1</f>
        <v>Example</v>
      </c>
      <c r="D1262" s="27" t="s">
        <v>73</v>
      </c>
      <c r="E1262" s="28">
        <v>2020</v>
      </c>
      <c r="F1262" s="28">
        <f>MATCH(DaybyDay[[#This Row],[RowMonth]],Table3[SummaryMonth],0)</f>
        <v>6</v>
      </c>
      <c r="G1262" s="29">
        <f>MATCH(DaybyDay[[#This Row],[LY-Date]],DaybyDay[Date],0)</f>
        <v>892</v>
      </c>
      <c r="H1262" s="30">
        <f>WEEKDAY(DaybyDay[[#This Row],[Date]])</f>
        <v>3</v>
      </c>
      <c r="I1262" s="31">
        <v>43991</v>
      </c>
      <c r="J1262" s="74"/>
      <c r="K1262" s="32">
        <f>SUMIFS(BudgetSeasonality[365 Seasonality],BudgetSeasonality[MonthAdjustment],DaybyDay[[#This Row],[Date]])*SUMIFS(Budgets[Service-Budget],Budgets[BudgetMonth],DaybyDay[[#This Row],[RowMonth]],Budgets[BudgetYear],DaybyDay[[#This Row],[RowYear]])</f>
        <v>4104.5845364767638</v>
      </c>
      <c r="L1262" s="75"/>
      <c r="M1262" s="32">
        <f>INDEX(BudgetSeasonality[365 Seasonality],MATCH(DaybyDay[[#This Row],[Date]],BudgetSeasonality[MonthAdjustment],0))*SUMIFS(Budgets[Retail-Budget],Budgets[BudgetMonth],DaybyDay[[#This Row],[RowMonth]],Budgets[BudgetYear],DaybyDay[[#This Row],[RowYear]])</f>
        <v>1056.5353935221938</v>
      </c>
      <c r="N1262" s="75"/>
      <c r="O1262" s="33">
        <f>SUMIFS(DaybyDay[Service-Budgets],DaybyDay[Date],"&gt;="&amp;$C$5,DaybyDay[RowYear],"&gt;="&amp;$C$4,DaybyDay[Date],"&lt;="&amp;DaybyDay[[#This Row],[Date]])</f>
        <v>871573.93087417423</v>
      </c>
      <c r="P1262" s="33">
        <f>SUMIFS(DaybyDay[Retail-Budgets],DaybyDay[Date],"&gt;="&amp;$C$5,DaybyDay[RowYear],"&gt;="&amp;$C$4,DaybyDay[Date],"&lt;="&amp;DaybyDay[[#This Row],[Date]])</f>
        <v>218351.86200659163</v>
      </c>
      <c r="Q1262" s="34">
        <f>SUMIFS(DaybyDay[Service-Actuals],DaybyDay[Date],"&gt;="&amp;$C$5,DaybyDay[RowYear],"&gt;="&amp;$C$4,DaybyDay[Date],"&lt;="&amp;DaybyDay[[#This Row],[Date]])</f>
        <v>385554.23</v>
      </c>
      <c r="R1262" s="34">
        <f>SUMIFS(DaybyDay[Retail-Actuals],DaybyDay[Date],"&gt;="&amp;$C$5,DaybyDay[RowYear],"&gt;="&amp;$C$4,DaybyDay[Date],"&lt;="&amp;DaybyDay[[#This Row],[Date]])</f>
        <v>88360.030000000028</v>
      </c>
      <c r="S1262" s="35">
        <f>SUMIFS(DaybyDay[Service-LY],DaybyDay[Date],"&gt;="&amp;$C$5,DaybyDay[RowYear],"&gt;="&amp;$C$4,DaybyDay[Date],"&lt;="&amp;DaybyDay[[#This Row],[Date]])</f>
        <v>815401.80999999994</v>
      </c>
      <c r="T1262" s="35">
        <f>SUMIFS(DaybyDay[Retail-LY],DaybyDay[Date],"&gt;="&amp;$C$5,DaybyDay[RowYear],"&gt;="&amp;$C$4,DaybyDay[Date],"&lt;="&amp;DaybyDay[[#This Row],[Date]])</f>
        <v>195768.27</v>
      </c>
      <c r="U1262" s="32">
        <f>DaybyDay[[#This Row],[Serv-Bud-RU]]+DaybyDay[[#This Row],[Ret-Bud-RU]]</f>
        <v>1089925.7928807659</v>
      </c>
      <c r="V1262" s="32">
        <f>DaybyDay[[#This Row],[Serv-Act-RU]]+DaybyDay[[#This Row],[Ret-Act-RU]]</f>
        <v>473914.26</v>
      </c>
      <c r="W1262" s="36" t="str">
        <f>IF(DaybyDay[[#This Row],[_Space]],IFERROR(
((DaybyDay[[#This Row],[Actual-Rollup]]-DaybyDay[[#This Row],[Budget-Rollup]])/DaybyDay[[#This Row],[Budget-Rollup]]),0),"")</f>
        <v/>
      </c>
      <c r="X1262" t="b">
        <f>NOT(AND(ISBLANK(DaybyDay[[#This Row],[Appts]]),ISBLANK(DaybyDay[[#This Row],[Service-Actuals]]),ISBLANK(DaybyDay[[#This Row],[Retail-Actuals]])))</f>
        <v>0</v>
      </c>
      <c r="Y1262" s="36" t="str">
        <f>IF(DaybyDay[[#This Row],[_Space]],IFERROR(
((DaybyDay[[#This Row],[Actual-Rollup]]-DaybyDay[[#This Row],[LY-Rollup]])/DaybyDay[[#This Row],[LY-Rollup]]),0),"")</f>
        <v/>
      </c>
      <c r="Z1262"/>
      <c r="AA1262" s="37" t="str">
        <f>IF(DaybyDay[[#This Row],[_Space]],DaybyDay[[#This Row],[Ret-Act-RU]]/DaybyDay[[#This Row],[Serv-Act-RU]],"")</f>
        <v/>
      </c>
      <c r="AB1262" s="50" t="str">
        <f>IF(DaybyDay[[#This Row],[_Space]],DaybyDay[[#This Row],[RETPEN-Act]]/DaybyDay[[#This Row],[RETPEN-Bud]],"")</f>
        <v/>
      </c>
      <c r="AC1262" s="37" t="str">
        <f>IF(DaybyDay[[#This Row],[_Space]],DaybyDay[[#This Row],[Ret-Bud-RU]]/DaybyDay[[#This Row],[Serv-Bud-RU]],"")</f>
        <v/>
      </c>
      <c r="AD1262" s="37" t="str">
        <f>IF(DaybyDay[[#This Row],[_Space]],DaybyDay[[#This Row],[Ret-LY-RU]]/DaybyDay[[#This Row],[Serv-LY-RU]],"")</f>
        <v/>
      </c>
      <c r="AE1262" s="30">
        <f>WEEKDAY(DaybyDay[[#This Row],[LY-Date]])</f>
        <v>3</v>
      </c>
      <c r="AF1262" s="38">
        <f>$E$2+_xlfn.DAYS(DaybyDay[[#This Row],[Date]],minDate)</f>
        <v>43627</v>
      </c>
      <c r="AG1262" s="39" cm="1">
        <f t="array" ref="AG1262">IFERROR(INDEX(DaybyDay[],DaybyDay[[#This Row],[FORM_MATCH_HELPER]],8),"")</f>
        <v>15</v>
      </c>
      <c r="AH1262" s="39" cm="1">
        <f t="array" ref="AH1262">IFERROR(INDEX(DaybyDay[],DaybyDay[[#This Row],[FORM_MATCH_HELPER]],10),"")</f>
        <v>2579.8000000000002</v>
      </c>
      <c r="AI1262" s="39" cm="1">
        <f t="array" ref="AI1262">IFERROR(INDEX(DaybyDay[],DaybyDay[[#This Row],[FORM_MATCH_HELPER]],12),"")</f>
        <v>315.35000000000002</v>
      </c>
      <c r="AJ1262" s="32">
        <f>IFERROR(DaybyDay[[#This Row],[Serv-LY-RU]]+DaybyDay[[#This Row],[Ret-LY-RU]],"")</f>
        <v>1011170.08</v>
      </c>
      <c r="AK12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1001834.5127855618</v>
      </c>
      <c r="AL1262" s="77"/>
      <c r="AM1262" s="40" t="str">
        <f>IF(DaybyDay[[#This Row],[Admin Hours]]&gt;0,DaybyDay[[#This Row],[Admin Hours]]*$AM$2+$AM$3,"")</f>
        <v/>
      </c>
      <c r="AN1262" s="40">
        <f>SUMIFS(DaybyDay[Est-Admin-Payroll],DaybyDay[Date],"&gt;="&amp;$C$5,DaybyDay[RowYear],"&gt;="&amp;$C$4,DaybyDay[Date],"&lt;="&amp;DaybyDay[[#This Row],[Date]])</f>
        <v>13941.779999999997</v>
      </c>
      <c r="AO1262" s="41" t="str">
        <f>IF(AND(DaybyDay[[#This Row],[_Space]],ISNUMBER(DaybyDay[[#This Row],[Admin Hours]])),DaybyDay[[#This Row],[Est-Admin-Payroll]]/(DaybyDay[[#This Row],[Service-Actuals]]+DaybyDay[[#This Row],[Retail-Actuals]]),"")</f>
        <v/>
      </c>
      <c r="AP1262" s="41">
        <f>DaybyDay[[#This Row],[Estimated-Payroll-Rollup]]/DaybyDay[[#This Row],[Simple-Forecast]]</f>
        <v>1.3916250460602939E-2</v>
      </c>
      <c r="AQ12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193978.06844610797</v>
      </c>
      <c r="AR1262" s="77"/>
      <c r="AS1262" s="40" t="str">
        <f>IF(DaybyDay[[#This Row],[Retail Hours]]&gt;0,DaybyDay[[#This Row],[Retail Hours]]*$AS$2,"")</f>
        <v/>
      </c>
      <c r="AT1262" s="40">
        <f>SUMIFS(DaybyDay[Est-Retail-Payroll],DaybyDay[Date],"&gt;="&amp;$C$5,DaybyDay[RowYear],"&gt;="&amp;$C$4,DaybyDay[Date],"&lt;="&amp;DaybyDay[[#This Row],[Date]])</f>
        <v>2627.1</v>
      </c>
      <c r="AU1262" s="82" t="str">
        <f>IF(AND(DaybyDay[[#This Row],[_Space]],ISNUMBER(DaybyDay[[#This Row],[Retail Hours]])),DaybyDay[[#This Row],[Est-Retail-Payroll]]/(DaybyDay[[#This Row],[Retail-Actuals]]),"")</f>
        <v/>
      </c>
      <c r="AV1262" s="82">
        <f>DaybyDay[[#This Row],[Est-Retail-PayrollRU]]/DaybyDay[[#This Row],[Simple-Forecast-Retail]]</f>
        <v>1.3543283635334656E-2</v>
      </c>
      <c r="AW1262" s="8"/>
      <c r="AX1262" s="15"/>
      <c r="AY1262" s="8"/>
    </row>
    <row r="1263" spans="3:51" hidden="1" x14ac:dyDescent="0.25">
      <c r="C1263" s="26" t="str">
        <f>Tools!$C$1</f>
        <v>Example</v>
      </c>
      <c r="D1263" s="27" t="s">
        <v>73</v>
      </c>
      <c r="E1263" s="28">
        <v>2020</v>
      </c>
      <c r="F1263" s="28">
        <f>MATCH(DaybyDay[[#This Row],[RowMonth]],Table3[SummaryMonth],0)</f>
        <v>6</v>
      </c>
      <c r="G1263" s="29">
        <f>MATCH(DaybyDay[[#This Row],[LY-Date]],DaybyDay[Date],0)</f>
        <v>893</v>
      </c>
      <c r="H1263" s="30">
        <f>WEEKDAY(DaybyDay[[#This Row],[Date]])</f>
        <v>4</v>
      </c>
      <c r="I1263" s="31">
        <v>43992</v>
      </c>
      <c r="J1263" s="74"/>
      <c r="K1263" s="32">
        <f>SUMIFS(BudgetSeasonality[365 Seasonality],BudgetSeasonality[MonthAdjustment],DaybyDay[[#This Row],[Date]])*SUMIFS(Budgets[Service-Budget],Budgets[BudgetMonth],DaybyDay[[#This Row],[RowMonth]],Budgets[BudgetYear],DaybyDay[[#This Row],[RowYear]])</f>
        <v>4734.0297243900741</v>
      </c>
      <c r="L1263" s="75"/>
      <c r="M1263" s="32">
        <f>INDEX(BudgetSeasonality[365 Seasonality],MATCH(DaybyDay[[#This Row],[Date]],BudgetSeasonality[MonthAdjustment],0))*SUMIFS(Budgets[Retail-Budget],Budgets[BudgetMonth],DaybyDay[[#This Row],[RowMonth]],Budgets[BudgetYear],DaybyDay[[#This Row],[RowYear]])</f>
        <v>1218.5569363610898</v>
      </c>
      <c r="N1263" s="75"/>
      <c r="O1263" s="33">
        <f>SUMIFS(DaybyDay[Service-Budgets],DaybyDay[Date],"&gt;="&amp;$C$5,DaybyDay[RowYear],"&gt;="&amp;$C$4,DaybyDay[Date],"&lt;="&amp;DaybyDay[[#This Row],[Date]])</f>
        <v>876307.96059856436</v>
      </c>
      <c r="P1263" s="33">
        <f>SUMIFS(DaybyDay[Retail-Budgets],DaybyDay[Date],"&gt;="&amp;$C$5,DaybyDay[RowYear],"&gt;="&amp;$C$4,DaybyDay[Date],"&lt;="&amp;DaybyDay[[#This Row],[Date]])</f>
        <v>219570.41894295273</v>
      </c>
      <c r="Q1263" s="34">
        <f>SUMIFS(DaybyDay[Service-Actuals],DaybyDay[Date],"&gt;="&amp;$C$5,DaybyDay[RowYear],"&gt;="&amp;$C$4,DaybyDay[Date],"&lt;="&amp;DaybyDay[[#This Row],[Date]])</f>
        <v>385554.23</v>
      </c>
      <c r="R1263" s="34">
        <f>SUMIFS(DaybyDay[Retail-Actuals],DaybyDay[Date],"&gt;="&amp;$C$5,DaybyDay[RowYear],"&gt;="&amp;$C$4,DaybyDay[Date],"&lt;="&amp;DaybyDay[[#This Row],[Date]])</f>
        <v>88360.030000000028</v>
      </c>
      <c r="S1263" s="35">
        <f>SUMIFS(DaybyDay[Service-LY],DaybyDay[Date],"&gt;="&amp;$C$5,DaybyDay[RowYear],"&gt;="&amp;$C$4,DaybyDay[Date],"&lt;="&amp;DaybyDay[[#This Row],[Date]])</f>
        <v>819486.40999999992</v>
      </c>
      <c r="T1263" s="35">
        <f>SUMIFS(DaybyDay[Retail-LY],DaybyDay[Date],"&gt;="&amp;$C$5,DaybyDay[RowYear],"&gt;="&amp;$C$4,DaybyDay[Date],"&lt;="&amp;DaybyDay[[#This Row],[Date]])</f>
        <v>196747.27</v>
      </c>
      <c r="U1263" s="32">
        <f>DaybyDay[[#This Row],[Serv-Bud-RU]]+DaybyDay[[#This Row],[Ret-Bud-RU]]</f>
        <v>1095878.379541517</v>
      </c>
      <c r="V1263" s="32">
        <f>DaybyDay[[#This Row],[Serv-Act-RU]]+DaybyDay[[#This Row],[Ret-Act-RU]]</f>
        <v>473914.26</v>
      </c>
      <c r="W1263" s="36" t="str">
        <f>IF(DaybyDay[[#This Row],[_Space]],IFERROR(
((DaybyDay[[#This Row],[Actual-Rollup]]-DaybyDay[[#This Row],[Budget-Rollup]])/DaybyDay[[#This Row],[Budget-Rollup]]),0),"")</f>
        <v/>
      </c>
      <c r="X1263" t="b">
        <f>NOT(AND(ISBLANK(DaybyDay[[#This Row],[Appts]]),ISBLANK(DaybyDay[[#This Row],[Service-Actuals]]),ISBLANK(DaybyDay[[#This Row],[Retail-Actuals]])))</f>
        <v>0</v>
      </c>
      <c r="Y1263" s="36" t="str">
        <f>IF(DaybyDay[[#This Row],[_Space]],IFERROR(
((DaybyDay[[#This Row],[Actual-Rollup]]-DaybyDay[[#This Row],[LY-Rollup]])/DaybyDay[[#This Row],[LY-Rollup]]),0),"")</f>
        <v/>
      </c>
      <c r="Z1263"/>
      <c r="AA1263" s="37" t="str">
        <f>IF(DaybyDay[[#This Row],[_Space]],DaybyDay[[#This Row],[Ret-Act-RU]]/DaybyDay[[#This Row],[Serv-Act-RU]],"")</f>
        <v/>
      </c>
      <c r="AB1263" s="50" t="str">
        <f>IF(DaybyDay[[#This Row],[_Space]],DaybyDay[[#This Row],[RETPEN-Act]]/DaybyDay[[#This Row],[RETPEN-Bud]],"")</f>
        <v/>
      </c>
      <c r="AC1263" s="37" t="str">
        <f>IF(DaybyDay[[#This Row],[_Space]],DaybyDay[[#This Row],[Ret-Bud-RU]]/DaybyDay[[#This Row],[Serv-Bud-RU]],"")</f>
        <v/>
      </c>
      <c r="AD1263" s="37" t="str">
        <f>IF(DaybyDay[[#This Row],[_Space]],DaybyDay[[#This Row],[Ret-LY-RU]]/DaybyDay[[#This Row],[Serv-LY-RU]],"")</f>
        <v/>
      </c>
      <c r="AE1263" s="30">
        <f>WEEKDAY(DaybyDay[[#This Row],[LY-Date]])</f>
        <v>4</v>
      </c>
      <c r="AF1263" s="38">
        <f>$E$2+_xlfn.DAYS(DaybyDay[[#This Row],[Date]],minDate)</f>
        <v>43628</v>
      </c>
      <c r="AG1263" s="39" cm="1">
        <f t="array" ref="AG1263">IFERROR(INDEX(DaybyDay[],DaybyDay[[#This Row],[FORM_MATCH_HELPER]],8),"")</f>
        <v>20</v>
      </c>
      <c r="AH1263" s="39" cm="1">
        <f t="array" ref="AH1263">IFERROR(INDEX(DaybyDay[],DaybyDay[[#This Row],[FORM_MATCH_HELPER]],10),"")</f>
        <v>4084.6000000000004</v>
      </c>
      <c r="AI1263" s="39" cm="1">
        <f t="array" ref="AI1263">IFERROR(INDEX(DaybyDay[],DaybyDay[[#This Row],[FORM_MATCH_HELPER]],12),"")</f>
        <v>979</v>
      </c>
      <c r="AJ1263" s="32">
        <f>IFERROR(DaybyDay[[#This Row],[Serv-LY-RU]]+DaybyDay[[#This Row],[Ret-LY-RU]],"")</f>
        <v>1016233.6799999999</v>
      </c>
      <c r="AK12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1006863.0478348352</v>
      </c>
      <c r="AL1263" s="77"/>
      <c r="AM1263" s="40" t="str">
        <f>IF(DaybyDay[[#This Row],[Admin Hours]]&gt;0,DaybyDay[[#This Row],[Admin Hours]]*$AM$2+$AM$3,"")</f>
        <v/>
      </c>
      <c r="AN1263" s="40">
        <f>SUMIFS(DaybyDay[Est-Admin-Payroll],DaybyDay[Date],"&gt;="&amp;$C$5,DaybyDay[RowYear],"&gt;="&amp;$C$4,DaybyDay[Date],"&lt;="&amp;DaybyDay[[#This Row],[Date]])</f>
        <v>13941.779999999997</v>
      </c>
      <c r="AO1263" s="41" t="str">
        <f>IF(AND(DaybyDay[[#This Row],[_Space]],ISNUMBER(DaybyDay[[#This Row],[Admin Hours]])),DaybyDay[[#This Row],[Est-Admin-Payroll]]/(DaybyDay[[#This Row],[Service-Actuals]]+DaybyDay[[#This Row],[Retail-Actuals]]),"")</f>
        <v/>
      </c>
      <c r="AP1263" s="41">
        <f>DaybyDay[[#This Row],[Estimated-Payroll-Rollup]]/DaybyDay[[#This Row],[Simple-Forecast]]</f>
        <v>1.3846749098579483E-2</v>
      </c>
      <c r="AQ12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194979.07681927003</v>
      </c>
      <c r="AR1263" s="77"/>
      <c r="AS1263" s="40" t="str">
        <f>IF(DaybyDay[[#This Row],[Retail Hours]]&gt;0,DaybyDay[[#This Row],[Retail Hours]]*$AS$2,"")</f>
        <v/>
      </c>
      <c r="AT1263" s="40">
        <f>SUMIFS(DaybyDay[Est-Retail-Payroll],DaybyDay[Date],"&gt;="&amp;$C$5,DaybyDay[RowYear],"&gt;="&amp;$C$4,DaybyDay[Date],"&lt;="&amp;DaybyDay[[#This Row],[Date]])</f>
        <v>2627.1</v>
      </c>
      <c r="AU1263" s="82" t="str">
        <f>IF(AND(DaybyDay[[#This Row],[_Space]],ISNUMBER(DaybyDay[[#This Row],[Retail Hours]])),DaybyDay[[#This Row],[Est-Retail-Payroll]]/(DaybyDay[[#This Row],[Retail-Actuals]]),"")</f>
        <v/>
      </c>
      <c r="AV1263" s="82">
        <f>DaybyDay[[#This Row],[Est-Retail-PayrollRU]]/DaybyDay[[#This Row],[Simple-Forecast-Retail]]</f>
        <v>1.3473753403987604E-2</v>
      </c>
      <c r="AW1263" s="8"/>
      <c r="AX1263" s="15"/>
      <c r="AY1263" s="8"/>
    </row>
    <row r="1264" spans="3:51" hidden="1" x14ac:dyDescent="0.25">
      <c r="C1264" s="26" t="str">
        <f>Tools!$C$1</f>
        <v>Example</v>
      </c>
      <c r="D1264" s="27" t="s">
        <v>73</v>
      </c>
      <c r="E1264" s="28">
        <v>2020</v>
      </c>
      <c r="F1264" s="28">
        <f>MATCH(DaybyDay[[#This Row],[RowMonth]],Table3[SummaryMonth],0)</f>
        <v>6</v>
      </c>
      <c r="G1264" s="29">
        <f>MATCH(DaybyDay[[#This Row],[LY-Date]],DaybyDay[Date],0)</f>
        <v>894</v>
      </c>
      <c r="H1264" s="30">
        <f>WEEKDAY(DaybyDay[[#This Row],[Date]])</f>
        <v>5</v>
      </c>
      <c r="I1264" s="31">
        <v>43993</v>
      </c>
      <c r="J1264" s="74"/>
      <c r="K1264" s="32">
        <f>SUMIFS(BudgetSeasonality[365 Seasonality],BudgetSeasonality[MonthAdjustment],DaybyDay[[#This Row],[Date]])*SUMIFS(Budgets[Service-Budget],Budgets[BudgetMonth],DaybyDay[[#This Row],[RowMonth]],Budgets[BudgetYear],DaybyDay[[#This Row],[RowYear]])</f>
        <v>4872.3789168316289</v>
      </c>
      <c r="L1264" s="75"/>
      <c r="M1264" s="32">
        <f>INDEX(BudgetSeasonality[365 Seasonality],MATCH(DaybyDay[[#This Row],[Date]],BudgetSeasonality[MonthAdjustment],0))*SUMIFS(Budgets[Retail-Budget],Budgets[BudgetMonth],DaybyDay[[#This Row],[RowMonth]],Budgets[BudgetYear],DaybyDay[[#This Row],[RowYear]])</f>
        <v>1254.1685353379703</v>
      </c>
      <c r="N1264" s="75"/>
      <c r="O1264" s="33">
        <f>SUMIFS(DaybyDay[Service-Budgets],DaybyDay[Date],"&gt;="&amp;$C$5,DaybyDay[RowYear],"&gt;="&amp;$C$4,DaybyDay[Date],"&lt;="&amp;DaybyDay[[#This Row],[Date]])</f>
        <v>881180.33951539593</v>
      </c>
      <c r="P1264" s="33">
        <f>SUMIFS(DaybyDay[Retail-Budgets],DaybyDay[Date],"&gt;="&amp;$C$5,DaybyDay[RowYear],"&gt;="&amp;$C$4,DaybyDay[Date],"&lt;="&amp;DaybyDay[[#This Row],[Date]])</f>
        <v>220824.58747829069</v>
      </c>
      <c r="Q1264" s="34">
        <f>SUMIFS(DaybyDay[Service-Actuals],DaybyDay[Date],"&gt;="&amp;$C$5,DaybyDay[RowYear],"&gt;="&amp;$C$4,DaybyDay[Date],"&lt;="&amp;DaybyDay[[#This Row],[Date]])</f>
        <v>385554.23</v>
      </c>
      <c r="R1264" s="34">
        <f>SUMIFS(DaybyDay[Retail-Actuals],DaybyDay[Date],"&gt;="&amp;$C$5,DaybyDay[RowYear],"&gt;="&amp;$C$4,DaybyDay[Date],"&lt;="&amp;DaybyDay[[#This Row],[Date]])</f>
        <v>88360.030000000028</v>
      </c>
      <c r="S1264" s="35">
        <f>SUMIFS(DaybyDay[Service-LY],DaybyDay[Date],"&gt;="&amp;$C$5,DaybyDay[RowYear],"&gt;="&amp;$C$4,DaybyDay[Date],"&lt;="&amp;DaybyDay[[#This Row],[Date]])</f>
        <v>822749.97999999986</v>
      </c>
      <c r="T1264" s="35">
        <f>SUMIFS(DaybyDay[Retail-LY],DaybyDay[Date],"&gt;="&amp;$C$5,DaybyDay[RowYear],"&gt;="&amp;$C$4,DaybyDay[Date],"&lt;="&amp;DaybyDay[[#This Row],[Date]])</f>
        <v>197560.28999999998</v>
      </c>
      <c r="U1264" s="32">
        <f>DaybyDay[[#This Row],[Serv-Bud-RU]]+DaybyDay[[#This Row],[Ret-Bud-RU]]</f>
        <v>1102004.9269936867</v>
      </c>
      <c r="V1264" s="32">
        <f>DaybyDay[[#This Row],[Serv-Act-RU]]+DaybyDay[[#This Row],[Ret-Act-RU]]</f>
        <v>473914.26</v>
      </c>
      <c r="W1264" s="36" t="str">
        <f>IF(DaybyDay[[#This Row],[_Space]],IFERROR(
((DaybyDay[[#This Row],[Actual-Rollup]]-DaybyDay[[#This Row],[Budget-Rollup]])/DaybyDay[[#This Row],[Budget-Rollup]]),0),"")</f>
        <v/>
      </c>
      <c r="X1264" t="b">
        <f>NOT(AND(ISBLANK(DaybyDay[[#This Row],[Appts]]),ISBLANK(DaybyDay[[#This Row],[Service-Actuals]]),ISBLANK(DaybyDay[[#This Row],[Retail-Actuals]])))</f>
        <v>0</v>
      </c>
      <c r="Y1264" s="36" t="str">
        <f>IF(DaybyDay[[#This Row],[_Space]],IFERROR(
((DaybyDay[[#This Row],[Actual-Rollup]]-DaybyDay[[#This Row],[LY-Rollup]])/DaybyDay[[#This Row],[LY-Rollup]]),0),"")</f>
        <v/>
      </c>
      <c r="Z1264"/>
      <c r="AA1264" s="37" t="str">
        <f>IF(DaybyDay[[#This Row],[_Space]],DaybyDay[[#This Row],[Ret-Act-RU]]/DaybyDay[[#This Row],[Serv-Act-RU]],"")</f>
        <v/>
      </c>
      <c r="AB1264" s="50" t="str">
        <f>IF(DaybyDay[[#This Row],[_Space]],DaybyDay[[#This Row],[RETPEN-Act]]/DaybyDay[[#This Row],[RETPEN-Bud]],"")</f>
        <v/>
      </c>
      <c r="AC1264" s="37" t="str">
        <f>IF(DaybyDay[[#This Row],[_Space]],DaybyDay[[#This Row],[Ret-Bud-RU]]/DaybyDay[[#This Row],[Serv-Bud-RU]],"")</f>
        <v/>
      </c>
      <c r="AD1264" s="37" t="str">
        <f>IF(DaybyDay[[#This Row],[_Space]],DaybyDay[[#This Row],[Ret-LY-RU]]/DaybyDay[[#This Row],[Serv-LY-RU]],"")</f>
        <v/>
      </c>
      <c r="AE1264" s="30">
        <f>WEEKDAY(DaybyDay[[#This Row],[LY-Date]])</f>
        <v>5</v>
      </c>
      <c r="AF1264" s="38">
        <f>$E$2+_xlfn.DAYS(DaybyDay[[#This Row],[Date]],minDate)</f>
        <v>43629</v>
      </c>
      <c r="AG1264" s="39" cm="1">
        <f t="array" ref="AG1264">IFERROR(INDEX(DaybyDay[],DaybyDay[[#This Row],[FORM_MATCH_HELPER]],8),"")</f>
        <v>24</v>
      </c>
      <c r="AH1264" s="39" cm="1">
        <f t="array" ref="AH1264">IFERROR(INDEX(DaybyDay[],DaybyDay[[#This Row],[FORM_MATCH_HELPER]],10),"")</f>
        <v>3263.57</v>
      </c>
      <c r="AI1264" s="39" cm="1">
        <f t="array" ref="AI1264">IFERROR(INDEX(DaybyDay[],DaybyDay[[#This Row],[FORM_MATCH_HELPER]],12),"")</f>
        <v>813.02</v>
      </c>
      <c r="AJ1264" s="32">
        <f>IFERROR(DaybyDay[[#This Row],[Serv-LY-RU]]+DaybyDay[[#This Row],[Ret-LY-RU]],"")</f>
        <v>1020310.2699999998</v>
      </c>
      <c r="AK12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1011478.939356094</v>
      </c>
      <c r="AL1264" s="77"/>
      <c r="AM1264" s="40" t="str">
        <f>IF(DaybyDay[[#This Row],[Admin Hours]]&gt;0,DaybyDay[[#This Row],[Admin Hours]]*$AM$2+$AM$3,"")</f>
        <v/>
      </c>
      <c r="AN1264" s="40">
        <f>SUMIFS(DaybyDay[Est-Admin-Payroll],DaybyDay[Date],"&gt;="&amp;$C$5,DaybyDay[RowYear],"&gt;="&amp;$C$4,DaybyDay[Date],"&lt;="&amp;DaybyDay[[#This Row],[Date]])</f>
        <v>13941.779999999997</v>
      </c>
      <c r="AO1264" s="41" t="str">
        <f>IF(AND(DaybyDay[[#This Row],[_Space]],ISNUMBER(DaybyDay[[#This Row],[Admin Hours]])),DaybyDay[[#This Row],[Est-Admin-Payroll]]/(DaybyDay[[#This Row],[Service-Actuals]]+DaybyDay[[#This Row],[Retail-Actuals]]),"")</f>
        <v/>
      </c>
      <c r="AP1264" s="41">
        <f>DaybyDay[[#This Row],[Estimated-Payroll-Rollup]]/DaybyDay[[#This Row],[Simple-Forecast]]</f>
        <v>1.3783559358018184E-2</v>
      </c>
      <c r="AQ12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195913.3974439266</v>
      </c>
      <c r="AR1264" s="77"/>
      <c r="AS1264" s="40" t="str">
        <f>IF(DaybyDay[[#This Row],[Retail Hours]]&gt;0,DaybyDay[[#This Row],[Retail Hours]]*$AS$2,"")</f>
        <v/>
      </c>
      <c r="AT1264" s="40">
        <f>SUMIFS(DaybyDay[Est-Retail-Payroll],DaybyDay[Date],"&gt;="&amp;$C$5,DaybyDay[RowYear],"&gt;="&amp;$C$4,DaybyDay[Date],"&lt;="&amp;DaybyDay[[#This Row],[Date]])</f>
        <v>2627.1</v>
      </c>
      <c r="AU1264" s="82" t="str">
        <f>IF(AND(DaybyDay[[#This Row],[_Space]],ISNUMBER(DaybyDay[[#This Row],[Retail Hours]])),DaybyDay[[#This Row],[Est-Retail-Payroll]]/(DaybyDay[[#This Row],[Retail-Actuals]]),"")</f>
        <v/>
      </c>
      <c r="AV1264" s="82">
        <f>DaybyDay[[#This Row],[Est-Retail-PayrollRU]]/DaybyDay[[#This Row],[Simple-Forecast-Retail]]</f>
        <v>1.34094964115556E-2</v>
      </c>
      <c r="AW1264" s="8"/>
      <c r="AX1264" s="15"/>
      <c r="AY1264" s="8"/>
    </row>
    <row r="1265" spans="3:51" hidden="1" x14ac:dyDescent="0.25">
      <c r="C1265" s="26" t="str">
        <f>Tools!$C$1</f>
        <v>Example</v>
      </c>
      <c r="D1265" s="27" t="s">
        <v>73</v>
      </c>
      <c r="E1265" s="28">
        <v>2020</v>
      </c>
      <c r="F1265" s="28">
        <f>MATCH(DaybyDay[[#This Row],[RowMonth]],Table3[SummaryMonth],0)</f>
        <v>6</v>
      </c>
      <c r="G1265" s="29">
        <f>MATCH(DaybyDay[[#This Row],[LY-Date]],DaybyDay[Date],0)</f>
        <v>895</v>
      </c>
      <c r="H1265" s="30">
        <f>WEEKDAY(DaybyDay[[#This Row],[Date]])</f>
        <v>6</v>
      </c>
      <c r="I1265" s="31">
        <v>43994</v>
      </c>
      <c r="J1265" s="74"/>
      <c r="K1265" s="32">
        <f>SUMIFS(BudgetSeasonality[365 Seasonality],BudgetSeasonality[MonthAdjustment],DaybyDay[[#This Row],[Date]])*SUMIFS(Budgets[Service-Budget],Budgets[BudgetMonth],DaybyDay[[#This Row],[RowMonth]],Budgets[BudgetYear],DaybyDay[[#This Row],[RowYear]])</f>
        <v>6013.8885459166377</v>
      </c>
      <c r="L1265" s="75"/>
      <c r="M1265" s="32">
        <f>INDEX(BudgetSeasonality[365 Seasonality],MATCH(DaybyDay[[#This Row],[Date]],BudgetSeasonality[MonthAdjustment],0))*SUMIFS(Budgets[Retail-Budget],Budgets[BudgetMonth],DaybyDay[[#This Row],[RowMonth]],Budgets[BudgetYear],DaybyDay[[#This Row],[RowYear]])</f>
        <v>1547.9973782955897</v>
      </c>
      <c r="N1265" s="75"/>
      <c r="O1265" s="33">
        <f>SUMIFS(DaybyDay[Service-Budgets],DaybyDay[Date],"&gt;="&amp;$C$5,DaybyDay[RowYear],"&gt;="&amp;$C$4,DaybyDay[Date],"&lt;="&amp;DaybyDay[[#This Row],[Date]])</f>
        <v>887194.22806131258</v>
      </c>
      <c r="P1265" s="33">
        <f>SUMIFS(DaybyDay[Retail-Budgets],DaybyDay[Date],"&gt;="&amp;$C$5,DaybyDay[RowYear],"&gt;="&amp;$C$4,DaybyDay[Date],"&lt;="&amp;DaybyDay[[#This Row],[Date]])</f>
        <v>222372.58485658627</v>
      </c>
      <c r="Q1265" s="34">
        <f>SUMIFS(DaybyDay[Service-Actuals],DaybyDay[Date],"&gt;="&amp;$C$5,DaybyDay[RowYear],"&gt;="&amp;$C$4,DaybyDay[Date],"&lt;="&amp;DaybyDay[[#This Row],[Date]])</f>
        <v>385554.23</v>
      </c>
      <c r="R1265" s="34">
        <f>SUMIFS(DaybyDay[Retail-Actuals],DaybyDay[Date],"&gt;="&amp;$C$5,DaybyDay[RowYear],"&gt;="&amp;$C$4,DaybyDay[Date],"&lt;="&amp;DaybyDay[[#This Row],[Date]])</f>
        <v>88360.030000000028</v>
      </c>
      <c r="S1265" s="35">
        <f>SUMIFS(DaybyDay[Service-LY],DaybyDay[Date],"&gt;="&amp;$C$5,DaybyDay[RowYear],"&gt;="&amp;$C$4,DaybyDay[Date],"&lt;="&amp;DaybyDay[[#This Row],[Date]])</f>
        <v>828835.02999999991</v>
      </c>
      <c r="T1265" s="35">
        <f>SUMIFS(DaybyDay[Retail-LY],DaybyDay[Date],"&gt;="&amp;$C$5,DaybyDay[RowYear],"&gt;="&amp;$C$4,DaybyDay[Date],"&lt;="&amp;DaybyDay[[#This Row],[Date]])</f>
        <v>198522.49</v>
      </c>
      <c r="U1265" s="32">
        <f>DaybyDay[[#This Row],[Serv-Bud-RU]]+DaybyDay[[#This Row],[Ret-Bud-RU]]</f>
        <v>1109566.8129178989</v>
      </c>
      <c r="V1265" s="32">
        <f>DaybyDay[[#This Row],[Serv-Act-RU]]+DaybyDay[[#This Row],[Ret-Act-RU]]</f>
        <v>473914.26</v>
      </c>
      <c r="W1265" s="36" t="str">
        <f>IF(DaybyDay[[#This Row],[_Space]],IFERROR(
((DaybyDay[[#This Row],[Actual-Rollup]]-DaybyDay[[#This Row],[Budget-Rollup]])/DaybyDay[[#This Row],[Budget-Rollup]]),0),"")</f>
        <v/>
      </c>
      <c r="X1265" t="b">
        <f>NOT(AND(ISBLANK(DaybyDay[[#This Row],[Appts]]),ISBLANK(DaybyDay[[#This Row],[Service-Actuals]]),ISBLANK(DaybyDay[[#This Row],[Retail-Actuals]])))</f>
        <v>0</v>
      </c>
      <c r="Y1265" s="36" t="str">
        <f>IF(DaybyDay[[#This Row],[_Space]],IFERROR(
((DaybyDay[[#This Row],[Actual-Rollup]]-DaybyDay[[#This Row],[LY-Rollup]])/DaybyDay[[#This Row],[LY-Rollup]]),0),"")</f>
        <v/>
      </c>
      <c r="Z1265"/>
      <c r="AA1265" s="37" t="str">
        <f>IF(DaybyDay[[#This Row],[_Space]],DaybyDay[[#This Row],[Ret-Act-RU]]/DaybyDay[[#This Row],[Serv-Act-RU]],"")</f>
        <v/>
      </c>
      <c r="AB1265" s="50" t="str">
        <f>IF(DaybyDay[[#This Row],[_Space]],DaybyDay[[#This Row],[RETPEN-Act]]/DaybyDay[[#This Row],[RETPEN-Bud]],"")</f>
        <v/>
      </c>
      <c r="AC1265" s="37" t="str">
        <f>IF(DaybyDay[[#This Row],[_Space]],DaybyDay[[#This Row],[Ret-Bud-RU]]/DaybyDay[[#This Row],[Serv-Bud-RU]],"")</f>
        <v/>
      </c>
      <c r="AD1265" s="37" t="str">
        <f>IF(DaybyDay[[#This Row],[_Space]],DaybyDay[[#This Row],[Ret-LY-RU]]/DaybyDay[[#This Row],[Serv-LY-RU]],"")</f>
        <v/>
      </c>
      <c r="AE1265" s="30">
        <f>WEEKDAY(DaybyDay[[#This Row],[LY-Date]])</f>
        <v>6</v>
      </c>
      <c r="AF1265" s="38">
        <f>$E$2+_xlfn.DAYS(DaybyDay[[#This Row],[Date]],minDate)</f>
        <v>43630</v>
      </c>
      <c r="AG1265" s="39" cm="1">
        <f t="array" ref="AG1265">IFERROR(INDEX(DaybyDay[],DaybyDay[[#This Row],[FORM_MATCH_HELPER]],8),"")</f>
        <v>25</v>
      </c>
      <c r="AH1265" s="39" cm="1">
        <f t="array" ref="AH1265">IFERROR(INDEX(DaybyDay[],DaybyDay[[#This Row],[FORM_MATCH_HELPER]],10),"")</f>
        <v>6085.05</v>
      </c>
      <c r="AI1265" s="39" cm="1">
        <f t="array" ref="AI1265">IFERROR(INDEX(DaybyDay[],DaybyDay[[#This Row],[FORM_MATCH_HELPER]],12),"")</f>
        <v>962.2</v>
      </c>
      <c r="AJ1265" s="32">
        <f>IFERROR(DaybyDay[[#This Row],[Serv-LY-RU]]+DaybyDay[[#This Row],[Ret-LY-RU]],"")</f>
        <v>1027357.5199999999</v>
      </c>
      <c r="AK12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1018170.022779795</v>
      </c>
      <c r="AL1265" s="77"/>
      <c r="AM1265" s="40" t="str">
        <f>IF(DaybyDay[[#This Row],[Admin Hours]]&gt;0,DaybyDay[[#This Row],[Admin Hours]]*$AM$2+$AM$3,"")</f>
        <v/>
      </c>
      <c r="AN1265" s="40">
        <f>SUMIFS(DaybyDay[Est-Admin-Payroll],DaybyDay[Date],"&gt;="&amp;$C$5,DaybyDay[RowYear],"&gt;="&amp;$C$4,DaybyDay[Date],"&lt;="&amp;DaybyDay[[#This Row],[Date]])</f>
        <v>13941.779999999997</v>
      </c>
      <c r="AO1265" s="41" t="str">
        <f>IF(AND(DaybyDay[[#This Row],[_Space]],ISNUMBER(DaybyDay[[#This Row],[Admin Hours]])),DaybyDay[[#This Row],[Est-Admin-Payroll]]/(DaybyDay[[#This Row],[Service-Actuals]]+DaybyDay[[#This Row],[Retail-Actuals]]),"")</f>
        <v/>
      </c>
      <c r="AP1265" s="41">
        <f>DaybyDay[[#This Row],[Estimated-Payroll-Rollup]]/DaybyDay[[#This Row],[Simple-Forecast]]</f>
        <v>1.3692978272858912E-2</v>
      </c>
      <c r="AQ12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197046.2517694307</v>
      </c>
      <c r="AR1265" s="77"/>
      <c r="AS1265" s="40" t="str">
        <f>IF(DaybyDay[[#This Row],[Retail Hours]]&gt;0,DaybyDay[[#This Row],[Retail Hours]]*$AS$2,"")</f>
        <v/>
      </c>
      <c r="AT1265" s="40">
        <f>SUMIFS(DaybyDay[Est-Retail-Payroll],DaybyDay[Date],"&gt;="&amp;$C$5,DaybyDay[RowYear],"&gt;="&amp;$C$4,DaybyDay[Date],"&lt;="&amp;DaybyDay[[#This Row],[Date]])</f>
        <v>2627.1</v>
      </c>
      <c r="AU1265" s="82" t="str">
        <f>IF(AND(DaybyDay[[#This Row],[_Space]],ISNUMBER(DaybyDay[[#This Row],[Retail Hours]])),DaybyDay[[#This Row],[Est-Retail-Payroll]]/(DaybyDay[[#This Row],[Retail-Actuals]]),"")</f>
        <v/>
      </c>
      <c r="AV1265" s="82">
        <f>DaybyDay[[#This Row],[Est-Retail-PayrollRU]]/DaybyDay[[#This Row],[Simple-Forecast-Retail]]</f>
        <v>1.3332402805987107E-2</v>
      </c>
      <c r="AW1265" s="8"/>
      <c r="AX1265" s="15"/>
      <c r="AY1265" s="8"/>
    </row>
    <row r="1266" spans="3:51" hidden="1" x14ac:dyDescent="0.25">
      <c r="C1266" s="26" t="str">
        <f>Tools!$C$1</f>
        <v>Example</v>
      </c>
      <c r="D1266" s="27" t="s">
        <v>73</v>
      </c>
      <c r="E1266" s="28">
        <v>2020</v>
      </c>
      <c r="F1266" s="28">
        <f>MATCH(DaybyDay[[#This Row],[RowMonth]],Table3[SummaryMonth],0)</f>
        <v>6</v>
      </c>
      <c r="G1266" s="29">
        <f>MATCH(DaybyDay[[#This Row],[LY-Date]],DaybyDay[Date],0)</f>
        <v>896</v>
      </c>
      <c r="H1266" s="30">
        <f>WEEKDAY(DaybyDay[[#This Row],[Date]])</f>
        <v>7</v>
      </c>
      <c r="I1266" s="31">
        <v>43995</v>
      </c>
      <c r="J1266" s="74"/>
      <c r="K1266" s="32">
        <f>SUMIFS(BudgetSeasonality[365 Seasonality],BudgetSeasonality[MonthAdjustment],DaybyDay[[#This Row],[Date]])*SUMIFS(Budgets[Service-Budget],Budgets[BudgetMonth],DaybyDay[[#This Row],[RowMonth]],Budgets[BudgetYear],DaybyDay[[#This Row],[RowYear]])</f>
        <v>8417.1803415917038</v>
      </c>
      <c r="L1266" s="75"/>
      <c r="M1266" s="32">
        <f>INDEX(BudgetSeasonality[365 Seasonality],MATCH(DaybyDay[[#This Row],[Date]],BudgetSeasonality[MonthAdjustment],0))*SUMIFS(Budgets[Retail-Budget],Budgets[BudgetMonth],DaybyDay[[#This Row],[RowMonth]],Budgets[BudgetYear],DaybyDay[[#This Row],[RowYear]])</f>
        <v>2166.6136646766095</v>
      </c>
      <c r="N1266" s="75"/>
      <c r="O1266" s="33">
        <f>SUMIFS(DaybyDay[Service-Budgets],DaybyDay[Date],"&gt;="&amp;$C$5,DaybyDay[RowYear],"&gt;="&amp;$C$4,DaybyDay[Date],"&lt;="&amp;DaybyDay[[#This Row],[Date]])</f>
        <v>895611.40840290429</v>
      </c>
      <c r="P1266" s="33">
        <f>SUMIFS(DaybyDay[Retail-Budgets],DaybyDay[Date],"&gt;="&amp;$C$5,DaybyDay[RowYear],"&gt;="&amp;$C$4,DaybyDay[Date],"&lt;="&amp;DaybyDay[[#This Row],[Date]])</f>
        <v>224539.19852126288</v>
      </c>
      <c r="Q1266" s="34">
        <f>SUMIFS(DaybyDay[Service-Actuals],DaybyDay[Date],"&gt;="&amp;$C$5,DaybyDay[RowYear],"&gt;="&amp;$C$4,DaybyDay[Date],"&lt;="&amp;DaybyDay[[#This Row],[Date]])</f>
        <v>385554.23</v>
      </c>
      <c r="R1266" s="34">
        <f>SUMIFS(DaybyDay[Retail-Actuals],DaybyDay[Date],"&gt;="&amp;$C$5,DaybyDay[RowYear],"&gt;="&amp;$C$4,DaybyDay[Date],"&lt;="&amp;DaybyDay[[#This Row],[Date]])</f>
        <v>88360.030000000028</v>
      </c>
      <c r="S1266" s="35">
        <f>SUMIFS(DaybyDay[Service-LY],DaybyDay[Date],"&gt;="&amp;$C$5,DaybyDay[RowYear],"&gt;="&amp;$C$4,DaybyDay[Date],"&lt;="&amp;DaybyDay[[#This Row],[Date]])</f>
        <v>837262.22999999986</v>
      </c>
      <c r="T1266" s="35">
        <f>SUMIFS(DaybyDay[Retail-LY],DaybyDay[Date],"&gt;="&amp;$C$5,DaybyDay[RowYear],"&gt;="&amp;$C$4,DaybyDay[Date],"&lt;="&amp;DaybyDay[[#This Row],[Date]])</f>
        <v>200886.34</v>
      </c>
      <c r="U1266" s="32">
        <f>DaybyDay[[#This Row],[Serv-Bud-RU]]+DaybyDay[[#This Row],[Ret-Bud-RU]]</f>
        <v>1120150.6069241671</v>
      </c>
      <c r="V1266" s="32">
        <f>DaybyDay[[#This Row],[Serv-Act-RU]]+DaybyDay[[#This Row],[Ret-Act-RU]]</f>
        <v>473914.26</v>
      </c>
      <c r="W1266" s="36" t="str">
        <f>IF(DaybyDay[[#This Row],[_Space]],IFERROR(
((DaybyDay[[#This Row],[Actual-Rollup]]-DaybyDay[[#This Row],[Budget-Rollup]])/DaybyDay[[#This Row],[Budget-Rollup]]),0),"")</f>
        <v/>
      </c>
      <c r="X1266" t="b">
        <f>NOT(AND(ISBLANK(DaybyDay[[#This Row],[Appts]]),ISBLANK(DaybyDay[[#This Row],[Service-Actuals]]),ISBLANK(DaybyDay[[#This Row],[Retail-Actuals]])))</f>
        <v>0</v>
      </c>
      <c r="Y1266" s="36" t="str">
        <f>IF(DaybyDay[[#This Row],[_Space]],IFERROR(
((DaybyDay[[#This Row],[Actual-Rollup]]-DaybyDay[[#This Row],[LY-Rollup]])/DaybyDay[[#This Row],[LY-Rollup]]),0),"")</f>
        <v/>
      </c>
      <c r="Z1266"/>
      <c r="AA1266" s="37" t="str">
        <f>IF(DaybyDay[[#This Row],[_Space]],DaybyDay[[#This Row],[Ret-Act-RU]]/DaybyDay[[#This Row],[Serv-Act-RU]],"")</f>
        <v/>
      </c>
      <c r="AB1266" s="50" t="str">
        <f>IF(DaybyDay[[#This Row],[_Space]],DaybyDay[[#This Row],[RETPEN-Act]]/DaybyDay[[#This Row],[RETPEN-Bud]],"")</f>
        <v/>
      </c>
      <c r="AC1266" s="37" t="str">
        <f>IF(DaybyDay[[#This Row],[_Space]],DaybyDay[[#This Row],[Ret-Bud-RU]]/DaybyDay[[#This Row],[Serv-Bud-RU]],"")</f>
        <v/>
      </c>
      <c r="AD1266" s="37" t="str">
        <f>IF(DaybyDay[[#This Row],[_Space]],DaybyDay[[#This Row],[Ret-LY-RU]]/DaybyDay[[#This Row],[Serv-LY-RU]],"")</f>
        <v/>
      </c>
      <c r="AE1266" s="30">
        <f>WEEKDAY(DaybyDay[[#This Row],[LY-Date]])</f>
        <v>7</v>
      </c>
      <c r="AF1266" s="38">
        <f>$E$2+_xlfn.DAYS(DaybyDay[[#This Row],[Date]],minDate)</f>
        <v>43631</v>
      </c>
      <c r="AG1266" s="39" cm="1">
        <f t="array" ref="AG1266">IFERROR(INDEX(DaybyDay[],DaybyDay[[#This Row],[FORM_MATCH_HELPER]],8),"")</f>
        <v>40</v>
      </c>
      <c r="AH1266" s="39" cm="1">
        <f t="array" ref="AH1266">IFERROR(INDEX(DaybyDay[],DaybyDay[[#This Row],[FORM_MATCH_HELPER]],10),"")</f>
        <v>8427.1999999999989</v>
      </c>
      <c r="AI1266" s="39" cm="1">
        <f t="array" ref="AI1266">IFERROR(INDEX(DaybyDay[],DaybyDay[[#This Row],[FORM_MATCH_HELPER]],12),"")</f>
        <v>2363.85</v>
      </c>
      <c r="AJ1266" s="32">
        <f>IFERROR(DaybyDay[[#This Row],[Serv-LY-RU]]+DaybyDay[[#This Row],[Ret-LY-RU]],"")</f>
        <v>1038148.5699999998</v>
      </c>
      <c r="AK12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1027992.3445648177</v>
      </c>
      <c r="AL1266" s="77"/>
      <c r="AM1266" s="40" t="str">
        <f>IF(DaybyDay[[#This Row],[Admin Hours]]&gt;0,DaybyDay[[#This Row],[Admin Hours]]*$AM$2+$AM$3,"")</f>
        <v/>
      </c>
      <c r="AN1266" s="40">
        <f>SUMIFS(DaybyDay[Est-Admin-Payroll],DaybyDay[Date],"&gt;="&amp;$C$5,DaybyDay[RowYear],"&gt;="&amp;$C$4,DaybyDay[Date],"&lt;="&amp;DaybyDay[[#This Row],[Date]])</f>
        <v>13941.779999999997</v>
      </c>
      <c r="AO1266" s="41" t="str">
        <f>IF(AND(DaybyDay[[#This Row],[_Space]],ISNUMBER(DaybyDay[[#This Row],[Admin Hours]])),DaybyDay[[#This Row],[Est-Admin-Payroll]]/(DaybyDay[[#This Row],[Service-Actuals]]+DaybyDay[[#This Row],[Retail-Actuals]]),"")</f>
        <v/>
      </c>
      <c r="AP1266" s="41">
        <f>DaybyDay[[#This Row],[Estimated-Payroll-Rollup]]/DaybyDay[[#This Row],[Simple-Forecast]]</f>
        <v>1.3562143797775072E-2</v>
      </c>
      <c r="AQ12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199133.3115403931</v>
      </c>
      <c r="AR1266" s="77"/>
      <c r="AS1266" s="40" t="str">
        <f>IF(DaybyDay[[#This Row],[Retail Hours]]&gt;0,DaybyDay[[#This Row],[Retail Hours]]*$AS$2,"")</f>
        <v/>
      </c>
      <c r="AT1266" s="40">
        <f>SUMIFS(DaybyDay[Est-Retail-Payroll],DaybyDay[Date],"&gt;="&amp;$C$5,DaybyDay[RowYear],"&gt;="&amp;$C$4,DaybyDay[Date],"&lt;="&amp;DaybyDay[[#This Row],[Date]])</f>
        <v>2627.1</v>
      </c>
      <c r="AU1266" s="82" t="str">
        <f>IF(AND(DaybyDay[[#This Row],[_Space]],ISNUMBER(DaybyDay[[#This Row],[Retail Hours]])),DaybyDay[[#This Row],[Est-Retail-Payroll]]/(DaybyDay[[#This Row],[Retail-Actuals]]),"")</f>
        <v/>
      </c>
      <c r="AV1266" s="82">
        <f>DaybyDay[[#This Row],[Est-Retail-PayrollRU]]/DaybyDay[[#This Row],[Simple-Forecast-Retail]]</f>
        <v>1.3192669672784039E-2</v>
      </c>
      <c r="AW1266" s="8"/>
      <c r="AX1266" s="15"/>
      <c r="AY1266" s="8"/>
    </row>
    <row r="1267" spans="3:51" hidden="1" x14ac:dyDescent="0.25">
      <c r="C1267" s="26" t="str">
        <f>Tools!$C$1</f>
        <v>Example</v>
      </c>
      <c r="D1267" s="27" t="s">
        <v>73</v>
      </c>
      <c r="E1267" s="28">
        <v>2020</v>
      </c>
      <c r="F1267" s="28">
        <f>MATCH(DaybyDay[[#This Row],[RowMonth]],Table3[SummaryMonth],0)</f>
        <v>6</v>
      </c>
      <c r="G1267" s="29">
        <f>MATCH(DaybyDay[[#This Row],[LY-Date]],DaybyDay[Date],0)</f>
        <v>897</v>
      </c>
      <c r="H1267" s="30">
        <f>WEEKDAY(DaybyDay[[#This Row],[Date]])</f>
        <v>1</v>
      </c>
      <c r="I1267" s="31">
        <v>43996</v>
      </c>
      <c r="J1267" s="74"/>
      <c r="K1267" s="32">
        <f>SUMIFS(BudgetSeasonality[365 Seasonality],BudgetSeasonality[MonthAdjustment],DaybyDay[[#This Row],[Date]])*SUMIFS(Budgets[Service-Budget],Budgets[BudgetMonth],DaybyDay[[#This Row],[RowMonth]],Budgets[BudgetYear],DaybyDay[[#This Row],[RowYear]])</f>
        <v>6629.3468556690696</v>
      </c>
      <c r="L1267" s="75"/>
      <c r="M1267" s="32">
        <f>INDEX(BudgetSeasonality[365 Seasonality],MATCH(DaybyDay[[#This Row],[Date]],BudgetSeasonality[MonthAdjustment],0))*SUMIFS(Budgets[Retail-Budget],Budgets[BudgetMonth],DaybyDay[[#This Row],[RowMonth]],Budgets[BudgetYear],DaybyDay[[#This Row],[RowYear]])</f>
        <v>1706.4186464439479</v>
      </c>
      <c r="N1267" s="75"/>
      <c r="O1267" s="33">
        <f>SUMIFS(DaybyDay[Service-Budgets],DaybyDay[Date],"&gt;="&amp;$C$5,DaybyDay[RowYear],"&gt;="&amp;$C$4,DaybyDay[Date],"&lt;="&amp;DaybyDay[[#This Row],[Date]])</f>
        <v>902240.75525857334</v>
      </c>
      <c r="P1267" s="33">
        <f>SUMIFS(DaybyDay[Retail-Budgets],DaybyDay[Date],"&gt;="&amp;$C$5,DaybyDay[RowYear],"&gt;="&amp;$C$4,DaybyDay[Date],"&lt;="&amp;DaybyDay[[#This Row],[Date]])</f>
        <v>226245.61716770683</v>
      </c>
      <c r="Q1267" s="34">
        <f>SUMIFS(DaybyDay[Service-Actuals],DaybyDay[Date],"&gt;="&amp;$C$5,DaybyDay[RowYear],"&gt;="&amp;$C$4,DaybyDay[Date],"&lt;="&amp;DaybyDay[[#This Row],[Date]])</f>
        <v>385554.23</v>
      </c>
      <c r="R1267" s="34">
        <f>SUMIFS(DaybyDay[Retail-Actuals],DaybyDay[Date],"&gt;="&amp;$C$5,DaybyDay[RowYear],"&gt;="&amp;$C$4,DaybyDay[Date],"&lt;="&amp;DaybyDay[[#This Row],[Date]])</f>
        <v>88360.030000000028</v>
      </c>
      <c r="S1267" s="35">
        <f>SUMIFS(DaybyDay[Service-LY],DaybyDay[Date],"&gt;="&amp;$C$5,DaybyDay[RowYear],"&gt;="&amp;$C$4,DaybyDay[Date],"&lt;="&amp;DaybyDay[[#This Row],[Date]])</f>
        <v>841936.87999999989</v>
      </c>
      <c r="T1267" s="35">
        <f>SUMIFS(DaybyDay[Retail-LY],DaybyDay[Date],"&gt;="&amp;$C$5,DaybyDay[RowYear],"&gt;="&amp;$C$4,DaybyDay[Date],"&lt;="&amp;DaybyDay[[#This Row],[Date]])</f>
        <v>201769.84</v>
      </c>
      <c r="U1267" s="32">
        <f>DaybyDay[[#This Row],[Serv-Bud-RU]]+DaybyDay[[#This Row],[Ret-Bud-RU]]</f>
        <v>1128486.3724262803</v>
      </c>
      <c r="V1267" s="32">
        <f>DaybyDay[[#This Row],[Serv-Act-RU]]+DaybyDay[[#This Row],[Ret-Act-RU]]</f>
        <v>473914.26</v>
      </c>
      <c r="W1267" s="36" t="str">
        <f>IF(DaybyDay[[#This Row],[_Space]],IFERROR(
((DaybyDay[[#This Row],[Actual-Rollup]]-DaybyDay[[#This Row],[Budget-Rollup]])/DaybyDay[[#This Row],[Budget-Rollup]]),0),"")</f>
        <v/>
      </c>
      <c r="X1267" t="b">
        <f>NOT(AND(ISBLANK(DaybyDay[[#This Row],[Appts]]),ISBLANK(DaybyDay[[#This Row],[Service-Actuals]]),ISBLANK(DaybyDay[[#This Row],[Retail-Actuals]])))</f>
        <v>0</v>
      </c>
      <c r="Y1267" s="36" t="str">
        <f>IF(DaybyDay[[#This Row],[_Space]],IFERROR(
((DaybyDay[[#This Row],[Actual-Rollup]]-DaybyDay[[#This Row],[LY-Rollup]])/DaybyDay[[#This Row],[LY-Rollup]]),0),"")</f>
        <v/>
      </c>
      <c r="Z1267"/>
      <c r="AA1267" s="37" t="str">
        <f>IF(DaybyDay[[#This Row],[_Space]],DaybyDay[[#This Row],[Ret-Act-RU]]/DaybyDay[[#This Row],[Serv-Act-RU]],"")</f>
        <v/>
      </c>
      <c r="AB1267" s="50" t="str">
        <f>IF(DaybyDay[[#This Row],[_Space]],DaybyDay[[#This Row],[RETPEN-Act]]/DaybyDay[[#This Row],[RETPEN-Bud]],"")</f>
        <v/>
      </c>
      <c r="AC1267" s="37" t="str">
        <f>IF(DaybyDay[[#This Row],[_Space]],DaybyDay[[#This Row],[Ret-Bud-RU]]/DaybyDay[[#This Row],[Serv-Bud-RU]],"")</f>
        <v/>
      </c>
      <c r="AD1267" s="37" t="str">
        <f>IF(DaybyDay[[#This Row],[_Space]],DaybyDay[[#This Row],[Ret-LY-RU]]/DaybyDay[[#This Row],[Serv-LY-RU]],"")</f>
        <v/>
      </c>
      <c r="AE1267" s="30">
        <f>WEEKDAY(DaybyDay[[#This Row],[LY-Date]])</f>
        <v>1</v>
      </c>
      <c r="AF1267" s="38">
        <f>$E$2+_xlfn.DAYS(DaybyDay[[#This Row],[Date]],minDate)</f>
        <v>43632</v>
      </c>
      <c r="AG1267" s="39" cm="1">
        <f t="array" ref="AG1267">IFERROR(INDEX(DaybyDay[],DaybyDay[[#This Row],[FORM_MATCH_HELPER]],8),"")</f>
        <v>23</v>
      </c>
      <c r="AH1267" s="39" cm="1">
        <f t="array" ref="AH1267">IFERROR(INDEX(DaybyDay[],DaybyDay[[#This Row],[FORM_MATCH_HELPER]],10),"")</f>
        <v>4674.6499999999996</v>
      </c>
      <c r="AI1267" s="39" cm="1">
        <f t="array" ref="AI1267">IFERROR(INDEX(DaybyDay[],DaybyDay[[#This Row],[FORM_MATCH_HELPER]],12),"")</f>
        <v>883.5</v>
      </c>
      <c r="AJ1267" s="32">
        <f>IFERROR(DaybyDay[[#This Row],[Serv-LY-RU]]+DaybyDay[[#This Row],[Ret-LY-RU]],"")</f>
        <v>1043706.7199999999</v>
      </c>
      <c r="AK12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1034278.410735083</v>
      </c>
      <c r="AL1267" s="77"/>
      <c r="AM1267" s="40" t="str">
        <f>IF(DaybyDay[[#This Row],[Admin Hours]]&gt;0,DaybyDay[[#This Row],[Admin Hours]]*$AM$2+$AM$3,"")</f>
        <v/>
      </c>
      <c r="AN1267" s="40">
        <f>SUMIFS(DaybyDay[Est-Admin-Payroll],DaybyDay[Date],"&gt;="&amp;$C$5,DaybyDay[RowYear],"&gt;="&amp;$C$4,DaybyDay[Date],"&lt;="&amp;DaybyDay[[#This Row],[Date]])</f>
        <v>13941.779999999997</v>
      </c>
      <c r="AO1267" s="41" t="str">
        <f>IF(AND(DaybyDay[[#This Row],[_Space]],ISNUMBER(DaybyDay[[#This Row],[Admin Hours]])),DaybyDay[[#This Row],[Est-Admin-Payroll]]/(DaybyDay[[#This Row],[Service-Actuals]]+DaybyDay[[#This Row],[Retail-Actuals]]),"")</f>
        <v/>
      </c>
      <c r="AP1267" s="41">
        <f>DaybyDay[[#This Row],[Estimated-Payroll-Rollup]]/DaybyDay[[#This Row],[Simple-Forecast]]</f>
        <v>1.3479716733225908E-2</v>
      </c>
      <c r="AQ12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200294.74861380161</v>
      </c>
      <c r="AR1267" s="77"/>
      <c r="AS1267" s="40" t="str">
        <f>IF(DaybyDay[[#This Row],[Retail Hours]]&gt;0,DaybyDay[[#This Row],[Retail Hours]]*$AS$2,"")</f>
        <v/>
      </c>
      <c r="AT1267" s="40">
        <f>SUMIFS(DaybyDay[Est-Retail-Payroll],DaybyDay[Date],"&gt;="&amp;$C$5,DaybyDay[RowYear],"&gt;="&amp;$C$4,DaybyDay[Date],"&lt;="&amp;DaybyDay[[#This Row],[Date]])</f>
        <v>2627.1</v>
      </c>
      <c r="AU1267" s="82" t="str">
        <f>IF(AND(DaybyDay[[#This Row],[_Space]],ISNUMBER(DaybyDay[[#This Row],[Retail Hours]])),DaybyDay[[#This Row],[Est-Retail-Payroll]]/(DaybyDay[[#This Row],[Retail-Actuals]]),"")</f>
        <v/>
      </c>
      <c r="AV1267" s="82">
        <f>DaybyDay[[#This Row],[Est-Retail-PayrollRU]]/DaybyDay[[#This Row],[Simple-Forecast-Retail]]</f>
        <v>1.311617013517136E-2</v>
      </c>
      <c r="AW1267" s="8"/>
      <c r="AX1267" s="15"/>
      <c r="AY1267" s="8"/>
    </row>
    <row r="1268" spans="3:51" hidden="1" x14ac:dyDescent="0.25">
      <c r="C1268" s="26" t="str">
        <f>Tools!$C$1</f>
        <v>Example</v>
      </c>
      <c r="D1268" s="27" t="s">
        <v>73</v>
      </c>
      <c r="E1268" s="28">
        <v>2020</v>
      </c>
      <c r="F1268" s="28">
        <f>MATCH(DaybyDay[[#This Row],[RowMonth]],Table3[SummaryMonth],0)</f>
        <v>6</v>
      </c>
      <c r="G1268" s="29">
        <f>MATCH(DaybyDay[[#This Row],[LY-Date]],DaybyDay[Date],0)</f>
        <v>898</v>
      </c>
      <c r="H1268" s="30">
        <f>WEEKDAY(DaybyDay[[#This Row],[Date]])</f>
        <v>2</v>
      </c>
      <c r="I1268" s="31">
        <v>43997</v>
      </c>
      <c r="J1268" s="74"/>
      <c r="K1268" s="32">
        <f>SUMIFS(BudgetSeasonality[365 Seasonality],BudgetSeasonality[MonthAdjustment],DaybyDay[[#This Row],[Date]])*SUMIFS(Budgets[Service-Budget],Budgets[BudgetMonth],DaybyDay[[#This Row],[RowMonth]],Budgets[BudgetYear],DaybyDay[[#This Row],[RowYear]])</f>
        <v>4017.2068268077269</v>
      </c>
      <c r="L1268" s="75"/>
      <c r="M1268" s="32">
        <f>INDEX(BudgetSeasonality[365 Seasonality],MATCH(DaybyDay[[#This Row],[Date]],BudgetSeasonality[MonthAdjustment],0))*SUMIFS(Budgets[Retail-Budget],Budgets[BudgetMonth],DaybyDay[[#This Row],[RowMonth]],Budgets[BudgetYear],DaybyDay[[#This Row],[RowYear]])</f>
        <v>1034.0440446293078</v>
      </c>
      <c r="N1268" s="75"/>
      <c r="O1268" s="33">
        <f>SUMIFS(DaybyDay[Service-Budgets],DaybyDay[Date],"&gt;="&amp;$C$5,DaybyDay[RowYear],"&gt;="&amp;$C$4,DaybyDay[Date],"&lt;="&amp;DaybyDay[[#This Row],[Date]])</f>
        <v>906257.96208538103</v>
      </c>
      <c r="P1268" s="33">
        <f>SUMIFS(DaybyDay[Retail-Budgets],DaybyDay[Date],"&gt;="&amp;$C$5,DaybyDay[RowYear],"&gt;="&amp;$C$4,DaybyDay[Date],"&lt;="&amp;DaybyDay[[#This Row],[Date]])</f>
        <v>227279.66121233616</v>
      </c>
      <c r="Q1268" s="34">
        <f>SUMIFS(DaybyDay[Service-Actuals],DaybyDay[Date],"&gt;="&amp;$C$5,DaybyDay[RowYear],"&gt;="&amp;$C$4,DaybyDay[Date],"&lt;="&amp;DaybyDay[[#This Row],[Date]])</f>
        <v>385554.23</v>
      </c>
      <c r="R1268" s="34">
        <f>SUMIFS(DaybyDay[Retail-Actuals],DaybyDay[Date],"&gt;="&amp;$C$5,DaybyDay[RowYear],"&gt;="&amp;$C$4,DaybyDay[Date],"&lt;="&amp;DaybyDay[[#This Row],[Date]])</f>
        <v>88360.030000000028</v>
      </c>
      <c r="S1268" s="35">
        <f>SUMIFS(DaybyDay[Service-LY],DaybyDay[Date],"&gt;="&amp;$C$5,DaybyDay[RowYear],"&gt;="&amp;$C$4,DaybyDay[Date],"&lt;="&amp;DaybyDay[[#This Row],[Date]])</f>
        <v>844780.27999999991</v>
      </c>
      <c r="T1268" s="35">
        <f>SUMIFS(DaybyDay[Retail-LY],DaybyDay[Date],"&gt;="&amp;$C$5,DaybyDay[RowYear],"&gt;="&amp;$C$4,DaybyDay[Date],"&lt;="&amp;DaybyDay[[#This Row],[Date]])</f>
        <v>201730.84</v>
      </c>
      <c r="U1268" s="32">
        <f>DaybyDay[[#This Row],[Serv-Bud-RU]]+DaybyDay[[#This Row],[Ret-Bud-RU]]</f>
        <v>1133537.6232977172</v>
      </c>
      <c r="V1268" s="32">
        <f>DaybyDay[[#This Row],[Serv-Act-RU]]+DaybyDay[[#This Row],[Ret-Act-RU]]</f>
        <v>473914.26</v>
      </c>
      <c r="W1268" s="36" t="str">
        <f>IF(DaybyDay[[#This Row],[_Space]],IFERROR(
((DaybyDay[[#This Row],[Actual-Rollup]]-DaybyDay[[#This Row],[Budget-Rollup]])/DaybyDay[[#This Row],[Budget-Rollup]]),0),"")</f>
        <v/>
      </c>
      <c r="X1268" t="b">
        <f>NOT(AND(ISBLANK(DaybyDay[[#This Row],[Appts]]),ISBLANK(DaybyDay[[#This Row],[Service-Actuals]]),ISBLANK(DaybyDay[[#This Row],[Retail-Actuals]])))</f>
        <v>0</v>
      </c>
      <c r="Y1268" s="36" t="str">
        <f>IF(DaybyDay[[#This Row],[_Space]],IFERROR(
((DaybyDay[[#This Row],[Actual-Rollup]]-DaybyDay[[#This Row],[LY-Rollup]])/DaybyDay[[#This Row],[LY-Rollup]]),0),"")</f>
        <v/>
      </c>
      <c r="Z1268"/>
      <c r="AA1268" s="37" t="str">
        <f>IF(DaybyDay[[#This Row],[_Space]],DaybyDay[[#This Row],[Ret-Act-RU]]/DaybyDay[[#This Row],[Serv-Act-RU]],"")</f>
        <v/>
      </c>
      <c r="AB1268" s="50" t="str">
        <f>IF(DaybyDay[[#This Row],[_Space]],DaybyDay[[#This Row],[RETPEN-Act]]/DaybyDay[[#This Row],[RETPEN-Bud]],"")</f>
        <v/>
      </c>
      <c r="AC1268" s="37" t="str">
        <f>IF(DaybyDay[[#This Row],[_Space]],DaybyDay[[#This Row],[Ret-Bud-RU]]/DaybyDay[[#This Row],[Serv-Bud-RU]],"")</f>
        <v/>
      </c>
      <c r="AD1268" s="37" t="str">
        <f>IF(DaybyDay[[#This Row],[_Space]],DaybyDay[[#This Row],[Ret-LY-RU]]/DaybyDay[[#This Row],[Serv-LY-RU]],"")</f>
        <v/>
      </c>
      <c r="AE1268" s="30">
        <f>WEEKDAY(DaybyDay[[#This Row],[LY-Date]])</f>
        <v>2</v>
      </c>
      <c r="AF1268" s="38">
        <f>$E$2+_xlfn.DAYS(DaybyDay[[#This Row],[Date]],minDate)</f>
        <v>43633</v>
      </c>
      <c r="AG1268" s="39" cm="1">
        <f t="array" ref="AG1268">IFERROR(INDEX(DaybyDay[],DaybyDay[[#This Row],[FORM_MATCH_HELPER]],8),"")</f>
        <v>13</v>
      </c>
      <c r="AH1268" s="39" cm="1">
        <f t="array" ref="AH1268">IFERROR(INDEX(DaybyDay[],DaybyDay[[#This Row],[FORM_MATCH_HELPER]],10),"")</f>
        <v>2843.4</v>
      </c>
      <c r="AI1268" s="39" cm="1">
        <f t="array" ref="AI1268">IFERROR(INDEX(DaybyDay[],DaybyDay[[#This Row],[FORM_MATCH_HELPER]],12),"")</f>
        <v>-39</v>
      </c>
      <c r="AJ1268" s="32">
        <f>IFERROR(DaybyDay[[#This Row],[Serv-LY-RU]]+DaybyDay[[#This Row],[Ret-LY-RU]],"")</f>
        <v>1046511.1199999999</v>
      </c>
      <c r="AK12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1037809.6750237203</v>
      </c>
      <c r="AL1268" s="77"/>
      <c r="AM1268" s="40" t="str">
        <f>IF(DaybyDay[[#This Row],[Admin Hours]]&gt;0,DaybyDay[[#This Row],[Admin Hours]]*$AM$2+$AM$3,"")</f>
        <v/>
      </c>
      <c r="AN1268" s="40">
        <f>SUMIFS(DaybyDay[Est-Admin-Payroll],DaybyDay[Date],"&gt;="&amp;$C$5,DaybyDay[RowYear],"&gt;="&amp;$C$4,DaybyDay[Date],"&lt;="&amp;DaybyDay[[#This Row],[Date]])</f>
        <v>13941.779999999997</v>
      </c>
      <c r="AO1268" s="41" t="str">
        <f>IF(AND(DaybyDay[[#This Row],[_Space]],ISNUMBER(DaybyDay[[#This Row],[Admin Hours]])),DaybyDay[[#This Row],[Est-Admin-Payroll]]/(DaybyDay[[#This Row],[Service-Actuals]]+DaybyDay[[#This Row],[Retail-Actuals]]),"")</f>
        <v/>
      </c>
      <c r="AP1268" s="41">
        <f>DaybyDay[[#This Row],[Estimated-Payroll-Rollup]]/DaybyDay[[#This Row],[Simple-Forecast]]</f>
        <v>1.3433850479069144E-2</v>
      </c>
      <c r="AQ12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200715.35554216887</v>
      </c>
      <c r="AR1268" s="77"/>
      <c r="AS1268" s="40" t="str">
        <f>IF(DaybyDay[[#This Row],[Retail Hours]]&gt;0,DaybyDay[[#This Row],[Retail Hours]]*$AS$2,"")</f>
        <v/>
      </c>
      <c r="AT1268" s="40">
        <f>SUMIFS(DaybyDay[Est-Retail-Payroll],DaybyDay[Date],"&gt;="&amp;$C$5,DaybyDay[RowYear],"&gt;="&amp;$C$4,DaybyDay[Date],"&lt;="&amp;DaybyDay[[#This Row],[Date]])</f>
        <v>2627.1</v>
      </c>
      <c r="AU1268" s="82" t="str">
        <f>IF(AND(DaybyDay[[#This Row],[_Space]],ISNUMBER(DaybyDay[[#This Row],[Retail Hours]])),DaybyDay[[#This Row],[Est-Retail-Payroll]]/(DaybyDay[[#This Row],[Retail-Actuals]]),"")</f>
        <v/>
      </c>
      <c r="AV1268" s="82">
        <f>DaybyDay[[#This Row],[Est-Retail-PayrollRU]]/DaybyDay[[#This Row],[Simple-Forecast-Retail]]</f>
        <v>1.3088684684356722E-2</v>
      </c>
      <c r="AW1268" s="8"/>
      <c r="AX1268" s="15"/>
      <c r="AY1268" s="8"/>
    </row>
    <row r="1269" spans="3:51" hidden="1" x14ac:dyDescent="0.25">
      <c r="C1269" s="26" t="str">
        <f>Tools!$C$1</f>
        <v>Example</v>
      </c>
      <c r="D1269" s="27" t="s">
        <v>73</v>
      </c>
      <c r="E1269" s="28">
        <v>2020</v>
      </c>
      <c r="F1269" s="28">
        <f>MATCH(DaybyDay[[#This Row],[RowMonth]],Table3[SummaryMonth],0)</f>
        <v>6</v>
      </c>
      <c r="G1269" s="29">
        <f>MATCH(DaybyDay[[#This Row],[LY-Date]],DaybyDay[Date],0)</f>
        <v>899</v>
      </c>
      <c r="H1269" s="30">
        <f>WEEKDAY(DaybyDay[[#This Row],[Date]])</f>
        <v>3</v>
      </c>
      <c r="I1269" s="31">
        <v>43998</v>
      </c>
      <c r="J1269" s="74"/>
      <c r="K1269" s="32">
        <f>SUMIFS(BudgetSeasonality[365 Seasonality],BudgetSeasonality[MonthAdjustment],DaybyDay[[#This Row],[Date]])*SUMIFS(Budgets[Service-Budget],Budgets[BudgetMonth],DaybyDay[[#This Row],[RowMonth]],Budgets[BudgetYear],DaybyDay[[#This Row],[RowYear]])</f>
        <v>4127.8492528159895</v>
      </c>
      <c r="L1269" s="75"/>
      <c r="M1269" s="32">
        <f>INDEX(BudgetSeasonality[365 Seasonality],MATCH(DaybyDay[[#This Row],[Date]],BudgetSeasonality[MonthAdjustment],0))*SUMIFS(Budgets[Retail-Budget],Budgets[BudgetMonth],DaybyDay[[#This Row],[RowMonth]],Budgets[BudgetYear],DaybyDay[[#This Row],[RowYear]])</f>
        <v>1062.5238184198192</v>
      </c>
      <c r="N1269" s="75"/>
      <c r="O1269" s="33">
        <f>SUMIFS(DaybyDay[Service-Budgets],DaybyDay[Date],"&gt;="&amp;$C$5,DaybyDay[RowYear],"&gt;="&amp;$C$4,DaybyDay[Date],"&lt;="&amp;DaybyDay[[#This Row],[Date]])</f>
        <v>910385.81133819697</v>
      </c>
      <c r="P1269" s="33">
        <f>SUMIFS(DaybyDay[Retail-Budgets],DaybyDay[Date],"&gt;="&amp;$C$5,DaybyDay[RowYear],"&gt;="&amp;$C$4,DaybyDay[Date],"&lt;="&amp;DaybyDay[[#This Row],[Date]])</f>
        <v>228342.18503075597</v>
      </c>
      <c r="Q1269" s="34">
        <f>SUMIFS(DaybyDay[Service-Actuals],DaybyDay[Date],"&gt;="&amp;$C$5,DaybyDay[RowYear],"&gt;="&amp;$C$4,DaybyDay[Date],"&lt;="&amp;DaybyDay[[#This Row],[Date]])</f>
        <v>385554.23</v>
      </c>
      <c r="R1269" s="34">
        <f>SUMIFS(DaybyDay[Retail-Actuals],DaybyDay[Date],"&gt;="&amp;$C$5,DaybyDay[RowYear],"&gt;="&amp;$C$4,DaybyDay[Date],"&lt;="&amp;DaybyDay[[#This Row],[Date]])</f>
        <v>88360.030000000028</v>
      </c>
      <c r="S1269" s="35">
        <f>SUMIFS(DaybyDay[Service-LY],DaybyDay[Date],"&gt;="&amp;$C$5,DaybyDay[RowYear],"&gt;="&amp;$C$4,DaybyDay[Date],"&lt;="&amp;DaybyDay[[#This Row],[Date]])</f>
        <v>846854.67999999993</v>
      </c>
      <c r="T1269" s="35">
        <f>SUMIFS(DaybyDay[Retail-LY],DaybyDay[Date],"&gt;="&amp;$C$5,DaybyDay[RowYear],"&gt;="&amp;$C$4,DaybyDay[Date],"&lt;="&amp;DaybyDay[[#This Row],[Date]])</f>
        <v>203940.09</v>
      </c>
      <c r="U1269" s="32">
        <f>DaybyDay[[#This Row],[Serv-Bud-RU]]+DaybyDay[[#This Row],[Ret-Bud-RU]]</f>
        <v>1138727.996368953</v>
      </c>
      <c r="V1269" s="32">
        <f>DaybyDay[[#This Row],[Serv-Act-RU]]+DaybyDay[[#This Row],[Ret-Act-RU]]</f>
        <v>473914.26</v>
      </c>
      <c r="W1269" s="36" t="str">
        <f>IF(DaybyDay[[#This Row],[_Space]],IFERROR(
((DaybyDay[[#This Row],[Actual-Rollup]]-DaybyDay[[#This Row],[Budget-Rollup]])/DaybyDay[[#This Row],[Budget-Rollup]]),0),"")</f>
        <v/>
      </c>
      <c r="X1269" t="b">
        <f>NOT(AND(ISBLANK(DaybyDay[[#This Row],[Appts]]),ISBLANK(DaybyDay[[#This Row],[Service-Actuals]]),ISBLANK(DaybyDay[[#This Row],[Retail-Actuals]])))</f>
        <v>0</v>
      </c>
      <c r="Y1269" s="36" t="str">
        <f>IF(DaybyDay[[#This Row],[_Space]],IFERROR(
((DaybyDay[[#This Row],[Actual-Rollup]]-DaybyDay[[#This Row],[LY-Rollup]])/DaybyDay[[#This Row],[LY-Rollup]]),0),"")</f>
        <v/>
      </c>
      <c r="Z1269"/>
      <c r="AA1269" s="37" t="str">
        <f>IF(DaybyDay[[#This Row],[_Space]],DaybyDay[[#This Row],[Ret-Act-RU]]/DaybyDay[[#This Row],[Serv-Act-RU]],"")</f>
        <v/>
      </c>
      <c r="AB1269" s="50" t="str">
        <f>IF(DaybyDay[[#This Row],[_Space]],DaybyDay[[#This Row],[RETPEN-Act]]/DaybyDay[[#This Row],[RETPEN-Bud]],"")</f>
        <v/>
      </c>
      <c r="AC1269" s="37" t="str">
        <f>IF(DaybyDay[[#This Row],[_Space]],DaybyDay[[#This Row],[Ret-Bud-RU]]/DaybyDay[[#This Row],[Serv-Bud-RU]],"")</f>
        <v/>
      </c>
      <c r="AD1269" s="37" t="str">
        <f>IF(DaybyDay[[#This Row],[_Space]],DaybyDay[[#This Row],[Ret-LY-RU]]/DaybyDay[[#This Row],[Serv-LY-RU]],"")</f>
        <v/>
      </c>
      <c r="AE1269" s="30">
        <f>WEEKDAY(DaybyDay[[#This Row],[LY-Date]])</f>
        <v>3</v>
      </c>
      <c r="AF1269" s="38">
        <f>$E$2+_xlfn.DAYS(DaybyDay[[#This Row],[Date]],minDate)</f>
        <v>43634</v>
      </c>
      <c r="AG1269" s="39" cm="1">
        <f t="array" ref="AG1269">IFERROR(INDEX(DaybyDay[],DaybyDay[[#This Row],[FORM_MATCH_HELPER]],8),"")</f>
        <v>10</v>
      </c>
      <c r="AH1269" s="39" cm="1">
        <f t="array" ref="AH1269">IFERROR(INDEX(DaybyDay[],DaybyDay[[#This Row],[FORM_MATCH_HELPER]],10),"")</f>
        <v>2074.3999999999996</v>
      </c>
      <c r="AI1269" s="39" cm="1">
        <f t="array" ref="AI1269">IFERROR(INDEX(DaybyDay[],DaybyDay[[#This Row],[FORM_MATCH_HELPER]],12),"")</f>
        <v>2209.25</v>
      </c>
      <c r="AJ1269" s="32">
        <f>IFERROR(DaybyDay[[#This Row],[Serv-LY-RU]]+DaybyDay[[#This Row],[Ret-LY-RU]],"")</f>
        <v>1050794.77</v>
      </c>
      <c r="AK12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1042129.4497928862</v>
      </c>
      <c r="AL1269" s="77"/>
      <c r="AM1269" s="40" t="str">
        <f>IF(DaybyDay[[#This Row],[Admin Hours]]&gt;0,DaybyDay[[#This Row],[Admin Hours]]*$AM$2+$AM$3,"")</f>
        <v/>
      </c>
      <c r="AN1269" s="40">
        <f>SUMIFS(DaybyDay[Est-Admin-Payroll],DaybyDay[Date],"&gt;="&amp;$C$5,DaybyDay[RowYear],"&gt;="&amp;$C$4,DaybyDay[Date],"&lt;="&amp;DaybyDay[[#This Row],[Date]])</f>
        <v>13941.779999999997</v>
      </c>
      <c r="AO1269" s="41" t="str">
        <f>IF(AND(DaybyDay[[#This Row],[_Space]],ISNUMBER(DaybyDay[[#This Row],[Admin Hours]])),DaybyDay[[#This Row],[Est-Admin-Payroll]]/(DaybyDay[[#This Row],[Service-Actuals]]+DaybyDay[[#This Row],[Retail-Actuals]]),"")</f>
        <v/>
      </c>
      <c r="AP1269" s="41">
        <f>DaybyDay[[#This Row],[Estimated-Payroll-Rollup]]/DaybyDay[[#This Row],[Simple-Forecast]]</f>
        <v>1.3378165258424278E-2</v>
      </c>
      <c r="AQ12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202256.56089837546</v>
      </c>
      <c r="AR1269" s="77"/>
      <c r="AS1269" s="40" t="str">
        <f>IF(DaybyDay[[#This Row],[Retail Hours]]&gt;0,DaybyDay[[#This Row],[Retail Hours]]*$AS$2,"")</f>
        <v/>
      </c>
      <c r="AT1269" s="40">
        <f>SUMIFS(DaybyDay[Est-Retail-Payroll],DaybyDay[Date],"&gt;="&amp;$C$5,DaybyDay[RowYear],"&gt;="&amp;$C$4,DaybyDay[Date],"&lt;="&amp;DaybyDay[[#This Row],[Date]])</f>
        <v>2627.1</v>
      </c>
      <c r="AU1269" s="82" t="str">
        <f>IF(AND(DaybyDay[[#This Row],[_Space]],ISNUMBER(DaybyDay[[#This Row],[Retail Hours]])),DaybyDay[[#This Row],[Est-Retail-Payroll]]/(DaybyDay[[#This Row],[Retail-Actuals]]),"")</f>
        <v/>
      </c>
      <c r="AV1269" s="82">
        <f>DaybyDay[[#This Row],[Est-Retail-PayrollRU]]/DaybyDay[[#This Row],[Simple-Forecast-Retail]]</f>
        <v>1.2988948236492539E-2</v>
      </c>
      <c r="AW1269" s="8"/>
      <c r="AX1269" s="15"/>
      <c r="AY1269" s="8"/>
    </row>
    <row r="1270" spans="3:51" hidden="1" x14ac:dyDescent="0.25">
      <c r="C1270" s="26" t="str">
        <f>Tools!$C$1</f>
        <v>Example</v>
      </c>
      <c r="D1270" s="27" t="s">
        <v>73</v>
      </c>
      <c r="E1270" s="28">
        <v>2020</v>
      </c>
      <c r="F1270" s="28">
        <f>MATCH(DaybyDay[[#This Row],[RowMonth]],Table3[SummaryMonth],0)</f>
        <v>6</v>
      </c>
      <c r="G1270" s="29">
        <f>MATCH(DaybyDay[[#This Row],[LY-Date]],DaybyDay[Date],0)</f>
        <v>900</v>
      </c>
      <c r="H1270" s="30">
        <f>WEEKDAY(DaybyDay[[#This Row],[Date]])</f>
        <v>4</v>
      </c>
      <c r="I1270" s="31">
        <v>43999</v>
      </c>
      <c r="J1270" s="74"/>
      <c r="K1270" s="32">
        <f>SUMIFS(BudgetSeasonality[365 Seasonality],BudgetSeasonality[MonthAdjustment],DaybyDay[[#This Row],[Date]])*SUMIFS(Budgets[Service-Budget],Budgets[BudgetMonth],DaybyDay[[#This Row],[RowMonth]],Budgets[BudgetYear],DaybyDay[[#This Row],[RowYear]])</f>
        <v>4707.7955785937629</v>
      </c>
      <c r="L1270" s="75"/>
      <c r="M1270" s="32">
        <f>INDEX(BudgetSeasonality[365 Seasonality],MATCH(DaybyDay[[#This Row],[Date]],BudgetSeasonality[MonthAdjustment],0))*SUMIFS(Budgets[Retail-Budget],Budgets[BudgetMonth],DaybyDay[[#This Row],[RowMonth]],Budgets[BudgetYear],DaybyDay[[#This Row],[RowYear]])</f>
        <v>1211.8041692280694</v>
      </c>
      <c r="N1270" s="75"/>
      <c r="O1270" s="33">
        <f>SUMIFS(DaybyDay[Service-Budgets],DaybyDay[Date],"&gt;="&amp;$C$5,DaybyDay[RowYear],"&gt;="&amp;$C$4,DaybyDay[Date],"&lt;="&amp;DaybyDay[[#This Row],[Date]])</f>
        <v>915093.60691679071</v>
      </c>
      <c r="P1270" s="33">
        <f>SUMIFS(DaybyDay[Retail-Budgets],DaybyDay[Date],"&gt;="&amp;$C$5,DaybyDay[RowYear],"&gt;="&amp;$C$4,DaybyDay[Date],"&lt;="&amp;DaybyDay[[#This Row],[Date]])</f>
        <v>229553.98919998403</v>
      </c>
      <c r="Q1270" s="34">
        <f>SUMIFS(DaybyDay[Service-Actuals],DaybyDay[Date],"&gt;="&amp;$C$5,DaybyDay[RowYear],"&gt;="&amp;$C$4,DaybyDay[Date],"&lt;="&amp;DaybyDay[[#This Row],[Date]])</f>
        <v>385554.23</v>
      </c>
      <c r="R1270" s="34">
        <f>SUMIFS(DaybyDay[Retail-Actuals],DaybyDay[Date],"&gt;="&amp;$C$5,DaybyDay[RowYear],"&gt;="&amp;$C$4,DaybyDay[Date],"&lt;="&amp;DaybyDay[[#This Row],[Date]])</f>
        <v>88360.030000000028</v>
      </c>
      <c r="S1270" s="35">
        <f>SUMIFS(DaybyDay[Service-LY],DaybyDay[Date],"&gt;="&amp;$C$5,DaybyDay[RowYear],"&gt;="&amp;$C$4,DaybyDay[Date],"&lt;="&amp;DaybyDay[[#This Row],[Date]])</f>
        <v>849176.27999999991</v>
      </c>
      <c r="T1270" s="35">
        <f>SUMIFS(DaybyDay[Retail-LY],DaybyDay[Date],"&gt;="&amp;$C$5,DaybyDay[RowYear],"&gt;="&amp;$C$4,DaybyDay[Date],"&lt;="&amp;DaybyDay[[#This Row],[Date]])</f>
        <v>204702.99</v>
      </c>
      <c r="U1270" s="32">
        <f>DaybyDay[[#This Row],[Serv-Bud-RU]]+DaybyDay[[#This Row],[Ret-Bud-RU]]</f>
        <v>1144647.5961167747</v>
      </c>
      <c r="V1270" s="32">
        <f>DaybyDay[[#This Row],[Serv-Act-RU]]+DaybyDay[[#This Row],[Ret-Act-RU]]</f>
        <v>473914.26</v>
      </c>
      <c r="W1270" s="36" t="str">
        <f>IF(DaybyDay[[#This Row],[_Space]],IFERROR(
((DaybyDay[[#This Row],[Actual-Rollup]]-DaybyDay[[#This Row],[Budget-Rollup]])/DaybyDay[[#This Row],[Budget-Rollup]]),0),"")</f>
        <v/>
      </c>
      <c r="X1270" t="b">
        <f>NOT(AND(ISBLANK(DaybyDay[[#This Row],[Appts]]),ISBLANK(DaybyDay[[#This Row],[Service-Actuals]]),ISBLANK(DaybyDay[[#This Row],[Retail-Actuals]])))</f>
        <v>0</v>
      </c>
      <c r="Y1270" s="36" t="str">
        <f>IF(DaybyDay[[#This Row],[_Space]],IFERROR(
((DaybyDay[[#This Row],[Actual-Rollup]]-DaybyDay[[#This Row],[LY-Rollup]])/DaybyDay[[#This Row],[LY-Rollup]]),0),"")</f>
        <v/>
      </c>
      <c r="Z1270"/>
      <c r="AA1270" s="37" t="str">
        <f>IF(DaybyDay[[#This Row],[_Space]],DaybyDay[[#This Row],[Ret-Act-RU]]/DaybyDay[[#This Row],[Serv-Act-RU]],"")</f>
        <v/>
      </c>
      <c r="AB1270" s="50" t="str">
        <f>IF(DaybyDay[[#This Row],[_Space]],DaybyDay[[#This Row],[RETPEN-Act]]/DaybyDay[[#This Row],[RETPEN-Bud]],"")</f>
        <v/>
      </c>
      <c r="AC1270" s="37" t="str">
        <f>IF(DaybyDay[[#This Row],[_Space]],DaybyDay[[#This Row],[Ret-Bud-RU]]/DaybyDay[[#This Row],[Serv-Bud-RU]],"")</f>
        <v/>
      </c>
      <c r="AD1270" s="37" t="str">
        <f>IF(DaybyDay[[#This Row],[_Space]],DaybyDay[[#This Row],[Ret-LY-RU]]/DaybyDay[[#This Row],[Serv-LY-RU]],"")</f>
        <v/>
      </c>
      <c r="AE1270" s="30">
        <f>WEEKDAY(DaybyDay[[#This Row],[LY-Date]])</f>
        <v>4</v>
      </c>
      <c r="AF1270" s="38">
        <f>$E$2+_xlfn.DAYS(DaybyDay[[#This Row],[Date]],minDate)</f>
        <v>43635</v>
      </c>
      <c r="AG1270" s="39" cm="1">
        <f t="array" ref="AG1270">IFERROR(INDEX(DaybyDay[],DaybyDay[[#This Row],[FORM_MATCH_HELPER]],8),"")</f>
        <v>9</v>
      </c>
      <c r="AH1270" s="39" cm="1">
        <f t="array" ref="AH1270">IFERROR(INDEX(DaybyDay[],DaybyDay[[#This Row],[FORM_MATCH_HELPER]],10),"")</f>
        <v>2321.6</v>
      </c>
      <c r="AI1270" s="39" cm="1">
        <f t="array" ref="AI1270">IFERROR(INDEX(DaybyDay[],DaybyDay[[#This Row],[FORM_MATCH_HELPER]],12),"")</f>
        <v>762.9</v>
      </c>
      <c r="AJ1270" s="32">
        <f>IFERROR(DaybyDay[[#This Row],[Serv-LY-RU]]+DaybyDay[[#This Row],[Ret-LY-RU]],"")</f>
        <v>1053879.27</v>
      </c>
      <c r="AK12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1046168.1718635913</v>
      </c>
      <c r="AL1270" s="77"/>
      <c r="AM1270" s="40" t="str">
        <f>IF(DaybyDay[[#This Row],[Admin Hours]]&gt;0,DaybyDay[[#This Row],[Admin Hours]]*$AM$2+$AM$3,"")</f>
        <v/>
      </c>
      <c r="AN1270" s="40">
        <f>SUMIFS(DaybyDay[Est-Admin-Payroll],DaybyDay[Date],"&gt;="&amp;$C$5,DaybyDay[RowYear],"&gt;="&amp;$C$4,DaybyDay[Date],"&lt;="&amp;DaybyDay[[#This Row],[Date]])</f>
        <v>13941.779999999997</v>
      </c>
      <c r="AO1270" s="41" t="str">
        <f>IF(AND(DaybyDay[[#This Row],[_Space]],ISNUMBER(DaybyDay[[#This Row],[Admin Hours]])),DaybyDay[[#This Row],[Est-Admin-Payroll]]/(DaybyDay[[#This Row],[Service-Actuals]]+DaybyDay[[#This Row],[Retail-Actuals]]),"")</f>
        <v/>
      </c>
      <c r="AP1270" s="41">
        <f>DaybyDay[[#This Row],[Estimated-Payroll-Rollup]]/DaybyDay[[#This Row],[Simple-Forecast]]</f>
        <v>1.3326518981326694E-2</v>
      </c>
      <c r="AQ12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203148.15030972054</v>
      </c>
      <c r="AR1270" s="77"/>
      <c r="AS1270" s="40" t="str">
        <f>IF(DaybyDay[[#This Row],[Retail Hours]]&gt;0,DaybyDay[[#This Row],[Retail Hours]]*$AS$2,"")</f>
        <v/>
      </c>
      <c r="AT1270" s="40">
        <f>SUMIFS(DaybyDay[Est-Retail-Payroll],DaybyDay[Date],"&gt;="&amp;$C$5,DaybyDay[RowYear],"&gt;="&amp;$C$4,DaybyDay[Date],"&lt;="&amp;DaybyDay[[#This Row],[Date]])</f>
        <v>2627.1</v>
      </c>
      <c r="AU1270" s="82" t="str">
        <f>IF(AND(DaybyDay[[#This Row],[_Space]],ISNUMBER(DaybyDay[[#This Row],[Retail Hours]])),DaybyDay[[#This Row],[Est-Retail-Payroll]]/(DaybyDay[[#This Row],[Retail-Actuals]]),"")</f>
        <v/>
      </c>
      <c r="AV1270" s="82">
        <f>DaybyDay[[#This Row],[Est-Retail-PayrollRU]]/DaybyDay[[#This Row],[Simple-Forecast-Retail]]</f>
        <v>1.293194152146949E-2</v>
      </c>
      <c r="AW1270" s="8"/>
      <c r="AX1270" s="15"/>
      <c r="AY1270" s="8"/>
    </row>
    <row r="1271" spans="3:51" hidden="1" x14ac:dyDescent="0.25">
      <c r="C1271" s="26" t="str">
        <f>Tools!$C$1</f>
        <v>Example</v>
      </c>
      <c r="D1271" s="27" t="s">
        <v>73</v>
      </c>
      <c r="E1271" s="28">
        <v>2020</v>
      </c>
      <c r="F1271" s="28">
        <f>MATCH(DaybyDay[[#This Row],[RowMonth]],Table3[SummaryMonth],0)</f>
        <v>6</v>
      </c>
      <c r="G1271" s="29">
        <f>MATCH(DaybyDay[[#This Row],[LY-Date]],DaybyDay[Date],0)</f>
        <v>901</v>
      </c>
      <c r="H1271" s="30">
        <f>WEEKDAY(DaybyDay[[#This Row],[Date]])</f>
        <v>5</v>
      </c>
      <c r="I1271" s="31">
        <v>44000</v>
      </c>
      <c r="J1271" s="74"/>
      <c r="K1271" s="32">
        <f>SUMIFS(BudgetSeasonality[365 Seasonality],BudgetSeasonality[MonthAdjustment],DaybyDay[[#This Row],[Date]])*SUMIFS(Budgets[Service-Budget],Budgets[BudgetMonth],DaybyDay[[#This Row],[RowMonth]],Budgets[BudgetYear],DaybyDay[[#This Row],[RowYear]])</f>
        <v>4791.736540777867</v>
      </c>
      <c r="L1271" s="75"/>
      <c r="M1271" s="32">
        <f>INDEX(BudgetSeasonality[365 Seasonality],MATCH(DaybyDay[[#This Row],[Date]],BudgetSeasonality[MonthAdjustment],0))*SUMIFS(Budgets[Retail-Budget],Budgets[BudgetMonth],DaybyDay[[#This Row],[RowMonth]],Budgets[BudgetYear],DaybyDay[[#This Row],[RowYear]])</f>
        <v>1233.4108864793945</v>
      </c>
      <c r="N1271" s="75"/>
      <c r="O1271" s="33">
        <f>SUMIFS(DaybyDay[Service-Budgets],DaybyDay[Date],"&gt;="&amp;$C$5,DaybyDay[RowYear],"&gt;="&amp;$C$4,DaybyDay[Date],"&lt;="&amp;DaybyDay[[#This Row],[Date]])</f>
        <v>919885.34345756855</v>
      </c>
      <c r="P1271" s="33">
        <f>SUMIFS(DaybyDay[Retail-Budgets],DaybyDay[Date],"&gt;="&amp;$C$5,DaybyDay[RowYear],"&gt;="&amp;$C$4,DaybyDay[Date],"&lt;="&amp;DaybyDay[[#This Row],[Date]])</f>
        <v>230787.40008646343</v>
      </c>
      <c r="Q1271" s="34">
        <f>SUMIFS(DaybyDay[Service-Actuals],DaybyDay[Date],"&gt;="&amp;$C$5,DaybyDay[RowYear],"&gt;="&amp;$C$4,DaybyDay[Date],"&lt;="&amp;DaybyDay[[#This Row],[Date]])</f>
        <v>385554.23</v>
      </c>
      <c r="R1271" s="34">
        <f>SUMIFS(DaybyDay[Retail-Actuals],DaybyDay[Date],"&gt;="&amp;$C$5,DaybyDay[RowYear],"&gt;="&amp;$C$4,DaybyDay[Date],"&lt;="&amp;DaybyDay[[#This Row],[Date]])</f>
        <v>88360.030000000028</v>
      </c>
      <c r="S1271" s="35">
        <f>SUMIFS(DaybyDay[Service-LY],DaybyDay[Date],"&gt;="&amp;$C$5,DaybyDay[RowYear],"&gt;="&amp;$C$4,DaybyDay[Date],"&lt;="&amp;DaybyDay[[#This Row],[Date]])</f>
        <v>853446.97999999986</v>
      </c>
      <c r="T1271" s="35">
        <f>SUMIFS(DaybyDay[Retail-LY],DaybyDay[Date],"&gt;="&amp;$C$5,DaybyDay[RowYear],"&gt;="&amp;$C$4,DaybyDay[Date],"&lt;="&amp;DaybyDay[[#This Row],[Date]])</f>
        <v>204980.24</v>
      </c>
      <c r="U1271" s="32">
        <f>DaybyDay[[#This Row],[Serv-Bud-RU]]+DaybyDay[[#This Row],[Ret-Bud-RU]]</f>
        <v>1150672.7435440319</v>
      </c>
      <c r="V1271" s="32">
        <f>DaybyDay[[#This Row],[Serv-Act-RU]]+DaybyDay[[#This Row],[Ret-Act-RU]]</f>
        <v>473914.26</v>
      </c>
      <c r="W1271" s="36" t="str">
        <f>IF(DaybyDay[[#This Row],[_Space]],IFERROR(
((DaybyDay[[#This Row],[Actual-Rollup]]-DaybyDay[[#This Row],[Budget-Rollup]])/DaybyDay[[#This Row],[Budget-Rollup]]),0),"")</f>
        <v/>
      </c>
      <c r="X1271" t="b">
        <f>NOT(AND(ISBLANK(DaybyDay[[#This Row],[Appts]]),ISBLANK(DaybyDay[[#This Row],[Service-Actuals]]),ISBLANK(DaybyDay[[#This Row],[Retail-Actuals]])))</f>
        <v>0</v>
      </c>
      <c r="Y1271" s="36" t="str">
        <f>IF(DaybyDay[[#This Row],[_Space]],IFERROR(
((DaybyDay[[#This Row],[Actual-Rollup]]-DaybyDay[[#This Row],[LY-Rollup]])/DaybyDay[[#This Row],[LY-Rollup]]),0),"")</f>
        <v/>
      </c>
      <c r="Z1271"/>
      <c r="AA1271" s="37" t="str">
        <f>IF(DaybyDay[[#This Row],[_Space]],DaybyDay[[#This Row],[Ret-Act-RU]]/DaybyDay[[#This Row],[Serv-Act-RU]],"")</f>
        <v/>
      </c>
      <c r="AB1271" s="50" t="str">
        <f>IF(DaybyDay[[#This Row],[_Space]],DaybyDay[[#This Row],[RETPEN-Act]]/DaybyDay[[#This Row],[RETPEN-Bud]],"")</f>
        <v/>
      </c>
      <c r="AC1271" s="37" t="str">
        <f>IF(DaybyDay[[#This Row],[_Space]],DaybyDay[[#This Row],[Ret-Bud-RU]]/DaybyDay[[#This Row],[Serv-Bud-RU]],"")</f>
        <v/>
      </c>
      <c r="AD1271" s="37" t="str">
        <f>IF(DaybyDay[[#This Row],[_Space]],DaybyDay[[#This Row],[Ret-LY-RU]]/DaybyDay[[#This Row],[Serv-LY-RU]],"")</f>
        <v/>
      </c>
      <c r="AE1271" s="30">
        <f>WEEKDAY(DaybyDay[[#This Row],[LY-Date]])</f>
        <v>5</v>
      </c>
      <c r="AF1271" s="38">
        <f>$E$2+_xlfn.DAYS(DaybyDay[[#This Row],[Date]],minDate)</f>
        <v>43636</v>
      </c>
      <c r="AG1271" s="39" cm="1">
        <f t="array" ref="AG1271">IFERROR(INDEX(DaybyDay[],DaybyDay[[#This Row],[FORM_MATCH_HELPER]],8),"")</f>
        <v>23</v>
      </c>
      <c r="AH1271" s="39" cm="1">
        <f t="array" ref="AH1271">IFERROR(INDEX(DaybyDay[],DaybyDay[[#This Row],[FORM_MATCH_HELPER]],10),"")</f>
        <v>4270.7</v>
      </c>
      <c r="AI1271" s="39" cm="1">
        <f t="array" ref="AI1271">IFERROR(INDEX(DaybyDay[],DaybyDay[[#This Row],[FORM_MATCH_HELPER]],12),"")</f>
        <v>277.25</v>
      </c>
      <c r="AJ1271" s="32">
        <f>IFERROR(DaybyDay[[#This Row],[Serv-LY-RU]]+DaybyDay[[#This Row],[Ret-LY-RU]],"")</f>
        <v>1058427.2199999997</v>
      </c>
      <c r="AK12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1050973.3332480341</v>
      </c>
      <c r="AL1271" s="77"/>
      <c r="AM1271" s="40" t="str">
        <f>IF(DaybyDay[[#This Row],[Admin Hours]]&gt;0,DaybyDay[[#This Row],[Admin Hours]]*$AM$2+$AM$3,"")</f>
        <v/>
      </c>
      <c r="AN1271" s="40">
        <f>SUMIFS(DaybyDay[Est-Admin-Payroll],DaybyDay[Date],"&gt;="&amp;$C$5,DaybyDay[RowYear],"&gt;="&amp;$C$4,DaybyDay[Date],"&lt;="&amp;DaybyDay[[#This Row],[Date]])</f>
        <v>13941.779999999997</v>
      </c>
      <c r="AO1271" s="41" t="str">
        <f>IF(AND(DaybyDay[[#This Row],[_Space]],ISNUMBER(DaybyDay[[#This Row],[Admin Hours]])),DaybyDay[[#This Row],[Est-Admin-Payroll]]/(DaybyDay[[#This Row],[Service-Actuals]]+DaybyDay[[#This Row],[Retail-Actuals]]),"")</f>
        <v/>
      </c>
      <c r="AP1271" s="41">
        <f>DaybyDay[[#This Row],[Estimated-Payroll-Rollup]]/DaybyDay[[#This Row],[Simple-Forecast]]</f>
        <v>1.3265588725180031E-2</v>
      </c>
      <c r="AQ12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203809.48380260335</v>
      </c>
      <c r="AR1271" s="77"/>
      <c r="AS1271" s="40" t="str">
        <f>IF(DaybyDay[[#This Row],[Retail Hours]]&gt;0,DaybyDay[[#This Row],[Retail Hours]]*$AS$2,"")</f>
        <v/>
      </c>
      <c r="AT1271" s="40">
        <f>SUMIFS(DaybyDay[Est-Retail-Payroll],DaybyDay[Date],"&gt;="&amp;$C$5,DaybyDay[RowYear],"&gt;="&amp;$C$4,DaybyDay[Date],"&lt;="&amp;DaybyDay[[#This Row],[Date]])</f>
        <v>2627.1</v>
      </c>
      <c r="AU1271" s="82" t="str">
        <f>IF(AND(DaybyDay[[#This Row],[_Space]],ISNUMBER(DaybyDay[[#This Row],[Retail Hours]])),DaybyDay[[#This Row],[Est-Retail-Payroll]]/(DaybyDay[[#This Row],[Retail-Actuals]]),"")</f>
        <v/>
      </c>
      <c r="AV1271" s="82">
        <f>DaybyDay[[#This Row],[Est-Retail-PayrollRU]]/DaybyDay[[#This Row],[Simple-Forecast-Retail]]</f>
        <v>1.28899791657607E-2</v>
      </c>
      <c r="AW1271" s="8"/>
      <c r="AX1271" s="15"/>
      <c r="AY1271" s="8"/>
    </row>
    <row r="1272" spans="3:51" hidden="1" x14ac:dyDescent="0.25">
      <c r="C1272" s="26" t="str">
        <f>Tools!$C$1</f>
        <v>Example</v>
      </c>
      <c r="D1272" s="27" t="s">
        <v>73</v>
      </c>
      <c r="E1272" s="28">
        <v>2020</v>
      </c>
      <c r="F1272" s="28">
        <f>MATCH(DaybyDay[[#This Row],[RowMonth]],Table3[SummaryMonth],0)</f>
        <v>6</v>
      </c>
      <c r="G1272" s="29">
        <f>MATCH(DaybyDay[[#This Row],[LY-Date]],DaybyDay[Date],0)</f>
        <v>902</v>
      </c>
      <c r="H1272" s="30">
        <f>WEEKDAY(DaybyDay[[#This Row],[Date]])</f>
        <v>6</v>
      </c>
      <c r="I1272" s="31">
        <v>44001</v>
      </c>
      <c r="J1272" s="74"/>
      <c r="K1272" s="32">
        <f>SUMIFS(BudgetSeasonality[365 Seasonality],BudgetSeasonality[MonthAdjustment],DaybyDay[[#This Row],[Date]])*SUMIFS(Budgets[Service-Budget],Budgets[BudgetMonth],DaybyDay[[#This Row],[RowMonth]],Budgets[BudgetYear],DaybyDay[[#This Row],[RowYear]])</f>
        <v>5875.3733508172509</v>
      </c>
      <c r="L1272" s="75"/>
      <c r="M1272" s="32">
        <f>INDEX(BudgetSeasonality[365 Seasonality],MATCH(DaybyDay[[#This Row],[Date]],BudgetSeasonality[MonthAdjustment],0))*SUMIFS(Budgets[Retail-Budget],Budgets[BudgetMonth],DaybyDay[[#This Row],[RowMonth]],Budgets[BudgetYear],DaybyDay[[#This Row],[RowYear]])</f>
        <v>1512.3430496144333</v>
      </c>
      <c r="N1272" s="75"/>
      <c r="O1272" s="33">
        <f>SUMIFS(DaybyDay[Service-Budgets],DaybyDay[Date],"&gt;="&amp;$C$5,DaybyDay[RowYear],"&gt;="&amp;$C$4,DaybyDay[Date],"&lt;="&amp;DaybyDay[[#This Row],[Date]])</f>
        <v>925760.7168083858</v>
      </c>
      <c r="P1272" s="33">
        <f>SUMIFS(DaybyDay[Retail-Budgets],DaybyDay[Date],"&gt;="&amp;$C$5,DaybyDay[RowYear],"&gt;="&amp;$C$4,DaybyDay[Date],"&lt;="&amp;DaybyDay[[#This Row],[Date]])</f>
        <v>232299.74313607786</v>
      </c>
      <c r="Q1272" s="34">
        <f>SUMIFS(DaybyDay[Service-Actuals],DaybyDay[Date],"&gt;="&amp;$C$5,DaybyDay[RowYear],"&gt;="&amp;$C$4,DaybyDay[Date],"&lt;="&amp;DaybyDay[[#This Row],[Date]])</f>
        <v>385554.23</v>
      </c>
      <c r="R1272" s="34">
        <f>SUMIFS(DaybyDay[Retail-Actuals],DaybyDay[Date],"&gt;="&amp;$C$5,DaybyDay[RowYear],"&gt;="&amp;$C$4,DaybyDay[Date],"&lt;="&amp;DaybyDay[[#This Row],[Date]])</f>
        <v>88360.030000000028</v>
      </c>
      <c r="S1272" s="35">
        <f>SUMIFS(DaybyDay[Service-LY],DaybyDay[Date],"&gt;="&amp;$C$5,DaybyDay[RowYear],"&gt;="&amp;$C$4,DaybyDay[Date],"&lt;="&amp;DaybyDay[[#This Row],[Date]])</f>
        <v>857964.22999999986</v>
      </c>
      <c r="T1272" s="35">
        <f>SUMIFS(DaybyDay[Retail-LY],DaybyDay[Date],"&gt;="&amp;$C$5,DaybyDay[RowYear],"&gt;="&amp;$C$4,DaybyDay[Date],"&lt;="&amp;DaybyDay[[#This Row],[Date]])</f>
        <v>208248.28999999998</v>
      </c>
      <c r="U1272" s="32">
        <f>DaybyDay[[#This Row],[Serv-Bud-RU]]+DaybyDay[[#This Row],[Ret-Bud-RU]]</f>
        <v>1158060.4599444636</v>
      </c>
      <c r="V1272" s="32">
        <f>DaybyDay[[#This Row],[Serv-Act-RU]]+DaybyDay[[#This Row],[Ret-Act-RU]]</f>
        <v>473914.26</v>
      </c>
      <c r="W1272" s="36" t="str">
        <f>IF(DaybyDay[[#This Row],[_Space]],IFERROR(
((DaybyDay[[#This Row],[Actual-Rollup]]-DaybyDay[[#This Row],[Budget-Rollup]])/DaybyDay[[#This Row],[Budget-Rollup]]),0),"")</f>
        <v/>
      </c>
      <c r="X1272" t="b">
        <f>NOT(AND(ISBLANK(DaybyDay[[#This Row],[Appts]]),ISBLANK(DaybyDay[[#This Row],[Service-Actuals]]),ISBLANK(DaybyDay[[#This Row],[Retail-Actuals]])))</f>
        <v>0</v>
      </c>
      <c r="Y1272" s="36" t="str">
        <f>IF(DaybyDay[[#This Row],[_Space]],IFERROR(
((DaybyDay[[#This Row],[Actual-Rollup]]-DaybyDay[[#This Row],[LY-Rollup]])/DaybyDay[[#This Row],[LY-Rollup]]),0),"")</f>
        <v/>
      </c>
      <c r="Z1272"/>
      <c r="AA1272" s="37" t="str">
        <f>IF(DaybyDay[[#This Row],[_Space]],DaybyDay[[#This Row],[Ret-Act-RU]]/DaybyDay[[#This Row],[Serv-Act-RU]],"")</f>
        <v/>
      </c>
      <c r="AB1272" s="50" t="str">
        <f>IF(DaybyDay[[#This Row],[_Space]],DaybyDay[[#This Row],[RETPEN-Act]]/DaybyDay[[#This Row],[RETPEN-Bud]],"")</f>
        <v/>
      </c>
      <c r="AC1272" s="37" t="str">
        <f>IF(DaybyDay[[#This Row],[_Space]],DaybyDay[[#This Row],[Ret-Bud-RU]]/DaybyDay[[#This Row],[Serv-Bud-RU]],"")</f>
        <v/>
      </c>
      <c r="AD1272" s="37" t="str">
        <f>IF(DaybyDay[[#This Row],[_Space]],DaybyDay[[#This Row],[Ret-LY-RU]]/DaybyDay[[#This Row],[Serv-LY-RU]],"")</f>
        <v/>
      </c>
      <c r="AE1272" s="30">
        <f>WEEKDAY(DaybyDay[[#This Row],[LY-Date]])</f>
        <v>6</v>
      </c>
      <c r="AF1272" s="38">
        <f>$E$2+_xlfn.DAYS(DaybyDay[[#This Row],[Date]],minDate)</f>
        <v>43637</v>
      </c>
      <c r="AG1272" s="39" cm="1">
        <f t="array" ref="AG1272">IFERROR(INDEX(DaybyDay[],DaybyDay[[#This Row],[FORM_MATCH_HELPER]],8),"")</f>
        <v>24</v>
      </c>
      <c r="AH1272" s="39" cm="1">
        <f t="array" ref="AH1272">IFERROR(INDEX(DaybyDay[],DaybyDay[[#This Row],[FORM_MATCH_HELPER]],10),"")</f>
        <v>4517.25</v>
      </c>
      <c r="AI1272" s="39" cm="1">
        <f t="array" ref="AI1272">IFERROR(INDEX(DaybyDay[],DaybyDay[[#This Row],[FORM_MATCH_HELPER]],12),"")</f>
        <v>3268.05</v>
      </c>
      <c r="AJ1272" s="32">
        <f>IFERROR(DaybyDay[[#This Row],[Serv-LY-RU]]+DaybyDay[[#This Row],[Ret-LY-RU]],"")</f>
        <v>1066212.5199999998</v>
      </c>
      <c r="AK12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1057954.2233744336</v>
      </c>
      <c r="AL1272" s="77"/>
      <c r="AM1272" s="40" t="str">
        <f>IF(DaybyDay[[#This Row],[Admin Hours]]&gt;0,DaybyDay[[#This Row],[Admin Hours]]*$AM$2+$AM$3,"")</f>
        <v/>
      </c>
      <c r="AN1272" s="40">
        <f>SUMIFS(DaybyDay[Est-Admin-Payroll],DaybyDay[Date],"&gt;="&amp;$C$5,DaybyDay[RowYear],"&gt;="&amp;$C$4,DaybyDay[Date],"&lt;="&amp;DaybyDay[[#This Row],[Date]])</f>
        <v>13941.779999999997</v>
      </c>
      <c r="AO1272" s="41" t="str">
        <f>IF(AND(DaybyDay[[#This Row],[_Space]],ISNUMBER(DaybyDay[[#This Row],[Admin Hours]])),DaybyDay[[#This Row],[Est-Admin-Payroll]]/(DaybyDay[[#This Row],[Service-Actuals]]+DaybyDay[[#This Row],[Retail-Actuals]]),"")</f>
        <v/>
      </c>
      <c r="AP1272" s="41">
        <f>DaybyDay[[#This Row],[Estimated-Payroll-Rollup]]/DaybyDay[[#This Row],[Simple-Forecast]]</f>
        <v>1.3178055998993531E-2</v>
      </c>
      <c r="AQ12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206064.05609607577</v>
      </c>
      <c r="AR1272" s="77"/>
      <c r="AS1272" s="40" t="str">
        <f>IF(DaybyDay[[#This Row],[Retail Hours]]&gt;0,DaybyDay[[#This Row],[Retail Hours]]*$AS$2,"")</f>
        <v/>
      </c>
      <c r="AT1272" s="40">
        <f>SUMIFS(DaybyDay[Est-Retail-Payroll],DaybyDay[Date],"&gt;="&amp;$C$5,DaybyDay[RowYear],"&gt;="&amp;$C$4,DaybyDay[Date],"&lt;="&amp;DaybyDay[[#This Row],[Date]])</f>
        <v>2627.1</v>
      </c>
      <c r="AU1272" s="82" t="str">
        <f>IF(AND(DaybyDay[[#This Row],[_Space]],ISNUMBER(DaybyDay[[#This Row],[Retail Hours]])),DaybyDay[[#This Row],[Est-Retail-Payroll]]/(DaybyDay[[#This Row],[Retail-Actuals]]),"")</f>
        <v/>
      </c>
      <c r="AV1272" s="82">
        <f>DaybyDay[[#This Row],[Est-Retail-PayrollRU]]/DaybyDay[[#This Row],[Simple-Forecast-Retail]]</f>
        <v>1.2748948311369426E-2</v>
      </c>
      <c r="AW1272" s="8"/>
      <c r="AX1272" s="15"/>
      <c r="AY1272" s="8"/>
    </row>
    <row r="1273" spans="3:51" hidden="1" x14ac:dyDescent="0.25">
      <c r="C1273" s="26" t="str">
        <f>Tools!$C$1</f>
        <v>Example</v>
      </c>
      <c r="D1273" s="27" t="s">
        <v>73</v>
      </c>
      <c r="E1273" s="28">
        <v>2020</v>
      </c>
      <c r="F1273" s="28">
        <f>MATCH(DaybyDay[[#This Row],[RowMonth]],Table3[SummaryMonth],0)</f>
        <v>6</v>
      </c>
      <c r="G1273" s="29">
        <f>MATCH(DaybyDay[[#This Row],[LY-Date]],DaybyDay[Date],0)</f>
        <v>903</v>
      </c>
      <c r="H1273" s="30">
        <f>WEEKDAY(DaybyDay[[#This Row],[Date]])</f>
        <v>7</v>
      </c>
      <c r="I1273" s="31">
        <v>44002</v>
      </c>
      <c r="J1273" s="74"/>
      <c r="K1273" s="32">
        <f>SUMIFS(BudgetSeasonality[365 Seasonality],BudgetSeasonality[MonthAdjustment],DaybyDay[[#This Row],[Date]])*SUMIFS(Budgets[Service-Budget],Budgets[BudgetMonth],DaybyDay[[#This Row],[RowMonth]],Budgets[BudgetYear],DaybyDay[[#This Row],[RowYear]])</f>
        <v>8218.8919653488374</v>
      </c>
      <c r="L1273" s="75"/>
      <c r="M1273" s="32">
        <f>INDEX(BudgetSeasonality[365 Seasonality],MATCH(DaybyDay[[#This Row],[Date]],BudgetSeasonality[MonthAdjustment],0))*SUMIFS(Budgets[Retail-Budget],Budgets[BudgetMonth],DaybyDay[[#This Row],[RowMonth]],Budgets[BudgetYear],DaybyDay[[#This Row],[RowYear]])</f>
        <v>2115.5734958695466</v>
      </c>
      <c r="N1273" s="75"/>
      <c r="O1273" s="33">
        <f>SUMIFS(DaybyDay[Service-Budgets],DaybyDay[Date],"&gt;="&amp;$C$5,DaybyDay[RowYear],"&gt;="&amp;$C$4,DaybyDay[Date],"&lt;="&amp;DaybyDay[[#This Row],[Date]])</f>
        <v>933979.60877373465</v>
      </c>
      <c r="P1273" s="33">
        <f>SUMIFS(DaybyDay[Retail-Budgets],DaybyDay[Date],"&gt;="&amp;$C$5,DaybyDay[RowYear],"&gt;="&amp;$C$4,DaybyDay[Date],"&lt;="&amp;DaybyDay[[#This Row],[Date]])</f>
        <v>234415.31663194741</v>
      </c>
      <c r="Q1273" s="34">
        <f>SUMIFS(DaybyDay[Service-Actuals],DaybyDay[Date],"&gt;="&amp;$C$5,DaybyDay[RowYear],"&gt;="&amp;$C$4,DaybyDay[Date],"&lt;="&amp;DaybyDay[[#This Row],[Date]])</f>
        <v>385554.23</v>
      </c>
      <c r="R1273" s="34">
        <f>SUMIFS(DaybyDay[Retail-Actuals],DaybyDay[Date],"&gt;="&amp;$C$5,DaybyDay[RowYear],"&gt;="&amp;$C$4,DaybyDay[Date],"&lt;="&amp;DaybyDay[[#This Row],[Date]])</f>
        <v>88360.030000000028</v>
      </c>
      <c r="S1273" s="35">
        <f>SUMIFS(DaybyDay[Service-LY],DaybyDay[Date],"&gt;="&amp;$C$5,DaybyDay[RowYear],"&gt;="&amp;$C$4,DaybyDay[Date],"&lt;="&amp;DaybyDay[[#This Row],[Date]])</f>
        <v>864294.42999999982</v>
      </c>
      <c r="T1273" s="35">
        <f>SUMIFS(DaybyDay[Retail-LY],DaybyDay[Date],"&gt;="&amp;$C$5,DaybyDay[RowYear],"&gt;="&amp;$C$4,DaybyDay[Date],"&lt;="&amp;DaybyDay[[#This Row],[Date]])</f>
        <v>208400.28999999998</v>
      </c>
      <c r="U1273" s="32">
        <f>DaybyDay[[#This Row],[Serv-Bud-RU]]+DaybyDay[[#This Row],[Ret-Bud-RU]]</f>
        <v>1168394.9254056821</v>
      </c>
      <c r="V1273" s="32">
        <f>DaybyDay[[#This Row],[Serv-Act-RU]]+DaybyDay[[#This Row],[Ret-Act-RU]]</f>
        <v>473914.26</v>
      </c>
      <c r="W1273" s="36" t="str">
        <f>IF(DaybyDay[[#This Row],[_Space]],IFERROR(
((DaybyDay[[#This Row],[Actual-Rollup]]-DaybyDay[[#This Row],[Budget-Rollup]])/DaybyDay[[#This Row],[Budget-Rollup]]),0),"")</f>
        <v/>
      </c>
      <c r="X1273" t="b">
        <f>NOT(AND(ISBLANK(DaybyDay[[#This Row],[Appts]]),ISBLANK(DaybyDay[[#This Row],[Service-Actuals]]),ISBLANK(DaybyDay[[#This Row],[Retail-Actuals]])))</f>
        <v>0</v>
      </c>
      <c r="Y1273" s="36" t="str">
        <f>IF(DaybyDay[[#This Row],[_Space]],IFERROR(
((DaybyDay[[#This Row],[Actual-Rollup]]-DaybyDay[[#This Row],[LY-Rollup]])/DaybyDay[[#This Row],[LY-Rollup]]),0),"")</f>
        <v/>
      </c>
      <c r="Z1273"/>
      <c r="AA1273" s="37" t="str">
        <f>IF(DaybyDay[[#This Row],[_Space]],DaybyDay[[#This Row],[Ret-Act-RU]]/DaybyDay[[#This Row],[Serv-Act-RU]],"")</f>
        <v/>
      </c>
      <c r="AB1273" s="50" t="str">
        <f>IF(DaybyDay[[#This Row],[_Space]],DaybyDay[[#This Row],[RETPEN-Act]]/DaybyDay[[#This Row],[RETPEN-Bud]],"")</f>
        <v/>
      </c>
      <c r="AC1273" s="37" t="str">
        <f>IF(DaybyDay[[#This Row],[_Space]],DaybyDay[[#This Row],[Ret-Bud-RU]]/DaybyDay[[#This Row],[Serv-Bud-RU]],"")</f>
        <v/>
      </c>
      <c r="AD1273" s="37" t="str">
        <f>IF(DaybyDay[[#This Row],[_Space]],DaybyDay[[#This Row],[Ret-LY-RU]]/DaybyDay[[#This Row],[Serv-LY-RU]],"")</f>
        <v/>
      </c>
      <c r="AE1273" s="30">
        <f>WEEKDAY(DaybyDay[[#This Row],[LY-Date]])</f>
        <v>7</v>
      </c>
      <c r="AF1273" s="38">
        <f>$E$2+_xlfn.DAYS(DaybyDay[[#This Row],[Date]],minDate)</f>
        <v>43638</v>
      </c>
      <c r="AG1273" s="39" cm="1">
        <f t="array" ref="AG1273">IFERROR(INDEX(DaybyDay[],DaybyDay[[#This Row],[FORM_MATCH_HELPER]],8),"")</f>
        <v>32</v>
      </c>
      <c r="AH1273" s="39" cm="1">
        <f t="array" ref="AH1273">IFERROR(INDEX(DaybyDay[],DaybyDay[[#This Row],[FORM_MATCH_HELPER]],10),"")</f>
        <v>6330.2</v>
      </c>
      <c r="AI1273" s="39" cm="1">
        <f t="array" ref="AI1273">IFERROR(INDEX(DaybyDay[],DaybyDay[[#This Row],[FORM_MATCH_HELPER]],12),"")</f>
        <v>152</v>
      </c>
      <c r="AJ1273" s="32">
        <f>IFERROR(DaybyDay[[#This Row],[Serv-LY-RU]]+DaybyDay[[#This Row],[Ret-LY-RU]],"")</f>
        <v>1072694.7199999997</v>
      </c>
      <c r="AK12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1065546.0427845246</v>
      </c>
      <c r="AL1273" s="77"/>
      <c r="AM1273" s="40" t="str">
        <f>IF(DaybyDay[[#This Row],[Admin Hours]]&gt;0,DaybyDay[[#This Row],[Admin Hours]]*$AM$2+$AM$3,"")</f>
        <v/>
      </c>
      <c r="AN1273" s="40">
        <f>SUMIFS(DaybyDay[Est-Admin-Payroll],DaybyDay[Date],"&gt;="&amp;$C$5,DaybyDay[RowYear],"&gt;="&amp;$C$4,DaybyDay[Date],"&lt;="&amp;DaybyDay[[#This Row],[Date]])</f>
        <v>13941.779999999997</v>
      </c>
      <c r="AO1273" s="41" t="str">
        <f>IF(AND(DaybyDay[[#This Row],[_Space]],ISNUMBER(DaybyDay[[#This Row],[Admin Hours]])),DaybyDay[[#This Row],[Est-Admin-Payroll]]/(DaybyDay[[#This Row],[Service-Actuals]]+DaybyDay[[#This Row],[Retail-Actuals]]),"")</f>
        <v/>
      </c>
      <c r="AP1273" s="41">
        <f>DaybyDay[[#This Row],[Estimated-Payroll-Rollup]]/DaybyDay[[#This Row],[Simple-Forecast]]</f>
        <v>1.3084164775805294E-2</v>
      </c>
      <c r="AQ12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207038.86803973705</v>
      </c>
      <c r="AR1273" s="77"/>
      <c r="AS1273" s="40" t="str">
        <f>IF(DaybyDay[[#This Row],[Retail Hours]]&gt;0,DaybyDay[[#This Row],[Retail Hours]]*$AS$2,"")</f>
        <v/>
      </c>
      <c r="AT1273" s="40">
        <f>SUMIFS(DaybyDay[Est-Retail-Payroll],DaybyDay[Date],"&gt;="&amp;$C$5,DaybyDay[RowYear],"&gt;="&amp;$C$4,DaybyDay[Date],"&lt;="&amp;DaybyDay[[#This Row],[Date]])</f>
        <v>2627.1</v>
      </c>
      <c r="AU1273" s="82" t="str">
        <f>IF(AND(DaybyDay[[#This Row],[_Space]],ISNUMBER(DaybyDay[[#This Row],[Retail Hours]])),DaybyDay[[#This Row],[Est-Retail-Payroll]]/(DaybyDay[[#This Row],[Retail-Actuals]]),"")</f>
        <v/>
      </c>
      <c r="AV1273" s="82">
        <f>DaybyDay[[#This Row],[Est-Retail-PayrollRU]]/DaybyDay[[#This Row],[Simple-Forecast-Retail]]</f>
        <v>1.2688921770456066E-2</v>
      </c>
      <c r="AW1273" s="8"/>
      <c r="AX1273" s="15"/>
      <c r="AY1273" s="8"/>
    </row>
    <row r="1274" spans="3:51" hidden="1" x14ac:dyDescent="0.25">
      <c r="C1274" s="26" t="str">
        <f>Tools!$C$1</f>
        <v>Example</v>
      </c>
      <c r="D1274" s="27" t="s">
        <v>73</v>
      </c>
      <c r="E1274" s="28">
        <v>2020</v>
      </c>
      <c r="F1274" s="28">
        <f>MATCH(DaybyDay[[#This Row],[RowMonth]],Table3[SummaryMonth],0)</f>
        <v>6</v>
      </c>
      <c r="G1274" s="29">
        <f>MATCH(DaybyDay[[#This Row],[LY-Date]],DaybyDay[Date],0)</f>
        <v>904</v>
      </c>
      <c r="H1274" s="30">
        <f>WEEKDAY(DaybyDay[[#This Row],[Date]])</f>
        <v>1</v>
      </c>
      <c r="I1274" s="31">
        <v>44003</v>
      </c>
      <c r="J1274" s="74"/>
      <c r="K1274" s="32">
        <f>SUMIFS(BudgetSeasonality[365 Seasonality],BudgetSeasonality[MonthAdjustment],DaybyDay[[#This Row],[Date]])*SUMIFS(Budgets[Service-Budget],Budgets[BudgetMonth],DaybyDay[[#This Row],[RowMonth]],Budgets[BudgetYear],DaybyDay[[#This Row],[RowYear]])</f>
        <v>6371.0254014259253</v>
      </c>
      <c r="L1274" s="75"/>
      <c r="M1274" s="32">
        <f>INDEX(BudgetSeasonality[365 Seasonality],MATCH(DaybyDay[[#This Row],[Date]],BudgetSeasonality[MonthAdjustment],0))*SUMIFS(Budgets[Retail-Budget],Budgets[BudgetMonth],DaybyDay[[#This Row],[RowMonth]],Budgets[BudgetYear],DaybyDay[[#This Row],[RowYear]])</f>
        <v>1639.9257390891207</v>
      </c>
      <c r="N1274" s="75"/>
      <c r="O1274" s="33">
        <f>SUMIFS(DaybyDay[Service-Budgets],DaybyDay[Date],"&gt;="&amp;$C$5,DaybyDay[RowYear],"&gt;="&amp;$C$4,DaybyDay[Date],"&lt;="&amp;DaybyDay[[#This Row],[Date]])</f>
        <v>940350.63417516055</v>
      </c>
      <c r="P1274" s="33">
        <f>SUMIFS(DaybyDay[Retail-Budgets],DaybyDay[Date],"&gt;="&amp;$C$5,DaybyDay[RowYear],"&gt;="&amp;$C$4,DaybyDay[Date],"&lt;="&amp;DaybyDay[[#This Row],[Date]])</f>
        <v>236055.24237103653</v>
      </c>
      <c r="Q1274" s="34">
        <f>SUMIFS(DaybyDay[Service-Actuals],DaybyDay[Date],"&gt;="&amp;$C$5,DaybyDay[RowYear],"&gt;="&amp;$C$4,DaybyDay[Date],"&lt;="&amp;DaybyDay[[#This Row],[Date]])</f>
        <v>385554.23</v>
      </c>
      <c r="R1274" s="34">
        <f>SUMIFS(DaybyDay[Retail-Actuals],DaybyDay[Date],"&gt;="&amp;$C$5,DaybyDay[RowYear],"&gt;="&amp;$C$4,DaybyDay[Date],"&lt;="&amp;DaybyDay[[#This Row],[Date]])</f>
        <v>88360.030000000028</v>
      </c>
      <c r="S1274" s="35">
        <f>SUMIFS(DaybyDay[Service-LY],DaybyDay[Date],"&gt;="&amp;$C$5,DaybyDay[RowYear],"&gt;="&amp;$C$4,DaybyDay[Date],"&lt;="&amp;DaybyDay[[#This Row],[Date]])</f>
        <v>869877.37999999977</v>
      </c>
      <c r="T1274" s="35">
        <f>SUMIFS(DaybyDay[Retail-LY],DaybyDay[Date],"&gt;="&amp;$C$5,DaybyDay[RowYear],"&gt;="&amp;$C$4,DaybyDay[Date],"&lt;="&amp;DaybyDay[[#This Row],[Date]])</f>
        <v>209348.28999999998</v>
      </c>
      <c r="U1274" s="32">
        <f>DaybyDay[[#This Row],[Serv-Bud-RU]]+DaybyDay[[#This Row],[Ret-Bud-RU]]</f>
        <v>1176405.8765461971</v>
      </c>
      <c r="V1274" s="32">
        <f>DaybyDay[[#This Row],[Serv-Act-RU]]+DaybyDay[[#This Row],[Ret-Act-RU]]</f>
        <v>473914.26</v>
      </c>
      <c r="W1274" s="36" t="str">
        <f>IF(DaybyDay[[#This Row],[_Space]],IFERROR(
((DaybyDay[[#This Row],[Actual-Rollup]]-DaybyDay[[#This Row],[Budget-Rollup]])/DaybyDay[[#This Row],[Budget-Rollup]]),0),"")</f>
        <v/>
      </c>
      <c r="X1274" t="b">
        <f>NOT(AND(ISBLANK(DaybyDay[[#This Row],[Appts]]),ISBLANK(DaybyDay[[#This Row],[Service-Actuals]]),ISBLANK(DaybyDay[[#This Row],[Retail-Actuals]])))</f>
        <v>0</v>
      </c>
      <c r="Y1274" s="36" t="str">
        <f>IF(DaybyDay[[#This Row],[_Space]],IFERROR(
((DaybyDay[[#This Row],[Actual-Rollup]]-DaybyDay[[#This Row],[LY-Rollup]])/DaybyDay[[#This Row],[LY-Rollup]]),0),"")</f>
        <v/>
      </c>
      <c r="Z1274"/>
      <c r="AA1274" s="37" t="str">
        <f>IF(DaybyDay[[#This Row],[_Space]],DaybyDay[[#This Row],[Ret-Act-RU]]/DaybyDay[[#This Row],[Serv-Act-RU]],"")</f>
        <v/>
      </c>
      <c r="AB1274" s="50" t="str">
        <f>IF(DaybyDay[[#This Row],[_Space]],DaybyDay[[#This Row],[RETPEN-Act]]/DaybyDay[[#This Row],[RETPEN-Bud]],"")</f>
        <v/>
      </c>
      <c r="AC1274" s="37" t="str">
        <f>IF(DaybyDay[[#This Row],[_Space]],DaybyDay[[#This Row],[Ret-Bud-RU]]/DaybyDay[[#This Row],[Serv-Bud-RU]],"")</f>
        <v/>
      </c>
      <c r="AD1274" s="37" t="str">
        <f>IF(DaybyDay[[#This Row],[_Space]],DaybyDay[[#This Row],[Ret-LY-RU]]/DaybyDay[[#This Row],[Serv-LY-RU]],"")</f>
        <v/>
      </c>
      <c r="AE1274" s="30">
        <f>WEEKDAY(DaybyDay[[#This Row],[LY-Date]])</f>
        <v>1</v>
      </c>
      <c r="AF1274" s="38">
        <f>$E$2+_xlfn.DAYS(DaybyDay[[#This Row],[Date]],minDate)</f>
        <v>43639</v>
      </c>
      <c r="AG1274" s="39" cm="1">
        <f t="array" ref="AG1274">IFERROR(INDEX(DaybyDay[],DaybyDay[[#This Row],[FORM_MATCH_HELPER]],8),"")</f>
        <v>33</v>
      </c>
      <c r="AH1274" s="39" cm="1">
        <f t="array" ref="AH1274">IFERROR(INDEX(DaybyDay[],DaybyDay[[#This Row],[FORM_MATCH_HELPER]],10),"")</f>
        <v>5582.95</v>
      </c>
      <c r="AI1274" s="39" cm="1">
        <f t="array" ref="AI1274">IFERROR(INDEX(DaybyDay[],DaybyDay[[#This Row],[FORM_MATCH_HELPER]],12),"")</f>
        <v>948</v>
      </c>
      <c r="AJ1274" s="32">
        <f>IFERROR(DaybyDay[[#This Row],[Serv-LY-RU]]+DaybyDay[[#This Row],[Ret-LY-RU]],"")</f>
        <v>1079225.6699999997</v>
      </c>
      <c r="AK12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1072173.5800461229</v>
      </c>
      <c r="AL1274" s="77"/>
      <c r="AM1274" s="40" t="str">
        <f>IF(DaybyDay[[#This Row],[Admin Hours]]&gt;0,DaybyDay[[#This Row],[Admin Hours]]*$AM$2+$AM$3,"")</f>
        <v/>
      </c>
      <c r="AN1274" s="40">
        <f>SUMIFS(DaybyDay[Est-Admin-Payroll],DaybyDay[Date],"&gt;="&amp;$C$5,DaybyDay[RowYear],"&gt;="&amp;$C$4,DaybyDay[Date],"&lt;="&amp;DaybyDay[[#This Row],[Date]])</f>
        <v>13941.779999999997</v>
      </c>
      <c r="AO1274" s="41" t="str">
        <f>IF(AND(DaybyDay[[#This Row],[_Space]],ISNUMBER(DaybyDay[[#This Row],[Admin Hours]])),DaybyDay[[#This Row],[Est-Admin-Payroll]]/(DaybyDay[[#This Row],[Service-Actuals]]+DaybyDay[[#This Row],[Retail-Actuals]]),"")</f>
        <v/>
      </c>
      <c r="AP1274" s="41">
        <f>DaybyDay[[#This Row],[Estimated-Payroll-Rollup]]/DaybyDay[[#This Row],[Simple-Forecast]]</f>
        <v>1.3003286277022651E-2</v>
      </c>
      <c r="AQ12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208203.82332247501</v>
      </c>
      <c r="AR1274" s="77"/>
      <c r="AS1274" s="40" t="str">
        <f>IF(DaybyDay[[#This Row],[Retail Hours]]&gt;0,DaybyDay[[#This Row],[Retail Hours]]*$AS$2,"")</f>
        <v/>
      </c>
      <c r="AT1274" s="40">
        <f>SUMIFS(DaybyDay[Est-Retail-Payroll],DaybyDay[Date],"&gt;="&amp;$C$5,DaybyDay[RowYear],"&gt;="&amp;$C$4,DaybyDay[Date],"&lt;="&amp;DaybyDay[[#This Row],[Date]])</f>
        <v>2627.1</v>
      </c>
      <c r="AU1274" s="82" t="str">
        <f>IF(AND(DaybyDay[[#This Row],[_Space]],ISNUMBER(DaybyDay[[#This Row],[Retail Hours]])),DaybyDay[[#This Row],[Est-Retail-Payroll]]/(DaybyDay[[#This Row],[Retail-Actuals]]),"")</f>
        <v/>
      </c>
      <c r="AV1274" s="82">
        <f>DaybyDay[[#This Row],[Est-Retail-PayrollRU]]/DaybyDay[[#This Row],[Simple-Forecast-Retail]]</f>
        <v>1.2617923907819092E-2</v>
      </c>
      <c r="AW1274" s="8"/>
      <c r="AX1274" s="15"/>
      <c r="AY1274" s="8"/>
    </row>
    <row r="1275" spans="3:51" hidden="1" x14ac:dyDescent="0.25">
      <c r="C1275" s="26" t="str">
        <f>Tools!$C$1</f>
        <v>Example</v>
      </c>
      <c r="D1275" s="27" t="s">
        <v>73</v>
      </c>
      <c r="E1275" s="28">
        <v>2020</v>
      </c>
      <c r="F1275" s="28">
        <f>MATCH(DaybyDay[[#This Row],[RowMonth]],Table3[SummaryMonth],0)</f>
        <v>6</v>
      </c>
      <c r="G1275" s="29">
        <f>MATCH(DaybyDay[[#This Row],[LY-Date]],DaybyDay[Date],0)</f>
        <v>905</v>
      </c>
      <c r="H1275" s="30">
        <f>WEEKDAY(DaybyDay[[#This Row],[Date]])</f>
        <v>2</v>
      </c>
      <c r="I1275" s="31">
        <v>44004</v>
      </c>
      <c r="J1275" s="74"/>
      <c r="K1275" s="32">
        <f>SUMIFS(BudgetSeasonality[365 Seasonality],BudgetSeasonality[MonthAdjustment],DaybyDay[[#This Row],[Date]])*SUMIFS(Budgets[Service-Budget],Budgets[BudgetMonth],DaybyDay[[#This Row],[RowMonth]],Budgets[BudgetYear],DaybyDay[[#This Row],[RowYear]])</f>
        <v>3700.2638089642978</v>
      </c>
      <c r="L1275" s="75"/>
      <c r="M1275" s="32">
        <f>INDEX(BudgetSeasonality[365 Seasonality],MATCH(DaybyDay[[#This Row],[Date]],BudgetSeasonality[MonthAdjustment],0))*SUMIFS(Budgets[Retail-Budget],Budgets[BudgetMonth],DaybyDay[[#This Row],[RowMonth]],Budgets[BudgetYear],DaybyDay[[#This Row],[RowYear]])</f>
        <v>952.46172780638449</v>
      </c>
      <c r="N1275" s="75"/>
      <c r="O1275" s="33">
        <f>SUMIFS(DaybyDay[Service-Budgets],DaybyDay[Date],"&gt;="&amp;$C$5,DaybyDay[RowYear],"&gt;="&amp;$C$4,DaybyDay[Date],"&lt;="&amp;DaybyDay[[#This Row],[Date]])</f>
        <v>944050.89798412484</v>
      </c>
      <c r="P1275" s="33">
        <f>SUMIFS(DaybyDay[Retail-Budgets],DaybyDay[Date],"&gt;="&amp;$C$5,DaybyDay[RowYear],"&gt;="&amp;$C$4,DaybyDay[Date],"&lt;="&amp;DaybyDay[[#This Row],[Date]])</f>
        <v>237007.70409884292</v>
      </c>
      <c r="Q1275" s="34">
        <f>SUMIFS(DaybyDay[Service-Actuals],DaybyDay[Date],"&gt;="&amp;$C$5,DaybyDay[RowYear],"&gt;="&amp;$C$4,DaybyDay[Date],"&lt;="&amp;DaybyDay[[#This Row],[Date]])</f>
        <v>385554.23</v>
      </c>
      <c r="R1275" s="34">
        <f>SUMIFS(DaybyDay[Retail-Actuals],DaybyDay[Date],"&gt;="&amp;$C$5,DaybyDay[RowYear],"&gt;="&amp;$C$4,DaybyDay[Date],"&lt;="&amp;DaybyDay[[#This Row],[Date]])</f>
        <v>88360.030000000028</v>
      </c>
      <c r="S1275" s="35">
        <f>SUMIFS(DaybyDay[Service-LY],DaybyDay[Date],"&gt;="&amp;$C$5,DaybyDay[RowYear],"&gt;="&amp;$C$4,DaybyDay[Date],"&lt;="&amp;DaybyDay[[#This Row],[Date]])</f>
        <v>872983.7799999998</v>
      </c>
      <c r="T1275" s="35">
        <f>SUMIFS(DaybyDay[Retail-LY],DaybyDay[Date],"&gt;="&amp;$C$5,DaybyDay[RowYear],"&gt;="&amp;$C$4,DaybyDay[Date],"&lt;="&amp;DaybyDay[[#This Row],[Date]])</f>
        <v>210564.68999999997</v>
      </c>
      <c r="U1275" s="32">
        <f>DaybyDay[[#This Row],[Serv-Bud-RU]]+DaybyDay[[#This Row],[Ret-Bud-RU]]</f>
        <v>1181058.6020829678</v>
      </c>
      <c r="V1275" s="32">
        <f>DaybyDay[[#This Row],[Serv-Act-RU]]+DaybyDay[[#This Row],[Ret-Act-RU]]</f>
        <v>473914.26</v>
      </c>
      <c r="W1275" s="36" t="str">
        <f>IF(DaybyDay[[#This Row],[_Space]],IFERROR(
((DaybyDay[[#This Row],[Actual-Rollup]]-DaybyDay[[#This Row],[Budget-Rollup]])/DaybyDay[[#This Row],[Budget-Rollup]]),0),"")</f>
        <v/>
      </c>
      <c r="X1275" t="b">
        <f>NOT(AND(ISBLANK(DaybyDay[[#This Row],[Appts]]),ISBLANK(DaybyDay[[#This Row],[Service-Actuals]]),ISBLANK(DaybyDay[[#This Row],[Retail-Actuals]])))</f>
        <v>0</v>
      </c>
      <c r="Y1275" s="36" t="str">
        <f>IF(DaybyDay[[#This Row],[_Space]],IFERROR(
((DaybyDay[[#This Row],[Actual-Rollup]]-DaybyDay[[#This Row],[LY-Rollup]])/DaybyDay[[#This Row],[LY-Rollup]]),0),"")</f>
        <v/>
      </c>
      <c r="Z1275"/>
      <c r="AA1275" s="37" t="str">
        <f>IF(DaybyDay[[#This Row],[_Space]],DaybyDay[[#This Row],[Ret-Act-RU]]/DaybyDay[[#This Row],[Serv-Act-RU]],"")</f>
        <v/>
      </c>
      <c r="AB1275" s="50" t="str">
        <f>IF(DaybyDay[[#This Row],[_Space]],DaybyDay[[#This Row],[RETPEN-Act]]/DaybyDay[[#This Row],[RETPEN-Bud]],"")</f>
        <v/>
      </c>
      <c r="AC1275" s="37" t="str">
        <f>IF(DaybyDay[[#This Row],[_Space]],DaybyDay[[#This Row],[Ret-Bud-RU]]/DaybyDay[[#This Row],[Serv-Bud-RU]],"")</f>
        <v/>
      </c>
      <c r="AD1275" s="37" t="str">
        <f>IF(DaybyDay[[#This Row],[_Space]],DaybyDay[[#This Row],[Ret-LY-RU]]/DaybyDay[[#This Row],[Serv-LY-RU]],"")</f>
        <v/>
      </c>
      <c r="AE1275" s="30">
        <f>WEEKDAY(DaybyDay[[#This Row],[LY-Date]])</f>
        <v>2</v>
      </c>
      <c r="AF1275" s="38">
        <f>$E$2+_xlfn.DAYS(DaybyDay[[#This Row],[Date]],minDate)</f>
        <v>43640</v>
      </c>
      <c r="AG1275" s="39" cm="1">
        <f t="array" ref="AG1275">IFERROR(INDEX(DaybyDay[],DaybyDay[[#This Row],[FORM_MATCH_HELPER]],8),"")</f>
        <v>16</v>
      </c>
      <c r="AH1275" s="39" cm="1">
        <f t="array" ref="AH1275">IFERROR(INDEX(DaybyDay[],DaybyDay[[#This Row],[FORM_MATCH_HELPER]],10),"")</f>
        <v>3106.4</v>
      </c>
      <c r="AI1275" s="39" cm="1">
        <f t="array" ref="AI1275">IFERROR(INDEX(DaybyDay[],DaybyDay[[#This Row],[FORM_MATCH_HELPER]],12),"")</f>
        <v>1216.4000000000001</v>
      </c>
      <c r="AJ1275" s="32">
        <f>IFERROR(DaybyDay[[#This Row],[Serv-LY-RU]]+DaybyDay[[#This Row],[Ret-LY-RU]],"")</f>
        <v>1083548.4699999997</v>
      </c>
      <c r="AK12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1076283.9664894566</v>
      </c>
      <c r="AL1275" s="77"/>
      <c r="AM1275" s="40" t="str">
        <f>IF(DaybyDay[[#This Row],[Admin Hours]]&gt;0,DaybyDay[[#This Row],[Admin Hours]]*$AM$2+$AM$3,"")</f>
        <v/>
      </c>
      <c r="AN1275" s="40">
        <f>SUMIFS(DaybyDay[Est-Admin-Payroll],DaybyDay[Date],"&gt;="&amp;$C$5,DaybyDay[RowYear],"&gt;="&amp;$C$4,DaybyDay[Date],"&lt;="&amp;DaybyDay[[#This Row],[Date]])</f>
        <v>13941.779999999997</v>
      </c>
      <c r="AO1275" s="41" t="str">
        <f>IF(AND(DaybyDay[[#This Row],[_Space]],ISNUMBER(DaybyDay[[#This Row],[Admin Hours]])),DaybyDay[[#This Row],[Est-Admin-Payroll]]/(DaybyDay[[#This Row],[Service-Actuals]]+DaybyDay[[#This Row],[Retail-Actuals]]),"")</f>
        <v/>
      </c>
      <c r="AP1275" s="41">
        <f>DaybyDay[[#This Row],[Estimated-Payroll-Rollup]]/DaybyDay[[#This Row],[Simple-Forecast]]</f>
        <v>1.2953626026293286E-2</v>
      </c>
      <c r="AQ12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209208.69527764665</v>
      </c>
      <c r="AR1275" s="77"/>
      <c r="AS1275" s="40" t="str">
        <f>IF(DaybyDay[[#This Row],[Retail Hours]]&gt;0,DaybyDay[[#This Row],[Retail Hours]]*$AS$2,"")</f>
        <v/>
      </c>
      <c r="AT1275" s="40">
        <f>SUMIFS(DaybyDay[Est-Retail-Payroll],DaybyDay[Date],"&gt;="&amp;$C$5,DaybyDay[RowYear],"&gt;="&amp;$C$4,DaybyDay[Date],"&lt;="&amp;DaybyDay[[#This Row],[Date]])</f>
        <v>2627.1</v>
      </c>
      <c r="AU1275" s="82" t="str">
        <f>IF(AND(DaybyDay[[#This Row],[_Space]],ISNUMBER(DaybyDay[[#This Row],[Retail Hours]])),DaybyDay[[#This Row],[Est-Retail-Payroll]]/(DaybyDay[[#This Row],[Retail-Actuals]]),"")</f>
        <v/>
      </c>
      <c r="AV1275" s="82">
        <f>DaybyDay[[#This Row],[Est-Retail-PayrollRU]]/DaybyDay[[#This Row],[Simple-Forecast-Retail]]</f>
        <v>1.2557317450469747E-2</v>
      </c>
      <c r="AW1275" s="8"/>
      <c r="AX1275" s="15"/>
      <c r="AY1275" s="8"/>
    </row>
    <row r="1276" spans="3:51" hidden="1" x14ac:dyDescent="0.25">
      <c r="C1276" s="26" t="str">
        <f>Tools!$C$1</f>
        <v>Example</v>
      </c>
      <c r="D1276" s="27" t="s">
        <v>73</v>
      </c>
      <c r="E1276" s="28">
        <v>2020</v>
      </c>
      <c r="F1276" s="28">
        <f>MATCH(DaybyDay[[#This Row],[RowMonth]],Table3[SummaryMonth],0)</f>
        <v>6</v>
      </c>
      <c r="G1276" s="29">
        <f>MATCH(DaybyDay[[#This Row],[LY-Date]],DaybyDay[Date],0)</f>
        <v>906</v>
      </c>
      <c r="H1276" s="30">
        <f>WEEKDAY(DaybyDay[[#This Row],[Date]])</f>
        <v>3</v>
      </c>
      <c r="I1276" s="31">
        <v>44005</v>
      </c>
      <c r="J1276" s="74"/>
      <c r="K1276" s="32">
        <f>SUMIFS(BudgetSeasonality[365 Seasonality],BudgetSeasonality[MonthAdjustment],DaybyDay[[#This Row],[Date]])*SUMIFS(Budgets[Service-Budget],Budgets[BudgetMonth],DaybyDay[[#This Row],[RowMonth]],Budgets[BudgetYear],DaybyDay[[#This Row],[RowYear]])</f>
        <v>3755.3524559232069</v>
      </c>
      <c r="L1276" s="75"/>
      <c r="M1276" s="32">
        <f>INDEX(BudgetSeasonality[365 Seasonality],MATCH(DaybyDay[[#This Row],[Date]],BudgetSeasonality[MonthAdjustment],0))*SUMIFS(Budgets[Retail-Budget],Budgets[BudgetMonth],DaybyDay[[#This Row],[RowMonth]],Budgets[BudgetYear],DaybyDay[[#This Row],[RowYear]])</f>
        <v>966.64175133278388</v>
      </c>
      <c r="N1276" s="75"/>
      <c r="O1276" s="33">
        <f>SUMIFS(DaybyDay[Service-Budgets],DaybyDay[Date],"&gt;="&amp;$C$5,DaybyDay[RowYear],"&gt;="&amp;$C$4,DaybyDay[Date],"&lt;="&amp;DaybyDay[[#This Row],[Date]])</f>
        <v>947806.25044004805</v>
      </c>
      <c r="P1276" s="33">
        <f>SUMIFS(DaybyDay[Retail-Budgets],DaybyDay[Date],"&gt;="&amp;$C$5,DaybyDay[RowYear],"&gt;="&amp;$C$4,DaybyDay[Date],"&lt;="&amp;DaybyDay[[#This Row],[Date]])</f>
        <v>237974.34585017571</v>
      </c>
      <c r="Q1276" s="34">
        <f>SUMIFS(DaybyDay[Service-Actuals],DaybyDay[Date],"&gt;="&amp;$C$5,DaybyDay[RowYear],"&gt;="&amp;$C$4,DaybyDay[Date],"&lt;="&amp;DaybyDay[[#This Row],[Date]])</f>
        <v>385554.23</v>
      </c>
      <c r="R1276" s="34">
        <f>SUMIFS(DaybyDay[Retail-Actuals],DaybyDay[Date],"&gt;="&amp;$C$5,DaybyDay[RowYear],"&gt;="&amp;$C$4,DaybyDay[Date],"&lt;="&amp;DaybyDay[[#This Row],[Date]])</f>
        <v>88360.030000000028</v>
      </c>
      <c r="S1276" s="35">
        <f>SUMIFS(DaybyDay[Service-LY],DaybyDay[Date],"&gt;="&amp;$C$5,DaybyDay[RowYear],"&gt;="&amp;$C$4,DaybyDay[Date],"&lt;="&amp;DaybyDay[[#This Row],[Date]])</f>
        <v>876606.17999999982</v>
      </c>
      <c r="T1276" s="35">
        <f>SUMIFS(DaybyDay[Retail-LY],DaybyDay[Date],"&gt;="&amp;$C$5,DaybyDay[RowYear],"&gt;="&amp;$C$4,DaybyDay[Date],"&lt;="&amp;DaybyDay[[#This Row],[Date]])</f>
        <v>215373.17999999996</v>
      </c>
      <c r="U1276" s="32">
        <f>DaybyDay[[#This Row],[Serv-Bud-RU]]+DaybyDay[[#This Row],[Ret-Bud-RU]]</f>
        <v>1185780.5962902238</v>
      </c>
      <c r="V1276" s="32">
        <f>DaybyDay[[#This Row],[Serv-Act-RU]]+DaybyDay[[#This Row],[Ret-Act-RU]]</f>
        <v>473914.26</v>
      </c>
      <c r="W1276" s="36" t="str">
        <f>IF(DaybyDay[[#This Row],[_Space]],IFERROR(
((DaybyDay[[#This Row],[Actual-Rollup]]-DaybyDay[[#This Row],[Budget-Rollup]])/DaybyDay[[#This Row],[Budget-Rollup]]),0),"")</f>
        <v/>
      </c>
      <c r="X1276" t="b">
        <f>NOT(AND(ISBLANK(DaybyDay[[#This Row],[Appts]]),ISBLANK(DaybyDay[[#This Row],[Service-Actuals]]),ISBLANK(DaybyDay[[#This Row],[Retail-Actuals]])))</f>
        <v>0</v>
      </c>
      <c r="Y1276" s="36" t="str">
        <f>IF(DaybyDay[[#This Row],[_Space]],IFERROR(
((DaybyDay[[#This Row],[Actual-Rollup]]-DaybyDay[[#This Row],[LY-Rollup]])/DaybyDay[[#This Row],[LY-Rollup]]),0),"")</f>
        <v/>
      </c>
      <c r="Z1276"/>
      <c r="AA1276" s="37" t="str">
        <f>IF(DaybyDay[[#This Row],[_Space]],DaybyDay[[#This Row],[Ret-Act-RU]]/DaybyDay[[#This Row],[Serv-Act-RU]],"")</f>
        <v/>
      </c>
      <c r="AB1276" s="50" t="str">
        <f>IF(DaybyDay[[#This Row],[_Space]],DaybyDay[[#This Row],[RETPEN-Act]]/DaybyDay[[#This Row],[RETPEN-Bud]],"")</f>
        <v/>
      </c>
      <c r="AC1276" s="37" t="str">
        <f>IF(DaybyDay[[#This Row],[_Space]],DaybyDay[[#This Row],[Ret-Bud-RU]]/DaybyDay[[#This Row],[Serv-Bud-RU]],"")</f>
        <v/>
      </c>
      <c r="AD1276" s="37" t="str">
        <f>IF(DaybyDay[[#This Row],[_Space]],DaybyDay[[#This Row],[Ret-LY-RU]]/DaybyDay[[#This Row],[Serv-LY-RU]],"")</f>
        <v/>
      </c>
      <c r="AE1276" s="30">
        <f>WEEKDAY(DaybyDay[[#This Row],[LY-Date]])</f>
        <v>3</v>
      </c>
      <c r="AF1276" s="38">
        <f>$E$2+_xlfn.DAYS(DaybyDay[[#This Row],[Date]],minDate)</f>
        <v>43641</v>
      </c>
      <c r="AG1276" s="39" cm="1">
        <f t="array" ref="AG1276">IFERROR(INDEX(DaybyDay[],DaybyDay[[#This Row],[FORM_MATCH_HELPER]],8),"")</f>
        <v>16</v>
      </c>
      <c r="AH1276" s="39" cm="1">
        <f t="array" ref="AH1276">IFERROR(INDEX(DaybyDay[],DaybyDay[[#This Row],[FORM_MATCH_HELPER]],10),"")</f>
        <v>3622.3999999999996</v>
      </c>
      <c r="AI1276" s="39" cm="1">
        <f t="array" ref="AI1276">IFERROR(INDEX(DaybyDay[],DaybyDay[[#This Row],[FORM_MATCH_HELPER]],12),"")</f>
        <v>4808.49</v>
      </c>
      <c r="AJ1276" s="32">
        <f>IFERROR(DaybyDay[[#This Row],[Serv-LY-RU]]+DaybyDay[[#This Row],[Ret-LY-RU]],"")</f>
        <v>1091979.3599999999</v>
      </c>
      <c r="AK12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1082449.2826161706</v>
      </c>
      <c r="AL1276" s="77"/>
      <c r="AM1276" s="40" t="str">
        <f>IF(DaybyDay[[#This Row],[Admin Hours]]&gt;0,DaybyDay[[#This Row],[Admin Hours]]*$AM$2+$AM$3,"")</f>
        <v/>
      </c>
      <c r="AN1276" s="40">
        <f>SUMIFS(DaybyDay[Est-Admin-Payroll],DaybyDay[Date],"&gt;="&amp;$C$5,DaybyDay[RowYear],"&gt;="&amp;$C$4,DaybyDay[Date],"&lt;="&amp;DaybyDay[[#This Row],[Date]])</f>
        <v>13941.779999999997</v>
      </c>
      <c r="AO1276" s="41" t="str">
        <f>IF(AND(DaybyDay[[#This Row],[_Space]],ISNUMBER(DaybyDay[[#This Row],[Admin Hours]])),DaybyDay[[#This Row],[Est-Admin-Payroll]]/(DaybyDay[[#This Row],[Service-Actuals]]+DaybyDay[[#This Row],[Retail-Actuals]]),"")</f>
        <v/>
      </c>
      <c r="AP1276" s="41">
        <f>DaybyDay[[#This Row],[Estimated-Payroll-Rollup]]/DaybyDay[[#This Row],[Simple-Forecast]]</f>
        <v>1.2879845941884798E-2</v>
      </c>
      <c r="AQ12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211990.65439351357</v>
      </c>
      <c r="AR1276" s="77"/>
      <c r="AS1276" s="40" t="str">
        <f>IF(DaybyDay[[#This Row],[Retail Hours]]&gt;0,DaybyDay[[#This Row],[Retail Hours]]*$AS$2,"")</f>
        <v/>
      </c>
      <c r="AT1276" s="40">
        <f>SUMIFS(DaybyDay[Est-Retail-Payroll],DaybyDay[Date],"&gt;="&amp;$C$5,DaybyDay[RowYear],"&gt;="&amp;$C$4,DaybyDay[Date],"&lt;="&amp;DaybyDay[[#This Row],[Date]])</f>
        <v>2627.1</v>
      </c>
      <c r="AU1276" s="82" t="str">
        <f>IF(AND(DaybyDay[[#This Row],[_Space]],ISNUMBER(DaybyDay[[#This Row],[Retail Hours]])),DaybyDay[[#This Row],[Est-Retail-Payroll]]/(DaybyDay[[#This Row],[Retail-Actuals]]),"")</f>
        <v/>
      </c>
      <c r="AV1276" s="82">
        <f>DaybyDay[[#This Row],[Est-Retail-PayrollRU]]/DaybyDay[[#This Row],[Simple-Forecast-Retail]]</f>
        <v>1.2392527432475264E-2</v>
      </c>
      <c r="AW1276" s="8"/>
      <c r="AX1276" s="15"/>
      <c r="AY1276" s="8"/>
    </row>
    <row r="1277" spans="3:51" hidden="1" x14ac:dyDescent="0.25">
      <c r="C1277" s="26" t="str">
        <f>Tools!$C$1</f>
        <v>Example</v>
      </c>
      <c r="D1277" s="27" t="s">
        <v>73</v>
      </c>
      <c r="E1277" s="28">
        <v>2020</v>
      </c>
      <c r="F1277" s="28">
        <f>MATCH(DaybyDay[[#This Row],[RowMonth]],Table3[SummaryMonth],0)</f>
        <v>6</v>
      </c>
      <c r="G1277" s="29">
        <f>MATCH(DaybyDay[[#This Row],[LY-Date]],DaybyDay[Date],0)</f>
        <v>907</v>
      </c>
      <c r="H1277" s="30">
        <f>WEEKDAY(DaybyDay[[#This Row],[Date]])</f>
        <v>4</v>
      </c>
      <c r="I1277" s="31">
        <v>44006</v>
      </c>
      <c r="J1277" s="74"/>
      <c r="K1277" s="32">
        <f>SUMIFS(BudgetSeasonality[365 Seasonality],BudgetSeasonality[MonthAdjustment],DaybyDay[[#This Row],[Date]])*SUMIFS(Budgets[Service-Budget],Budgets[BudgetMonth],DaybyDay[[#This Row],[RowMonth]],Budgets[BudgetYear],DaybyDay[[#This Row],[RowYear]])</f>
        <v>4284.4082676323278</v>
      </c>
      <c r="L1277" s="75"/>
      <c r="M1277" s="32">
        <f>INDEX(BudgetSeasonality[365 Seasonality],MATCH(DaybyDay[[#This Row],[Date]],BudgetSeasonality[MonthAdjustment],0))*SUMIFS(Budgets[Retail-Budget],Budgets[BudgetMonth],DaybyDay[[#This Row],[RowMonth]],Budgets[BudgetYear],DaybyDay[[#This Row],[RowYear]])</f>
        <v>1102.822693703896</v>
      </c>
      <c r="N1277" s="75"/>
      <c r="O1277" s="33">
        <f>SUMIFS(DaybyDay[Service-Budgets],DaybyDay[Date],"&gt;="&amp;$C$5,DaybyDay[RowYear],"&gt;="&amp;$C$4,DaybyDay[Date],"&lt;="&amp;DaybyDay[[#This Row],[Date]])</f>
        <v>952090.65870768041</v>
      </c>
      <c r="P1277" s="33">
        <f>SUMIFS(DaybyDay[Retail-Budgets],DaybyDay[Date],"&gt;="&amp;$C$5,DaybyDay[RowYear],"&gt;="&amp;$C$4,DaybyDay[Date],"&lt;="&amp;DaybyDay[[#This Row],[Date]])</f>
        <v>239077.16854387961</v>
      </c>
      <c r="Q1277" s="34">
        <f>SUMIFS(DaybyDay[Service-Actuals],DaybyDay[Date],"&gt;="&amp;$C$5,DaybyDay[RowYear],"&gt;="&amp;$C$4,DaybyDay[Date],"&lt;="&amp;DaybyDay[[#This Row],[Date]])</f>
        <v>385554.23</v>
      </c>
      <c r="R1277" s="34">
        <f>SUMIFS(DaybyDay[Retail-Actuals],DaybyDay[Date],"&gt;="&amp;$C$5,DaybyDay[RowYear],"&gt;="&amp;$C$4,DaybyDay[Date],"&lt;="&amp;DaybyDay[[#This Row],[Date]])</f>
        <v>88360.030000000028</v>
      </c>
      <c r="S1277" s="35">
        <f>SUMIFS(DaybyDay[Service-LY],DaybyDay[Date],"&gt;="&amp;$C$5,DaybyDay[RowYear],"&gt;="&amp;$C$4,DaybyDay[Date],"&lt;="&amp;DaybyDay[[#This Row],[Date]])</f>
        <v>880117.34999999986</v>
      </c>
      <c r="T1277" s="35">
        <f>SUMIFS(DaybyDay[Retail-LY],DaybyDay[Date],"&gt;="&amp;$C$5,DaybyDay[RowYear],"&gt;="&amp;$C$4,DaybyDay[Date],"&lt;="&amp;DaybyDay[[#This Row],[Date]])</f>
        <v>216459.87999999998</v>
      </c>
      <c r="U1277" s="32">
        <f>DaybyDay[[#This Row],[Serv-Bud-RU]]+DaybyDay[[#This Row],[Ret-Bud-RU]]</f>
        <v>1191167.8272515601</v>
      </c>
      <c r="V1277" s="32">
        <f>DaybyDay[[#This Row],[Serv-Act-RU]]+DaybyDay[[#This Row],[Ret-Act-RU]]</f>
        <v>473914.26</v>
      </c>
      <c r="W1277" s="36" t="str">
        <f>IF(DaybyDay[[#This Row],[_Space]],IFERROR(
((DaybyDay[[#This Row],[Actual-Rollup]]-DaybyDay[[#This Row],[Budget-Rollup]])/DaybyDay[[#This Row],[Budget-Rollup]]),0),"")</f>
        <v/>
      </c>
      <c r="X1277" t="b">
        <f>NOT(AND(ISBLANK(DaybyDay[[#This Row],[Appts]]),ISBLANK(DaybyDay[[#This Row],[Service-Actuals]]),ISBLANK(DaybyDay[[#This Row],[Retail-Actuals]])))</f>
        <v>0</v>
      </c>
      <c r="Y1277" s="36" t="str">
        <f>IF(DaybyDay[[#This Row],[_Space]],IFERROR(
((DaybyDay[[#This Row],[Actual-Rollup]]-DaybyDay[[#This Row],[LY-Rollup]])/DaybyDay[[#This Row],[LY-Rollup]]),0),"")</f>
        <v/>
      </c>
      <c r="Z1277"/>
      <c r="AA1277" s="37" t="str">
        <f>IF(DaybyDay[[#This Row],[_Space]],DaybyDay[[#This Row],[Ret-Act-RU]]/DaybyDay[[#This Row],[Serv-Act-RU]],"")</f>
        <v/>
      </c>
      <c r="AB1277" s="50" t="str">
        <f>IF(DaybyDay[[#This Row],[_Space]],DaybyDay[[#This Row],[RETPEN-Act]]/DaybyDay[[#This Row],[RETPEN-Bud]],"")</f>
        <v/>
      </c>
      <c r="AC1277" s="37" t="str">
        <f>IF(DaybyDay[[#This Row],[_Space]],DaybyDay[[#This Row],[Ret-Bud-RU]]/DaybyDay[[#This Row],[Serv-Bud-RU]],"")</f>
        <v/>
      </c>
      <c r="AD1277" s="37" t="str">
        <f>IF(DaybyDay[[#This Row],[_Space]],DaybyDay[[#This Row],[Ret-LY-RU]]/DaybyDay[[#This Row],[Serv-LY-RU]],"")</f>
        <v/>
      </c>
      <c r="AE1277" s="30">
        <f>WEEKDAY(DaybyDay[[#This Row],[LY-Date]])</f>
        <v>4</v>
      </c>
      <c r="AF1277" s="38">
        <f>$E$2+_xlfn.DAYS(DaybyDay[[#This Row],[Date]],minDate)</f>
        <v>43642</v>
      </c>
      <c r="AG1277" s="39" cm="1">
        <f t="array" ref="AG1277">IFERROR(INDEX(DaybyDay[],DaybyDay[[#This Row],[FORM_MATCH_HELPER]],8),"")</f>
        <v>19</v>
      </c>
      <c r="AH1277" s="39" cm="1">
        <f t="array" ref="AH1277">IFERROR(INDEX(DaybyDay[],DaybyDay[[#This Row],[FORM_MATCH_HELPER]],10),"")</f>
        <v>3511.17</v>
      </c>
      <c r="AI1277" s="39" cm="1">
        <f t="array" ref="AI1277">IFERROR(INDEX(DaybyDay[],DaybyDay[[#This Row],[FORM_MATCH_HELPER]],12),"")</f>
        <v>1086.7</v>
      </c>
      <c r="AJ1277" s="32">
        <f>IFERROR(DaybyDay[[#This Row],[Serv-LY-RU]]+DaybyDay[[#This Row],[Ret-LY-RU]],"")</f>
        <v>1096577.2299999997</v>
      </c>
      <c r="AK12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1087007.715877407</v>
      </c>
      <c r="AL1277" s="77"/>
      <c r="AM1277" s="40" t="str">
        <f>IF(DaybyDay[[#This Row],[Admin Hours]]&gt;0,DaybyDay[[#This Row],[Admin Hours]]*$AM$2+$AM$3,"")</f>
        <v/>
      </c>
      <c r="AN1277" s="40">
        <f>SUMIFS(DaybyDay[Est-Admin-Payroll],DaybyDay[Date],"&gt;="&amp;$C$5,DaybyDay[RowYear],"&gt;="&amp;$C$4,DaybyDay[Date],"&lt;="&amp;DaybyDay[[#This Row],[Date]])</f>
        <v>13941.779999999997</v>
      </c>
      <c r="AO1277" s="41" t="str">
        <f>IF(AND(DaybyDay[[#This Row],[_Space]],ISNUMBER(DaybyDay[[#This Row],[Admin Hours]])),DaybyDay[[#This Row],[Est-Admin-Payroll]]/(DaybyDay[[#This Row],[Service-Actuals]]+DaybyDay[[#This Row],[Retail-Actuals]]),"")</f>
        <v/>
      </c>
      <c r="AP1277" s="41">
        <f>DaybyDay[[#This Row],[Estimated-Payroll-Rollup]]/DaybyDay[[#This Row],[Simple-Forecast]]</f>
        <v>1.282583352110479E-2</v>
      </c>
      <c r="AQ12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212995.53540400224</v>
      </c>
      <c r="AR1277" s="77"/>
      <c r="AS1277" s="40" t="str">
        <f>IF(DaybyDay[[#This Row],[Retail Hours]]&gt;0,DaybyDay[[#This Row],[Retail Hours]]*$AS$2,"")</f>
        <v/>
      </c>
      <c r="AT1277" s="40">
        <f>SUMIFS(DaybyDay[Est-Retail-Payroll],DaybyDay[Date],"&gt;="&amp;$C$5,DaybyDay[RowYear],"&gt;="&amp;$C$4,DaybyDay[Date],"&lt;="&amp;DaybyDay[[#This Row],[Date]])</f>
        <v>2627.1</v>
      </c>
      <c r="AU1277" s="82" t="str">
        <f>IF(AND(DaybyDay[[#This Row],[_Space]],ISNUMBER(DaybyDay[[#This Row],[Retail Hours]])),DaybyDay[[#This Row],[Est-Retail-Payroll]]/(DaybyDay[[#This Row],[Retail-Actuals]]),"")</f>
        <v/>
      </c>
      <c r="AV1277" s="82">
        <f>DaybyDay[[#This Row],[Est-Retail-PayrollRU]]/DaybyDay[[#This Row],[Simple-Forecast-Retail]]</f>
        <v>1.2334061345544222E-2</v>
      </c>
      <c r="AW1277" s="8"/>
      <c r="AX1277" s="15"/>
      <c r="AY1277" s="8"/>
    </row>
    <row r="1278" spans="3:51" hidden="1" x14ac:dyDescent="0.25">
      <c r="C1278" s="26" t="str">
        <f>Tools!$C$1</f>
        <v>Example</v>
      </c>
      <c r="D1278" s="27" t="s">
        <v>73</v>
      </c>
      <c r="E1278" s="28">
        <v>2020</v>
      </c>
      <c r="F1278" s="28">
        <f>MATCH(DaybyDay[[#This Row],[RowMonth]],Table3[SummaryMonth],0)</f>
        <v>6</v>
      </c>
      <c r="G1278" s="29">
        <f>MATCH(DaybyDay[[#This Row],[LY-Date]],DaybyDay[Date],0)</f>
        <v>908</v>
      </c>
      <c r="H1278" s="30">
        <f>WEEKDAY(DaybyDay[[#This Row],[Date]])</f>
        <v>5</v>
      </c>
      <c r="I1278" s="31">
        <v>44007</v>
      </c>
      <c r="J1278" s="74"/>
      <c r="K1278" s="32">
        <f>SUMIFS(BudgetSeasonality[365 Seasonality],BudgetSeasonality[MonthAdjustment],DaybyDay[[#This Row],[Date]])*SUMIFS(Budgets[Service-Budget],Budgets[BudgetMonth],DaybyDay[[#This Row],[RowMonth]],Budgets[BudgetYear],DaybyDay[[#This Row],[RowYear]])</f>
        <v>4323.6127131042003</v>
      </c>
      <c r="L1278" s="75"/>
      <c r="M1278" s="32">
        <f>INDEX(BudgetSeasonality[365 Seasonality],MATCH(DaybyDay[[#This Row],[Date]],BudgetSeasonality[MonthAdjustment],0))*SUMIFS(Budgets[Retail-Budget],Budgets[BudgetMonth],DaybyDay[[#This Row],[RowMonth]],Budgets[BudgetYear],DaybyDay[[#This Row],[RowYear]])</f>
        <v>1112.9140644276183</v>
      </c>
      <c r="N1278" s="75"/>
      <c r="O1278" s="33">
        <f>SUMIFS(DaybyDay[Service-Budgets],DaybyDay[Date],"&gt;="&amp;$C$5,DaybyDay[RowYear],"&gt;="&amp;$C$4,DaybyDay[Date],"&lt;="&amp;DaybyDay[[#This Row],[Date]])</f>
        <v>956414.27142078464</v>
      </c>
      <c r="P1278" s="33">
        <f>SUMIFS(DaybyDay[Retail-Budgets],DaybyDay[Date],"&gt;="&amp;$C$5,DaybyDay[RowYear],"&gt;="&amp;$C$4,DaybyDay[Date],"&lt;="&amp;DaybyDay[[#This Row],[Date]])</f>
        <v>240190.08260830722</v>
      </c>
      <c r="Q1278" s="34">
        <f>SUMIFS(DaybyDay[Service-Actuals],DaybyDay[Date],"&gt;="&amp;$C$5,DaybyDay[RowYear],"&gt;="&amp;$C$4,DaybyDay[Date],"&lt;="&amp;DaybyDay[[#This Row],[Date]])</f>
        <v>385554.23</v>
      </c>
      <c r="R1278" s="34">
        <f>SUMIFS(DaybyDay[Retail-Actuals],DaybyDay[Date],"&gt;="&amp;$C$5,DaybyDay[RowYear],"&gt;="&amp;$C$4,DaybyDay[Date],"&lt;="&amp;DaybyDay[[#This Row],[Date]])</f>
        <v>88360.030000000028</v>
      </c>
      <c r="S1278" s="35">
        <f>SUMIFS(DaybyDay[Service-LY],DaybyDay[Date],"&gt;="&amp;$C$5,DaybyDay[RowYear],"&gt;="&amp;$C$4,DaybyDay[Date],"&lt;="&amp;DaybyDay[[#This Row],[Date]])</f>
        <v>884035.66999999981</v>
      </c>
      <c r="T1278" s="35">
        <f>SUMIFS(DaybyDay[Retail-LY],DaybyDay[Date],"&gt;="&amp;$C$5,DaybyDay[RowYear],"&gt;="&amp;$C$4,DaybyDay[Date],"&lt;="&amp;DaybyDay[[#This Row],[Date]])</f>
        <v>216701.36</v>
      </c>
      <c r="U1278" s="32">
        <f>DaybyDay[[#This Row],[Serv-Bud-RU]]+DaybyDay[[#This Row],[Ret-Bud-RU]]</f>
        <v>1196604.3540290918</v>
      </c>
      <c r="V1278" s="32">
        <f>DaybyDay[[#This Row],[Serv-Act-RU]]+DaybyDay[[#This Row],[Ret-Act-RU]]</f>
        <v>473914.26</v>
      </c>
      <c r="W1278" s="36" t="str">
        <f>IF(DaybyDay[[#This Row],[_Space]],IFERROR(
((DaybyDay[[#This Row],[Actual-Rollup]]-DaybyDay[[#This Row],[Budget-Rollup]])/DaybyDay[[#This Row],[Budget-Rollup]]),0),"")</f>
        <v/>
      </c>
      <c r="X1278" t="b">
        <f>NOT(AND(ISBLANK(DaybyDay[[#This Row],[Appts]]),ISBLANK(DaybyDay[[#This Row],[Service-Actuals]]),ISBLANK(DaybyDay[[#This Row],[Retail-Actuals]])))</f>
        <v>0</v>
      </c>
      <c r="Y1278" s="36" t="str">
        <f>IF(DaybyDay[[#This Row],[_Space]],IFERROR(
((DaybyDay[[#This Row],[Actual-Rollup]]-DaybyDay[[#This Row],[LY-Rollup]])/DaybyDay[[#This Row],[LY-Rollup]]),0),"")</f>
        <v/>
      </c>
      <c r="Z1278"/>
      <c r="AA1278" s="37" t="str">
        <f>IF(DaybyDay[[#This Row],[_Space]],DaybyDay[[#This Row],[Ret-Act-RU]]/DaybyDay[[#This Row],[Serv-Act-RU]],"")</f>
        <v/>
      </c>
      <c r="AB1278" s="50" t="str">
        <f>IF(DaybyDay[[#This Row],[_Space]],DaybyDay[[#This Row],[RETPEN-Act]]/DaybyDay[[#This Row],[RETPEN-Bud]],"")</f>
        <v/>
      </c>
      <c r="AC1278" s="37" t="str">
        <f>IF(DaybyDay[[#This Row],[_Space]],DaybyDay[[#This Row],[Ret-Bud-RU]]/DaybyDay[[#This Row],[Serv-Bud-RU]],"")</f>
        <v/>
      </c>
      <c r="AD1278" s="37" t="str">
        <f>IF(DaybyDay[[#This Row],[_Space]],DaybyDay[[#This Row],[Ret-LY-RU]]/DaybyDay[[#This Row],[Serv-LY-RU]],"")</f>
        <v/>
      </c>
      <c r="AE1278" s="30">
        <f>WEEKDAY(DaybyDay[[#This Row],[LY-Date]])</f>
        <v>5</v>
      </c>
      <c r="AF1278" s="38">
        <f>$E$2+_xlfn.DAYS(DaybyDay[[#This Row],[Date]],minDate)</f>
        <v>43643</v>
      </c>
      <c r="AG1278" s="39" cm="1">
        <f t="array" ref="AG1278">IFERROR(INDEX(DaybyDay[],DaybyDay[[#This Row],[FORM_MATCH_HELPER]],8),"")</f>
        <v>24</v>
      </c>
      <c r="AH1278" s="39" cm="1">
        <f t="array" ref="AH1278">IFERROR(INDEX(DaybyDay[],DaybyDay[[#This Row],[FORM_MATCH_HELPER]],10),"")</f>
        <v>3918.32</v>
      </c>
      <c r="AI1278" s="39" cm="1">
        <f t="array" ref="AI1278">IFERROR(INDEX(DaybyDay[],DaybyDay[[#This Row],[FORM_MATCH_HELPER]],12),"")</f>
        <v>241.48</v>
      </c>
      <c r="AJ1278" s="32">
        <f>IFERROR(DaybyDay[[#This Row],[Serv-LY-RU]]+DaybyDay[[#This Row],[Ret-LY-RU]],"")</f>
        <v>1100737.0299999998</v>
      </c>
      <c r="AK12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1091371.1299081552</v>
      </c>
      <c r="AL1278" s="77"/>
      <c r="AM1278" s="40" t="str">
        <f>IF(DaybyDay[[#This Row],[Admin Hours]]&gt;0,DaybyDay[[#This Row],[Admin Hours]]*$AM$2+$AM$3,"")</f>
        <v/>
      </c>
      <c r="AN1278" s="40">
        <f>SUMIFS(DaybyDay[Est-Admin-Payroll],DaybyDay[Date],"&gt;="&amp;$C$5,DaybyDay[RowYear],"&gt;="&amp;$C$4,DaybyDay[Date],"&lt;="&amp;DaybyDay[[#This Row],[Date]])</f>
        <v>13941.779999999997</v>
      </c>
      <c r="AO1278" s="41" t="str">
        <f>IF(AND(DaybyDay[[#This Row],[_Space]],ISNUMBER(DaybyDay[[#This Row],[Admin Hours]])),DaybyDay[[#This Row],[Est-Admin-Payroll]]/(DaybyDay[[#This Row],[Service-Actuals]]+DaybyDay[[#This Row],[Retail-Actuals]]),"")</f>
        <v/>
      </c>
      <c r="AP1278" s="41">
        <f>DaybyDay[[#This Row],[Estimated-Payroll-Rollup]]/DaybyDay[[#This Row],[Simple-Forecast]]</f>
        <v>1.277455451948163E-2</v>
      </c>
      <c r="AQ12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213587.97883738705</v>
      </c>
      <c r="AR1278" s="77"/>
      <c r="AS1278" s="40" t="str">
        <f>IF(DaybyDay[[#This Row],[Retail Hours]]&gt;0,DaybyDay[[#This Row],[Retail Hours]]*$AS$2,"")</f>
        <v/>
      </c>
      <c r="AT1278" s="40">
        <f>SUMIFS(DaybyDay[Est-Retail-Payroll],DaybyDay[Date],"&gt;="&amp;$C$5,DaybyDay[RowYear],"&gt;="&amp;$C$4,DaybyDay[Date],"&lt;="&amp;DaybyDay[[#This Row],[Date]])</f>
        <v>2627.1</v>
      </c>
      <c r="AU1278" s="82" t="str">
        <f>IF(AND(DaybyDay[[#This Row],[_Space]],ISNUMBER(DaybyDay[[#This Row],[Retail Hours]])),DaybyDay[[#This Row],[Est-Retail-Payroll]]/(DaybyDay[[#This Row],[Retail-Actuals]]),"")</f>
        <v/>
      </c>
      <c r="AV1278" s="82">
        <f>DaybyDay[[#This Row],[Est-Retail-PayrollRU]]/DaybyDay[[#This Row],[Simple-Forecast-Retail]]</f>
        <v>1.2299849524771778E-2</v>
      </c>
      <c r="AW1278" s="8"/>
      <c r="AX1278" s="15"/>
      <c r="AY1278" s="8"/>
    </row>
    <row r="1279" spans="3:51" hidden="1" x14ac:dyDescent="0.25">
      <c r="C1279" s="26" t="str">
        <f>Tools!$C$1</f>
        <v>Example</v>
      </c>
      <c r="D1279" s="27" t="s">
        <v>73</v>
      </c>
      <c r="E1279" s="28">
        <v>2020</v>
      </c>
      <c r="F1279" s="28">
        <f>MATCH(DaybyDay[[#This Row],[RowMonth]],Table3[SummaryMonth],0)</f>
        <v>6</v>
      </c>
      <c r="G1279" s="29">
        <f>MATCH(DaybyDay[[#This Row],[LY-Date]],DaybyDay[Date],0)</f>
        <v>909</v>
      </c>
      <c r="H1279" s="30">
        <f>WEEKDAY(DaybyDay[[#This Row],[Date]])</f>
        <v>6</v>
      </c>
      <c r="I1279" s="31">
        <v>44008</v>
      </c>
      <c r="J1279" s="74"/>
      <c r="K1279" s="32">
        <f>SUMIFS(BudgetSeasonality[365 Seasonality],BudgetSeasonality[MonthAdjustment],DaybyDay[[#This Row],[Date]])*SUMIFS(Budgets[Service-Budget],Budgets[BudgetMonth],DaybyDay[[#This Row],[RowMonth]],Budgets[BudgetYear],DaybyDay[[#This Row],[RowYear]])</f>
        <v>5370.0119003992204</v>
      </c>
      <c r="L1279" s="75"/>
      <c r="M1279" s="32">
        <f>INDEX(BudgetSeasonality[365 Seasonality],MATCH(DaybyDay[[#This Row],[Date]],BudgetSeasonality[MonthAdjustment],0))*SUMIFS(Budgets[Retail-Budget],Budgets[BudgetMonth],DaybyDay[[#This Row],[RowMonth]],Budgets[BudgetYear],DaybyDay[[#This Row],[RowYear]])</f>
        <v>1382.2611243566168</v>
      </c>
      <c r="N1279" s="75"/>
      <c r="O1279" s="33">
        <f>SUMIFS(DaybyDay[Service-Budgets],DaybyDay[Date],"&gt;="&amp;$C$5,DaybyDay[RowYear],"&gt;="&amp;$C$4,DaybyDay[Date],"&lt;="&amp;DaybyDay[[#This Row],[Date]])</f>
        <v>961784.28332118387</v>
      </c>
      <c r="P1279" s="33">
        <f>SUMIFS(DaybyDay[Retail-Budgets],DaybyDay[Date],"&gt;="&amp;$C$5,DaybyDay[RowYear],"&gt;="&amp;$C$4,DaybyDay[Date],"&lt;="&amp;DaybyDay[[#This Row],[Date]])</f>
        <v>241572.34373266384</v>
      </c>
      <c r="Q1279" s="34">
        <f>SUMIFS(DaybyDay[Service-Actuals],DaybyDay[Date],"&gt;="&amp;$C$5,DaybyDay[RowYear],"&gt;="&amp;$C$4,DaybyDay[Date],"&lt;="&amp;DaybyDay[[#This Row],[Date]])</f>
        <v>385554.23</v>
      </c>
      <c r="R1279" s="34">
        <f>SUMIFS(DaybyDay[Retail-Actuals],DaybyDay[Date],"&gt;="&amp;$C$5,DaybyDay[RowYear],"&gt;="&amp;$C$4,DaybyDay[Date],"&lt;="&amp;DaybyDay[[#This Row],[Date]])</f>
        <v>88360.030000000028</v>
      </c>
      <c r="S1279" s="35">
        <f>SUMIFS(DaybyDay[Service-LY],DaybyDay[Date],"&gt;="&amp;$C$5,DaybyDay[RowYear],"&gt;="&amp;$C$4,DaybyDay[Date],"&lt;="&amp;DaybyDay[[#This Row],[Date]])</f>
        <v>889633.26999999979</v>
      </c>
      <c r="T1279" s="35">
        <f>SUMIFS(DaybyDay[Retail-LY],DaybyDay[Date],"&gt;="&amp;$C$5,DaybyDay[RowYear],"&gt;="&amp;$C$4,DaybyDay[Date],"&lt;="&amp;DaybyDay[[#This Row],[Date]])</f>
        <v>218786.86</v>
      </c>
      <c r="U1279" s="32">
        <f>DaybyDay[[#This Row],[Serv-Bud-RU]]+DaybyDay[[#This Row],[Ret-Bud-RU]]</f>
        <v>1203356.6270538478</v>
      </c>
      <c r="V1279" s="32">
        <f>DaybyDay[[#This Row],[Serv-Act-RU]]+DaybyDay[[#This Row],[Ret-Act-RU]]</f>
        <v>473914.26</v>
      </c>
      <c r="W1279" s="36" t="str">
        <f>IF(DaybyDay[[#This Row],[_Space]],IFERROR(
((DaybyDay[[#This Row],[Actual-Rollup]]-DaybyDay[[#This Row],[Budget-Rollup]])/DaybyDay[[#This Row],[Budget-Rollup]]),0),"")</f>
        <v/>
      </c>
      <c r="X1279" t="b">
        <f>NOT(AND(ISBLANK(DaybyDay[[#This Row],[Appts]]),ISBLANK(DaybyDay[[#This Row],[Service-Actuals]]),ISBLANK(DaybyDay[[#This Row],[Retail-Actuals]])))</f>
        <v>0</v>
      </c>
      <c r="Y1279" s="36" t="str">
        <f>IF(DaybyDay[[#This Row],[_Space]],IFERROR(
((DaybyDay[[#This Row],[Actual-Rollup]]-DaybyDay[[#This Row],[LY-Rollup]])/DaybyDay[[#This Row],[LY-Rollup]]),0),"")</f>
        <v/>
      </c>
      <c r="Z1279"/>
      <c r="AA1279" s="37" t="str">
        <f>IF(DaybyDay[[#This Row],[_Space]],DaybyDay[[#This Row],[Ret-Act-RU]]/DaybyDay[[#This Row],[Serv-Act-RU]],"")</f>
        <v/>
      </c>
      <c r="AB1279" s="50" t="str">
        <f>IF(DaybyDay[[#This Row],[_Space]],DaybyDay[[#This Row],[RETPEN-Act]]/DaybyDay[[#This Row],[RETPEN-Bud]],"")</f>
        <v/>
      </c>
      <c r="AC1279" s="37" t="str">
        <f>IF(DaybyDay[[#This Row],[_Space]],DaybyDay[[#This Row],[Ret-Bud-RU]]/DaybyDay[[#This Row],[Serv-Bud-RU]],"")</f>
        <v/>
      </c>
      <c r="AD1279" s="37" t="str">
        <f>IF(DaybyDay[[#This Row],[_Space]],DaybyDay[[#This Row],[Ret-LY-RU]]/DaybyDay[[#This Row],[Serv-LY-RU]],"")</f>
        <v/>
      </c>
      <c r="AE1279" s="30">
        <f>WEEKDAY(DaybyDay[[#This Row],[LY-Date]])</f>
        <v>6</v>
      </c>
      <c r="AF1279" s="38">
        <f>$E$2+_xlfn.DAYS(DaybyDay[[#This Row],[Date]],minDate)</f>
        <v>43644</v>
      </c>
      <c r="AG1279" s="39" cm="1">
        <f t="array" ref="AG1279">IFERROR(INDEX(DaybyDay[],DaybyDay[[#This Row],[FORM_MATCH_HELPER]],8),"")</f>
        <v>29</v>
      </c>
      <c r="AH1279" s="39" cm="1">
        <f t="array" ref="AH1279">IFERROR(INDEX(DaybyDay[],DaybyDay[[#This Row],[FORM_MATCH_HELPER]],10),"")</f>
        <v>5597.6</v>
      </c>
      <c r="AI1279" s="39" cm="1">
        <f t="array" ref="AI1279">IFERROR(INDEX(DaybyDay[],DaybyDay[[#This Row],[FORM_MATCH_HELPER]],12),"")</f>
        <v>2085.5</v>
      </c>
      <c r="AJ1279" s="32">
        <f>IFERROR(DaybyDay[[#This Row],[Serv-LY-RU]]+DaybyDay[[#This Row],[Ret-LY-RU]],"")</f>
        <v>1108420.1299999999</v>
      </c>
      <c r="AK12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1098031.342117598</v>
      </c>
      <c r="AL1279" s="77"/>
      <c r="AM1279" s="40" t="str">
        <f>IF(DaybyDay[[#This Row],[Admin Hours]]&gt;0,DaybyDay[[#This Row],[Admin Hours]]*$AM$2+$AM$3,"")</f>
        <v/>
      </c>
      <c r="AN1279" s="40">
        <f>SUMIFS(DaybyDay[Est-Admin-Payroll],DaybyDay[Date],"&gt;="&amp;$C$5,DaybyDay[RowYear],"&gt;="&amp;$C$4,DaybyDay[Date],"&lt;="&amp;DaybyDay[[#This Row],[Date]])</f>
        <v>13941.779999999997</v>
      </c>
      <c r="AO1279" s="41" t="str">
        <f>IF(AND(DaybyDay[[#This Row],[_Space]],ISNUMBER(DaybyDay[[#This Row],[Admin Hours]])),DaybyDay[[#This Row],[Est-Admin-Payroll]]/(DaybyDay[[#This Row],[Service-Actuals]]+DaybyDay[[#This Row],[Retail-Actuals]]),"")</f>
        <v/>
      </c>
      <c r="AP1279" s="41">
        <f>DaybyDay[[#This Row],[Estimated-Payroll-Rollup]]/DaybyDay[[#This Row],[Simple-Forecast]]</f>
        <v>1.2697069259528338E-2</v>
      </c>
      <c r="AQ12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215204.17189795515</v>
      </c>
      <c r="AR1279" s="77"/>
      <c r="AS1279" s="40" t="str">
        <f>IF(DaybyDay[[#This Row],[Retail Hours]]&gt;0,DaybyDay[[#This Row],[Retail Hours]]*$AS$2,"")</f>
        <v/>
      </c>
      <c r="AT1279" s="40">
        <f>SUMIFS(DaybyDay[Est-Retail-Payroll],DaybyDay[Date],"&gt;="&amp;$C$5,DaybyDay[RowYear],"&gt;="&amp;$C$4,DaybyDay[Date],"&lt;="&amp;DaybyDay[[#This Row],[Date]])</f>
        <v>2627.1</v>
      </c>
      <c r="AU1279" s="82" t="str">
        <f>IF(AND(DaybyDay[[#This Row],[_Space]],ISNUMBER(DaybyDay[[#This Row],[Retail Hours]])),DaybyDay[[#This Row],[Est-Retail-Payroll]]/(DaybyDay[[#This Row],[Retail-Actuals]]),"")</f>
        <v/>
      </c>
      <c r="AV1279" s="82">
        <f>DaybyDay[[#This Row],[Est-Retail-PayrollRU]]/DaybyDay[[#This Row],[Simple-Forecast-Retail]]</f>
        <v>1.220747709875118E-2</v>
      </c>
      <c r="AW1279" s="8"/>
      <c r="AX1279" s="15"/>
      <c r="AY1279" s="8"/>
    </row>
    <row r="1280" spans="3:51" hidden="1" x14ac:dyDescent="0.25">
      <c r="C1280" s="26" t="str">
        <f>Tools!$C$1</f>
        <v>Example</v>
      </c>
      <c r="D1280" s="27" t="s">
        <v>73</v>
      </c>
      <c r="E1280" s="28">
        <v>2020</v>
      </c>
      <c r="F1280" s="28">
        <f>MATCH(DaybyDay[[#This Row],[RowMonth]],Table3[SummaryMonth],0)</f>
        <v>6</v>
      </c>
      <c r="G1280" s="29">
        <f>MATCH(DaybyDay[[#This Row],[LY-Date]],DaybyDay[Date],0)</f>
        <v>910</v>
      </c>
      <c r="H1280" s="30">
        <f>WEEKDAY(DaybyDay[[#This Row],[Date]])</f>
        <v>7</v>
      </c>
      <c r="I1280" s="31">
        <v>44009</v>
      </c>
      <c r="J1280" s="74"/>
      <c r="K1280" s="32">
        <f>SUMIFS(BudgetSeasonality[365 Seasonality],BudgetSeasonality[MonthAdjustment],DaybyDay[[#This Row],[Date]])*SUMIFS(Budgets[Service-Budget],Budgets[BudgetMonth],DaybyDay[[#This Row],[RowMonth]],Budgets[BudgetYear],DaybyDay[[#This Row],[RowYear]])</f>
        <v>7684.9537575015474</v>
      </c>
      <c r="L1280" s="75"/>
      <c r="M1280" s="32">
        <f>INDEX(BudgetSeasonality[365 Seasonality],MATCH(DaybyDay[[#This Row],[Date]],BudgetSeasonality[MonthAdjustment],0))*SUMIFS(Budgets[Retail-Budget],Budgets[BudgetMonth],DaybyDay[[#This Row],[RowMonth]],Budgets[BudgetYear],DaybyDay[[#This Row],[RowYear]])</f>
        <v>1978.1358064929025</v>
      </c>
      <c r="N1280" s="75"/>
      <c r="O1280" s="33">
        <f>SUMIFS(DaybyDay[Service-Budgets],DaybyDay[Date],"&gt;="&amp;$C$5,DaybyDay[RowYear],"&gt;="&amp;$C$4,DaybyDay[Date],"&lt;="&amp;DaybyDay[[#This Row],[Date]])</f>
        <v>969469.23707868543</v>
      </c>
      <c r="P1280" s="33">
        <f>SUMIFS(DaybyDay[Retail-Budgets],DaybyDay[Date],"&gt;="&amp;$C$5,DaybyDay[RowYear],"&gt;="&amp;$C$4,DaybyDay[Date],"&lt;="&amp;DaybyDay[[#This Row],[Date]])</f>
        <v>243550.47953915675</v>
      </c>
      <c r="Q1280" s="34">
        <f>SUMIFS(DaybyDay[Service-Actuals],DaybyDay[Date],"&gt;="&amp;$C$5,DaybyDay[RowYear],"&gt;="&amp;$C$4,DaybyDay[Date],"&lt;="&amp;DaybyDay[[#This Row],[Date]])</f>
        <v>385554.23</v>
      </c>
      <c r="R1280" s="34">
        <f>SUMIFS(DaybyDay[Retail-Actuals],DaybyDay[Date],"&gt;="&amp;$C$5,DaybyDay[RowYear],"&gt;="&amp;$C$4,DaybyDay[Date],"&lt;="&amp;DaybyDay[[#This Row],[Date]])</f>
        <v>88360.030000000028</v>
      </c>
      <c r="S1280" s="35">
        <f>SUMIFS(DaybyDay[Service-LY],DaybyDay[Date],"&gt;="&amp;$C$5,DaybyDay[RowYear],"&gt;="&amp;$C$4,DaybyDay[Date],"&lt;="&amp;DaybyDay[[#This Row],[Date]])</f>
        <v>896915.66999999981</v>
      </c>
      <c r="T1280" s="35">
        <f>SUMIFS(DaybyDay[Retail-LY],DaybyDay[Date],"&gt;="&amp;$C$5,DaybyDay[RowYear],"&gt;="&amp;$C$4,DaybyDay[Date],"&lt;="&amp;DaybyDay[[#This Row],[Date]])</f>
        <v>219017.86</v>
      </c>
      <c r="U1280" s="32">
        <f>DaybyDay[[#This Row],[Serv-Bud-RU]]+DaybyDay[[#This Row],[Ret-Bud-RU]]</f>
        <v>1213019.7166178422</v>
      </c>
      <c r="V1280" s="32">
        <f>DaybyDay[[#This Row],[Serv-Act-RU]]+DaybyDay[[#This Row],[Ret-Act-RU]]</f>
        <v>473914.26</v>
      </c>
      <c r="W1280" s="36" t="str">
        <f>IF(DaybyDay[[#This Row],[_Space]],IFERROR(
((DaybyDay[[#This Row],[Actual-Rollup]]-DaybyDay[[#This Row],[Budget-Rollup]])/DaybyDay[[#This Row],[Budget-Rollup]]),0),"")</f>
        <v/>
      </c>
      <c r="X1280" t="b">
        <f>NOT(AND(ISBLANK(DaybyDay[[#This Row],[Appts]]),ISBLANK(DaybyDay[[#This Row],[Service-Actuals]]),ISBLANK(DaybyDay[[#This Row],[Retail-Actuals]])))</f>
        <v>0</v>
      </c>
      <c r="Y1280" s="36" t="str">
        <f>IF(DaybyDay[[#This Row],[_Space]],IFERROR(
((DaybyDay[[#This Row],[Actual-Rollup]]-DaybyDay[[#This Row],[LY-Rollup]])/DaybyDay[[#This Row],[LY-Rollup]]),0),"")</f>
        <v/>
      </c>
      <c r="Z1280"/>
      <c r="AA1280" s="37" t="str">
        <f>IF(DaybyDay[[#This Row],[_Space]],DaybyDay[[#This Row],[Ret-Act-RU]]/DaybyDay[[#This Row],[Serv-Act-RU]],"")</f>
        <v/>
      </c>
      <c r="AB1280" s="50" t="str">
        <f>IF(DaybyDay[[#This Row],[_Space]],DaybyDay[[#This Row],[RETPEN-Act]]/DaybyDay[[#This Row],[RETPEN-Bud]],"")</f>
        <v/>
      </c>
      <c r="AC1280" s="37" t="str">
        <f>IF(DaybyDay[[#This Row],[_Space]],DaybyDay[[#This Row],[Ret-Bud-RU]]/DaybyDay[[#This Row],[Serv-Bud-RU]],"")</f>
        <v/>
      </c>
      <c r="AD1280" s="37" t="str">
        <f>IF(DaybyDay[[#This Row],[_Space]],DaybyDay[[#This Row],[Ret-LY-RU]]/DaybyDay[[#This Row],[Serv-LY-RU]],"")</f>
        <v/>
      </c>
      <c r="AE1280" s="30">
        <f>WEEKDAY(DaybyDay[[#This Row],[LY-Date]])</f>
        <v>7</v>
      </c>
      <c r="AF1280" s="38">
        <f>$E$2+_xlfn.DAYS(DaybyDay[[#This Row],[Date]],minDate)</f>
        <v>43645</v>
      </c>
      <c r="AG1280" s="39" cm="1">
        <f t="array" ref="AG1280">IFERROR(INDEX(DaybyDay[],DaybyDay[[#This Row],[FORM_MATCH_HELPER]],8),"")</f>
        <v>28</v>
      </c>
      <c r="AH1280" s="39" cm="1">
        <f t="array" ref="AH1280">IFERROR(INDEX(DaybyDay[],DaybyDay[[#This Row],[FORM_MATCH_HELPER]],10),"")</f>
        <v>7282.4</v>
      </c>
      <c r="AI1280" s="39" cm="1">
        <f t="array" ref="AI1280">IFERROR(INDEX(DaybyDay[],DaybyDay[[#This Row],[FORM_MATCH_HELPER]],12),"")</f>
        <v>231</v>
      </c>
      <c r="AJ1280" s="32">
        <f>IFERROR(DaybyDay[[#This Row],[Serv-LY-RU]]+DaybyDay[[#This Row],[Ret-LY-RU]],"")</f>
        <v>1115933.5299999998</v>
      </c>
      <c r="AK12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1105846.0147249734</v>
      </c>
      <c r="AL1280" s="77"/>
      <c r="AM1280" s="40" t="str">
        <f>IF(DaybyDay[[#This Row],[Admin Hours]]&gt;0,DaybyDay[[#This Row],[Admin Hours]]*$AM$2+$AM$3,"")</f>
        <v/>
      </c>
      <c r="AN1280" s="40">
        <f>SUMIFS(DaybyDay[Est-Admin-Payroll],DaybyDay[Date],"&gt;="&amp;$C$5,DaybyDay[RowYear],"&gt;="&amp;$C$4,DaybyDay[Date],"&lt;="&amp;DaybyDay[[#This Row],[Date]])</f>
        <v>13941.779999999997</v>
      </c>
      <c r="AO1280" s="41" t="str">
        <f>IF(AND(DaybyDay[[#This Row],[_Space]],ISNUMBER(DaybyDay[[#This Row],[Admin Hours]])),DaybyDay[[#This Row],[Est-Admin-Payroll]]/(DaybyDay[[#This Row],[Service-Actuals]]+DaybyDay[[#This Row],[Retail-Actuals]]),"")</f>
        <v/>
      </c>
      <c r="AP1280" s="41">
        <f>DaybyDay[[#This Row],[Estimated-Payroll-Rollup]]/DaybyDay[[#This Row],[Simple-Forecast]]</f>
        <v>1.2607342988406349E-2</v>
      </c>
      <c r="AQ12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216159.47447295731</v>
      </c>
      <c r="AR1280" s="77"/>
      <c r="AS1280" s="40" t="str">
        <f>IF(DaybyDay[[#This Row],[Retail Hours]]&gt;0,DaybyDay[[#This Row],[Retail Hours]]*$AS$2,"")</f>
        <v/>
      </c>
      <c r="AT1280" s="40">
        <f>SUMIFS(DaybyDay[Est-Retail-Payroll],DaybyDay[Date],"&gt;="&amp;$C$5,DaybyDay[RowYear],"&gt;="&amp;$C$4,DaybyDay[Date],"&lt;="&amp;DaybyDay[[#This Row],[Date]])</f>
        <v>2627.1</v>
      </c>
      <c r="AU1280" s="82" t="str">
        <f>IF(AND(DaybyDay[[#This Row],[_Space]],ISNUMBER(DaybyDay[[#This Row],[Retail Hours]])),DaybyDay[[#This Row],[Est-Retail-Payroll]]/(DaybyDay[[#This Row],[Retail-Actuals]]),"")</f>
        <v/>
      </c>
      <c r="AV1280" s="82">
        <f>DaybyDay[[#This Row],[Est-Retail-PayrollRU]]/DaybyDay[[#This Row],[Simple-Forecast-Retail]]</f>
        <v>1.2153526956916542E-2</v>
      </c>
      <c r="AW1280" s="8"/>
      <c r="AX1280" s="15"/>
      <c r="AY1280" s="8"/>
    </row>
    <row r="1281" spans="3:51" hidden="1" x14ac:dyDescent="0.25">
      <c r="C1281" s="26" t="str">
        <f>Tools!$C$1</f>
        <v>Example</v>
      </c>
      <c r="D1281" s="27" t="s">
        <v>73</v>
      </c>
      <c r="E1281" s="28">
        <v>2020</v>
      </c>
      <c r="F1281" s="28">
        <f>MATCH(DaybyDay[[#This Row],[RowMonth]],Table3[SummaryMonth],0)</f>
        <v>6</v>
      </c>
      <c r="G1281" s="29">
        <f>MATCH(DaybyDay[[#This Row],[LY-Date]],DaybyDay[Date],0)</f>
        <v>911</v>
      </c>
      <c r="H1281" s="30">
        <f>WEEKDAY(DaybyDay[[#This Row],[Date]])</f>
        <v>1</v>
      </c>
      <c r="I1281" s="31">
        <v>44010</v>
      </c>
      <c r="J1281" s="74"/>
      <c r="K1281" s="32">
        <f>SUMIFS(BudgetSeasonality[365 Seasonality],BudgetSeasonality[MonthAdjustment],DaybyDay[[#This Row],[Date]])*SUMIFS(Budgets[Service-Budget],Budgets[BudgetMonth],DaybyDay[[#This Row],[RowMonth]],Budgets[BudgetYear],DaybyDay[[#This Row],[RowYear]])</f>
        <v>5818.1182310826425</v>
      </c>
      <c r="L1281" s="75"/>
      <c r="M1281" s="32">
        <f>INDEX(BudgetSeasonality[365 Seasonality],MATCH(DaybyDay[[#This Row],[Date]],BudgetSeasonality[MonthAdjustment],0))*SUMIFS(Budgets[Retail-Budget],Budgets[BudgetMonth],DaybyDay[[#This Row],[RowMonth]],Budgets[BudgetYear],DaybyDay[[#This Row],[RowYear]])</f>
        <v>1497.6053679020988</v>
      </c>
      <c r="N1281" s="75"/>
      <c r="O1281" s="33">
        <f>SUMIFS(DaybyDay[Service-Budgets],DaybyDay[Date],"&gt;="&amp;$C$5,DaybyDay[RowYear],"&gt;="&amp;$C$4,DaybyDay[Date],"&lt;="&amp;DaybyDay[[#This Row],[Date]])</f>
        <v>975287.35530976811</v>
      </c>
      <c r="P1281" s="33">
        <f>SUMIFS(DaybyDay[Retail-Budgets],DaybyDay[Date],"&gt;="&amp;$C$5,DaybyDay[RowYear],"&gt;="&amp;$C$4,DaybyDay[Date],"&lt;="&amp;DaybyDay[[#This Row],[Date]])</f>
        <v>245048.08490705886</v>
      </c>
      <c r="Q1281" s="34">
        <f>SUMIFS(DaybyDay[Service-Actuals],DaybyDay[Date],"&gt;="&amp;$C$5,DaybyDay[RowYear],"&gt;="&amp;$C$4,DaybyDay[Date],"&lt;="&amp;DaybyDay[[#This Row],[Date]])</f>
        <v>385554.23</v>
      </c>
      <c r="R1281" s="34">
        <f>SUMIFS(DaybyDay[Retail-Actuals],DaybyDay[Date],"&gt;="&amp;$C$5,DaybyDay[RowYear],"&gt;="&amp;$C$4,DaybyDay[Date],"&lt;="&amp;DaybyDay[[#This Row],[Date]])</f>
        <v>88360.030000000028</v>
      </c>
      <c r="S1281" s="35">
        <f>SUMIFS(DaybyDay[Service-LY],DaybyDay[Date],"&gt;="&amp;$C$5,DaybyDay[RowYear],"&gt;="&amp;$C$4,DaybyDay[Date],"&lt;="&amp;DaybyDay[[#This Row],[Date]])</f>
        <v>899658.26999999979</v>
      </c>
      <c r="T1281" s="35">
        <f>SUMIFS(DaybyDay[Retail-LY],DaybyDay[Date],"&gt;="&amp;$C$5,DaybyDay[RowYear],"&gt;="&amp;$C$4,DaybyDay[Date],"&lt;="&amp;DaybyDay[[#This Row],[Date]])</f>
        <v>219288.86</v>
      </c>
      <c r="U1281" s="32">
        <f>DaybyDay[[#This Row],[Serv-Bud-RU]]+DaybyDay[[#This Row],[Ret-Bud-RU]]</f>
        <v>1220335.440216827</v>
      </c>
      <c r="V1281" s="32">
        <f>DaybyDay[[#This Row],[Serv-Act-RU]]+DaybyDay[[#This Row],[Ret-Act-RU]]</f>
        <v>473914.26</v>
      </c>
      <c r="W1281" s="36" t="str">
        <f>IF(DaybyDay[[#This Row],[_Space]],IFERROR(
((DaybyDay[[#This Row],[Actual-Rollup]]-DaybyDay[[#This Row],[Budget-Rollup]])/DaybyDay[[#This Row],[Budget-Rollup]]),0),"")</f>
        <v/>
      </c>
      <c r="X1281" t="b">
        <f>NOT(AND(ISBLANK(DaybyDay[[#This Row],[Appts]]),ISBLANK(DaybyDay[[#This Row],[Service-Actuals]]),ISBLANK(DaybyDay[[#This Row],[Retail-Actuals]])))</f>
        <v>0</v>
      </c>
      <c r="Y1281" s="36" t="str">
        <f>IF(DaybyDay[[#This Row],[_Space]],IFERROR(
((DaybyDay[[#This Row],[Actual-Rollup]]-DaybyDay[[#This Row],[LY-Rollup]])/DaybyDay[[#This Row],[LY-Rollup]]),0),"")</f>
        <v/>
      </c>
      <c r="Z1281"/>
      <c r="AA1281" s="37" t="str">
        <f>IF(DaybyDay[[#This Row],[_Space]],DaybyDay[[#This Row],[Ret-Act-RU]]/DaybyDay[[#This Row],[Serv-Act-RU]],"")</f>
        <v/>
      </c>
      <c r="AB1281" s="50" t="str">
        <f>IF(DaybyDay[[#This Row],[_Space]],DaybyDay[[#This Row],[RETPEN-Act]]/DaybyDay[[#This Row],[RETPEN-Bud]],"")</f>
        <v/>
      </c>
      <c r="AC1281" s="37" t="str">
        <f>IF(DaybyDay[[#This Row],[_Space]],DaybyDay[[#This Row],[Ret-Bud-RU]]/DaybyDay[[#This Row],[Serv-Bud-RU]],"")</f>
        <v/>
      </c>
      <c r="AD1281" s="37" t="str">
        <f>IF(DaybyDay[[#This Row],[_Space]],DaybyDay[[#This Row],[Ret-LY-RU]]/DaybyDay[[#This Row],[Serv-LY-RU]],"")</f>
        <v/>
      </c>
      <c r="AE1281" s="30">
        <f>WEEKDAY(DaybyDay[[#This Row],[LY-Date]])</f>
        <v>1</v>
      </c>
      <c r="AF1281" s="38">
        <f>$E$2+_xlfn.DAYS(DaybyDay[[#This Row],[Date]],minDate)</f>
        <v>43646</v>
      </c>
      <c r="AG1281" s="39" cm="1">
        <f t="array" ref="AG1281">IFERROR(INDEX(DaybyDay[],DaybyDay[[#This Row],[FORM_MATCH_HELPER]],8),"")</f>
        <v>13</v>
      </c>
      <c r="AH1281" s="39" cm="1">
        <f t="array" ref="AH1281">IFERROR(INDEX(DaybyDay[],DaybyDay[[#This Row],[FORM_MATCH_HELPER]],10),"")</f>
        <v>2742.6</v>
      </c>
      <c r="AI1281" s="39" cm="1">
        <f t="array" ref="AI1281">IFERROR(INDEX(DaybyDay[],DaybyDay[[#This Row],[FORM_MATCH_HELPER]],12),"")</f>
        <v>271</v>
      </c>
      <c r="AJ1281" s="32">
        <f>IFERROR(DaybyDay[[#This Row],[Serv-LY-RU]]+DaybyDay[[#This Row],[Ret-LY-RU]],"")</f>
        <v>1118947.1299999999</v>
      </c>
      <c r="AK12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1110443.6280346797</v>
      </c>
      <c r="AL1281" s="77"/>
      <c r="AM1281" s="40" t="str">
        <f>IF(DaybyDay[[#This Row],[Admin Hours]]&gt;0,DaybyDay[[#This Row],[Admin Hours]]*$AM$2+$AM$3,"")</f>
        <v/>
      </c>
      <c r="AN1281" s="40">
        <f>SUMIFS(DaybyDay[Est-Admin-Payroll],DaybyDay[Date],"&gt;="&amp;$C$5,DaybyDay[RowYear],"&gt;="&amp;$C$4,DaybyDay[Date],"&lt;="&amp;DaybyDay[[#This Row],[Date]])</f>
        <v>13941.779999999997</v>
      </c>
      <c r="AO1281" s="41" t="str">
        <f>IF(AND(DaybyDay[[#This Row],[_Space]],ISNUMBER(DaybyDay[[#This Row],[Admin Hours]])),DaybyDay[[#This Row],[Est-Admin-Payroll]]/(DaybyDay[[#This Row],[Service-Actuals]]+DaybyDay[[#This Row],[Retail-Actuals]]),"")</f>
        <v/>
      </c>
      <c r="AP1281" s="41">
        <f>DaybyDay[[#This Row],[Estimated-Payroll-Rollup]]/DaybyDay[[#This Row],[Simple-Forecast]]</f>
        <v>1.25551443117152E-2</v>
      </c>
      <c r="AQ12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216930.10284064797</v>
      </c>
      <c r="AR1281" s="77"/>
      <c r="AS1281" s="40" t="str">
        <f>IF(DaybyDay[[#This Row],[Retail Hours]]&gt;0,DaybyDay[[#This Row],[Retail Hours]]*$AS$2,"")</f>
        <v/>
      </c>
      <c r="AT1281" s="40">
        <f>SUMIFS(DaybyDay[Est-Retail-Payroll],DaybyDay[Date],"&gt;="&amp;$C$5,DaybyDay[RowYear],"&gt;="&amp;$C$4,DaybyDay[Date],"&lt;="&amp;DaybyDay[[#This Row],[Date]])</f>
        <v>2627.1</v>
      </c>
      <c r="AU1281" s="82" t="str">
        <f>IF(AND(DaybyDay[[#This Row],[_Space]],ISNUMBER(DaybyDay[[#This Row],[Retail Hours]])),DaybyDay[[#This Row],[Est-Retail-Payroll]]/(DaybyDay[[#This Row],[Retail-Actuals]]),"")</f>
        <v/>
      </c>
      <c r="AV1281" s="82">
        <f>DaybyDay[[#This Row],[Est-Retail-PayrollRU]]/DaybyDay[[#This Row],[Simple-Forecast-Retail]]</f>
        <v>1.2110352438867412E-2</v>
      </c>
      <c r="AW1281" s="8"/>
      <c r="AX1281" s="15"/>
      <c r="AY1281" s="8"/>
    </row>
    <row r="1282" spans="3:51" hidden="1" x14ac:dyDescent="0.25">
      <c r="C1282" s="26" t="str">
        <f>Tools!$C$1</f>
        <v>Example</v>
      </c>
      <c r="D1282" s="27" t="s">
        <v>73</v>
      </c>
      <c r="E1282" s="28">
        <v>2020</v>
      </c>
      <c r="F1282" s="28">
        <f>MATCH(DaybyDay[[#This Row],[RowMonth]],Table3[SummaryMonth],0)</f>
        <v>6</v>
      </c>
      <c r="G1282" s="29">
        <f>MATCH(DaybyDay[[#This Row],[LY-Date]],DaybyDay[Date],0)</f>
        <v>912</v>
      </c>
      <c r="H1282" s="30">
        <f>WEEKDAY(DaybyDay[[#This Row],[Date]])</f>
        <v>2</v>
      </c>
      <c r="I1282" s="31">
        <v>44011</v>
      </c>
      <c r="J1282" s="74"/>
      <c r="K1282" s="32">
        <f>SUMIFS(BudgetSeasonality[365 Seasonality],BudgetSeasonality[MonthAdjustment],DaybyDay[[#This Row],[Date]])*SUMIFS(Budgets[Service-Budget],Budgets[BudgetMonth],DaybyDay[[#This Row],[RowMonth]],Budgets[BudgetYear],DaybyDay[[#This Row],[RowYear]])</f>
        <v>3138.7010881340975</v>
      </c>
      <c r="L1282" s="75"/>
      <c r="M1282" s="32">
        <f>INDEX(BudgetSeasonality[365 Seasonality],MATCH(DaybyDay[[#This Row],[Date]],BudgetSeasonality[MonthAdjustment],0))*SUMIFS(Budgets[Retail-Budget],Budgets[BudgetMonth],DaybyDay[[#This Row],[RowMonth]],Budgets[BudgetYear],DaybyDay[[#This Row],[RowYear]])</f>
        <v>807.91338558878022</v>
      </c>
      <c r="N1282" s="75"/>
      <c r="O1282" s="33">
        <f>SUMIFS(DaybyDay[Service-Budgets],DaybyDay[Date],"&gt;="&amp;$C$5,DaybyDay[RowYear],"&gt;="&amp;$C$4,DaybyDay[Date],"&lt;="&amp;DaybyDay[[#This Row],[Date]])</f>
        <v>978426.0563979022</v>
      </c>
      <c r="P1282" s="33">
        <f>SUMIFS(DaybyDay[Retail-Budgets],DaybyDay[Date],"&gt;="&amp;$C$5,DaybyDay[RowYear],"&gt;="&amp;$C$4,DaybyDay[Date],"&lt;="&amp;DaybyDay[[#This Row],[Date]])</f>
        <v>245855.99829264765</v>
      </c>
      <c r="Q1282" s="34">
        <f>SUMIFS(DaybyDay[Service-Actuals],DaybyDay[Date],"&gt;="&amp;$C$5,DaybyDay[RowYear],"&gt;="&amp;$C$4,DaybyDay[Date],"&lt;="&amp;DaybyDay[[#This Row],[Date]])</f>
        <v>385554.23</v>
      </c>
      <c r="R1282" s="34">
        <f>SUMIFS(DaybyDay[Retail-Actuals],DaybyDay[Date],"&gt;="&amp;$C$5,DaybyDay[RowYear],"&gt;="&amp;$C$4,DaybyDay[Date],"&lt;="&amp;DaybyDay[[#This Row],[Date]])</f>
        <v>88360.030000000028</v>
      </c>
      <c r="S1282" s="35">
        <f>SUMIFS(DaybyDay[Service-LY],DaybyDay[Date],"&gt;="&amp;$C$5,DaybyDay[RowYear],"&gt;="&amp;$C$4,DaybyDay[Date],"&lt;="&amp;DaybyDay[[#This Row],[Date]])</f>
        <v>902780.66999999981</v>
      </c>
      <c r="T1282" s="35">
        <f>SUMIFS(DaybyDay[Retail-LY],DaybyDay[Date],"&gt;="&amp;$C$5,DaybyDay[RowYear],"&gt;="&amp;$C$4,DaybyDay[Date],"&lt;="&amp;DaybyDay[[#This Row],[Date]])</f>
        <v>219555.86</v>
      </c>
      <c r="U1282" s="32">
        <f>DaybyDay[[#This Row],[Serv-Bud-RU]]+DaybyDay[[#This Row],[Ret-Bud-RU]]</f>
        <v>1224282.0546905498</v>
      </c>
      <c r="V1282" s="32">
        <f>DaybyDay[[#This Row],[Serv-Act-RU]]+DaybyDay[[#This Row],[Ret-Act-RU]]</f>
        <v>473914.26</v>
      </c>
      <c r="W1282" s="36" t="str">
        <f>IF(DaybyDay[[#This Row],[_Space]],IFERROR(
((DaybyDay[[#This Row],[Actual-Rollup]]-DaybyDay[[#This Row],[Budget-Rollup]])/DaybyDay[[#This Row],[Budget-Rollup]]),0),"")</f>
        <v/>
      </c>
      <c r="X1282" t="b">
        <f>NOT(AND(ISBLANK(DaybyDay[[#This Row],[Appts]]),ISBLANK(DaybyDay[[#This Row],[Service-Actuals]]),ISBLANK(DaybyDay[[#This Row],[Retail-Actuals]])))</f>
        <v>0</v>
      </c>
      <c r="Y1282" s="36" t="str">
        <f>IF(DaybyDay[[#This Row],[_Space]],IFERROR(
((DaybyDay[[#This Row],[Actual-Rollup]]-DaybyDay[[#This Row],[LY-Rollup]])/DaybyDay[[#This Row],[LY-Rollup]]),0),"")</f>
        <v/>
      </c>
      <c r="Z1282"/>
      <c r="AA1282" s="37" t="str">
        <f>IF(DaybyDay[[#This Row],[_Space]],DaybyDay[[#This Row],[Ret-Act-RU]]/DaybyDay[[#This Row],[Serv-Act-RU]],"")</f>
        <v/>
      </c>
      <c r="AB1282" s="50" t="str">
        <f>IF(DaybyDay[[#This Row],[_Space]],DaybyDay[[#This Row],[RETPEN-Act]]/DaybyDay[[#This Row],[RETPEN-Bud]],"")</f>
        <v/>
      </c>
      <c r="AC1282" s="37" t="str">
        <f>IF(DaybyDay[[#This Row],[_Space]],DaybyDay[[#This Row],[Ret-Bud-RU]]/DaybyDay[[#This Row],[Serv-Bud-RU]],"")</f>
        <v/>
      </c>
      <c r="AD1282" s="37" t="str">
        <f>IF(DaybyDay[[#This Row],[_Space]],DaybyDay[[#This Row],[Ret-LY-RU]]/DaybyDay[[#This Row],[Serv-LY-RU]],"")</f>
        <v/>
      </c>
      <c r="AE1282" s="30">
        <f>WEEKDAY(DaybyDay[[#This Row],[LY-Date]])</f>
        <v>2</v>
      </c>
      <c r="AF1282" s="38">
        <f>$E$2+_xlfn.DAYS(DaybyDay[[#This Row],[Date]],minDate)</f>
        <v>43647</v>
      </c>
      <c r="AG1282" s="39" cm="1">
        <f t="array" ref="AG1282">IFERROR(INDEX(DaybyDay[],DaybyDay[[#This Row],[FORM_MATCH_HELPER]],8),"")</f>
        <v>13</v>
      </c>
      <c r="AH1282" s="39" cm="1">
        <f t="array" ref="AH1282">IFERROR(INDEX(DaybyDay[],DaybyDay[[#This Row],[FORM_MATCH_HELPER]],10),"")</f>
        <v>3122.4</v>
      </c>
      <c r="AI1282" s="39" cm="1">
        <f t="array" ref="AI1282">IFERROR(INDEX(DaybyDay[],DaybyDay[[#This Row],[FORM_MATCH_HELPER]],12),"")</f>
        <v>267</v>
      </c>
      <c r="AJ1282" s="32">
        <f>IFERROR(DaybyDay[[#This Row],[Serv-LY-RU]]+DaybyDay[[#This Row],[Ret-LY-RU]],"")</f>
        <v>1122336.5299999998</v>
      </c>
      <c r="AK12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1113793.4601956289</v>
      </c>
      <c r="AL1282" s="77"/>
      <c r="AM1282" s="40" t="str">
        <f>IF(DaybyDay[[#This Row],[Admin Hours]]&gt;0,DaybyDay[[#This Row],[Admin Hours]]*$AM$2+$AM$3,"")</f>
        <v/>
      </c>
      <c r="AN1282" s="40">
        <f>SUMIFS(DaybyDay[Est-Admin-Payroll],DaybyDay[Date],"&gt;="&amp;$C$5,DaybyDay[RowYear],"&gt;="&amp;$C$4,DaybyDay[Date],"&lt;="&amp;DaybyDay[[#This Row],[Date]])</f>
        <v>13941.779999999997</v>
      </c>
      <c r="AO1282" s="41" t="str">
        <f>IF(AND(DaybyDay[[#This Row],[_Space]],ISNUMBER(DaybyDay[[#This Row],[Admin Hours]])),DaybyDay[[#This Row],[Est-Admin-Payroll]]/(DaybyDay[[#This Row],[Service-Actuals]]+DaybyDay[[#This Row],[Retail-Actuals]]),"")</f>
        <v/>
      </c>
      <c r="AP1282" s="41">
        <f>DaybyDay[[#This Row],[Estimated-Payroll-Rollup]]/DaybyDay[[#This Row],[Simple-Forecast]]</f>
        <v>1.2517383606787594E-2</v>
      </c>
      <c r="AQ12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217405.39522949257</v>
      </c>
      <c r="AR1282" s="77"/>
      <c r="AS1282" s="40" t="str">
        <f>IF(DaybyDay[[#This Row],[Retail Hours]]&gt;0,DaybyDay[[#This Row],[Retail Hours]]*$AS$2,"")</f>
        <v/>
      </c>
      <c r="AT1282" s="40">
        <f>SUMIFS(DaybyDay[Est-Retail-Payroll],DaybyDay[Date],"&gt;="&amp;$C$5,DaybyDay[RowYear],"&gt;="&amp;$C$4,DaybyDay[Date],"&lt;="&amp;DaybyDay[[#This Row],[Date]])</f>
        <v>2627.1</v>
      </c>
      <c r="AU1282" s="82" t="str">
        <f>IF(AND(DaybyDay[[#This Row],[_Space]],ISNUMBER(DaybyDay[[#This Row],[Retail Hours]])),DaybyDay[[#This Row],[Est-Retail-Payroll]]/(DaybyDay[[#This Row],[Retail-Actuals]]),"")</f>
        <v/>
      </c>
      <c r="AV1282" s="82">
        <f>DaybyDay[[#This Row],[Est-Retail-PayrollRU]]/DaybyDay[[#This Row],[Simple-Forecast-Retail]]</f>
        <v>1.2083876746604379E-2</v>
      </c>
      <c r="AW1282" s="8"/>
      <c r="AX1282" s="15"/>
      <c r="AY1282" s="8"/>
    </row>
    <row r="1283" spans="3:51" hidden="1" x14ac:dyDescent="0.25">
      <c r="C1283" s="26" t="str">
        <f>Tools!$C$1</f>
        <v>Example</v>
      </c>
      <c r="D1283" s="27" t="s">
        <v>73</v>
      </c>
      <c r="E1283" s="28">
        <v>2020</v>
      </c>
      <c r="F1283" s="28">
        <f>MATCH(DaybyDay[[#This Row],[RowMonth]],Table3[SummaryMonth],0)</f>
        <v>6</v>
      </c>
      <c r="G1283" s="29">
        <f>MATCH(DaybyDay[[#This Row],[LY-Date]],DaybyDay[Date],0)</f>
        <v>913</v>
      </c>
      <c r="H1283" s="30">
        <f>WEEKDAY(DaybyDay[[#This Row],[Date]])</f>
        <v>3</v>
      </c>
      <c r="I1283" s="31">
        <v>44012</v>
      </c>
      <c r="J1283" s="74"/>
      <c r="K1283" s="32">
        <f>SUMIFS(BudgetSeasonality[365 Seasonality],BudgetSeasonality[MonthAdjustment],DaybyDay[[#This Row],[Date]])*SUMIFS(Budgets[Service-Budget],Budgets[BudgetMonth],DaybyDay[[#This Row],[RowMonth]],Budgets[BudgetYear],DaybyDay[[#This Row],[RowYear]])</f>
        <v>3195.8921727613488</v>
      </c>
      <c r="L1283" s="75"/>
      <c r="M1283" s="32">
        <f>INDEX(BudgetSeasonality[365 Seasonality],MATCH(DaybyDay[[#This Row],[Date]],BudgetSeasonality[MonthAdjustment],0))*SUMIFS(Budgets[Retail-Budget],Budgets[BudgetMonth],DaybyDay[[#This Row],[RowMonth]],Budgets[BudgetYear],DaybyDay[[#This Row],[RowYear]])</f>
        <v>822.63458442525985</v>
      </c>
      <c r="N1283" s="75"/>
      <c r="O1283" s="33">
        <f>SUMIFS(DaybyDay[Service-Budgets],DaybyDay[Date],"&gt;="&amp;$C$5,DaybyDay[RowYear],"&gt;="&amp;$C$4,DaybyDay[Date],"&lt;="&amp;DaybyDay[[#This Row],[Date]])</f>
        <v>981621.94857066358</v>
      </c>
      <c r="P1283" s="33">
        <f>SUMIFS(DaybyDay[Retail-Budgets],DaybyDay[Date],"&gt;="&amp;$C$5,DaybyDay[RowYear],"&gt;="&amp;$C$4,DaybyDay[Date],"&lt;="&amp;DaybyDay[[#This Row],[Date]])</f>
        <v>246678.6328770729</v>
      </c>
      <c r="Q1283" s="34">
        <f>SUMIFS(DaybyDay[Service-Actuals],DaybyDay[Date],"&gt;="&amp;$C$5,DaybyDay[RowYear],"&gt;="&amp;$C$4,DaybyDay[Date],"&lt;="&amp;DaybyDay[[#This Row],[Date]])</f>
        <v>385554.23</v>
      </c>
      <c r="R1283" s="34">
        <f>SUMIFS(DaybyDay[Retail-Actuals],DaybyDay[Date],"&gt;="&amp;$C$5,DaybyDay[RowYear],"&gt;="&amp;$C$4,DaybyDay[Date],"&lt;="&amp;DaybyDay[[#This Row],[Date]])</f>
        <v>88360.030000000028</v>
      </c>
      <c r="S1283" s="35">
        <f>SUMIFS(DaybyDay[Service-LY],DaybyDay[Date],"&gt;="&amp;$C$5,DaybyDay[RowYear],"&gt;="&amp;$C$4,DaybyDay[Date],"&lt;="&amp;DaybyDay[[#This Row],[Date]])</f>
        <v>904996.76999999979</v>
      </c>
      <c r="T1283" s="35">
        <f>SUMIFS(DaybyDay[Retail-LY],DaybyDay[Date],"&gt;="&amp;$C$5,DaybyDay[RowYear],"&gt;="&amp;$C$4,DaybyDay[Date],"&lt;="&amp;DaybyDay[[#This Row],[Date]])</f>
        <v>220098.96</v>
      </c>
      <c r="U1283" s="32">
        <f>DaybyDay[[#This Row],[Serv-Bud-RU]]+DaybyDay[[#This Row],[Ret-Bud-RU]]</f>
        <v>1228300.5814477364</v>
      </c>
      <c r="V1283" s="32">
        <f>DaybyDay[[#This Row],[Serv-Act-RU]]+DaybyDay[[#This Row],[Ret-Act-RU]]</f>
        <v>473914.26</v>
      </c>
      <c r="W1283" s="36" t="str">
        <f>IF(DaybyDay[[#This Row],[_Space]],IFERROR(
((DaybyDay[[#This Row],[Actual-Rollup]]-DaybyDay[[#This Row],[Budget-Rollup]])/DaybyDay[[#This Row],[Budget-Rollup]]),0),"")</f>
        <v/>
      </c>
      <c r="X1283" t="b">
        <f>NOT(AND(ISBLANK(DaybyDay[[#This Row],[Appts]]),ISBLANK(DaybyDay[[#This Row],[Service-Actuals]]),ISBLANK(DaybyDay[[#This Row],[Retail-Actuals]])))</f>
        <v>0</v>
      </c>
      <c r="Y1283" s="36" t="str">
        <f>IF(DaybyDay[[#This Row],[_Space]],IFERROR(
((DaybyDay[[#This Row],[Actual-Rollup]]-DaybyDay[[#This Row],[LY-Rollup]])/DaybyDay[[#This Row],[LY-Rollup]]),0),"")</f>
        <v/>
      </c>
      <c r="Z1283"/>
      <c r="AA1283" s="37" t="str">
        <f>IF(DaybyDay[[#This Row],[_Space]],DaybyDay[[#This Row],[Ret-Act-RU]]/DaybyDay[[#This Row],[Serv-Act-RU]],"")</f>
        <v/>
      </c>
      <c r="AB1283" s="50" t="str">
        <f>IF(DaybyDay[[#This Row],[_Space]],DaybyDay[[#This Row],[RETPEN-Act]]/DaybyDay[[#This Row],[RETPEN-Bud]],"")</f>
        <v/>
      </c>
      <c r="AC1283" s="37" t="str">
        <f>IF(DaybyDay[[#This Row],[_Space]],DaybyDay[[#This Row],[Ret-Bud-RU]]/DaybyDay[[#This Row],[Serv-Bud-RU]],"")</f>
        <v/>
      </c>
      <c r="AD1283" s="37" t="str">
        <f>IF(DaybyDay[[#This Row],[_Space]],DaybyDay[[#This Row],[Ret-LY-RU]]/DaybyDay[[#This Row],[Serv-LY-RU]],"")</f>
        <v/>
      </c>
      <c r="AE1283" s="30">
        <f>WEEKDAY(DaybyDay[[#This Row],[LY-Date]])</f>
        <v>3</v>
      </c>
      <c r="AF1283" s="38">
        <f>$E$2+_xlfn.DAYS(DaybyDay[[#This Row],[Date]],minDate)</f>
        <v>43648</v>
      </c>
      <c r="AG1283" s="39" cm="1">
        <f t="array" ref="AG1283">IFERROR(INDEX(DaybyDay[],DaybyDay[[#This Row],[FORM_MATCH_HELPER]],8),"")</f>
        <v>13</v>
      </c>
      <c r="AH1283" s="39" cm="1">
        <f t="array" ref="AH1283">IFERROR(INDEX(DaybyDay[],DaybyDay[[#This Row],[FORM_MATCH_HELPER]],10),"")</f>
        <v>2216.1</v>
      </c>
      <c r="AI1283" s="39" cm="1">
        <f t="array" ref="AI1283">IFERROR(INDEX(DaybyDay[],DaybyDay[[#This Row],[FORM_MATCH_HELPER]],12),"")</f>
        <v>543.1</v>
      </c>
      <c r="AJ1283" s="32">
        <f>IFERROR(DaybyDay[[#This Row],[Serv-LY-RU]]+DaybyDay[[#This Row],[Ret-LY-RU]],"")</f>
        <v>1125095.7299999997</v>
      </c>
      <c r="AK12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1116863.1647555348</v>
      </c>
      <c r="AL1283" s="77"/>
      <c r="AM1283" s="40" t="str">
        <f>IF(DaybyDay[[#This Row],[Admin Hours]]&gt;0,DaybyDay[[#This Row],[Admin Hours]]*$AM$2+$AM$3,"")</f>
        <v/>
      </c>
      <c r="AN1283" s="40">
        <f>SUMIFS(DaybyDay[Est-Admin-Payroll],DaybyDay[Date],"&gt;="&amp;$C$5,DaybyDay[RowYear],"&gt;="&amp;$C$4,DaybyDay[Date],"&lt;="&amp;DaybyDay[[#This Row],[Date]])</f>
        <v>13941.779999999997</v>
      </c>
      <c r="AO1283" s="41" t="str">
        <f>IF(AND(DaybyDay[[#This Row],[_Space]],ISNUMBER(DaybyDay[[#This Row],[Admin Hours]])),DaybyDay[[#This Row],[Est-Admin-Payroll]]/(DaybyDay[[#This Row],[Service-Actuals]]+DaybyDay[[#This Row],[Retail-Actuals]]),"")</f>
        <v/>
      </c>
      <c r="AP1283" s="41">
        <f>DaybyDay[[#This Row],[Estimated-Payroll-Rollup]]/DaybyDay[[#This Row],[Simple-Forecast]]</f>
        <v>1.2482979508999788E-2</v>
      </c>
      <c r="AQ12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218023.07858413999</v>
      </c>
      <c r="AR1283" s="77"/>
      <c r="AS1283" s="40" t="str">
        <f>IF(DaybyDay[[#This Row],[Retail Hours]]&gt;0,DaybyDay[[#This Row],[Retail Hours]]*$AS$2,"")</f>
        <v/>
      </c>
      <c r="AT1283" s="40">
        <f>SUMIFS(DaybyDay[Est-Retail-Payroll],DaybyDay[Date],"&gt;="&amp;$C$5,DaybyDay[RowYear],"&gt;="&amp;$C$4,DaybyDay[Date],"&lt;="&amp;DaybyDay[[#This Row],[Date]])</f>
        <v>2627.1</v>
      </c>
      <c r="AU1283" s="82" t="str">
        <f>IF(AND(DaybyDay[[#This Row],[_Space]],ISNUMBER(DaybyDay[[#This Row],[Retail Hours]])),DaybyDay[[#This Row],[Est-Retail-Payroll]]/(DaybyDay[[#This Row],[Retail-Actuals]]),"")</f>
        <v/>
      </c>
      <c r="AV1283" s="82">
        <f>DaybyDay[[#This Row],[Est-Retail-PayrollRU]]/DaybyDay[[#This Row],[Simple-Forecast-Retail]]</f>
        <v>1.2049641795082456E-2</v>
      </c>
      <c r="AW1283" s="8"/>
      <c r="AX1283" s="15"/>
      <c r="AY1283" s="8"/>
    </row>
    <row r="1284" spans="3:51" hidden="1" x14ac:dyDescent="0.25">
      <c r="C1284" s="26" t="str">
        <f>Tools!$C$1</f>
        <v>Example</v>
      </c>
      <c r="D1284" s="27" t="s">
        <v>73</v>
      </c>
      <c r="E1284" s="28">
        <v>2020</v>
      </c>
      <c r="F1284" s="28">
        <f>MATCH(DaybyDay[[#This Row],[RowMonth]],Table3[SummaryMonth],0)</f>
        <v>6</v>
      </c>
      <c r="G1284" s="29">
        <f>MATCH(DaybyDay[[#This Row],[LY-Date]],DaybyDay[Date],0)</f>
        <v>914</v>
      </c>
      <c r="H1284" s="30">
        <f>WEEKDAY(DaybyDay[[#This Row],[Date]])</f>
        <v>4</v>
      </c>
      <c r="I1284" s="31">
        <v>44013</v>
      </c>
      <c r="J1284" s="74"/>
      <c r="K1284" s="32">
        <f>SUMIFS(BudgetSeasonality[365 Seasonality],BudgetSeasonality[MonthAdjustment],DaybyDay[[#This Row],[Date]])*SUMIFS(Budgets[Service-Budget],Budgets[BudgetMonth],DaybyDay[[#This Row],[RowMonth]],Budgets[BudgetYear],DaybyDay[[#This Row],[RowYear]])</f>
        <v>3737.9792628974774</v>
      </c>
      <c r="L1284" s="75"/>
      <c r="M1284" s="32">
        <f>INDEX(BudgetSeasonality[365 Seasonality],MATCH(DaybyDay[[#This Row],[Date]],BudgetSeasonality[MonthAdjustment],0))*SUMIFS(Budgets[Retail-Budget],Budgets[BudgetMonth],DaybyDay[[#This Row],[RowMonth]],Budgets[BudgetYear],DaybyDay[[#This Row],[RowYear]])</f>
        <v>962.16982654549918</v>
      </c>
      <c r="N1284" s="75"/>
      <c r="O1284" s="33">
        <f>SUMIFS(DaybyDay[Service-Budgets],DaybyDay[Date],"&gt;="&amp;$C$5,DaybyDay[RowYear],"&gt;="&amp;$C$4,DaybyDay[Date],"&lt;="&amp;DaybyDay[[#This Row],[Date]])</f>
        <v>985359.92783356109</v>
      </c>
      <c r="P1284" s="33">
        <f>SUMIFS(DaybyDay[Retail-Budgets],DaybyDay[Date],"&gt;="&amp;$C$5,DaybyDay[RowYear],"&gt;="&amp;$C$4,DaybyDay[Date],"&lt;="&amp;DaybyDay[[#This Row],[Date]])</f>
        <v>247640.80270361839</v>
      </c>
      <c r="Q1284" s="34">
        <f>SUMIFS(DaybyDay[Service-Actuals],DaybyDay[Date],"&gt;="&amp;$C$5,DaybyDay[RowYear],"&gt;="&amp;$C$4,DaybyDay[Date],"&lt;="&amp;DaybyDay[[#This Row],[Date]])</f>
        <v>385554.23</v>
      </c>
      <c r="R1284" s="34">
        <f>SUMIFS(DaybyDay[Retail-Actuals],DaybyDay[Date],"&gt;="&amp;$C$5,DaybyDay[RowYear],"&gt;="&amp;$C$4,DaybyDay[Date],"&lt;="&amp;DaybyDay[[#This Row],[Date]])</f>
        <v>88360.030000000028</v>
      </c>
      <c r="S1284" s="35">
        <f>SUMIFS(DaybyDay[Service-LY],DaybyDay[Date],"&gt;="&amp;$C$5,DaybyDay[RowYear],"&gt;="&amp;$C$4,DaybyDay[Date],"&lt;="&amp;DaybyDay[[#This Row],[Date]])</f>
        <v>908350.46999999974</v>
      </c>
      <c r="T1284" s="35">
        <f>SUMIFS(DaybyDay[Retail-LY],DaybyDay[Date],"&gt;="&amp;$C$5,DaybyDay[RowYear],"&gt;="&amp;$C$4,DaybyDay[Date],"&lt;="&amp;DaybyDay[[#This Row],[Date]])</f>
        <v>221362.56</v>
      </c>
      <c r="U1284" s="32">
        <f>DaybyDay[[#This Row],[Serv-Bud-RU]]+DaybyDay[[#This Row],[Ret-Bud-RU]]</f>
        <v>1233000.7305371794</v>
      </c>
      <c r="V1284" s="32">
        <f>DaybyDay[[#This Row],[Serv-Act-RU]]+DaybyDay[[#This Row],[Ret-Act-RU]]</f>
        <v>473914.26</v>
      </c>
      <c r="W1284" s="36" t="str">
        <f>IF(DaybyDay[[#This Row],[_Space]],IFERROR(
((DaybyDay[[#This Row],[Actual-Rollup]]-DaybyDay[[#This Row],[Budget-Rollup]])/DaybyDay[[#This Row],[Budget-Rollup]]),0),"")</f>
        <v/>
      </c>
      <c r="X1284" t="b">
        <f>NOT(AND(ISBLANK(DaybyDay[[#This Row],[Appts]]),ISBLANK(DaybyDay[[#This Row],[Service-Actuals]]),ISBLANK(DaybyDay[[#This Row],[Retail-Actuals]])))</f>
        <v>0</v>
      </c>
      <c r="Y1284" s="36" t="str">
        <f>IF(DaybyDay[[#This Row],[_Space]],IFERROR(
((DaybyDay[[#This Row],[Actual-Rollup]]-DaybyDay[[#This Row],[LY-Rollup]])/DaybyDay[[#This Row],[LY-Rollup]]),0),"")</f>
        <v/>
      </c>
      <c r="Z1284"/>
      <c r="AA1284" s="37" t="str">
        <f>IF(DaybyDay[[#This Row],[_Space]],DaybyDay[[#This Row],[Ret-Act-RU]]/DaybyDay[[#This Row],[Serv-Act-RU]],"")</f>
        <v/>
      </c>
      <c r="AB1284" s="50" t="str">
        <f>IF(DaybyDay[[#This Row],[_Space]],DaybyDay[[#This Row],[RETPEN-Act]]/DaybyDay[[#This Row],[RETPEN-Bud]],"")</f>
        <v/>
      </c>
      <c r="AC1284" s="37" t="str">
        <f>IF(DaybyDay[[#This Row],[_Space]],DaybyDay[[#This Row],[Ret-Bud-RU]]/DaybyDay[[#This Row],[Serv-Bud-RU]],"")</f>
        <v/>
      </c>
      <c r="AD1284" s="37" t="str">
        <f>IF(DaybyDay[[#This Row],[_Space]],DaybyDay[[#This Row],[Ret-LY-RU]]/DaybyDay[[#This Row],[Serv-LY-RU]],"")</f>
        <v/>
      </c>
      <c r="AE1284" s="30">
        <f>WEEKDAY(DaybyDay[[#This Row],[LY-Date]])</f>
        <v>4</v>
      </c>
      <c r="AF1284" s="38">
        <f>$E$2+_xlfn.DAYS(DaybyDay[[#This Row],[Date]],minDate)</f>
        <v>43649</v>
      </c>
      <c r="AG1284" s="39" cm="1">
        <f t="array" ref="AG1284">IFERROR(INDEX(DaybyDay[],DaybyDay[[#This Row],[FORM_MATCH_HELPER]],8),"")</f>
        <v>17</v>
      </c>
      <c r="AH1284" s="39" cm="1">
        <f t="array" ref="AH1284">IFERROR(INDEX(DaybyDay[],DaybyDay[[#This Row],[FORM_MATCH_HELPER]],10),"")</f>
        <v>3353.7000000000003</v>
      </c>
      <c r="AI1284" s="39" cm="1">
        <f t="array" ref="AI1284">IFERROR(INDEX(DaybyDay[],DaybyDay[[#This Row],[FORM_MATCH_HELPER]],12),"")</f>
        <v>1263.5999999999999</v>
      </c>
      <c r="AJ1284" s="32">
        <f>IFERROR(DaybyDay[[#This Row],[Serv-LY-RU]]+DaybyDay[[#This Row],[Ret-LY-RU]],"")</f>
        <v>1129713.0299999998</v>
      </c>
      <c r="AK12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1121138.9242636017</v>
      </c>
      <c r="AL1284" s="77"/>
      <c r="AM1284" s="40" t="str">
        <f>IF(DaybyDay[[#This Row],[Admin Hours]]&gt;0,DaybyDay[[#This Row],[Admin Hours]]*$AM$2+$AM$3,"")</f>
        <v/>
      </c>
      <c r="AN1284" s="40">
        <f>SUMIFS(DaybyDay[Est-Admin-Payroll],DaybyDay[Date],"&gt;="&amp;$C$5,DaybyDay[RowYear],"&gt;="&amp;$C$4,DaybyDay[Date],"&lt;="&amp;DaybyDay[[#This Row],[Date]])</f>
        <v>13941.779999999997</v>
      </c>
      <c r="AO1284" s="41" t="str">
        <f>IF(AND(DaybyDay[[#This Row],[_Space]],ISNUMBER(DaybyDay[[#This Row],[Admin Hours]])),DaybyDay[[#This Row],[Est-Admin-Payroll]]/(DaybyDay[[#This Row],[Service-Actuals]]+DaybyDay[[#This Row],[Retail-Actuals]]),"")</f>
        <v/>
      </c>
      <c r="AP1284" s="41">
        <f>DaybyDay[[#This Row],[Estimated-Payroll-Rollup]]/DaybyDay[[#This Row],[Simple-Forecast]]</f>
        <v>1.2435372368466632E-2</v>
      </c>
      <c r="AQ12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219055.35156583521</v>
      </c>
      <c r="AR1284" s="77"/>
      <c r="AS1284" s="40" t="str">
        <f>IF(DaybyDay[[#This Row],[Retail Hours]]&gt;0,DaybyDay[[#This Row],[Retail Hours]]*$AS$2,"")</f>
        <v/>
      </c>
      <c r="AT1284" s="40">
        <f>SUMIFS(DaybyDay[Est-Retail-Payroll],DaybyDay[Date],"&gt;="&amp;$C$5,DaybyDay[RowYear],"&gt;="&amp;$C$4,DaybyDay[Date],"&lt;="&amp;DaybyDay[[#This Row],[Date]])</f>
        <v>2627.1</v>
      </c>
      <c r="AU1284" s="82" t="str">
        <f>IF(AND(DaybyDay[[#This Row],[_Space]],ISNUMBER(DaybyDay[[#This Row],[Retail Hours]])),DaybyDay[[#This Row],[Est-Retail-Payroll]]/(DaybyDay[[#This Row],[Retail-Actuals]]),"")</f>
        <v/>
      </c>
      <c r="AV1284" s="82">
        <f>DaybyDay[[#This Row],[Est-Retail-PayrollRU]]/DaybyDay[[#This Row],[Simple-Forecast-Retail]]</f>
        <v>1.1992859253248819E-2</v>
      </c>
      <c r="AW1284" s="8"/>
      <c r="AX1284" s="15"/>
      <c r="AY1284" s="8"/>
    </row>
    <row r="1285" spans="3:51" hidden="1" x14ac:dyDescent="0.25">
      <c r="C1285" s="26" t="str">
        <f>Tools!$C$1</f>
        <v>Example</v>
      </c>
      <c r="D1285" s="27" t="s">
        <v>73</v>
      </c>
      <c r="E1285" s="28">
        <v>2020</v>
      </c>
      <c r="F1285" s="28">
        <f>MATCH(DaybyDay[[#This Row],[RowMonth]],Table3[SummaryMonth],0)</f>
        <v>6</v>
      </c>
      <c r="G1285" s="29">
        <f>MATCH(DaybyDay[[#This Row],[LY-Date]],DaybyDay[Date],0)</f>
        <v>915</v>
      </c>
      <c r="H1285" s="30">
        <f>WEEKDAY(DaybyDay[[#This Row],[Date]])</f>
        <v>5</v>
      </c>
      <c r="I1285" s="31">
        <v>44014</v>
      </c>
      <c r="J1285" s="74"/>
      <c r="K1285" s="32">
        <f>SUMIFS(BudgetSeasonality[365 Seasonality],BudgetSeasonality[MonthAdjustment],DaybyDay[[#This Row],[Date]])*SUMIFS(Budgets[Service-Budget],Budgets[BudgetMonth],DaybyDay[[#This Row],[RowMonth]],Budgets[BudgetYear],DaybyDay[[#This Row],[RowYear]])</f>
        <v>3801.0356505795598</v>
      </c>
      <c r="L1285" s="75"/>
      <c r="M1285" s="32">
        <f>INDEX(BudgetSeasonality[365 Seasonality],MATCH(DaybyDay[[#This Row],[Date]],BudgetSeasonality[MonthAdjustment],0))*SUMIFS(Budgets[Retail-Budget],Budgets[BudgetMonth],DaybyDay[[#This Row],[RowMonth]],Budgets[BudgetYear],DaybyDay[[#This Row],[RowYear]])</f>
        <v>978.400776299786</v>
      </c>
      <c r="N1285" s="75"/>
      <c r="O1285" s="33">
        <f>SUMIFS(DaybyDay[Service-Budgets],DaybyDay[Date],"&gt;="&amp;$C$5,DaybyDay[RowYear],"&gt;="&amp;$C$4,DaybyDay[Date],"&lt;="&amp;DaybyDay[[#This Row],[Date]])</f>
        <v>989160.9634841407</v>
      </c>
      <c r="P1285" s="33">
        <f>SUMIFS(DaybyDay[Retail-Budgets],DaybyDay[Date],"&gt;="&amp;$C$5,DaybyDay[RowYear],"&gt;="&amp;$C$4,DaybyDay[Date],"&lt;="&amp;DaybyDay[[#This Row],[Date]])</f>
        <v>248619.20347991819</v>
      </c>
      <c r="Q1285" s="34">
        <f>SUMIFS(DaybyDay[Service-Actuals],DaybyDay[Date],"&gt;="&amp;$C$5,DaybyDay[RowYear],"&gt;="&amp;$C$4,DaybyDay[Date],"&lt;="&amp;DaybyDay[[#This Row],[Date]])</f>
        <v>385554.23</v>
      </c>
      <c r="R1285" s="34">
        <f>SUMIFS(DaybyDay[Retail-Actuals],DaybyDay[Date],"&gt;="&amp;$C$5,DaybyDay[RowYear],"&gt;="&amp;$C$4,DaybyDay[Date],"&lt;="&amp;DaybyDay[[#This Row],[Date]])</f>
        <v>88360.030000000028</v>
      </c>
      <c r="S1285" s="35">
        <f>SUMIFS(DaybyDay[Service-LY],DaybyDay[Date],"&gt;="&amp;$C$5,DaybyDay[RowYear],"&gt;="&amp;$C$4,DaybyDay[Date],"&lt;="&amp;DaybyDay[[#This Row],[Date]])</f>
        <v>911114.06999999972</v>
      </c>
      <c r="T1285" s="35">
        <f>SUMIFS(DaybyDay[Retail-LY],DaybyDay[Date],"&gt;="&amp;$C$5,DaybyDay[RowYear],"&gt;="&amp;$C$4,DaybyDay[Date],"&lt;="&amp;DaybyDay[[#This Row],[Date]])</f>
        <v>221362.56</v>
      </c>
      <c r="U1285" s="32">
        <f>DaybyDay[[#This Row],[Serv-Bud-RU]]+DaybyDay[[#This Row],[Ret-Bud-RU]]</f>
        <v>1237780.1669640588</v>
      </c>
      <c r="V1285" s="32">
        <f>DaybyDay[[#This Row],[Serv-Act-RU]]+DaybyDay[[#This Row],[Ret-Act-RU]]</f>
        <v>473914.26</v>
      </c>
      <c r="W1285" s="36" t="str">
        <f>IF(DaybyDay[[#This Row],[_Space]],IFERROR(
((DaybyDay[[#This Row],[Actual-Rollup]]-DaybyDay[[#This Row],[Budget-Rollup]])/DaybyDay[[#This Row],[Budget-Rollup]]),0),"")</f>
        <v/>
      </c>
      <c r="X1285" t="b">
        <f>NOT(AND(ISBLANK(DaybyDay[[#This Row],[Appts]]),ISBLANK(DaybyDay[[#This Row],[Service-Actuals]]),ISBLANK(DaybyDay[[#This Row],[Retail-Actuals]])))</f>
        <v>0</v>
      </c>
      <c r="Y1285" s="36" t="str">
        <f>IF(DaybyDay[[#This Row],[_Space]],IFERROR(
((DaybyDay[[#This Row],[Actual-Rollup]]-DaybyDay[[#This Row],[LY-Rollup]])/DaybyDay[[#This Row],[LY-Rollup]]),0),"")</f>
        <v/>
      </c>
      <c r="Z1285"/>
      <c r="AA1285" s="37" t="str">
        <f>IF(DaybyDay[[#This Row],[_Space]],DaybyDay[[#This Row],[Ret-Act-RU]]/DaybyDay[[#This Row],[Serv-Act-RU]],"")</f>
        <v/>
      </c>
      <c r="AB1285" s="50" t="str">
        <f>IF(DaybyDay[[#This Row],[_Space]],DaybyDay[[#This Row],[RETPEN-Act]]/DaybyDay[[#This Row],[RETPEN-Bud]],"")</f>
        <v/>
      </c>
      <c r="AC1285" s="37" t="str">
        <f>IF(DaybyDay[[#This Row],[_Space]],DaybyDay[[#This Row],[Ret-Bud-RU]]/DaybyDay[[#This Row],[Serv-Bud-RU]],"")</f>
        <v/>
      </c>
      <c r="AD1285" s="37" t="str">
        <f>IF(DaybyDay[[#This Row],[_Space]],DaybyDay[[#This Row],[Ret-LY-RU]]/DaybyDay[[#This Row],[Serv-LY-RU]],"")</f>
        <v/>
      </c>
      <c r="AE1285" s="30">
        <f>WEEKDAY(DaybyDay[[#This Row],[LY-Date]])</f>
        <v>5</v>
      </c>
      <c r="AF1285" s="38">
        <f>$E$2+_xlfn.DAYS(DaybyDay[[#This Row],[Date]],minDate)</f>
        <v>43650</v>
      </c>
      <c r="AG1285" s="39" cm="1">
        <f t="array" ref="AG1285">IFERROR(INDEX(DaybyDay[],DaybyDay[[#This Row],[FORM_MATCH_HELPER]],8),"")</f>
        <v>13</v>
      </c>
      <c r="AH1285" s="39" cm="1">
        <f t="array" ref="AH1285">IFERROR(INDEX(DaybyDay[],DaybyDay[[#This Row],[FORM_MATCH_HELPER]],10),"")</f>
        <v>2763.6</v>
      </c>
      <c r="AI1285" s="39" cm="1">
        <f t="array" ref="AI1285">IFERROR(INDEX(DaybyDay[],DaybyDay[[#This Row],[FORM_MATCH_HELPER]],12),"")</f>
        <v>0</v>
      </c>
      <c r="AJ1285" s="32">
        <f>IFERROR(DaybyDay[[#This Row],[Serv-LY-RU]]+DaybyDay[[#This Row],[Ret-LY-RU]],"")</f>
        <v>1132476.6299999997</v>
      </c>
      <c r="AK12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1124534.4548059253</v>
      </c>
      <c r="AL1285" s="77"/>
      <c r="AM1285" s="40" t="str">
        <f>IF(DaybyDay[[#This Row],[Admin Hours]]&gt;0,DaybyDay[[#This Row],[Admin Hours]]*$AM$2+$AM$3,"")</f>
        <v/>
      </c>
      <c r="AN1285" s="40">
        <f>SUMIFS(DaybyDay[Est-Admin-Payroll],DaybyDay[Date],"&gt;="&amp;$C$5,DaybyDay[RowYear],"&gt;="&amp;$C$4,DaybyDay[Date],"&lt;="&amp;DaybyDay[[#This Row],[Date]])</f>
        <v>13941.779999999997</v>
      </c>
      <c r="AO1285" s="41" t="str">
        <f>IF(AND(DaybyDay[[#This Row],[_Space]],ISNUMBER(DaybyDay[[#This Row],[Admin Hours]])),DaybyDay[[#This Row],[Est-Admin-Payroll]]/(DaybyDay[[#This Row],[Service-Actuals]]+DaybyDay[[#This Row],[Retail-Actuals]]),"")</f>
        <v/>
      </c>
      <c r="AP1285" s="41">
        <f>DaybyDay[[#This Row],[Estimated-Payroll-Rollup]]/DaybyDay[[#This Row],[Simple-Forecast]]</f>
        <v>1.2397823775356089E-2</v>
      </c>
      <c r="AQ12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219471.51904763415</v>
      </c>
      <c r="AR1285" s="77"/>
      <c r="AS1285" s="40" t="str">
        <f>IF(DaybyDay[[#This Row],[Retail Hours]]&gt;0,DaybyDay[[#This Row],[Retail Hours]]*$AS$2,"")</f>
        <v/>
      </c>
      <c r="AT1285" s="40">
        <f>SUMIFS(DaybyDay[Est-Retail-Payroll],DaybyDay[Date],"&gt;="&amp;$C$5,DaybyDay[RowYear],"&gt;="&amp;$C$4,DaybyDay[Date],"&lt;="&amp;DaybyDay[[#This Row],[Date]])</f>
        <v>2627.1</v>
      </c>
      <c r="AU1285" s="82" t="str">
        <f>IF(AND(DaybyDay[[#This Row],[_Space]],ISNUMBER(DaybyDay[[#This Row],[Retail Hours]])),DaybyDay[[#This Row],[Est-Retail-Payroll]]/(DaybyDay[[#This Row],[Retail-Actuals]]),"")</f>
        <v/>
      </c>
      <c r="AV1285" s="82">
        <f>DaybyDay[[#This Row],[Est-Retail-PayrollRU]]/DaybyDay[[#This Row],[Simple-Forecast-Retail]]</f>
        <v>1.1970118088214505E-2</v>
      </c>
      <c r="AW1285" s="8"/>
      <c r="AX1285" s="15"/>
      <c r="AY1285" s="8"/>
    </row>
    <row r="1286" spans="3:51" hidden="1" x14ac:dyDescent="0.25">
      <c r="C1286" s="26" t="str">
        <f>Tools!$C$1</f>
        <v>Example</v>
      </c>
      <c r="D1286" s="27" t="s">
        <v>73</v>
      </c>
      <c r="E1286" s="28">
        <v>2020</v>
      </c>
      <c r="F1286" s="28">
        <f>MATCH(DaybyDay[[#This Row],[RowMonth]],Table3[SummaryMonth],0)</f>
        <v>6</v>
      </c>
      <c r="G1286" s="29">
        <f>MATCH(DaybyDay[[#This Row],[LY-Date]],DaybyDay[Date],0)</f>
        <v>916</v>
      </c>
      <c r="H1286" s="30">
        <f>WEEKDAY(DaybyDay[[#This Row],[Date]])</f>
        <v>6</v>
      </c>
      <c r="I1286" s="31">
        <v>44015</v>
      </c>
      <c r="J1286" s="74"/>
      <c r="K1286" s="32">
        <f>SUMIFS(BudgetSeasonality[365 Seasonality],BudgetSeasonality[MonthAdjustment],DaybyDay[[#This Row],[Date]])*SUMIFS(Budgets[Service-Budget],Budgets[BudgetMonth],DaybyDay[[#This Row],[RowMonth]],Budgets[BudgetYear],DaybyDay[[#This Row],[RowYear]])</f>
        <v>4881.7224298451383</v>
      </c>
      <c r="L1286" s="75"/>
      <c r="M1286" s="32">
        <f>INDEX(BudgetSeasonality[365 Seasonality],MATCH(DaybyDay[[#This Row],[Date]],BudgetSeasonality[MonthAdjustment],0))*SUMIFS(Budgets[Retail-Budget],Budgets[BudgetMonth],DaybyDay[[#This Row],[RowMonth]],Budgets[BudgetYear],DaybyDay[[#This Row],[RowYear]])</f>
        <v>1256.5735904929757</v>
      </c>
      <c r="N1286" s="75"/>
      <c r="O1286" s="33">
        <f>SUMIFS(DaybyDay[Service-Budgets],DaybyDay[Date],"&gt;="&amp;$C$5,DaybyDay[RowYear],"&gt;="&amp;$C$4,DaybyDay[Date],"&lt;="&amp;DaybyDay[[#This Row],[Date]])</f>
        <v>994042.68591398583</v>
      </c>
      <c r="P1286" s="33">
        <f>SUMIFS(DaybyDay[Retail-Budgets],DaybyDay[Date],"&gt;="&amp;$C$5,DaybyDay[RowYear],"&gt;="&amp;$C$4,DaybyDay[Date],"&lt;="&amp;DaybyDay[[#This Row],[Date]])</f>
        <v>249875.77707041116</v>
      </c>
      <c r="Q1286" s="34">
        <f>SUMIFS(DaybyDay[Service-Actuals],DaybyDay[Date],"&gt;="&amp;$C$5,DaybyDay[RowYear],"&gt;="&amp;$C$4,DaybyDay[Date],"&lt;="&amp;DaybyDay[[#This Row],[Date]])</f>
        <v>385554.23</v>
      </c>
      <c r="R1286" s="34">
        <f>SUMIFS(DaybyDay[Retail-Actuals],DaybyDay[Date],"&gt;="&amp;$C$5,DaybyDay[RowYear],"&gt;="&amp;$C$4,DaybyDay[Date],"&lt;="&amp;DaybyDay[[#This Row],[Date]])</f>
        <v>88360.030000000028</v>
      </c>
      <c r="S1286" s="35">
        <f>SUMIFS(DaybyDay[Service-LY],DaybyDay[Date],"&gt;="&amp;$C$5,DaybyDay[RowYear],"&gt;="&amp;$C$4,DaybyDay[Date],"&lt;="&amp;DaybyDay[[#This Row],[Date]])</f>
        <v>915744.26999999967</v>
      </c>
      <c r="T1286" s="35">
        <f>SUMIFS(DaybyDay[Retail-LY],DaybyDay[Date],"&gt;="&amp;$C$5,DaybyDay[RowYear],"&gt;="&amp;$C$4,DaybyDay[Date],"&lt;="&amp;DaybyDay[[#This Row],[Date]])</f>
        <v>222906.06</v>
      </c>
      <c r="U1286" s="32">
        <f>DaybyDay[[#This Row],[Serv-Bud-RU]]+DaybyDay[[#This Row],[Ret-Bud-RU]]</f>
        <v>1243918.4629843971</v>
      </c>
      <c r="V1286" s="32">
        <f>DaybyDay[[#This Row],[Serv-Act-RU]]+DaybyDay[[#This Row],[Ret-Act-RU]]</f>
        <v>473914.26</v>
      </c>
      <c r="W1286" s="36" t="str">
        <f>IF(DaybyDay[[#This Row],[_Space]],IFERROR(
((DaybyDay[[#This Row],[Actual-Rollup]]-DaybyDay[[#This Row],[Budget-Rollup]])/DaybyDay[[#This Row],[Budget-Rollup]]),0),"")</f>
        <v/>
      </c>
      <c r="X1286" t="b">
        <f>NOT(AND(ISBLANK(DaybyDay[[#This Row],[Appts]]),ISBLANK(DaybyDay[[#This Row],[Service-Actuals]]),ISBLANK(DaybyDay[[#This Row],[Retail-Actuals]])))</f>
        <v>0</v>
      </c>
      <c r="Y1286" s="36" t="str">
        <f>IF(DaybyDay[[#This Row],[_Space]],IFERROR(
((DaybyDay[[#This Row],[Actual-Rollup]]-DaybyDay[[#This Row],[LY-Rollup]])/DaybyDay[[#This Row],[LY-Rollup]]),0),"")</f>
        <v/>
      </c>
      <c r="Z1286"/>
      <c r="AA1286" s="37" t="str">
        <f>IF(DaybyDay[[#This Row],[_Space]],DaybyDay[[#This Row],[Ret-Act-RU]]/DaybyDay[[#This Row],[Serv-Act-RU]],"")</f>
        <v/>
      </c>
      <c r="AB1286" s="50" t="str">
        <f>IF(DaybyDay[[#This Row],[_Space]],DaybyDay[[#This Row],[RETPEN-Act]]/DaybyDay[[#This Row],[RETPEN-Bud]],"")</f>
        <v/>
      </c>
      <c r="AC1286" s="37" t="str">
        <f>IF(DaybyDay[[#This Row],[_Space]],DaybyDay[[#This Row],[Ret-Bud-RU]]/DaybyDay[[#This Row],[Serv-Bud-RU]],"")</f>
        <v/>
      </c>
      <c r="AD1286" s="37" t="str">
        <f>IF(DaybyDay[[#This Row],[_Space]],DaybyDay[[#This Row],[Ret-LY-RU]]/DaybyDay[[#This Row],[Serv-LY-RU]],"")</f>
        <v/>
      </c>
      <c r="AE1286" s="30">
        <f>WEEKDAY(DaybyDay[[#This Row],[LY-Date]])</f>
        <v>6</v>
      </c>
      <c r="AF1286" s="38">
        <f>$E$2+_xlfn.DAYS(DaybyDay[[#This Row],[Date]],minDate)</f>
        <v>43651</v>
      </c>
      <c r="AG1286" s="39" cm="1">
        <f t="array" ref="AG1286">IFERROR(INDEX(DaybyDay[],DaybyDay[[#This Row],[FORM_MATCH_HELPER]],8),"")</f>
        <v>27</v>
      </c>
      <c r="AH1286" s="39" cm="1">
        <f t="array" ref="AH1286">IFERROR(INDEX(DaybyDay[],DaybyDay[[#This Row],[FORM_MATCH_HELPER]],10),"")</f>
        <v>4630.2</v>
      </c>
      <c r="AI1286" s="39" cm="1">
        <f t="array" ref="AI1286">IFERROR(INDEX(DaybyDay[],DaybyDay[[#This Row],[FORM_MATCH_HELPER]],12),"")</f>
        <v>1543.5</v>
      </c>
      <c r="AJ1286" s="32">
        <f>IFERROR(DaybyDay[[#This Row],[Serv-LY-RU]]+DaybyDay[[#This Row],[Ret-LY-RU]],"")</f>
        <v>1138650.3299999996</v>
      </c>
      <c r="AK12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1130189.3095039008</v>
      </c>
      <c r="AL1286" s="77"/>
      <c r="AM1286" s="40" t="str">
        <f>IF(DaybyDay[[#This Row],[Admin Hours]]&gt;0,DaybyDay[[#This Row],[Admin Hours]]*$AM$2+$AM$3,"")</f>
        <v/>
      </c>
      <c r="AN1286" s="40">
        <f>SUMIFS(DaybyDay[Est-Admin-Payroll],DaybyDay[Date],"&gt;="&amp;$C$5,DaybyDay[RowYear],"&gt;="&amp;$C$4,DaybyDay[Date],"&lt;="&amp;DaybyDay[[#This Row],[Date]])</f>
        <v>13941.779999999997</v>
      </c>
      <c r="AO1286" s="41" t="str">
        <f>IF(AND(DaybyDay[[#This Row],[_Space]],ISNUMBER(DaybyDay[[#This Row],[Admin Hours]])),DaybyDay[[#This Row],[Est-Admin-Payroll]]/(DaybyDay[[#This Row],[Service-Actuals]]+DaybyDay[[#This Row],[Retail-Actuals]]),"")</f>
        <v/>
      </c>
      <c r="AP1286" s="41">
        <f>DaybyDay[[#This Row],[Estimated-Payroll-Rollup]]/DaybyDay[[#This Row],[Simple-Forecast]]</f>
        <v>1.2335791785289292E-2</v>
      </c>
      <c r="AQ12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220767.02088528048</v>
      </c>
      <c r="AR1286" s="77"/>
      <c r="AS1286" s="40" t="str">
        <f>IF(DaybyDay[[#This Row],[Retail Hours]]&gt;0,DaybyDay[[#This Row],[Retail Hours]]*$AS$2,"")</f>
        <v/>
      </c>
      <c r="AT1286" s="40">
        <f>SUMIFS(DaybyDay[Est-Retail-Payroll],DaybyDay[Date],"&gt;="&amp;$C$5,DaybyDay[RowYear],"&gt;="&amp;$C$4,DaybyDay[Date],"&lt;="&amp;DaybyDay[[#This Row],[Date]])</f>
        <v>2627.1</v>
      </c>
      <c r="AU1286" s="82" t="str">
        <f>IF(AND(DaybyDay[[#This Row],[_Space]],ISNUMBER(DaybyDay[[#This Row],[Retail Hours]])),DaybyDay[[#This Row],[Est-Retail-Payroll]]/(DaybyDay[[#This Row],[Retail-Actuals]]),"")</f>
        <v/>
      </c>
      <c r="AV1286" s="82">
        <f>DaybyDay[[#This Row],[Est-Retail-PayrollRU]]/DaybyDay[[#This Row],[Simple-Forecast-Retail]]</f>
        <v>1.1899875214446763E-2</v>
      </c>
      <c r="AW1286" s="8"/>
      <c r="AX1286" s="15"/>
      <c r="AY1286" s="8"/>
    </row>
    <row r="1287" spans="3:51" hidden="1" x14ac:dyDescent="0.25">
      <c r="C1287" s="26" t="str">
        <f>Tools!$C$1</f>
        <v>Example</v>
      </c>
      <c r="D1287" s="27" t="s">
        <v>73</v>
      </c>
      <c r="E1287" s="28">
        <v>2020</v>
      </c>
      <c r="F1287" s="28">
        <f>MATCH(DaybyDay[[#This Row],[RowMonth]],Table3[SummaryMonth],0)</f>
        <v>6</v>
      </c>
      <c r="G1287" s="29">
        <f>MATCH(DaybyDay[[#This Row],[LY-Date]],DaybyDay[Date],0)</f>
        <v>917</v>
      </c>
      <c r="H1287" s="30">
        <f>WEEKDAY(DaybyDay[[#This Row],[Date]])</f>
        <v>7</v>
      </c>
      <c r="I1287" s="31">
        <v>44016</v>
      </c>
      <c r="J1287" s="74"/>
      <c r="K1287" s="32">
        <f>SUMIFS(BudgetSeasonality[365 Seasonality],BudgetSeasonality[MonthAdjustment],DaybyDay[[#This Row],[Date]])*SUMIFS(Budgets[Service-Budget],Budgets[BudgetMonth],DaybyDay[[#This Row],[RowMonth]],Budgets[BudgetYear],DaybyDay[[#This Row],[RowYear]])</f>
        <v>7240.7352763900599</v>
      </c>
      <c r="L1287" s="75"/>
      <c r="M1287" s="32">
        <f>INDEX(BudgetSeasonality[365 Seasonality],MATCH(DaybyDay[[#This Row],[Date]],BudgetSeasonality[MonthAdjustment],0))*SUMIFS(Budgets[Retail-Budget],Budgets[BudgetMonth],DaybyDay[[#This Row],[RowMonth]],Budgets[BudgetYear],DaybyDay[[#This Row],[RowYear]])</f>
        <v>1863.7923099513948</v>
      </c>
      <c r="N1287" s="75"/>
      <c r="O1287" s="33">
        <f>SUMIFS(DaybyDay[Service-Budgets],DaybyDay[Date],"&gt;="&amp;$C$5,DaybyDay[RowYear],"&gt;="&amp;$C$4,DaybyDay[Date],"&lt;="&amp;DaybyDay[[#This Row],[Date]])</f>
        <v>1001283.4211903759</v>
      </c>
      <c r="P1287" s="33">
        <f>SUMIFS(DaybyDay[Retail-Budgets],DaybyDay[Date],"&gt;="&amp;$C$5,DaybyDay[RowYear],"&gt;="&amp;$C$4,DaybyDay[Date],"&lt;="&amp;DaybyDay[[#This Row],[Date]])</f>
        <v>251739.56938036255</v>
      </c>
      <c r="Q1287" s="34">
        <f>SUMIFS(DaybyDay[Service-Actuals],DaybyDay[Date],"&gt;="&amp;$C$5,DaybyDay[RowYear],"&gt;="&amp;$C$4,DaybyDay[Date],"&lt;="&amp;DaybyDay[[#This Row],[Date]])</f>
        <v>385554.23</v>
      </c>
      <c r="R1287" s="34">
        <f>SUMIFS(DaybyDay[Retail-Actuals],DaybyDay[Date],"&gt;="&amp;$C$5,DaybyDay[RowYear],"&gt;="&amp;$C$4,DaybyDay[Date],"&lt;="&amp;DaybyDay[[#This Row],[Date]])</f>
        <v>88360.030000000028</v>
      </c>
      <c r="S1287" s="35">
        <f>SUMIFS(DaybyDay[Service-LY],DaybyDay[Date],"&gt;="&amp;$C$5,DaybyDay[RowYear],"&gt;="&amp;$C$4,DaybyDay[Date],"&lt;="&amp;DaybyDay[[#This Row],[Date]])</f>
        <v>919830.83999999962</v>
      </c>
      <c r="T1287" s="35">
        <f>SUMIFS(DaybyDay[Retail-LY],DaybyDay[Date],"&gt;="&amp;$C$5,DaybyDay[RowYear],"&gt;="&amp;$C$4,DaybyDay[Date],"&lt;="&amp;DaybyDay[[#This Row],[Date]])</f>
        <v>223855.06</v>
      </c>
      <c r="U1287" s="32">
        <f>DaybyDay[[#This Row],[Serv-Bud-RU]]+DaybyDay[[#This Row],[Ret-Bud-RU]]</f>
        <v>1253022.9905707384</v>
      </c>
      <c r="V1287" s="32">
        <f>DaybyDay[[#This Row],[Serv-Act-RU]]+DaybyDay[[#This Row],[Ret-Act-RU]]</f>
        <v>473914.26</v>
      </c>
      <c r="W1287" s="36" t="str">
        <f>IF(DaybyDay[[#This Row],[_Space]],IFERROR(
((DaybyDay[[#This Row],[Actual-Rollup]]-DaybyDay[[#This Row],[Budget-Rollup]])/DaybyDay[[#This Row],[Budget-Rollup]]),0),"")</f>
        <v/>
      </c>
      <c r="X1287" t="b">
        <f>NOT(AND(ISBLANK(DaybyDay[[#This Row],[Appts]]),ISBLANK(DaybyDay[[#This Row],[Service-Actuals]]),ISBLANK(DaybyDay[[#This Row],[Retail-Actuals]])))</f>
        <v>0</v>
      </c>
      <c r="Y1287" s="36" t="str">
        <f>IF(DaybyDay[[#This Row],[_Space]],IFERROR(
((DaybyDay[[#This Row],[Actual-Rollup]]-DaybyDay[[#This Row],[LY-Rollup]])/DaybyDay[[#This Row],[LY-Rollup]]),0),"")</f>
        <v/>
      </c>
      <c r="Z1287"/>
      <c r="AA1287" s="37" t="str">
        <f>IF(DaybyDay[[#This Row],[_Space]],DaybyDay[[#This Row],[Ret-Act-RU]]/DaybyDay[[#This Row],[Serv-Act-RU]],"")</f>
        <v/>
      </c>
      <c r="AB1287" s="50" t="str">
        <f>IF(DaybyDay[[#This Row],[_Space]],DaybyDay[[#This Row],[RETPEN-Act]]/DaybyDay[[#This Row],[RETPEN-Bud]],"")</f>
        <v/>
      </c>
      <c r="AC1287" s="37" t="str">
        <f>IF(DaybyDay[[#This Row],[_Space]],DaybyDay[[#This Row],[Ret-Bud-RU]]/DaybyDay[[#This Row],[Serv-Bud-RU]],"")</f>
        <v/>
      </c>
      <c r="AD1287" s="37" t="str">
        <f>IF(DaybyDay[[#This Row],[_Space]],DaybyDay[[#This Row],[Ret-LY-RU]]/DaybyDay[[#This Row],[Serv-LY-RU]],"")</f>
        <v/>
      </c>
      <c r="AE1287" s="30">
        <f>WEEKDAY(DaybyDay[[#This Row],[LY-Date]])</f>
        <v>7</v>
      </c>
      <c r="AF1287" s="38">
        <f>$E$2+_xlfn.DAYS(DaybyDay[[#This Row],[Date]],minDate)</f>
        <v>43652</v>
      </c>
      <c r="AG1287" s="39" cm="1">
        <f t="array" ref="AG1287">IFERROR(INDEX(DaybyDay[],DaybyDay[[#This Row],[FORM_MATCH_HELPER]],8),"")</f>
        <v>24</v>
      </c>
      <c r="AH1287" s="39" cm="1">
        <f t="array" ref="AH1287">IFERROR(INDEX(DaybyDay[],DaybyDay[[#This Row],[FORM_MATCH_HELPER]],10),"")</f>
        <v>4086.5699999999997</v>
      </c>
      <c r="AI1287" s="39" cm="1">
        <f t="array" ref="AI1287">IFERROR(INDEX(DaybyDay[],DaybyDay[[#This Row],[FORM_MATCH_HELPER]],12),"")</f>
        <v>949</v>
      </c>
      <c r="AJ1287" s="32">
        <f>IFERROR(DaybyDay[[#This Row],[Serv-LY-RU]]+DaybyDay[[#This Row],[Ret-LY-RU]],"")</f>
        <v>1143685.8999999997</v>
      </c>
      <c r="AK12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1136544.7178029518</v>
      </c>
      <c r="AL1287" s="77"/>
      <c r="AM1287" s="40" t="str">
        <f>IF(DaybyDay[[#This Row],[Admin Hours]]&gt;0,DaybyDay[[#This Row],[Admin Hours]]*$AM$2+$AM$3,"")</f>
        <v/>
      </c>
      <c r="AN1287" s="40">
        <f>SUMIFS(DaybyDay[Est-Admin-Payroll],DaybyDay[Date],"&gt;="&amp;$C$5,DaybyDay[RowYear],"&gt;="&amp;$C$4,DaybyDay[Date],"&lt;="&amp;DaybyDay[[#This Row],[Date]])</f>
        <v>13941.779999999997</v>
      </c>
      <c r="AO1287" s="41" t="str">
        <f>IF(AND(DaybyDay[[#This Row],[_Space]],ISNUMBER(DaybyDay[[#This Row],[Admin Hours]])),DaybyDay[[#This Row],[Est-Admin-Payroll]]/(DaybyDay[[#This Row],[Service-Actuals]]+DaybyDay[[#This Row],[Retail-Actuals]]),"")</f>
        <v/>
      </c>
      <c r="AP1287" s="41">
        <f>DaybyDay[[#This Row],[Estimated-Payroll-Rollup]]/DaybyDay[[#This Row],[Simple-Forecast]]</f>
        <v>1.2266811663117641E-2</v>
      </c>
      <c r="AQ12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222027.69193520932</v>
      </c>
      <c r="AR1287" s="77"/>
      <c r="AS1287" s="40" t="str">
        <f>IF(DaybyDay[[#This Row],[Retail Hours]]&gt;0,DaybyDay[[#This Row],[Retail Hours]]*$AS$2,"")</f>
        <v/>
      </c>
      <c r="AT1287" s="40">
        <f>SUMIFS(DaybyDay[Est-Retail-Payroll],DaybyDay[Date],"&gt;="&amp;$C$5,DaybyDay[RowYear],"&gt;="&amp;$C$4,DaybyDay[Date],"&lt;="&amp;DaybyDay[[#This Row],[Date]])</f>
        <v>2627.1</v>
      </c>
      <c r="AU1287" s="82" t="str">
        <f>IF(AND(DaybyDay[[#This Row],[_Space]],ISNUMBER(DaybyDay[[#This Row],[Retail Hours]])),DaybyDay[[#This Row],[Est-Retail-Payroll]]/(DaybyDay[[#This Row],[Retail-Actuals]]),"")</f>
        <v/>
      </c>
      <c r="AV1287" s="82">
        <f>DaybyDay[[#This Row],[Est-Retail-PayrollRU]]/DaybyDay[[#This Row],[Simple-Forecast-Retail]]</f>
        <v>1.1832307840080701E-2</v>
      </c>
      <c r="AW1287" s="8"/>
      <c r="AX1287" s="15"/>
      <c r="AY1287" s="8"/>
    </row>
    <row r="1288" spans="3:51" hidden="1" x14ac:dyDescent="0.25">
      <c r="C1288" s="26" t="str">
        <f>Tools!$C$1</f>
        <v>Example</v>
      </c>
      <c r="D1288" s="27" t="s">
        <v>74</v>
      </c>
      <c r="E1288" s="28">
        <v>2020</v>
      </c>
      <c r="F1288" s="28">
        <f>MATCH(DaybyDay[[#This Row],[RowMonth]],Table3[SummaryMonth],0)</f>
        <v>7</v>
      </c>
      <c r="G1288" s="29">
        <f>MATCH(DaybyDay[[#This Row],[LY-Date]],DaybyDay[Date],0)</f>
        <v>918</v>
      </c>
      <c r="H1288" s="30">
        <f>WEEKDAY(DaybyDay[[#This Row],[Date]])</f>
        <v>1</v>
      </c>
      <c r="I1288" s="31">
        <v>44017</v>
      </c>
      <c r="J1288" s="74"/>
      <c r="K1288" s="32">
        <f>SUMIFS(BudgetSeasonality[365 Seasonality],BudgetSeasonality[MonthAdjustment],DaybyDay[[#This Row],[Date]])*SUMIFS(Budgets[Service-Budget],Budgets[BudgetMonth],DaybyDay[[#This Row],[RowMonth]],Budgets[BudgetYear],DaybyDay[[#This Row],[RowYear]])</f>
        <v>5762.5593774743011</v>
      </c>
      <c r="L1288" s="75"/>
      <c r="M1288" s="32">
        <f>INDEX(BudgetSeasonality[365 Seasonality],MATCH(DaybyDay[[#This Row],[Date]],BudgetSeasonality[MonthAdjustment],0))*SUMIFS(Budgets[Retail-Budget],Budgets[BudgetMonth],DaybyDay[[#This Row],[RowMonth]],Budgets[BudgetYear],DaybyDay[[#This Row],[RowYear]])</f>
        <v>1437.3394873941338</v>
      </c>
      <c r="N1288" s="75"/>
      <c r="O1288" s="33">
        <f>SUMIFS(DaybyDay[Service-Budgets],DaybyDay[Date],"&gt;="&amp;$C$5,DaybyDay[RowYear],"&gt;="&amp;$C$4,DaybyDay[Date],"&lt;="&amp;DaybyDay[[#This Row],[Date]])</f>
        <v>1007045.9805678502</v>
      </c>
      <c r="P1288" s="33">
        <f>SUMIFS(DaybyDay[Retail-Budgets],DaybyDay[Date],"&gt;="&amp;$C$5,DaybyDay[RowYear],"&gt;="&amp;$C$4,DaybyDay[Date],"&lt;="&amp;DaybyDay[[#This Row],[Date]])</f>
        <v>253176.90886775669</v>
      </c>
      <c r="Q1288" s="34">
        <f>SUMIFS(DaybyDay[Service-Actuals],DaybyDay[Date],"&gt;="&amp;$C$5,DaybyDay[RowYear],"&gt;="&amp;$C$4,DaybyDay[Date],"&lt;="&amp;DaybyDay[[#This Row],[Date]])</f>
        <v>385554.23</v>
      </c>
      <c r="R1288" s="34">
        <f>SUMIFS(DaybyDay[Retail-Actuals],DaybyDay[Date],"&gt;="&amp;$C$5,DaybyDay[RowYear],"&gt;="&amp;$C$4,DaybyDay[Date],"&lt;="&amp;DaybyDay[[#This Row],[Date]])</f>
        <v>88360.030000000028</v>
      </c>
      <c r="S1288" s="35">
        <f>SUMIFS(DaybyDay[Service-LY],DaybyDay[Date],"&gt;="&amp;$C$5,DaybyDay[RowYear],"&gt;="&amp;$C$4,DaybyDay[Date],"&lt;="&amp;DaybyDay[[#This Row],[Date]])</f>
        <v>924010.83999999962</v>
      </c>
      <c r="T1288" s="35">
        <f>SUMIFS(DaybyDay[Retail-LY],DaybyDay[Date],"&gt;="&amp;$C$5,DaybyDay[RowYear],"&gt;="&amp;$C$4,DaybyDay[Date],"&lt;="&amp;DaybyDay[[#This Row],[Date]])</f>
        <v>224204.03</v>
      </c>
      <c r="U1288" s="32">
        <f>DaybyDay[[#This Row],[Serv-Bud-RU]]+DaybyDay[[#This Row],[Ret-Bud-RU]]</f>
        <v>1260222.8894356068</v>
      </c>
      <c r="V1288" s="32">
        <f>DaybyDay[[#This Row],[Serv-Act-RU]]+DaybyDay[[#This Row],[Ret-Act-RU]]</f>
        <v>473914.26</v>
      </c>
      <c r="W1288" s="36" t="str">
        <f>IF(DaybyDay[[#This Row],[_Space]],IFERROR(
((DaybyDay[[#This Row],[Actual-Rollup]]-DaybyDay[[#This Row],[Budget-Rollup]])/DaybyDay[[#This Row],[Budget-Rollup]]),0),"")</f>
        <v/>
      </c>
      <c r="X1288" t="b">
        <f>NOT(AND(ISBLANK(DaybyDay[[#This Row],[Appts]]),ISBLANK(DaybyDay[[#This Row],[Service-Actuals]]),ISBLANK(DaybyDay[[#This Row],[Retail-Actuals]])))</f>
        <v>0</v>
      </c>
      <c r="Y1288" s="36" t="str">
        <f>IF(DaybyDay[[#This Row],[_Space]],IFERROR(
((DaybyDay[[#This Row],[Actual-Rollup]]-DaybyDay[[#This Row],[LY-Rollup]])/DaybyDay[[#This Row],[LY-Rollup]]),0),"")</f>
        <v/>
      </c>
      <c r="Z1288"/>
      <c r="AA1288" s="37" t="str">
        <f>IF(DaybyDay[[#This Row],[_Space]],DaybyDay[[#This Row],[Ret-Act-RU]]/DaybyDay[[#This Row],[Serv-Act-RU]],"")</f>
        <v/>
      </c>
      <c r="AB1288" s="50" t="str">
        <f>IF(DaybyDay[[#This Row],[_Space]],DaybyDay[[#This Row],[RETPEN-Act]]/DaybyDay[[#This Row],[RETPEN-Bud]],"")</f>
        <v/>
      </c>
      <c r="AC1288" s="37" t="str">
        <f>IF(DaybyDay[[#This Row],[_Space]],DaybyDay[[#This Row],[Ret-Bud-RU]]/DaybyDay[[#This Row],[Serv-Bud-RU]],"")</f>
        <v/>
      </c>
      <c r="AD1288" s="37" t="str">
        <f>IF(DaybyDay[[#This Row],[_Space]],DaybyDay[[#This Row],[Ret-LY-RU]]/DaybyDay[[#This Row],[Serv-LY-RU]],"")</f>
        <v/>
      </c>
      <c r="AE1288" s="30">
        <f>WEEKDAY(DaybyDay[[#This Row],[LY-Date]])</f>
        <v>1</v>
      </c>
      <c r="AF1288" s="38">
        <f>$E$2+_xlfn.DAYS(DaybyDay[[#This Row],[Date]],minDate)</f>
        <v>43653</v>
      </c>
      <c r="AG1288" s="39" cm="1">
        <f t="array" ref="AG1288">IFERROR(INDEX(DaybyDay[],DaybyDay[[#This Row],[FORM_MATCH_HELPER]],8),"")</f>
        <v>27</v>
      </c>
      <c r="AH1288" s="39" cm="1">
        <f t="array" ref="AH1288">IFERROR(INDEX(DaybyDay[],DaybyDay[[#This Row],[FORM_MATCH_HELPER]],10),"")</f>
        <v>4180</v>
      </c>
      <c r="AI1288" s="39" cm="1">
        <f t="array" ref="AI1288">IFERROR(INDEX(DaybyDay[],DaybyDay[[#This Row],[FORM_MATCH_HELPER]],12),"")</f>
        <v>348.97</v>
      </c>
      <c r="AJ1288" s="32">
        <f>IFERROR(DaybyDay[[#This Row],[Serv-LY-RU]]+DaybyDay[[#This Row],[Ret-LY-RU]],"")</f>
        <v>1148214.8699999996</v>
      </c>
      <c r="AK12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1141840.2074082193</v>
      </c>
      <c r="AL1288" s="77"/>
      <c r="AM1288" s="40" t="str">
        <f>IF(DaybyDay[[#This Row],[Admin Hours]]&gt;0,DaybyDay[[#This Row],[Admin Hours]]*$AM$2+$AM$3,"")</f>
        <v/>
      </c>
      <c r="AN1288" s="40">
        <f>SUMIFS(DaybyDay[Est-Admin-Payroll],DaybyDay[Date],"&gt;="&amp;$C$5,DaybyDay[RowYear],"&gt;="&amp;$C$4,DaybyDay[Date],"&lt;="&amp;DaybyDay[[#This Row],[Date]])</f>
        <v>13941.779999999997</v>
      </c>
      <c r="AO1288" s="41" t="str">
        <f>IF(AND(DaybyDay[[#This Row],[_Space]],ISNUMBER(DaybyDay[[#This Row],[Admin Hours]])),DaybyDay[[#This Row],[Est-Admin-Payroll]]/(DaybyDay[[#This Row],[Service-Actuals]]+DaybyDay[[#This Row],[Retail-Actuals]]),"")</f>
        <v/>
      </c>
      <c r="AP1288" s="41">
        <f>DaybyDay[[#This Row],[Estimated-Payroll-Rollup]]/DaybyDay[[#This Row],[Simple-Forecast]]</f>
        <v>1.220992211479874E-2</v>
      </c>
      <c r="AQ12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222811.1285002564</v>
      </c>
      <c r="AR1288" s="77"/>
      <c r="AS1288" s="40" t="str">
        <f>IF(DaybyDay[[#This Row],[Retail Hours]]&gt;0,DaybyDay[[#This Row],[Retail Hours]]*$AS$2,"")</f>
        <v/>
      </c>
      <c r="AT1288" s="40">
        <f>SUMIFS(DaybyDay[Est-Retail-Payroll],DaybyDay[Date],"&gt;="&amp;$C$5,DaybyDay[RowYear],"&gt;="&amp;$C$4,DaybyDay[Date],"&lt;="&amp;DaybyDay[[#This Row],[Date]])</f>
        <v>2627.1</v>
      </c>
      <c r="AU1288" s="82" t="str">
        <f>IF(AND(DaybyDay[[#This Row],[_Space]],ISNUMBER(DaybyDay[[#This Row],[Retail Hours]])),DaybyDay[[#This Row],[Est-Retail-Payroll]]/(DaybyDay[[#This Row],[Retail-Actuals]]),"")</f>
        <v/>
      </c>
      <c r="AV1288" s="82">
        <f>DaybyDay[[#This Row],[Est-Retail-PayrollRU]]/DaybyDay[[#This Row],[Simple-Forecast-Retail]]</f>
        <v>1.1790703712525637E-2</v>
      </c>
      <c r="AW1288" s="8"/>
      <c r="AX1288" s="15"/>
      <c r="AY1288" s="8"/>
    </row>
    <row r="1289" spans="3:51" hidden="1" x14ac:dyDescent="0.25">
      <c r="C1289" s="26" t="str">
        <f>Tools!$C$1</f>
        <v>Example</v>
      </c>
      <c r="D1289" s="27" t="s">
        <v>74</v>
      </c>
      <c r="E1289" s="28">
        <v>2020</v>
      </c>
      <c r="F1289" s="28">
        <f>MATCH(DaybyDay[[#This Row],[RowMonth]],Table3[SummaryMonth],0)</f>
        <v>7</v>
      </c>
      <c r="G1289" s="29">
        <f>MATCH(DaybyDay[[#This Row],[LY-Date]],DaybyDay[Date],0)</f>
        <v>919</v>
      </c>
      <c r="H1289" s="30">
        <f>WEEKDAY(DaybyDay[[#This Row],[Date]])</f>
        <v>2</v>
      </c>
      <c r="I1289" s="31">
        <v>44018</v>
      </c>
      <c r="J1289" s="74"/>
      <c r="K1289" s="32">
        <f>SUMIFS(BudgetSeasonality[365 Seasonality],BudgetSeasonality[MonthAdjustment],DaybyDay[[#This Row],[Date]])*SUMIFS(Budgets[Service-Budget],Budgets[BudgetMonth],DaybyDay[[#This Row],[RowMonth]],Budgets[BudgetYear],DaybyDay[[#This Row],[RowYear]])</f>
        <v>2981.8494982194211</v>
      </c>
      <c r="L1289" s="75"/>
      <c r="M1289" s="32">
        <f>INDEX(BudgetSeasonality[365 Seasonality],MATCH(DaybyDay[[#This Row],[Date]],BudgetSeasonality[MonthAdjustment],0))*SUMIFS(Budgets[Retail-Budget],Budgets[BudgetMonth],DaybyDay[[#This Row],[RowMonth]],Budgets[BudgetYear],DaybyDay[[#This Row],[RowYear]])</f>
        <v>743.75459730805551</v>
      </c>
      <c r="N1289" s="75"/>
      <c r="O1289" s="33">
        <f>SUMIFS(DaybyDay[Service-Budgets],DaybyDay[Date],"&gt;="&amp;$C$5,DaybyDay[RowYear],"&gt;="&amp;$C$4,DaybyDay[Date],"&lt;="&amp;DaybyDay[[#This Row],[Date]])</f>
        <v>1010027.8300660696</v>
      </c>
      <c r="P1289" s="33">
        <f>SUMIFS(DaybyDay[Retail-Budgets],DaybyDay[Date],"&gt;="&amp;$C$5,DaybyDay[RowYear],"&gt;="&amp;$C$4,DaybyDay[Date],"&lt;="&amp;DaybyDay[[#This Row],[Date]])</f>
        <v>253920.66346506475</v>
      </c>
      <c r="Q1289" s="34">
        <f>SUMIFS(DaybyDay[Service-Actuals],DaybyDay[Date],"&gt;="&amp;$C$5,DaybyDay[RowYear],"&gt;="&amp;$C$4,DaybyDay[Date],"&lt;="&amp;DaybyDay[[#This Row],[Date]])</f>
        <v>385554.23</v>
      </c>
      <c r="R1289" s="34">
        <f>SUMIFS(DaybyDay[Retail-Actuals],DaybyDay[Date],"&gt;="&amp;$C$5,DaybyDay[RowYear],"&gt;="&amp;$C$4,DaybyDay[Date],"&lt;="&amp;DaybyDay[[#This Row],[Date]])</f>
        <v>88360.030000000028</v>
      </c>
      <c r="S1289" s="35">
        <f>SUMIFS(DaybyDay[Service-LY],DaybyDay[Date],"&gt;="&amp;$C$5,DaybyDay[RowYear],"&gt;="&amp;$C$4,DaybyDay[Date],"&lt;="&amp;DaybyDay[[#This Row],[Date]])</f>
        <v>926633.83999999962</v>
      </c>
      <c r="T1289" s="35">
        <f>SUMIFS(DaybyDay[Retail-LY],DaybyDay[Date],"&gt;="&amp;$C$5,DaybyDay[RowYear],"&gt;="&amp;$C$4,DaybyDay[Date],"&lt;="&amp;DaybyDay[[#This Row],[Date]])</f>
        <v>224844.03</v>
      </c>
      <c r="U1289" s="32">
        <f>DaybyDay[[#This Row],[Serv-Bud-RU]]+DaybyDay[[#This Row],[Ret-Bud-RU]]</f>
        <v>1263948.4935311344</v>
      </c>
      <c r="V1289" s="32">
        <f>DaybyDay[[#This Row],[Serv-Act-RU]]+DaybyDay[[#This Row],[Ret-Act-RU]]</f>
        <v>473914.26</v>
      </c>
      <c r="W1289" s="36" t="str">
        <f>IF(DaybyDay[[#This Row],[_Space]],IFERROR(
((DaybyDay[[#This Row],[Actual-Rollup]]-DaybyDay[[#This Row],[Budget-Rollup]])/DaybyDay[[#This Row],[Budget-Rollup]]),0),"")</f>
        <v/>
      </c>
      <c r="X1289" t="b">
        <f>NOT(AND(ISBLANK(DaybyDay[[#This Row],[Appts]]),ISBLANK(DaybyDay[[#This Row],[Service-Actuals]]),ISBLANK(DaybyDay[[#This Row],[Retail-Actuals]])))</f>
        <v>0</v>
      </c>
      <c r="Y1289" s="36" t="str">
        <f>IF(DaybyDay[[#This Row],[_Space]],IFERROR(
((DaybyDay[[#This Row],[Actual-Rollup]]-DaybyDay[[#This Row],[LY-Rollup]])/DaybyDay[[#This Row],[LY-Rollup]]),0),"")</f>
        <v/>
      </c>
      <c r="Z1289"/>
      <c r="AA1289" s="37" t="str">
        <f>IF(DaybyDay[[#This Row],[_Space]],DaybyDay[[#This Row],[Ret-Act-RU]]/DaybyDay[[#This Row],[Serv-Act-RU]],"")</f>
        <v/>
      </c>
      <c r="AB1289" s="50" t="str">
        <f>IF(DaybyDay[[#This Row],[_Space]],DaybyDay[[#This Row],[RETPEN-Act]]/DaybyDay[[#This Row],[RETPEN-Bud]],"")</f>
        <v/>
      </c>
      <c r="AC1289" s="37" t="str">
        <f>IF(DaybyDay[[#This Row],[_Space]],DaybyDay[[#This Row],[Ret-Bud-RU]]/DaybyDay[[#This Row],[Serv-Bud-RU]],"")</f>
        <v/>
      </c>
      <c r="AD1289" s="37" t="str">
        <f>IF(DaybyDay[[#This Row],[_Space]],DaybyDay[[#This Row],[Ret-LY-RU]]/DaybyDay[[#This Row],[Serv-LY-RU]],"")</f>
        <v/>
      </c>
      <c r="AE1289" s="30">
        <f>WEEKDAY(DaybyDay[[#This Row],[LY-Date]])</f>
        <v>2</v>
      </c>
      <c r="AF1289" s="38">
        <f>$E$2+_xlfn.DAYS(DaybyDay[[#This Row],[Date]],minDate)</f>
        <v>43654</v>
      </c>
      <c r="AG1289" s="39" cm="1">
        <f t="array" ref="AG1289">IFERROR(INDEX(DaybyDay[],DaybyDay[[#This Row],[FORM_MATCH_HELPER]],8),"")</f>
        <v>14</v>
      </c>
      <c r="AH1289" s="39" cm="1">
        <f t="array" ref="AH1289">IFERROR(INDEX(DaybyDay[],DaybyDay[[#This Row],[FORM_MATCH_HELPER]],10),"")</f>
        <v>2623</v>
      </c>
      <c r="AI1289" s="39" cm="1">
        <f t="array" ref="AI1289">IFERROR(INDEX(DaybyDay[],DaybyDay[[#This Row],[FORM_MATCH_HELPER]],12),"")</f>
        <v>640</v>
      </c>
      <c r="AJ1289" s="32">
        <f>IFERROR(DaybyDay[[#This Row],[Serv-LY-RU]]+DaybyDay[[#This Row],[Ret-LY-RU]],"")</f>
        <v>1151477.8699999996</v>
      </c>
      <c r="AK12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1145033.7110775202</v>
      </c>
      <c r="AL1289" s="77"/>
      <c r="AM1289" s="40" t="str">
        <f>IF(DaybyDay[[#This Row],[Admin Hours]]&gt;0,DaybyDay[[#This Row],[Admin Hours]]*$AM$2+$AM$3,"")</f>
        <v/>
      </c>
      <c r="AN1289" s="40">
        <f>SUMIFS(DaybyDay[Est-Admin-Payroll],DaybyDay[Date],"&gt;="&amp;$C$5,DaybyDay[RowYear],"&gt;="&amp;$C$4,DaybyDay[Date],"&lt;="&amp;DaybyDay[[#This Row],[Date]])</f>
        <v>13941.779999999997</v>
      </c>
      <c r="AO1289" s="41" t="str">
        <f>IF(AND(DaybyDay[[#This Row],[_Space]],ISNUMBER(DaybyDay[[#This Row],[Admin Hours]])),DaybyDay[[#This Row],[Est-Admin-Payroll]]/(DaybyDay[[#This Row],[Service-Actuals]]+DaybyDay[[#This Row],[Retail-Actuals]]),"")</f>
        <v/>
      </c>
      <c r="AP1289" s="41">
        <f>DaybyDay[[#This Row],[Estimated-Payroll-Rollup]]/DaybyDay[[#This Row],[Simple-Forecast]]</f>
        <v>1.2175868592445417E-2</v>
      </c>
      <c r="AQ12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223443.03576052643</v>
      </c>
      <c r="AR1289" s="77"/>
      <c r="AS1289" s="40" t="str">
        <f>IF(DaybyDay[[#This Row],[Retail Hours]]&gt;0,DaybyDay[[#This Row],[Retail Hours]]*$AS$2,"")</f>
        <v/>
      </c>
      <c r="AT1289" s="40">
        <f>SUMIFS(DaybyDay[Est-Retail-Payroll],DaybyDay[Date],"&gt;="&amp;$C$5,DaybyDay[RowYear],"&gt;="&amp;$C$4,DaybyDay[Date],"&lt;="&amp;DaybyDay[[#This Row],[Date]])</f>
        <v>2627.1</v>
      </c>
      <c r="AU1289" s="82" t="str">
        <f>IF(AND(DaybyDay[[#This Row],[_Space]],ISNUMBER(DaybyDay[[#This Row],[Retail Hours]])),DaybyDay[[#This Row],[Est-Retail-Payroll]]/(DaybyDay[[#This Row],[Retail-Actuals]]),"")</f>
        <v/>
      </c>
      <c r="AV1289" s="82">
        <f>DaybyDay[[#This Row],[Est-Retail-PayrollRU]]/DaybyDay[[#This Row],[Simple-Forecast-Retail]]</f>
        <v>1.1757359056003771E-2</v>
      </c>
      <c r="AW1289" s="8"/>
      <c r="AX1289" s="15"/>
      <c r="AY1289" s="8"/>
    </row>
    <row r="1290" spans="3:51" hidden="1" x14ac:dyDescent="0.25">
      <c r="C1290" s="26" t="str">
        <f>Tools!$C$1</f>
        <v>Example</v>
      </c>
      <c r="D1290" s="27" t="s">
        <v>74</v>
      </c>
      <c r="E1290" s="28">
        <v>2020</v>
      </c>
      <c r="F1290" s="28">
        <f>MATCH(DaybyDay[[#This Row],[RowMonth]],Table3[SummaryMonth],0)</f>
        <v>7</v>
      </c>
      <c r="G1290" s="29">
        <f>MATCH(DaybyDay[[#This Row],[LY-Date]],DaybyDay[Date],0)</f>
        <v>920</v>
      </c>
      <c r="H1290" s="30">
        <f>WEEKDAY(DaybyDay[[#This Row],[Date]])</f>
        <v>3</v>
      </c>
      <c r="I1290" s="31">
        <v>44019</v>
      </c>
      <c r="J1290" s="74"/>
      <c r="K1290" s="32">
        <f>SUMIFS(BudgetSeasonality[365 Seasonality],BudgetSeasonality[MonthAdjustment],DaybyDay[[#This Row],[Date]])*SUMIFS(Budgets[Service-Budget],Budgets[BudgetMonth],DaybyDay[[#This Row],[RowMonth]],Budgets[BudgetYear],DaybyDay[[#This Row],[RowYear]])</f>
        <v>3113.8564130661011</v>
      </c>
      <c r="L1290" s="75"/>
      <c r="M1290" s="32">
        <f>INDEX(BudgetSeasonality[365 Seasonality],MATCH(DaybyDay[[#This Row],[Date]],BudgetSeasonality[MonthAdjustment],0))*SUMIFS(Budgets[Retail-Budget],Budgets[BudgetMonth],DaybyDay[[#This Row],[RowMonth]],Budgets[BudgetYear],DaybyDay[[#This Row],[RowYear]])</f>
        <v>776.68072247040823</v>
      </c>
      <c r="N1290" s="75"/>
      <c r="O1290" s="33">
        <f>SUMIFS(DaybyDay[Service-Budgets],DaybyDay[Date],"&gt;="&amp;$C$5,DaybyDay[RowYear],"&gt;="&amp;$C$4,DaybyDay[Date],"&lt;="&amp;DaybyDay[[#This Row],[Date]])</f>
        <v>1013141.6864791358</v>
      </c>
      <c r="P1290" s="33">
        <f>SUMIFS(DaybyDay[Retail-Budgets],DaybyDay[Date],"&gt;="&amp;$C$5,DaybyDay[RowYear],"&gt;="&amp;$C$4,DaybyDay[Date],"&lt;="&amp;DaybyDay[[#This Row],[Date]])</f>
        <v>254697.34418753514</v>
      </c>
      <c r="Q1290" s="34">
        <f>SUMIFS(DaybyDay[Service-Actuals],DaybyDay[Date],"&gt;="&amp;$C$5,DaybyDay[RowYear],"&gt;="&amp;$C$4,DaybyDay[Date],"&lt;="&amp;DaybyDay[[#This Row],[Date]])</f>
        <v>385554.23</v>
      </c>
      <c r="R1290" s="34">
        <f>SUMIFS(DaybyDay[Retail-Actuals],DaybyDay[Date],"&gt;="&amp;$C$5,DaybyDay[RowYear],"&gt;="&amp;$C$4,DaybyDay[Date],"&lt;="&amp;DaybyDay[[#This Row],[Date]])</f>
        <v>88360.030000000028</v>
      </c>
      <c r="S1290" s="35">
        <f>SUMIFS(DaybyDay[Service-LY],DaybyDay[Date],"&gt;="&amp;$C$5,DaybyDay[RowYear],"&gt;="&amp;$C$4,DaybyDay[Date],"&lt;="&amp;DaybyDay[[#This Row],[Date]])</f>
        <v>929562.03999999957</v>
      </c>
      <c r="T1290" s="35">
        <f>SUMIFS(DaybyDay[Retail-LY],DaybyDay[Date],"&gt;="&amp;$C$5,DaybyDay[RowYear],"&gt;="&amp;$C$4,DaybyDay[Date],"&lt;="&amp;DaybyDay[[#This Row],[Date]])</f>
        <v>225761.03</v>
      </c>
      <c r="U1290" s="32">
        <f>DaybyDay[[#This Row],[Serv-Bud-RU]]+DaybyDay[[#This Row],[Ret-Bud-RU]]</f>
        <v>1267839.030666671</v>
      </c>
      <c r="V1290" s="32">
        <f>DaybyDay[[#This Row],[Serv-Act-RU]]+DaybyDay[[#This Row],[Ret-Act-RU]]</f>
        <v>473914.26</v>
      </c>
      <c r="W1290" s="36" t="str">
        <f>IF(DaybyDay[[#This Row],[_Space]],IFERROR(
((DaybyDay[[#This Row],[Actual-Rollup]]-DaybyDay[[#This Row],[Budget-Rollup]])/DaybyDay[[#This Row],[Budget-Rollup]]),0),"")</f>
        <v/>
      </c>
      <c r="X1290" t="b">
        <f>NOT(AND(ISBLANK(DaybyDay[[#This Row],[Appts]]),ISBLANK(DaybyDay[[#This Row],[Service-Actuals]]),ISBLANK(DaybyDay[[#This Row],[Retail-Actuals]])))</f>
        <v>0</v>
      </c>
      <c r="Y1290" s="36" t="str">
        <f>IF(DaybyDay[[#This Row],[_Space]],IFERROR(
((DaybyDay[[#This Row],[Actual-Rollup]]-DaybyDay[[#This Row],[LY-Rollup]])/DaybyDay[[#This Row],[LY-Rollup]]),0),"")</f>
        <v/>
      </c>
      <c r="Z1290"/>
      <c r="AA1290" s="37" t="str">
        <f>IF(DaybyDay[[#This Row],[_Space]],DaybyDay[[#This Row],[Ret-Act-RU]]/DaybyDay[[#This Row],[Serv-Act-RU]],"")</f>
        <v/>
      </c>
      <c r="AB1290" s="50" t="str">
        <f>IF(DaybyDay[[#This Row],[_Space]],DaybyDay[[#This Row],[RETPEN-Act]]/DaybyDay[[#This Row],[RETPEN-Bud]],"")</f>
        <v/>
      </c>
      <c r="AC1290" s="37" t="str">
        <f>IF(DaybyDay[[#This Row],[_Space]],DaybyDay[[#This Row],[Ret-Bud-RU]]/DaybyDay[[#This Row],[Serv-Bud-RU]],"")</f>
        <v/>
      </c>
      <c r="AD1290" s="37" t="str">
        <f>IF(DaybyDay[[#This Row],[_Space]],DaybyDay[[#This Row],[Ret-LY-RU]]/DaybyDay[[#This Row],[Serv-LY-RU]],"")</f>
        <v/>
      </c>
      <c r="AE1290" s="30">
        <f>WEEKDAY(DaybyDay[[#This Row],[LY-Date]])</f>
        <v>3</v>
      </c>
      <c r="AF1290" s="38">
        <f>$E$2+_xlfn.DAYS(DaybyDay[[#This Row],[Date]],minDate)</f>
        <v>43655</v>
      </c>
      <c r="AG1290" s="39" cm="1">
        <f t="array" ref="AG1290">IFERROR(INDEX(DaybyDay[],DaybyDay[[#This Row],[FORM_MATCH_HELPER]],8),"")</f>
        <v>20</v>
      </c>
      <c r="AH1290" s="39" cm="1">
        <f t="array" ref="AH1290">IFERROR(INDEX(DaybyDay[],DaybyDay[[#This Row],[FORM_MATCH_HELPER]],10),"")</f>
        <v>2928.2</v>
      </c>
      <c r="AI1290" s="39" cm="1">
        <f t="array" ref="AI1290">IFERROR(INDEX(DaybyDay[],DaybyDay[[#This Row],[FORM_MATCH_HELPER]],12),"")</f>
        <v>917</v>
      </c>
      <c r="AJ1290" s="32">
        <f>IFERROR(DaybyDay[[#This Row],[Serv-LY-RU]]+DaybyDay[[#This Row],[Ret-LY-RU]],"")</f>
        <v>1155323.0699999996</v>
      </c>
      <c r="AK12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1148584.419572209</v>
      </c>
      <c r="AL1290" s="77"/>
      <c r="AM1290" s="40" t="str">
        <f>IF(DaybyDay[[#This Row],[Admin Hours]]&gt;0,DaybyDay[[#This Row],[Admin Hours]]*$AM$2+$AM$3,"")</f>
        <v/>
      </c>
      <c r="AN1290" s="40">
        <f>SUMIFS(DaybyDay[Est-Admin-Payroll],DaybyDay[Date],"&gt;="&amp;$C$5,DaybyDay[RowYear],"&gt;="&amp;$C$4,DaybyDay[Date],"&lt;="&amp;DaybyDay[[#This Row],[Date]])</f>
        <v>13941.779999999997</v>
      </c>
      <c r="AO1290" s="41" t="str">
        <f>IF(AND(DaybyDay[[#This Row],[_Space]],ISNUMBER(DaybyDay[[#This Row],[Admin Hours]])),DaybyDay[[#This Row],[Est-Admin-Payroll]]/(DaybyDay[[#This Row],[Service-Actuals]]+DaybyDay[[#This Row],[Retail-Actuals]]),"")</f>
        <v/>
      </c>
      <c r="AP1290" s="41">
        <f>DaybyDay[[#This Row],[Estimated-Payroll-Rollup]]/DaybyDay[[#This Row],[Simple-Forecast]]</f>
        <v>1.213822838132579E-2</v>
      </c>
      <c r="AQ12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224225.52127857768</v>
      </c>
      <c r="AR1290" s="77"/>
      <c r="AS1290" s="40" t="str">
        <f>IF(DaybyDay[[#This Row],[Retail Hours]]&gt;0,DaybyDay[[#This Row],[Retail Hours]]*$AS$2,"")</f>
        <v/>
      </c>
      <c r="AT1290" s="40">
        <f>SUMIFS(DaybyDay[Est-Retail-Payroll],DaybyDay[Date],"&gt;="&amp;$C$5,DaybyDay[RowYear],"&gt;="&amp;$C$4,DaybyDay[Date],"&lt;="&amp;DaybyDay[[#This Row],[Date]])</f>
        <v>2627.1</v>
      </c>
      <c r="AU1290" s="82" t="str">
        <f>IF(AND(DaybyDay[[#This Row],[_Space]],ISNUMBER(DaybyDay[[#This Row],[Retail Hours]])),DaybyDay[[#This Row],[Est-Retail-Payroll]]/(DaybyDay[[#This Row],[Retail-Actuals]]),"")</f>
        <v/>
      </c>
      <c r="AV1290" s="82">
        <f>DaybyDay[[#This Row],[Est-Retail-PayrollRU]]/DaybyDay[[#This Row],[Simple-Forecast-Retail]]</f>
        <v>1.1716329100361828E-2</v>
      </c>
      <c r="AW1290" s="8"/>
      <c r="AX1290" s="15"/>
      <c r="AY1290" s="8"/>
    </row>
    <row r="1291" spans="3:51" hidden="1" x14ac:dyDescent="0.25">
      <c r="C1291" s="26" t="str">
        <f>Tools!$C$1</f>
        <v>Example</v>
      </c>
      <c r="D1291" s="27" t="s">
        <v>74</v>
      </c>
      <c r="E1291" s="28">
        <v>2020</v>
      </c>
      <c r="F1291" s="28">
        <f>MATCH(DaybyDay[[#This Row],[RowMonth]],Table3[SummaryMonth],0)</f>
        <v>7</v>
      </c>
      <c r="G1291" s="29">
        <f>MATCH(DaybyDay[[#This Row],[LY-Date]],DaybyDay[Date],0)</f>
        <v>921</v>
      </c>
      <c r="H1291" s="30">
        <f>WEEKDAY(DaybyDay[[#This Row],[Date]])</f>
        <v>4</v>
      </c>
      <c r="I1291" s="31">
        <v>44020</v>
      </c>
      <c r="J1291" s="74"/>
      <c r="K1291" s="32">
        <f>SUMIFS(BudgetSeasonality[365 Seasonality],BudgetSeasonality[MonthAdjustment],DaybyDay[[#This Row],[Date]])*SUMIFS(Budgets[Service-Budget],Budgets[BudgetMonth],DaybyDay[[#This Row],[RowMonth]],Budgets[BudgetYear],DaybyDay[[#This Row],[RowYear]])</f>
        <v>3765.9927345101569</v>
      </c>
      <c r="L1291" s="75"/>
      <c r="M1291" s="32">
        <f>INDEX(BudgetSeasonality[365 Seasonality],MATCH(DaybyDay[[#This Row],[Date]],BudgetSeasonality[MonthAdjustment],0))*SUMIFS(Budgets[Retail-Budget],Budgets[BudgetMonth],DaybyDay[[#This Row],[RowMonth]],Budgets[BudgetYear],DaybyDay[[#This Row],[RowYear]])</f>
        <v>939.34130860502376</v>
      </c>
      <c r="N1291" s="75"/>
      <c r="O1291" s="33">
        <f>SUMIFS(DaybyDay[Service-Budgets],DaybyDay[Date],"&gt;="&amp;$C$5,DaybyDay[RowYear],"&gt;="&amp;$C$4,DaybyDay[Date],"&lt;="&amp;DaybyDay[[#This Row],[Date]])</f>
        <v>1016907.6792136459</v>
      </c>
      <c r="P1291" s="33">
        <f>SUMIFS(DaybyDay[Retail-Budgets],DaybyDay[Date],"&gt;="&amp;$C$5,DaybyDay[RowYear],"&gt;="&amp;$C$4,DaybyDay[Date],"&lt;="&amp;DaybyDay[[#This Row],[Date]])</f>
        <v>255636.68549614016</v>
      </c>
      <c r="Q1291" s="34">
        <f>SUMIFS(DaybyDay[Service-Actuals],DaybyDay[Date],"&gt;="&amp;$C$5,DaybyDay[RowYear],"&gt;="&amp;$C$4,DaybyDay[Date],"&lt;="&amp;DaybyDay[[#This Row],[Date]])</f>
        <v>385554.23</v>
      </c>
      <c r="R1291" s="34">
        <f>SUMIFS(DaybyDay[Retail-Actuals],DaybyDay[Date],"&gt;="&amp;$C$5,DaybyDay[RowYear],"&gt;="&amp;$C$4,DaybyDay[Date],"&lt;="&amp;DaybyDay[[#This Row],[Date]])</f>
        <v>88360.030000000028</v>
      </c>
      <c r="S1291" s="35">
        <f>SUMIFS(DaybyDay[Service-LY],DaybyDay[Date],"&gt;="&amp;$C$5,DaybyDay[RowYear],"&gt;="&amp;$C$4,DaybyDay[Date],"&lt;="&amp;DaybyDay[[#This Row],[Date]])</f>
        <v>933609.47999999952</v>
      </c>
      <c r="T1291" s="35">
        <f>SUMIFS(DaybyDay[Retail-LY],DaybyDay[Date],"&gt;="&amp;$C$5,DaybyDay[RowYear],"&gt;="&amp;$C$4,DaybyDay[Date],"&lt;="&amp;DaybyDay[[#This Row],[Date]])</f>
        <v>225993.53</v>
      </c>
      <c r="U1291" s="32">
        <f>DaybyDay[[#This Row],[Serv-Bud-RU]]+DaybyDay[[#This Row],[Ret-Bud-RU]]</f>
        <v>1272544.3647097861</v>
      </c>
      <c r="V1291" s="32">
        <f>DaybyDay[[#This Row],[Serv-Act-RU]]+DaybyDay[[#This Row],[Ret-Act-RU]]</f>
        <v>473914.26</v>
      </c>
      <c r="W1291" s="36" t="str">
        <f>IF(DaybyDay[[#This Row],[_Space]],IFERROR(
((DaybyDay[[#This Row],[Actual-Rollup]]-DaybyDay[[#This Row],[Budget-Rollup]])/DaybyDay[[#This Row],[Budget-Rollup]]),0),"")</f>
        <v/>
      </c>
      <c r="X1291" t="b">
        <f>NOT(AND(ISBLANK(DaybyDay[[#This Row],[Appts]]),ISBLANK(DaybyDay[[#This Row],[Service-Actuals]]),ISBLANK(DaybyDay[[#This Row],[Retail-Actuals]])))</f>
        <v>0</v>
      </c>
      <c r="Y1291" s="36" t="str">
        <f>IF(DaybyDay[[#This Row],[_Space]],IFERROR(
((DaybyDay[[#This Row],[Actual-Rollup]]-DaybyDay[[#This Row],[LY-Rollup]])/DaybyDay[[#This Row],[LY-Rollup]]),0),"")</f>
        <v/>
      </c>
      <c r="Z1291"/>
      <c r="AA1291" s="37" t="str">
        <f>IF(DaybyDay[[#This Row],[_Space]],DaybyDay[[#This Row],[Ret-Act-RU]]/DaybyDay[[#This Row],[Serv-Act-RU]],"")</f>
        <v/>
      </c>
      <c r="AB1291" s="50" t="str">
        <f>IF(DaybyDay[[#This Row],[_Space]],DaybyDay[[#This Row],[RETPEN-Act]]/DaybyDay[[#This Row],[RETPEN-Bud]],"")</f>
        <v/>
      </c>
      <c r="AC1291" s="37" t="str">
        <f>IF(DaybyDay[[#This Row],[_Space]],DaybyDay[[#This Row],[Ret-Bud-RU]]/DaybyDay[[#This Row],[Serv-Bud-RU]],"")</f>
        <v/>
      </c>
      <c r="AD1291" s="37" t="str">
        <f>IF(DaybyDay[[#This Row],[_Space]],DaybyDay[[#This Row],[Ret-LY-RU]]/DaybyDay[[#This Row],[Serv-LY-RU]],"")</f>
        <v/>
      </c>
      <c r="AE1291" s="30">
        <f>WEEKDAY(DaybyDay[[#This Row],[LY-Date]])</f>
        <v>4</v>
      </c>
      <c r="AF1291" s="38">
        <f>$E$2+_xlfn.DAYS(DaybyDay[[#This Row],[Date]],minDate)</f>
        <v>43656</v>
      </c>
      <c r="AG1291" s="39" cm="1">
        <f t="array" ref="AG1291">IFERROR(INDEX(DaybyDay[],DaybyDay[[#This Row],[FORM_MATCH_HELPER]],8),"")</f>
        <v>19</v>
      </c>
      <c r="AH1291" s="39" cm="1">
        <f t="array" ref="AH1291">IFERROR(INDEX(DaybyDay[],DaybyDay[[#This Row],[FORM_MATCH_HELPER]],10),"")</f>
        <v>4047.4399999999996</v>
      </c>
      <c r="AI1291" s="39" cm="1">
        <f t="array" ref="AI1291">IFERROR(INDEX(DaybyDay[],DaybyDay[[#This Row],[FORM_MATCH_HELPER]],12),"")</f>
        <v>232.5</v>
      </c>
      <c r="AJ1291" s="32">
        <f>IFERROR(DaybyDay[[#This Row],[Serv-LY-RU]]+DaybyDay[[#This Row],[Ret-LY-RU]],"")</f>
        <v>1159603.0099999995</v>
      </c>
      <c r="AK12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1152696.051464658</v>
      </c>
      <c r="AL1291" s="77"/>
      <c r="AM1291" s="40" t="str">
        <f>IF(DaybyDay[[#This Row],[Admin Hours]]&gt;0,DaybyDay[[#This Row],[Admin Hours]]*$AM$2+$AM$3,"")</f>
        <v/>
      </c>
      <c r="AN1291" s="40">
        <f>SUMIFS(DaybyDay[Est-Admin-Payroll],DaybyDay[Date],"&gt;="&amp;$C$5,DaybyDay[RowYear],"&gt;="&amp;$C$4,DaybyDay[Date],"&lt;="&amp;DaybyDay[[#This Row],[Date]])</f>
        <v>13941.779999999997</v>
      </c>
      <c r="AO1291" s="41" t="str">
        <f>IF(AND(DaybyDay[[#This Row],[_Space]],ISNUMBER(DaybyDay[[#This Row],[Admin Hours]])),DaybyDay[[#This Row],[Est-Admin-Payroll]]/(DaybyDay[[#This Row],[Service-Actuals]]+DaybyDay[[#This Row],[Retail-Actuals]]),"")</f>
        <v/>
      </c>
      <c r="AP1291" s="41">
        <f>DaybyDay[[#This Row],[Estimated-Payroll-Rollup]]/DaybyDay[[#This Row],[Simple-Forecast]]</f>
        <v>1.2094931688440381E-2</v>
      </c>
      <c r="AQ12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224739.70717630029</v>
      </c>
      <c r="AR1291" s="77"/>
      <c r="AS1291" s="40" t="str">
        <f>IF(DaybyDay[[#This Row],[Retail Hours]]&gt;0,DaybyDay[[#This Row],[Retail Hours]]*$AS$2,"")</f>
        <v/>
      </c>
      <c r="AT1291" s="40">
        <f>SUMIFS(DaybyDay[Est-Retail-Payroll],DaybyDay[Date],"&gt;="&amp;$C$5,DaybyDay[RowYear],"&gt;="&amp;$C$4,DaybyDay[Date],"&lt;="&amp;DaybyDay[[#This Row],[Date]])</f>
        <v>2627.1</v>
      </c>
      <c r="AU1291" s="82" t="str">
        <f>IF(AND(DaybyDay[[#This Row],[_Space]],ISNUMBER(DaybyDay[[#This Row],[Retail Hours]])),DaybyDay[[#This Row],[Est-Retail-Payroll]]/(DaybyDay[[#This Row],[Retail-Actuals]]),"")</f>
        <v/>
      </c>
      <c r="AV1291" s="82">
        <f>DaybyDay[[#This Row],[Est-Retail-PayrollRU]]/DaybyDay[[#This Row],[Simple-Forecast-Retail]]</f>
        <v>1.1689523106564936E-2</v>
      </c>
      <c r="AW1291" s="8"/>
      <c r="AX1291" s="15"/>
      <c r="AY1291" s="8"/>
    </row>
    <row r="1292" spans="3:51" hidden="1" x14ac:dyDescent="0.25">
      <c r="C1292" s="26" t="str">
        <f>Tools!$C$1</f>
        <v>Example</v>
      </c>
      <c r="D1292" s="27" t="s">
        <v>74</v>
      </c>
      <c r="E1292" s="28">
        <v>2020</v>
      </c>
      <c r="F1292" s="28">
        <f>MATCH(DaybyDay[[#This Row],[RowMonth]],Table3[SummaryMonth],0)</f>
        <v>7</v>
      </c>
      <c r="G1292" s="29">
        <f>MATCH(DaybyDay[[#This Row],[LY-Date]],DaybyDay[Date],0)</f>
        <v>922</v>
      </c>
      <c r="H1292" s="30">
        <f>WEEKDAY(DaybyDay[[#This Row],[Date]])</f>
        <v>5</v>
      </c>
      <c r="I1292" s="31">
        <v>44021</v>
      </c>
      <c r="J1292" s="74"/>
      <c r="K1292" s="32">
        <f>SUMIFS(BudgetSeasonality[365 Seasonality],BudgetSeasonality[MonthAdjustment],DaybyDay[[#This Row],[Date]])*SUMIFS(Budgets[Service-Budget],Budgets[BudgetMonth],DaybyDay[[#This Row],[RowMonth]],Budgets[BudgetYear],DaybyDay[[#This Row],[RowYear]])</f>
        <v>3912.9876371360451</v>
      </c>
      <c r="L1292" s="75"/>
      <c r="M1292" s="32">
        <f>INDEX(BudgetSeasonality[365 Seasonality],MATCH(DaybyDay[[#This Row],[Date]],BudgetSeasonality[MonthAdjustment],0))*SUMIFS(Budgets[Retail-Budget],Budgets[BudgetMonth],DaybyDay[[#This Row],[RowMonth]],Budgets[BudgetYear],DaybyDay[[#This Row],[RowYear]])</f>
        <v>976.00584672947923</v>
      </c>
      <c r="N1292" s="75"/>
      <c r="O1292" s="33">
        <f>SUMIFS(DaybyDay[Service-Budgets],DaybyDay[Date],"&gt;="&amp;$C$5,DaybyDay[RowYear],"&gt;="&amp;$C$4,DaybyDay[Date],"&lt;="&amp;DaybyDay[[#This Row],[Date]])</f>
        <v>1020820.6668507819</v>
      </c>
      <c r="P1292" s="33">
        <f>SUMIFS(DaybyDay[Retail-Budgets],DaybyDay[Date],"&gt;="&amp;$C$5,DaybyDay[RowYear],"&gt;="&amp;$C$4,DaybyDay[Date],"&lt;="&amp;DaybyDay[[#This Row],[Date]])</f>
        <v>256612.69134286963</v>
      </c>
      <c r="Q1292" s="34">
        <f>SUMIFS(DaybyDay[Service-Actuals],DaybyDay[Date],"&gt;="&amp;$C$5,DaybyDay[RowYear],"&gt;="&amp;$C$4,DaybyDay[Date],"&lt;="&amp;DaybyDay[[#This Row],[Date]])</f>
        <v>385554.23</v>
      </c>
      <c r="R1292" s="34">
        <f>SUMIFS(DaybyDay[Retail-Actuals],DaybyDay[Date],"&gt;="&amp;$C$5,DaybyDay[RowYear],"&gt;="&amp;$C$4,DaybyDay[Date],"&lt;="&amp;DaybyDay[[#This Row],[Date]])</f>
        <v>88360.030000000028</v>
      </c>
      <c r="S1292" s="35">
        <f>SUMIFS(DaybyDay[Service-LY],DaybyDay[Date],"&gt;="&amp;$C$5,DaybyDay[RowYear],"&gt;="&amp;$C$4,DaybyDay[Date],"&lt;="&amp;DaybyDay[[#This Row],[Date]])</f>
        <v>937255.96999999951</v>
      </c>
      <c r="T1292" s="35">
        <f>SUMIFS(DaybyDay[Retail-LY],DaybyDay[Date],"&gt;="&amp;$C$5,DaybyDay[RowYear],"&gt;="&amp;$C$4,DaybyDay[Date],"&lt;="&amp;DaybyDay[[#This Row],[Date]])</f>
        <v>226190.63</v>
      </c>
      <c r="U1292" s="32">
        <f>DaybyDay[[#This Row],[Serv-Bud-RU]]+DaybyDay[[#This Row],[Ret-Bud-RU]]</f>
        <v>1277433.3581936515</v>
      </c>
      <c r="V1292" s="32">
        <f>DaybyDay[[#This Row],[Serv-Act-RU]]+DaybyDay[[#This Row],[Ret-Act-RU]]</f>
        <v>473914.26</v>
      </c>
      <c r="W1292" s="36" t="str">
        <f>IF(DaybyDay[[#This Row],[_Space]],IFERROR(
((DaybyDay[[#This Row],[Actual-Rollup]]-DaybyDay[[#This Row],[Budget-Rollup]])/DaybyDay[[#This Row],[Budget-Rollup]]),0),"")</f>
        <v/>
      </c>
      <c r="X1292" t="b">
        <f>NOT(AND(ISBLANK(DaybyDay[[#This Row],[Appts]]),ISBLANK(DaybyDay[[#This Row],[Service-Actuals]]),ISBLANK(DaybyDay[[#This Row],[Retail-Actuals]])))</f>
        <v>0</v>
      </c>
      <c r="Y1292" s="36" t="str">
        <f>IF(DaybyDay[[#This Row],[_Space]],IFERROR(
((DaybyDay[[#This Row],[Actual-Rollup]]-DaybyDay[[#This Row],[LY-Rollup]])/DaybyDay[[#This Row],[LY-Rollup]]),0),"")</f>
        <v/>
      </c>
      <c r="Z1292"/>
      <c r="AA1292" s="37" t="str">
        <f>IF(DaybyDay[[#This Row],[_Space]],DaybyDay[[#This Row],[Ret-Act-RU]]/DaybyDay[[#This Row],[Serv-Act-RU]],"")</f>
        <v/>
      </c>
      <c r="AB1292" s="50" t="str">
        <f>IF(DaybyDay[[#This Row],[_Space]],DaybyDay[[#This Row],[RETPEN-Act]]/DaybyDay[[#This Row],[RETPEN-Bud]],"")</f>
        <v/>
      </c>
      <c r="AC1292" s="37" t="str">
        <f>IF(DaybyDay[[#This Row],[_Space]],DaybyDay[[#This Row],[Ret-Bud-RU]]/DaybyDay[[#This Row],[Serv-Bud-RU]],"")</f>
        <v/>
      </c>
      <c r="AD1292" s="37" t="str">
        <f>IF(DaybyDay[[#This Row],[_Space]],DaybyDay[[#This Row],[Ret-LY-RU]]/DaybyDay[[#This Row],[Serv-LY-RU]],"")</f>
        <v/>
      </c>
      <c r="AE1292" s="30">
        <f>WEEKDAY(DaybyDay[[#This Row],[LY-Date]])</f>
        <v>5</v>
      </c>
      <c r="AF1292" s="38">
        <f>$E$2+_xlfn.DAYS(DaybyDay[[#This Row],[Date]],minDate)</f>
        <v>43657</v>
      </c>
      <c r="AG1292" s="39" cm="1">
        <f t="array" ref="AG1292">IFERROR(INDEX(DaybyDay[],DaybyDay[[#This Row],[FORM_MATCH_HELPER]],8),"")</f>
        <v>19</v>
      </c>
      <c r="AH1292" s="39" cm="1">
        <f t="array" ref="AH1292">IFERROR(INDEX(DaybyDay[],DaybyDay[[#This Row],[FORM_MATCH_HELPER]],10),"")</f>
        <v>3646.4900000000002</v>
      </c>
      <c r="AI1292" s="39" cm="1">
        <f t="array" ref="AI1292">IFERROR(INDEX(DaybyDay[],DaybyDay[[#This Row],[FORM_MATCH_HELPER]],12),"")</f>
        <v>197.1</v>
      </c>
      <c r="AJ1292" s="32">
        <f>IFERROR(DaybyDay[[#This Row],[Serv-LY-RU]]+DaybyDay[[#This Row],[Ret-LY-RU]],"")</f>
        <v>1163446.5999999996</v>
      </c>
      <c r="AK12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1156670.6643757042</v>
      </c>
      <c r="AL1292" s="77"/>
      <c r="AM1292" s="40" t="str">
        <f>IF(DaybyDay[[#This Row],[Admin Hours]]&gt;0,DaybyDay[[#This Row],[Admin Hours]]*$AM$2+$AM$3,"")</f>
        <v/>
      </c>
      <c r="AN1292" s="40">
        <f>SUMIFS(DaybyDay[Est-Admin-Payroll],DaybyDay[Date],"&gt;="&amp;$C$5,DaybyDay[RowYear],"&gt;="&amp;$C$4,DaybyDay[Date],"&lt;="&amp;DaybyDay[[#This Row],[Date]])</f>
        <v>13941.779999999997</v>
      </c>
      <c r="AO1292" s="41" t="str">
        <f>IF(AND(DaybyDay[[#This Row],[_Space]],ISNUMBER(DaybyDay[[#This Row],[Admin Hours]])),DaybyDay[[#This Row],[Est-Admin-Payroll]]/(DaybyDay[[#This Row],[Service-Actuals]]+DaybyDay[[#This Row],[Retail-Actuals]]),"")</f>
        <v/>
      </c>
      <c r="AP1292" s="41">
        <f>DaybyDay[[#This Row],[Estimated-Payroll-Rollup]]/DaybyDay[[#This Row],[Simple-Forecast]]</f>
        <v>1.2053370444494556E-2</v>
      </c>
      <c r="AQ12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225252.03478189555</v>
      </c>
      <c r="AR1292" s="77"/>
      <c r="AS1292" s="40" t="str">
        <f>IF(DaybyDay[[#This Row],[Retail Hours]]&gt;0,DaybyDay[[#This Row],[Retail Hours]]*$AS$2,"")</f>
        <v/>
      </c>
      <c r="AT1292" s="40">
        <f>SUMIFS(DaybyDay[Est-Retail-Payroll],DaybyDay[Date],"&gt;="&amp;$C$5,DaybyDay[RowYear],"&gt;="&amp;$C$4,DaybyDay[Date],"&lt;="&amp;DaybyDay[[#This Row],[Date]])</f>
        <v>2627.1</v>
      </c>
      <c r="AU1292" s="82" t="str">
        <f>IF(AND(DaybyDay[[#This Row],[_Space]],ISNUMBER(DaybyDay[[#This Row],[Retail Hours]])),DaybyDay[[#This Row],[Est-Retail-Payroll]]/(DaybyDay[[#This Row],[Retail-Actuals]]),"")</f>
        <v/>
      </c>
      <c r="AV1292" s="82">
        <f>DaybyDay[[#This Row],[Est-Retail-PayrollRU]]/DaybyDay[[#This Row],[Simple-Forecast-Retail]]</f>
        <v>1.1662935709076894E-2</v>
      </c>
      <c r="AW1292" s="8"/>
      <c r="AX1292" s="15"/>
      <c r="AY1292" s="8"/>
    </row>
    <row r="1293" spans="3:51" hidden="1" x14ac:dyDescent="0.25">
      <c r="C1293" s="26" t="str">
        <f>Tools!$C$1</f>
        <v>Example</v>
      </c>
      <c r="D1293" s="27" t="s">
        <v>74</v>
      </c>
      <c r="E1293" s="28">
        <v>2020</v>
      </c>
      <c r="F1293" s="28">
        <f>MATCH(DaybyDay[[#This Row],[RowMonth]],Table3[SummaryMonth],0)</f>
        <v>7</v>
      </c>
      <c r="G1293" s="29">
        <f>MATCH(DaybyDay[[#This Row],[LY-Date]],DaybyDay[Date],0)</f>
        <v>923</v>
      </c>
      <c r="H1293" s="30">
        <f>WEEKDAY(DaybyDay[[#This Row],[Date]])</f>
        <v>6</v>
      </c>
      <c r="I1293" s="31">
        <v>44022</v>
      </c>
      <c r="J1293" s="74"/>
      <c r="K1293" s="32">
        <f>SUMIFS(BudgetSeasonality[365 Seasonality],BudgetSeasonality[MonthAdjustment],DaybyDay[[#This Row],[Date]])*SUMIFS(Budgets[Service-Budget],Budgets[BudgetMonth],DaybyDay[[#This Row],[RowMonth]],Budgets[BudgetYear],DaybyDay[[#This Row],[RowYear]])</f>
        <v>5142.2839027564669</v>
      </c>
      <c r="L1293" s="75"/>
      <c r="M1293" s="32">
        <f>INDEX(BudgetSeasonality[365 Seasonality],MATCH(DaybyDay[[#This Row],[Date]],BudgetSeasonality[MonthAdjustment],0))*SUMIFS(Budgets[Retail-Budget],Budgets[BudgetMonth],DaybyDay[[#This Row],[RowMonth]],Budgets[BudgetYear],DaybyDay[[#This Row],[RowYear]])</f>
        <v>1282.6258654644203</v>
      </c>
      <c r="N1293" s="75"/>
      <c r="O1293" s="33">
        <f>SUMIFS(DaybyDay[Service-Budgets],DaybyDay[Date],"&gt;="&amp;$C$5,DaybyDay[RowYear],"&gt;="&amp;$C$4,DaybyDay[Date],"&lt;="&amp;DaybyDay[[#This Row],[Date]])</f>
        <v>1025962.9507535384</v>
      </c>
      <c r="P1293" s="33">
        <f>SUMIFS(DaybyDay[Retail-Budgets],DaybyDay[Date],"&gt;="&amp;$C$5,DaybyDay[RowYear],"&gt;="&amp;$C$4,DaybyDay[Date],"&lt;="&amp;DaybyDay[[#This Row],[Date]])</f>
        <v>257895.31720833405</v>
      </c>
      <c r="Q1293" s="34">
        <f>SUMIFS(DaybyDay[Service-Actuals],DaybyDay[Date],"&gt;="&amp;$C$5,DaybyDay[RowYear],"&gt;="&amp;$C$4,DaybyDay[Date],"&lt;="&amp;DaybyDay[[#This Row],[Date]])</f>
        <v>385554.23</v>
      </c>
      <c r="R1293" s="34">
        <f>SUMIFS(DaybyDay[Retail-Actuals],DaybyDay[Date],"&gt;="&amp;$C$5,DaybyDay[RowYear],"&gt;="&amp;$C$4,DaybyDay[Date],"&lt;="&amp;DaybyDay[[#This Row],[Date]])</f>
        <v>88360.030000000028</v>
      </c>
      <c r="S1293" s="35">
        <f>SUMIFS(DaybyDay[Service-LY],DaybyDay[Date],"&gt;="&amp;$C$5,DaybyDay[RowYear],"&gt;="&amp;$C$4,DaybyDay[Date],"&lt;="&amp;DaybyDay[[#This Row],[Date]])</f>
        <v>941872.71999999951</v>
      </c>
      <c r="T1293" s="35">
        <f>SUMIFS(DaybyDay[Retail-LY],DaybyDay[Date],"&gt;="&amp;$C$5,DaybyDay[RowYear],"&gt;="&amp;$C$4,DaybyDay[Date],"&lt;="&amp;DaybyDay[[#This Row],[Date]])</f>
        <v>226965.13</v>
      </c>
      <c r="U1293" s="32">
        <f>DaybyDay[[#This Row],[Serv-Bud-RU]]+DaybyDay[[#This Row],[Ret-Bud-RU]]</f>
        <v>1283858.2679618725</v>
      </c>
      <c r="V1293" s="32">
        <f>DaybyDay[[#This Row],[Serv-Act-RU]]+DaybyDay[[#This Row],[Ret-Act-RU]]</f>
        <v>473914.26</v>
      </c>
      <c r="W1293" s="36" t="str">
        <f>IF(DaybyDay[[#This Row],[_Space]],IFERROR(
((DaybyDay[[#This Row],[Actual-Rollup]]-DaybyDay[[#This Row],[Budget-Rollup]])/DaybyDay[[#This Row],[Budget-Rollup]]),0),"")</f>
        <v/>
      </c>
      <c r="X1293" t="b">
        <f>NOT(AND(ISBLANK(DaybyDay[[#This Row],[Appts]]),ISBLANK(DaybyDay[[#This Row],[Service-Actuals]]),ISBLANK(DaybyDay[[#This Row],[Retail-Actuals]])))</f>
        <v>0</v>
      </c>
      <c r="Y1293" s="36" t="str">
        <f>IF(DaybyDay[[#This Row],[_Space]],IFERROR(
((DaybyDay[[#This Row],[Actual-Rollup]]-DaybyDay[[#This Row],[LY-Rollup]])/DaybyDay[[#This Row],[LY-Rollup]]),0),"")</f>
        <v/>
      </c>
      <c r="Z1293"/>
      <c r="AA1293" s="37" t="str">
        <f>IF(DaybyDay[[#This Row],[_Space]],DaybyDay[[#This Row],[Ret-Act-RU]]/DaybyDay[[#This Row],[Serv-Act-RU]],"")</f>
        <v/>
      </c>
      <c r="AB1293" s="50" t="str">
        <f>IF(DaybyDay[[#This Row],[_Space]],DaybyDay[[#This Row],[RETPEN-Act]]/DaybyDay[[#This Row],[RETPEN-Bud]],"")</f>
        <v/>
      </c>
      <c r="AC1293" s="37" t="str">
        <f>IF(DaybyDay[[#This Row],[_Space]],DaybyDay[[#This Row],[Ret-Bud-RU]]/DaybyDay[[#This Row],[Serv-Bud-RU]],"")</f>
        <v/>
      </c>
      <c r="AD1293" s="37" t="str">
        <f>IF(DaybyDay[[#This Row],[_Space]],DaybyDay[[#This Row],[Ret-LY-RU]]/DaybyDay[[#This Row],[Serv-LY-RU]],"")</f>
        <v/>
      </c>
      <c r="AE1293" s="30">
        <f>WEEKDAY(DaybyDay[[#This Row],[LY-Date]])</f>
        <v>6</v>
      </c>
      <c r="AF1293" s="38">
        <f>$E$2+_xlfn.DAYS(DaybyDay[[#This Row],[Date]],minDate)</f>
        <v>43658</v>
      </c>
      <c r="AG1293" s="39" cm="1">
        <f t="array" ref="AG1293">IFERROR(INDEX(DaybyDay[],DaybyDay[[#This Row],[FORM_MATCH_HELPER]],8),"")</f>
        <v>23</v>
      </c>
      <c r="AH1293" s="39" cm="1">
        <f t="array" ref="AH1293">IFERROR(INDEX(DaybyDay[],DaybyDay[[#This Row],[FORM_MATCH_HELPER]],10),"")</f>
        <v>4616.75</v>
      </c>
      <c r="AI1293" s="39" cm="1">
        <f t="array" ref="AI1293">IFERROR(INDEX(DaybyDay[],DaybyDay[[#This Row],[FORM_MATCH_HELPER]],12),"")</f>
        <v>774.5</v>
      </c>
      <c r="AJ1293" s="32">
        <f>IFERROR(DaybyDay[[#This Row],[Serv-LY-RU]]+DaybyDay[[#This Row],[Ret-LY-RU]],"")</f>
        <v>1168837.8499999996</v>
      </c>
      <c r="AK12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1162061.6499442318</v>
      </c>
      <c r="AL1293" s="77"/>
      <c r="AM1293" s="40" t="str">
        <f>IF(DaybyDay[[#This Row],[Admin Hours]]&gt;0,DaybyDay[[#This Row],[Admin Hours]]*$AM$2+$AM$3,"")</f>
        <v/>
      </c>
      <c r="AN1293" s="40">
        <f>SUMIFS(DaybyDay[Est-Admin-Payroll],DaybyDay[Date],"&gt;="&amp;$C$5,DaybyDay[RowYear],"&gt;="&amp;$C$4,DaybyDay[Date],"&lt;="&amp;DaybyDay[[#This Row],[Date]])</f>
        <v>13941.779999999997</v>
      </c>
      <c r="AO1293" s="41" t="str">
        <f>IF(AND(DaybyDay[[#This Row],[_Space]],ISNUMBER(DaybyDay[[#This Row],[Admin Hours]])),DaybyDay[[#This Row],[Est-Admin-Payroll]]/(DaybyDay[[#This Row],[Service-Actuals]]+DaybyDay[[#This Row],[Retail-Actuals]]),"")</f>
        <v/>
      </c>
      <c r="AP1293" s="41">
        <f>DaybyDay[[#This Row],[Estimated-Payroll-Rollup]]/DaybyDay[[#This Row],[Simple-Forecast]]</f>
        <v>1.1997452975639523E-2</v>
      </c>
      <c r="AQ12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226179.46784413431</v>
      </c>
      <c r="AR1293" s="77"/>
      <c r="AS1293" s="40" t="str">
        <f>IF(DaybyDay[[#This Row],[Retail Hours]]&gt;0,DaybyDay[[#This Row],[Retail Hours]]*$AS$2,"")</f>
        <v/>
      </c>
      <c r="AT1293" s="40">
        <f>SUMIFS(DaybyDay[Est-Retail-Payroll],DaybyDay[Date],"&gt;="&amp;$C$5,DaybyDay[RowYear],"&gt;="&amp;$C$4,DaybyDay[Date],"&lt;="&amp;DaybyDay[[#This Row],[Date]])</f>
        <v>2627.1</v>
      </c>
      <c r="AU1293" s="82" t="str">
        <f>IF(AND(DaybyDay[[#This Row],[_Space]],ISNUMBER(DaybyDay[[#This Row],[Retail Hours]])),DaybyDay[[#This Row],[Est-Retail-Payroll]]/(DaybyDay[[#This Row],[Retail-Actuals]]),"")</f>
        <v/>
      </c>
      <c r="AV1293" s="82">
        <f>DaybyDay[[#This Row],[Est-Retail-PayrollRU]]/DaybyDay[[#This Row],[Simple-Forecast-Retail]]</f>
        <v>1.1615112658282481E-2</v>
      </c>
      <c r="AW1293" s="8"/>
      <c r="AX1293" s="15"/>
      <c r="AY1293" s="8"/>
    </row>
    <row r="1294" spans="3:51" hidden="1" x14ac:dyDescent="0.25">
      <c r="C1294" s="26" t="str">
        <f>Tools!$C$1</f>
        <v>Example</v>
      </c>
      <c r="D1294" s="27" t="s">
        <v>74</v>
      </c>
      <c r="E1294" s="28">
        <v>2020</v>
      </c>
      <c r="F1294" s="28">
        <f>MATCH(DaybyDay[[#This Row],[RowMonth]],Table3[SummaryMonth],0)</f>
        <v>7</v>
      </c>
      <c r="G1294" s="29">
        <f>MATCH(DaybyDay[[#This Row],[LY-Date]],DaybyDay[Date],0)</f>
        <v>924</v>
      </c>
      <c r="H1294" s="30">
        <f>WEEKDAY(DaybyDay[[#This Row],[Date]])</f>
        <v>7</v>
      </c>
      <c r="I1294" s="31">
        <v>44023</v>
      </c>
      <c r="J1294" s="74"/>
      <c r="K1294" s="32">
        <f>SUMIFS(BudgetSeasonality[365 Seasonality],BudgetSeasonality[MonthAdjustment],DaybyDay[[#This Row],[Date]])*SUMIFS(Budgets[Service-Budget],Budgets[BudgetMonth],DaybyDay[[#This Row],[RowMonth]],Budgets[BudgetYear],DaybyDay[[#This Row],[RowYear]])</f>
        <v>7728.8606315027273</v>
      </c>
      <c r="L1294" s="75"/>
      <c r="M1294" s="32">
        <f>INDEX(BudgetSeasonality[365 Seasonality],MATCH(DaybyDay[[#This Row],[Date]],BudgetSeasonality[MonthAdjustment],0))*SUMIFS(Budgets[Retail-Budget],Budgets[BudgetMonth],DaybyDay[[#This Row],[RowMonth]],Budgets[BudgetYear],DaybyDay[[#This Row],[RowYear]])</f>
        <v>1927.7886526687462</v>
      </c>
      <c r="N1294" s="75"/>
      <c r="O1294" s="33">
        <f>SUMIFS(DaybyDay[Service-Budgets],DaybyDay[Date],"&gt;="&amp;$C$5,DaybyDay[RowYear],"&gt;="&amp;$C$4,DaybyDay[Date],"&lt;="&amp;DaybyDay[[#This Row],[Date]])</f>
        <v>1033691.8113850411</v>
      </c>
      <c r="P1294" s="33">
        <f>SUMIFS(DaybyDay[Retail-Budgets],DaybyDay[Date],"&gt;="&amp;$C$5,DaybyDay[RowYear],"&gt;="&amp;$C$4,DaybyDay[Date],"&lt;="&amp;DaybyDay[[#This Row],[Date]])</f>
        <v>259823.10586100278</v>
      </c>
      <c r="Q1294" s="34">
        <f>SUMIFS(DaybyDay[Service-Actuals],DaybyDay[Date],"&gt;="&amp;$C$5,DaybyDay[RowYear],"&gt;="&amp;$C$4,DaybyDay[Date],"&lt;="&amp;DaybyDay[[#This Row],[Date]])</f>
        <v>385554.23</v>
      </c>
      <c r="R1294" s="34">
        <f>SUMIFS(DaybyDay[Retail-Actuals],DaybyDay[Date],"&gt;="&amp;$C$5,DaybyDay[RowYear],"&gt;="&amp;$C$4,DaybyDay[Date],"&lt;="&amp;DaybyDay[[#This Row],[Date]])</f>
        <v>88360.030000000028</v>
      </c>
      <c r="S1294" s="35">
        <f>SUMIFS(DaybyDay[Service-LY],DaybyDay[Date],"&gt;="&amp;$C$5,DaybyDay[RowYear],"&gt;="&amp;$C$4,DaybyDay[Date],"&lt;="&amp;DaybyDay[[#This Row],[Date]])</f>
        <v>947088.71999999951</v>
      </c>
      <c r="T1294" s="35">
        <f>SUMIFS(DaybyDay[Retail-LY],DaybyDay[Date],"&gt;="&amp;$C$5,DaybyDay[RowYear],"&gt;="&amp;$C$4,DaybyDay[Date],"&lt;="&amp;DaybyDay[[#This Row],[Date]])</f>
        <v>227469.13</v>
      </c>
      <c r="U1294" s="32">
        <f>DaybyDay[[#This Row],[Serv-Bud-RU]]+DaybyDay[[#This Row],[Ret-Bud-RU]]</f>
        <v>1293514.9172460439</v>
      </c>
      <c r="V1294" s="32">
        <f>DaybyDay[[#This Row],[Serv-Act-RU]]+DaybyDay[[#This Row],[Ret-Act-RU]]</f>
        <v>473914.26</v>
      </c>
      <c r="W1294" s="36" t="str">
        <f>IF(DaybyDay[[#This Row],[_Space]],IFERROR(
((DaybyDay[[#This Row],[Actual-Rollup]]-DaybyDay[[#This Row],[Budget-Rollup]])/DaybyDay[[#This Row],[Budget-Rollup]]),0),"")</f>
        <v/>
      </c>
      <c r="X1294" t="b">
        <f>NOT(AND(ISBLANK(DaybyDay[[#This Row],[Appts]]),ISBLANK(DaybyDay[[#This Row],[Service-Actuals]]),ISBLANK(DaybyDay[[#This Row],[Retail-Actuals]])))</f>
        <v>0</v>
      </c>
      <c r="Y1294" s="36" t="str">
        <f>IF(DaybyDay[[#This Row],[_Space]],IFERROR(
((DaybyDay[[#This Row],[Actual-Rollup]]-DaybyDay[[#This Row],[LY-Rollup]])/DaybyDay[[#This Row],[LY-Rollup]]),0),"")</f>
        <v/>
      </c>
      <c r="Z1294"/>
      <c r="AA1294" s="37" t="str">
        <f>IF(DaybyDay[[#This Row],[_Space]],DaybyDay[[#This Row],[Ret-Act-RU]]/DaybyDay[[#This Row],[Serv-Act-RU]],"")</f>
        <v/>
      </c>
      <c r="AB1294" s="50" t="str">
        <f>IF(DaybyDay[[#This Row],[_Space]],DaybyDay[[#This Row],[RETPEN-Act]]/DaybyDay[[#This Row],[RETPEN-Bud]],"")</f>
        <v/>
      </c>
      <c r="AC1294" s="37" t="str">
        <f>IF(DaybyDay[[#This Row],[_Space]],DaybyDay[[#This Row],[Ret-Bud-RU]]/DaybyDay[[#This Row],[Serv-Bud-RU]],"")</f>
        <v/>
      </c>
      <c r="AD1294" s="37" t="str">
        <f>IF(DaybyDay[[#This Row],[_Space]],DaybyDay[[#This Row],[Ret-LY-RU]]/DaybyDay[[#This Row],[Serv-LY-RU]],"")</f>
        <v/>
      </c>
      <c r="AE1294" s="30">
        <f>WEEKDAY(DaybyDay[[#This Row],[LY-Date]])</f>
        <v>7</v>
      </c>
      <c r="AF1294" s="38">
        <f>$E$2+_xlfn.DAYS(DaybyDay[[#This Row],[Date]],minDate)</f>
        <v>43659</v>
      </c>
      <c r="AG1294" s="39" cm="1">
        <f t="array" ref="AG1294">IFERROR(INDEX(DaybyDay[],DaybyDay[[#This Row],[FORM_MATCH_HELPER]],8),"")</f>
        <v>31</v>
      </c>
      <c r="AH1294" s="39" cm="1">
        <f t="array" ref="AH1294">IFERROR(INDEX(DaybyDay[],DaybyDay[[#This Row],[FORM_MATCH_HELPER]],10),"")</f>
        <v>5216</v>
      </c>
      <c r="AI1294" s="39" cm="1">
        <f t="array" ref="AI1294">IFERROR(INDEX(DaybyDay[],DaybyDay[[#This Row],[FORM_MATCH_HELPER]],12),"")</f>
        <v>504</v>
      </c>
      <c r="AJ1294" s="32">
        <f>IFERROR(DaybyDay[[#This Row],[Serv-LY-RU]]+DaybyDay[[#This Row],[Ret-LY-RU]],"")</f>
        <v>1174557.8499999996</v>
      </c>
      <c r="AK12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1168989.3594371856</v>
      </c>
      <c r="AL1294" s="77"/>
      <c r="AM1294" s="40" t="str">
        <f>IF(DaybyDay[[#This Row],[Admin Hours]]&gt;0,DaybyDay[[#This Row],[Admin Hours]]*$AM$2+$AM$3,"")</f>
        <v/>
      </c>
      <c r="AN1294" s="40">
        <f>SUMIFS(DaybyDay[Est-Admin-Payroll],DaybyDay[Date],"&gt;="&amp;$C$5,DaybyDay[RowYear],"&gt;="&amp;$C$4,DaybyDay[Date],"&lt;="&amp;DaybyDay[[#This Row],[Date]])</f>
        <v>13941.779999999997</v>
      </c>
      <c r="AO1294" s="41" t="str">
        <f>IF(AND(DaybyDay[[#This Row],[_Space]],ISNUMBER(DaybyDay[[#This Row],[Admin Hours]])),DaybyDay[[#This Row],[Est-Admin-Payroll]]/(DaybyDay[[#This Row],[Service-Actuals]]+DaybyDay[[#This Row],[Retail-Actuals]]),"")</f>
        <v/>
      </c>
      <c r="AP1294" s="41">
        <f>DaybyDay[[#This Row],[Estimated-Payroll-Rollup]]/DaybyDay[[#This Row],[Simple-Forecast]]</f>
        <v>1.1926353210530779E-2</v>
      </c>
      <c r="AQ12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227247.95581380971</v>
      </c>
      <c r="AR1294" s="77"/>
      <c r="AS1294" s="40" t="str">
        <f>IF(DaybyDay[[#This Row],[Retail Hours]]&gt;0,DaybyDay[[#This Row],[Retail Hours]]*$AS$2,"")</f>
        <v/>
      </c>
      <c r="AT1294" s="40">
        <f>SUMIFS(DaybyDay[Est-Retail-Payroll],DaybyDay[Date],"&gt;="&amp;$C$5,DaybyDay[RowYear],"&gt;="&amp;$C$4,DaybyDay[Date],"&lt;="&amp;DaybyDay[[#This Row],[Date]])</f>
        <v>2627.1</v>
      </c>
      <c r="AU1294" s="82" t="str">
        <f>IF(AND(DaybyDay[[#This Row],[_Space]],ISNUMBER(DaybyDay[[#This Row],[Retail Hours]])),DaybyDay[[#This Row],[Est-Retail-Payroll]]/(DaybyDay[[#This Row],[Retail-Actuals]]),"")</f>
        <v/>
      </c>
      <c r="AV1294" s="82">
        <f>DaybyDay[[#This Row],[Est-Retail-PayrollRU]]/DaybyDay[[#This Row],[Simple-Forecast-Retail]]</f>
        <v>1.1560500029986862E-2</v>
      </c>
      <c r="AW1294" s="8"/>
      <c r="AX1294" s="15"/>
      <c r="AY1294" s="8"/>
    </row>
    <row r="1295" spans="3:51" hidden="1" x14ac:dyDescent="0.25">
      <c r="C1295" s="26" t="str">
        <f>Tools!$C$1</f>
        <v>Example</v>
      </c>
      <c r="D1295" s="27" t="s">
        <v>74</v>
      </c>
      <c r="E1295" s="28">
        <v>2020</v>
      </c>
      <c r="F1295" s="28">
        <f>MATCH(DaybyDay[[#This Row],[RowMonth]],Table3[SummaryMonth],0)</f>
        <v>7</v>
      </c>
      <c r="G1295" s="29">
        <f>MATCH(DaybyDay[[#This Row],[LY-Date]],DaybyDay[Date],0)</f>
        <v>925</v>
      </c>
      <c r="H1295" s="30">
        <f>WEEKDAY(DaybyDay[[#This Row],[Date]])</f>
        <v>1</v>
      </c>
      <c r="I1295" s="31">
        <v>44024</v>
      </c>
      <c r="J1295" s="74"/>
      <c r="K1295" s="32">
        <f>SUMIFS(BudgetSeasonality[365 Seasonality],BudgetSeasonality[MonthAdjustment],DaybyDay[[#This Row],[Date]])*SUMIFS(Budgets[Service-Budget],Budgets[BudgetMonth],DaybyDay[[#This Row],[RowMonth]],Budgets[BudgetYear],DaybyDay[[#This Row],[RowYear]])</f>
        <v>5882.442873566315</v>
      </c>
      <c r="L1295" s="75"/>
      <c r="M1295" s="32">
        <f>INDEX(BudgetSeasonality[365 Seasonality],MATCH(DaybyDay[[#This Row],[Date]],BudgetSeasonality[MonthAdjustment],0))*SUMIFS(Budgets[Retail-Budget],Budgets[BudgetMonth],DaybyDay[[#This Row],[RowMonth]],Budgets[BudgetYear],DaybyDay[[#This Row],[RowYear]])</f>
        <v>1467.2417012426333</v>
      </c>
      <c r="N1295" s="75"/>
      <c r="O1295" s="33">
        <f>SUMIFS(DaybyDay[Service-Budgets],DaybyDay[Date],"&gt;="&amp;$C$5,DaybyDay[RowYear],"&gt;="&amp;$C$4,DaybyDay[Date],"&lt;="&amp;DaybyDay[[#This Row],[Date]])</f>
        <v>1039574.2542586074</v>
      </c>
      <c r="P1295" s="33">
        <f>SUMIFS(DaybyDay[Retail-Budgets],DaybyDay[Date],"&gt;="&amp;$C$5,DaybyDay[RowYear],"&gt;="&amp;$C$4,DaybyDay[Date],"&lt;="&amp;DaybyDay[[#This Row],[Date]])</f>
        <v>261290.34756224541</v>
      </c>
      <c r="Q1295" s="34">
        <f>SUMIFS(DaybyDay[Service-Actuals],DaybyDay[Date],"&gt;="&amp;$C$5,DaybyDay[RowYear],"&gt;="&amp;$C$4,DaybyDay[Date],"&lt;="&amp;DaybyDay[[#This Row],[Date]])</f>
        <v>385554.23</v>
      </c>
      <c r="R1295" s="34">
        <f>SUMIFS(DaybyDay[Retail-Actuals],DaybyDay[Date],"&gt;="&amp;$C$5,DaybyDay[RowYear],"&gt;="&amp;$C$4,DaybyDay[Date],"&lt;="&amp;DaybyDay[[#This Row],[Date]])</f>
        <v>88360.030000000028</v>
      </c>
      <c r="S1295" s="35">
        <f>SUMIFS(DaybyDay[Service-LY],DaybyDay[Date],"&gt;="&amp;$C$5,DaybyDay[RowYear],"&gt;="&amp;$C$4,DaybyDay[Date],"&lt;="&amp;DaybyDay[[#This Row],[Date]])</f>
        <v>951997.24999999953</v>
      </c>
      <c r="T1295" s="35">
        <f>SUMIFS(DaybyDay[Retail-LY],DaybyDay[Date],"&gt;="&amp;$C$5,DaybyDay[RowYear],"&gt;="&amp;$C$4,DaybyDay[Date],"&lt;="&amp;DaybyDay[[#This Row],[Date]])</f>
        <v>228166.93</v>
      </c>
      <c r="U1295" s="32">
        <f>DaybyDay[[#This Row],[Serv-Bud-RU]]+DaybyDay[[#This Row],[Ret-Bud-RU]]</f>
        <v>1300864.6018208528</v>
      </c>
      <c r="V1295" s="32">
        <f>DaybyDay[[#This Row],[Serv-Act-RU]]+DaybyDay[[#This Row],[Ret-Act-RU]]</f>
        <v>473914.26</v>
      </c>
      <c r="W1295" s="36" t="str">
        <f>IF(DaybyDay[[#This Row],[_Space]],IFERROR(
((DaybyDay[[#This Row],[Actual-Rollup]]-DaybyDay[[#This Row],[Budget-Rollup]])/DaybyDay[[#This Row],[Budget-Rollup]]),0),"")</f>
        <v/>
      </c>
      <c r="X1295" t="b">
        <f>NOT(AND(ISBLANK(DaybyDay[[#This Row],[Appts]]),ISBLANK(DaybyDay[[#This Row],[Service-Actuals]]),ISBLANK(DaybyDay[[#This Row],[Retail-Actuals]])))</f>
        <v>0</v>
      </c>
      <c r="Y1295" s="36" t="str">
        <f>IF(DaybyDay[[#This Row],[_Space]],IFERROR(
((DaybyDay[[#This Row],[Actual-Rollup]]-DaybyDay[[#This Row],[LY-Rollup]])/DaybyDay[[#This Row],[LY-Rollup]]),0),"")</f>
        <v/>
      </c>
      <c r="Z1295"/>
      <c r="AA1295" s="37" t="str">
        <f>IF(DaybyDay[[#This Row],[_Space]],DaybyDay[[#This Row],[Ret-Act-RU]]/DaybyDay[[#This Row],[Serv-Act-RU]],"")</f>
        <v/>
      </c>
      <c r="AB1295" s="50" t="str">
        <f>IF(DaybyDay[[#This Row],[_Space]],DaybyDay[[#This Row],[RETPEN-Act]]/DaybyDay[[#This Row],[RETPEN-Bud]],"")</f>
        <v/>
      </c>
      <c r="AC1295" s="37" t="str">
        <f>IF(DaybyDay[[#This Row],[_Space]],DaybyDay[[#This Row],[Ret-Bud-RU]]/DaybyDay[[#This Row],[Serv-Bud-RU]],"")</f>
        <v/>
      </c>
      <c r="AD1295" s="37" t="str">
        <f>IF(DaybyDay[[#This Row],[_Space]],DaybyDay[[#This Row],[Ret-LY-RU]]/DaybyDay[[#This Row],[Serv-LY-RU]],"")</f>
        <v/>
      </c>
      <c r="AE1295" s="30">
        <f>WEEKDAY(DaybyDay[[#This Row],[LY-Date]])</f>
        <v>1</v>
      </c>
      <c r="AF1295" s="38">
        <f>$E$2+_xlfn.DAYS(DaybyDay[[#This Row],[Date]],minDate)</f>
        <v>43660</v>
      </c>
      <c r="AG1295" s="39" cm="1">
        <f t="array" ref="AG1295">IFERROR(INDEX(DaybyDay[],DaybyDay[[#This Row],[FORM_MATCH_HELPER]],8),"")</f>
        <v>26</v>
      </c>
      <c r="AH1295" s="39" cm="1">
        <f t="array" ref="AH1295">IFERROR(INDEX(DaybyDay[],DaybyDay[[#This Row],[FORM_MATCH_HELPER]],10),"")</f>
        <v>4908.53</v>
      </c>
      <c r="AI1295" s="39" cm="1">
        <f t="array" ref="AI1295">IFERROR(INDEX(DaybyDay[],DaybyDay[[#This Row],[FORM_MATCH_HELPER]],12),"")</f>
        <v>697.8</v>
      </c>
      <c r="AJ1295" s="32">
        <f>IFERROR(DaybyDay[[#This Row],[Serv-LY-RU]]+DaybyDay[[#This Row],[Ret-LY-RU]],"")</f>
        <v>1180164.1799999995</v>
      </c>
      <c r="AK12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1174879.7461587675</v>
      </c>
      <c r="AL1295" s="77"/>
      <c r="AM1295" s="40" t="str">
        <f>IF(DaybyDay[[#This Row],[Admin Hours]]&gt;0,DaybyDay[[#This Row],[Admin Hours]]*$AM$2+$AM$3,"")</f>
        <v/>
      </c>
      <c r="AN1295" s="40">
        <f>SUMIFS(DaybyDay[Est-Admin-Payroll],DaybyDay[Date],"&gt;="&amp;$C$5,DaybyDay[RowYear],"&gt;="&amp;$C$4,DaybyDay[Date],"&lt;="&amp;DaybyDay[[#This Row],[Date]])</f>
        <v>13941.779999999997</v>
      </c>
      <c r="AO1295" s="41" t="str">
        <f>IF(AND(DaybyDay[[#This Row],[_Space]],ISNUMBER(DaybyDay[[#This Row],[Admin Hours]])),DaybyDay[[#This Row],[Est-Admin-Payroll]]/(DaybyDay[[#This Row],[Service-Actuals]]+DaybyDay[[#This Row],[Retail-Actuals]]),"")</f>
        <v/>
      </c>
      <c r="AP1295" s="41">
        <f>DaybyDay[[#This Row],[Estimated-Payroll-Rollup]]/DaybyDay[[#This Row],[Simple-Forecast]]</f>
        <v>1.1866559148357277E-2</v>
      </c>
      <c r="AQ12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228216.09969587674</v>
      </c>
      <c r="AR1295" s="77"/>
      <c r="AS1295" s="40" t="str">
        <f>IF(DaybyDay[[#This Row],[Retail Hours]]&gt;0,DaybyDay[[#This Row],[Retail Hours]]*$AS$2,"")</f>
        <v/>
      </c>
      <c r="AT1295" s="40">
        <f>SUMIFS(DaybyDay[Est-Retail-Payroll],DaybyDay[Date],"&gt;="&amp;$C$5,DaybyDay[RowYear],"&gt;="&amp;$C$4,DaybyDay[Date],"&lt;="&amp;DaybyDay[[#This Row],[Date]])</f>
        <v>2627.1</v>
      </c>
      <c r="AU1295" s="82" t="str">
        <f>IF(AND(DaybyDay[[#This Row],[_Space]],ISNUMBER(DaybyDay[[#This Row],[Retail Hours]])),DaybyDay[[#This Row],[Est-Retail-Payroll]]/(DaybyDay[[#This Row],[Retail-Actuals]]),"")</f>
        <v/>
      </c>
      <c r="AV1295" s="82">
        <f>DaybyDay[[#This Row],[Est-Retail-PayrollRU]]/DaybyDay[[#This Row],[Simple-Forecast-Retail]]</f>
        <v>1.1511457795926326E-2</v>
      </c>
      <c r="AW1295" s="8"/>
      <c r="AX1295" s="15"/>
      <c r="AY1295" s="8"/>
    </row>
    <row r="1296" spans="3:51" hidden="1" x14ac:dyDescent="0.25">
      <c r="C1296" s="26" t="str">
        <f>Tools!$C$1</f>
        <v>Example</v>
      </c>
      <c r="D1296" s="27" t="s">
        <v>74</v>
      </c>
      <c r="E1296" s="28">
        <v>2020</v>
      </c>
      <c r="F1296" s="28">
        <f>MATCH(DaybyDay[[#This Row],[RowMonth]],Table3[SummaryMonth],0)</f>
        <v>7</v>
      </c>
      <c r="G1296" s="29">
        <f>MATCH(DaybyDay[[#This Row],[LY-Date]],DaybyDay[Date],0)</f>
        <v>926</v>
      </c>
      <c r="H1296" s="30">
        <f>WEEKDAY(DaybyDay[[#This Row],[Date]])</f>
        <v>2</v>
      </c>
      <c r="I1296" s="31">
        <v>44025</v>
      </c>
      <c r="J1296" s="74"/>
      <c r="K1296" s="32">
        <f>SUMIFS(BudgetSeasonality[365 Seasonality],BudgetSeasonality[MonthAdjustment],DaybyDay[[#This Row],[Date]])*SUMIFS(Budgets[Service-Budget],Budgets[BudgetMonth],DaybyDay[[#This Row],[RowMonth]],Budgets[BudgetYear],DaybyDay[[#This Row],[RowYear]])</f>
        <v>3177.6644901063737</v>
      </c>
      <c r="L1296" s="75"/>
      <c r="M1296" s="32">
        <f>INDEX(BudgetSeasonality[365 Seasonality],MATCH(DaybyDay[[#This Row],[Date]],BudgetSeasonality[MonthAdjustment],0))*SUMIFS(Budgets[Retail-Budget],Budgets[BudgetMonth],DaybyDay[[#This Row],[RowMonth]],Budgets[BudgetYear],DaybyDay[[#This Row],[RowYear]])</f>
        <v>792.59619730320185</v>
      </c>
      <c r="N1296" s="75"/>
      <c r="O1296" s="33">
        <f>SUMIFS(DaybyDay[Service-Budgets],DaybyDay[Date],"&gt;="&amp;$C$5,DaybyDay[RowYear],"&gt;="&amp;$C$4,DaybyDay[Date],"&lt;="&amp;DaybyDay[[#This Row],[Date]])</f>
        <v>1042751.9187487138</v>
      </c>
      <c r="P1296" s="33">
        <f>SUMIFS(DaybyDay[Retail-Budgets],DaybyDay[Date],"&gt;="&amp;$C$5,DaybyDay[RowYear],"&gt;="&amp;$C$4,DaybyDay[Date],"&lt;="&amp;DaybyDay[[#This Row],[Date]])</f>
        <v>262082.94375954862</v>
      </c>
      <c r="Q1296" s="34">
        <f>SUMIFS(DaybyDay[Service-Actuals],DaybyDay[Date],"&gt;="&amp;$C$5,DaybyDay[RowYear],"&gt;="&amp;$C$4,DaybyDay[Date],"&lt;="&amp;DaybyDay[[#This Row],[Date]])</f>
        <v>385554.23</v>
      </c>
      <c r="R1296" s="34">
        <f>SUMIFS(DaybyDay[Retail-Actuals],DaybyDay[Date],"&gt;="&amp;$C$5,DaybyDay[RowYear],"&gt;="&amp;$C$4,DaybyDay[Date],"&lt;="&amp;DaybyDay[[#This Row],[Date]])</f>
        <v>88360.030000000028</v>
      </c>
      <c r="S1296" s="35">
        <f>SUMIFS(DaybyDay[Service-LY],DaybyDay[Date],"&gt;="&amp;$C$5,DaybyDay[RowYear],"&gt;="&amp;$C$4,DaybyDay[Date],"&lt;="&amp;DaybyDay[[#This Row],[Date]])</f>
        <v>954508.04999999958</v>
      </c>
      <c r="T1296" s="35">
        <f>SUMIFS(DaybyDay[Retail-LY],DaybyDay[Date],"&gt;="&amp;$C$5,DaybyDay[RowYear],"&gt;="&amp;$C$4,DaybyDay[Date],"&lt;="&amp;DaybyDay[[#This Row],[Date]])</f>
        <v>228166.93</v>
      </c>
      <c r="U1296" s="32">
        <f>DaybyDay[[#This Row],[Serv-Bud-RU]]+DaybyDay[[#This Row],[Ret-Bud-RU]]</f>
        <v>1304834.8625082625</v>
      </c>
      <c r="V1296" s="32">
        <f>DaybyDay[[#This Row],[Serv-Act-RU]]+DaybyDay[[#This Row],[Ret-Act-RU]]</f>
        <v>473914.26</v>
      </c>
      <c r="W1296" s="36" t="str">
        <f>IF(DaybyDay[[#This Row],[_Space]],IFERROR(
((DaybyDay[[#This Row],[Actual-Rollup]]-DaybyDay[[#This Row],[Budget-Rollup]])/DaybyDay[[#This Row],[Budget-Rollup]]),0),"")</f>
        <v/>
      </c>
      <c r="X1296" t="b">
        <f>NOT(AND(ISBLANK(DaybyDay[[#This Row],[Appts]]),ISBLANK(DaybyDay[[#This Row],[Service-Actuals]]),ISBLANK(DaybyDay[[#This Row],[Retail-Actuals]])))</f>
        <v>0</v>
      </c>
      <c r="Y1296" s="36" t="str">
        <f>IF(DaybyDay[[#This Row],[_Space]],IFERROR(
((DaybyDay[[#This Row],[Actual-Rollup]]-DaybyDay[[#This Row],[LY-Rollup]])/DaybyDay[[#This Row],[LY-Rollup]]),0),"")</f>
        <v/>
      </c>
      <c r="Z1296"/>
      <c r="AA1296" s="37" t="str">
        <f>IF(DaybyDay[[#This Row],[_Space]],DaybyDay[[#This Row],[Ret-Act-RU]]/DaybyDay[[#This Row],[Serv-Act-RU]],"")</f>
        <v/>
      </c>
      <c r="AB1296" s="50" t="str">
        <f>IF(DaybyDay[[#This Row],[_Space]],DaybyDay[[#This Row],[RETPEN-Act]]/DaybyDay[[#This Row],[RETPEN-Bud]],"")</f>
        <v/>
      </c>
      <c r="AC1296" s="37" t="str">
        <f>IF(DaybyDay[[#This Row],[_Space]],DaybyDay[[#This Row],[Ret-Bud-RU]]/DaybyDay[[#This Row],[Serv-Bud-RU]],"")</f>
        <v/>
      </c>
      <c r="AD1296" s="37" t="str">
        <f>IF(DaybyDay[[#This Row],[_Space]],DaybyDay[[#This Row],[Ret-LY-RU]]/DaybyDay[[#This Row],[Serv-LY-RU]],"")</f>
        <v/>
      </c>
      <c r="AE1296" s="30">
        <f>WEEKDAY(DaybyDay[[#This Row],[LY-Date]])</f>
        <v>2</v>
      </c>
      <c r="AF1296" s="38">
        <f>$E$2+_xlfn.DAYS(DaybyDay[[#This Row],[Date]],minDate)</f>
        <v>43661</v>
      </c>
      <c r="AG1296" s="39" cm="1">
        <f t="array" ref="AG1296">IFERROR(INDEX(DaybyDay[],DaybyDay[[#This Row],[FORM_MATCH_HELPER]],8),"")</f>
        <v>12</v>
      </c>
      <c r="AH1296" s="39" cm="1">
        <f t="array" ref="AH1296">IFERROR(INDEX(DaybyDay[],DaybyDay[[#This Row],[FORM_MATCH_HELPER]],10),"")</f>
        <v>2510.8000000000002</v>
      </c>
      <c r="AI1296" s="39" cm="1">
        <f t="array" ref="AI1296">IFERROR(INDEX(DaybyDay[],DaybyDay[[#This Row],[FORM_MATCH_HELPER]],12),"")</f>
        <v>0</v>
      </c>
      <c r="AJ1296" s="32">
        <f>IFERROR(DaybyDay[[#This Row],[Serv-LY-RU]]+DaybyDay[[#This Row],[Ret-LY-RU]],"")</f>
        <v>1182674.9799999995</v>
      </c>
      <c r="AK12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1177806.4485776653</v>
      </c>
      <c r="AL1296" s="77"/>
      <c r="AM1296" s="40" t="str">
        <f>IF(DaybyDay[[#This Row],[Admin Hours]]&gt;0,DaybyDay[[#This Row],[Admin Hours]]*$AM$2+$AM$3,"")</f>
        <v/>
      </c>
      <c r="AN1296" s="40">
        <f>SUMIFS(DaybyDay[Est-Admin-Payroll],DaybyDay[Date],"&gt;="&amp;$C$5,DaybyDay[RowYear],"&gt;="&amp;$C$4,DaybyDay[Date],"&lt;="&amp;DaybyDay[[#This Row],[Date]])</f>
        <v>13941.779999999997</v>
      </c>
      <c r="AO1296" s="41" t="str">
        <f>IF(AND(DaybyDay[[#This Row],[_Space]],ISNUMBER(DaybyDay[[#This Row],[Admin Hours]])),DaybyDay[[#This Row],[Est-Admin-Payroll]]/(DaybyDay[[#This Row],[Service-Actuals]]+DaybyDay[[#This Row],[Retail-Actuals]]),"")</f>
        <v/>
      </c>
      <c r="AP1296" s="41">
        <f>DaybyDay[[#This Row],[Estimated-Payroll-Rollup]]/DaybyDay[[#This Row],[Simple-Forecast]]</f>
        <v>1.1837072225947036E-2</v>
      </c>
      <c r="AQ12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228553.23430523649</v>
      </c>
      <c r="AR1296" s="77"/>
      <c r="AS1296" s="40" t="str">
        <f>IF(DaybyDay[[#This Row],[Retail Hours]]&gt;0,DaybyDay[[#This Row],[Retail Hours]]*$AS$2,"")</f>
        <v/>
      </c>
      <c r="AT1296" s="40">
        <f>SUMIFS(DaybyDay[Est-Retail-Payroll],DaybyDay[Date],"&gt;="&amp;$C$5,DaybyDay[RowYear],"&gt;="&amp;$C$4,DaybyDay[Date],"&lt;="&amp;DaybyDay[[#This Row],[Date]])</f>
        <v>2627.1</v>
      </c>
      <c r="AU1296" s="82" t="str">
        <f>IF(AND(DaybyDay[[#This Row],[_Space]],ISNUMBER(DaybyDay[[#This Row],[Retail Hours]])),DaybyDay[[#This Row],[Est-Retail-Payroll]]/(DaybyDay[[#This Row],[Retail-Actuals]]),"")</f>
        <v/>
      </c>
      <c r="AV1296" s="82">
        <f>DaybyDay[[#This Row],[Est-Retail-PayrollRU]]/DaybyDay[[#This Row],[Simple-Forecast-Retail]]</f>
        <v>1.1494477459424031E-2</v>
      </c>
      <c r="AW1296" s="8"/>
      <c r="AX1296" s="15"/>
      <c r="AY1296" s="8"/>
    </row>
    <row r="1297" spans="3:51" hidden="1" x14ac:dyDescent="0.25">
      <c r="C1297" s="26" t="str">
        <f>Tools!$C$1</f>
        <v>Example</v>
      </c>
      <c r="D1297" s="27" t="s">
        <v>74</v>
      </c>
      <c r="E1297" s="28">
        <v>2020</v>
      </c>
      <c r="F1297" s="28">
        <f>MATCH(DaybyDay[[#This Row],[RowMonth]],Table3[SummaryMonth],0)</f>
        <v>7</v>
      </c>
      <c r="G1297" s="29">
        <f>MATCH(DaybyDay[[#This Row],[LY-Date]],DaybyDay[Date],0)</f>
        <v>927</v>
      </c>
      <c r="H1297" s="30">
        <f>WEEKDAY(DaybyDay[[#This Row],[Date]])</f>
        <v>3</v>
      </c>
      <c r="I1297" s="31">
        <v>44026</v>
      </c>
      <c r="J1297" s="74"/>
      <c r="K1297" s="32">
        <f>SUMIFS(BudgetSeasonality[365 Seasonality],BudgetSeasonality[MonthAdjustment],DaybyDay[[#This Row],[Date]])*SUMIFS(Budgets[Service-Budget],Budgets[BudgetMonth],DaybyDay[[#This Row],[RowMonth]],Budgets[BudgetYear],DaybyDay[[#This Row],[RowYear]])</f>
        <v>3380.1776410267908</v>
      </c>
      <c r="L1297" s="75"/>
      <c r="M1297" s="32">
        <f>INDEX(BudgetSeasonality[365 Seasonality],MATCH(DaybyDay[[#This Row],[Date]],BudgetSeasonality[MonthAdjustment],0))*SUMIFS(Budgets[Retail-Budget],Budgets[BudgetMonth],DaybyDay[[#This Row],[RowMonth]],Budgets[BudgetYear],DaybyDay[[#This Row],[RowYear]])</f>
        <v>843.10850085921345</v>
      </c>
      <c r="N1297" s="75"/>
      <c r="O1297" s="33">
        <f>SUMIFS(DaybyDay[Service-Budgets],DaybyDay[Date],"&gt;="&amp;$C$5,DaybyDay[RowYear],"&gt;="&amp;$C$4,DaybyDay[Date],"&lt;="&amp;DaybyDay[[#This Row],[Date]])</f>
        <v>1046132.0963897406</v>
      </c>
      <c r="P1297" s="33">
        <f>SUMIFS(DaybyDay[Retail-Budgets],DaybyDay[Date],"&gt;="&amp;$C$5,DaybyDay[RowYear],"&gt;="&amp;$C$4,DaybyDay[Date],"&lt;="&amp;DaybyDay[[#This Row],[Date]])</f>
        <v>262926.05226040783</v>
      </c>
      <c r="Q1297" s="34">
        <f>SUMIFS(DaybyDay[Service-Actuals],DaybyDay[Date],"&gt;="&amp;$C$5,DaybyDay[RowYear],"&gt;="&amp;$C$4,DaybyDay[Date],"&lt;="&amp;DaybyDay[[#This Row],[Date]])</f>
        <v>385554.23</v>
      </c>
      <c r="R1297" s="34">
        <f>SUMIFS(DaybyDay[Retail-Actuals],DaybyDay[Date],"&gt;="&amp;$C$5,DaybyDay[RowYear],"&gt;="&amp;$C$4,DaybyDay[Date],"&lt;="&amp;DaybyDay[[#This Row],[Date]])</f>
        <v>88360.030000000028</v>
      </c>
      <c r="S1297" s="35">
        <f>SUMIFS(DaybyDay[Service-LY],DaybyDay[Date],"&gt;="&amp;$C$5,DaybyDay[RowYear],"&gt;="&amp;$C$4,DaybyDay[Date],"&lt;="&amp;DaybyDay[[#This Row],[Date]])</f>
        <v>956597.24999999953</v>
      </c>
      <c r="T1297" s="35">
        <f>SUMIFS(DaybyDay[Retail-LY],DaybyDay[Date],"&gt;="&amp;$C$5,DaybyDay[RowYear],"&gt;="&amp;$C$4,DaybyDay[Date],"&lt;="&amp;DaybyDay[[#This Row],[Date]])</f>
        <v>228166.93</v>
      </c>
      <c r="U1297" s="32">
        <f>DaybyDay[[#This Row],[Serv-Bud-RU]]+DaybyDay[[#This Row],[Ret-Bud-RU]]</f>
        <v>1309058.1486501484</v>
      </c>
      <c r="V1297" s="32">
        <f>DaybyDay[[#This Row],[Serv-Act-RU]]+DaybyDay[[#This Row],[Ret-Act-RU]]</f>
        <v>473914.26</v>
      </c>
      <c r="W1297" s="36" t="str">
        <f>IF(DaybyDay[[#This Row],[_Space]],IFERROR(
((DaybyDay[[#This Row],[Actual-Rollup]]-DaybyDay[[#This Row],[Budget-Rollup]])/DaybyDay[[#This Row],[Budget-Rollup]]),0),"")</f>
        <v/>
      </c>
      <c r="X1297" t="b">
        <f>NOT(AND(ISBLANK(DaybyDay[[#This Row],[Appts]]),ISBLANK(DaybyDay[[#This Row],[Service-Actuals]]),ISBLANK(DaybyDay[[#This Row],[Retail-Actuals]])))</f>
        <v>0</v>
      </c>
      <c r="Y1297" s="36" t="str">
        <f>IF(DaybyDay[[#This Row],[_Space]],IFERROR(
((DaybyDay[[#This Row],[Actual-Rollup]]-DaybyDay[[#This Row],[LY-Rollup]])/DaybyDay[[#This Row],[LY-Rollup]]),0),"")</f>
        <v/>
      </c>
      <c r="Z1297"/>
      <c r="AA1297" s="37" t="str">
        <f>IF(DaybyDay[[#This Row],[_Space]],DaybyDay[[#This Row],[Ret-Act-RU]]/DaybyDay[[#This Row],[Serv-Act-RU]],"")</f>
        <v/>
      </c>
      <c r="AB1297" s="50" t="str">
        <f>IF(DaybyDay[[#This Row],[_Space]],DaybyDay[[#This Row],[RETPEN-Act]]/DaybyDay[[#This Row],[RETPEN-Bud]],"")</f>
        <v/>
      </c>
      <c r="AC1297" s="37" t="str">
        <f>IF(DaybyDay[[#This Row],[_Space]],DaybyDay[[#This Row],[Ret-Bud-RU]]/DaybyDay[[#This Row],[Serv-Bud-RU]],"")</f>
        <v/>
      </c>
      <c r="AD1297" s="37" t="str">
        <f>IF(DaybyDay[[#This Row],[_Space]],DaybyDay[[#This Row],[Ret-LY-RU]]/DaybyDay[[#This Row],[Serv-LY-RU]],"")</f>
        <v/>
      </c>
      <c r="AE1297" s="30">
        <f>WEEKDAY(DaybyDay[[#This Row],[LY-Date]])</f>
        <v>3</v>
      </c>
      <c r="AF1297" s="38">
        <f>$E$2+_xlfn.DAYS(DaybyDay[[#This Row],[Date]],minDate)</f>
        <v>43662</v>
      </c>
      <c r="AG1297" s="39" cm="1">
        <f t="array" ref="AG1297">IFERROR(INDEX(DaybyDay[],DaybyDay[[#This Row],[FORM_MATCH_HELPER]],8),"")</f>
        <v>10</v>
      </c>
      <c r="AH1297" s="39" cm="1">
        <f t="array" ref="AH1297">IFERROR(INDEX(DaybyDay[],DaybyDay[[#This Row],[FORM_MATCH_HELPER]],10),"")</f>
        <v>2089.1999999999998</v>
      </c>
      <c r="AI1297" s="39" cm="1">
        <f t="array" ref="AI1297">IFERROR(INDEX(DaybyDay[],DaybyDay[[#This Row],[FORM_MATCH_HELPER]],12),"")</f>
        <v>0</v>
      </c>
      <c r="AJ1297" s="32">
        <f>IFERROR(DaybyDay[[#This Row],[Serv-LY-RU]]+DaybyDay[[#This Row],[Ret-LY-RU]],"")</f>
        <v>1184764.1799999995</v>
      </c>
      <c r="AK12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1180632.9095706306</v>
      </c>
      <c r="AL1297" s="77"/>
      <c r="AM1297" s="40" t="str">
        <f>IF(DaybyDay[[#This Row],[Admin Hours]]&gt;0,DaybyDay[[#This Row],[Admin Hours]]*$AM$2+$AM$3,"")</f>
        <v/>
      </c>
      <c r="AN1297" s="40">
        <f>SUMIFS(DaybyDay[Est-Admin-Payroll],DaybyDay[Date],"&gt;="&amp;$C$5,DaybyDay[RowYear],"&gt;="&amp;$C$4,DaybyDay[Date],"&lt;="&amp;DaybyDay[[#This Row],[Date]])</f>
        <v>13941.779999999997</v>
      </c>
      <c r="AO1297" s="41" t="str">
        <f>IF(AND(DaybyDay[[#This Row],[_Space]],ISNUMBER(DaybyDay[[#This Row],[Admin Hours]])),DaybyDay[[#This Row],[Est-Admin-Payroll]]/(DaybyDay[[#This Row],[Service-Actuals]]+DaybyDay[[#This Row],[Retail-Actuals]]),"")</f>
        <v/>
      </c>
      <c r="AP1297" s="41">
        <f>DaybyDay[[#This Row],[Estimated-Payroll-Rollup]]/DaybyDay[[#This Row],[Simple-Forecast]]</f>
        <v>1.1808734016291572E-2</v>
      </c>
      <c r="AQ12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228911.85456616149</v>
      </c>
      <c r="AR1297" s="77"/>
      <c r="AS1297" s="40" t="str">
        <f>IF(DaybyDay[[#This Row],[Retail Hours]]&gt;0,DaybyDay[[#This Row],[Retail Hours]]*$AS$2,"")</f>
        <v/>
      </c>
      <c r="AT1297" s="40">
        <f>SUMIFS(DaybyDay[Est-Retail-Payroll],DaybyDay[Date],"&gt;="&amp;$C$5,DaybyDay[RowYear],"&gt;="&amp;$C$4,DaybyDay[Date],"&lt;="&amp;DaybyDay[[#This Row],[Date]])</f>
        <v>2627.1</v>
      </c>
      <c r="AU1297" s="82" t="str">
        <f>IF(AND(DaybyDay[[#This Row],[_Space]],ISNUMBER(DaybyDay[[#This Row],[Retail Hours]])),DaybyDay[[#This Row],[Est-Retail-Payroll]]/(DaybyDay[[#This Row],[Retail-Actuals]]),"")</f>
        <v/>
      </c>
      <c r="AV1297" s="82">
        <f>DaybyDay[[#This Row],[Est-Retail-PayrollRU]]/DaybyDay[[#This Row],[Simple-Forecast-Retail]]</f>
        <v>1.1476469862073917E-2</v>
      </c>
      <c r="AW1297" s="8"/>
      <c r="AX1297" s="15"/>
      <c r="AY1297" s="8"/>
    </row>
    <row r="1298" spans="3:51" hidden="1" x14ac:dyDescent="0.25">
      <c r="C1298" s="26" t="str">
        <f>Tools!$C$1</f>
        <v>Example</v>
      </c>
      <c r="D1298" s="27" t="s">
        <v>74</v>
      </c>
      <c r="E1298" s="28">
        <v>2020</v>
      </c>
      <c r="F1298" s="28">
        <f>MATCH(DaybyDay[[#This Row],[RowMonth]],Table3[SummaryMonth],0)</f>
        <v>7</v>
      </c>
      <c r="G1298" s="29">
        <f>MATCH(DaybyDay[[#This Row],[LY-Date]],DaybyDay[Date],0)</f>
        <v>928</v>
      </c>
      <c r="H1298" s="30">
        <f>WEEKDAY(DaybyDay[[#This Row],[Date]])</f>
        <v>4</v>
      </c>
      <c r="I1298" s="31">
        <v>44027</v>
      </c>
      <c r="J1298" s="74"/>
      <c r="K1298" s="32">
        <f>SUMIFS(BudgetSeasonality[365 Seasonality],BudgetSeasonality[MonthAdjustment],DaybyDay[[#This Row],[Date]])*SUMIFS(Budgets[Service-Budget],Budgets[BudgetMonth],DaybyDay[[#This Row],[RowMonth]],Budgets[BudgetYear],DaybyDay[[#This Row],[RowYear]])</f>
        <v>4095.8545435389506</v>
      </c>
      <c r="L1298" s="75"/>
      <c r="M1298" s="32">
        <f>INDEX(BudgetSeasonality[365 Seasonality],MATCH(DaybyDay[[#This Row],[Date]],BudgetSeasonality[MonthAdjustment],0))*SUMIFS(Budgets[Retail-Budget],Budgets[BudgetMonth],DaybyDay[[#This Row],[RowMonth]],Budgets[BudgetYear],DaybyDay[[#This Row],[RowYear]])</f>
        <v>1021.6178410349862</v>
      </c>
      <c r="N1298" s="75"/>
      <c r="O1298" s="33">
        <f>SUMIFS(DaybyDay[Service-Budgets],DaybyDay[Date],"&gt;="&amp;$C$5,DaybyDay[RowYear],"&gt;="&amp;$C$4,DaybyDay[Date],"&lt;="&amp;DaybyDay[[#This Row],[Date]])</f>
        <v>1050227.9509332795</v>
      </c>
      <c r="P1298" s="33">
        <f>SUMIFS(DaybyDay[Retail-Budgets],DaybyDay[Date],"&gt;="&amp;$C$5,DaybyDay[RowYear],"&gt;="&amp;$C$4,DaybyDay[Date],"&lt;="&amp;DaybyDay[[#This Row],[Date]])</f>
        <v>263947.67010144284</v>
      </c>
      <c r="Q1298" s="34">
        <f>SUMIFS(DaybyDay[Service-Actuals],DaybyDay[Date],"&gt;="&amp;$C$5,DaybyDay[RowYear],"&gt;="&amp;$C$4,DaybyDay[Date],"&lt;="&amp;DaybyDay[[#This Row],[Date]])</f>
        <v>385554.23</v>
      </c>
      <c r="R1298" s="34">
        <f>SUMIFS(DaybyDay[Retail-Actuals],DaybyDay[Date],"&gt;="&amp;$C$5,DaybyDay[RowYear],"&gt;="&amp;$C$4,DaybyDay[Date],"&lt;="&amp;DaybyDay[[#This Row],[Date]])</f>
        <v>88360.030000000028</v>
      </c>
      <c r="S1298" s="35">
        <f>SUMIFS(DaybyDay[Service-LY],DaybyDay[Date],"&gt;="&amp;$C$5,DaybyDay[RowYear],"&gt;="&amp;$C$4,DaybyDay[Date],"&lt;="&amp;DaybyDay[[#This Row],[Date]])</f>
        <v>962307.31999999948</v>
      </c>
      <c r="T1298" s="35">
        <f>SUMIFS(DaybyDay[Retail-LY],DaybyDay[Date],"&gt;="&amp;$C$5,DaybyDay[RowYear],"&gt;="&amp;$C$4,DaybyDay[Date],"&lt;="&amp;DaybyDay[[#This Row],[Date]])</f>
        <v>229907.22999999998</v>
      </c>
      <c r="U1298" s="32">
        <f>DaybyDay[[#This Row],[Serv-Bud-RU]]+DaybyDay[[#This Row],[Ret-Bud-RU]]</f>
        <v>1314175.6210347223</v>
      </c>
      <c r="V1298" s="32">
        <f>DaybyDay[[#This Row],[Serv-Act-RU]]+DaybyDay[[#This Row],[Ret-Act-RU]]</f>
        <v>473914.26</v>
      </c>
      <c r="W1298" s="36" t="str">
        <f>IF(DaybyDay[[#This Row],[_Space]],IFERROR(
((DaybyDay[[#This Row],[Actual-Rollup]]-DaybyDay[[#This Row],[Budget-Rollup]])/DaybyDay[[#This Row],[Budget-Rollup]]),0),"")</f>
        <v/>
      </c>
      <c r="X1298" t="b">
        <f>NOT(AND(ISBLANK(DaybyDay[[#This Row],[Appts]]),ISBLANK(DaybyDay[[#This Row],[Service-Actuals]]),ISBLANK(DaybyDay[[#This Row],[Retail-Actuals]])))</f>
        <v>0</v>
      </c>
      <c r="Y1298" s="36" t="str">
        <f>IF(DaybyDay[[#This Row],[_Space]],IFERROR(
((DaybyDay[[#This Row],[Actual-Rollup]]-DaybyDay[[#This Row],[LY-Rollup]])/DaybyDay[[#This Row],[LY-Rollup]]),0),"")</f>
        <v/>
      </c>
      <c r="Z1298"/>
      <c r="AA1298" s="37" t="str">
        <f>IF(DaybyDay[[#This Row],[_Space]],DaybyDay[[#This Row],[Ret-Act-RU]]/DaybyDay[[#This Row],[Serv-Act-RU]],"")</f>
        <v/>
      </c>
      <c r="AB1298" s="50" t="str">
        <f>IF(DaybyDay[[#This Row],[_Space]],DaybyDay[[#This Row],[RETPEN-Act]]/DaybyDay[[#This Row],[RETPEN-Bud]],"")</f>
        <v/>
      </c>
      <c r="AC1298" s="37" t="str">
        <f>IF(DaybyDay[[#This Row],[_Space]],DaybyDay[[#This Row],[Ret-Bud-RU]]/DaybyDay[[#This Row],[Serv-Bud-RU]],"")</f>
        <v/>
      </c>
      <c r="AD1298" s="37" t="str">
        <f>IF(DaybyDay[[#This Row],[_Space]],DaybyDay[[#This Row],[Ret-LY-RU]]/DaybyDay[[#This Row],[Serv-LY-RU]],"")</f>
        <v/>
      </c>
      <c r="AE1298" s="30">
        <f>WEEKDAY(DaybyDay[[#This Row],[LY-Date]])</f>
        <v>4</v>
      </c>
      <c r="AF1298" s="38">
        <f>$E$2+_xlfn.DAYS(DaybyDay[[#This Row],[Date]],minDate)</f>
        <v>43663</v>
      </c>
      <c r="AG1298" s="39" cm="1">
        <f t="array" ref="AG1298">IFERROR(INDEX(DaybyDay[],DaybyDay[[#This Row],[FORM_MATCH_HELPER]],8),"")</f>
        <v>29</v>
      </c>
      <c r="AH1298" s="39" cm="1">
        <f t="array" ref="AH1298">IFERROR(INDEX(DaybyDay[],DaybyDay[[#This Row],[FORM_MATCH_HELPER]],10),"")</f>
        <v>5710.07</v>
      </c>
      <c r="AI1298" s="39" cm="1">
        <f t="array" ref="AI1298">IFERROR(INDEX(DaybyDay[],DaybyDay[[#This Row],[FORM_MATCH_HELPER]],12),"")</f>
        <v>1740.3</v>
      </c>
      <c r="AJ1298" s="32">
        <f>IFERROR(DaybyDay[[#This Row],[Serv-LY-RU]]+DaybyDay[[#This Row],[Ret-LY-RU]],"")</f>
        <v>1192214.5499999993</v>
      </c>
      <c r="AK12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1186483.0055066608</v>
      </c>
      <c r="AL1298" s="77"/>
      <c r="AM1298" s="40" t="str">
        <f>IF(DaybyDay[[#This Row],[Admin Hours]]&gt;0,DaybyDay[[#This Row],[Admin Hours]]*$AM$2+$AM$3,"")</f>
        <v/>
      </c>
      <c r="AN1298" s="40">
        <f>SUMIFS(DaybyDay[Est-Admin-Payroll],DaybyDay[Date],"&gt;="&amp;$C$5,DaybyDay[RowYear],"&gt;="&amp;$C$4,DaybyDay[Date],"&lt;="&amp;DaybyDay[[#This Row],[Date]])</f>
        <v>13941.779999999997</v>
      </c>
      <c r="AO1298" s="41" t="str">
        <f>IF(AND(DaybyDay[[#This Row],[_Space]],ISNUMBER(DaybyDay[[#This Row],[Admin Hours]])),DaybyDay[[#This Row],[Est-Admin-Payroll]]/(DaybyDay[[#This Row],[Service-Actuals]]+DaybyDay[[#This Row],[Retail-Actuals]]),"")</f>
        <v/>
      </c>
      <c r="AP1298" s="41">
        <f>DaybyDay[[#This Row],[Estimated-Payroll-Rollup]]/DaybyDay[[#This Row],[Simple-Forecast]]</f>
        <v>1.1750509645139396E-2</v>
      </c>
      <c r="AQ12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230204.44774997601</v>
      </c>
      <c r="AR1298" s="77"/>
      <c r="AS1298" s="40" t="str">
        <f>IF(DaybyDay[[#This Row],[Retail Hours]]&gt;0,DaybyDay[[#This Row],[Retail Hours]]*$AS$2,"")</f>
        <v/>
      </c>
      <c r="AT1298" s="40">
        <f>SUMIFS(DaybyDay[Est-Retail-Payroll],DaybyDay[Date],"&gt;="&amp;$C$5,DaybyDay[RowYear],"&gt;="&amp;$C$4,DaybyDay[Date],"&lt;="&amp;DaybyDay[[#This Row],[Date]])</f>
        <v>2627.1</v>
      </c>
      <c r="AU1298" s="82" t="str">
        <f>IF(AND(DaybyDay[[#This Row],[_Space]],ISNUMBER(DaybyDay[[#This Row],[Retail Hours]])),DaybyDay[[#This Row],[Est-Retail-Payroll]]/(DaybyDay[[#This Row],[Retail-Actuals]]),"")</f>
        <v/>
      </c>
      <c r="AV1298" s="82">
        <f>DaybyDay[[#This Row],[Est-Retail-PayrollRU]]/DaybyDay[[#This Row],[Simple-Forecast-Retail]]</f>
        <v>1.1412029722611098E-2</v>
      </c>
      <c r="AW1298" s="8"/>
      <c r="AX1298" s="15"/>
      <c r="AY1298" s="8"/>
    </row>
    <row r="1299" spans="3:51" hidden="1" x14ac:dyDescent="0.25">
      <c r="C1299" s="26" t="str">
        <f>Tools!$C$1</f>
        <v>Example</v>
      </c>
      <c r="D1299" s="27" t="s">
        <v>74</v>
      </c>
      <c r="E1299" s="28">
        <v>2020</v>
      </c>
      <c r="F1299" s="28">
        <f>MATCH(DaybyDay[[#This Row],[RowMonth]],Table3[SummaryMonth],0)</f>
        <v>7</v>
      </c>
      <c r="G1299" s="29">
        <f>MATCH(DaybyDay[[#This Row],[LY-Date]],DaybyDay[Date],0)</f>
        <v>929</v>
      </c>
      <c r="H1299" s="30">
        <f>WEEKDAY(DaybyDay[[#This Row],[Date]])</f>
        <v>5</v>
      </c>
      <c r="I1299" s="31">
        <v>44028</v>
      </c>
      <c r="J1299" s="74"/>
      <c r="K1299" s="32">
        <f>SUMIFS(BudgetSeasonality[365 Seasonality],BudgetSeasonality[MonthAdjustment],DaybyDay[[#This Row],[Date]])*SUMIFS(Budgets[Service-Budget],Budgets[BudgetMonth],DaybyDay[[#This Row],[RowMonth]],Budgets[BudgetYear],DaybyDay[[#This Row],[RowYear]])</f>
        <v>4298.065079991231</v>
      </c>
      <c r="L1299" s="75"/>
      <c r="M1299" s="32">
        <f>INDEX(BudgetSeasonality[365 Seasonality],MATCH(DaybyDay[[#This Row],[Date]],BudgetSeasonality[MonthAdjustment],0))*SUMIFS(Budgets[Retail-Budget],Budgets[BudgetMonth],DaybyDay[[#This Row],[RowMonth]],Budgets[BudgetYear],DaybyDay[[#This Row],[RowYear]])</f>
        <v>1072.0546642885804</v>
      </c>
      <c r="N1299" s="75"/>
      <c r="O1299" s="33">
        <f>SUMIFS(DaybyDay[Service-Budgets],DaybyDay[Date],"&gt;="&amp;$C$5,DaybyDay[RowYear],"&gt;="&amp;$C$4,DaybyDay[Date],"&lt;="&amp;DaybyDay[[#This Row],[Date]])</f>
        <v>1054526.0160132707</v>
      </c>
      <c r="P1299" s="33">
        <f>SUMIFS(DaybyDay[Retail-Budgets],DaybyDay[Date],"&gt;="&amp;$C$5,DaybyDay[RowYear],"&gt;="&amp;$C$4,DaybyDay[Date],"&lt;="&amp;DaybyDay[[#This Row],[Date]])</f>
        <v>265019.72476573143</v>
      </c>
      <c r="Q1299" s="34">
        <f>SUMIFS(DaybyDay[Service-Actuals],DaybyDay[Date],"&gt;="&amp;$C$5,DaybyDay[RowYear],"&gt;="&amp;$C$4,DaybyDay[Date],"&lt;="&amp;DaybyDay[[#This Row],[Date]])</f>
        <v>385554.23</v>
      </c>
      <c r="R1299" s="34">
        <f>SUMIFS(DaybyDay[Retail-Actuals],DaybyDay[Date],"&gt;="&amp;$C$5,DaybyDay[RowYear],"&gt;="&amp;$C$4,DaybyDay[Date],"&lt;="&amp;DaybyDay[[#This Row],[Date]])</f>
        <v>88360.030000000028</v>
      </c>
      <c r="S1299" s="35">
        <f>SUMIFS(DaybyDay[Service-LY],DaybyDay[Date],"&gt;="&amp;$C$5,DaybyDay[RowYear],"&gt;="&amp;$C$4,DaybyDay[Date],"&lt;="&amp;DaybyDay[[#This Row],[Date]])</f>
        <v>965871.16999999946</v>
      </c>
      <c r="T1299" s="35">
        <f>SUMIFS(DaybyDay[Retail-LY],DaybyDay[Date],"&gt;="&amp;$C$5,DaybyDay[RowYear],"&gt;="&amp;$C$4,DaybyDay[Date],"&lt;="&amp;DaybyDay[[#This Row],[Date]])</f>
        <v>229907.22999999998</v>
      </c>
      <c r="U1299" s="32">
        <f>DaybyDay[[#This Row],[Serv-Bud-RU]]+DaybyDay[[#This Row],[Ret-Bud-RU]]</f>
        <v>1319545.7407790022</v>
      </c>
      <c r="V1299" s="32">
        <f>DaybyDay[[#This Row],[Serv-Act-RU]]+DaybyDay[[#This Row],[Ret-Act-RU]]</f>
        <v>473914.26</v>
      </c>
      <c r="W1299" s="36" t="str">
        <f>IF(DaybyDay[[#This Row],[_Space]],IFERROR(
((DaybyDay[[#This Row],[Actual-Rollup]]-DaybyDay[[#This Row],[Budget-Rollup]])/DaybyDay[[#This Row],[Budget-Rollup]]),0),"")</f>
        <v/>
      </c>
      <c r="X1299" t="b">
        <f>NOT(AND(ISBLANK(DaybyDay[[#This Row],[Appts]]),ISBLANK(DaybyDay[[#This Row],[Service-Actuals]]),ISBLANK(DaybyDay[[#This Row],[Retail-Actuals]])))</f>
        <v>0</v>
      </c>
      <c r="Y1299" s="36" t="str">
        <f>IF(DaybyDay[[#This Row],[_Space]],IFERROR(
((DaybyDay[[#This Row],[Actual-Rollup]]-DaybyDay[[#This Row],[LY-Rollup]])/DaybyDay[[#This Row],[LY-Rollup]]),0),"")</f>
        <v/>
      </c>
      <c r="Z1299"/>
      <c r="AA1299" s="37" t="str">
        <f>IF(DaybyDay[[#This Row],[_Space]],DaybyDay[[#This Row],[Ret-Act-RU]]/DaybyDay[[#This Row],[Serv-Act-RU]],"")</f>
        <v/>
      </c>
      <c r="AB1299" s="50" t="str">
        <f>IF(DaybyDay[[#This Row],[_Space]],DaybyDay[[#This Row],[RETPEN-Act]]/DaybyDay[[#This Row],[RETPEN-Bud]],"")</f>
        <v/>
      </c>
      <c r="AC1299" s="37" t="str">
        <f>IF(DaybyDay[[#This Row],[_Space]],DaybyDay[[#This Row],[Ret-Bud-RU]]/DaybyDay[[#This Row],[Serv-Bud-RU]],"")</f>
        <v/>
      </c>
      <c r="AD1299" s="37" t="str">
        <f>IF(DaybyDay[[#This Row],[_Space]],DaybyDay[[#This Row],[Ret-LY-RU]]/DaybyDay[[#This Row],[Serv-LY-RU]],"")</f>
        <v/>
      </c>
      <c r="AE1299" s="30">
        <f>WEEKDAY(DaybyDay[[#This Row],[LY-Date]])</f>
        <v>5</v>
      </c>
      <c r="AF1299" s="38">
        <f>$E$2+_xlfn.DAYS(DaybyDay[[#This Row],[Date]],minDate)</f>
        <v>43664</v>
      </c>
      <c r="AG1299" s="39" cm="1">
        <f t="array" ref="AG1299">IFERROR(INDEX(DaybyDay[],DaybyDay[[#This Row],[FORM_MATCH_HELPER]],8),"")</f>
        <v>19</v>
      </c>
      <c r="AH1299" s="39" cm="1">
        <f t="array" ref="AH1299">IFERROR(INDEX(DaybyDay[],DaybyDay[[#This Row],[FORM_MATCH_HELPER]],10),"")</f>
        <v>3563.85</v>
      </c>
      <c r="AI1299" s="39" cm="1">
        <f t="array" ref="AI1299">IFERROR(INDEX(DaybyDay[],DaybyDay[[#This Row],[FORM_MATCH_HELPER]],12),"")</f>
        <v>0</v>
      </c>
      <c r="AJ1299" s="32">
        <f>IFERROR(DaybyDay[[#This Row],[Serv-LY-RU]]+DaybyDay[[#This Row],[Ret-LY-RU]],"")</f>
        <v>1195778.3999999994</v>
      </c>
      <c r="AK12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1190524.3438791861</v>
      </c>
      <c r="AL1299" s="77"/>
      <c r="AM1299" s="40" t="str">
        <f>IF(DaybyDay[[#This Row],[Admin Hours]]&gt;0,DaybyDay[[#This Row],[Admin Hours]]*$AM$2+$AM$3,"")</f>
        <v/>
      </c>
      <c r="AN1299" s="40">
        <f>SUMIFS(DaybyDay[Est-Admin-Payroll],DaybyDay[Date],"&gt;="&amp;$C$5,DaybyDay[RowYear],"&gt;="&amp;$C$4,DaybyDay[Date],"&lt;="&amp;DaybyDay[[#This Row],[Date]])</f>
        <v>13941.779999999997</v>
      </c>
      <c r="AO1299" s="41" t="str">
        <f>IF(AND(DaybyDay[[#This Row],[_Space]],ISNUMBER(DaybyDay[[#This Row],[Admin Hours]])),DaybyDay[[#This Row],[Est-Admin-Payroll]]/(DaybyDay[[#This Row],[Service-Actuals]]+DaybyDay[[#This Row],[Retail-Actuals]]),"")</f>
        <v/>
      </c>
      <c r="AP1299" s="41">
        <f>DaybyDay[[#This Row],[Estimated-Payroll-Rollup]]/DaybyDay[[#This Row],[Simple-Forecast]]</f>
        <v>1.1710621518727048E-2</v>
      </c>
      <c r="AQ12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230660.45136403188</v>
      </c>
      <c r="AR1299" s="77"/>
      <c r="AS1299" s="40" t="str">
        <f>IF(DaybyDay[[#This Row],[Retail Hours]]&gt;0,DaybyDay[[#This Row],[Retail Hours]]*$AS$2,"")</f>
        <v/>
      </c>
      <c r="AT1299" s="40">
        <f>SUMIFS(DaybyDay[Est-Retail-Payroll],DaybyDay[Date],"&gt;="&amp;$C$5,DaybyDay[RowYear],"&gt;="&amp;$C$4,DaybyDay[Date],"&lt;="&amp;DaybyDay[[#This Row],[Date]])</f>
        <v>2627.1</v>
      </c>
      <c r="AU1299" s="82" t="str">
        <f>IF(AND(DaybyDay[[#This Row],[_Space]],ISNUMBER(DaybyDay[[#This Row],[Retail Hours]])),DaybyDay[[#This Row],[Est-Retail-Payroll]]/(DaybyDay[[#This Row],[Retail-Actuals]]),"")</f>
        <v/>
      </c>
      <c r="AV1299" s="82">
        <f>DaybyDay[[#This Row],[Est-Retail-PayrollRU]]/DaybyDay[[#This Row],[Simple-Forecast-Retail]]</f>
        <v>1.1389468738417884E-2</v>
      </c>
      <c r="AW1299" s="8"/>
      <c r="AX1299" s="15"/>
      <c r="AY1299" s="8"/>
    </row>
    <row r="1300" spans="3:51" hidden="1" x14ac:dyDescent="0.25">
      <c r="C1300" s="26" t="str">
        <f>Tools!$C$1</f>
        <v>Example</v>
      </c>
      <c r="D1300" s="27" t="s">
        <v>74</v>
      </c>
      <c r="E1300" s="28">
        <v>2020</v>
      </c>
      <c r="F1300" s="28">
        <f>MATCH(DaybyDay[[#This Row],[RowMonth]],Table3[SummaryMonth],0)</f>
        <v>7</v>
      </c>
      <c r="G1300" s="29">
        <f>MATCH(DaybyDay[[#This Row],[LY-Date]],DaybyDay[Date],0)</f>
        <v>930</v>
      </c>
      <c r="H1300" s="30">
        <f>WEEKDAY(DaybyDay[[#This Row],[Date]])</f>
        <v>6</v>
      </c>
      <c r="I1300" s="31">
        <v>44029</v>
      </c>
      <c r="J1300" s="74"/>
      <c r="K1300" s="32">
        <f>SUMIFS(BudgetSeasonality[365 Seasonality],BudgetSeasonality[MonthAdjustment],DaybyDay[[#This Row],[Date]])*SUMIFS(Budgets[Service-Budget],Budgets[BudgetMonth],DaybyDay[[#This Row],[RowMonth]],Budgets[BudgetYear],DaybyDay[[#This Row],[RowYear]])</f>
        <v>5573.1075611059641</v>
      </c>
      <c r="L1300" s="75"/>
      <c r="M1300" s="32">
        <f>INDEX(BudgetSeasonality[365 Seasonality],MATCH(DaybyDay[[#This Row],[Date]],BudgetSeasonality[MonthAdjustment],0))*SUMIFS(Budgets[Retail-Budget],Budgets[BudgetMonth],DaybyDay[[#This Row],[RowMonth]],Budgets[BudgetYear],DaybyDay[[#This Row],[RowYear]])</f>
        <v>1390.0850369342927</v>
      </c>
      <c r="N1300" s="75"/>
      <c r="O1300" s="33">
        <f>SUMIFS(DaybyDay[Service-Budgets],DaybyDay[Date],"&gt;="&amp;$C$5,DaybyDay[RowYear],"&gt;="&amp;$C$4,DaybyDay[Date],"&lt;="&amp;DaybyDay[[#This Row],[Date]])</f>
        <v>1060099.1235743766</v>
      </c>
      <c r="P1300" s="33">
        <f>SUMIFS(DaybyDay[Retail-Budgets],DaybyDay[Date],"&gt;="&amp;$C$5,DaybyDay[RowYear],"&gt;="&amp;$C$4,DaybyDay[Date],"&lt;="&amp;DaybyDay[[#This Row],[Date]])</f>
        <v>266409.80980266572</v>
      </c>
      <c r="Q1300" s="34">
        <f>SUMIFS(DaybyDay[Service-Actuals],DaybyDay[Date],"&gt;="&amp;$C$5,DaybyDay[RowYear],"&gt;="&amp;$C$4,DaybyDay[Date],"&lt;="&amp;DaybyDay[[#This Row],[Date]])</f>
        <v>385554.23</v>
      </c>
      <c r="R1300" s="34">
        <f>SUMIFS(DaybyDay[Retail-Actuals],DaybyDay[Date],"&gt;="&amp;$C$5,DaybyDay[RowYear],"&gt;="&amp;$C$4,DaybyDay[Date],"&lt;="&amp;DaybyDay[[#This Row],[Date]])</f>
        <v>88360.030000000028</v>
      </c>
      <c r="S1300" s="35">
        <f>SUMIFS(DaybyDay[Service-LY],DaybyDay[Date],"&gt;="&amp;$C$5,DaybyDay[RowYear],"&gt;="&amp;$C$4,DaybyDay[Date],"&lt;="&amp;DaybyDay[[#This Row],[Date]])</f>
        <v>971614.7099999995</v>
      </c>
      <c r="T1300" s="35">
        <f>SUMIFS(DaybyDay[Retail-LY],DaybyDay[Date],"&gt;="&amp;$C$5,DaybyDay[RowYear],"&gt;="&amp;$C$4,DaybyDay[Date],"&lt;="&amp;DaybyDay[[#This Row],[Date]])</f>
        <v>231412.58</v>
      </c>
      <c r="U1300" s="32">
        <f>DaybyDay[[#This Row],[Serv-Bud-RU]]+DaybyDay[[#This Row],[Ret-Bud-RU]]</f>
        <v>1326508.9333770424</v>
      </c>
      <c r="V1300" s="32">
        <f>DaybyDay[[#This Row],[Serv-Act-RU]]+DaybyDay[[#This Row],[Ret-Act-RU]]</f>
        <v>473914.26</v>
      </c>
      <c r="W1300" s="36" t="str">
        <f>IF(DaybyDay[[#This Row],[_Space]],IFERROR(
((DaybyDay[[#This Row],[Actual-Rollup]]-DaybyDay[[#This Row],[Budget-Rollup]])/DaybyDay[[#This Row],[Budget-Rollup]]),0),"")</f>
        <v/>
      </c>
      <c r="X1300" t="b">
        <f>NOT(AND(ISBLANK(DaybyDay[[#This Row],[Appts]]),ISBLANK(DaybyDay[[#This Row],[Service-Actuals]]),ISBLANK(DaybyDay[[#This Row],[Retail-Actuals]])))</f>
        <v>0</v>
      </c>
      <c r="Y1300" s="36" t="str">
        <f>IF(DaybyDay[[#This Row],[_Space]],IFERROR(
((DaybyDay[[#This Row],[Actual-Rollup]]-DaybyDay[[#This Row],[LY-Rollup]])/DaybyDay[[#This Row],[LY-Rollup]]),0),"")</f>
        <v/>
      </c>
      <c r="Z1300"/>
      <c r="AA1300" s="37" t="str">
        <f>IF(DaybyDay[[#This Row],[_Space]],DaybyDay[[#This Row],[Ret-Act-RU]]/DaybyDay[[#This Row],[Serv-Act-RU]],"")</f>
        <v/>
      </c>
      <c r="AB1300" s="50" t="str">
        <f>IF(DaybyDay[[#This Row],[_Space]],DaybyDay[[#This Row],[RETPEN-Act]]/DaybyDay[[#This Row],[RETPEN-Bud]],"")</f>
        <v/>
      </c>
      <c r="AC1300" s="37" t="str">
        <f>IF(DaybyDay[[#This Row],[_Space]],DaybyDay[[#This Row],[Ret-Bud-RU]]/DaybyDay[[#This Row],[Serv-Bud-RU]],"")</f>
        <v/>
      </c>
      <c r="AD1300" s="37" t="str">
        <f>IF(DaybyDay[[#This Row],[_Space]],DaybyDay[[#This Row],[Ret-LY-RU]]/DaybyDay[[#This Row],[Serv-LY-RU]],"")</f>
        <v/>
      </c>
      <c r="AE1300" s="30">
        <f>WEEKDAY(DaybyDay[[#This Row],[LY-Date]])</f>
        <v>6</v>
      </c>
      <c r="AF1300" s="38">
        <f>$E$2+_xlfn.DAYS(DaybyDay[[#This Row],[Date]],minDate)</f>
        <v>43665</v>
      </c>
      <c r="AG1300" s="39" cm="1">
        <f t="array" ref="AG1300">IFERROR(INDEX(DaybyDay[],DaybyDay[[#This Row],[FORM_MATCH_HELPER]],8),"")</f>
        <v>32</v>
      </c>
      <c r="AH1300" s="39" cm="1">
        <f t="array" ref="AH1300">IFERROR(INDEX(DaybyDay[],DaybyDay[[#This Row],[FORM_MATCH_HELPER]],10),"")</f>
        <v>5743.5400000000009</v>
      </c>
      <c r="AI1300" s="39" cm="1">
        <f t="array" ref="AI1300">IFERROR(INDEX(DaybyDay[],DaybyDay[[#This Row],[FORM_MATCH_HELPER]],12),"")</f>
        <v>1505.35</v>
      </c>
      <c r="AJ1300" s="32">
        <f>IFERROR(DaybyDay[[#This Row],[Serv-LY-RU]]+DaybyDay[[#This Row],[Ret-LY-RU]],"")</f>
        <v>1203027.2899999996</v>
      </c>
      <c r="AK13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1197060.1874483642</v>
      </c>
      <c r="AL1300" s="77"/>
      <c r="AM1300" s="40" t="str">
        <f>IF(DaybyDay[[#This Row],[Admin Hours]]&gt;0,DaybyDay[[#This Row],[Admin Hours]]*$AM$2+$AM$3,"")</f>
        <v/>
      </c>
      <c r="AN1300" s="40">
        <f>SUMIFS(DaybyDay[Est-Admin-Payroll],DaybyDay[Date],"&gt;="&amp;$C$5,DaybyDay[RowYear],"&gt;="&amp;$C$4,DaybyDay[Date],"&lt;="&amp;DaybyDay[[#This Row],[Date]])</f>
        <v>13941.779999999997</v>
      </c>
      <c r="AO1300" s="41" t="str">
        <f>IF(AND(DaybyDay[[#This Row],[_Space]],ISNUMBER(DaybyDay[[#This Row],[Admin Hours]])),DaybyDay[[#This Row],[Est-Admin-Payroll]]/(DaybyDay[[#This Row],[Service-Actuals]]+DaybyDay[[#This Row],[Retail-Actuals]]),"")</f>
        <v/>
      </c>
      <c r="AP1300" s="41">
        <f>DaybyDay[[#This Row],[Estimated-Payroll-Rollup]]/DaybyDay[[#This Row],[Simple-Forecast]]</f>
        <v>1.164668255296176E-2</v>
      </c>
      <c r="AQ13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231993.93333952624</v>
      </c>
      <c r="AR1300" s="77"/>
      <c r="AS1300" s="40" t="str">
        <f>IF(DaybyDay[[#This Row],[Retail Hours]]&gt;0,DaybyDay[[#This Row],[Retail Hours]]*$AS$2,"")</f>
        <v/>
      </c>
      <c r="AT1300" s="40">
        <f>SUMIFS(DaybyDay[Est-Retail-Payroll],DaybyDay[Date],"&gt;="&amp;$C$5,DaybyDay[RowYear],"&gt;="&amp;$C$4,DaybyDay[Date],"&lt;="&amp;DaybyDay[[#This Row],[Date]])</f>
        <v>2627.1</v>
      </c>
      <c r="AU1300" s="82" t="str">
        <f>IF(AND(DaybyDay[[#This Row],[_Space]],ISNUMBER(DaybyDay[[#This Row],[Retail Hours]])),DaybyDay[[#This Row],[Est-Retail-Payroll]]/(DaybyDay[[#This Row],[Retail-Actuals]]),"")</f>
        <v/>
      </c>
      <c r="AV1300" s="82">
        <f>DaybyDay[[#This Row],[Est-Retail-PayrollRU]]/DaybyDay[[#This Row],[Simple-Forecast-Retail]]</f>
        <v>1.1324003012420173E-2</v>
      </c>
      <c r="AW1300" s="8"/>
      <c r="AX1300" s="15"/>
      <c r="AY1300" s="8"/>
    </row>
    <row r="1301" spans="3:51" hidden="1" x14ac:dyDescent="0.25">
      <c r="C1301" s="26" t="str">
        <f>Tools!$C$1</f>
        <v>Example</v>
      </c>
      <c r="D1301" s="27" t="s">
        <v>74</v>
      </c>
      <c r="E1301" s="28">
        <v>2020</v>
      </c>
      <c r="F1301" s="28">
        <f>MATCH(DaybyDay[[#This Row],[RowMonth]],Table3[SummaryMonth],0)</f>
        <v>7</v>
      </c>
      <c r="G1301" s="29">
        <f>MATCH(DaybyDay[[#This Row],[LY-Date]],DaybyDay[Date],0)</f>
        <v>931</v>
      </c>
      <c r="H1301" s="30">
        <f>WEEKDAY(DaybyDay[[#This Row],[Date]])</f>
        <v>7</v>
      </c>
      <c r="I1301" s="31">
        <v>44030</v>
      </c>
      <c r="J1301" s="74"/>
      <c r="K1301" s="32">
        <f>SUMIFS(BudgetSeasonality[365 Seasonality],BudgetSeasonality[MonthAdjustment],DaybyDay[[#This Row],[Date]])*SUMIFS(Budgets[Service-Budget],Budgets[BudgetMonth],DaybyDay[[#This Row],[RowMonth]],Budgets[BudgetYear],DaybyDay[[#This Row],[RowYear]])</f>
        <v>8195.0592711590307</v>
      </c>
      <c r="L1301" s="75"/>
      <c r="M1301" s="32">
        <f>INDEX(BudgetSeasonality[365 Seasonality],MATCH(DaybyDay[[#This Row],[Date]],BudgetSeasonality[MonthAdjustment],0))*SUMIFS(Budgets[Retail-Budget],Budgets[BudgetMonth],DaybyDay[[#This Row],[RowMonth]],Budgets[BudgetYear],DaybyDay[[#This Row],[RowYear]])</f>
        <v>2044.0713093588938</v>
      </c>
      <c r="N1301" s="75"/>
      <c r="O1301" s="33">
        <f>SUMIFS(DaybyDay[Service-Budgets],DaybyDay[Date],"&gt;="&amp;$C$5,DaybyDay[RowYear],"&gt;="&amp;$C$4,DaybyDay[Date],"&lt;="&amp;DaybyDay[[#This Row],[Date]])</f>
        <v>1068294.1828455357</v>
      </c>
      <c r="P1301" s="33">
        <f>SUMIFS(DaybyDay[Retail-Budgets],DaybyDay[Date],"&gt;="&amp;$C$5,DaybyDay[RowYear],"&gt;="&amp;$C$4,DaybyDay[Date],"&lt;="&amp;DaybyDay[[#This Row],[Date]])</f>
        <v>268453.8811120246</v>
      </c>
      <c r="Q1301" s="34">
        <f>SUMIFS(DaybyDay[Service-Actuals],DaybyDay[Date],"&gt;="&amp;$C$5,DaybyDay[RowYear],"&gt;="&amp;$C$4,DaybyDay[Date],"&lt;="&amp;DaybyDay[[#This Row],[Date]])</f>
        <v>385554.23</v>
      </c>
      <c r="R1301" s="34">
        <f>SUMIFS(DaybyDay[Retail-Actuals],DaybyDay[Date],"&gt;="&amp;$C$5,DaybyDay[RowYear],"&gt;="&amp;$C$4,DaybyDay[Date],"&lt;="&amp;DaybyDay[[#This Row],[Date]])</f>
        <v>88360.030000000028</v>
      </c>
      <c r="S1301" s="35">
        <f>SUMIFS(DaybyDay[Service-LY],DaybyDay[Date],"&gt;="&amp;$C$5,DaybyDay[RowYear],"&gt;="&amp;$C$4,DaybyDay[Date],"&lt;="&amp;DaybyDay[[#This Row],[Date]])</f>
        <v>978530.29999999946</v>
      </c>
      <c r="T1301" s="35">
        <f>SUMIFS(DaybyDay[Retail-LY],DaybyDay[Date],"&gt;="&amp;$C$5,DaybyDay[RowYear],"&gt;="&amp;$C$4,DaybyDay[Date],"&lt;="&amp;DaybyDay[[#This Row],[Date]])</f>
        <v>232275.58</v>
      </c>
      <c r="U1301" s="32">
        <f>DaybyDay[[#This Row],[Serv-Bud-RU]]+DaybyDay[[#This Row],[Ret-Bud-RU]]</f>
        <v>1336748.0639575603</v>
      </c>
      <c r="V1301" s="32">
        <f>DaybyDay[[#This Row],[Serv-Act-RU]]+DaybyDay[[#This Row],[Ret-Act-RU]]</f>
        <v>473914.26</v>
      </c>
      <c r="W1301" s="36" t="str">
        <f>IF(DaybyDay[[#This Row],[_Space]],IFERROR(
((DaybyDay[[#This Row],[Actual-Rollup]]-DaybyDay[[#This Row],[Budget-Rollup]])/DaybyDay[[#This Row],[Budget-Rollup]]),0),"")</f>
        <v/>
      </c>
      <c r="X1301" t="b">
        <f>NOT(AND(ISBLANK(DaybyDay[[#This Row],[Appts]]),ISBLANK(DaybyDay[[#This Row],[Service-Actuals]]),ISBLANK(DaybyDay[[#This Row],[Retail-Actuals]])))</f>
        <v>0</v>
      </c>
      <c r="Y1301" s="36" t="str">
        <f>IF(DaybyDay[[#This Row],[_Space]],IFERROR(
((DaybyDay[[#This Row],[Actual-Rollup]]-DaybyDay[[#This Row],[LY-Rollup]])/DaybyDay[[#This Row],[LY-Rollup]]),0),"")</f>
        <v/>
      </c>
      <c r="Z1301"/>
      <c r="AA1301" s="37" t="str">
        <f>IF(DaybyDay[[#This Row],[_Space]],DaybyDay[[#This Row],[Ret-Act-RU]]/DaybyDay[[#This Row],[Serv-Act-RU]],"")</f>
        <v/>
      </c>
      <c r="AB1301" s="50" t="str">
        <f>IF(DaybyDay[[#This Row],[_Space]],DaybyDay[[#This Row],[RETPEN-Act]]/DaybyDay[[#This Row],[RETPEN-Bud]],"")</f>
        <v/>
      </c>
      <c r="AC1301" s="37" t="str">
        <f>IF(DaybyDay[[#This Row],[_Space]],DaybyDay[[#This Row],[Ret-Bud-RU]]/DaybyDay[[#This Row],[Serv-Bud-RU]],"")</f>
        <v/>
      </c>
      <c r="AD1301" s="37" t="str">
        <f>IF(DaybyDay[[#This Row],[_Space]],DaybyDay[[#This Row],[Ret-LY-RU]]/DaybyDay[[#This Row],[Serv-LY-RU]],"")</f>
        <v/>
      </c>
      <c r="AE1301" s="30">
        <f>WEEKDAY(DaybyDay[[#This Row],[LY-Date]])</f>
        <v>7</v>
      </c>
      <c r="AF1301" s="38">
        <f>$E$2+_xlfn.DAYS(DaybyDay[[#This Row],[Date]],minDate)</f>
        <v>43666</v>
      </c>
      <c r="AG1301" s="39" cm="1">
        <f t="array" ref="AG1301">IFERROR(INDEX(DaybyDay[],DaybyDay[[#This Row],[FORM_MATCH_HELPER]],8),"")</f>
        <v>32</v>
      </c>
      <c r="AH1301" s="39" cm="1">
        <f t="array" ref="AH1301">IFERROR(INDEX(DaybyDay[],DaybyDay[[#This Row],[FORM_MATCH_HELPER]],10),"")</f>
        <v>6915.59</v>
      </c>
      <c r="AI1301" s="39" cm="1">
        <f t="array" ref="AI1301">IFERROR(INDEX(DaybyDay[],DaybyDay[[#This Row],[FORM_MATCH_HELPER]],12),"")</f>
        <v>863</v>
      </c>
      <c r="AJ1301" s="32">
        <f>IFERROR(DaybyDay[[#This Row],[Serv-LY-RU]]+DaybyDay[[#This Row],[Ret-LY-RU]],"")</f>
        <v>1210805.8799999994</v>
      </c>
      <c r="AK13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1205250.6320075667</v>
      </c>
      <c r="AL1301" s="77"/>
      <c r="AM1301" s="40" t="str">
        <f>IF(DaybyDay[[#This Row],[Admin Hours]]&gt;0,DaybyDay[[#This Row],[Admin Hours]]*$AM$2+$AM$3,"")</f>
        <v/>
      </c>
      <c r="AN1301" s="40">
        <f>SUMIFS(DaybyDay[Est-Admin-Payroll],DaybyDay[Date],"&gt;="&amp;$C$5,DaybyDay[RowYear],"&gt;="&amp;$C$4,DaybyDay[Date],"&lt;="&amp;DaybyDay[[#This Row],[Date]])</f>
        <v>13941.779999999997</v>
      </c>
      <c r="AO1301" s="41" t="str">
        <f>IF(AND(DaybyDay[[#This Row],[_Space]],ISNUMBER(DaybyDay[[#This Row],[Admin Hours]])),DaybyDay[[#This Row],[Est-Admin-Payroll]]/(DaybyDay[[#This Row],[Service-Actuals]]+DaybyDay[[#This Row],[Retail-Actuals]]),"")</f>
        <v/>
      </c>
      <c r="AP1301" s="41">
        <f>DaybyDay[[#This Row],[Estimated-Payroll-Rollup]]/DaybyDay[[#This Row],[Simple-Forecast]]</f>
        <v>1.1567535937962876E-2</v>
      </c>
      <c r="AQ13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233288.88521310443</v>
      </c>
      <c r="AR1301" s="77"/>
      <c r="AS1301" s="40" t="str">
        <f>IF(DaybyDay[[#This Row],[Retail Hours]]&gt;0,DaybyDay[[#This Row],[Retail Hours]]*$AS$2,"")</f>
        <v/>
      </c>
      <c r="AT1301" s="40">
        <f>SUMIFS(DaybyDay[Est-Retail-Payroll],DaybyDay[Date],"&gt;="&amp;$C$5,DaybyDay[RowYear],"&gt;="&amp;$C$4,DaybyDay[Date],"&lt;="&amp;DaybyDay[[#This Row],[Date]])</f>
        <v>2627.1</v>
      </c>
      <c r="AU1301" s="82" t="str">
        <f>IF(AND(DaybyDay[[#This Row],[_Space]],ISNUMBER(DaybyDay[[#This Row],[Retail Hours]])),DaybyDay[[#This Row],[Est-Retail-Payroll]]/(DaybyDay[[#This Row],[Retail-Actuals]]),"")</f>
        <v/>
      </c>
      <c r="AV1301" s="82">
        <f>DaybyDay[[#This Row],[Est-Retail-PayrollRU]]/DaybyDay[[#This Row],[Simple-Forecast-Retail]]</f>
        <v>1.1261145157430883E-2</v>
      </c>
      <c r="AW1301" s="8"/>
      <c r="AX1301" s="15"/>
      <c r="AY1301" s="8"/>
    </row>
    <row r="1302" spans="3:51" hidden="1" x14ac:dyDescent="0.25">
      <c r="C1302" s="26" t="str">
        <f>Tools!$C$1</f>
        <v>Example</v>
      </c>
      <c r="D1302" s="27" t="s">
        <v>74</v>
      </c>
      <c r="E1302" s="28">
        <v>2020</v>
      </c>
      <c r="F1302" s="28">
        <f>MATCH(DaybyDay[[#This Row],[RowMonth]],Table3[SummaryMonth],0)</f>
        <v>7</v>
      </c>
      <c r="G1302" s="29">
        <f>MATCH(DaybyDay[[#This Row],[LY-Date]],DaybyDay[Date],0)</f>
        <v>932</v>
      </c>
      <c r="H1302" s="30">
        <f>WEEKDAY(DaybyDay[[#This Row],[Date]])</f>
        <v>1</v>
      </c>
      <c r="I1302" s="31">
        <v>44031</v>
      </c>
      <c r="J1302" s="74"/>
      <c r="K1302" s="32">
        <f>SUMIFS(BudgetSeasonality[365 Seasonality],BudgetSeasonality[MonthAdjustment],DaybyDay[[#This Row],[Date]])*SUMIFS(Budgets[Service-Budget],Budgets[BudgetMonth],DaybyDay[[#This Row],[RowMonth]],Budgets[BudgetYear],DaybyDay[[#This Row],[RowYear]])</f>
        <v>6373.0073706092289</v>
      </c>
      <c r="L1302" s="75"/>
      <c r="M1302" s="32">
        <f>INDEX(BudgetSeasonality[365 Seasonality],MATCH(DaybyDay[[#This Row],[Date]],BudgetSeasonality[MonthAdjustment],0))*SUMIFS(Budgets[Retail-Budget],Budgets[BudgetMonth],DaybyDay[[#This Row],[RowMonth]],Budgets[BudgetYear],DaybyDay[[#This Row],[RowYear]])</f>
        <v>1589.6018673642477</v>
      </c>
      <c r="N1302" s="75"/>
      <c r="O1302" s="33">
        <f>SUMIFS(DaybyDay[Service-Budgets],DaybyDay[Date],"&gt;="&amp;$C$5,DaybyDay[RowYear],"&gt;="&amp;$C$4,DaybyDay[Date],"&lt;="&amp;DaybyDay[[#This Row],[Date]])</f>
        <v>1074667.190216145</v>
      </c>
      <c r="P1302" s="33">
        <f>SUMIFS(DaybyDay[Retail-Budgets],DaybyDay[Date],"&gt;="&amp;$C$5,DaybyDay[RowYear],"&gt;="&amp;$C$4,DaybyDay[Date],"&lt;="&amp;DaybyDay[[#This Row],[Date]])</f>
        <v>270043.48297938885</v>
      </c>
      <c r="Q1302" s="34">
        <f>SUMIFS(DaybyDay[Service-Actuals],DaybyDay[Date],"&gt;="&amp;$C$5,DaybyDay[RowYear],"&gt;="&amp;$C$4,DaybyDay[Date],"&lt;="&amp;DaybyDay[[#This Row],[Date]])</f>
        <v>385554.23</v>
      </c>
      <c r="R1302" s="34">
        <f>SUMIFS(DaybyDay[Retail-Actuals],DaybyDay[Date],"&gt;="&amp;$C$5,DaybyDay[RowYear],"&gt;="&amp;$C$4,DaybyDay[Date],"&lt;="&amp;DaybyDay[[#This Row],[Date]])</f>
        <v>88360.030000000028</v>
      </c>
      <c r="S1302" s="35">
        <f>SUMIFS(DaybyDay[Service-LY],DaybyDay[Date],"&gt;="&amp;$C$5,DaybyDay[RowYear],"&gt;="&amp;$C$4,DaybyDay[Date],"&lt;="&amp;DaybyDay[[#This Row],[Date]])</f>
        <v>983319.49999999942</v>
      </c>
      <c r="T1302" s="35">
        <f>SUMIFS(DaybyDay[Retail-LY],DaybyDay[Date],"&gt;="&amp;$C$5,DaybyDay[RowYear],"&gt;="&amp;$C$4,DaybyDay[Date],"&lt;="&amp;DaybyDay[[#This Row],[Date]])</f>
        <v>232782.07999999999</v>
      </c>
      <c r="U1302" s="32">
        <f>DaybyDay[[#This Row],[Serv-Bud-RU]]+DaybyDay[[#This Row],[Ret-Bud-RU]]</f>
        <v>1344710.6731955339</v>
      </c>
      <c r="V1302" s="32">
        <f>DaybyDay[[#This Row],[Serv-Act-RU]]+DaybyDay[[#This Row],[Ret-Act-RU]]</f>
        <v>473914.26</v>
      </c>
      <c r="W1302" s="36" t="str">
        <f>IF(DaybyDay[[#This Row],[_Space]],IFERROR(
((DaybyDay[[#This Row],[Actual-Rollup]]-DaybyDay[[#This Row],[Budget-Rollup]])/DaybyDay[[#This Row],[Budget-Rollup]]),0),"")</f>
        <v/>
      </c>
      <c r="X1302" t="b">
        <f>NOT(AND(ISBLANK(DaybyDay[[#This Row],[Appts]]),ISBLANK(DaybyDay[[#This Row],[Service-Actuals]]),ISBLANK(DaybyDay[[#This Row],[Retail-Actuals]])))</f>
        <v>0</v>
      </c>
      <c r="Y1302" s="36" t="str">
        <f>IF(DaybyDay[[#This Row],[_Space]],IFERROR(
((DaybyDay[[#This Row],[Actual-Rollup]]-DaybyDay[[#This Row],[LY-Rollup]])/DaybyDay[[#This Row],[LY-Rollup]]),0),"")</f>
        <v/>
      </c>
      <c r="Z1302"/>
      <c r="AA1302" s="37" t="str">
        <f>IF(DaybyDay[[#This Row],[_Space]],DaybyDay[[#This Row],[Ret-Act-RU]]/DaybyDay[[#This Row],[Serv-Act-RU]],"")</f>
        <v/>
      </c>
      <c r="AB1302" s="50" t="str">
        <f>IF(DaybyDay[[#This Row],[_Space]],DaybyDay[[#This Row],[RETPEN-Act]]/DaybyDay[[#This Row],[RETPEN-Bud]],"")</f>
        <v/>
      </c>
      <c r="AC1302" s="37" t="str">
        <f>IF(DaybyDay[[#This Row],[_Space]],DaybyDay[[#This Row],[Ret-Bud-RU]]/DaybyDay[[#This Row],[Serv-Bud-RU]],"")</f>
        <v/>
      </c>
      <c r="AD1302" s="37" t="str">
        <f>IF(DaybyDay[[#This Row],[_Space]],DaybyDay[[#This Row],[Ret-LY-RU]]/DaybyDay[[#This Row],[Serv-LY-RU]],"")</f>
        <v/>
      </c>
      <c r="AE1302" s="30">
        <f>WEEKDAY(DaybyDay[[#This Row],[LY-Date]])</f>
        <v>1</v>
      </c>
      <c r="AF1302" s="38">
        <f>$E$2+_xlfn.DAYS(DaybyDay[[#This Row],[Date]],minDate)</f>
        <v>43667</v>
      </c>
      <c r="AG1302" s="39" cm="1">
        <f t="array" ref="AG1302">IFERROR(INDEX(DaybyDay[],DaybyDay[[#This Row],[FORM_MATCH_HELPER]],8),"")</f>
        <v>22</v>
      </c>
      <c r="AH1302" s="39" cm="1">
        <f t="array" ref="AH1302">IFERROR(INDEX(DaybyDay[],DaybyDay[[#This Row],[FORM_MATCH_HELPER]],10),"")</f>
        <v>4789.2</v>
      </c>
      <c r="AI1302" s="39" cm="1">
        <f t="array" ref="AI1302">IFERROR(INDEX(DaybyDay[],DaybyDay[[#This Row],[FORM_MATCH_HELPER]],12),"")</f>
        <v>506.5</v>
      </c>
      <c r="AJ1302" s="32">
        <f>IFERROR(DaybyDay[[#This Row],[Serv-LY-RU]]+DaybyDay[[#This Row],[Ret-LY-RU]],"")</f>
        <v>1216101.5799999994</v>
      </c>
      <c r="AK13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1211248.5751708681</v>
      </c>
      <c r="AL1302" s="77"/>
      <c r="AM1302" s="40" t="str">
        <f>IF(DaybyDay[[#This Row],[Admin Hours]]&gt;0,DaybyDay[[#This Row],[Admin Hours]]*$AM$2+$AM$3,"")</f>
        <v/>
      </c>
      <c r="AN1302" s="40">
        <f>SUMIFS(DaybyDay[Est-Admin-Payroll],DaybyDay[Date],"&gt;="&amp;$C$5,DaybyDay[RowYear],"&gt;="&amp;$C$4,DaybyDay[Date],"&lt;="&amp;DaybyDay[[#This Row],[Date]])</f>
        <v>13941.779999999997</v>
      </c>
      <c r="AO1302" s="41" t="str">
        <f>IF(AND(DaybyDay[[#This Row],[_Space]],ISNUMBER(DaybyDay[[#This Row],[Admin Hours]])),DaybyDay[[#This Row],[Est-Admin-Payroll]]/(DaybyDay[[#This Row],[Service-Actuals]]+DaybyDay[[#This Row],[Retail-Actuals]]),"")</f>
        <v/>
      </c>
      <c r="AP1302" s="41">
        <f>DaybyDay[[#This Row],[Estimated-Payroll-Rollup]]/DaybyDay[[#This Row],[Simple-Forecast]]</f>
        <v>1.1510255025920886E-2</v>
      </c>
      <c r="AQ13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234214.75641312325</v>
      </c>
      <c r="AR1302" s="77"/>
      <c r="AS1302" s="40" t="str">
        <f>IF(DaybyDay[[#This Row],[Retail Hours]]&gt;0,DaybyDay[[#This Row],[Retail Hours]]*$AS$2,"")</f>
        <v/>
      </c>
      <c r="AT1302" s="40">
        <f>SUMIFS(DaybyDay[Est-Retail-Payroll],DaybyDay[Date],"&gt;="&amp;$C$5,DaybyDay[RowYear],"&gt;="&amp;$C$4,DaybyDay[Date],"&lt;="&amp;DaybyDay[[#This Row],[Date]])</f>
        <v>2627.1</v>
      </c>
      <c r="AU1302" s="82" t="str">
        <f>IF(AND(DaybyDay[[#This Row],[_Space]],ISNUMBER(DaybyDay[[#This Row],[Retail Hours]])),DaybyDay[[#This Row],[Est-Retail-Payroll]]/(DaybyDay[[#This Row],[Retail-Actuals]]),"")</f>
        <v/>
      </c>
      <c r="AV1302" s="82">
        <f>DaybyDay[[#This Row],[Est-Retail-PayrollRU]]/DaybyDay[[#This Row],[Simple-Forecast-Retail]]</f>
        <v>1.1216628876133448E-2</v>
      </c>
      <c r="AW1302" s="8"/>
      <c r="AX1302" s="15"/>
      <c r="AY1302" s="8"/>
    </row>
    <row r="1303" spans="3:51" hidden="1" x14ac:dyDescent="0.25">
      <c r="C1303" s="26" t="str">
        <f>Tools!$C$1</f>
        <v>Example</v>
      </c>
      <c r="D1303" s="27" t="s">
        <v>74</v>
      </c>
      <c r="E1303" s="28">
        <v>2020</v>
      </c>
      <c r="F1303" s="28">
        <f>MATCH(DaybyDay[[#This Row],[RowMonth]],Table3[SummaryMonth],0)</f>
        <v>7</v>
      </c>
      <c r="G1303" s="29">
        <f>MATCH(DaybyDay[[#This Row],[LY-Date]],DaybyDay[Date],0)</f>
        <v>933</v>
      </c>
      <c r="H1303" s="30">
        <f>WEEKDAY(DaybyDay[[#This Row],[Date]])</f>
        <v>2</v>
      </c>
      <c r="I1303" s="31">
        <v>44032</v>
      </c>
      <c r="J1303" s="74"/>
      <c r="K1303" s="32">
        <f>SUMIFS(BudgetSeasonality[365 Seasonality],BudgetSeasonality[MonthAdjustment],DaybyDay[[#This Row],[Date]])*SUMIFS(Budgets[Service-Budget],Budgets[BudgetMonth],DaybyDay[[#This Row],[RowMonth]],Budgets[BudgetYear],DaybyDay[[#This Row],[RowYear]])</f>
        <v>3681.2258998646294</v>
      </c>
      <c r="L1303" s="75"/>
      <c r="M1303" s="32">
        <f>INDEX(BudgetSeasonality[365 Seasonality],MATCH(DaybyDay[[#This Row],[Date]],BudgetSeasonality[MonthAdjustment],0))*SUMIFS(Budgets[Retail-Budget],Budgets[BudgetMonth],DaybyDay[[#This Row],[RowMonth]],Budgets[BudgetYear],DaybyDay[[#This Row],[RowYear]])</f>
        <v>918.19814795774437</v>
      </c>
      <c r="N1303" s="75"/>
      <c r="O1303" s="33">
        <f>SUMIFS(DaybyDay[Service-Budgets],DaybyDay[Date],"&gt;="&amp;$C$5,DaybyDay[RowYear],"&gt;="&amp;$C$4,DaybyDay[Date],"&lt;="&amp;DaybyDay[[#This Row],[Date]])</f>
        <v>1078348.4161160097</v>
      </c>
      <c r="P1303" s="33">
        <f>SUMIFS(DaybyDay[Retail-Budgets],DaybyDay[Date],"&gt;="&amp;$C$5,DaybyDay[RowYear],"&gt;="&amp;$C$4,DaybyDay[Date],"&lt;="&amp;DaybyDay[[#This Row],[Date]])</f>
        <v>270961.68112734659</v>
      </c>
      <c r="Q1303" s="34">
        <f>SUMIFS(DaybyDay[Service-Actuals],DaybyDay[Date],"&gt;="&amp;$C$5,DaybyDay[RowYear],"&gt;="&amp;$C$4,DaybyDay[Date],"&lt;="&amp;DaybyDay[[#This Row],[Date]])</f>
        <v>385554.23</v>
      </c>
      <c r="R1303" s="34">
        <f>SUMIFS(DaybyDay[Retail-Actuals],DaybyDay[Date],"&gt;="&amp;$C$5,DaybyDay[RowYear],"&gt;="&amp;$C$4,DaybyDay[Date],"&lt;="&amp;DaybyDay[[#This Row],[Date]])</f>
        <v>88360.030000000028</v>
      </c>
      <c r="S1303" s="35">
        <f>SUMIFS(DaybyDay[Service-LY],DaybyDay[Date],"&gt;="&amp;$C$5,DaybyDay[RowYear],"&gt;="&amp;$C$4,DaybyDay[Date],"&lt;="&amp;DaybyDay[[#This Row],[Date]])</f>
        <v>986796.49999999942</v>
      </c>
      <c r="T1303" s="35">
        <f>SUMIFS(DaybyDay[Retail-LY],DaybyDay[Date],"&gt;="&amp;$C$5,DaybyDay[RowYear],"&gt;="&amp;$C$4,DaybyDay[Date],"&lt;="&amp;DaybyDay[[#This Row],[Date]])</f>
        <v>233328.58</v>
      </c>
      <c r="U1303" s="32">
        <f>DaybyDay[[#This Row],[Serv-Bud-RU]]+DaybyDay[[#This Row],[Ret-Bud-RU]]</f>
        <v>1349310.0972433563</v>
      </c>
      <c r="V1303" s="32">
        <f>DaybyDay[[#This Row],[Serv-Act-RU]]+DaybyDay[[#This Row],[Ret-Act-RU]]</f>
        <v>473914.26</v>
      </c>
      <c r="W1303" s="36" t="str">
        <f>IF(DaybyDay[[#This Row],[_Space]],IFERROR(
((DaybyDay[[#This Row],[Actual-Rollup]]-DaybyDay[[#This Row],[Budget-Rollup]])/DaybyDay[[#This Row],[Budget-Rollup]]),0),"")</f>
        <v/>
      </c>
      <c r="X1303" t="b">
        <f>NOT(AND(ISBLANK(DaybyDay[[#This Row],[Appts]]),ISBLANK(DaybyDay[[#This Row],[Service-Actuals]]),ISBLANK(DaybyDay[[#This Row],[Retail-Actuals]])))</f>
        <v>0</v>
      </c>
      <c r="Y1303" s="36" t="str">
        <f>IF(DaybyDay[[#This Row],[_Space]],IFERROR(
((DaybyDay[[#This Row],[Actual-Rollup]]-DaybyDay[[#This Row],[LY-Rollup]])/DaybyDay[[#This Row],[LY-Rollup]]),0),"")</f>
        <v/>
      </c>
      <c r="Z1303"/>
      <c r="AA1303" s="37" t="str">
        <f>IF(DaybyDay[[#This Row],[_Space]],DaybyDay[[#This Row],[Ret-Act-RU]]/DaybyDay[[#This Row],[Serv-Act-RU]],"")</f>
        <v/>
      </c>
      <c r="AB1303" s="50" t="str">
        <f>IF(DaybyDay[[#This Row],[_Space]],DaybyDay[[#This Row],[RETPEN-Act]]/DaybyDay[[#This Row],[RETPEN-Bud]],"")</f>
        <v/>
      </c>
      <c r="AC1303" s="37" t="str">
        <f>IF(DaybyDay[[#This Row],[_Space]],DaybyDay[[#This Row],[Ret-Bud-RU]]/DaybyDay[[#This Row],[Serv-Bud-RU]],"")</f>
        <v/>
      </c>
      <c r="AD1303" s="37" t="str">
        <f>IF(DaybyDay[[#This Row],[_Space]],DaybyDay[[#This Row],[Ret-LY-RU]]/DaybyDay[[#This Row],[Serv-LY-RU]],"")</f>
        <v/>
      </c>
      <c r="AE1303" s="30">
        <f>WEEKDAY(DaybyDay[[#This Row],[LY-Date]])</f>
        <v>2</v>
      </c>
      <c r="AF1303" s="38">
        <f>$E$2+_xlfn.DAYS(DaybyDay[[#This Row],[Date]],minDate)</f>
        <v>43668</v>
      </c>
      <c r="AG1303" s="39" cm="1">
        <f t="array" ref="AG1303">IFERROR(INDEX(DaybyDay[],DaybyDay[[#This Row],[FORM_MATCH_HELPER]],8),"")</f>
        <v>18</v>
      </c>
      <c r="AH1303" s="39" cm="1">
        <f t="array" ref="AH1303">IFERROR(INDEX(DaybyDay[],DaybyDay[[#This Row],[FORM_MATCH_HELPER]],10),"")</f>
        <v>3477</v>
      </c>
      <c r="AI1303" s="39" cm="1">
        <f t="array" ref="AI1303">IFERROR(INDEX(DaybyDay[],DaybyDay[[#This Row],[FORM_MATCH_HELPER]],12),"")</f>
        <v>546.5</v>
      </c>
      <c r="AJ1303" s="32">
        <f>IFERROR(DaybyDay[[#This Row],[Serv-LY-RU]]+DaybyDay[[#This Row],[Ret-LY-RU]],"")</f>
        <v>1220125.0799999994</v>
      </c>
      <c r="AK13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1215188.7217335128</v>
      </c>
      <c r="AL1303" s="77"/>
      <c r="AM1303" s="40" t="str">
        <f>IF(DaybyDay[[#This Row],[Admin Hours]]&gt;0,DaybyDay[[#This Row],[Admin Hours]]*$AM$2+$AM$3,"")</f>
        <v/>
      </c>
      <c r="AN1303" s="40">
        <f>SUMIFS(DaybyDay[Est-Admin-Payroll],DaybyDay[Date],"&gt;="&amp;$C$5,DaybyDay[RowYear],"&gt;="&amp;$C$4,DaybyDay[Date],"&lt;="&amp;DaybyDay[[#This Row],[Date]])</f>
        <v>13941.779999999997</v>
      </c>
      <c r="AO1303" s="41" t="str">
        <f>IF(AND(DaybyDay[[#This Row],[_Space]],ISNUMBER(DaybyDay[[#This Row],[Admin Hours]])),DaybyDay[[#This Row],[Est-Admin-Payroll]]/(DaybyDay[[#This Row],[Service-Actuals]]+DaybyDay[[#This Row],[Retail-Actuals]]),"")</f>
        <v/>
      </c>
      <c r="AP1303" s="41">
        <f>DaybyDay[[#This Row],[Estimated-Payroll-Rollup]]/DaybyDay[[#This Row],[Simple-Forecast]]</f>
        <v>1.1472933998359958E-2</v>
      </c>
      <c r="AQ13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234874.76453666372</v>
      </c>
      <c r="AR1303" s="77"/>
      <c r="AS1303" s="40" t="str">
        <f>IF(DaybyDay[[#This Row],[Retail Hours]]&gt;0,DaybyDay[[#This Row],[Retail Hours]]*$AS$2,"")</f>
        <v/>
      </c>
      <c r="AT1303" s="40">
        <f>SUMIFS(DaybyDay[Est-Retail-Payroll],DaybyDay[Date],"&gt;="&amp;$C$5,DaybyDay[RowYear],"&gt;="&amp;$C$4,DaybyDay[Date],"&lt;="&amp;DaybyDay[[#This Row],[Date]])</f>
        <v>2627.1</v>
      </c>
      <c r="AU1303" s="82" t="str">
        <f>IF(AND(DaybyDay[[#This Row],[_Space]],ISNUMBER(DaybyDay[[#This Row],[Retail Hours]])),DaybyDay[[#This Row],[Est-Retail-Payroll]]/(DaybyDay[[#This Row],[Retail-Actuals]]),"")</f>
        <v/>
      </c>
      <c r="AV1303" s="82">
        <f>DaybyDay[[#This Row],[Est-Retail-PayrollRU]]/DaybyDay[[#This Row],[Simple-Forecast-Retail]]</f>
        <v>1.1185109669753016E-2</v>
      </c>
      <c r="AW1303" s="8"/>
      <c r="AX1303" s="15"/>
      <c r="AY1303" s="8"/>
    </row>
    <row r="1304" spans="3:51" hidden="1" x14ac:dyDescent="0.25">
      <c r="C1304" s="26" t="str">
        <f>Tools!$C$1</f>
        <v>Example</v>
      </c>
      <c r="D1304" s="27" t="s">
        <v>74</v>
      </c>
      <c r="E1304" s="28">
        <v>2020</v>
      </c>
      <c r="F1304" s="28">
        <f>MATCH(DaybyDay[[#This Row],[RowMonth]],Table3[SummaryMonth],0)</f>
        <v>7</v>
      </c>
      <c r="G1304" s="29">
        <f>MATCH(DaybyDay[[#This Row],[LY-Date]],DaybyDay[Date],0)</f>
        <v>934</v>
      </c>
      <c r="H1304" s="30">
        <f>WEEKDAY(DaybyDay[[#This Row],[Date]])</f>
        <v>3</v>
      </c>
      <c r="I1304" s="31">
        <v>44033</v>
      </c>
      <c r="J1304" s="74"/>
      <c r="K1304" s="32">
        <f>SUMIFS(BudgetSeasonality[365 Seasonality],BudgetSeasonality[MonthAdjustment],DaybyDay[[#This Row],[Date]])*SUMIFS(Budgets[Service-Budget],Budgets[BudgetMonth],DaybyDay[[#This Row],[RowMonth]],Budgets[BudgetYear],DaybyDay[[#This Row],[RowYear]])</f>
        <v>3885.2919889729619</v>
      </c>
      <c r="L1304" s="75"/>
      <c r="M1304" s="32">
        <f>INDEX(BudgetSeasonality[365 Seasonality],MATCH(DaybyDay[[#This Row],[Date]],BudgetSeasonality[MonthAdjustment],0))*SUMIFS(Budgets[Retail-Budget],Budgets[BudgetMonth],DaybyDay[[#This Row],[RowMonth]],Budgets[BudgetYear],DaybyDay[[#This Row],[RowYear]])</f>
        <v>969.09779665551685</v>
      </c>
      <c r="N1304" s="75"/>
      <c r="O1304" s="33">
        <f>SUMIFS(DaybyDay[Service-Budgets],DaybyDay[Date],"&gt;="&amp;$C$5,DaybyDay[RowYear],"&gt;="&amp;$C$4,DaybyDay[Date],"&lt;="&amp;DaybyDay[[#This Row],[Date]])</f>
        <v>1082233.7081049827</v>
      </c>
      <c r="P1304" s="33">
        <f>SUMIFS(DaybyDay[Retail-Budgets],DaybyDay[Date],"&gt;="&amp;$C$5,DaybyDay[RowYear],"&gt;="&amp;$C$4,DaybyDay[Date],"&lt;="&amp;DaybyDay[[#This Row],[Date]])</f>
        <v>271930.77892400208</v>
      </c>
      <c r="Q1304" s="34">
        <f>SUMIFS(DaybyDay[Service-Actuals],DaybyDay[Date],"&gt;="&amp;$C$5,DaybyDay[RowYear],"&gt;="&amp;$C$4,DaybyDay[Date],"&lt;="&amp;DaybyDay[[#This Row],[Date]])</f>
        <v>385554.23</v>
      </c>
      <c r="R1304" s="34">
        <f>SUMIFS(DaybyDay[Retail-Actuals],DaybyDay[Date],"&gt;="&amp;$C$5,DaybyDay[RowYear],"&gt;="&amp;$C$4,DaybyDay[Date],"&lt;="&amp;DaybyDay[[#This Row],[Date]])</f>
        <v>88360.030000000028</v>
      </c>
      <c r="S1304" s="35">
        <f>SUMIFS(DaybyDay[Service-LY],DaybyDay[Date],"&gt;="&amp;$C$5,DaybyDay[RowYear],"&gt;="&amp;$C$4,DaybyDay[Date],"&lt;="&amp;DaybyDay[[#This Row],[Date]])</f>
        <v>988309.99999999942</v>
      </c>
      <c r="T1304" s="35">
        <f>SUMIFS(DaybyDay[Retail-LY],DaybyDay[Date],"&gt;="&amp;$C$5,DaybyDay[RowYear],"&gt;="&amp;$C$4,DaybyDay[Date],"&lt;="&amp;DaybyDay[[#This Row],[Date]])</f>
        <v>233703.58</v>
      </c>
      <c r="U1304" s="32">
        <f>DaybyDay[[#This Row],[Serv-Bud-RU]]+DaybyDay[[#This Row],[Ret-Bud-RU]]</f>
        <v>1354164.4870289848</v>
      </c>
      <c r="V1304" s="32">
        <f>DaybyDay[[#This Row],[Serv-Act-RU]]+DaybyDay[[#This Row],[Ret-Act-RU]]</f>
        <v>473914.26</v>
      </c>
      <c r="W1304" s="36" t="str">
        <f>IF(DaybyDay[[#This Row],[_Space]],IFERROR(
((DaybyDay[[#This Row],[Actual-Rollup]]-DaybyDay[[#This Row],[Budget-Rollup]])/DaybyDay[[#This Row],[Budget-Rollup]]),0),"")</f>
        <v/>
      </c>
      <c r="X1304" t="b">
        <f>NOT(AND(ISBLANK(DaybyDay[[#This Row],[Appts]]),ISBLANK(DaybyDay[[#This Row],[Service-Actuals]]),ISBLANK(DaybyDay[[#This Row],[Retail-Actuals]])))</f>
        <v>0</v>
      </c>
      <c r="Y1304" s="36" t="str">
        <f>IF(DaybyDay[[#This Row],[_Space]],IFERROR(
((DaybyDay[[#This Row],[Actual-Rollup]]-DaybyDay[[#This Row],[LY-Rollup]])/DaybyDay[[#This Row],[LY-Rollup]]),0),"")</f>
        <v/>
      </c>
      <c r="Z1304"/>
      <c r="AA1304" s="37" t="str">
        <f>IF(DaybyDay[[#This Row],[_Space]],DaybyDay[[#This Row],[Ret-Act-RU]]/DaybyDay[[#This Row],[Serv-Act-RU]],"")</f>
        <v/>
      </c>
      <c r="AB1304" s="50" t="str">
        <f>IF(DaybyDay[[#This Row],[_Space]],DaybyDay[[#This Row],[RETPEN-Act]]/DaybyDay[[#This Row],[RETPEN-Bud]],"")</f>
        <v/>
      </c>
      <c r="AC1304" s="37" t="str">
        <f>IF(DaybyDay[[#This Row],[_Space]],DaybyDay[[#This Row],[Ret-Bud-RU]]/DaybyDay[[#This Row],[Serv-Bud-RU]],"")</f>
        <v/>
      </c>
      <c r="AD1304" s="37" t="str">
        <f>IF(DaybyDay[[#This Row],[_Space]],DaybyDay[[#This Row],[Ret-LY-RU]]/DaybyDay[[#This Row],[Serv-LY-RU]],"")</f>
        <v/>
      </c>
      <c r="AE1304" s="30">
        <f>WEEKDAY(DaybyDay[[#This Row],[LY-Date]])</f>
        <v>3</v>
      </c>
      <c r="AF1304" s="38">
        <f>$E$2+_xlfn.DAYS(DaybyDay[[#This Row],[Date]],minDate)</f>
        <v>43669</v>
      </c>
      <c r="AG1304" s="39" cm="1">
        <f t="array" ref="AG1304">IFERROR(INDEX(DaybyDay[],DaybyDay[[#This Row],[FORM_MATCH_HELPER]],8),"")</f>
        <v>6</v>
      </c>
      <c r="AH1304" s="39" cm="1">
        <f t="array" ref="AH1304">IFERROR(INDEX(DaybyDay[],DaybyDay[[#This Row],[FORM_MATCH_HELPER]],10),"")</f>
        <v>1513.5</v>
      </c>
      <c r="AI1304" s="39" cm="1">
        <f t="array" ref="AI1304">IFERROR(INDEX(DaybyDay[],DaybyDay[[#This Row],[FORM_MATCH_HELPER]],12),"")</f>
        <v>375</v>
      </c>
      <c r="AJ1304" s="32">
        <f>IFERROR(DaybyDay[[#This Row],[Serv-LY-RU]]+DaybyDay[[#This Row],[Ret-LY-RU]],"")</f>
        <v>1222013.5799999994</v>
      </c>
      <c r="AK13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1218184.6719262819</v>
      </c>
      <c r="AL1304" s="77"/>
      <c r="AM1304" s="40" t="str">
        <f>IF(DaybyDay[[#This Row],[Admin Hours]]&gt;0,DaybyDay[[#This Row],[Admin Hours]]*$AM$2+$AM$3,"")</f>
        <v/>
      </c>
      <c r="AN1304" s="40">
        <f>SUMIFS(DaybyDay[Est-Admin-Payroll],DaybyDay[Date],"&gt;="&amp;$C$5,DaybyDay[RowYear],"&gt;="&amp;$C$4,DaybyDay[Date],"&lt;="&amp;DaybyDay[[#This Row],[Date]])</f>
        <v>13941.779999999997</v>
      </c>
      <c r="AO1304" s="41" t="str">
        <f>IF(AND(DaybyDay[[#This Row],[_Space]],ISNUMBER(DaybyDay[[#This Row],[Admin Hours]])),DaybyDay[[#This Row],[Est-Admin-Payroll]]/(DaybyDay[[#This Row],[Service-Actuals]]+DaybyDay[[#This Row],[Retail-Actuals]]),"")</f>
        <v/>
      </c>
      <c r="AP1304" s="41">
        <f>DaybyDay[[#This Row],[Estimated-Payroll-Rollup]]/DaybyDay[[#This Row],[Simple-Forecast]]</f>
        <v>1.1444717965424933E-2</v>
      </c>
      <c r="AQ13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235471.86615869551</v>
      </c>
      <c r="AR1304" s="77"/>
      <c r="AS1304" s="40" t="str">
        <f>IF(DaybyDay[[#This Row],[Retail Hours]]&gt;0,DaybyDay[[#This Row],[Retail Hours]]*$AS$2,"")</f>
        <v/>
      </c>
      <c r="AT1304" s="40">
        <f>SUMIFS(DaybyDay[Est-Retail-Payroll],DaybyDay[Date],"&gt;="&amp;$C$5,DaybyDay[RowYear],"&gt;="&amp;$C$4,DaybyDay[Date],"&lt;="&amp;DaybyDay[[#This Row],[Date]])</f>
        <v>2627.1</v>
      </c>
      <c r="AU1304" s="82" t="str">
        <f>IF(AND(DaybyDay[[#This Row],[_Space]],ISNUMBER(DaybyDay[[#This Row],[Retail Hours]])),DaybyDay[[#This Row],[Est-Retail-Payroll]]/(DaybyDay[[#This Row],[Retail-Actuals]]),"")</f>
        <v/>
      </c>
      <c r="AV1304" s="82">
        <f>DaybyDay[[#This Row],[Est-Retail-PayrollRU]]/DaybyDay[[#This Row],[Simple-Forecast-Retail]]</f>
        <v>1.1156746845627299E-2</v>
      </c>
      <c r="AW1304" s="8"/>
      <c r="AX1304" s="15"/>
      <c r="AY1304" s="8"/>
    </row>
    <row r="1305" spans="3:51" hidden="1" x14ac:dyDescent="0.25">
      <c r="C1305" s="26" t="str">
        <f>Tools!$C$1</f>
        <v>Example</v>
      </c>
      <c r="D1305" s="27" t="s">
        <v>74</v>
      </c>
      <c r="E1305" s="28">
        <v>2020</v>
      </c>
      <c r="F1305" s="28">
        <f>MATCH(DaybyDay[[#This Row],[RowMonth]],Table3[SummaryMonth],0)</f>
        <v>7</v>
      </c>
      <c r="G1305" s="29">
        <f>MATCH(DaybyDay[[#This Row],[LY-Date]],DaybyDay[Date],0)</f>
        <v>935</v>
      </c>
      <c r="H1305" s="30">
        <f>WEEKDAY(DaybyDay[[#This Row],[Date]])</f>
        <v>4</v>
      </c>
      <c r="I1305" s="31">
        <v>44034</v>
      </c>
      <c r="J1305" s="74"/>
      <c r="K1305" s="32">
        <f>SUMIFS(BudgetSeasonality[365 Seasonality],BudgetSeasonality[MonthAdjustment],DaybyDay[[#This Row],[Date]])*SUMIFS(Budgets[Service-Budget],Budgets[BudgetMonth],DaybyDay[[#This Row],[RowMonth]],Budgets[BudgetYear],DaybyDay[[#This Row],[RowYear]])</f>
        <v>4591.2867806132044</v>
      </c>
      <c r="L1305" s="75"/>
      <c r="M1305" s="32">
        <f>INDEX(BudgetSeasonality[365 Seasonality],MATCH(DaybyDay[[#This Row],[Date]],BudgetSeasonality[MonthAdjustment],0))*SUMIFS(Budgets[Retail-Budget],Budgets[BudgetMonth],DaybyDay[[#This Row],[RowMonth]],Budgets[BudgetYear],DaybyDay[[#This Row],[RowYear]])</f>
        <v>1145.1921542921189</v>
      </c>
      <c r="N1305" s="75"/>
      <c r="O1305" s="33">
        <f>SUMIFS(DaybyDay[Service-Budgets],DaybyDay[Date],"&gt;="&amp;$C$5,DaybyDay[RowYear],"&gt;="&amp;$C$4,DaybyDay[Date],"&lt;="&amp;DaybyDay[[#This Row],[Date]])</f>
        <v>1086824.994885596</v>
      </c>
      <c r="P1305" s="33">
        <f>SUMIFS(DaybyDay[Retail-Budgets],DaybyDay[Date],"&gt;="&amp;$C$5,DaybyDay[RowYear],"&gt;="&amp;$C$4,DaybyDay[Date],"&lt;="&amp;DaybyDay[[#This Row],[Date]])</f>
        <v>273075.97107829421</v>
      </c>
      <c r="Q1305" s="34">
        <f>SUMIFS(DaybyDay[Service-Actuals],DaybyDay[Date],"&gt;="&amp;$C$5,DaybyDay[RowYear],"&gt;="&amp;$C$4,DaybyDay[Date],"&lt;="&amp;DaybyDay[[#This Row],[Date]])</f>
        <v>385554.23</v>
      </c>
      <c r="R1305" s="34">
        <f>SUMIFS(DaybyDay[Retail-Actuals],DaybyDay[Date],"&gt;="&amp;$C$5,DaybyDay[RowYear],"&gt;="&amp;$C$4,DaybyDay[Date],"&lt;="&amp;DaybyDay[[#This Row],[Date]])</f>
        <v>88360.030000000028</v>
      </c>
      <c r="S1305" s="35">
        <f>SUMIFS(DaybyDay[Service-LY],DaybyDay[Date],"&gt;="&amp;$C$5,DaybyDay[RowYear],"&gt;="&amp;$C$4,DaybyDay[Date],"&lt;="&amp;DaybyDay[[#This Row],[Date]])</f>
        <v>992673.56999999937</v>
      </c>
      <c r="T1305" s="35">
        <f>SUMIFS(DaybyDay[Retail-LY],DaybyDay[Date],"&gt;="&amp;$C$5,DaybyDay[RowYear],"&gt;="&amp;$C$4,DaybyDay[Date],"&lt;="&amp;DaybyDay[[#This Row],[Date]])</f>
        <v>235832.19999999998</v>
      </c>
      <c r="U1305" s="32">
        <f>DaybyDay[[#This Row],[Serv-Bud-RU]]+DaybyDay[[#This Row],[Ret-Bud-RU]]</f>
        <v>1359900.9659638903</v>
      </c>
      <c r="V1305" s="32">
        <f>DaybyDay[[#This Row],[Serv-Act-RU]]+DaybyDay[[#This Row],[Ret-Act-RU]]</f>
        <v>473914.26</v>
      </c>
      <c r="W1305" s="36" t="str">
        <f>IF(DaybyDay[[#This Row],[_Space]],IFERROR(
((DaybyDay[[#This Row],[Actual-Rollup]]-DaybyDay[[#This Row],[Budget-Rollup]])/DaybyDay[[#This Row],[Budget-Rollup]]),0),"")</f>
        <v/>
      </c>
      <c r="X1305" t="b">
        <f>NOT(AND(ISBLANK(DaybyDay[[#This Row],[Appts]]),ISBLANK(DaybyDay[[#This Row],[Service-Actuals]]),ISBLANK(DaybyDay[[#This Row],[Retail-Actuals]])))</f>
        <v>0</v>
      </c>
      <c r="Y1305" s="36" t="str">
        <f>IF(DaybyDay[[#This Row],[_Space]],IFERROR(
((DaybyDay[[#This Row],[Actual-Rollup]]-DaybyDay[[#This Row],[LY-Rollup]])/DaybyDay[[#This Row],[LY-Rollup]]),0),"")</f>
        <v/>
      </c>
      <c r="Z1305"/>
      <c r="AA1305" s="37" t="str">
        <f>IF(DaybyDay[[#This Row],[_Space]],DaybyDay[[#This Row],[Ret-Act-RU]]/DaybyDay[[#This Row],[Serv-Act-RU]],"")</f>
        <v/>
      </c>
      <c r="AB1305" s="50" t="str">
        <f>IF(DaybyDay[[#This Row],[_Space]],DaybyDay[[#This Row],[RETPEN-Act]]/DaybyDay[[#This Row],[RETPEN-Bud]],"")</f>
        <v/>
      </c>
      <c r="AC1305" s="37" t="str">
        <f>IF(DaybyDay[[#This Row],[_Space]],DaybyDay[[#This Row],[Ret-Bud-RU]]/DaybyDay[[#This Row],[Serv-Bud-RU]],"")</f>
        <v/>
      </c>
      <c r="AD1305" s="37" t="str">
        <f>IF(DaybyDay[[#This Row],[_Space]],DaybyDay[[#This Row],[Ret-LY-RU]]/DaybyDay[[#This Row],[Serv-LY-RU]],"")</f>
        <v/>
      </c>
      <c r="AE1305" s="30">
        <f>WEEKDAY(DaybyDay[[#This Row],[LY-Date]])</f>
        <v>4</v>
      </c>
      <c r="AF1305" s="38">
        <f>$E$2+_xlfn.DAYS(DaybyDay[[#This Row],[Date]],minDate)</f>
        <v>43670</v>
      </c>
      <c r="AG1305" s="39" cm="1">
        <f t="array" ref="AG1305">IFERROR(INDEX(DaybyDay[],DaybyDay[[#This Row],[FORM_MATCH_HELPER]],8),"")</f>
        <v>21</v>
      </c>
      <c r="AH1305" s="39" cm="1">
        <f t="array" ref="AH1305">IFERROR(INDEX(DaybyDay[],DaybyDay[[#This Row],[FORM_MATCH_HELPER]],10),"")</f>
        <v>4363.57</v>
      </c>
      <c r="AI1305" s="39" cm="1">
        <f t="array" ref="AI1305">IFERROR(INDEX(DaybyDay[],DaybyDay[[#This Row],[FORM_MATCH_HELPER]],12),"")</f>
        <v>2128.62</v>
      </c>
      <c r="AJ1305" s="32">
        <f>IFERROR(DaybyDay[[#This Row],[Serv-LY-RU]]+DaybyDay[[#This Row],[Ret-LY-RU]],"")</f>
        <v>1228505.7699999993</v>
      </c>
      <c r="AK13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1223825.6411270462</v>
      </c>
      <c r="AL1305" s="77"/>
      <c r="AM1305" s="40" t="str">
        <f>IF(DaybyDay[[#This Row],[Admin Hours]]&gt;0,DaybyDay[[#This Row],[Admin Hours]]*$AM$2+$AM$3,"")</f>
        <v/>
      </c>
      <c r="AN1305" s="40">
        <f>SUMIFS(DaybyDay[Est-Admin-Payroll],DaybyDay[Date],"&gt;="&amp;$C$5,DaybyDay[RowYear],"&gt;="&amp;$C$4,DaybyDay[Date],"&lt;="&amp;DaybyDay[[#This Row],[Date]])</f>
        <v>13941.779999999997</v>
      </c>
      <c r="AO1305" s="41" t="str">
        <f>IF(AND(DaybyDay[[#This Row],[_Space]],ISNUMBER(DaybyDay[[#This Row],[Admin Hours]])),DaybyDay[[#This Row],[Est-Admin-Payroll]]/(DaybyDay[[#This Row],[Service-Actuals]]+DaybyDay[[#This Row],[Retail-Actuals]]),"")</f>
        <v/>
      </c>
      <c r="AP1305" s="41">
        <f>DaybyDay[[#This Row],[Estimated-Payroll-Rollup]]/DaybyDay[[#This Row],[Simple-Forecast]]</f>
        <v>1.1391965923479692E-2</v>
      </c>
      <c r="AQ13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237008.48081485185</v>
      </c>
      <c r="AR1305" s="77"/>
      <c r="AS1305" s="40" t="str">
        <f>IF(DaybyDay[[#This Row],[Retail Hours]]&gt;0,DaybyDay[[#This Row],[Retail Hours]]*$AS$2,"")</f>
        <v/>
      </c>
      <c r="AT1305" s="40">
        <f>SUMIFS(DaybyDay[Est-Retail-Payroll],DaybyDay[Date],"&gt;="&amp;$C$5,DaybyDay[RowYear],"&gt;="&amp;$C$4,DaybyDay[Date],"&lt;="&amp;DaybyDay[[#This Row],[Date]])</f>
        <v>2627.1</v>
      </c>
      <c r="AU1305" s="82" t="str">
        <f>IF(AND(DaybyDay[[#This Row],[_Space]],ISNUMBER(DaybyDay[[#This Row],[Retail Hours]])),DaybyDay[[#This Row],[Est-Retail-Payroll]]/(DaybyDay[[#This Row],[Retail-Actuals]]),"")</f>
        <v/>
      </c>
      <c r="AV1305" s="82">
        <f>DaybyDay[[#This Row],[Est-Retail-PayrollRU]]/DaybyDay[[#This Row],[Simple-Forecast-Retail]]</f>
        <v>1.1084413481609793E-2</v>
      </c>
      <c r="AW1305" s="8"/>
      <c r="AX1305" s="15"/>
      <c r="AY1305" s="8"/>
    </row>
    <row r="1306" spans="3:51" hidden="1" x14ac:dyDescent="0.25">
      <c r="C1306" s="26" t="str">
        <f>Tools!$C$1</f>
        <v>Example</v>
      </c>
      <c r="D1306" s="27" t="s">
        <v>74</v>
      </c>
      <c r="E1306" s="28">
        <v>2020</v>
      </c>
      <c r="F1306" s="28">
        <f>MATCH(DaybyDay[[#This Row],[RowMonth]],Table3[SummaryMonth],0)</f>
        <v>7</v>
      </c>
      <c r="G1306" s="29">
        <f>MATCH(DaybyDay[[#This Row],[LY-Date]],DaybyDay[Date],0)</f>
        <v>936</v>
      </c>
      <c r="H1306" s="30">
        <f>WEEKDAY(DaybyDay[[#This Row],[Date]])</f>
        <v>5</v>
      </c>
      <c r="I1306" s="31">
        <v>44035</v>
      </c>
      <c r="J1306" s="74"/>
      <c r="K1306" s="32">
        <f>SUMIFS(BudgetSeasonality[365 Seasonality],BudgetSeasonality[MonthAdjustment],DaybyDay[[#This Row],[Date]])*SUMIFS(Budgets[Service-Budget],Budgets[BudgetMonth],DaybyDay[[#This Row],[RowMonth]],Budgets[BudgetYear],DaybyDay[[#This Row],[RowYear]])</f>
        <v>4773.0647090543862</v>
      </c>
      <c r="L1306" s="75"/>
      <c r="M1306" s="32">
        <f>INDEX(BudgetSeasonality[365 Seasonality],MATCH(DaybyDay[[#This Row],[Date]],BudgetSeasonality[MonthAdjustment],0))*SUMIFS(Budgets[Retail-Budget],Budgets[BudgetMonth],DaybyDay[[#This Row],[RowMonth]],Budgets[BudgetYear],DaybyDay[[#This Row],[RowYear]])</f>
        <v>1190.5325277911822</v>
      </c>
      <c r="N1306" s="75"/>
      <c r="O1306" s="33">
        <f>SUMIFS(DaybyDay[Service-Budgets],DaybyDay[Date],"&gt;="&amp;$C$5,DaybyDay[RowYear],"&gt;="&amp;$C$4,DaybyDay[Date],"&lt;="&amp;DaybyDay[[#This Row],[Date]])</f>
        <v>1091598.0595946503</v>
      </c>
      <c r="P1306" s="33">
        <f>SUMIFS(DaybyDay[Retail-Budgets],DaybyDay[Date],"&gt;="&amp;$C$5,DaybyDay[RowYear],"&gt;="&amp;$C$4,DaybyDay[Date],"&lt;="&amp;DaybyDay[[#This Row],[Date]])</f>
        <v>274266.50360608537</v>
      </c>
      <c r="Q1306" s="34">
        <f>SUMIFS(DaybyDay[Service-Actuals],DaybyDay[Date],"&gt;="&amp;$C$5,DaybyDay[RowYear],"&gt;="&amp;$C$4,DaybyDay[Date],"&lt;="&amp;DaybyDay[[#This Row],[Date]])</f>
        <v>385554.23</v>
      </c>
      <c r="R1306" s="34">
        <f>SUMIFS(DaybyDay[Retail-Actuals],DaybyDay[Date],"&gt;="&amp;$C$5,DaybyDay[RowYear],"&gt;="&amp;$C$4,DaybyDay[Date],"&lt;="&amp;DaybyDay[[#This Row],[Date]])</f>
        <v>88360.030000000028</v>
      </c>
      <c r="S1306" s="35">
        <f>SUMIFS(DaybyDay[Service-LY],DaybyDay[Date],"&gt;="&amp;$C$5,DaybyDay[RowYear],"&gt;="&amp;$C$4,DaybyDay[Date],"&lt;="&amp;DaybyDay[[#This Row],[Date]])</f>
        <v>996445.36999999941</v>
      </c>
      <c r="T1306" s="35">
        <f>SUMIFS(DaybyDay[Retail-LY],DaybyDay[Date],"&gt;="&amp;$C$5,DaybyDay[RowYear],"&gt;="&amp;$C$4,DaybyDay[Date],"&lt;="&amp;DaybyDay[[#This Row],[Date]])</f>
        <v>238542.71999999997</v>
      </c>
      <c r="U1306" s="32">
        <f>DaybyDay[[#This Row],[Serv-Bud-RU]]+DaybyDay[[#This Row],[Ret-Bud-RU]]</f>
        <v>1365864.5632007357</v>
      </c>
      <c r="V1306" s="32">
        <f>DaybyDay[[#This Row],[Serv-Act-RU]]+DaybyDay[[#This Row],[Ret-Act-RU]]</f>
        <v>473914.26</v>
      </c>
      <c r="W1306" s="36" t="str">
        <f>IF(DaybyDay[[#This Row],[_Space]],IFERROR(
((DaybyDay[[#This Row],[Actual-Rollup]]-DaybyDay[[#This Row],[Budget-Rollup]])/DaybyDay[[#This Row],[Budget-Rollup]]),0),"")</f>
        <v/>
      </c>
      <c r="X1306" t="b">
        <f>NOT(AND(ISBLANK(DaybyDay[[#This Row],[Appts]]),ISBLANK(DaybyDay[[#This Row],[Service-Actuals]]),ISBLANK(DaybyDay[[#This Row],[Retail-Actuals]])))</f>
        <v>0</v>
      </c>
      <c r="Y1306" s="36" t="str">
        <f>IF(DaybyDay[[#This Row],[_Space]],IFERROR(
((DaybyDay[[#This Row],[Actual-Rollup]]-DaybyDay[[#This Row],[LY-Rollup]])/DaybyDay[[#This Row],[LY-Rollup]]),0),"")</f>
        <v/>
      </c>
      <c r="Z1306"/>
      <c r="AA1306" s="37" t="str">
        <f>IF(DaybyDay[[#This Row],[_Space]],DaybyDay[[#This Row],[Ret-Act-RU]]/DaybyDay[[#This Row],[Serv-Act-RU]],"")</f>
        <v/>
      </c>
      <c r="AB1306" s="50" t="str">
        <f>IF(DaybyDay[[#This Row],[_Space]],DaybyDay[[#This Row],[RETPEN-Act]]/DaybyDay[[#This Row],[RETPEN-Bud]],"")</f>
        <v/>
      </c>
      <c r="AC1306" s="37" t="str">
        <f>IF(DaybyDay[[#This Row],[_Space]],DaybyDay[[#This Row],[Ret-Bud-RU]]/DaybyDay[[#This Row],[Serv-Bud-RU]],"")</f>
        <v/>
      </c>
      <c r="AD1306" s="37" t="str">
        <f>IF(DaybyDay[[#This Row],[_Space]],DaybyDay[[#This Row],[Ret-LY-RU]]/DaybyDay[[#This Row],[Serv-LY-RU]],"")</f>
        <v/>
      </c>
      <c r="AE1306" s="30">
        <f>WEEKDAY(DaybyDay[[#This Row],[LY-Date]])</f>
        <v>5</v>
      </c>
      <c r="AF1306" s="38">
        <f>$E$2+_xlfn.DAYS(DaybyDay[[#This Row],[Date]],minDate)</f>
        <v>43671</v>
      </c>
      <c r="AG1306" s="39" cm="1">
        <f t="array" ref="AG1306">IFERROR(INDEX(DaybyDay[],DaybyDay[[#This Row],[FORM_MATCH_HELPER]],8),"")</f>
        <v>23</v>
      </c>
      <c r="AH1306" s="39" cm="1">
        <f t="array" ref="AH1306">IFERROR(INDEX(DaybyDay[],DaybyDay[[#This Row],[FORM_MATCH_HELPER]],10),"")</f>
        <v>3771.7999999999997</v>
      </c>
      <c r="AI1306" s="39" cm="1">
        <f t="array" ref="AI1306">IFERROR(INDEX(DaybyDay[],DaybyDay[[#This Row],[FORM_MATCH_HELPER]],12),"")</f>
        <v>2710.52</v>
      </c>
      <c r="AJ1306" s="32">
        <f>IFERROR(DaybyDay[[#This Row],[Serv-LY-RU]]+DaybyDay[[#This Row],[Ret-LY-RU]],"")</f>
        <v>1234988.0899999994</v>
      </c>
      <c r="AK13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1229558.3498546751</v>
      </c>
      <c r="AL1306" s="77"/>
      <c r="AM1306" s="40" t="str">
        <f>IF(DaybyDay[[#This Row],[Admin Hours]]&gt;0,DaybyDay[[#This Row],[Admin Hours]]*$AM$2+$AM$3,"")</f>
        <v/>
      </c>
      <c r="AN1306" s="40">
        <f>SUMIFS(DaybyDay[Est-Admin-Payroll],DaybyDay[Date],"&gt;="&amp;$C$5,DaybyDay[RowYear],"&gt;="&amp;$C$4,DaybyDay[Date],"&lt;="&amp;DaybyDay[[#This Row],[Date]])</f>
        <v>13941.779999999997</v>
      </c>
      <c r="AO1306" s="41" t="str">
        <f>IF(AND(DaybyDay[[#This Row],[_Space]],ISNUMBER(DaybyDay[[#This Row],[Admin Hours]])),DaybyDay[[#This Row],[Est-Admin-Payroll]]/(DaybyDay[[#This Row],[Service-Actuals]]+DaybyDay[[#This Row],[Retail-Actuals]]),"")</f>
        <v/>
      </c>
      <c r="AP1306" s="41">
        <f>DaybyDay[[#This Row],[Estimated-Payroll-Rollup]]/DaybyDay[[#This Row],[Simple-Forecast]]</f>
        <v>1.1338851874453795E-2</v>
      </c>
      <c r="AQ13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238851.28306681797</v>
      </c>
      <c r="AR1306" s="77"/>
      <c r="AS1306" s="40" t="str">
        <f>IF(DaybyDay[[#This Row],[Retail Hours]]&gt;0,DaybyDay[[#This Row],[Retail Hours]]*$AS$2,"")</f>
        <v/>
      </c>
      <c r="AT1306" s="40">
        <f>SUMIFS(DaybyDay[Est-Retail-Payroll],DaybyDay[Date],"&gt;="&amp;$C$5,DaybyDay[RowYear],"&gt;="&amp;$C$4,DaybyDay[Date],"&lt;="&amp;DaybyDay[[#This Row],[Date]])</f>
        <v>2627.1</v>
      </c>
      <c r="AU1306" s="82" t="str">
        <f>IF(AND(DaybyDay[[#This Row],[_Space]],ISNUMBER(DaybyDay[[#This Row],[Retail Hours]])),DaybyDay[[#This Row],[Est-Retail-Payroll]]/(DaybyDay[[#This Row],[Retail-Actuals]]),"")</f>
        <v/>
      </c>
      <c r="AV1306" s="82">
        <f>DaybyDay[[#This Row],[Est-Retail-PayrollRU]]/DaybyDay[[#This Row],[Simple-Forecast-Retail]]</f>
        <v>1.0998894233551494E-2</v>
      </c>
      <c r="AW1306" s="8"/>
      <c r="AX1306" s="15"/>
      <c r="AY1306" s="8"/>
    </row>
    <row r="1307" spans="3:51" hidden="1" x14ac:dyDescent="0.25">
      <c r="C1307" s="26" t="str">
        <f>Tools!$C$1</f>
        <v>Example</v>
      </c>
      <c r="D1307" s="27" t="s">
        <v>74</v>
      </c>
      <c r="E1307" s="28">
        <v>2020</v>
      </c>
      <c r="F1307" s="28">
        <f>MATCH(DaybyDay[[#This Row],[RowMonth]],Table3[SummaryMonth],0)</f>
        <v>7</v>
      </c>
      <c r="G1307" s="29">
        <f>MATCH(DaybyDay[[#This Row],[LY-Date]],DaybyDay[Date],0)</f>
        <v>937</v>
      </c>
      <c r="H1307" s="30">
        <f>WEEKDAY(DaybyDay[[#This Row],[Date]])</f>
        <v>6</v>
      </c>
      <c r="I1307" s="31">
        <v>44036</v>
      </c>
      <c r="J1307" s="74"/>
      <c r="K1307" s="32">
        <f>SUMIFS(BudgetSeasonality[365 Seasonality],BudgetSeasonality[MonthAdjustment],DaybyDay[[#This Row],[Date]])*SUMIFS(Budgets[Service-Budget],Budgets[BudgetMonth],DaybyDay[[#This Row],[RowMonth]],Budgets[BudgetYear],DaybyDay[[#This Row],[RowYear]])</f>
        <v>6017.668758646013</v>
      </c>
      <c r="L1307" s="75"/>
      <c r="M1307" s="32">
        <f>INDEX(BudgetSeasonality[365 Seasonality],MATCH(DaybyDay[[#This Row],[Date]],BudgetSeasonality[MonthAdjustment],0))*SUMIFS(Budgets[Retail-Budget],Budgets[BudgetMonth],DaybyDay[[#This Row],[RowMonth]],Budgets[BudgetYear],DaybyDay[[#This Row],[RowYear]])</f>
        <v>1500.9707253812201</v>
      </c>
      <c r="N1307" s="75"/>
      <c r="O1307" s="33">
        <f>SUMIFS(DaybyDay[Service-Budgets],DaybyDay[Date],"&gt;="&amp;$C$5,DaybyDay[RowYear],"&gt;="&amp;$C$4,DaybyDay[Date],"&lt;="&amp;DaybyDay[[#This Row],[Date]])</f>
        <v>1097615.7283532964</v>
      </c>
      <c r="P1307" s="33">
        <f>SUMIFS(DaybyDay[Retail-Budgets],DaybyDay[Date],"&gt;="&amp;$C$5,DaybyDay[RowYear],"&gt;="&amp;$C$4,DaybyDay[Date],"&lt;="&amp;DaybyDay[[#This Row],[Date]])</f>
        <v>275767.4743314666</v>
      </c>
      <c r="Q1307" s="34">
        <f>SUMIFS(DaybyDay[Service-Actuals],DaybyDay[Date],"&gt;="&amp;$C$5,DaybyDay[RowYear],"&gt;="&amp;$C$4,DaybyDay[Date],"&lt;="&amp;DaybyDay[[#This Row],[Date]])</f>
        <v>385554.23</v>
      </c>
      <c r="R1307" s="34">
        <f>SUMIFS(DaybyDay[Retail-Actuals],DaybyDay[Date],"&gt;="&amp;$C$5,DaybyDay[RowYear],"&gt;="&amp;$C$4,DaybyDay[Date],"&lt;="&amp;DaybyDay[[#This Row],[Date]])</f>
        <v>88360.030000000028</v>
      </c>
      <c r="S1307" s="35">
        <f>SUMIFS(DaybyDay[Service-LY],DaybyDay[Date],"&gt;="&amp;$C$5,DaybyDay[RowYear],"&gt;="&amp;$C$4,DaybyDay[Date],"&lt;="&amp;DaybyDay[[#This Row],[Date]])</f>
        <v>1002030.3699999994</v>
      </c>
      <c r="T1307" s="35">
        <f>SUMIFS(DaybyDay[Retail-LY],DaybyDay[Date],"&gt;="&amp;$C$5,DaybyDay[RowYear],"&gt;="&amp;$C$4,DaybyDay[Date],"&lt;="&amp;DaybyDay[[#This Row],[Date]])</f>
        <v>240280.81999999998</v>
      </c>
      <c r="U1307" s="32">
        <f>DaybyDay[[#This Row],[Serv-Bud-RU]]+DaybyDay[[#This Row],[Ret-Bud-RU]]</f>
        <v>1373383.2026847629</v>
      </c>
      <c r="V1307" s="32">
        <f>DaybyDay[[#This Row],[Serv-Act-RU]]+DaybyDay[[#This Row],[Ret-Act-RU]]</f>
        <v>473914.26</v>
      </c>
      <c r="W1307" s="36" t="str">
        <f>IF(DaybyDay[[#This Row],[_Space]],IFERROR(
((DaybyDay[[#This Row],[Actual-Rollup]]-DaybyDay[[#This Row],[Budget-Rollup]])/DaybyDay[[#This Row],[Budget-Rollup]]),0),"")</f>
        <v/>
      </c>
      <c r="X1307" t="b">
        <f>NOT(AND(ISBLANK(DaybyDay[[#This Row],[Appts]]),ISBLANK(DaybyDay[[#This Row],[Service-Actuals]]),ISBLANK(DaybyDay[[#This Row],[Retail-Actuals]])))</f>
        <v>0</v>
      </c>
      <c r="Y1307" s="36" t="str">
        <f>IF(DaybyDay[[#This Row],[_Space]],IFERROR(
((DaybyDay[[#This Row],[Actual-Rollup]]-DaybyDay[[#This Row],[LY-Rollup]])/DaybyDay[[#This Row],[LY-Rollup]]),0),"")</f>
        <v/>
      </c>
      <c r="Z1307"/>
      <c r="AA1307" s="37" t="str">
        <f>IF(DaybyDay[[#This Row],[_Space]],DaybyDay[[#This Row],[Ret-Act-RU]]/DaybyDay[[#This Row],[Serv-Act-RU]],"")</f>
        <v/>
      </c>
      <c r="AB1307" s="50" t="str">
        <f>IF(DaybyDay[[#This Row],[_Space]],DaybyDay[[#This Row],[RETPEN-Act]]/DaybyDay[[#This Row],[RETPEN-Bud]],"")</f>
        <v/>
      </c>
      <c r="AC1307" s="37" t="str">
        <f>IF(DaybyDay[[#This Row],[_Space]],DaybyDay[[#This Row],[Ret-Bud-RU]]/DaybyDay[[#This Row],[Serv-Bud-RU]],"")</f>
        <v/>
      </c>
      <c r="AD1307" s="37" t="str">
        <f>IF(DaybyDay[[#This Row],[_Space]],DaybyDay[[#This Row],[Ret-LY-RU]]/DaybyDay[[#This Row],[Serv-LY-RU]],"")</f>
        <v/>
      </c>
      <c r="AE1307" s="30">
        <f>WEEKDAY(DaybyDay[[#This Row],[LY-Date]])</f>
        <v>6</v>
      </c>
      <c r="AF1307" s="38">
        <f>$E$2+_xlfn.DAYS(DaybyDay[[#This Row],[Date]],minDate)</f>
        <v>43672</v>
      </c>
      <c r="AG1307" s="39" cm="1">
        <f t="array" ref="AG1307">IFERROR(INDEX(DaybyDay[],DaybyDay[[#This Row],[FORM_MATCH_HELPER]],8),"")</f>
        <v>30</v>
      </c>
      <c r="AH1307" s="39" cm="1">
        <f t="array" ref="AH1307">IFERROR(INDEX(DaybyDay[],DaybyDay[[#This Row],[FORM_MATCH_HELPER]],10),"")</f>
        <v>5585</v>
      </c>
      <c r="AI1307" s="39" cm="1">
        <f t="array" ref="AI1307">IFERROR(INDEX(DaybyDay[],DaybyDay[[#This Row],[FORM_MATCH_HELPER]],12),"")</f>
        <v>1738.1</v>
      </c>
      <c r="AJ1307" s="32">
        <f>IFERROR(DaybyDay[[#This Row],[Serv-LY-RU]]+DaybyDay[[#This Row],[Ret-LY-RU]],"")</f>
        <v>1242311.1899999995</v>
      </c>
      <c r="AK13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1236367.0441689664</v>
      </c>
      <c r="AL1307" s="77"/>
      <c r="AM1307" s="40" t="str">
        <f>IF(DaybyDay[[#This Row],[Admin Hours]]&gt;0,DaybyDay[[#This Row],[Admin Hours]]*$AM$2+$AM$3,"")</f>
        <v/>
      </c>
      <c r="AN1307" s="40">
        <f>SUMIFS(DaybyDay[Est-Admin-Payroll],DaybyDay[Date],"&gt;="&amp;$C$5,DaybyDay[RowYear],"&gt;="&amp;$C$4,DaybyDay[Date],"&lt;="&amp;DaybyDay[[#This Row],[Date]])</f>
        <v>13941.779999999997</v>
      </c>
      <c r="AO1307" s="41" t="str">
        <f>IF(AND(DaybyDay[[#This Row],[_Space]],ISNUMBER(DaybyDay[[#This Row],[Admin Hours]])),DaybyDay[[#This Row],[Est-Admin-Payroll]]/(DaybyDay[[#This Row],[Service-Actuals]]+DaybyDay[[#This Row],[Retail-Actuals]]),"")</f>
        <v/>
      </c>
      <c r="AP1307" s="41">
        <f>DaybyDay[[#This Row],[Estimated-Payroll-Rollup]]/DaybyDay[[#This Row],[Simple-Forecast]]</f>
        <v>1.1276408624569148E-2</v>
      </c>
      <c r="AQ13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240346.68661328373</v>
      </c>
      <c r="AR1307" s="77"/>
      <c r="AS1307" s="40" t="str">
        <f>IF(DaybyDay[[#This Row],[Retail Hours]]&gt;0,DaybyDay[[#This Row],[Retail Hours]]*$AS$2,"")</f>
        <v/>
      </c>
      <c r="AT1307" s="40">
        <f>SUMIFS(DaybyDay[Est-Retail-Payroll],DaybyDay[Date],"&gt;="&amp;$C$5,DaybyDay[RowYear],"&gt;="&amp;$C$4,DaybyDay[Date],"&lt;="&amp;DaybyDay[[#This Row],[Date]])</f>
        <v>2627.1</v>
      </c>
      <c r="AU1307" s="82" t="str">
        <f>IF(AND(DaybyDay[[#This Row],[_Space]],ISNUMBER(DaybyDay[[#This Row],[Retail Hours]])),DaybyDay[[#This Row],[Est-Retail-Payroll]]/(DaybyDay[[#This Row],[Retail-Actuals]]),"")</f>
        <v/>
      </c>
      <c r="AV1307" s="82">
        <f>DaybyDay[[#This Row],[Est-Retail-PayrollRU]]/DaybyDay[[#This Row],[Simple-Forecast-Retail]]</f>
        <v>1.0930460648400728E-2</v>
      </c>
      <c r="AW1307" s="8"/>
      <c r="AX1307" s="15"/>
      <c r="AY1307" s="8"/>
    </row>
    <row r="1308" spans="3:51" hidden="1" x14ac:dyDescent="0.25">
      <c r="C1308" s="26" t="str">
        <f>Tools!$C$1</f>
        <v>Example</v>
      </c>
      <c r="D1308" s="27" t="s">
        <v>74</v>
      </c>
      <c r="E1308" s="28">
        <v>2020</v>
      </c>
      <c r="F1308" s="28">
        <f>MATCH(DaybyDay[[#This Row],[RowMonth]],Table3[SummaryMonth],0)</f>
        <v>7</v>
      </c>
      <c r="G1308" s="29">
        <f>MATCH(DaybyDay[[#This Row],[LY-Date]],DaybyDay[Date],0)</f>
        <v>938</v>
      </c>
      <c r="H1308" s="30">
        <f>WEEKDAY(DaybyDay[[#This Row],[Date]])</f>
        <v>7</v>
      </c>
      <c r="I1308" s="31">
        <v>44037</v>
      </c>
      <c r="J1308" s="74"/>
      <c r="K1308" s="32">
        <f>SUMIFS(BudgetSeasonality[365 Seasonality],BudgetSeasonality[MonthAdjustment],DaybyDay[[#This Row],[Date]])*SUMIFS(Budgets[Service-Budget],Budgets[BudgetMonth],DaybyDay[[#This Row],[RowMonth]],Budgets[BudgetYear],DaybyDay[[#This Row],[RowYear]])</f>
        <v>8600.1587695008493</v>
      </c>
      <c r="L1308" s="75"/>
      <c r="M1308" s="32">
        <f>INDEX(BudgetSeasonality[365 Seasonality],MATCH(DaybyDay[[#This Row],[Date]],BudgetSeasonality[MonthAdjustment],0))*SUMIFS(Budgets[Retail-Budget],Budgets[BudgetMonth],DaybyDay[[#This Row],[RowMonth]],Budgets[BudgetYear],DaybyDay[[#This Row],[RowYear]])</f>
        <v>2145.1141736747586</v>
      </c>
      <c r="N1308" s="75"/>
      <c r="O1308" s="33">
        <f>SUMIFS(DaybyDay[Service-Budgets],DaybyDay[Date],"&gt;="&amp;$C$5,DaybyDay[RowYear],"&gt;="&amp;$C$4,DaybyDay[Date],"&lt;="&amp;DaybyDay[[#This Row],[Date]])</f>
        <v>1106215.8871227973</v>
      </c>
      <c r="P1308" s="33">
        <f>SUMIFS(DaybyDay[Retail-Budgets],DaybyDay[Date],"&gt;="&amp;$C$5,DaybyDay[RowYear],"&gt;="&amp;$C$4,DaybyDay[Date],"&lt;="&amp;DaybyDay[[#This Row],[Date]])</f>
        <v>277912.58850514138</v>
      </c>
      <c r="Q1308" s="34">
        <f>SUMIFS(DaybyDay[Service-Actuals],DaybyDay[Date],"&gt;="&amp;$C$5,DaybyDay[RowYear],"&gt;="&amp;$C$4,DaybyDay[Date],"&lt;="&amp;DaybyDay[[#This Row],[Date]])</f>
        <v>385554.23</v>
      </c>
      <c r="R1308" s="34">
        <f>SUMIFS(DaybyDay[Retail-Actuals],DaybyDay[Date],"&gt;="&amp;$C$5,DaybyDay[RowYear],"&gt;="&amp;$C$4,DaybyDay[Date],"&lt;="&amp;DaybyDay[[#This Row],[Date]])</f>
        <v>88360.030000000028</v>
      </c>
      <c r="S1308" s="35">
        <f>SUMIFS(DaybyDay[Service-LY],DaybyDay[Date],"&gt;="&amp;$C$5,DaybyDay[RowYear],"&gt;="&amp;$C$4,DaybyDay[Date],"&lt;="&amp;DaybyDay[[#This Row],[Date]])</f>
        <v>1011204.3699999994</v>
      </c>
      <c r="T1308" s="35">
        <f>SUMIFS(DaybyDay[Retail-LY],DaybyDay[Date],"&gt;="&amp;$C$5,DaybyDay[RowYear],"&gt;="&amp;$C$4,DaybyDay[Date],"&lt;="&amp;DaybyDay[[#This Row],[Date]])</f>
        <v>244192.31999999998</v>
      </c>
      <c r="U1308" s="32">
        <f>DaybyDay[[#This Row],[Serv-Bud-RU]]+DaybyDay[[#This Row],[Ret-Bud-RU]]</f>
        <v>1384128.4756279388</v>
      </c>
      <c r="V1308" s="32">
        <f>DaybyDay[[#This Row],[Serv-Act-RU]]+DaybyDay[[#This Row],[Ret-Act-RU]]</f>
        <v>473914.26</v>
      </c>
      <c r="W1308" s="36" t="str">
        <f>IF(DaybyDay[[#This Row],[_Space]],IFERROR(
((DaybyDay[[#This Row],[Actual-Rollup]]-DaybyDay[[#This Row],[Budget-Rollup]])/DaybyDay[[#This Row],[Budget-Rollup]]),0),"")</f>
        <v/>
      </c>
      <c r="X1308" t="b">
        <f>NOT(AND(ISBLANK(DaybyDay[[#This Row],[Appts]]),ISBLANK(DaybyDay[[#This Row],[Service-Actuals]]),ISBLANK(DaybyDay[[#This Row],[Retail-Actuals]])))</f>
        <v>0</v>
      </c>
      <c r="Y1308" s="36" t="str">
        <f>IF(DaybyDay[[#This Row],[_Space]],IFERROR(
((DaybyDay[[#This Row],[Actual-Rollup]]-DaybyDay[[#This Row],[LY-Rollup]])/DaybyDay[[#This Row],[LY-Rollup]]),0),"")</f>
        <v/>
      </c>
      <c r="Z1308"/>
      <c r="AA1308" s="37" t="str">
        <f>IF(DaybyDay[[#This Row],[_Space]],DaybyDay[[#This Row],[Ret-Act-RU]]/DaybyDay[[#This Row],[Serv-Act-RU]],"")</f>
        <v/>
      </c>
      <c r="AB1308" s="50" t="str">
        <f>IF(DaybyDay[[#This Row],[_Space]],DaybyDay[[#This Row],[RETPEN-Act]]/DaybyDay[[#This Row],[RETPEN-Bud]],"")</f>
        <v/>
      </c>
      <c r="AC1308" s="37" t="str">
        <f>IF(DaybyDay[[#This Row],[_Space]],DaybyDay[[#This Row],[Ret-Bud-RU]]/DaybyDay[[#This Row],[Serv-Bud-RU]],"")</f>
        <v/>
      </c>
      <c r="AD1308" s="37" t="str">
        <f>IF(DaybyDay[[#This Row],[_Space]],DaybyDay[[#This Row],[Ret-LY-RU]]/DaybyDay[[#This Row],[Serv-LY-RU]],"")</f>
        <v/>
      </c>
      <c r="AE1308" s="30">
        <f>WEEKDAY(DaybyDay[[#This Row],[LY-Date]])</f>
        <v>7</v>
      </c>
      <c r="AF1308" s="38">
        <f>$E$2+_xlfn.DAYS(DaybyDay[[#This Row],[Date]],minDate)</f>
        <v>43673</v>
      </c>
      <c r="AG1308" s="39" cm="1">
        <f t="array" ref="AG1308">IFERROR(INDEX(DaybyDay[],DaybyDay[[#This Row],[FORM_MATCH_HELPER]],8),"")</f>
        <v>35</v>
      </c>
      <c r="AH1308" s="39" cm="1">
        <f t="array" ref="AH1308">IFERROR(INDEX(DaybyDay[],DaybyDay[[#This Row],[FORM_MATCH_HELPER]],10),"")</f>
        <v>9174</v>
      </c>
      <c r="AI1308" s="39" cm="1">
        <f t="array" ref="AI1308">IFERROR(INDEX(DaybyDay[],DaybyDay[[#This Row],[FORM_MATCH_HELPER]],12),"")</f>
        <v>3911.5</v>
      </c>
      <c r="AJ1308" s="32">
        <f>IFERROR(DaybyDay[[#This Row],[Serv-LY-RU]]+DaybyDay[[#This Row],[Ret-LY-RU]],"")</f>
        <v>1255396.6899999995</v>
      </c>
      <c r="AK13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1247389.3148130872</v>
      </c>
      <c r="AL1308" s="77"/>
      <c r="AM1308" s="40" t="str">
        <f>IF(DaybyDay[[#This Row],[Admin Hours]]&gt;0,DaybyDay[[#This Row],[Admin Hours]]*$AM$2+$AM$3,"")</f>
        <v/>
      </c>
      <c r="AN1308" s="40">
        <f>SUMIFS(DaybyDay[Est-Admin-Payroll],DaybyDay[Date],"&gt;="&amp;$C$5,DaybyDay[RowYear],"&gt;="&amp;$C$4,DaybyDay[Date],"&lt;="&amp;DaybyDay[[#This Row],[Date]])</f>
        <v>13941.779999999997</v>
      </c>
      <c r="AO1308" s="41" t="str">
        <f>IF(AND(DaybyDay[[#This Row],[_Space]],ISNUMBER(DaybyDay[[#This Row],[Admin Hours]])),DaybyDay[[#This Row],[Est-Admin-Payroll]]/(DaybyDay[[#This Row],[Service-Actuals]]+DaybyDay[[#This Row],[Retail-Actuals]]),"")</f>
        <v/>
      </c>
      <c r="AP1308" s="41">
        <f>DaybyDay[[#This Row],[Estimated-Payroll-Rollup]]/DaybyDay[[#This Row],[Simple-Forecast]]</f>
        <v>1.1176767216487722E-2</v>
      </c>
      <c r="AQ13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243187.65981133503</v>
      </c>
      <c r="AR1308" s="77"/>
      <c r="AS1308" s="40" t="str">
        <f>IF(DaybyDay[[#This Row],[Retail Hours]]&gt;0,DaybyDay[[#This Row],[Retail Hours]]*$AS$2,"")</f>
        <v/>
      </c>
      <c r="AT1308" s="40">
        <f>SUMIFS(DaybyDay[Est-Retail-Payroll],DaybyDay[Date],"&gt;="&amp;$C$5,DaybyDay[RowYear],"&gt;="&amp;$C$4,DaybyDay[Date],"&lt;="&amp;DaybyDay[[#This Row],[Date]])</f>
        <v>2627.1</v>
      </c>
      <c r="AU1308" s="82" t="str">
        <f>IF(AND(DaybyDay[[#This Row],[_Space]],ISNUMBER(DaybyDay[[#This Row],[Retail Hours]])),DaybyDay[[#This Row],[Est-Retail-Payroll]]/(DaybyDay[[#This Row],[Retail-Actuals]]),"")</f>
        <v/>
      </c>
      <c r="AV1308" s="82">
        <f>DaybyDay[[#This Row],[Est-Retail-PayrollRU]]/DaybyDay[[#This Row],[Simple-Forecast-Retail]]</f>
        <v>1.0802768537014189E-2</v>
      </c>
      <c r="AW1308" s="8"/>
      <c r="AX1308" s="15"/>
      <c r="AY1308" s="8"/>
    </row>
    <row r="1309" spans="3:51" hidden="1" x14ac:dyDescent="0.25">
      <c r="C1309" s="26" t="str">
        <f>Tools!$C$1</f>
        <v>Example</v>
      </c>
      <c r="D1309" s="27" t="s">
        <v>74</v>
      </c>
      <c r="E1309" s="28">
        <v>2020</v>
      </c>
      <c r="F1309" s="28">
        <f>MATCH(DaybyDay[[#This Row],[RowMonth]],Table3[SummaryMonth],0)</f>
        <v>7</v>
      </c>
      <c r="G1309" s="29">
        <f>MATCH(DaybyDay[[#This Row],[LY-Date]],DaybyDay[Date],0)</f>
        <v>939</v>
      </c>
      <c r="H1309" s="30">
        <f>WEEKDAY(DaybyDay[[#This Row],[Date]])</f>
        <v>1</v>
      </c>
      <c r="I1309" s="31">
        <v>44038</v>
      </c>
      <c r="J1309" s="74"/>
      <c r="K1309" s="32">
        <f>SUMIFS(BudgetSeasonality[365 Seasonality],BudgetSeasonality[MonthAdjustment],DaybyDay[[#This Row],[Date]])*SUMIFS(Budgets[Service-Budget],Budgets[BudgetMonth],DaybyDay[[#This Row],[RowMonth]],Budgets[BudgetYear],DaybyDay[[#This Row],[RowYear]])</f>
        <v>6730.8140462375059</v>
      </c>
      <c r="L1309" s="75"/>
      <c r="M1309" s="32">
        <f>INDEX(BudgetSeasonality[365 Seasonality],MATCH(DaybyDay[[#This Row],[Date]],BudgetSeasonality[MonthAdjustment],0))*SUMIFS(Budgets[Retail-Budget],Budgets[BudgetMonth],DaybyDay[[#This Row],[RowMonth]],Budgets[BudgetYear],DaybyDay[[#This Row],[RowYear]])</f>
        <v>1678.8486117438531</v>
      </c>
      <c r="N1309" s="75"/>
      <c r="O1309" s="33">
        <f>SUMIFS(DaybyDay[Service-Budgets],DaybyDay[Date],"&gt;="&amp;$C$5,DaybyDay[RowYear],"&gt;="&amp;$C$4,DaybyDay[Date],"&lt;="&amp;DaybyDay[[#This Row],[Date]])</f>
        <v>1112946.7011690349</v>
      </c>
      <c r="P1309" s="33">
        <f>SUMIFS(DaybyDay[Retail-Budgets],DaybyDay[Date],"&gt;="&amp;$C$5,DaybyDay[RowYear],"&gt;="&amp;$C$4,DaybyDay[Date],"&lt;="&amp;DaybyDay[[#This Row],[Date]])</f>
        <v>279591.43711688521</v>
      </c>
      <c r="Q1309" s="34">
        <f>SUMIFS(DaybyDay[Service-Actuals],DaybyDay[Date],"&gt;="&amp;$C$5,DaybyDay[RowYear],"&gt;="&amp;$C$4,DaybyDay[Date],"&lt;="&amp;DaybyDay[[#This Row],[Date]])</f>
        <v>385554.23</v>
      </c>
      <c r="R1309" s="34">
        <f>SUMIFS(DaybyDay[Retail-Actuals],DaybyDay[Date],"&gt;="&amp;$C$5,DaybyDay[RowYear],"&gt;="&amp;$C$4,DaybyDay[Date],"&lt;="&amp;DaybyDay[[#This Row],[Date]])</f>
        <v>88360.030000000028</v>
      </c>
      <c r="S1309" s="35">
        <f>SUMIFS(DaybyDay[Service-LY],DaybyDay[Date],"&gt;="&amp;$C$5,DaybyDay[RowYear],"&gt;="&amp;$C$4,DaybyDay[Date],"&lt;="&amp;DaybyDay[[#This Row],[Date]])</f>
        <v>1017034.5599999994</v>
      </c>
      <c r="T1309" s="35">
        <f>SUMIFS(DaybyDay[Retail-LY],DaybyDay[Date],"&gt;="&amp;$C$5,DaybyDay[RowYear],"&gt;="&amp;$C$4,DaybyDay[Date],"&lt;="&amp;DaybyDay[[#This Row],[Date]])</f>
        <v>245347.80999999997</v>
      </c>
      <c r="U1309" s="32">
        <f>DaybyDay[[#This Row],[Serv-Bud-RU]]+DaybyDay[[#This Row],[Ret-Bud-RU]]</f>
        <v>1392538.13828592</v>
      </c>
      <c r="V1309" s="32">
        <f>DaybyDay[[#This Row],[Serv-Act-RU]]+DaybyDay[[#This Row],[Ret-Act-RU]]</f>
        <v>473914.26</v>
      </c>
      <c r="W1309" s="36" t="str">
        <f>IF(DaybyDay[[#This Row],[_Space]],IFERROR(
((DaybyDay[[#This Row],[Actual-Rollup]]-DaybyDay[[#This Row],[Budget-Rollup]])/DaybyDay[[#This Row],[Budget-Rollup]]),0),"")</f>
        <v/>
      </c>
      <c r="X1309" t="b">
        <f>NOT(AND(ISBLANK(DaybyDay[[#This Row],[Appts]]),ISBLANK(DaybyDay[[#This Row],[Service-Actuals]]),ISBLANK(DaybyDay[[#This Row],[Retail-Actuals]])))</f>
        <v>0</v>
      </c>
      <c r="Y1309" s="36" t="str">
        <f>IF(DaybyDay[[#This Row],[_Space]],IFERROR(
((DaybyDay[[#This Row],[Actual-Rollup]]-DaybyDay[[#This Row],[LY-Rollup]])/DaybyDay[[#This Row],[LY-Rollup]]),0),"")</f>
        <v/>
      </c>
      <c r="Z1309"/>
      <c r="AA1309" s="37" t="str">
        <f>IF(DaybyDay[[#This Row],[_Space]],DaybyDay[[#This Row],[Ret-Act-RU]]/DaybyDay[[#This Row],[Serv-Act-RU]],"")</f>
        <v/>
      </c>
      <c r="AB1309" s="50" t="str">
        <f>IF(DaybyDay[[#This Row],[_Space]],DaybyDay[[#This Row],[RETPEN-Act]]/DaybyDay[[#This Row],[RETPEN-Bud]],"")</f>
        <v/>
      </c>
      <c r="AC1309" s="37" t="str">
        <f>IF(DaybyDay[[#This Row],[_Space]],DaybyDay[[#This Row],[Ret-Bud-RU]]/DaybyDay[[#This Row],[Serv-Bud-RU]],"")</f>
        <v/>
      </c>
      <c r="AD1309" s="37" t="str">
        <f>IF(DaybyDay[[#This Row],[_Space]],DaybyDay[[#This Row],[Ret-LY-RU]]/DaybyDay[[#This Row],[Serv-LY-RU]],"")</f>
        <v/>
      </c>
      <c r="AE1309" s="30">
        <f>WEEKDAY(DaybyDay[[#This Row],[LY-Date]])</f>
        <v>1</v>
      </c>
      <c r="AF1309" s="38">
        <f>$E$2+_xlfn.DAYS(DaybyDay[[#This Row],[Date]],minDate)</f>
        <v>43674</v>
      </c>
      <c r="AG1309" s="39" cm="1">
        <f t="array" ref="AG1309">IFERROR(INDEX(DaybyDay[],DaybyDay[[#This Row],[FORM_MATCH_HELPER]],8),"")</f>
        <v>31</v>
      </c>
      <c r="AH1309" s="39" cm="1">
        <f t="array" ref="AH1309">IFERROR(INDEX(DaybyDay[],DaybyDay[[#This Row],[FORM_MATCH_HELPER]],10),"")</f>
        <v>5830.1900000000005</v>
      </c>
      <c r="AI1309" s="39" cm="1">
        <f t="array" ref="AI1309">IFERROR(INDEX(DaybyDay[],DaybyDay[[#This Row],[FORM_MATCH_HELPER]],12),"")</f>
        <v>1155.49</v>
      </c>
      <c r="AJ1309" s="32">
        <f>IFERROR(DaybyDay[[#This Row],[Serv-LY-RU]]+DaybyDay[[#This Row],[Ret-LY-RU]],"")</f>
        <v>1262382.3699999994</v>
      </c>
      <c r="AK13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1254410.6474820189</v>
      </c>
      <c r="AL1309" s="77"/>
      <c r="AM1309" s="40" t="str">
        <f>IF(DaybyDay[[#This Row],[Admin Hours]]&gt;0,DaybyDay[[#This Row],[Admin Hours]]*$AM$2+$AM$3,"")</f>
        <v/>
      </c>
      <c r="AN1309" s="40">
        <f>SUMIFS(DaybyDay[Est-Admin-Payroll],DaybyDay[Date],"&gt;="&amp;$C$5,DaybyDay[RowYear],"&gt;="&amp;$C$4,DaybyDay[Date],"&lt;="&amp;DaybyDay[[#This Row],[Date]])</f>
        <v>13941.779999999997</v>
      </c>
      <c r="AO1309" s="41" t="str">
        <f>IF(AND(DaybyDay[[#This Row],[_Space]],ISNUMBER(DaybyDay[[#This Row],[Admin Hours]])),DaybyDay[[#This Row],[Est-Admin-Payroll]]/(DaybyDay[[#This Row],[Service-Actuals]]+DaybyDay[[#This Row],[Retail-Actuals]]),"")</f>
        <v/>
      </c>
      <c r="AP1309" s="41">
        <f>DaybyDay[[#This Row],[Estimated-Payroll-Rollup]]/DaybyDay[[#This Row],[Simple-Forecast]]</f>
        <v>1.1114207319577015E-2</v>
      </c>
      <c r="AQ13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244471.47266306996</v>
      </c>
      <c r="AR1309" s="77"/>
      <c r="AS1309" s="40" t="str">
        <f>IF(DaybyDay[[#This Row],[Retail Hours]]&gt;0,DaybyDay[[#This Row],[Retail Hours]]*$AS$2,"")</f>
        <v/>
      </c>
      <c r="AT1309" s="40">
        <f>SUMIFS(DaybyDay[Est-Retail-Payroll],DaybyDay[Date],"&gt;="&amp;$C$5,DaybyDay[RowYear],"&gt;="&amp;$C$4,DaybyDay[Date],"&lt;="&amp;DaybyDay[[#This Row],[Date]])</f>
        <v>2627.1</v>
      </c>
      <c r="AU1309" s="82" t="str">
        <f>IF(AND(DaybyDay[[#This Row],[_Space]],ISNUMBER(DaybyDay[[#This Row],[Retail Hours]])),DaybyDay[[#This Row],[Est-Retail-Payroll]]/(DaybyDay[[#This Row],[Retail-Actuals]]),"")</f>
        <v/>
      </c>
      <c r="AV1309" s="82">
        <f>DaybyDay[[#This Row],[Est-Retail-PayrollRU]]/DaybyDay[[#This Row],[Simple-Forecast-Retail]]</f>
        <v>1.0746039083343942E-2</v>
      </c>
      <c r="AW1309" s="8"/>
      <c r="AX1309" s="15"/>
      <c r="AY1309" s="8"/>
    </row>
    <row r="1310" spans="3:51" hidden="1" x14ac:dyDescent="0.25">
      <c r="C1310" s="26" t="str">
        <f>Tools!$C$1</f>
        <v>Example</v>
      </c>
      <c r="D1310" s="27" t="s">
        <v>74</v>
      </c>
      <c r="E1310" s="28">
        <v>2020</v>
      </c>
      <c r="F1310" s="28">
        <f>MATCH(DaybyDay[[#This Row],[RowMonth]],Table3[SummaryMonth],0)</f>
        <v>7</v>
      </c>
      <c r="G1310" s="29">
        <f>MATCH(DaybyDay[[#This Row],[LY-Date]],DaybyDay[Date],0)</f>
        <v>940</v>
      </c>
      <c r="H1310" s="30">
        <f>WEEKDAY(DaybyDay[[#This Row],[Date]])</f>
        <v>2</v>
      </c>
      <c r="I1310" s="31">
        <v>44039</v>
      </c>
      <c r="J1310" s="74"/>
      <c r="K1310" s="32">
        <f>SUMIFS(BudgetSeasonality[365 Seasonality],BudgetSeasonality[MonthAdjustment],DaybyDay[[#This Row],[Date]])*SUMIFS(Budgets[Service-Budget],Budgets[BudgetMonth],DaybyDay[[#This Row],[RowMonth]],Budgets[BudgetYear],DaybyDay[[#This Row],[RowYear]])</f>
        <v>3985.2768105302684</v>
      </c>
      <c r="L1310" s="75"/>
      <c r="M1310" s="32">
        <f>INDEX(BudgetSeasonality[365 Seasonality],MATCH(DaybyDay[[#This Row],[Date]],BudgetSeasonality[MonthAdjustment],0))*SUMIFS(Budgets[Retail-Budget],Budgets[BudgetMonth],DaybyDay[[#This Row],[RowMonth]],Budgets[BudgetYear],DaybyDay[[#This Row],[RowYear]])</f>
        <v>994.03673832198194</v>
      </c>
      <c r="N1310" s="75"/>
      <c r="O1310" s="33">
        <f>SUMIFS(DaybyDay[Service-Budgets],DaybyDay[Date],"&gt;="&amp;$C$5,DaybyDay[RowYear],"&gt;="&amp;$C$4,DaybyDay[Date],"&lt;="&amp;DaybyDay[[#This Row],[Date]])</f>
        <v>1116931.9779795653</v>
      </c>
      <c r="P1310" s="33">
        <f>SUMIFS(DaybyDay[Retail-Budgets],DaybyDay[Date],"&gt;="&amp;$C$5,DaybyDay[RowYear],"&gt;="&amp;$C$4,DaybyDay[Date],"&lt;="&amp;DaybyDay[[#This Row],[Date]])</f>
        <v>280585.47385520721</v>
      </c>
      <c r="Q1310" s="34">
        <f>SUMIFS(DaybyDay[Service-Actuals],DaybyDay[Date],"&gt;="&amp;$C$5,DaybyDay[RowYear],"&gt;="&amp;$C$4,DaybyDay[Date],"&lt;="&amp;DaybyDay[[#This Row],[Date]])</f>
        <v>385554.23</v>
      </c>
      <c r="R1310" s="34">
        <f>SUMIFS(DaybyDay[Retail-Actuals],DaybyDay[Date],"&gt;="&amp;$C$5,DaybyDay[RowYear],"&gt;="&amp;$C$4,DaybyDay[Date],"&lt;="&amp;DaybyDay[[#This Row],[Date]])</f>
        <v>88360.030000000028</v>
      </c>
      <c r="S1310" s="35">
        <f>SUMIFS(DaybyDay[Service-LY],DaybyDay[Date],"&gt;="&amp;$C$5,DaybyDay[RowYear],"&gt;="&amp;$C$4,DaybyDay[Date],"&lt;="&amp;DaybyDay[[#This Row],[Date]])</f>
        <v>1019653.4199999993</v>
      </c>
      <c r="T1310" s="35">
        <f>SUMIFS(DaybyDay[Retail-LY],DaybyDay[Date],"&gt;="&amp;$C$5,DaybyDay[RowYear],"&gt;="&amp;$C$4,DaybyDay[Date],"&lt;="&amp;DaybyDay[[#This Row],[Date]])</f>
        <v>245956.80999999997</v>
      </c>
      <c r="U1310" s="32">
        <f>DaybyDay[[#This Row],[Serv-Bud-RU]]+DaybyDay[[#This Row],[Ret-Bud-RU]]</f>
        <v>1397517.4518347725</v>
      </c>
      <c r="V1310" s="32">
        <f>DaybyDay[[#This Row],[Serv-Act-RU]]+DaybyDay[[#This Row],[Ret-Act-RU]]</f>
        <v>473914.26</v>
      </c>
      <c r="W1310" s="36" t="str">
        <f>IF(DaybyDay[[#This Row],[_Space]],IFERROR(
((DaybyDay[[#This Row],[Actual-Rollup]]-DaybyDay[[#This Row],[Budget-Rollup]])/DaybyDay[[#This Row],[Budget-Rollup]]),0),"")</f>
        <v/>
      </c>
      <c r="X1310" t="b">
        <f>NOT(AND(ISBLANK(DaybyDay[[#This Row],[Appts]]),ISBLANK(DaybyDay[[#This Row],[Service-Actuals]]),ISBLANK(DaybyDay[[#This Row],[Retail-Actuals]])))</f>
        <v>0</v>
      </c>
      <c r="Y1310" s="36" t="str">
        <f>IF(DaybyDay[[#This Row],[_Space]],IFERROR(
((DaybyDay[[#This Row],[Actual-Rollup]]-DaybyDay[[#This Row],[LY-Rollup]])/DaybyDay[[#This Row],[LY-Rollup]]),0),"")</f>
        <v/>
      </c>
      <c r="Z1310"/>
      <c r="AA1310" s="37" t="str">
        <f>IF(DaybyDay[[#This Row],[_Space]],DaybyDay[[#This Row],[Ret-Act-RU]]/DaybyDay[[#This Row],[Serv-Act-RU]],"")</f>
        <v/>
      </c>
      <c r="AB1310" s="50" t="str">
        <f>IF(DaybyDay[[#This Row],[_Space]],DaybyDay[[#This Row],[RETPEN-Act]]/DaybyDay[[#This Row],[RETPEN-Bud]],"")</f>
        <v/>
      </c>
      <c r="AC1310" s="37" t="str">
        <f>IF(DaybyDay[[#This Row],[_Space]],DaybyDay[[#This Row],[Ret-Bud-RU]]/DaybyDay[[#This Row],[Serv-Bud-RU]],"")</f>
        <v/>
      </c>
      <c r="AD1310" s="37" t="str">
        <f>IF(DaybyDay[[#This Row],[_Space]],DaybyDay[[#This Row],[Ret-LY-RU]]/DaybyDay[[#This Row],[Serv-LY-RU]],"")</f>
        <v/>
      </c>
      <c r="AE1310" s="30">
        <f>WEEKDAY(DaybyDay[[#This Row],[LY-Date]])</f>
        <v>2</v>
      </c>
      <c r="AF1310" s="38">
        <f>$E$2+_xlfn.DAYS(DaybyDay[[#This Row],[Date]],minDate)</f>
        <v>43675</v>
      </c>
      <c r="AG1310" s="39" cm="1">
        <f t="array" ref="AG1310">IFERROR(INDEX(DaybyDay[],DaybyDay[[#This Row],[FORM_MATCH_HELPER]],8),"")</f>
        <v>13</v>
      </c>
      <c r="AH1310" s="39" cm="1">
        <f t="array" ref="AH1310">IFERROR(INDEX(DaybyDay[],DaybyDay[[#This Row],[FORM_MATCH_HELPER]],10),"")</f>
        <v>2618.86</v>
      </c>
      <c r="AI1310" s="39" cm="1">
        <f t="array" ref="AI1310">IFERROR(INDEX(DaybyDay[],DaybyDay[[#This Row],[FORM_MATCH_HELPER]],12),"")</f>
        <v>609</v>
      </c>
      <c r="AJ1310" s="32">
        <f>IFERROR(DaybyDay[[#This Row],[Serv-LY-RU]]+DaybyDay[[#This Row],[Ret-LY-RU]],"")</f>
        <v>1265610.2299999993</v>
      </c>
      <c r="AK13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1258120.0969659279</v>
      </c>
      <c r="AL1310" s="77"/>
      <c r="AM1310" s="40" t="str">
        <f>IF(DaybyDay[[#This Row],[Admin Hours]]&gt;0,DaybyDay[[#This Row],[Admin Hours]]*$AM$2+$AM$3,"")</f>
        <v/>
      </c>
      <c r="AN1310" s="40">
        <f>SUMIFS(DaybyDay[Est-Admin-Payroll],DaybyDay[Date],"&gt;="&amp;$C$5,DaybyDay[RowYear],"&gt;="&amp;$C$4,DaybyDay[Date],"&lt;="&amp;DaybyDay[[#This Row],[Date]])</f>
        <v>13941.779999999997</v>
      </c>
      <c r="AO1310" s="41" t="str">
        <f>IF(AND(DaybyDay[[#This Row],[_Space]],ISNUMBER(DaybyDay[[#This Row],[Admin Hours]])),DaybyDay[[#This Row],[Est-Admin-Payroll]]/(DaybyDay[[#This Row],[Service-Actuals]]+DaybyDay[[#This Row],[Retail-Actuals]]),"")</f>
        <v/>
      </c>
      <c r="AP1310" s="41">
        <f>DaybyDay[[#This Row],[Estimated-Payroll-Rollup]]/DaybyDay[[#This Row],[Simple-Forecast]]</f>
        <v>1.1081438118365552E-2</v>
      </c>
      <c r="AQ13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245194.55429746851</v>
      </c>
      <c r="AR1310" s="77"/>
      <c r="AS1310" s="40" t="str">
        <f>IF(DaybyDay[[#This Row],[Retail Hours]]&gt;0,DaybyDay[[#This Row],[Retail Hours]]*$AS$2,"")</f>
        <v/>
      </c>
      <c r="AT1310" s="40">
        <f>SUMIFS(DaybyDay[Est-Retail-Payroll],DaybyDay[Date],"&gt;="&amp;$C$5,DaybyDay[RowYear],"&gt;="&amp;$C$4,DaybyDay[Date],"&lt;="&amp;DaybyDay[[#This Row],[Date]])</f>
        <v>2627.1</v>
      </c>
      <c r="AU1310" s="82" t="str">
        <f>IF(AND(DaybyDay[[#This Row],[_Space]],ISNUMBER(DaybyDay[[#This Row],[Retail Hours]])),DaybyDay[[#This Row],[Est-Retail-Payroll]]/(DaybyDay[[#This Row],[Retail-Actuals]]),"")</f>
        <v/>
      </c>
      <c r="AV1310" s="82">
        <f>DaybyDay[[#This Row],[Est-Retail-PayrollRU]]/DaybyDay[[#This Row],[Simple-Forecast-Retail]]</f>
        <v>1.0714348887262881E-2</v>
      </c>
      <c r="AW1310" s="8"/>
      <c r="AX1310" s="15"/>
      <c r="AY1310" s="8"/>
    </row>
    <row r="1311" spans="3:51" hidden="1" x14ac:dyDescent="0.25">
      <c r="C1311" s="26" t="str">
        <f>Tools!$C$1</f>
        <v>Example</v>
      </c>
      <c r="D1311" s="27" t="s">
        <v>74</v>
      </c>
      <c r="E1311" s="28">
        <v>2020</v>
      </c>
      <c r="F1311" s="28">
        <f>MATCH(DaybyDay[[#This Row],[RowMonth]],Table3[SummaryMonth],0)</f>
        <v>7</v>
      </c>
      <c r="G1311" s="29">
        <f>MATCH(DaybyDay[[#This Row],[LY-Date]],DaybyDay[Date],0)</f>
        <v>941</v>
      </c>
      <c r="H1311" s="30">
        <f>WEEKDAY(DaybyDay[[#This Row],[Date]])</f>
        <v>3</v>
      </c>
      <c r="I1311" s="31">
        <v>44040</v>
      </c>
      <c r="J1311" s="74"/>
      <c r="K1311" s="32">
        <f>SUMIFS(BudgetSeasonality[365 Seasonality],BudgetSeasonality[MonthAdjustment],DaybyDay[[#This Row],[Date]])*SUMIFS(Budgets[Service-Budget],Budgets[BudgetMonth],DaybyDay[[#This Row],[RowMonth]],Budgets[BudgetYear],DaybyDay[[#This Row],[RowYear]])</f>
        <v>4130.6305580252383</v>
      </c>
      <c r="L1311" s="75"/>
      <c r="M1311" s="32">
        <f>INDEX(BudgetSeasonality[365 Seasonality],MATCH(DaybyDay[[#This Row],[Date]],BudgetSeasonality[MonthAdjustment],0))*SUMIFS(Budgets[Retail-Budget],Budgets[BudgetMonth],DaybyDay[[#This Row],[RowMonth]],Budgets[BudgetYear],DaybyDay[[#This Row],[RowYear]])</f>
        <v>1030.2919275929003</v>
      </c>
      <c r="N1311" s="75"/>
      <c r="O1311" s="33">
        <f>SUMIFS(DaybyDay[Service-Budgets],DaybyDay[Date],"&gt;="&amp;$C$5,DaybyDay[RowYear],"&gt;="&amp;$C$4,DaybyDay[Date],"&lt;="&amp;DaybyDay[[#This Row],[Date]])</f>
        <v>1121062.6085375906</v>
      </c>
      <c r="P1311" s="33">
        <f>SUMIFS(DaybyDay[Retail-Budgets],DaybyDay[Date],"&gt;="&amp;$C$5,DaybyDay[RowYear],"&gt;="&amp;$C$4,DaybyDay[Date],"&lt;="&amp;DaybyDay[[#This Row],[Date]])</f>
        <v>281615.7657828001</v>
      </c>
      <c r="Q1311" s="34">
        <f>SUMIFS(DaybyDay[Service-Actuals],DaybyDay[Date],"&gt;="&amp;$C$5,DaybyDay[RowYear],"&gt;="&amp;$C$4,DaybyDay[Date],"&lt;="&amp;DaybyDay[[#This Row],[Date]])</f>
        <v>385554.23</v>
      </c>
      <c r="R1311" s="34">
        <f>SUMIFS(DaybyDay[Retail-Actuals],DaybyDay[Date],"&gt;="&amp;$C$5,DaybyDay[RowYear],"&gt;="&amp;$C$4,DaybyDay[Date],"&lt;="&amp;DaybyDay[[#This Row],[Date]])</f>
        <v>88360.030000000028</v>
      </c>
      <c r="S1311" s="35">
        <f>SUMIFS(DaybyDay[Service-LY],DaybyDay[Date],"&gt;="&amp;$C$5,DaybyDay[RowYear],"&gt;="&amp;$C$4,DaybyDay[Date],"&lt;="&amp;DaybyDay[[#This Row],[Date]])</f>
        <v>1022805.4199999993</v>
      </c>
      <c r="T1311" s="35">
        <f>SUMIFS(DaybyDay[Retail-LY],DaybyDay[Date],"&gt;="&amp;$C$5,DaybyDay[RowYear],"&gt;="&amp;$C$4,DaybyDay[Date],"&lt;="&amp;DaybyDay[[#This Row],[Date]])</f>
        <v>246552.40999999997</v>
      </c>
      <c r="U1311" s="32">
        <f>DaybyDay[[#This Row],[Serv-Bud-RU]]+DaybyDay[[#This Row],[Ret-Bud-RU]]</f>
        <v>1402678.3743203906</v>
      </c>
      <c r="V1311" s="32">
        <f>DaybyDay[[#This Row],[Serv-Act-RU]]+DaybyDay[[#This Row],[Ret-Act-RU]]</f>
        <v>473914.26</v>
      </c>
      <c r="W1311" s="36" t="str">
        <f>IF(DaybyDay[[#This Row],[_Space]],IFERROR(
((DaybyDay[[#This Row],[Actual-Rollup]]-DaybyDay[[#This Row],[Budget-Rollup]])/DaybyDay[[#This Row],[Budget-Rollup]]),0),"")</f>
        <v/>
      </c>
      <c r="X1311" t="b">
        <f>NOT(AND(ISBLANK(DaybyDay[[#This Row],[Appts]]),ISBLANK(DaybyDay[[#This Row],[Service-Actuals]]),ISBLANK(DaybyDay[[#This Row],[Retail-Actuals]])))</f>
        <v>0</v>
      </c>
      <c r="Y1311" s="36" t="str">
        <f>IF(DaybyDay[[#This Row],[_Space]],IFERROR(
((DaybyDay[[#This Row],[Actual-Rollup]]-DaybyDay[[#This Row],[LY-Rollup]])/DaybyDay[[#This Row],[LY-Rollup]]),0),"")</f>
        <v/>
      </c>
      <c r="Z1311"/>
      <c r="AA1311" s="37" t="str">
        <f>IF(DaybyDay[[#This Row],[_Space]],DaybyDay[[#This Row],[Ret-Act-RU]]/DaybyDay[[#This Row],[Serv-Act-RU]],"")</f>
        <v/>
      </c>
      <c r="AB1311" s="50" t="str">
        <f>IF(DaybyDay[[#This Row],[_Space]],DaybyDay[[#This Row],[RETPEN-Act]]/DaybyDay[[#This Row],[RETPEN-Bud]],"")</f>
        <v/>
      </c>
      <c r="AC1311" s="37" t="str">
        <f>IF(DaybyDay[[#This Row],[_Space]],DaybyDay[[#This Row],[Ret-Bud-RU]]/DaybyDay[[#This Row],[Serv-Bud-RU]],"")</f>
        <v/>
      </c>
      <c r="AD1311" s="37" t="str">
        <f>IF(DaybyDay[[#This Row],[_Space]],DaybyDay[[#This Row],[Ret-LY-RU]]/DaybyDay[[#This Row],[Serv-LY-RU]],"")</f>
        <v/>
      </c>
      <c r="AE1311" s="30">
        <f>WEEKDAY(DaybyDay[[#This Row],[LY-Date]])</f>
        <v>3</v>
      </c>
      <c r="AF1311" s="38">
        <f>$E$2+_xlfn.DAYS(DaybyDay[[#This Row],[Date]],minDate)</f>
        <v>43676</v>
      </c>
      <c r="AG1311" s="39" cm="1">
        <f t="array" ref="AG1311">IFERROR(INDEX(DaybyDay[],DaybyDay[[#This Row],[FORM_MATCH_HELPER]],8),"")</f>
        <v>15</v>
      </c>
      <c r="AH1311" s="39" cm="1">
        <f t="array" ref="AH1311">IFERROR(INDEX(DaybyDay[],DaybyDay[[#This Row],[FORM_MATCH_HELPER]],10),"")</f>
        <v>3152</v>
      </c>
      <c r="AI1311" s="39" cm="1">
        <f t="array" ref="AI1311">IFERROR(INDEX(DaybyDay[],DaybyDay[[#This Row],[FORM_MATCH_HELPER]],12),"")</f>
        <v>595.6</v>
      </c>
      <c r="AJ1311" s="32">
        <f>IFERROR(DaybyDay[[#This Row],[Serv-LY-RU]]+DaybyDay[[#This Row],[Ret-LY-RU]],"")</f>
        <v>1269357.8299999994</v>
      </c>
      <c r="AK13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1262163.0489687063</v>
      </c>
      <c r="AL1311" s="77"/>
      <c r="AM1311" s="40" t="str">
        <f>IF(DaybyDay[[#This Row],[Admin Hours]]&gt;0,DaybyDay[[#This Row],[Admin Hours]]*$AM$2+$AM$3,"")</f>
        <v/>
      </c>
      <c r="AN1311" s="40">
        <f>SUMIFS(DaybyDay[Est-Admin-Payroll],DaybyDay[Date],"&gt;="&amp;$C$5,DaybyDay[RowYear],"&gt;="&amp;$C$4,DaybyDay[Date],"&lt;="&amp;DaybyDay[[#This Row],[Date]])</f>
        <v>13941.779999999997</v>
      </c>
      <c r="AO1311" s="41" t="str">
        <f>IF(AND(DaybyDay[[#This Row],[_Space]],ISNUMBER(DaybyDay[[#This Row],[Admin Hours]])),DaybyDay[[#This Row],[Est-Admin-Payroll]]/(DaybyDay[[#This Row],[Service-Actuals]]+DaybyDay[[#This Row],[Retail-Actuals]]),"")</f>
        <v/>
      </c>
      <c r="AP1311" s="41">
        <f>DaybyDay[[#This Row],[Estimated-Payroll-Rollup]]/DaybyDay[[#This Row],[Simple-Forecast]]</f>
        <v>1.1045942131954827E-2</v>
      </c>
      <c r="AQ13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245926.45047206915</v>
      </c>
      <c r="AR1311" s="77"/>
      <c r="AS1311" s="40" t="str">
        <f>IF(DaybyDay[[#This Row],[Retail Hours]]&gt;0,DaybyDay[[#This Row],[Retail Hours]]*$AS$2,"")</f>
        <v/>
      </c>
      <c r="AT1311" s="40">
        <f>SUMIFS(DaybyDay[Est-Retail-Payroll],DaybyDay[Date],"&gt;="&amp;$C$5,DaybyDay[RowYear],"&gt;="&amp;$C$4,DaybyDay[Date],"&lt;="&amp;DaybyDay[[#This Row],[Date]])</f>
        <v>2627.1</v>
      </c>
      <c r="AU1311" s="82" t="str">
        <f>IF(AND(DaybyDay[[#This Row],[_Space]],ISNUMBER(DaybyDay[[#This Row],[Retail Hours]])),DaybyDay[[#This Row],[Est-Retail-Payroll]]/(DaybyDay[[#This Row],[Retail-Actuals]]),"")</f>
        <v/>
      </c>
      <c r="AV1311" s="82">
        <f>DaybyDay[[#This Row],[Est-Retail-PayrollRU]]/DaybyDay[[#This Row],[Simple-Forecast-Retail]]</f>
        <v>1.0682462154669167E-2</v>
      </c>
      <c r="AW1311" s="8"/>
      <c r="AX1311" s="15"/>
      <c r="AY1311" s="8"/>
    </row>
    <row r="1312" spans="3:51" hidden="1" x14ac:dyDescent="0.25">
      <c r="C1312" s="26" t="str">
        <f>Tools!$C$1</f>
        <v>Example</v>
      </c>
      <c r="D1312" s="27" t="s">
        <v>74</v>
      </c>
      <c r="E1312" s="28">
        <v>2020</v>
      </c>
      <c r="F1312" s="28">
        <f>MATCH(DaybyDay[[#This Row],[RowMonth]],Table3[SummaryMonth],0)</f>
        <v>7</v>
      </c>
      <c r="G1312" s="29">
        <f>MATCH(DaybyDay[[#This Row],[LY-Date]],DaybyDay[Date],0)</f>
        <v>942</v>
      </c>
      <c r="H1312" s="30">
        <f>WEEKDAY(DaybyDay[[#This Row],[Date]])</f>
        <v>4</v>
      </c>
      <c r="I1312" s="31">
        <v>44041</v>
      </c>
      <c r="J1312" s="74"/>
      <c r="K1312" s="32">
        <f>SUMIFS(BudgetSeasonality[365 Seasonality],BudgetSeasonality[MonthAdjustment],DaybyDay[[#This Row],[Date]])*SUMIFS(Budgets[Service-Budget],Budgets[BudgetMonth],DaybyDay[[#This Row],[RowMonth]],Budgets[BudgetYear],DaybyDay[[#This Row],[RowYear]])</f>
        <v>4774.5598807999258</v>
      </c>
      <c r="L1312" s="75"/>
      <c r="M1312" s="32">
        <f>INDEX(BudgetSeasonality[365 Seasonality],MATCH(DaybyDay[[#This Row],[Date]],BudgetSeasonality[MonthAdjustment],0))*SUMIFS(Budgets[Retail-Budget],Budgets[BudgetMonth],DaybyDay[[#This Row],[RowMonth]],Budgets[BudgetYear],DaybyDay[[#This Row],[RowYear]])</f>
        <v>1190.9054644065864</v>
      </c>
      <c r="N1312" s="75"/>
      <c r="O1312" s="33">
        <f>SUMIFS(DaybyDay[Service-Budgets],DaybyDay[Date],"&gt;="&amp;$C$5,DaybyDay[RowYear],"&gt;="&amp;$C$4,DaybyDay[Date],"&lt;="&amp;DaybyDay[[#This Row],[Date]])</f>
        <v>1125837.1684183904</v>
      </c>
      <c r="P1312" s="33">
        <f>SUMIFS(DaybyDay[Retail-Budgets],DaybyDay[Date],"&gt;="&amp;$C$5,DaybyDay[RowYear],"&gt;="&amp;$C$4,DaybyDay[Date],"&lt;="&amp;DaybyDay[[#This Row],[Date]])</f>
        <v>282806.67124720669</v>
      </c>
      <c r="Q1312" s="34">
        <f>SUMIFS(DaybyDay[Service-Actuals],DaybyDay[Date],"&gt;="&amp;$C$5,DaybyDay[RowYear],"&gt;="&amp;$C$4,DaybyDay[Date],"&lt;="&amp;DaybyDay[[#This Row],[Date]])</f>
        <v>385554.23</v>
      </c>
      <c r="R1312" s="34">
        <f>SUMIFS(DaybyDay[Retail-Actuals],DaybyDay[Date],"&gt;="&amp;$C$5,DaybyDay[RowYear],"&gt;="&amp;$C$4,DaybyDay[Date],"&lt;="&amp;DaybyDay[[#This Row],[Date]])</f>
        <v>88360.030000000028</v>
      </c>
      <c r="S1312" s="35">
        <f>SUMIFS(DaybyDay[Service-LY],DaybyDay[Date],"&gt;="&amp;$C$5,DaybyDay[RowYear],"&gt;="&amp;$C$4,DaybyDay[Date],"&lt;="&amp;DaybyDay[[#This Row],[Date]])</f>
        <v>1027056.1899999994</v>
      </c>
      <c r="T1312" s="35">
        <f>SUMIFS(DaybyDay[Retail-LY],DaybyDay[Date],"&gt;="&amp;$C$5,DaybyDay[RowYear],"&gt;="&amp;$C$4,DaybyDay[Date],"&lt;="&amp;DaybyDay[[#This Row],[Date]])</f>
        <v>246758.66999999998</v>
      </c>
      <c r="U1312" s="32">
        <f>DaybyDay[[#This Row],[Serv-Bud-RU]]+DaybyDay[[#This Row],[Ret-Bud-RU]]</f>
        <v>1408643.8396655971</v>
      </c>
      <c r="V1312" s="32">
        <f>DaybyDay[[#This Row],[Serv-Act-RU]]+DaybyDay[[#This Row],[Ret-Act-RU]]</f>
        <v>473914.26</v>
      </c>
      <c r="W1312" s="36" t="str">
        <f>IF(DaybyDay[[#This Row],[_Space]],IFERROR(
((DaybyDay[[#This Row],[Actual-Rollup]]-DaybyDay[[#This Row],[Budget-Rollup]])/DaybyDay[[#This Row],[Budget-Rollup]]),0),"")</f>
        <v/>
      </c>
      <c r="X1312" t="b">
        <f>NOT(AND(ISBLANK(DaybyDay[[#This Row],[Appts]]),ISBLANK(DaybyDay[[#This Row],[Service-Actuals]]),ISBLANK(DaybyDay[[#This Row],[Retail-Actuals]])))</f>
        <v>0</v>
      </c>
      <c r="Y1312" s="36" t="str">
        <f>IF(DaybyDay[[#This Row],[_Space]],IFERROR(
((DaybyDay[[#This Row],[Actual-Rollup]]-DaybyDay[[#This Row],[LY-Rollup]])/DaybyDay[[#This Row],[LY-Rollup]]),0),"")</f>
        <v/>
      </c>
      <c r="Z1312"/>
      <c r="AA1312" s="37" t="str">
        <f>IF(DaybyDay[[#This Row],[_Space]],DaybyDay[[#This Row],[Ret-Act-RU]]/DaybyDay[[#This Row],[Serv-Act-RU]],"")</f>
        <v/>
      </c>
      <c r="AB1312" s="50" t="str">
        <f>IF(DaybyDay[[#This Row],[_Space]],DaybyDay[[#This Row],[RETPEN-Act]]/DaybyDay[[#This Row],[RETPEN-Bud]],"")</f>
        <v/>
      </c>
      <c r="AC1312" s="37" t="str">
        <f>IF(DaybyDay[[#This Row],[_Space]],DaybyDay[[#This Row],[Ret-Bud-RU]]/DaybyDay[[#This Row],[Serv-Bud-RU]],"")</f>
        <v/>
      </c>
      <c r="AD1312" s="37" t="str">
        <f>IF(DaybyDay[[#This Row],[_Space]],DaybyDay[[#This Row],[Ret-LY-RU]]/DaybyDay[[#This Row],[Serv-LY-RU]],"")</f>
        <v/>
      </c>
      <c r="AE1312" s="30">
        <f>WEEKDAY(DaybyDay[[#This Row],[LY-Date]])</f>
        <v>4</v>
      </c>
      <c r="AF1312" s="38">
        <f>$E$2+_xlfn.DAYS(DaybyDay[[#This Row],[Date]],minDate)</f>
        <v>43677</v>
      </c>
      <c r="AG1312" s="39" cm="1">
        <f t="array" ref="AG1312">IFERROR(INDEX(DaybyDay[],DaybyDay[[#This Row],[FORM_MATCH_HELPER]],8),"")</f>
        <v>21</v>
      </c>
      <c r="AH1312" s="39" cm="1">
        <f t="array" ref="AH1312">IFERROR(INDEX(DaybyDay[],DaybyDay[[#This Row],[FORM_MATCH_HELPER]],10),"")</f>
        <v>4250.7699999999995</v>
      </c>
      <c r="AI1312" s="39" cm="1">
        <f t="array" ref="AI1312">IFERROR(INDEX(DaybyDay[],DaybyDay[[#This Row],[FORM_MATCH_HELPER]],12),"")</f>
        <v>206.26</v>
      </c>
      <c r="AJ1312" s="32">
        <f>IFERROR(DaybyDay[[#This Row],[Serv-LY-RU]]+DaybyDay[[#This Row],[Ret-LY-RU]],"")</f>
        <v>1273814.8599999994</v>
      </c>
      <c r="AK13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1266897.9968025987</v>
      </c>
      <c r="AL1312" s="77"/>
      <c r="AM1312" s="40" t="str">
        <f>IF(DaybyDay[[#This Row],[Admin Hours]]&gt;0,DaybyDay[[#This Row],[Admin Hours]]*$AM$2+$AM$3,"")</f>
        <v/>
      </c>
      <c r="AN1312" s="40">
        <f>SUMIFS(DaybyDay[Est-Admin-Payroll],DaybyDay[Date],"&gt;="&amp;$C$5,DaybyDay[RowYear],"&gt;="&amp;$C$4,DaybyDay[Date],"&lt;="&amp;DaybyDay[[#This Row],[Date]])</f>
        <v>13941.779999999997</v>
      </c>
      <c r="AO1312" s="41" t="str">
        <f>IF(AND(DaybyDay[[#This Row],[_Space]],ISNUMBER(DaybyDay[[#This Row],[Admin Hours]])),DaybyDay[[#This Row],[Est-Admin-Payroll]]/(DaybyDay[[#This Row],[Service-Actuals]]+DaybyDay[[#This Row],[Retail-Actuals]]),"")</f>
        <v/>
      </c>
      <c r="AP1312" s="41">
        <f>DaybyDay[[#This Row],[Estimated-Payroll-Rollup]]/DaybyDay[[#This Row],[Simple-Forecast]]</f>
        <v>1.100465865064615E-2</v>
      </c>
      <c r="AQ13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246534.70294081018</v>
      </c>
      <c r="AR1312" s="77"/>
      <c r="AS1312" s="40" t="str">
        <f>IF(DaybyDay[[#This Row],[Retail Hours]]&gt;0,DaybyDay[[#This Row],[Retail Hours]]*$AS$2,"")</f>
        <v/>
      </c>
      <c r="AT1312" s="40">
        <f>SUMIFS(DaybyDay[Est-Retail-Payroll],DaybyDay[Date],"&gt;="&amp;$C$5,DaybyDay[RowYear],"&gt;="&amp;$C$4,DaybyDay[Date],"&lt;="&amp;DaybyDay[[#This Row],[Date]])</f>
        <v>2627.1</v>
      </c>
      <c r="AU1312" s="82" t="str">
        <f>IF(AND(DaybyDay[[#This Row],[_Space]],ISNUMBER(DaybyDay[[#This Row],[Retail Hours]])),DaybyDay[[#This Row],[Est-Retail-Payroll]]/(DaybyDay[[#This Row],[Retail-Actuals]]),"")</f>
        <v/>
      </c>
      <c r="AV1312" s="82">
        <f>DaybyDay[[#This Row],[Est-Retail-PayrollRU]]/DaybyDay[[#This Row],[Simple-Forecast-Retail]]</f>
        <v>1.0656106295229086E-2</v>
      </c>
      <c r="AW1312" s="8"/>
      <c r="AX1312" s="15"/>
      <c r="AY1312" s="8"/>
    </row>
    <row r="1313" spans="3:51" hidden="1" x14ac:dyDescent="0.25">
      <c r="C1313" s="26" t="str">
        <f>Tools!$C$1</f>
        <v>Example</v>
      </c>
      <c r="D1313" s="27" t="s">
        <v>74</v>
      </c>
      <c r="E1313" s="28">
        <v>2020</v>
      </c>
      <c r="F1313" s="28">
        <f>MATCH(DaybyDay[[#This Row],[RowMonth]],Table3[SummaryMonth],0)</f>
        <v>7</v>
      </c>
      <c r="G1313" s="29">
        <f>MATCH(DaybyDay[[#This Row],[LY-Date]],DaybyDay[Date],0)</f>
        <v>943</v>
      </c>
      <c r="H1313" s="30">
        <f>WEEKDAY(DaybyDay[[#This Row],[Date]])</f>
        <v>5</v>
      </c>
      <c r="I1313" s="31">
        <v>44042</v>
      </c>
      <c r="J1313" s="74"/>
      <c r="K1313" s="32">
        <f>SUMIFS(BudgetSeasonality[365 Seasonality],BudgetSeasonality[MonthAdjustment],DaybyDay[[#This Row],[Date]])*SUMIFS(Budgets[Service-Budget],Budgets[BudgetMonth],DaybyDay[[#This Row],[RowMonth]],Budgets[BudgetYear],DaybyDay[[#This Row],[RowYear]])</f>
        <v>4892.5765346891476</v>
      </c>
      <c r="L1313" s="75"/>
      <c r="M1313" s="32">
        <f>INDEX(BudgetSeasonality[365 Seasonality],MATCH(DaybyDay[[#This Row],[Date]],BudgetSeasonality[MonthAdjustment],0))*SUMIFS(Budgets[Retail-Budget],Budgets[BudgetMonth],DaybyDay[[#This Row],[RowMonth]],Budgets[BudgetYear],DaybyDay[[#This Row],[RowYear]])</f>
        <v>1220.3420368900188</v>
      </c>
      <c r="N1313" s="75"/>
      <c r="O1313" s="33">
        <f>SUMIFS(DaybyDay[Service-Budgets],DaybyDay[Date],"&gt;="&amp;$C$5,DaybyDay[RowYear],"&gt;="&amp;$C$4,DaybyDay[Date],"&lt;="&amp;DaybyDay[[#This Row],[Date]])</f>
        <v>1130729.7449530796</v>
      </c>
      <c r="P1313" s="33">
        <f>SUMIFS(DaybyDay[Retail-Budgets],DaybyDay[Date],"&gt;="&amp;$C$5,DaybyDay[RowYear],"&gt;="&amp;$C$4,DaybyDay[Date],"&lt;="&amp;DaybyDay[[#This Row],[Date]])</f>
        <v>284027.01328409673</v>
      </c>
      <c r="Q1313" s="34">
        <f>SUMIFS(DaybyDay[Service-Actuals],DaybyDay[Date],"&gt;="&amp;$C$5,DaybyDay[RowYear],"&gt;="&amp;$C$4,DaybyDay[Date],"&lt;="&amp;DaybyDay[[#This Row],[Date]])</f>
        <v>385554.23</v>
      </c>
      <c r="R1313" s="34">
        <f>SUMIFS(DaybyDay[Retail-Actuals],DaybyDay[Date],"&gt;="&amp;$C$5,DaybyDay[RowYear],"&gt;="&amp;$C$4,DaybyDay[Date],"&lt;="&amp;DaybyDay[[#This Row],[Date]])</f>
        <v>88360.030000000028</v>
      </c>
      <c r="S1313" s="35">
        <f>SUMIFS(DaybyDay[Service-LY],DaybyDay[Date],"&gt;="&amp;$C$5,DaybyDay[RowYear],"&gt;="&amp;$C$4,DaybyDay[Date],"&lt;="&amp;DaybyDay[[#This Row],[Date]])</f>
        <v>1031735.3899999993</v>
      </c>
      <c r="T1313" s="35">
        <f>SUMIFS(DaybyDay[Retail-LY],DaybyDay[Date],"&gt;="&amp;$C$5,DaybyDay[RowYear],"&gt;="&amp;$C$4,DaybyDay[Date],"&lt;="&amp;DaybyDay[[#This Row],[Date]])</f>
        <v>247620.46999999997</v>
      </c>
      <c r="U1313" s="32">
        <f>DaybyDay[[#This Row],[Serv-Bud-RU]]+DaybyDay[[#This Row],[Ret-Bud-RU]]</f>
        <v>1414756.7582371763</v>
      </c>
      <c r="V1313" s="32">
        <f>DaybyDay[[#This Row],[Serv-Act-RU]]+DaybyDay[[#This Row],[Ret-Act-RU]]</f>
        <v>473914.26</v>
      </c>
      <c r="W1313" s="36" t="str">
        <f>IF(DaybyDay[[#This Row],[_Space]],IFERROR(
((DaybyDay[[#This Row],[Actual-Rollup]]-DaybyDay[[#This Row],[Budget-Rollup]])/DaybyDay[[#This Row],[Budget-Rollup]]),0),"")</f>
        <v/>
      </c>
      <c r="X1313" t="b">
        <f>NOT(AND(ISBLANK(DaybyDay[[#This Row],[Appts]]),ISBLANK(DaybyDay[[#This Row],[Service-Actuals]]),ISBLANK(DaybyDay[[#This Row],[Retail-Actuals]])))</f>
        <v>0</v>
      </c>
      <c r="Y1313" s="36" t="str">
        <f>IF(DaybyDay[[#This Row],[_Space]],IFERROR(
((DaybyDay[[#This Row],[Actual-Rollup]]-DaybyDay[[#This Row],[LY-Rollup]])/DaybyDay[[#This Row],[LY-Rollup]]),0),"")</f>
        <v/>
      </c>
      <c r="Z1313"/>
      <c r="AA1313" s="37" t="str">
        <f>IF(DaybyDay[[#This Row],[_Space]],DaybyDay[[#This Row],[Ret-Act-RU]]/DaybyDay[[#This Row],[Serv-Act-RU]],"")</f>
        <v/>
      </c>
      <c r="AB1313" s="50" t="str">
        <f>IF(DaybyDay[[#This Row],[_Space]],DaybyDay[[#This Row],[RETPEN-Act]]/DaybyDay[[#This Row],[RETPEN-Bud]],"")</f>
        <v/>
      </c>
      <c r="AC1313" s="37" t="str">
        <f>IF(DaybyDay[[#This Row],[_Space]],DaybyDay[[#This Row],[Ret-Bud-RU]]/DaybyDay[[#This Row],[Serv-Bud-RU]],"")</f>
        <v/>
      </c>
      <c r="AD1313" s="37" t="str">
        <f>IF(DaybyDay[[#This Row],[_Space]],DaybyDay[[#This Row],[Ret-LY-RU]]/DaybyDay[[#This Row],[Serv-LY-RU]],"")</f>
        <v/>
      </c>
      <c r="AE1313" s="30">
        <f>WEEKDAY(DaybyDay[[#This Row],[LY-Date]])</f>
        <v>5</v>
      </c>
      <c r="AF1313" s="38">
        <f>$E$2+_xlfn.DAYS(DaybyDay[[#This Row],[Date]],minDate)</f>
        <v>43678</v>
      </c>
      <c r="AG1313" s="39" cm="1">
        <f t="array" ref="AG1313">IFERROR(INDEX(DaybyDay[],DaybyDay[[#This Row],[FORM_MATCH_HELPER]],8),"")</f>
        <v>23</v>
      </c>
      <c r="AH1313" s="39" cm="1">
        <f t="array" ref="AH1313">IFERROR(INDEX(DaybyDay[],DaybyDay[[#This Row],[FORM_MATCH_HELPER]],10),"")</f>
        <v>4679.2</v>
      </c>
      <c r="AI1313" s="39" cm="1">
        <f t="array" ref="AI1313">IFERROR(INDEX(DaybyDay[],DaybyDay[[#This Row],[FORM_MATCH_HELPER]],12),"")</f>
        <v>861.8</v>
      </c>
      <c r="AJ1313" s="32">
        <f>IFERROR(DaybyDay[[#This Row],[Serv-LY-RU]]+DaybyDay[[#This Row],[Ret-LY-RU]],"")</f>
        <v>1279355.8599999994</v>
      </c>
      <c r="AK13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1272230.1086353706</v>
      </c>
      <c r="AL1313" s="77"/>
      <c r="AM1313" s="40" t="str">
        <f>IF(DaybyDay[[#This Row],[Admin Hours]]&gt;0,DaybyDay[[#This Row],[Admin Hours]]*$AM$2+$AM$3,"")</f>
        <v/>
      </c>
      <c r="AN1313" s="40">
        <f>SUMIFS(DaybyDay[Est-Admin-Payroll],DaybyDay[Date],"&gt;="&amp;$C$5,DaybyDay[RowYear],"&gt;="&amp;$C$4,DaybyDay[Date],"&lt;="&amp;DaybyDay[[#This Row],[Date]])</f>
        <v>13941.779999999997</v>
      </c>
      <c r="AO1313" s="41" t="str">
        <f>IF(AND(DaybyDay[[#This Row],[_Space]],ISNUMBER(DaybyDay[[#This Row],[Admin Hours]])),DaybyDay[[#This Row],[Est-Admin-Payroll]]/(DaybyDay[[#This Row],[Service-Actuals]]+DaybyDay[[#This Row],[Retail-Actuals]]),"")</f>
        <v/>
      </c>
      <c r="AP1313" s="41">
        <f>DaybyDay[[#This Row],[Estimated-Payroll-Rollup]]/DaybyDay[[#This Row],[Simple-Forecast]]</f>
        <v>1.0958536435640827E-2</v>
      </c>
      <c r="AQ13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247478.68594971832</v>
      </c>
      <c r="AR1313" s="77"/>
      <c r="AS1313" s="40" t="str">
        <f>IF(DaybyDay[[#This Row],[Retail Hours]]&gt;0,DaybyDay[[#This Row],[Retail Hours]]*$AS$2,"")</f>
        <v/>
      </c>
      <c r="AT1313" s="40">
        <f>SUMIFS(DaybyDay[Est-Retail-Payroll],DaybyDay[Date],"&gt;="&amp;$C$5,DaybyDay[RowYear],"&gt;="&amp;$C$4,DaybyDay[Date],"&lt;="&amp;DaybyDay[[#This Row],[Date]])</f>
        <v>2627.1</v>
      </c>
      <c r="AU1313" s="82" t="str">
        <f>IF(AND(DaybyDay[[#This Row],[_Space]],ISNUMBER(DaybyDay[[#This Row],[Retail Hours]])),DaybyDay[[#This Row],[Est-Retail-Payroll]]/(DaybyDay[[#This Row],[Retail-Actuals]]),"")</f>
        <v/>
      </c>
      <c r="AV1313" s="82">
        <f>DaybyDay[[#This Row],[Est-Retail-PayrollRU]]/DaybyDay[[#This Row],[Simple-Forecast-Retail]]</f>
        <v>1.0615459630061892E-2</v>
      </c>
      <c r="AW1313" s="8"/>
      <c r="AX1313" s="15"/>
      <c r="AY1313" s="8"/>
    </row>
    <row r="1314" spans="3:51" hidden="1" x14ac:dyDescent="0.25">
      <c r="C1314" s="26" t="str">
        <f>Tools!$C$1</f>
        <v>Example</v>
      </c>
      <c r="D1314" s="27" t="s">
        <v>74</v>
      </c>
      <c r="E1314" s="28">
        <v>2020</v>
      </c>
      <c r="F1314" s="28">
        <f>MATCH(DaybyDay[[#This Row],[RowMonth]],Table3[SummaryMonth],0)</f>
        <v>7</v>
      </c>
      <c r="G1314" s="29">
        <f>MATCH(DaybyDay[[#This Row],[LY-Date]],DaybyDay[Date],0)</f>
        <v>944</v>
      </c>
      <c r="H1314" s="30">
        <f>WEEKDAY(DaybyDay[[#This Row],[Date]])</f>
        <v>6</v>
      </c>
      <c r="I1314" s="31">
        <v>44043</v>
      </c>
      <c r="J1314" s="74"/>
      <c r="K1314" s="32">
        <f>SUMIFS(BudgetSeasonality[365 Seasonality],BudgetSeasonality[MonthAdjustment],DaybyDay[[#This Row],[Date]])*SUMIFS(Budgets[Service-Budget],Budgets[BudgetMonth],DaybyDay[[#This Row],[RowMonth]],Budgets[BudgetYear],DaybyDay[[#This Row],[RowYear]])</f>
        <v>6073.3905677144867</v>
      </c>
      <c r="L1314" s="75"/>
      <c r="M1314" s="32">
        <f>INDEX(BudgetSeasonality[365 Seasonality],MATCH(DaybyDay[[#This Row],[Date]],BudgetSeasonality[MonthAdjustment],0))*SUMIFS(Budgets[Retail-Budget],Budgets[BudgetMonth],DaybyDay[[#This Row],[RowMonth]],Budgets[BudgetYear],DaybyDay[[#This Row],[RowYear]])</f>
        <v>1514.8692644220896</v>
      </c>
      <c r="N1314" s="75"/>
      <c r="O1314" s="33">
        <f>SUMIFS(DaybyDay[Service-Budgets],DaybyDay[Date],"&gt;="&amp;$C$5,DaybyDay[RowYear],"&gt;="&amp;$C$4,DaybyDay[Date],"&lt;="&amp;DaybyDay[[#This Row],[Date]])</f>
        <v>1136803.1355207942</v>
      </c>
      <c r="P1314" s="33">
        <f>SUMIFS(DaybyDay[Retail-Budgets],DaybyDay[Date],"&gt;="&amp;$C$5,DaybyDay[RowYear],"&gt;="&amp;$C$4,DaybyDay[Date],"&lt;="&amp;DaybyDay[[#This Row],[Date]])</f>
        <v>285541.88254851883</v>
      </c>
      <c r="Q1314" s="34">
        <f>SUMIFS(DaybyDay[Service-Actuals],DaybyDay[Date],"&gt;="&amp;$C$5,DaybyDay[RowYear],"&gt;="&amp;$C$4,DaybyDay[Date],"&lt;="&amp;DaybyDay[[#This Row],[Date]])</f>
        <v>385554.23</v>
      </c>
      <c r="R1314" s="34">
        <f>SUMIFS(DaybyDay[Retail-Actuals],DaybyDay[Date],"&gt;="&amp;$C$5,DaybyDay[RowYear],"&gt;="&amp;$C$4,DaybyDay[Date],"&lt;="&amp;DaybyDay[[#This Row],[Date]])</f>
        <v>88360.030000000028</v>
      </c>
      <c r="S1314" s="35">
        <f>SUMIFS(DaybyDay[Service-LY],DaybyDay[Date],"&gt;="&amp;$C$5,DaybyDay[RowYear],"&gt;="&amp;$C$4,DaybyDay[Date],"&lt;="&amp;DaybyDay[[#This Row],[Date]])</f>
        <v>1037518.2909999993</v>
      </c>
      <c r="T1314" s="35">
        <f>SUMIFS(DaybyDay[Retail-LY],DaybyDay[Date],"&gt;="&amp;$C$5,DaybyDay[RowYear],"&gt;="&amp;$C$4,DaybyDay[Date],"&lt;="&amp;DaybyDay[[#This Row],[Date]])</f>
        <v>250152.36</v>
      </c>
      <c r="U1314" s="32">
        <f>DaybyDay[[#This Row],[Serv-Bud-RU]]+DaybyDay[[#This Row],[Ret-Bud-RU]]</f>
        <v>1422345.0180693129</v>
      </c>
      <c r="V1314" s="32">
        <f>DaybyDay[[#This Row],[Serv-Act-RU]]+DaybyDay[[#This Row],[Ret-Act-RU]]</f>
        <v>473914.26</v>
      </c>
      <c r="W1314" s="36" t="str">
        <f>IF(DaybyDay[[#This Row],[_Space]],IFERROR(
((DaybyDay[[#This Row],[Actual-Rollup]]-DaybyDay[[#This Row],[Budget-Rollup]])/DaybyDay[[#This Row],[Budget-Rollup]]),0),"")</f>
        <v/>
      </c>
      <c r="X1314" t="b">
        <f>NOT(AND(ISBLANK(DaybyDay[[#This Row],[Appts]]),ISBLANK(DaybyDay[[#This Row],[Service-Actuals]]),ISBLANK(DaybyDay[[#This Row],[Retail-Actuals]])))</f>
        <v>0</v>
      </c>
      <c r="Y1314" s="36" t="str">
        <f>IF(DaybyDay[[#This Row],[_Space]],IFERROR(
((DaybyDay[[#This Row],[Actual-Rollup]]-DaybyDay[[#This Row],[LY-Rollup]])/DaybyDay[[#This Row],[LY-Rollup]]),0),"")</f>
        <v/>
      </c>
      <c r="Z1314"/>
      <c r="AA1314" s="37" t="str">
        <f>IF(DaybyDay[[#This Row],[_Space]],DaybyDay[[#This Row],[Ret-Act-RU]]/DaybyDay[[#This Row],[Serv-Act-RU]],"")</f>
        <v/>
      </c>
      <c r="AB1314" s="50" t="str">
        <f>IF(DaybyDay[[#This Row],[_Space]],DaybyDay[[#This Row],[RETPEN-Act]]/DaybyDay[[#This Row],[RETPEN-Bud]],"")</f>
        <v/>
      </c>
      <c r="AC1314" s="37" t="str">
        <f>IF(DaybyDay[[#This Row],[_Space]],DaybyDay[[#This Row],[Ret-Bud-RU]]/DaybyDay[[#This Row],[Serv-Bud-RU]],"")</f>
        <v/>
      </c>
      <c r="AD1314" s="37" t="str">
        <f>IF(DaybyDay[[#This Row],[_Space]],DaybyDay[[#This Row],[Ret-LY-RU]]/DaybyDay[[#This Row],[Serv-LY-RU]],"")</f>
        <v/>
      </c>
      <c r="AE1314" s="30">
        <f>WEEKDAY(DaybyDay[[#This Row],[LY-Date]])</f>
        <v>6</v>
      </c>
      <c r="AF1314" s="38">
        <f>$E$2+_xlfn.DAYS(DaybyDay[[#This Row],[Date]],minDate)</f>
        <v>43679</v>
      </c>
      <c r="AG1314" s="39" cm="1">
        <f t="array" ref="AG1314">IFERROR(INDEX(DaybyDay[],DaybyDay[[#This Row],[FORM_MATCH_HELPER]],8),"")</f>
        <v>30</v>
      </c>
      <c r="AH1314" s="39" cm="1">
        <f t="array" ref="AH1314">IFERROR(INDEX(DaybyDay[],DaybyDay[[#This Row],[FORM_MATCH_HELPER]],10),"")</f>
        <v>5782.9009999999998</v>
      </c>
      <c r="AI1314" s="39" cm="1">
        <f t="array" ref="AI1314">IFERROR(INDEX(DaybyDay[],DaybyDay[[#This Row],[FORM_MATCH_HELPER]],12),"")</f>
        <v>2531.89</v>
      </c>
      <c r="AJ1314" s="32">
        <f>IFERROR(DaybyDay[[#This Row],[Serv-LY-RU]]+DaybyDay[[#This Row],[Ret-LY-RU]],"")</f>
        <v>1287670.6509999991</v>
      </c>
      <c r="AK13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1279557.3628236793</v>
      </c>
      <c r="AL1314" s="77"/>
      <c r="AM1314" s="40" t="str">
        <f>IF(DaybyDay[[#This Row],[Admin Hours]]&gt;0,DaybyDay[[#This Row],[Admin Hours]]*$AM$2+$AM$3,"")</f>
        <v/>
      </c>
      <c r="AN1314" s="40">
        <f>SUMIFS(DaybyDay[Est-Admin-Payroll],DaybyDay[Date],"&gt;="&amp;$C$5,DaybyDay[RowYear],"&gt;="&amp;$C$4,DaybyDay[Date],"&lt;="&amp;DaybyDay[[#This Row],[Date]])</f>
        <v>13941.779999999997</v>
      </c>
      <c r="AO1314" s="41" t="str">
        <f>IF(AND(DaybyDay[[#This Row],[_Space]],ISNUMBER(DaybyDay[[#This Row],[Admin Hours]])),DaybyDay[[#This Row],[Est-Admin-Payroll]]/(DaybyDay[[#This Row],[Service-Actuals]]+DaybyDay[[#This Row],[Retail-Actuals]]),"")</f>
        <v/>
      </c>
      <c r="AP1314" s="41">
        <f>DaybyDay[[#This Row],[Estimated-Payroll-Rollup]]/DaybyDay[[#This Row],[Simple-Forecast]]</f>
        <v>1.0895783499095186E-2</v>
      </c>
      <c r="AQ13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249371.37408413825</v>
      </c>
      <c r="AR1314" s="77"/>
      <c r="AS1314" s="40" t="str">
        <f>IF(DaybyDay[[#This Row],[Retail Hours]]&gt;0,DaybyDay[[#This Row],[Retail Hours]]*$AS$2,"")</f>
        <v/>
      </c>
      <c r="AT1314" s="40">
        <f>SUMIFS(DaybyDay[Est-Retail-Payroll],DaybyDay[Date],"&gt;="&amp;$C$5,DaybyDay[RowYear],"&gt;="&amp;$C$4,DaybyDay[Date],"&lt;="&amp;DaybyDay[[#This Row],[Date]])</f>
        <v>2627.1</v>
      </c>
      <c r="AU1314" s="82" t="str">
        <f>IF(AND(DaybyDay[[#This Row],[_Space]],ISNUMBER(DaybyDay[[#This Row],[Retail Hours]])),DaybyDay[[#This Row],[Est-Retail-Payroll]]/(DaybyDay[[#This Row],[Retail-Actuals]]),"")</f>
        <v/>
      </c>
      <c r="AV1314" s="82">
        <f>DaybyDay[[#This Row],[Est-Retail-PayrollRU]]/DaybyDay[[#This Row],[Simple-Forecast-Retail]]</f>
        <v>1.0534890019548165E-2</v>
      </c>
      <c r="AW1314" s="8"/>
      <c r="AX1314" s="15"/>
      <c r="AY1314" s="8"/>
    </row>
    <row r="1315" spans="3:51" hidden="1" x14ac:dyDescent="0.25">
      <c r="C1315" s="26" t="str">
        <f>Tools!$C$1</f>
        <v>Example</v>
      </c>
      <c r="D1315" s="27" t="s">
        <v>74</v>
      </c>
      <c r="E1315" s="28">
        <v>2020</v>
      </c>
      <c r="F1315" s="28">
        <f>MATCH(DaybyDay[[#This Row],[RowMonth]],Table3[SummaryMonth],0)</f>
        <v>7</v>
      </c>
      <c r="G1315" s="29">
        <f>MATCH(DaybyDay[[#This Row],[LY-Date]],DaybyDay[Date],0)</f>
        <v>945</v>
      </c>
      <c r="H1315" s="30">
        <f>WEEKDAY(DaybyDay[[#This Row],[Date]])</f>
        <v>7</v>
      </c>
      <c r="I1315" s="31">
        <v>44044</v>
      </c>
      <c r="J1315" s="74"/>
      <c r="K1315" s="32">
        <f>SUMIFS(BudgetSeasonality[365 Seasonality],BudgetSeasonality[MonthAdjustment],DaybyDay[[#This Row],[Date]])*SUMIFS(Budgets[Service-Budget],Budgets[BudgetMonth],DaybyDay[[#This Row],[RowMonth]],Budgets[BudgetYear],DaybyDay[[#This Row],[RowYear]])</f>
        <v>8593.6947606148169</v>
      </c>
      <c r="L1315" s="75"/>
      <c r="M1315" s="32">
        <f>INDEX(BudgetSeasonality[365 Seasonality],MATCH(DaybyDay[[#This Row],[Date]],BudgetSeasonality[MonthAdjustment],0))*SUMIFS(Budgets[Retail-Budget],Budgets[BudgetMonth],DaybyDay[[#This Row],[RowMonth]],Budgets[BudgetYear],DaybyDay[[#This Row],[RowYear]])</f>
        <v>2143.501873547305</v>
      </c>
      <c r="N1315" s="75"/>
      <c r="O1315" s="33">
        <f>SUMIFS(DaybyDay[Service-Budgets],DaybyDay[Date],"&gt;="&amp;$C$5,DaybyDay[RowYear],"&gt;="&amp;$C$4,DaybyDay[Date],"&lt;="&amp;DaybyDay[[#This Row],[Date]])</f>
        <v>1145396.830281409</v>
      </c>
      <c r="P1315" s="33">
        <f>SUMIFS(DaybyDay[Retail-Budgets],DaybyDay[Date],"&gt;="&amp;$C$5,DaybyDay[RowYear],"&gt;="&amp;$C$4,DaybyDay[Date],"&lt;="&amp;DaybyDay[[#This Row],[Date]])</f>
        <v>287685.38442206616</v>
      </c>
      <c r="Q1315" s="34">
        <f>SUMIFS(DaybyDay[Service-Actuals],DaybyDay[Date],"&gt;="&amp;$C$5,DaybyDay[RowYear],"&gt;="&amp;$C$4,DaybyDay[Date],"&lt;="&amp;DaybyDay[[#This Row],[Date]])</f>
        <v>385554.23</v>
      </c>
      <c r="R1315" s="34">
        <f>SUMIFS(DaybyDay[Retail-Actuals],DaybyDay[Date],"&gt;="&amp;$C$5,DaybyDay[RowYear],"&gt;="&amp;$C$4,DaybyDay[Date],"&lt;="&amp;DaybyDay[[#This Row],[Date]])</f>
        <v>88360.030000000028</v>
      </c>
      <c r="S1315" s="35">
        <f>SUMIFS(DaybyDay[Service-LY],DaybyDay[Date],"&gt;="&amp;$C$5,DaybyDay[RowYear],"&gt;="&amp;$C$4,DaybyDay[Date],"&lt;="&amp;DaybyDay[[#This Row],[Date]])</f>
        <v>1045949.4809999992</v>
      </c>
      <c r="T1315" s="35">
        <f>SUMIFS(DaybyDay[Retail-LY],DaybyDay[Date],"&gt;="&amp;$C$5,DaybyDay[RowYear],"&gt;="&amp;$C$4,DaybyDay[Date],"&lt;="&amp;DaybyDay[[#This Row],[Date]])</f>
        <v>250768.36</v>
      </c>
      <c r="U1315" s="32">
        <f>DaybyDay[[#This Row],[Serv-Bud-RU]]+DaybyDay[[#This Row],[Ret-Bud-RU]]</f>
        <v>1433082.2147034751</v>
      </c>
      <c r="V1315" s="32">
        <f>DaybyDay[[#This Row],[Serv-Act-RU]]+DaybyDay[[#This Row],[Ret-Act-RU]]</f>
        <v>473914.26</v>
      </c>
      <c r="W1315" s="36" t="str">
        <f>IF(DaybyDay[[#This Row],[_Space]],IFERROR(
((DaybyDay[[#This Row],[Actual-Rollup]]-DaybyDay[[#This Row],[Budget-Rollup]])/DaybyDay[[#This Row],[Budget-Rollup]]),0),"")</f>
        <v/>
      </c>
      <c r="X1315" t="b">
        <f>NOT(AND(ISBLANK(DaybyDay[[#This Row],[Appts]]),ISBLANK(DaybyDay[[#This Row],[Service-Actuals]]),ISBLANK(DaybyDay[[#This Row],[Retail-Actuals]])))</f>
        <v>0</v>
      </c>
      <c r="Y1315" s="36" t="str">
        <f>IF(DaybyDay[[#This Row],[_Space]],IFERROR(
((DaybyDay[[#This Row],[Actual-Rollup]]-DaybyDay[[#This Row],[LY-Rollup]])/DaybyDay[[#This Row],[LY-Rollup]]),0),"")</f>
        <v/>
      </c>
      <c r="Z1315"/>
      <c r="AA1315" s="37" t="str">
        <f>IF(DaybyDay[[#This Row],[_Space]],DaybyDay[[#This Row],[Ret-Act-RU]]/DaybyDay[[#This Row],[Serv-Act-RU]],"")</f>
        <v/>
      </c>
      <c r="AB1315" s="50" t="str">
        <f>IF(DaybyDay[[#This Row],[_Space]],DaybyDay[[#This Row],[RETPEN-Act]]/DaybyDay[[#This Row],[RETPEN-Bud]],"")</f>
        <v/>
      </c>
      <c r="AC1315" s="37" t="str">
        <f>IF(DaybyDay[[#This Row],[_Space]],DaybyDay[[#This Row],[Ret-Bud-RU]]/DaybyDay[[#This Row],[Serv-Bud-RU]],"")</f>
        <v/>
      </c>
      <c r="AD1315" s="37" t="str">
        <f>IF(DaybyDay[[#This Row],[_Space]],DaybyDay[[#This Row],[Ret-LY-RU]]/DaybyDay[[#This Row],[Serv-LY-RU]],"")</f>
        <v/>
      </c>
      <c r="AE1315" s="30">
        <f>WEEKDAY(DaybyDay[[#This Row],[LY-Date]])</f>
        <v>7</v>
      </c>
      <c r="AF1315" s="38">
        <f>$E$2+_xlfn.DAYS(DaybyDay[[#This Row],[Date]],minDate)</f>
        <v>43680</v>
      </c>
      <c r="AG1315" s="39" cm="1">
        <f t="array" ref="AG1315">IFERROR(INDEX(DaybyDay[],DaybyDay[[#This Row],[FORM_MATCH_HELPER]],8),"")</f>
        <v>29</v>
      </c>
      <c r="AH1315" s="39" cm="1">
        <f t="array" ref="AH1315">IFERROR(INDEX(DaybyDay[],DaybyDay[[#This Row],[FORM_MATCH_HELPER]],10),"")</f>
        <v>8431.19</v>
      </c>
      <c r="AI1315" s="39" cm="1">
        <f t="array" ref="AI1315">IFERROR(INDEX(DaybyDay[],DaybyDay[[#This Row],[FORM_MATCH_HELPER]],12),"")</f>
        <v>616</v>
      </c>
      <c r="AJ1315" s="32">
        <f>IFERROR(DaybyDay[[#This Row],[Serv-LY-RU]]+DaybyDay[[#This Row],[Ret-LY-RU]],"")</f>
        <v>1296717.8409999991</v>
      </c>
      <c r="AK13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1288585.1368059283</v>
      </c>
      <c r="AL1315" s="77"/>
      <c r="AM1315" s="40" t="str">
        <f>IF(DaybyDay[[#This Row],[Admin Hours]]&gt;0,DaybyDay[[#This Row],[Admin Hours]]*$AM$2+$AM$3,"")</f>
        <v/>
      </c>
      <c r="AN1315" s="40">
        <f>SUMIFS(DaybyDay[Est-Admin-Payroll],DaybyDay[Date],"&gt;="&amp;$C$5,DaybyDay[RowYear],"&gt;="&amp;$C$4,DaybyDay[Date],"&lt;="&amp;DaybyDay[[#This Row],[Date]])</f>
        <v>13941.779999999997</v>
      </c>
      <c r="AO1315" s="41" t="str">
        <f>IF(AND(DaybyDay[[#This Row],[_Space]],ISNUMBER(DaybyDay[[#This Row],[Admin Hours]])),DaybyDay[[#This Row],[Est-Admin-Payroll]]/(DaybyDay[[#This Row],[Service-Actuals]]+DaybyDay[[#This Row],[Retail-Actuals]]),"")</f>
        <v/>
      </c>
      <c r="AP1315" s="41">
        <f>DaybyDay[[#This Row],[Estimated-Payroll-Rollup]]/DaybyDay[[#This Row],[Simple-Forecast]]</f>
        <v>1.0819448092159506E-2</v>
      </c>
      <c r="AQ13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250586.83755172312</v>
      </c>
      <c r="AR1315" s="77"/>
      <c r="AS1315" s="40" t="str">
        <f>IF(DaybyDay[[#This Row],[Retail Hours]]&gt;0,DaybyDay[[#This Row],[Retail Hours]]*$AS$2,"")</f>
        <v/>
      </c>
      <c r="AT1315" s="40">
        <f>SUMIFS(DaybyDay[Est-Retail-Payroll],DaybyDay[Date],"&gt;="&amp;$C$5,DaybyDay[RowYear],"&gt;="&amp;$C$4,DaybyDay[Date],"&lt;="&amp;DaybyDay[[#This Row],[Date]])</f>
        <v>2627.1</v>
      </c>
      <c r="AU1315" s="82" t="str">
        <f>IF(AND(DaybyDay[[#This Row],[_Space]],ISNUMBER(DaybyDay[[#This Row],[Retail Hours]])),DaybyDay[[#This Row],[Est-Retail-Payroll]]/(DaybyDay[[#This Row],[Retail-Actuals]]),"")</f>
        <v/>
      </c>
      <c r="AV1315" s="82">
        <f>DaybyDay[[#This Row],[Est-Retail-PayrollRU]]/DaybyDay[[#This Row],[Simple-Forecast-Retail]]</f>
        <v>1.0483790871329168E-2</v>
      </c>
      <c r="AW1315" s="8"/>
      <c r="AX1315" s="15"/>
      <c r="AY1315" s="8"/>
    </row>
    <row r="1316" spans="3:51" hidden="1" x14ac:dyDescent="0.25">
      <c r="C1316" s="26" t="str">
        <f>Tools!$C$1</f>
        <v>Example</v>
      </c>
      <c r="D1316" s="27" t="s">
        <v>75</v>
      </c>
      <c r="E1316" s="28">
        <v>2020</v>
      </c>
      <c r="F1316" s="28">
        <f>MATCH(DaybyDay[[#This Row],[RowMonth]],Table3[SummaryMonth],0)</f>
        <v>8</v>
      </c>
      <c r="G1316" s="29">
        <f>MATCH(DaybyDay[[#This Row],[LY-Date]],DaybyDay[Date],0)</f>
        <v>946</v>
      </c>
      <c r="H1316" s="30">
        <f>WEEKDAY(DaybyDay[[#This Row],[Date]])</f>
        <v>1</v>
      </c>
      <c r="I1316" s="31">
        <v>44045</v>
      </c>
      <c r="J1316" s="74"/>
      <c r="K1316" s="32">
        <f>SUMIFS(BudgetSeasonality[365 Seasonality],BudgetSeasonality[MonthAdjustment],DaybyDay[[#This Row],[Date]])*SUMIFS(Budgets[Service-Budget],Budgets[BudgetMonth],DaybyDay[[#This Row],[RowMonth]],Budgets[BudgetYear],DaybyDay[[#This Row],[RowYear]])</f>
        <v>6373.0363356006983</v>
      </c>
      <c r="L1316" s="75"/>
      <c r="M1316" s="32">
        <f>INDEX(BudgetSeasonality[365 Seasonality],MATCH(DaybyDay[[#This Row],[Date]],BudgetSeasonality[MonthAdjustment],0))*SUMIFS(Budgets[Retail-Budget],Budgets[BudgetMonth],DaybyDay[[#This Row],[RowMonth]],Budgets[BudgetYear],DaybyDay[[#This Row],[RowYear]])</f>
        <v>1570.1670139994121</v>
      </c>
      <c r="N1316" s="75"/>
      <c r="O1316" s="33">
        <f>SUMIFS(DaybyDay[Service-Budgets],DaybyDay[Date],"&gt;="&amp;$C$5,DaybyDay[RowYear],"&gt;="&amp;$C$4,DaybyDay[Date],"&lt;="&amp;DaybyDay[[#This Row],[Date]])</f>
        <v>1151769.8666170097</v>
      </c>
      <c r="P1316" s="33">
        <f>SUMIFS(DaybyDay[Retail-Budgets],DaybyDay[Date],"&gt;="&amp;$C$5,DaybyDay[RowYear],"&gt;="&amp;$C$4,DaybyDay[Date],"&lt;="&amp;DaybyDay[[#This Row],[Date]])</f>
        <v>289255.55143606558</v>
      </c>
      <c r="Q1316" s="34">
        <f>SUMIFS(DaybyDay[Service-Actuals],DaybyDay[Date],"&gt;="&amp;$C$5,DaybyDay[RowYear],"&gt;="&amp;$C$4,DaybyDay[Date],"&lt;="&amp;DaybyDay[[#This Row],[Date]])</f>
        <v>385554.23</v>
      </c>
      <c r="R1316" s="34">
        <f>SUMIFS(DaybyDay[Retail-Actuals],DaybyDay[Date],"&gt;="&amp;$C$5,DaybyDay[RowYear],"&gt;="&amp;$C$4,DaybyDay[Date],"&lt;="&amp;DaybyDay[[#This Row],[Date]])</f>
        <v>88360.030000000028</v>
      </c>
      <c r="S1316" s="35">
        <f>SUMIFS(DaybyDay[Service-LY],DaybyDay[Date],"&gt;="&amp;$C$5,DaybyDay[RowYear],"&gt;="&amp;$C$4,DaybyDay[Date],"&lt;="&amp;DaybyDay[[#This Row],[Date]])</f>
        <v>1052427.6109999991</v>
      </c>
      <c r="T1316" s="35">
        <f>SUMIFS(DaybyDay[Retail-LY],DaybyDay[Date],"&gt;="&amp;$C$5,DaybyDay[RowYear],"&gt;="&amp;$C$4,DaybyDay[Date],"&lt;="&amp;DaybyDay[[#This Row],[Date]])</f>
        <v>251975.36</v>
      </c>
      <c r="U1316" s="32">
        <f>DaybyDay[[#This Row],[Serv-Bud-RU]]+DaybyDay[[#This Row],[Ret-Bud-RU]]</f>
        <v>1441025.4180530752</v>
      </c>
      <c r="V1316" s="32">
        <f>DaybyDay[[#This Row],[Serv-Act-RU]]+DaybyDay[[#This Row],[Ret-Act-RU]]</f>
        <v>473914.26</v>
      </c>
      <c r="W1316" s="36" t="str">
        <f>IF(DaybyDay[[#This Row],[_Space]],IFERROR(
((DaybyDay[[#This Row],[Actual-Rollup]]-DaybyDay[[#This Row],[Budget-Rollup]])/DaybyDay[[#This Row],[Budget-Rollup]]),0),"")</f>
        <v/>
      </c>
      <c r="X1316" t="b">
        <f>NOT(AND(ISBLANK(DaybyDay[[#This Row],[Appts]]),ISBLANK(DaybyDay[[#This Row],[Service-Actuals]]),ISBLANK(DaybyDay[[#This Row],[Retail-Actuals]])))</f>
        <v>0</v>
      </c>
      <c r="Y1316" s="36" t="str">
        <f>IF(DaybyDay[[#This Row],[_Space]],IFERROR(
((DaybyDay[[#This Row],[Actual-Rollup]]-DaybyDay[[#This Row],[LY-Rollup]])/DaybyDay[[#This Row],[LY-Rollup]]),0),"")</f>
        <v/>
      </c>
      <c r="Z1316"/>
      <c r="AA1316" s="37" t="str">
        <f>IF(DaybyDay[[#This Row],[_Space]],DaybyDay[[#This Row],[Ret-Act-RU]]/DaybyDay[[#This Row],[Serv-Act-RU]],"")</f>
        <v/>
      </c>
      <c r="AB1316" s="50" t="str">
        <f>IF(DaybyDay[[#This Row],[_Space]],DaybyDay[[#This Row],[RETPEN-Act]]/DaybyDay[[#This Row],[RETPEN-Bud]],"")</f>
        <v/>
      </c>
      <c r="AC1316" s="37" t="str">
        <f>IF(DaybyDay[[#This Row],[_Space]],DaybyDay[[#This Row],[Ret-Bud-RU]]/DaybyDay[[#This Row],[Serv-Bud-RU]],"")</f>
        <v/>
      </c>
      <c r="AD1316" s="37" t="str">
        <f>IF(DaybyDay[[#This Row],[_Space]],DaybyDay[[#This Row],[Ret-LY-RU]]/DaybyDay[[#This Row],[Serv-LY-RU]],"")</f>
        <v/>
      </c>
      <c r="AE1316" s="30">
        <f>WEEKDAY(DaybyDay[[#This Row],[LY-Date]])</f>
        <v>1</v>
      </c>
      <c r="AF1316" s="38">
        <f>$E$2+_xlfn.DAYS(DaybyDay[[#This Row],[Date]],minDate)</f>
        <v>43681</v>
      </c>
      <c r="AG1316" s="39" cm="1">
        <f t="array" ref="AG1316">IFERROR(INDEX(DaybyDay[],DaybyDay[[#This Row],[FORM_MATCH_HELPER]],8),"")</f>
        <v>27</v>
      </c>
      <c r="AH1316" s="39" cm="1">
        <f t="array" ref="AH1316">IFERROR(INDEX(DaybyDay[],DaybyDay[[#This Row],[FORM_MATCH_HELPER]],10),"")</f>
        <v>6478.13</v>
      </c>
      <c r="AI1316" s="39" cm="1">
        <f t="array" ref="AI1316">IFERROR(INDEX(DaybyDay[],DaybyDay[[#This Row],[FORM_MATCH_HELPER]],12),"")</f>
        <v>1207</v>
      </c>
      <c r="AJ1316" s="32">
        <f>IFERROR(DaybyDay[[#This Row],[Serv-LY-RU]]+DaybyDay[[#This Row],[Ret-LY-RU]],"")</f>
        <v>1304402.970999999</v>
      </c>
      <c r="AK13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1295752.9178418398</v>
      </c>
      <c r="AL1316" s="77"/>
      <c r="AM1316" s="40" t="str">
        <f>IF(DaybyDay[[#This Row],[Admin Hours]]&gt;0,DaybyDay[[#This Row],[Admin Hours]]*$AM$2+$AM$3,"")</f>
        <v/>
      </c>
      <c r="AN1316" s="40">
        <f>SUMIFS(DaybyDay[Est-Admin-Payroll],DaybyDay[Date],"&gt;="&amp;$C$5,DaybyDay[RowYear],"&gt;="&amp;$C$4,DaybyDay[Date],"&lt;="&amp;DaybyDay[[#This Row],[Date]])</f>
        <v>13941.779999999997</v>
      </c>
      <c r="AO1316" s="41" t="str">
        <f>IF(AND(DaybyDay[[#This Row],[_Space]],ISNUMBER(DaybyDay[[#This Row],[Admin Hours]])),DaybyDay[[#This Row],[Est-Admin-Payroll]]/(DaybyDay[[#This Row],[Service-Actuals]]+DaybyDay[[#This Row],[Retail-Actuals]]),"")</f>
        <v/>
      </c>
      <c r="AP1316" s="41">
        <f>DaybyDay[[#This Row],[Estimated-Payroll-Rollup]]/DaybyDay[[#This Row],[Simple-Forecast]]</f>
        <v>1.0759597611573147E-2</v>
      </c>
      <c r="AQ13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251849.81881874066</v>
      </c>
      <c r="AR1316" s="77"/>
      <c r="AS1316" s="40" t="str">
        <f>IF(DaybyDay[[#This Row],[Retail Hours]]&gt;0,DaybyDay[[#This Row],[Retail Hours]]*$AS$2,"")</f>
        <v/>
      </c>
      <c r="AT1316" s="40">
        <f>SUMIFS(DaybyDay[Est-Retail-Payroll],DaybyDay[Date],"&gt;="&amp;$C$5,DaybyDay[RowYear],"&gt;="&amp;$C$4,DaybyDay[Date],"&lt;="&amp;DaybyDay[[#This Row],[Date]])</f>
        <v>2627.1</v>
      </c>
      <c r="AU1316" s="82" t="str">
        <f>IF(AND(DaybyDay[[#This Row],[_Space]],ISNUMBER(DaybyDay[[#This Row],[Retail Hours]])),DaybyDay[[#This Row],[Est-Retail-Payroll]]/(DaybyDay[[#This Row],[Retail-Actuals]]),"")</f>
        <v/>
      </c>
      <c r="AV1316" s="82">
        <f>DaybyDay[[#This Row],[Est-Retail-PayrollRU]]/DaybyDay[[#This Row],[Simple-Forecast-Retail]]</f>
        <v>1.0431216557240231E-2</v>
      </c>
      <c r="AW1316" s="8"/>
      <c r="AX1316" s="15"/>
      <c r="AY1316" s="8"/>
    </row>
    <row r="1317" spans="3:51" hidden="1" x14ac:dyDescent="0.25">
      <c r="C1317" s="26" t="str">
        <f>Tools!$C$1</f>
        <v>Example</v>
      </c>
      <c r="D1317" s="27" t="s">
        <v>75</v>
      </c>
      <c r="E1317" s="28">
        <v>2020</v>
      </c>
      <c r="F1317" s="28">
        <f>MATCH(DaybyDay[[#This Row],[RowMonth]],Table3[SummaryMonth],0)</f>
        <v>8</v>
      </c>
      <c r="G1317" s="29">
        <f>MATCH(DaybyDay[[#This Row],[LY-Date]],DaybyDay[Date],0)</f>
        <v>947</v>
      </c>
      <c r="H1317" s="30">
        <f>WEEKDAY(DaybyDay[[#This Row],[Date]])</f>
        <v>2</v>
      </c>
      <c r="I1317" s="31">
        <v>44046</v>
      </c>
      <c r="J1317" s="74"/>
      <c r="K1317" s="32">
        <f>SUMIFS(BudgetSeasonality[365 Seasonality],BudgetSeasonality[MonthAdjustment],DaybyDay[[#This Row],[Date]])*SUMIFS(Budgets[Service-Budget],Budgets[BudgetMonth],DaybyDay[[#This Row],[RowMonth]],Budgets[BudgetYear],DaybyDay[[#This Row],[RowYear]])</f>
        <v>3695.8587044914375</v>
      </c>
      <c r="L1317" s="75"/>
      <c r="M1317" s="32">
        <f>INDEX(BudgetSeasonality[365 Seasonality],MATCH(DaybyDay[[#This Row],[Date]],BudgetSeasonality[MonthAdjustment],0))*SUMIFS(Budgets[Retail-Budget],Budgets[BudgetMonth],DaybyDay[[#This Row],[RowMonth]],Budgets[BudgetYear],DaybyDay[[#This Row],[RowYear]])</f>
        <v>910.57309586923554</v>
      </c>
      <c r="N1317" s="75"/>
      <c r="O1317" s="33">
        <f>SUMIFS(DaybyDay[Service-Budgets],DaybyDay[Date],"&gt;="&amp;$C$5,DaybyDay[RowYear],"&gt;="&amp;$C$4,DaybyDay[Date],"&lt;="&amp;DaybyDay[[#This Row],[Date]])</f>
        <v>1155465.7253215013</v>
      </c>
      <c r="P1317" s="33">
        <f>SUMIFS(DaybyDay[Retail-Budgets],DaybyDay[Date],"&gt;="&amp;$C$5,DaybyDay[RowYear],"&gt;="&amp;$C$4,DaybyDay[Date],"&lt;="&amp;DaybyDay[[#This Row],[Date]])</f>
        <v>290166.12453193479</v>
      </c>
      <c r="Q1317" s="34">
        <f>SUMIFS(DaybyDay[Service-Actuals],DaybyDay[Date],"&gt;="&amp;$C$5,DaybyDay[RowYear],"&gt;="&amp;$C$4,DaybyDay[Date],"&lt;="&amp;DaybyDay[[#This Row],[Date]])</f>
        <v>385554.23</v>
      </c>
      <c r="R1317" s="34">
        <f>SUMIFS(DaybyDay[Retail-Actuals],DaybyDay[Date],"&gt;="&amp;$C$5,DaybyDay[RowYear],"&gt;="&amp;$C$4,DaybyDay[Date],"&lt;="&amp;DaybyDay[[#This Row],[Date]])</f>
        <v>88360.030000000028</v>
      </c>
      <c r="S1317" s="35">
        <f>SUMIFS(DaybyDay[Service-LY],DaybyDay[Date],"&gt;="&amp;$C$5,DaybyDay[RowYear],"&gt;="&amp;$C$4,DaybyDay[Date],"&lt;="&amp;DaybyDay[[#This Row],[Date]])</f>
        <v>1055887.8109999991</v>
      </c>
      <c r="T1317" s="35">
        <f>SUMIFS(DaybyDay[Retail-LY],DaybyDay[Date],"&gt;="&amp;$C$5,DaybyDay[RowYear],"&gt;="&amp;$C$4,DaybyDay[Date],"&lt;="&amp;DaybyDay[[#This Row],[Date]])</f>
        <v>253434.86</v>
      </c>
      <c r="U1317" s="32">
        <f>DaybyDay[[#This Row],[Serv-Bud-RU]]+DaybyDay[[#This Row],[Ret-Bud-RU]]</f>
        <v>1445631.849853436</v>
      </c>
      <c r="V1317" s="32">
        <f>DaybyDay[[#This Row],[Serv-Act-RU]]+DaybyDay[[#This Row],[Ret-Act-RU]]</f>
        <v>473914.26</v>
      </c>
      <c r="W1317" s="36" t="str">
        <f>IF(DaybyDay[[#This Row],[_Space]],IFERROR(
((DaybyDay[[#This Row],[Actual-Rollup]]-DaybyDay[[#This Row],[Budget-Rollup]])/DaybyDay[[#This Row],[Budget-Rollup]]),0),"")</f>
        <v/>
      </c>
      <c r="X1317" t="b">
        <f>NOT(AND(ISBLANK(DaybyDay[[#This Row],[Appts]]),ISBLANK(DaybyDay[[#This Row],[Service-Actuals]]),ISBLANK(DaybyDay[[#This Row],[Retail-Actuals]])))</f>
        <v>0</v>
      </c>
      <c r="Y1317" s="36" t="str">
        <f>IF(DaybyDay[[#This Row],[_Space]],IFERROR(
((DaybyDay[[#This Row],[Actual-Rollup]]-DaybyDay[[#This Row],[LY-Rollup]])/DaybyDay[[#This Row],[LY-Rollup]]),0),"")</f>
        <v/>
      </c>
      <c r="Z1317"/>
      <c r="AA1317" s="37" t="str">
        <f>IF(DaybyDay[[#This Row],[_Space]],DaybyDay[[#This Row],[Ret-Act-RU]]/DaybyDay[[#This Row],[Serv-Act-RU]],"")</f>
        <v/>
      </c>
      <c r="AB1317" s="50" t="str">
        <f>IF(DaybyDay[[#This Row],[_Space]],DaybyDay[[#This Row],[RETPEN-Act]]/DaybyDay[[#This Row],[RETPEN-Bud]],"")</f>
        <v/>
      </c>
      <c r="AC1317" s="37" t="str">
        <f>IF(DaybyDay[[#This Row],[_Space]],DaybyDay[[#This Row],[Ret-Bud-RU]]/DaybyDay[[#This Row],[Serv-Bud-RU]],"")</f>
        <v/>
      </c>
      <c r="AD1317" s="37" t="str">
        <f>IF(DaybyDay[[#This Row],[_Space]],DaybyDay[[#This Row],[Ret-LY-RU]]/DaybyDay[[#This Row],[Serv-LY-RU]],"")</f>
        <v/>
      </c>
      <c r="AE1317" s="30">
        <f>WEEKDAY(DaybyDay[[#This Row],[LY-Date]])</f>
        <v>2</v>
      </c>
      <c r="AF1317" s="38">
        <f>$E$2+_xlfn.DAYS(DaybyDay[[#This Row],[Date]],minDate)</f>
        <v>43682</v>
      </c>
      <c r="AG1317" s="39" cm="1">
        <f t="array" ref="AG1317">IFERROR(INDEX(DaybyDay[],DaybyDay[[#This Row],[FORM_MATCH_HELPER]],8),"")</f>
        <v>13</v>
      </c>
      <c r="AH1317" s="39" cm="1">
        <f t="array" ref="AH1317">IFERROR(INDEX(DaybyDay[],DaybyDay[[#This Row],[FORM_MATCH_HELPER]],10),"")</f>
        <v>3460.2</v>
      </c>
      <c r="AI1317" s="39" cm="1">
        <f t="array" ref="AI1317">IFERROR(INDEX(DaybyDay[],DaybyDay[[#This Row],[FORM_MATCH_HELPER]],12),"")</f>
        <v>1459.5</v>
      </c>
      <c r="AJ1317" s="32">
        <f>IFERROR(DaybyDay[[#This Row],[Serv-LY-RU]]+DaybyDay[[#This Row],[Ret-LY-RU]],"")</f>
        <v>1309322.6709999992</v>
      </c>
      <c r="AK13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1300137.9105193559</v>
      </c>
      <c r="AL1317" s="77"/>
      <c r="AM1317" s="40" t="str">
        <f>IF(DaybyDay[[#This Row],[Admin Hours]]&gt;0,DaybyDay[[#This Row],[Admin Hours]]*$AM$2+$AM$3,"")</f>
        <v/>
      </c>
      <c r="AN1317" s="40">
        <f>SUMIFS(DaybyDay[Est-Admin-Payroll],DaybyDay[Date],"&gt;="&amp;$C$5,DaybyDay[RowYear],"&gt;="&amp;$C$4,DaybyDay[Date],"&lt;="&amp;DaybyDay[[#This Row],[Date]])</f>
        <v>13941.779999999997</v>
      </c>
      <c r="AO1317" s="41" t="str">
        <f>IF(AND(DaybyDay[[#This Row],[_Space]],ISNUMBER(DaybyDay[[#This Row],[Admin Hours]])),DaybyDay[[#This Row],[Est-Admin-Payroll]]/(DaybyDay[[#This Row],[Service-Actuals]]+DaybyDay[[#This Row],[Retail-Actuals]]),"")</f>
        <v/>
      </c>
      <c r="AP1317" s="41">
        <f>DaybyDay[[#This Row],[Estimated-Payroll-Rollup]]/DaybyDay[[#This Row],[Simple-Forecast]]</f>
        <v>1.0723308571496682E-2</v>
      </c>
      <c r="AQ13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252956.73204933119</v>
      </c>
      <c r="AR1317" s="77"/>
      <c r="AS1317" s="40" t="str">
        <f>IF(DaybyDay[[#This Row],[Retail Hours]]&gt;0,DaybyDay[[#This Row],[Retail Hours]]*$AS$2,"")</f>
        <v/>
      </c>
      <c r="AT1317" s="40">
        <f>SUMIFS(DaybyDay[Est-Retail-Payroll],DaybyDay[Date],"&gt;="&amp;$C$5,DaybyDay[RowYear],"&gt;="&amp;$C$4,DaybyDay[Date],"&lt;="&amp;DaybyDay[[#This Row],[Date]])</f>
        <v>2627.1</v>
      </c>
      <c r="AU1317" s="82" t="str">
        <f>IF(AND(DaybyDay[[#This Row],[_Space]],ISNUMBER(DaybyDay[[#This Row],[Retail Hours]])),DaybyDay[[#This Row],[Est-Retail-Payroll]]/(DaybyDay[[#This Row],[Retail-Actuals]]),"")</f>
        <v/>
      </c>
      <c r="AV1317" s="82">
        <f>DaybyDay[[#This Row],[Est-Retail-PayrollRU]]/DaybyDay[[#This Row],[Simple-Forecast-Retail]]</f>
        <v>1.0385570602199539E-2</v>
      </c>
      <c r="AW1317" s="8"/>
      <c r="AX1317" s="15"/>
      <c r="AY1317" s="8"/>
    </row>
    <row r="1318" spans="3:51" hidden="1" x14ac:dyDescent="0.25">
      <c r="C1318" s="26" t="str">
        <f>Tools!$C$1</f>
        <v>Example</v>
      </c>
      <c r="D1318" s="27" t="s">
        <v>75</v>
      </c>
      <c r="E1318" s="28">
        <v>2020</v>
      </c>
      <c r="F1318" s="28">
        <f>MATCH(DaybyDay[[#This Row],[RowMonth]],Table3[SummaryMonth],0)</f>
        <v>8</v>
      </c>
      <c r="G1318" s="29">
        <f>MATCH(DaybyDay[[#This Row],[LY-Date]],DaybyDay[Date],0)</f>
        <v>948</v>
      </c>
      <c r="H1318" s="30">
        <f>WEEKDAY(DaybyDay[[#This Row],[Date]])</f>
        <v>3</v>
      </c>
      <c r="I1318" s="31">
        <v>44047</v>
      </c>
      <c r="J1318" s="74"/>
      <c r="K1318" s="32">
        <f>SUMIFS(BudgetSeasonality[365 Seasonality],BudgetSeasonality[MonthAdjustment],DaybyDay[[#This Row],[Date]])*SUMIFS(Budgets[Service-Budget],Budgets[BudgetMonth],DaybyDay[[#This Row],[RowMonth]],Budgets[BudgetYear],DaybyDay[[#This Row],[RowYear]])</f>
        <v>3788.4302876008101</v>
      </c>
      <c r="L1318" s="75"/>
      <c r="M1318" s="32">
        <f>INDEX(BudgetSeasonality[365 Seasonality],MATCH(DaybyDay[[#This Row],[Date]],BudgetSeasonality[MonthAdjustment],0))*SUMIFS(Budgets[Retail-Budget],Budgets[BudgetMonth],DaybyDay[[#This Row],[RowMonth]],Budgets[BudgetYear],DaybyDay[[#This Row],[RowYear]])</f>
        <v>933.38056762647</v>
      </c>
      <c r="N1318" s="75"/>
      <c r="O1318" s="33">
        <f>SUMIFS(DaybyDay[Service-Budgets],DaybyDay[Date],"&gt;="&amp;$C$5,DaybyDay[RowYear],"&gt;="&amp;$C$4,DaybyDay[Date],"&lt;="&amp;DaybyDay[[#This Row],[Date]])</f>
        <v>1159254.155609102</v>
      </c>
      <c r="P1318" s="33">
        <f>SUMIFS(DaybyDay[Retail-Budgets],DaybyDay[Date],"&gt;="&amp;$C$5,DaybyDay[RowYear],"&gt;="&amp;$C$4,DaybyDay[Date],"&lt;="&amp;DaybyDay[[#This Row],[Date]])</f>
        <v>291099.50509956124</v>
      </c>
      <c r="Q1318" s="34">
        <f>SUMIFS(DaybyDay[Service-Actuals],DaybyDay[Date],"&gt;="&amp;$C$5,DaybyDay[RowYear],"&gt;="&amp;$C$4,DaybyDay[Date],"&lt;="&amp;DaybyDay[[#This Row],[Date]])</f>
        <v>385554.23</v>
      </c>
      <c r="R1318" s="34">
        <f>SUMIFS(DaybyDay[Retail-Actuals],DaybyDay[Date],"&gt;="&amp;$C$5,DaybyDay[RowYear],"&gt;="&amp;$C$4,DaybyDay[Date],"&lt;="&amp;DaybyDay[[#This Row],[Date]])</f>
        <v>88360.030000000028</v>
      </c>
      <c r="S1318" s="35">
        <f>SUMIFS(DaybyDay[Service-LY],DaybyDay[Date],"&gt;="&amp;$C$5,DaybyDay[RowYear],"&gt;="&amp;$C$4,DaybyDay[Date],"&lt;="&amp;DaybyDay[[#This Row],[Date]])</f>
        <v>1057910.8109999991</v>
      </c>
      <c r="T1318" s="35">
        <f>SUMIFS(DaybyDay[Retail-LY],DaybyDay[Date],"&gt;="&amp;$C$5,DaybyDay[RowYear],"&gt;="&amp;$C$4,DaybyDay[Date],"&lt;="&amp;DaybyDay[[#This Row],[Date]])</f>
        <v>254403.46</v>
      </c>
      <c r="U1318" s="32">
        <f>DaybyDay[[#This Row],[Serv-Bud-RU]]+DaybyDay[[#This Row],[Ret-Bud-RU]]</f>
        <v>1450353.6607086633</v>
      </c>
      <c r="V1318" s="32">
        <f>DaybyDay[[#This Row],[Serv-Act-RU]]+DaybyDay[[#This Row],[Ret-Act-RU]]</f>
        <v>473914.26</v>
      </c>
      <c r="W1318" s="36" t="str">
        <f>IF(DaybyDay[[#This Row],[_Space]],IFERROR(
((DaybyDay[[#This Row],[Actual-Rollup]]-DaybyDay[[#This Row],[Budget-Rollup]])/DaybyDay[[#This Row],[Budget-Rollup]]),0),"")</f>
        <v/>
      </c>
      <c r="X1318" t="b">
        <f>NOT(AND(ISBLANK(DaybyDay[[#This Row],[Appts]]),ISBLANK(DaybyDay[[#This Row],[Service-Actuals]]),ISBLANK(DaybyDay[[#This Row],[Retail-Actuals]])))</f>
        <v>0</v>
      </c>
      <c r="Y1318" s="36" t="str">
        <f>IF(DaybyDay[[#This Row],[_Space]],IFERROR(
((DaybyDay[[#This Row],[Actual-Rollup]]-DaybyDay[[#This Row],[LY-Rollup]])/DaybyDay[[#This Row],[LY-Rollup]]),0),"")</f>
        <v/>
      </c>
      <c r="Z1318"/>
      <c r="AA1318" s="37" t="str">
        <f>IF(DaybyDay[[#This Row],[_Space]],DaybyDay[[#This Row],[Ret-Act-RU]]/DaybyDay[[#This Row],[Serv-Act-RU]],"")</f>
        <v/>
      </c>
      <c r="AB1318" s="50" t="str">
        <f>IF(DaybyDay[[#This Row],[_Space]],DaybyDay[[#This Row],[RETPEN-Act]]/DaybyDay[[#This Row],[RETPEN-Bud]],"")</f>
        <v/>
      </c>
      <c r="AC1318" s="37" t="str">
        <f>IF(DaybyDay[[#This Row],[_Space]],DaybyDay[[#This Row],[Ret-Bud-RU]]/DaybyDay[[#This Row],[Serv-Bud-RU]],"")</f>
        <v/>
      </c>
      <c r="AD1318" s="37" t="str">
        <f>IF(DaybyDay[[#This Row],[_Space]],DaybyDay[[#This Row],[Ret-LY-RU]]/DaybyDay[[#This Row],[Serv-LY-RU]],"")</f>
        <v/>
      </c>
      <c r="AE1318" s="30">
        <f>WEEKDAY(DaybyDay[[#This Row],[LY-Date]])</f>
        <v>3</v>
      </c>
      <c r="AF1318" s="38">
        <f>$E$2+_xlfn.DAYS(DaybyDay[[#This Row],[Date]],minDate)</f>
        <v>43683</v>
      </c>
      <c r="AG1318" s="39" cm="1">
        <f t="array" ref="AG1318">IFERROR(INDEX(DaybyDay[],DaybyDay[[#This Row],[FORM_MATCH_HELPER]],8),"")</f>
        <v>8</v>
      </c>
      <c r="AH1318" s="39" cm="1">
        <f t="array" ref="AH1318">IFERROR(INDEX(DaybyDay[],DaybyDay[[#This Row],[FORM_MATCH_HELPER]],10),"")</f>
        <v>2023</v>
      </c>
      <c r="AI1318" s="39" cm="1">
        <f t="array" ref="AI1318">IFERROR(INDEX(DaybyDay[],DaybyDay[[#This Row],[FORM_MATCH_HELPER]],12),"")</f>
        <v>968.6</v>
      </c>
      <c r="AJ1318" s="32">
        <f>IFERROR(DaybyDay[[#This Row],[Serv-LY-RU]]+DaybyDay[[#This Row],[Ret-LY-RU]],"")</f>
        <v>1312314.270999999</v>
      </c>
      <c r="AK13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1303621.3436013886</v>
      </c>
      <c r="AL1318" s="77"/>
      <c r="AM1318" s="40" t="str">
        <f>IF(DaybyDay[[#This Row],[Admin Hours]]&gt;0,DaybyDay[[#This Row],[Admin Hours]]*$AM$2+$AM$3,"")</f>
        <v/>
      </c>
      <c r="AN1318" s="40">
        <f>SUMIFS(DaybyDay[Est-Admin-Payroll],DaybyDay[Date],"&gt;="&amp;$C$5,DaybyDay[RowYear],"&gt;="&amp;$C$4,DaybyDay[Date],"&lt;="&amp;DaybyDay[[#This Row],[Date]])</f>
        <v>13941.779999999997</v>
      </c>
      <c r="AO1318" s="41" t="str">
        <f>IF(AND(DaybyDay[[#This Row],[_Space]],ISNUMBER(DaybyDay[[#This Row],[Admin Hours]])),DaybyDay[[#This Row],[Est-Admin-Payroll]]/(DaybyDay[[#This Row],[Service-Actuals]]+DaybyDay[[#This Row],[Retail-Actuals]]),"")</f>
        <v/>
      </c>
      <c r="AP1318" s="41">
        <f>DaybyDay[[#This Row],[Estimated-Payroll-Rollup]]/DaybyDay[[#This Row],[Simple-Forecast]]</f>
        <v>1.0694654600763432E-2</v>
      </c>
      <c r="AQ13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253831.31163126696</v>
      </c>
      <c r="AR1318" s="77"/>
      <c r="AS1318" s="40" t="str">
        <f>IF(DaybyDay[[#This Row],[Retail Hours]]&gt;0,DaybyDay[[#This Row],[Retail Hours]]*$AS$2,"")</f>
        <v/>
      </c>
      <c r="AT1318" s="40">
        <f>SUMIFS(DaybyDay[Est-Retail-Payroll],DaybyDay[Date],"&gt;="&amp;$C$5,DaybyDay[RowYear],"&gt;="&amp;$C$4,DaybyDay[Date],"&lt;="&amp;DaybyDay[[#This Row],[Date]])</f>
        <v>2627.1</v>
      </c>
      <c r="AU1318" s="82" t="str">
        <f>IF(AND(DaybyDay[[#This Row],[_Space]],ISNUMBER(DaybyDay[[#This Row],[Retail Hours]])),DaybyDay[[#This Row],[Est-Retail-Payroll]]/(DaybyDay[[#This Row],[Retail-Actuals]]),"")</f>
        <v/>
      </c>
      <c r="AV1318" s="82">
        <f>DaybyDay[[#This Row],[Est-Retail-PayrollRU]]/DaybyDay[[#This Row],[Simple-Forecast-Retail]]</f>
        <v>1.0349786963305411E-2</v>
      </c>
      <c r="AW1318" s="8"/>
      <c r="AX1318" s="15"/>
      <c r="AY1318" s="8"/>
    </row>
    <row r="1319" spans="3:51" hidden="1" x14ac:dyDescent="0.25">
      <c r="C1319" s="26" t="str">
        <f>Tools!$C$1</f>
        <v>Example</v>
      </c>
      <c r="D1319" s="27" t="s">
        <v>75</v>
      </c>
      <c r="E1319" s="28">
        <v>2020</v>
      </c>
      <c r="F1319" s="28">
        <f>MATCH(DaybyDay[[#This Row],[RowMonth]],Table3[SummaryMonth],0)</f>
        <v>8</v>
      </c>
      <c r="G1319" s="29">
        <f>MATCH(DaybyDay[[#This Row],[LY-Date]],DaybyDay[Date],0)</f>
        <v>949</v>
      </c>
      <c r="H1319" s="30">
        <f>WEEKDAY(DaybyDay[[#This Row],[Date]])</f>
        <v>4</v>
      </c>
      <c r="I1319" s="31">
        <v>44048</v>
      </c>
      <c r="J1319" s="74"/>
      <c r="K1319" s="32">
        <f>SUMIFS(BudgetSeasonality[365 Seasonality],BudgetSeasonality[MonthAdjustment],DaybyDay[[#This Row],[Date]])*SUMIFS(Budgets[Service-Budget],Budgets[BudgetMonth],DaybyDay[[#This Row],[RowMonth]],Budgets[BudgetYear],DaybyDay[[#This Row],[RowYear]])</f>
        <v>4364.398565088537</v>
      </c>
      <c r="L1319" s="75"/>
      <c r="M1319" s="32">
        <f>INDEX(BudgetSeasonality[365 Seasonality],MATCH(DaybyDay[[#This Row],[Date]],BudgetSeasonality[MonthAdjustment],0))*SUMIFS(Budgets[Retail-Budget],Budgets[BudgetMonth],DaybyDay[[#This Row],[RowMonth]],Budgets[BudgetYear],DaybyDay[[#This Row],[RowYear]])</f>
        <v>1075.2856726341677</v>
      </c>
      <c r="N1319" s="75"/>
      <c r="O1319" s="33">
        <f>SUMIFS(DaybyDay[Service-Budgets],DaybyDay[Date],"&gt;="&amp;$C$5,DaybyDay[RowYear],"&gt;="&amp;$C$4,DaybyDay[Date],"&lt;="&amp;DaybyDay[[#This Row],[Date]])</f>
        <v>1163618.5541741906</v>
      </c>
      <c r="P1319" s="33">
        <f>SUMIFS(DaybyDay[Retail-Budgets],DaybyDay[Date],"&gt;="&amp;$C$5,DaybyDay[RowYear],"&gt;="&amp;$C$4,DaybyDay[Date],"&lt;="&amp;DaybyDay[[#This Row],[Date]])</f>
        <v>292174.79077219538</v>
      </c>
      <c r="Q1319" s="34">
        <f>SUMIFS(DaybyDay[Service-Actuals],DaybyDay[Date],"&gt;="&amp;$C$5,DaybyDay[RowYear],"&gt;="&amp;$C$4,DaybyDay[Date],"&lt;="&amp;DaybyDay[[#This Row],[Date]])</f>
        <v>385554.23</v>
      </c>
      <c r="R1319" s="34">
        <f>SUMIFS(DaybyDay[Retail-Actuals],DaybyDay[Date],"&gt;="&amp;$C$5,DaybyDay[RowYear],"&gt;="&amp;$C$4,DaybyDay[Date],"&lt;="&amp;DaybyDay[[#This Row],[Date]])</f>
        <v>88360.030000000028</v>
      </c>
      <c r="S1319" s="35">
        <f>SUMIFS(DaybyDay[Service-LY],DaybyDay[Date],"&gt;="&amp;$C$5,DaybyDay[RowYear],"&gt;="&amp;$C$4,DaybyDay[Date],"&lt;="&amp;DaybyDay[[#This Row],[Date]])</f>
        <v>1061579.6109999991</v>
      </c>
      <c r="T1319" s="35">
        <f>SUMIFS(DaybyDay[Retail-LY],DaybyDay[Date],"&gt;="&amp;$C$5,DaybyDay[RowYear],"&gt;="&amp;$C$4,DaybyDay[Date],"&lt;="&amp;DaybyDay[[#This Row],[Date]])</f>
        <v>254815.75999999998</v>
      </c>
      <c r="U1319" s="32">
        <f>DaybyDay[[#This Row],[Serv-Bud-RU]]+DaybyDay[[#This Row],[Ret-Bud-RU]]</f>
        <v>1455793.3449463861</v>
      </c>
      <c r="V1319" s="32">
        <f>DaybyDay[[#This Row],[Serv-Act-RU]]+DaybyDay[[#This Row],[Ret-Act-RU]]</f>
        <v>473914.26</v>
      </c>
      <c r="W1319" s="36" t="str">
        <f>IF(DaybyDay[[#This Row],[_Space]],IFERROR(
((DaybyDay[[#This Row],[Actual-Rollup]]-DaybyDay[[#This Row],[Budget-Rollup]])/DaybyDay[[#This Row],[Budget-Rollup]]),0),"")</f>
        <v/>
      </c>
      <c r="X1319" t="b">
        <f>NOT(AND(ISBLANK(DaybyDay[[#This Row],[Appts]]),ISBLANK(DaybyDay[[#This Row],[Service-Actuals]]),ISBLANK(DaybyDay[[#This Row],[Retail-Actuals]])))</f>
        <v>0</v>
      </c>
      <c r="Y1319" s="36" t="str">
        <f>IF(DaybyDay[[#This Row],[_Space]],IFERROR(
((DaybyDay[[#This Row],[Actual-Rollup]]-DaybyDay[[#This Row],[LY-Rollup]])/DaybyDay[[#This Row],[LY-Rollup]]),0),"")</f>
        <v/>
      </c>
      <c r="Z1319"/>
      <c r="AA1319" s="37" t="str">
        <f>IF(DaybyDay[[#This Row],[_Space]],DaybyDay[[#This Row],[Ret-Act-RU]]/DaybyDay[[#This Row],[Serv-Act-RU]],"")</f>
        <v/>
      </c>
      <c r="AB1319" s="50" t="str">
        <f>IF(DaybyDay[[#This Row],[_Space]],DaybyDay[[#This Row],[RETPEN-Act]]/DaybyDay[[#This Row],[RETPEN-Bud]],"")</f>
        <v/>
      </c>
      <c r="AC1319" s="37" t="str">
        <f>IF(DaybyDay[[#This Row],[_Space]],DaybyDay[[#This Row],[Ret-Bud-RU]]/DaybyDay[[#This Row],[Serv-Bud-RU]],"")</f>
        <v/>
      </c>
      <c r="AD1319" s="37" t="str">
        <f>IF(DaybyDay[[#This Row],[_Space]],DaybyDay[[#This Row],[Ret-LY-RU]]/DaybyDay[[#This Row],[Serv-LY-RU]],"")</f>
        <v/>
      </c>
      <c r="AE1319" s="30">
        <f>WEEKDAY(DaybyDay[[#This Row],[LY-Date]])</f>
        <v>4</v>
      </c>
      <c r="AF1319" s="38">
        <f>$E$2+_xlfn.DAYS(DaybyDay[[#This Row],[Date]],minDate)</f>
        <v>43684</v>
      </c>
      <c r="AG1319" s="39" cm="1">
        <f t="array" ref="AG1319">IFERROR(INDEX(DaybyDay[],DaybyDay[[#This Row],[FORM_MATCH_HELPER]],8),"")</f>
        <v>23</v>
      </c>
      <c r="AH1319" s="39" cm="1">
        <f t="array" ref="AH1319">IFERROR(INDEX(DaybyDay[],DaybyDay[[#This Row],[FORM_MATCH_HELPER]],10),"")</f>
        <v>3668.7999999999997</v>
      </c>
      <c r="AI1319" s="39" cm="1">
        <f t="array" ref="AI1319">IFERROR(INDEX(DaybyDay[],DaybyDay[[#This Row],[FORM_MATCH_HELPER]],12),"")</f>
        <v>412.3</v>
      </c>
      <c r="AJ1319" s="32">
        <f>IFERROR(DaybyDay[[#This Row],[Serv-LY-RU]]+DaybyDay[[#This Row],[Ret-LY-RU]],"")</f>
        <v>1316395.3709999991</v>
      </c>
      <c r="AK13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1307947.2981716357</v>
      </c>
      <c r="AL1319" s="77"/>
      <c r="AM1319" s="40" t="str">
        <f>IF(DaybyDay[[#This Row],[Admin Hours]]&gt;0,DaybyDay[[#This Row],[Admin Hours]]*$AM$2+$AM$3,"")</f>
        <v/>
      </c>
      <c r="AN1319" s="40">
        <f>SUMIFS(DaybyDay[Est-Admin-Payroll],DaybyDay[Date],"&gt;="&amp;$C$5,DaybyDay[RowYear],"&gt;="&amp;$C$4,DaybyDay[Date],"&lt;="&amp;DaybyDay[[#This Row],[Date]])</f>
        <v>13941.779999999997</v>
      </c>
      <c r="AO1319" s="41" t="str">
        <f>IF(AND(DaybyDay[[#This Row],[_Space]],ISNUMBER(DaybyDay[[#This Row],[Admin Hours]])),DaybyDay[[#This Row],[Est-Admin-Payroll]]/(DaybyDay[[#This Row],[Service-Actuals]]+DaybyDay[[#This Row],[Retail-Actuals]]),"")</f>
        <v/>
      </c>
      <c r="AP1319" s="41">
        <f>DaybyDay[[#This Row],[Estimated-Payroll-Rollup]]/DaybyDay[[#This Row],[Simple-Forecast]]</f>
        <v>1.0659282693950322E-2</v>
      </c>
      <c r="AQ13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254491.97128980447</v>
      </c>
      <c r="AR1319" s="77"/>
      <c r="AS1319" s="40" t="str">
        <f>IF(DaybyDay[[#This Row],[Retail Hours]]&gt;0,DaybyDay[[#This Row],[Retail Hours]]*$AS$2,"")</f>
        <v/>
      </c>
      <c r="AT1319" s="40">
        <f>SUMIFS(DaybyDay[Est-Retail-Payroll],DaybyDay[Date],"&gt;="&amp;$C$5,DaybyDay[RowYear],"&gt;="&amp;$C$4,DaybyDay[Date],"&lt;="&amp;DaybyDay[[#This Row],[Date]])</f>
        <v>2627.1</v>
      </c>
      <c r="AU1319" s="82" t="str">
        <f>IF(AND(DaybyDay[[#This Row],[_Space]],ISNUMBER(DaybyDay[[#This Row],[Retail Hours]])),DaybyDay[[#This Row],[Est-Retail-Payroll]]/(DaybyDay[[#This Row],[Retail-Actuals]]),"")</f>
        <v/>
      </c>
      <c r="AV1319" s="82">
        <f>DaybyDay[[#This Row],[Est-Retail-PayrollRU]]/DaybyDay[[#This Row],[Simple-Forecast-Retail]]</f>
        <v>1.0322918977307822E-2</v>
      </c>
      <c r="AW1319" s="8"/>
      <c r="AX1319" s="15"/>
      <c r="AY1319" s="8"/>
    </row>
    <row r="1320" spans="3:51" hidden="1" x14ac:dyDescent="0.25">
      <c r="C1320" s="26" t="str">
        <f>Tools!$C$1</f>
        <v>Example</v>
      </c>
      <c r="D1320" s="27" t="s">
        <v>75</v>
      </c>
      <c r="E1320" s="28">
        <v>2020</v>
      </c>
      <c r="F1320" s="28">
        <f>MATCH(DaybyDay[[#This Row],[RowMonth]],Table3[SummaryMonth],0)</f>
        <v>8</v>
      </c>
      <c r="G1320" s="29">
        <f>MATCH(DaybyDay[[#This Row],[LY-Date]],DaybyDay[Date],0)</f>
        <v>950</v>
      </c>
      <c r="H1320" s="30">
        <f>WEEKDAY(DaybyDay[[#This Row],[Date]])</f>
        <v>5</v>
      </c>
      <c r="I1320" s="31">
        <v>44049</v>
      </c>
      <c r="J1320" s="74"/>
      <c r="K1320" s="32">
        <f>SUMIFS(BudgetSeasonality[365 Seasonality],BudgetSeasonality[MonthAdjustment],DaybyDay[[#This Row],[Date]])*SUMIFS(Budgets[Service-Budget],Budgets[BudgetMonth],DaybyDay[[#This Row],[RowMonth]],Budgets[BudgetYear],DaybyDay[[#This Row],[RowYear]])</f>
        <v>4445.0548237345583</v>
      </c>
      <c r="L1320" s="75"/>
      <c r="M1320" s="32">
        <f>INDEX(BudgetSeasonality[365 Seasonality],MATCH(DaybyDay[[#This Row],[Date]],BudgetSeasonality[MonthAdjustment],0))*SUMIFS(Budgets[Retail-Budget],Budgets[BudgetMonth],DaybyDay[[#This Row],[RowMonth]],Budgets[BudgetYear],DaybyDay[[#This Row],[RowYear]])</f>
        <v>1095.1574872810004</v>
      </c>
      <c r="N1320" s="75"/>
      <c r="O1320" s="33">
        <f>SUMIFS(DaybyDay[Service-Budgets],DaybyDay[Date],"&gt;="&amp;$C$5,DaybyDay[RowYear],"&gt;="&amp;$C$4,DaybyDay[Date],"&lt;="&amp;DaybyDay[[#This Row],[Date]])</f>
        <v>1168063.6089979252</v>
      </c>
      <c r="P1320" s="33">
        <f>SUMIFS(DaybyDay[Retail-Budgets],DaybyDay[Date],"&gt;="&amp;$C$5,DaybyDay[RowYear],"&gt;="&amp;$C$4,DaybyDay[Date],"&lt;="&amp;DaybyDay[[#This Row],[Date]])</f>
        <v>293269.9482594764</v>
      </c>
      <c r="Q1320" s="34">
        <f>SUMIFS(DaybyDay[Service-Actuals],DaybyDay[Date],"&gt;="&amp;$C$5,DaybyDay[RowYear],"&gt;="&amp;$C$4,DaybyDay[Date],"&lt;="&amp;DaybyDay[[#This Row],[Date]])</f>
        <v>385554.23</v>
      </c>
      <c r="R1320" s="34">
        <f>SUMIFS(DaybyDay[Retail-Actuals],DaybyDay[Date],"&gt;="&amp;$C$5,DaybyDay[RowYear],"&gt;="&amp;$C$4,DaybyDay[Date],"&lt;="&amp;DaybyDay[[#This Row],[Date]])</f>
        <v>88360.030000000028</v>
      </c>
      <c r="S1320" s="35">
        <f>SUMIFS(DaybyDay[Service-LY],DaybyDay[Date],"&gt;="&amp;$C$5,DaybyDay[RowYear],"&gt;="&amp;$C$4,DaybyDay[Date],"&lt;="&amp;DaybyDay[[#This Row],[Date]])</f>
        <v>1065682.9109999991</v>
      </c>
      <c r="T1320" s="35">
        <f>SUMIFS(DaybyDay[Retail-LY],DaybyDay[Date],"&gt;="&amp;$C$5,DaybyDay[RowYear],"&gt;="&amp;$C$4,DaybyDay[Date],"&lt;="&amp;DaybyDay[[#This Row],[Date]])</f>
        <v>255156.75999999998</v>
      </c>
      <c r="U1320" s="32">
        <f>DaybyDay[[#This Row],[Serv-Bud-RU]]+DaybyDay[[#This Row],[Ret-Bud-RU]]</f>
        <v>1461333.5572574015</v>
      </c>
      <c r="V1320" s="32">
        <f>DaybyDay[[#This Row],[Serv-Act-RU]]+DaybyDay[[#This Row],[Ret-Act-RU]]</f>
        <v>473914.26</v>
      </c>
      <c r="W1320" s="36" t="str">
        <f>IF(DaybyDay[[#This Row],[_Space]],IFERROR(
((DaybyDay[[#This Row],[Actual-Rollup]]-DaybyDay[[#This Row],[Budget-Rollup]])/DaybyDay[[#This Row],[Budget-Rollup]]),0),"")</f>
        <v/>
      </c>
      <c r="X1320" t="b">
        <f>NOT(AND(ISBLANK(DaybyDay[[#This Row],[Appts]]),ISBLANK(DaybyDay[[#This Row],[Service-Actuals]]),ISBLANK(DaybyDay[[#This Row],[Retail-Actuals]])))</f>
        <v>0</v>
      </c>
      <c r="Y1320" s="36" t="str">
        <f>IF(DaybyDay[[#This Row],[_Space]],IFERROR(
((DaybyDay[[#This Row],[Actual-Rollup]]-DaybyDay[[#This Row],[LY-Rollup]])/DaybyDay[[#This Row],[LY-Rollup]]),0),"")</f>
        <v/>
      </c>
      <c r="Z1320"/>
      <c r="AA1320" s="37" t="str">
        <f>IF(DaybyDay[[#This Row],[_Space]],DaybyDay[[#This Row],[Ret-Act-RU]]/DaybyDay[[#This Row],[Serv-Act-RU]],"")</f>
        <v/>
      </c>
      <c r="AB1320" s="50" t="str">
        <f>IF(DaybyDay[[#This Row],[_Space]],DaybyDay[[#This Row],[RETPEN-Act]]/DaybyDay[[#This Row],[RETPEN-Bud]],"")</f>
        <v/>
      </c>
      <c r="AC1320" s="37" t="str">
        <f>IF(DaybyDay[[#This Row],[_Space]],DaybyDay[[#This Row],[Ret-Bud-RU]]/DaybyDay[[#This Row],[Serv-Bud-RU]],"")</f>
        <v/>
      </c>
      <c r="AD1320" s="37" t="str">
        <f>IF(DaybyDay[[#This Row],[_Space]],DaybyDay[[#This Row],[Ret-LY-RU]]/DaybyDay[[#This Row],[Serv-LY-RU]],"")</f>
        <v/>
      </c>
      <c r="AE1320" s="30">
        <f>WEEKDAY(DaybyDay[[#This Row],[LY-Date]])</f>
        <v>5</v>
      </c>
      <c r="AF1320" s="38">
        <f>$E$2+_xlfn.DAYS(DaybyDay[[#This Row],[Date]],minDate)</f>
        <v>43685</v>
      </c>
      <c r="AG1320" s="39" cm="1">
        <f t="array" ref="AG1320">IFERROR(INDEX(DaybyDay[],DaybyDay[[#This Row],[FORM_MATCH_HELPER]],8),"")</f>
        <v>24</v>
      </c>
      <c r="AH1320" s="39" cm="1">
        <f t="array" ref="AH1320">IFERROR(INDEX(DaybyDay[],DaybyDay[[#This Row],[FORM_MATCH_HELPER]],10),"")</f>
        <v>4103.3</v>
      </c>
      <c r="AI1320" s="39" cm="1">
        <f t="array" ref="AI1320">IFERROR(INDEX(DaybyDay[],DaybyDay[[#This Row],[FORM_MATCH_HELPER]],12),"")</f>
        <v>341</v>
      </c>
      <c r="AJ1320" s="32">
        <f>IFERROR(DaybyDay[[#This Row],[Serv-LY-RU]]+DaybyDay[[#This Row],[Ret-LY-RU]],"")</f>
        <v>1320839.6709999992</v>
      </c>
      <c r="AK13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1312495.086139393</v>
      </c>
      <c r="AL1320" s="77"/>
      <c r="AM1320" s="40" t="str">
        <f>IF(DaybyDay[[#This Row],[Admin Hours]]&gt;0,DaybyDay[[#This Row],[Admin Hours]]*$AM$2+$AM$3,"")</f>
        <v/>
      </c>
      <c r="AN1320" s="40">
        <f>SUMIFS(DaybyDay[Est-Admin-Payroll],DaybyDay[Date],"&gt;="&amp;$C$5,DaybyDay[RowYear],"&gt;="&amp;$C$4,DaybyDay[Date],"&lt;="&amp;DaybyDay[[#This Row],[Date]])</f>
        <v>13941.779999999997</v>
      </c>
      <c r="AO1320" s="41" t="str">
        <f>IF(AND(DaybyDay[[#This Row],[_Space]],ISNUMBER(DaybyDay[[#This Row],[Admin Hours]])),DaybyDay[[#This Row],[Est-Admin-Payroll]]/(DaybyDay[[#This Row],[Service-Actuals]]+DaybyDay[[#This Row],[Retail-Actuals]]),"")</f>
        <v/>
      </c>
      <c r="AP1320" s="41">
        <f>DaybyDay[[#This Row],[Estimated-Payroll-Rollup]]/DaybyDay[[#This Row],[Simple-Forecast]]</f>
        <v>1.0622348340372617E-2</v>
      </c>
      <c r="AQ13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255125.92953882541</v>
      </c>
      <c r="AR1320" s="77"/>
      <c r="AS1320" s="40" t="str">
        <f>IF(DaybyDay[[#This Row],[Retail Hours]]&gt;0,DaybyDay[[#This Row],[Retail Hours]]*$AS$2,"")</f>
        <v/>
      </c>
      <c r="AT1320" s="40">
        <f>SUMIFS(DaybyDay[Est-Retail-Payroll],DaybyDay[Date],"&gt;="&amp;$C$5,DaybyDay[RowYear],"&gt;="&amp;$C$4,DaybyDay[Date],"&lt;="&amp;DaybyDay[[#This Row],[Date]])</f>
        <v>2627.1</v>
      </c>
      <c r="AU1320" s="82" t="str">
        <f>IF(AND(DaybyDay[[#This Row],[_Space]],ISNUMBER(DaybyDay[[#This Row],[Retail Hours]])),DaybyDay[[#This Row],[Est-Retail-Payroll]]/(DaybyDay[[#This Row],[Retail-Actuals]]),"")</f>
        <v/>
      </c>
      <c r="AV1320" s="82">
        <f>DaybyDay[[#This Row],[Est-Retail-PayrollRU]]/DaybyDay[[#This Row],[Simple-Forecast-Retail]]</f>
        <v>1.0297267724800996E-2</v>
      </c>
      <c r="AW1320" s="8"/>
      <c r="AX1320" s="15"/>
      <c r="AY1320" s="8"/>
    </row>
    <row r="1321" spans="3:51" hidden="1" x14ac:dyDescent="0.25">
      <c r="C1321" s="26" t="str">
        <f>Tools!$C$1</f>
        <v>Example</v>
      </c>
      <c r="D1321" s="27" t="s">
        <v>75</v>
      </c>
      <c r="E1321" s="28">
        <v>2020</v>
      </c>
      <c r="F1321" s="28">
        <f>MATCH(DaybyDay[[#This Row],[RowMonth]],Table3[SummaryMonth],0)</f>
        <v>8</v>
      </c>
      <c r="G1321" s="29">
        <f>MATCH(DaybyDay[[#This Row],[LY-Date]],DaybyDay[Date],0)</f>
        <v>951</v>
      </c>
      <c r="H1321" s="30">
        <f>WEEKDAY(DaybyDay[[#This Row],[Date]])</f>
        <v>6</v>
      </c>
      <c r="I1321" s="31">
        <v>44050</v>
      </c>
      <c r="J1321" s="74"/>
      <c r="K1321" s="32">
        <f>SUMIFS(BudgetSeasonality[365 Seasonality],BudgetSeasonality[MonthAdjustment],DaybyDay[[#This Row],[Date]])*SUMIFS(Budgets[Service-Budget],Budgets[BudgetMonth],DaybyDay[[#This Row],[RowMonth]],Budgets[BudgetYear],DaybyDay[[#This Row],[RowYear]])</f>
        <v>5550.073764937255</v>
      </c>
      <c r="L1321" s="75"/>
      <c r="M1321" s="32">
        <f>INDEX(BudgetSeasonality[365 Seasonality],MATCH(DaybyDay[[#This Row],[Date]],BudgetSeasonality[MonthAdjustment],0))*SUMIFS(Budgets[Retail-Budget],Budgets[BudgetMonth],DaybyDay[[#This Row],[RowMonth]],Budgets[BudgetYear],DaybyDay[[#This Row],[RowYear]])</f>
        <v>1367.4082952088811</v>
      </c>
      <c r="N1321" s="75"/>
      <c r="O1321" s="33">
        <f>SUMIFS(DaybyDay[Service-Budgets],DaybyDay[Date],"&gt;="&amp;$C$5,DaybyDay[RowYear],"&gt;="&amp;$C$4,DaybyDay[Date],"&lt;="&amp;DaybyDay[[#This Row],[Date]])</f>
        <v>1173613.6827628624</v>
      </c>
      <c r="P1321" s="33">
        <f>SUMIFS(DaybyDay[Retail-Budgets],DaybyDay[Date],"&gt;="&amp;$C$5,DaybyDay[RowYear],"&gt;="&amp;$C$4,DaybyDay[Date],"&lt;="&amp;DaybyDay[[#This Row],[Date]])</f>
        <v>294637.35655468528</v>
      </c>
      <c r="Q1321" s="34">
        <f>SUMIFS(DaybyDay[Service-Actuals],DaybyDay[Date],"&gt;="&amp;$C$5,DaybyDay[RowYear],"&gt;="&amp;$C$4,DaybyDay[Date],"&lt;="&amp;DaybyDay[[#This Row],[Date]])</f>
        <v>385554.23</v>
      </c>
      <c r="R1321" s="34">
        <f>SUMIFS(DaybyDay[Retail-Actuals],DaybyDay[Date],"&gt;="&amp;$C$5,DaybyDay[RowYear],"&gt;="&amp;$C$4,DaybyDay[Date],"&lt;="&amp;DaybyDay[[#This Row],[Date]])</f>
        <v>88360.030000000028</v>
      </c>
      <c r="S1321" s="35">
        <f>SUMIFS(DaybyDay[Service-LY],DaybyDay[Date],"&gt;="&amp;$C$5,DaybyDay[RowYear],"&gt;="&amp;$C$4,DaybyDay[Date],"&lt;="&amp;DaybyDay[[#This Row],[Date]])</f>
        <v>1071386.3509999991</v>
      </c>
      <c r="T1321" s="35">
        <f>SUMIFS(DaybyDay[Retail-LY],DaybyDay[Date],"&gt;="&amp;$C$5,DaybyDay[RowYear],"&gt;="&amp;$C$4,DaybyDay[Date],"&lt;="&amp;DaybyDay[[#This Row],[Date]])</f>
        <v>256635.87999999998</v>
      </c>
      <c r="U1321" s="32">
        <f>DaybyDay[[#This Row],[Serv-Bud-RU]]+DaybyDay[[#This Row],[Ret-Bud-RU]]</f>
        <v>1468251.0393175478</v>
      </c>
      <c r="V1321" s="32">
        <f>DaybyDay[[#This Row],[Serv-Act-RU]]+DaybyDay[[#This Row],[Ret-Act-RU]]</f>
        <v>473914.26</v>
      </c>
      <c r="W1321" s="36" t="str">
        <f>IF(DaybyDay[[#This Row],[_Space]],IFERROR(
((DaybyDay[[#This Row],[Actual-Rollup]]-DaybyDay[[#This Row],[Budget-Rollup]])/DaybyDay[[#This Row],[Budget-Rollup]]),0),"")</f>
        <v/>
      </c>
      <c r="X1321" t="b">
        <f>NOT(AND(ISBLANK(DaybyDay[[#This Row],[Appts]]),ISBLANK(DaybyDay[[#This Row],[Service-Actuals]]),ISBLANK(DaybyDay[[#This Row],[Retail-Actuals]])))</f>
        <v>0</v>
      </c>
      <c r="Y1321" s="36" t="str">
        <f>IF(DaybyDay[[#This Row],[_Space]],IFERROR(
((DaybyDay[[#This Row],[Actual-Rollup]]-DaybyDay[[#This Row],[LY-Rollup]])/DaybyDay[[#This Row],[LY-Rollup]]),0),"")</f>
        <v/>
      </c>
      <c r="Z1321"/>
      <c r="AA1321" s="37" t="str">
        <f>IF(DaybyDay[[#This Row],[_Space]],DaybyDay[[#This Row],[Ret-Act-RU]]/DaybyDay[[#This Row],[Serv-Act-RU]],"")</f>
        <v/>
      </c>
      <c r="AB1321" s="50" t="str">
        <f>IF(DaybyDay[[#This Row],[_Space]],DaybyDay[[#This Row],[RETPEN-Act]]/DaybyDay[[#This Row],[RETPEN-Bud]],"")</f>
        <v/>
      </c>
      <c r="AC1321" s="37" t="str">
        <f>IF(DaybyDay[[#This Row],[_Space]],DaybyDay[[#This Row],[Ret-Bud-RU]]/DaybyDay[[#This Row],[Serv-Bud-RU]],"")</f>
        <v/>
      </c>
      <c r="AD1321" s="37" t="str">
        <f>IF(DaybyDay[[#This Row],[_Space]],DaybyDay[[#This Row],[Ret-LY-RU]]/DaybyDay[[#This Row],[Serv-LY-RU]],"")</f>
        <v/>
      </c>
      <c r="AE1321" s="30">
        <f>WEEKDAY(DaybyDay[[#This Row],[LY-Date]])</f>
        <v>6</v>
      </c>
      <c r="AF1321" s="38">
        <f>$E$2+_xlfn.DAYS(DaybyDay[[#This Row],[Date]],minDate)</f>
        <v>43686</v>
      </c>
      <c r="AG1321" s="39" cm="1">
        <f t="array" ref="AG1321">IFERROR(INDEX(DaybyDay[],DaybyDay[[#This Row],[FORM_MATCH_HELPER]],8),"")</f>
        <v>21</v>
      </c>
      <c r="AH1321" s="39" cm="1">
        <f t="array" ref="AH1321">IFERROR(INDEX(DaybyDay[],DaybyDay[[#This Row],[FORM_MATCH_HELPER]],10),"")</f>
        <v>5703.4400000000005</v>
      </c>
      <c r="AI1321" s="39" cm="1">
        <f t="array" ref="AI1321">IFERROR(INDEX(DaybyDay[],DaybyDay[[#This Row],[FORM_MATCH_HELPER]],12),"")</f>
        <v>1479.12</v>
      </c>
      <c r="AJ1321" s="32">
        <f>IFERROR(DaybyDay[[#This Row],[Serv-LY-RU]]+DaybyDay[[#This Row],[Ret-LY-RU]],"")</f>
        <v>1328022.230999999</v>
      </c>
      <c r="AK13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1318978.7829543846</v>
      </c>
      <c r="AL1321" s="77"/>
      <c r="AM1321" s="40" t="str">
        <f>IF(DaybyDay[[#This Row],[Admin Hours]]&gt;0,DaybyDay[[#This Row],[Admin Hours]]*$AM$2+$AM$3,"")</f>
        <v/>
      </c>
      <c r="AN1321" s="40">
        <f>SUMIFS(DaybyDay[Est-Admin-Payroll],DaybyDay[Date],"&gt;="&amp;$C$5,DaybyDay[RowYear],"&gt;="&amp;$C$4,DaybyDay[Date],"&lt;="&amp;DaybyDay[[#This Row],[Date]])</f>
        <v>13941.779999999997</v>
      </c>
      <c r="AO1321" s="41" t="str">
        <f>IF(AND(DaybyDay[[#This Row],[_Space]],ISNUMBER(DaybyDay[[#This Row],[Admin Hours]])),DaybyDay[[#This Row],[Est-Admin-Payroll]]/(DaybyDay[[#This Row],[Service-Actuals]]+DaybyDay[[#This Row],[Retail-Actuals]]),"")</f>
        <v/>
      </c>
      <c r="AP1321" s="41">
        <f>DaybyDay[[#This Row],[Estimated-Payroll-Rollup]]/DaybyDay[[#This Row],[Simple-Forecast]]</f>
        <v>1.0570132120527187E-2</v>
      </c>
      <c r="AQ13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256436.83332936917</v>
      </c>
      <c r="AR1321" s="77"/>
      <c r="AS1321" s="40" t="str">
        <f>IF(DaybyDay[[#This Row],[Retail Hours]]&gt;0,DaybyDay[[#This Row],[Retail Hours]]*$AS$2,"")</f>
        <v/>
      </c>
      <c r="AT1321" s="40">
        <f>SUMIFS(DaybyDay[Est-Retail-Payroll],DaybyDay[Date],"&gt;="&amp;$C$5,DaybyDay[RowYear],"&gt;="&amp;$C$4,DaybyDay[Date],"&lt;="&amp;DaybyDay[[#This Row],[Date]])</f>
        <v>2627.1</v>
      </c>
      <c r="AU1321" s="82" t="str">
        <f>IF(AND(DaybyDay[[#This Row],[_Space]],ISNUMBER(DaybyDay[[#This Row],[Retail Hours]])),DaybyDay[[#This Row],[Est-Retail-Payroll]]/(DaybyDay[[#This Row],[Retail-Actuals]]),"")</f>
        <v/>
      </c>
      <c r="AV1321" s="82">
        <f>DaybyDay[[#This Row],[Est-Retail-PayrollRU]]/DaybyDay[[#This Row],[Simple-Forecast-Retail]]</f>
        <v>1.0244628144451212E-2</v>
      </c>
      <c r="AW1321" s="8"/>
      <c r="AX1321" s="15"/>
      <c r="AY1321" s="8"/>
    </row>
    <row r="1322" spans="3:51" hidden="1" x14ac:dyDescent="0.25">
      <c r="C1322" s="26" t="str">
        <f>Tools!$C$1</f>
        <v>Example</v>
      </c>
      <c r="D1322" s="27" t="s">
        <v>75</v>
      </c>
      <c r="E1322" s="28">
        <v>2020</v>
      </c>
      <c r="F1322" s="28">
        <f>MATCH(DaybyDay[[#This Row],[RowMonth]],Table3[SummaryMonth],0)</f>
        <v>8</v>
      </c>
      <c r="G1322" s="29">
        <f>MATCH(DaybyDay[[#This Row],[LY-Date]],DaybyDay[Date],0)</f>
        <v>952</v>
      </c>
      <c r="H1322" s="30">
        <f>WEEKDAY(DaybyDay[[#This Row],[Date]])</f>
        <v>7</v>
      </c>
      <c r="I1322" s="31">
        <v>44051</v>
      </c>
      <c r="J1322" s="74"/>
      <c r="K1322" s="32">
        <f>SUMIFS(BudgetSeasonality[365 Seasonality],BudgetSeasonality[MonthAdjustment],DaybyDay[[#This Row],[Date]])*SUMIFS(Budgets[Service-Budget],Budgets[BudgetMonth],DaybyDay[[#This Row],[RowMonth]],Budgets[BudgetYear],DaybyDay[[#This Row],[RowYear]])</f>
        <v>7944.4137325959528</v>
      </c>
      <c r="L1322" s="75"/>
      <c r="M1322" s="32">
        <f>INDEX(BudgetSeasonality[365 Seasonality],MATCH(DaybyDay[[#This Row],[Date]],BudgetSeasonality[MonthAdjustment],0))*SUMIFS(Budgets[Retail-Budget],Budgets[BudgetMonth],DaybyDay[[#This Row],[RowMonth]],Budgets[BudgetYear],DaybyDay[[#This Row],[RowYear]])</f>
        <v>1957.3176319118468</v>
      </c>
      <c r="N1322" s="75"/>
      <c r="O1322" s="33">
        <f>SUMIFS(DaybyDay[Service-Budgets],DaybyDay[Date],"&gt;="&amp;$C$5,DaybyDay[RowYear],"&gt;="&amp;$C$4,DaybyDay[Date],"&lt;="&amp;DaybyDay[[#This Row],[Date]])</f>
        <v>1181558.0964954584</v>
      </c>
      <c r="P1322" s="33">
        <f>SUMIFS(DaybyDay[Retail-Budgets],DaybyDay[Date],"&gt;="&amp;$C$5,DaybyDay[RowYear],"&gt;="&amp;$C$4,DaybyDay[Date],"&lt;="&amp;DaybyDay[[#This Row],[Date]])</f>
        <v>296594.67418659711</v>
      </c>
      <c r="Q1322" s="34">
        <f>SUMIFS(DaybyDay[Service-Actuals],DaybyDay[Date],"&gt;="&amp;$C$5,DaybyDay[RowYear],"&gt;="&amp;$C$4,DaybyDay[Date],"&lt;="&amp;DaybyDay[[#This Row],[Date]])</f>
        <v>385554.23</v>
      </c>
      <c r="R1322" s="34">
        <f>SUMIFS(DaybyDay[Retail-Actuals],DaybyDay[Date],"&gt;="&amp;$C$5,DaybyDay[RowYear],"&gt;="&amp;$C$4,DaybyDay[Date],"&lt;="&amp;DaybyDay[[#This Row],[Date]])</f>
        <v>88360.030000000028</v>
      </c>
      <c r="S1322" s="35">
        <f>SUMIFS(DaybyDay[Service-LY],DaybyDay[Date],"&gt;="&amp;$C$5,DaybyDay[RowYear],"&gt;="&amp;$C$4,DaybyDay[Date],"&lt;="&amp;DaybyDay[[#This Row],[Date]])</f>
        <v>1078591.750999999</v>
      </c>
      <c r="T1322" s="35">
        <f>SUMIFS(DaybyDay[Retail-LY],DaybyDay[Date],"&gt;="&amp;$C$5,DaybyDay[RowYear],"&gt;="&amp;$C$4,DaybyDay[Date],"&lt;="&amp;DaybyDay[[#This Row],[Date]])</f>
        <v>257593.87999999998</v>
      </c>
      <c r="U1322" s="32">
        <f>DaybyDay[[#This Row],[Serv-Bud-RU]]+DaybyDay[[#This Row],[Ret-Bud-RU]]</f>
        <v>1478152.7706820555</v>
      </c>
      <c r="V1322" s="32">
        <f>DaybyDay[[#This Row],[Serv-Act-RU]]+DaybyDay[[#This Row],[Ret-Act-RU]]</f>
        <v>473914.26</v>
      </c>
      <c r="W1322" s="36" t="str">
        <f>IF(DaybyDay[[#This Row],[_Space]],IFERROR(
((DaybyDay[[#This Row],[Actual-Rollup]]-DaybyDay[[#This Row],[Budget-Rollup]])/DaybyDay[[#This Row],[Budget-Rollup]]),0),"")</f>
        <v/>
      </c>
      <c r="X1322" t="b">
        <f>NOT(AND(ISBLANK(DaybyDay[[#This Row],[Appts]]),ISBLANK(DaybyDay[[#This Row],[Service-Actuals]]),ISBLANK(DaybyDay[[#This Row],[Retail-Actuals]])))</f>
        <v>0</v>
      </c>
      <c r="Y1322" s="36" t="str">
        <f>IF(DaybyDay[[#This Row],[_Space]],IFERROR(
((DaybyDay[[#This Row],[Actual-Rollup]]-DaybyDay[[#This Row],[LY-Rollup]])/DaybyDay[[#This Row],[LY-Rollup]]),0),"")</f>
        <v/>
      </c>
      <c r="Z1322"/>
      <c r="AA1322" s="37" t="str">
        <f>IF(DaybyDay[[#This Row],[_Space]],DaybyDay[[#This Row],[Ret-Act-RU]]/DaybyDay[[#This Row],[Serv-Act-RU]],"")</f>
        <v/>
      </c>
      <c r="AB1322" s="50" t="str">
        <f>IF(DaybyDay[[#This Row],[_Space]],DaybyDay[[#This Row],[RETPEN-Act]]/DaybyDay[[#This Row],[RETPEN-Bud]],"")</f>
        <v/>
      </c>
      <c r="AC1322" s="37" t="str">
        <f>IF(DaybyDay[[#This Row],[_Space]],DaybyDay[[#This Row],[Ret-Bud-RU]]/DaybyDay[[#This Row],[Serv-Bud-RU]],"")</f>
        <v/>
      </c>
      <c r="AD1322" s="37" t="str">
        <f>IF(DaybyDay[[#This Row],[_Space]],DaybyDay[[#This Row],[Ret-LY-RU]]/DaybyDay[[#This Row],[Serv-LY-RU]],"")</f>
        <v/>
      </c>
      <c r="AE1322" s="30">
        <f>WEEKDAY(DaybyDay[[#This Row],[LY-Date]])</f>
        <v>7</v>
      </c>
      <c r="AF1322" s="38">
        <f>$E$2+_xlfn.DAYS(DaybyDay[[#This Row],[Date]],minDate)</f>
        <v>43687</v>
      </c>
      <c r="AG1322" s="39" cm="1">
        <f t="array" ref="AG1322">IFERROR(INDEX(DaybyDay[],DaybyDay[[#This Row],[FORM_MATCH_HELPER]],8),"")</f>
        <v>27</v>
      </c>
      <c r="AH1322" s="39" cm="1">
        <f t="array" ref="AH1322">IFERROR(INDEX(DaybyDay[],DaybyDay[[#This Row],[FORM_MATCH_HELPER]],10),"")</f>
        <v>7205.4</v>
      </c>
      <c r="AI1322" s="39" cm="1">
        <f t="array" ref="AI1322">IFERROR(INDEX(DaybyDay[],DaybyDay[[#This Row],[FORM_MATCH_HELPER]],12),"")</f>
        <v>958</v>
      </c>
      <c r="AJ1322" s="32">
        <f>IFERROR(DaybyDay[[#This Row],[Serv-LY-RU]]+DaybyDay[[#This Row],[Ret-LY-RU]],"")</f>
        <v>1336185.6309999989</v>
      </c>
      <c r="AK13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1327215.4410936832</v>
      </c>
      <c r="AL1322" s="77"/>
      <c r="AM1322" s="40" t="str">
        <f>IF(DaybyDay[[#This Row],[Admin Hours]]&gt;0,DaybyDay[[#This Row],[Admin Hours]]*$AM$2+$AM$3,"")</f>
        <v/>
      </c>
      <c r="AN1322" s="40">
        <f>SUMIFS(DaybyDay[Est-Admin-Payroll],DaybyDay[Date],"&gt;="&amp;$C$5,DaybyDay[RowYear],"&gt;="&amp;$C$4,DaybyDay[Date],"&lt;="&amp;DaybyDay[[#This Row],[Date]])</f>
        <v>13941.779999999997</v>
      </c>
      <c r="AO1322" s="41" t="str">
        <f>IF(AND(DaybyDay[[#This Row],[_Space]],ISNUMBER(DaybyDay[[#This Row],[Admin Hours]])),DaybyDay[[#This Row],[Est-Admin-Payroll]]/(DaybyDay[[#This Row],[Service-Actuals]]+DaybyDay[[#This Row],[Retail-Actuals]]),"")</f>
        <v/>
      </c>
      <c r="AP1322" s="41">
        <f>DaybyDay[[#This Row],[Estimated-Payroll-Rollup]]/DaybyDay[[#This Row],[Simple-Forecast]]</f>
        <v>1.0504534206226055E-2</v>
      </c>
      <c r="AQ13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257741.72321435387</v>
      </c>
      <c r="AR1322" s="77"/>
      <c r="AS1322" s="40" t="str">
        <f>IF(DaybyDay[[#This Row],[Retail Hours]]&gt;0,DaybyDay[[#This Row],[Retail Hours]]*$AS$2,"")</f>
        <v/>
      </c>
      <c r="AT1322" s="40">
        <f>SUMIFS(DaybyDay[Est-Retail-Payroll],DaybyDay[Date],"&gt;="&amp;$C$5,DaybyDay[RowYear],"&gt;="&amp;$C$4,DaybyDay[Date],"&lt;="&amp;DaybyDay[[#This Row],[Date]])</f>
        <v>2627.1</v>
      </c>
      <c r="AU1322" s="82" t="str">
        <f>IF(AND(DaybyDay[[#This Row],[_Space]],ISNUMBER(DaybyDay[[#This Row],[Retail Hours]])),DaybyDay[[#This Row],[Est-Retail-Payroll]]/(DaybyDay[[#This Row],[Retail-Actuals]]),"")</f>
        <v/>
      </c>
      <c r="AV1322" s="82">
        <f>DaybyDay[[#This Row],[Est-Retail-PayrollRU]]/DaybyDay[[#This Row],[Simple-Forecast-Retail]]</f>
        <v>1.019276183629432E-2</v>
      </c>
      <c r="AW1322" s="8"/>
      <c r="AX1322" s="15"/>
      <c r="AY1322" s="8"/>
    </row>
    <row r="1323" spans="3:51" hidden="1" x14ac:dyDescent="0.25">
      <c r="C1323" s="26" t="str">
        <f>Tools!$C$1</f>
        <v>Example</v>
      </c>
      <c r="D1323" s="27" t="s">
        <v>75</v>
      </c>
      <c r="E1323" s="28">
        <v>2020</v>
      </c>
      <c r="F1323" s="28">
        <f>MATCH(DaybyDay[[#This Row],[RowMonth]],Table3[SummaryMonth],0)</f>
        <v>8</v>
      </c>
      <c r="G1323" s="29">
        <f>MATCH(DaybyDay[[#This Row],[LY-Date]],DaybyDay[Date],0)</f>
        <v>953</v>
      </c>
      <c r="H1323" s="30">
        <f>WEEKDAY(DaybyDay[[#This Row],[Date]])</f>
        <v>1</v>
      </c>
      <c r="I1323" s="31">
        <v>44052</v>
      </c>
      <c r="J1323" s="74"/>
      <c r="K1323" s="32">
        <f>SUMIFS(BudgetSeasonality[365 Seasonality],BudgetSeasonality[MonthAdjustment],DaybyDay[[#This Row],[Date]])*SUMIFS(Budgets[Service-Budget],Budgets[BudgetMonth],DaybyDay[[#This Row],[RowMonth]],Budgets[BudgetYear],DaybyDay[[#This Row],[RowYear]])</f>
        <v>6093.892230890242</v>
      </c>
      <c r="L1323" s="75"/>
      <c r="M1323" s="32">
        <f>INDEX(BudgetSeasonality[365 Seasonality],MATCH(DaybyDay[[#This Row],[Date]],BudgetSeasonality[MonthAdjustment],0))*SUMIFS(Budgets[Retail-Budget],Budgets[BudgetMonth],DaybyDay[[#This Row],[RowMonth]],Budgets[BudgetYear],DaybyDay[[#This Row],[RowYear]])</f>
        <v>1501.392439010669</v>
      </c>
      <c r="N1323" s="75"/>
      <c r="O1323" s="33">
        <f>SUMIFS(DaybyDay[Service-Budgets],DaybyDay[Date],"&gt;="&amp;$C$5,DaybyDay[RowYear],"&gt;="&amp;$C$4,DaybyDay[Date],"&lt;="&amp;DaybyDay[[#This Row],[Date]])</f>
        <v>1187651.9887263486</v>
      </c>
      <c r="P1323" s="33">
        <f>SUMIFS(DaybyDay[Retail-Budgets],DaybyDay[Date],"&gt;="&amp;$C$5,DaybyDay[RowYear],"&gt;="&amp;$C$4,DaybyDay[Date],"&lt;="&amp;DaybyDay[[#This Row],[Date]])</f>
        <v>298096.06662560778</v>
      </c>
      <c r="Q1323" s="34">
        <f>SUMIFS(DaybyDay[Service-Actuals],DaybyDay[Date],"&gt;="&amp;$C$5,DaybyDay[RowYear],"&gt;="&amp;$C$4,DaybyDay[Date],"&lt;="&amp;DaybyDay[[#This Row],[Date]])</f>
        <v>385554.23</v>
      </c>
      <c r="R1323" s="34">
        <f>SUMIFS(DaybyDay[Retail-Actuals],DaybyDay[Date],"&gt;="&amp;$C$5,DaybyDay[RowYear],"&gt;="&amp;$C$4,DaybyDay[Date],"&lt;="&amp;DaybyDay[[#This Row],[Date]])</f>
        <v>88360.030000000028</v>
      </c>
      <c r="S1323" s="35">
        <f>SUMIFS(DaybyDay[Service-LY],DaybyDay[Date],"&gt;="&amp;$C$5,DaybyDay[RowYear],"&gt;="&amp;$C$4,DaybyDay[Date],"&lt;="&amp;DaybyDay[[#This Row],[Date]])</f>
        <v>1082671.1509999989</v>
      </c>
      <c r="T1323" s="35">
        <f>SUMIFS(DaybyDay[Retail-LY],DaybyDay[Date],"&gt;="&amp;$C$5,DaybyDay[RowYear],"&gt;="&amp;$C$4,DaybyDay[Date],"&lt;="&amp;DaybyDay[[#This Row],[Date]])</f>
        <v>259642.42999999996</v>
      </c>
      <c r="U1323" s="32">
        <f>DaybyDay[[#This Row],[Serv-Bud-RU]]+DaybyDay[[#This Row],[Ret-Bud-RU]]</f>
        <v>1485748.0553519563</v>
      </c>
      <c r="V1323" s="32">
        <f>DaybyDay[[#This Row],[Serv-Act-RU]]+DaybyDay[[#This Row],[Ret-Act-RU]]</f>
        <v>473914.26</v>
      </c>
      <c r="W1323" s="36" t="str">
        <f>IF(DaybyDay[[#This Row],[_Space]],IFERROR(
((DaybyDay[[#This Row],[Actual-Rollup]]-DaybyDay[[#This Row],[Budget-Rollup]])/DaybyDay[[#This Row],[Budget-Rollup]]),0),"")</f>
        <v/>
      </c>
      <c r="X1323" t="b">
        <f>NOT(AND(ISBLANK(DaybyDay[[#This Row],[Appts]]),ISBLANK(DaybyDay[[#This Row],[Service-Actuals]]),ISBLANK(DaybyDay[[#This Row],[Retail-Actuals]])))</f>
        <v>0</v>
      </c>
      <c r="Y1323" s="36" t="str">
        <f>IF(DaybyDay[[#This Row],[_Space]],IFERROR(
((DaybyDay[[#This Row],[Actual-Rollup]]-DaybyDay[[#This Row],[LY-Rollup]])/DaybyDay[[#This Row],[LY-Rollup]]),0),"")</f>
        <v/>
      </c>
      <c r="Z1323"/>
      <c r="AA1323" s="37" t="str">
        <f>IF(DaybyDay[[#This Row],[_Space]],DaybyDay[[#This Row],[Ret-Act-RU]]/DaybyDay[[#This Row],[Serv-Act-RU]],"")</f>
        <v/>
      </c>
      <c r="AB1323" s="50" t="str">
        <f>IF(DaybyDay[[#This Row],[_Space]],DaybyDay[[#This Row],[RETPEN-Act]]/DaybyDay[[#This Row],[RETPEN-Bud]],"")</f>
        <v/>
      </c>
      <c r="AC1323" s="37" t="str">
        <f>IF(DaybyDay[[#This Row],[_Space]],DaybyDay[[#This Row],[Ret-Bud-RU]]/DaybyDay[[#This Row],[Serv-Bud-RU]],"")</f>
        <v/>
      </c>
      <c r="AD1323" s="37" t="str">
        <f>IF(DaybyDay[[#This Row],[_Space]],DaybyDay[[#This Row],[Ret-LY-RU]]/DaybyDay[[#This Row],[Serv-LY-RU]],"")</f>
        <v/>
      </c>
      <c r="AE1323" s="30">
        <f>WEEKDAY(DaybyDay[[#This Row],[LY-Date]])</f>
        <v>1</v>
      </c>
      <c r="AF1323" s="38">
        <f>$E$2+_xlfn.DAYS(DaybyDay[[#This Row],[Date]],minDate)</f>
        <v>43688</v>
      </c>
      <c r="AG1323" s="39" cm="1">
        <f t="array" ref="AG1323">IFERROR(INDEX(DaybyDay[],DaybyDay[[#This Row],[FORM_MATCH_HELPER]],8),"")</f>
        <v>18</v>
      </c>
      <c r="AH1323" s="39" cm="1">
        <f t="array" ref="AH1323">IFERROR(INDEX(DaybyDay[],DaybyDay[[#This Row],[FORM_MATCH_HELPER]],10),"")</f>
        <v>4079.3999999999996</v>
      </c>
      <c r="AI1323" s="39" cm="1">
        <f t="array" ref="AI1323">IFERROR(INDEX(DaybyDay[],DaybyDay[[#This Row],[FORM_MATCH_HELPER]],12),"")</f>
        <v>2048.5500000000002</v>
      </c>
      <c r="AJ1323" s="32">
        <f>IFERROR(DaybyDay[[#This Row],[Serv-LY-RU]]+DaybyDay[[#This Row],[Ret-LY-RU]],"")</f>
        <v>1342313.5809999988</v>
      </c>
      <c r="AK13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1333467.4762027385</v>
      </c>
      <c r="AL1323" s="77"/>
      <c r="AM1323" s="40" t="str">
        <f>IF(DaybyDay[[#This Row],[Admin Hours]]&gt;0,DaybyDay[[#This Row],[Admin Hours]]*$AM$2+$AM$3,"")</f>
        <v/>
      </c>
      <c r="AN1323" s="40">
        <f>SUMIFS(DaybyDay[Est-Admin-Payroll],DaybyDay[Date],"&gt;="&amp;$C$5,DaybyDay[RowYear],"&gt;="&amp;$C$4,DaybyDay[Date],"&lt;="&amp;DaybyDay[[#This Row],[Date]])</f>
        <v>13941.779999999997</v>
      </c>
      <c r="AO1323" s="41" t="str">
        <f>IF(AND(DaybyDay[[#This Row],[_Space]],ISNUMBER(DaybyDay[[#This Row],[Admin Hours]])),DaybyDay[[#This Row],[Est-Admin-Payroll]]/(DaybyDay[[#This Row],[Service-Actuals]]+DaybyDay[[#This Row],[Retail-Actuals]]),"")</f>
        <v/>
      </c>
      <c r="AP1323" s="41">
        <f>DaybyDay[[#This Row],[Estimated-Payroll-Rollup]]/DaybyDay[[#This Row],[Simple-Forecast]]</f>
        <v>1.0455283123741001E-2</v>
      </c>
      <c r="AQ13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259390.37140632889</v>
      </c>
      <c r="AR1323" s="77"/>
      <c r="AS1323" s="40" t="str">
        <f>IF(DaybyDay[[#This Row],[Retail Hours]]&gt;0,DaybyDay[[#This Row],[Retail Hours]]*$AS$2,"")</f>
        <v/>
      </c>
      <c r="AT1323" s="40">
        <f>SUMIFS(DaybyDay[Est-Retail-Payroll],DaybyDay[Date],"&gt;="&amp;$C$5,DaybyDay[RowYear],"&gt;="&amp;$C$4,DaybyDay[Date],"&lt;="&amp;DaybyDay[[#This Row],[Date]])</f>
        <v>2627.1</v>
      </c>
      <c r="AU1323" s="82" t="str">
        <f>IF(AND(DaybyDay[[#This Row],[_Space]],ISNUMBER(DaybyDay[[#This Row],[Retail Hours]])),DaybyDay[[#This Row],[Est-Retail-Payroll]]/(DaybyDay[[#This Row],[Retail-Actuals]]),"")</f>
        <v/>
      </c>
      <c r="AV1323" s="82">
        <f>DaybyDay[[#This Row],[Est-Retail-PayrollRU]]/DaybyDay[[#This Row],[Simple-Forecast-Retail]]</f>
        <v>1.0127978096321509E-2</v>
      </c>
      <c r="AW1323" s="8"/>
      <c r="AX1323" s="15"/>
      <c r="AY1323" s="8"/>
    </row>
    <row r="1324" spans="3:51" hidden="1" x14ac:dyDescent="0.25">
      <c r="C1324" s="26" t="str">
        <f>Tools!$C$1</f>
        <v>Example</v>
      </c>
      <c r="D1324" s="27" t="s">
        <v>75</v>
      </c>
      <c r="E1324" s="28">
        <v>2020</v>
      </c>
      <c r="F1324" s="28">
        <f>MATCH(DaybyDay[[#This Row],[RowMonth]],Table3[SummaryMonth],0)</f>
        <v>8</v>
      </c>
      <c r="G1324" s="29">
        <f>MATCH(DaybyDay[[#This Row],[LY-Date]],DaybyDay[Date],0)</f>
        <v>954</v>
      </c>
      <c r="H1324" s="30">
        <f>WEEKDAY(DaybyDay[[#This Row],[Date]])</f>
        <v>2</v>
      </c>
      <c r="I1324" s="31">
        <v>44053</v>
      </c>
      <c r="J1324" s="74"/>
      <c r="K1324" s="32">
        <f>SUMIFS(BudgetSeasonality[365 Seasonality],BudgetSeasonality[MonthAdjustment],DaybyDay[[#This Row],[Date]])*SUMIFS(Budgets[Service-Budget],Budgets[BudgetMonth],DaybyDay[[#This Row],[RowMonth]],Budgets[BudgetYear],DaybyDay[[#This Row],[RowYear]])</f>
        <v>3418.647049846792</v>
      </c>
      <c r="L1324" s="75"/>
      <c r="M1324" s="32">
        <f>INDEX(BudgetSeasonality[365 Seasonality],MATCH(DaybyDay[[#This Row],[Date]],BudgetSeasonality[MonthAdjustment],0))*SUMIFS(Budgets[Retail-Budget],Budgets[BudgetMonth],DaybyDay[[#This Row],[RowMonth]],Budgets[BudgetYear],DaybyDay[[#This Row],[RowYear]])</f>
        <v>842.2746313543314</v>
      </c>
      <c r="N1324" s="75"/>
      <c r="O1324" s="33">
        <f>SUMIFS(DaybyDay[Service-Budgets],DaybyDay[Date],"&gt;="&amp;$C$5,DaybyDay[RowYear],"&gt;="&amp;$C$4,DaybyDay[Date],"&lt;="&amp;DaybyDay[[#This Row],[Date]])</f>
        <v>1191070.6357761954</v>
      </c>
      <c r="P1324" s="33">
        <f>SUMIFS(DaybyDay[Retail-Budgets],DaybyDay[Date],"&gt;="&amp;$C$5,DaybyDay[RowYear],"&gt;="&amp;$C$4,DaybyDay[Date],"&lt;="&amp;DaybyDay[[#This Row],[Date]])</f>
        <v>298938.3412569621</v>
      </c>
      <c r="Q1324" s="34">
        <f>SUMIFS(DaybyDay[Service-Actuals],DaybyDay[Date],"&gt;="&amp;$C$5,DaybyDay[RowYear],"&gt;="&amp;$C$4,DaybyDay[Date],"&lt;="&amp;DaybyDay[[#This Row],[Date]])</f>
        <v>385554.23</v>
      </c>
      <c r="R1324" s="34">
        <f>SUMIFS(DaybyDay[Retail-Actuals],DaybyDay[Date],"&gt;="&amp;$C$5,DaybyDay[RowYear],"&gt;="&amp;$C$4,DaybyDay[Date],"&lt;="&amp;DaybyDay[[#This Row],[Date]])</f>
        <v>88360.030000000028</v>
      </c>
      <c r="S1324" s="35">
        <f>SUMIFS(DaybyDay[Service-LY],DaybyDay[Date],"&gt;="&amp;$C$5,DaybyDay[RowYear],"&gt;="&amp;$C$4,DaybyDay[Date],"&lt;="&amp;DaybyDay[[#This Row],[Date]])</f>
        <v>1085191.5509999988</v>
      </c>
      <c r="T1324" s="35">
        <f>SUMIFS(DaybyDay[Retail-LY],DaybyDay[Date],"&gt;="&amp;$C$5,DaybyDay[RowYear],"&gt;="&amp;$C$4,DaybyDay[Date],"&lt;="&amp;DaybyDay[[#This Row],[Date]])</f>
        <v>260226.67999999996</v>
      </c>
      <c r="U1324" s="32">
        <f>DaybyDay[[#This Row],[Serv-Bud-RU]]+DaybyDay[[#This Row],[Ret-Bud-RU]]</f>
        <v>1490008.9770331576</v>
      </c>
      <c r="V1324" s="32">
        <f>DaybyDay[[#This Row],[Serv-Act-RU]]+DaybyDay[[#This Row],[Ret-Act-RU]]</f>
        <v>473914.26</v>
      </c>
      <c r="W1324" s="36" t="str">
        <f>IF(DaybyDay[[#This Row],[_Space]],IFERROR(
((DaybyDay[[#This Row],[Actual-Rollup]]-DaybyDay[[#This Row],[Budget-Rollup]])/DaybyDay[[#This Row],[Budget-Rollup]]),0),"")</f>
        <v/>
      </c>
      <c r="X1324" t="b">
        <f>NOT(AND(ISBLANK(DaybyDay[[#This Row],[Appts]]),ISBLANK(DaybyDay[[#This Row],[Service-Actuals]]),ISBLANK(DaybyDay[[#This Row],[Retail-Actuals]])))</f>
        <v>0</v>
      </c>
      <c r="Y1324" s="36" t="str">
        <f>IF(DaybyDay[[#This Row],[_Space]],IFERROR(
((DaybyDay[[#This Row],[Actual-Rollup]]-DaybyDay[[#This Row],[LY-Rollup]])/DaybyDay[[#This Row],[LY-Rollup]]),0),"")</f>
        <v/>
      </c>
      <c r="Z1324"/>
      <c r="AA1324" s="37" t="str">
        <f>IF(DaybyDay[[#This Row],[_Space]],DaybyDay[[#This Row],[Ret-Act-RU]]/DaybyDay[[#This Row],[Serv-Act-RU]],"")</f>
        <v/>
      </c>
      <c r="AB1324" s="50" t="str">
        <f>IF(DaybyDay[[#This Row],[_Space]],DaybyDay[[#This Row],[RETPEN-Act]]/DaybyDay[[#This Row],[RETPEN-Bud]],"")</f>
        <v/>
      </c>
      <c r="AC1324" s="37" t="str">
        <f>IF(DaybyDay[[#This Row],[_Space]],DaybyDay[[#This Row],[Ret-Bud-RU]]/DaybyDay[[#This Row],[Serv-Bud-RU]],"")</f>
        <v/>
      </c>
      <c r="AD1324" s="37" t="str">
        <f>IF(DaybyDay[[#This Row],[_Space]],DaybyDay[[#This Row],[Ret-LY-RU]]/DaybyDay[[#This Row],[Serv-LY-RU]],"")</f>
        <v/>
      </c>
      <c r="AE1324" s="30">
        <f>WEEKDAY(DaybyDay[[#This Row],[LY-Date]])</f>
        <v>2</v>
      </c>
      <c r="AF1324" s="38">
        <f>$E$2+_xlfn.DAYS(DaybyDay[[#This Row],[Date]],minDate)</f>
        <v>43689</v>
      </c>
      <c r="AG1324" s="39" cm="1">
        <f t="array" ref="AG1324">IFERROR(INDEX(DaybyDay[],DaybyDay[[#This Row],[FORM_MATCH_HELPER]],8),"")</f>
        <v>10</v>
      </c>
      <c r="AH1324" s="39" cm="1">
        <f t="array" ref="AH1324">IFERROR(INDEX(DaybyDay[],DaybyDay[[#This Row],[FORM_MATCH_HELPER]],10),"")</f>
        <v>2520.4</v>
      </c>
      <c r="AI1324" s="39" cm="1">
        <f t="array" ref="AI1324">IFERROR(INDEX(DaybyDay[],DaybyDay[[#This Row],[FORM_MATCH_HELPER]],12),"")</f>
        <v>584.25</v>
      </c>
      <c r="AJ1324" s="32">
        <f>IFERROR(DaybyDay[[#This Row],[Serv-LY-RU]]+DaybyDay[[#This Row],[Ret-LY-RU]],"")</f>
        <v>1345418.2309999987</v>
      </c>
      <c r="AK13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1336810.6063911333</v>
      </c>
      <c r="AL1324" s="77"/>
      <c r="AM1324" s="40" t="str">
        <f>IF(DaybyDay[[#This Row],[Admin Hours]]&gt;0,DaybyDay[[#This Row],[Admin Hours]]*$AM$2+$AM$3,"")</f>
        <v/>
      </c>
      <c r="AN1324" s="40">
        <f>SUMIFS(DaybyDay[Est-Admin-Payroll],DaybyDay[Date],"&gt;="&amp;$C$5,DaybyDay[RowYear],"&gt;="&amp;$C$4,DaybyDay[Date],"&lt;="&amp;DaybyDay[[#This Row],[Date]])</f>
        <v>13941.779999999997</v>
      </c>
      <c r="AO1324" s="41" t="str">
        <f>IF(AND(DaybyDay[[#This Row],[_Space]],ISNUMBER(DaybyDay[[#This Row],[Admin Hours]])),DaybyDay[[#This Row],[Est-Admin-Payroll]]/(DaybyDay[[#This Row],[Service-Actuals]]+DaybyDay[[#This Row],[Retail-Actuals]]),"")</f>
        <v/>
      </c>
      <c r="AP1324" s="41">
        <f>DaybyDay[[#This Row],[Estimated-Payroll-Rollup]]/DaybyDay[[#This Row],[Simple-Forecast]]</f>
        <v>1.0429136284037542E-2</v>
      </c>
      <c r="AQ13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260036.69747801113</v>
      </c>
      <c r="AR1324" s="77"/>
      <c r="AS1324" s="40" t="str">
        <f>IF(DaybyDay[[#This Row],[Retail Hours]]&gt;0,DaybyDay[[#This Row],[Retail Hours]]*$AS$2,"")</f>
        <v/>
      </c>
      <c r="AT1324" s="40">
        <f>SUMIFS(DaybyDay[Est-Retail-Payroll],DaybyDay[Date],"&gt;="&amp;$C$5,DaybyDay[RowYear],"&gt;="&amp;$C$4,DaybyDay[Date],"&lt;="&amp;DaybyDay[[#This Row],[Date]])</f>
        <v>2627.1</v>
      </c>
      <c r="AU1324" s="82" t="str">
        <f>IF(AND(DaybyDay[[#This Row],[_Space]],ISNUMBER(DaybyDay[[#This Row],[Retail Hours]])),DaybyDay[[#This Row],[Est-Retail-Payroll]]/(DaybyDay[[#This Row],[Retail-Actuals]]),"")</f>
        <v/>
      </c>
      <c r="AV1324" s="82">
        <f>DaybyDay[[#This Row],[Est-Retail-PayrollRU]]/DaybyDay[[#This Row],[Simple-Forecast-Retail]]</f>
        <v>1.0102804817470615E-2</v>
      </c>
      <c r="AW1324" s="8"/>
      <c r="AX1324" s="15"/>
      <c r="AY1324" s="8"/>
    </row>
    <row r="1325" spans="3:51" hidden="1" x14ac:dyDescent="0.25">
      <c r="C1325" s="26" t="str">
        <f>Tools!$C$1</f>
        <v>Example</v>
      </c>
      <c r="D1325" s="27" t="s">
        <v>75</v>
      </c>
      <c r="E1325" s="28">
        <v>2020</v>
      </c>
      <c r="F1325" s="28">
        <f>MATCH(DaybyDay[[#This Row],[RowMonth]],Table3[SummaryMonth],0)</f>
        <v>8</v>
      </c>
      <c r="G1325" s="29">
        <f>MATCH(DaybyDay[[#This Row],[LY-Date]],DaybyDay[Date],0)</f>
        <v>955</v>
      </c>
      <c r="H1325" s="30">
        <f>WEEKDAY(DaybyDay[[#This Row],[Date]])</f>
        <v>3</v>
      </c>
      <c r="I1325" s="31">
        <v>44054</v>
      </c>
      <c r="J1325" s="74"/>
      <c r="K1325" s="32">
        <f>SUMIFS(BudgetSeasonality[365 Seasonality],BudgetSeasonality[MonthAdjustment],DaybyDay[[#This Row],[Date]])*SUMIFS(Budgets[Service-Budget],Budgets[BudgetMonth],DaybyDay[[#This Row],[RowMonth]],Budgets[BudgetYear],DaybyDay[[#This Row],[RowYear]])</f>
        <v>3521.4821581615683</v>
      </c>
      <c r="L1325" s="75"/>
      <c r="M1325" s="32">
        <f>INDEX(BudgetSeasonality[365 Seasonality],MATCH(DaybyDay[[#This Row],[Date]],BudgetSeasonality[MonthAdjustment],0))*SUMIFS(Budgets[Retail-Budget],Budgets[BudgetMonth],DaybyDay[[#This Row],[RowMonth]],Budgets[BudgetYear],DaybyDay[[#This Row],[RowYear]])</f>
        <v>867.6107955395147</v>
      </c>
      <c r="N1325" s="75"/>
      <c r="O1325" s="33">
        <f>SUMIFS(DaybyDay[Service-Budgets],DaybyDay[Date],"&gt;="&amp;$C$5,DaybyDay[RowYear],"&gt;="&amp;$C$4,DaybyDay[Date],"&lt;="&amp;DaybyDay[[#This Row],[Date]])</f>
        <v>1194592.1179343569</v>
      </c>
      <c r="P1325" s="33">
        <f>SUMIFS(DaybyDay[Retail-Budgets],DaybyDay[Date],"&gt;="&amp;$C$5,DaybyDay[RowYear],"&gt;="&amp;$C$4,DaybyDay[Date],"&lt;="&amp;DaybyDay[[#This Row],[Date]])</f>
        <v>299805.95205250161</v>
      </c>
      <c r="Q1325" s="34">
        <f>SUMIFS(DaybyDay[Service-Actuals],DaybyDay[Date],"&gt;="&amp;$C$5,DaybyDay[RowYear],"&gt;="&amp;$C$4,DaybyDay[Date],"&lt;="&amp;DaybyDay[[#This Row],[Date]])</f>
        <v>385554.23</v>
      </c>
      <c r="R1325" s="34">
        <f>SUMIFS(DaybyDay[Retail-Actuals],DaybyDay[Date],"&gt;="&amp;$C$5,DaybyDay[RowYear],"&gt;="&amp;$C$4,DaybyDay[Date],"&lt;="&amp;DaybyDay[[#This Row],[Date]])</f>
        <v>88360.030000000028</v>
      </c>
      <c r="S1325" s="35">
        <f>SUMIFS(DaybyDay[Service-LY],DaybyDay[Date],"&gt;="&amp;$C$5,DaybyDay[RowYear],"&gt;="&amp;$C$4,DaybyDay[Date],"&lt;="&amp;DaybyDay[[#This Row],[Date]])</f>
        <v>1086404.5509999988</v>
      </c>
      <c r="T1325" s="35">
        <f>SUMIFS(DaybyDay[Retail-LY],DaybyDay[Date],"&gt;="&amp;$C$5,DaybyDay[RowYear],"&gt;="&amp;$C$4,DaybyDay[Date],"&lt;="&amp;DaybyDay[[#This Row],[Date]])</f>
        <v>260505.67999999996</v>
      </c>
      <c r="U1325" s="32">
        <f>DaybyDay[[#This Row],[Serv-Bud-RU]]+DaybyDay[[#This Row],[Ret-Bud-RU]]</f>
        <v>1494398.0699868584</v>
      </c>
      <c r="V1325" s="32">
        <f>DaybyDay[[#This Row],[Serv-Act-RU]]+DaybyDay[[#This Row],[Ret-Act-RU]]</f>
        <v>473914.26</v>
      </c>
      <c r="W1325" s="36" t="str">
        <f>IF(DaybyDay[[#This Row],[_Space]],IFERROR(
((DaybyDay[[#This Row],[Actual-Rollup]]-DaybyDay[[#This Row],[Budget-Rollup]])/DaybyDay[[#This Row],[Budget-Rollup]]),0),"")</f>
        <v/>
      </c>
      <c r="X1325" t="b">
        <f>NOT(AND(ISBLANK(DaybyDay[[#This Row],[Appts]]),ISBLANK(DaybyDay[[#This Row],[Service-Actuals]]),ISBLANK(DaybyDay[[#This Row],[Retail-Actuals]])))</f>
        <v>0</v>
      </c>
      <c r="Y1325" s="36" t="str">
        <f>IF(DaybyDay[[#This Row],[_Space]],IFERROR(
((DaybyDay[[#This Row],[Actual-Rollup]]-DaybyDay[[#This Row],[LY-Rollup]])/DaybyDay[[#This Row],[LY-Rollup]]),0),"")</f>
        <v/>
      </c>
      <c r="Z1325"/>
      <c r="AA1325" s="37" t="str">
        <f>IF(DaybyDay[[#This Row],[_Space]],DaybyDay[[#This Row],[Ret-Act-RU]]/DaybyDay[[#This Row],[Serv-Act-RU]],"")</f>
        <v/>
      </c>
      <c r="AB1325" s="50" t="str">
        <f>IF(DaybyDay[[#This Row],[_Space]],DaybyDay[[#This Row],[RETPEN-Act]]/DaybyDay[[#This Row],[RETPEN-Bud]],"")</f>
        <v/>
      </c>
      <c r="AC1325" s="37" t="str">
        <f>IF(DaybyDay[[#This Row],[_Space]],DaybyDay[[#This Row],[Ret-Bud-RU]]/DaybyDay[[#This Row],[Serv-Bud-RU]],"")</f>
        <v/>
      </c>
      <c r="AD1325" s="37" t="str">
        <f>IF(DaybyDay[[#This Row],[_Space]],DaybyDay[[#This Row],[Ret-LY-RU]]/DaybyDay[[#This Row],[Serv-LY-RU]],"")</f>
        <v/>
      </c>
      <c r="AE1325" s="30">
        <f>WEEKDAY(DaybyDay[[#This Row],[LY-Date]])</f>
        <v>3</v>
      </c>
      <c r="AF1325" s="38">
        <f>$E$2+_xlfn.DAYS(DaybyDay[[#This Row],[Date]],minDate)</f>
        <v>43690</v>
      </c>
      <c r="AG1325" s="39" cm="1">
        <f t="array" ref="AG1325">IFERROR(INDEX(DaybyDay[],DaybyDay[[#This Row],[FORM_MATCH_HELPER]],8),"")</f>
        <v>9</v>
      </c>
      <c r="AH1325" s="39" cm="1">
        <f t="array" ref="AH1325">IFERROR(INDEX(DaybyDay[],DaybyDay[[#This Row],[FORM_MATCH_HELPER]],10),"")</f>
        <v>1213</v>
      </c>
      <c r="AI1325" s="39" cm="1">
        <f t="array" ref="AI1325">IFERROR(INDEX(DaybyDay[],DaybyDay[[#This Row],[FORM_MATCH_HELPER]],12),"")</f>
        <v>279</v>
      </c>
      <c r="AJ1325" s="32">
        <f>IFERROR(DaybyDay[[#This Row],[Serv-LY-RU]]+DaybyDay[[#This Row],[Ret-LY-RU]],"")</f>
        <v>1346910.2309999987</v>
      </c>
      <c r="AK13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1339413.1486991025</v>
      </c>
      <c r="AL1325" s="77"/>
      <c r="AM1325" s="40" t="str">
        <f>IF(DaybyDay[[#This Row],[Admin Hours]]&gt;0,DaybyDay[[#This Row],[Admin Hours]]*$AM$2+$AM$3,"")</f>
        <v/>
      </c>
      <c r="AN1325" s="40">
        <f>SUMIFS(DaybyDay[Est-Admin-Payroll],DaybyDay[Date],"&gt;="&amp;$C$5,DaybyDay[RowYear],"&gt;="&amp;$C$4,DaybyDay[Date],"&lt;="&amp;DaybyDay[[#This Row],[Date]])</f>
        <v>13941.779999999997</v>
      </c>
      <c r="AO1325" s="41" t="str">
        <f>IF(AND(DaybyDay[[#This Row],[_Space]],ISNUMBER(DaybyDay[[#This Row],[Admin Hours]])),DaybyDay[[#This Row],[Est-Admin-Payroll]]/(DaybyDay[[#This Row],[Service-Actuals]]+DaybyDay[[#This Row],[Retail-Actuals]]),"")</f>
        <v/>
      </c>
      <c r="AP1325" s="41">
        <f>DaybyDay[[#This Row],[Estimated-Payroll-Rollup]]/DaybyDay[[#This Row],[Simple-Forecast]]</f>
        <v>1.0408871985123389E-2</v>
      </c>
      <c r="AQ13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260543.29896629549</v>
      </c>
      <c r="AR1325" s="77"/>
      <c r="AS1325" s="40" t="str">
        <f>IF(DaybyDay[[#This Row],[Retail Hours]]&gt;0,DaybyDay[[#This Row],[Retail Hours]]*$AS$2,"")</f>
        <v/>
      </c>
      <c r="AT1325" s="40">
        <f>SUMIFS(DaybyDay[Est-Retail-Payroll],DaybyDay[Date],"&gt;="&amp;$C$5,DaybyDay[RowYear],"&gt;="&amp;$C$4,DaybyDay[Date],"&lt;="&amp;DaybyDay[[#This Row],[Date]])</f>
        <v>2627.1</v>
      </c>
      <c r="AU1325" s="82" t="str">
        <f>IF(AND(DaybyDay[[#This Row],[_Space]],ISNUMBER(DaybyDay[[#This Row],[Retail Hours]])),DaybyDay[[#This Row],[Est-Retail-Payroll]]/(DaybyDay[[#This Row],[Retail-Actuals]]),"")</f>
        <v/>
      </c>
      <c r="AV1325" s="82">
        <f>DaybyDay[[#This Row],[Est-Retail-PayrollRU]]/DaybyDay[[#This Row],[Simple-Forecast-Retail]]</f>
        <v>1.0083160881216323E-2</v>
      </c>
      <c r="AW1325" s="8"/>
      <c r="AX1325" s="15"/>
      <c r="AY1325" s="8"/>
    </row>
    <row r="1326" spans="3:51" hidden="1" x14ac:dyDescent="0.25">
      <c r="C1326" s="26" t="str">
        <f>Tools!$C$1</f>
        <v>Example</v>
      </c>
      <c r="D1326" s="27" t="s">
        <v>75</v>
      </c>
      <c r="E1326" s="28">
        <v>2020</v>
      </c>
      <c r="F1326" s="28">
        <f>MATCH(DaybyDay[[#This Row],[RowMonth]],Table3[SummaryMonth],0)</f>
        <v>8</v>
      </c>
      <c r="G1326" s="29">
        <f>MATCH(DaybyDay[[#This Row],[LY-Date]],DaybyDay[Date],0)</f>
        <v>956</v>
      </c>
      <c r="H1326" s="30">
        <f>WEEKDAY(DaybyDay[[#This Row],[Date]])</f>
        <v>4</v>
      </c>
      <c r="I1326" s="31">
        <v>44055</v>
      </c>
      <c r="J1326" s="74"/>
      <c r="K1326" s="32">
        <f>SUMIFS(BudgetSeasonality[365 Seasonality],BudgetSeasonality[MonthAdjustment],DaybyDay[[#This Row],[Date]])*SUMIFS(Budgets[Service-Budget],Budgets[BudgetMonth],DaybyDay[[#This Row],[RowMonth]],Budgets[BudgetYear],DaybyDay[[#This Row],[RowYear]])</f>
        <v>4115.5076353176801</v>
      </c>
      <c r="L1326" s="75"/>
      <c r="M1326" s="32">
        <f>INDEX(BudgetSeasonality[365 Seasonality],MATCH(DaybyDay[[#This Row],[Date]],BudgetSeasonality[MonthAdjustment],0))*SUMIFS(Budgets[Retail-Budget],Budgets[BudgetMonth],DaybyDay[[#This Row],[RowMonth]],Budgets[BudgetYear],DaybyDay[[#This Row],[RowYear]])</f>
        <v>1013.9647719785763</v>
      </c>
      <c r="N1326" s="75"/>
      <c r="O1326" s="33">
        <f>SUMIFS(DaybyDay[Service-Budgets],DaybyDay[Date],"&gt;="&amp;$C$5,DaybyDay[RowYear],"&gt;="&amp;$C$4,DaybyDay[Date],"&lt;="&amp;DaybyDay[[#This Row],[Date]])</f>
        <v>1198707.6255696747</v>
      </c>
      <c r="P1326" s="33">
        <f>SUMIFS(DaybyDay[Retail-Budgets],DaybyDay[Date],"&gt;="&amp;$C$5,DaybyDay[RowYear],"&gt;="&amp;$C$4,DaybyDay[Date],"&lt;="&amp;DaybyDay[[#This Row],[Date]])</f>
        <v>300819.91682448017</v>
      </c>
      <c r="Q1326" s="34">
        <f>SUMIFS(DaybyDay[Service-Actuals],DaybyDay[Date],"&gt;="&amp;$C$5,DaybyDay[RowYear],"&gt;="&amp;$C$4,DaybyDay[Date],"&lt;="&amp;DaybyDay[[#This Row],[Date]])</f>
        <v>385554.23</v>
      </c>
      <c r="R1326" s="34">
        <f>SUMIFS(DaybyDay[Retail-Actuals],DaybyDay[Date],"&gt;="&amp;$C$5,DaybyDay[RowYear],"&gt;="&amp;$C$4,DaybyDay[Date],"&lt;="&amp;DaybyDay[[#This Row],[Date]])</f>
        <v>88360.030000000028</v>
      </c>
      <c r="S1326" s="35">
        <f>SUMIFS(DaybyDay[Service-LY],DaybyDay[Date],"&gt;="&amp;$C$5,DaybyDay[RowYear],"&gt;="&amp;$C$4,DaybyDay[Date],"&lt;="&amp;DaybyDay[[#This Row],[Date]])</f>
        <v>1091634.9509999987</v>
      </c>
      <c r="T1326" s="35">
        <f>SUMIFS(DaybyDay[Retail-LY],DaybyDay[Date],"&gt;="&amp;$C$5,DaybyDay[RowYear],"&gt;="&amp;$C$4,DaybyDay[Date],"&lt;="&amp;DaybyDay[[#This Row],[Date]])</f>
        <v>261779.07999999996</v>
      </c>
      <c r="U1326" s="32">
        <f>DaybyDay[[#This Row],[Serv-Bud-RU]]+DaybyDay[[#This Row],[Ret-Bud-RU]]</f>
        <v>1499527.5423941547</v>
      </c>
      <c r="V1326" s="32">
        <f>DaybyDay[[#This Row],[Serv-Act-RU]]+DaybyDay[[#This Row],[Ret-Act-RU]]</f>
        <v>473914.26</v>
      </c>
      <c r="W1326" s="36" t="str">
        <f>IF(DaybyDay[[#This Row],[_Space]],IFERROR(
((DaybyDay[[#This Row],[Actual-Rollup]]-DaybyDay[[#This Row],[Budget-Rollup]])/DaybyDay[[#This Row],[Budget-Rollup]]),0),"")</f>
        <v/>
      </c>
      <c r="X1326" t="b">
        <f>NOT(AND(ISBLANK(DaybyDay[[#This Row],[Appts]]),ISBLANK(DaybyDay[[#This Row],[Service-Actuals]]),ISBLANK(DaybyDay[[#This Row],[Retail-Actuals]])))</f>
        <v>0</v>
      </c>
      <c r="Y1326" s="36" t="str">
        <f>IF(DaybyDay[[#This Row],[_Space]],IFERROR(
((DaybyDay[[#This Row],[Actual-Rollup]]-DaybyDay[[#This Row],[LY-Rollup]])/DaybyDay[[#This Row],[LY-Rollup]]),0),"")</f>
        <v/>
      </c>
      <c r="Z1326"/>
      <c r="AA1326" s="37" t="str">
        <f>IF(DaybyDay[[#This Row],[_Space]],DaybyDay[[#This Row],[Ret-Act-RU]]/DaybyDay[[#This Row],[Serv-Act-RU]],"")</f>
        <v/>
      </c>
      <c r="AB1326" s="50" t="str">
        <f>IF(DaybyDay[[#This Row],[_Space]],DaybyDay[[#This Row],[RETPEN-Act]]/DaybyDay[[#This Row],[RETPEN-Bud]],"")</f>
        <v/>
      </c>
      <c r="AC1326" s="37" t="str">
        <f>IF(DaybyDay[[#This Row],[_Space]],DaybyDay[[#This Row],[Ret-Bud-RU]]/DaybyDay[[#This Row],[Serv-Bud-RU]],"")</f>
        <v/>
      </c>
      <c r="AD1326" s="37" t="str">
        <f>IF(DaybyDay[[#This Row],[_Space]],DaybyDay[[#This Row],[Ret-LY-RU]]/DaybyDay[[#This Row],[Serv-LY-RU]],"")</f>
        <v/>
      </c>
      <c r="AE1326" s="30">
        <f>WEEKDAY(DaybyDay[[#This Row],[LY-Date]])</f>
        <v>4</v>
      </c>
      <c r="AF1326" s="38">
        <f>$E$2+_xlfn.DAYS(DaybyDay[[#This Row],[Date]],minDate)</f>
        <v>43691</v>
      </c>
      <c r="AG1326" s="39" cm="1">
        <f t="array" ref="AG1326">IFERROR(INDEX(DaybyDay[],DaybyDay[[#This Row],[FORM_MATCH_HELPER]],8),"")</f>
        <v>21</v>
      </c>
      <c r="AH1326" s="39" cm="1">
        <f t="array" ref="AH1326">IFERROR(INDEX(DaybyDay[],DaybyDay[[#This Row],[FORM_MATCH_HELPER]],10),"")</f>
        <v>5230.3999999999996</v>
      </c>
      <c r="AI1326" s="39" cm="1">
        <f t="array" ref="AI1326">IFERROR(INDEX(DaybyDay[],DaybyDay[[#This Row],[FORM_MATCH_HELPER]],12),"")</f>
        <v>1273.4000000000001</v>
      </c>
      <c r="AJ1326" s="32">
        <f>IFERROR(DaybyDay[[#This Row],[Serv-LY-RU]]+DaybyDay[[#This Row],[Ret-LY-RU]],"")</f>
        <v>1353414.0309999986</v>
      </c>
      <c r="AK13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1344801.6489820213</v>
      </c>
      <c r="AL1326" s="77"/>
      <c r="AM1326" s="40" t="str">
        <f>IF(DaybyDay[[#This Row],[Admin Hours]]&gt;0,DaybyDay[[#This Row],[Admin Hours]]*$AM$2+$AM$3,"")</f>
        <v/>
      </c>
      <c r="AN1326" s="40">
        <f>SUMIFS(DaybyDay[Est-Admin-Payroll],DaybyDay[Date],"&gt;="&amp;$C$5,DaybyDay[RowYear],"&gt;="&amp;$C$4,DaybyDay[Date],"&lt;="&amp;DaybyDay[[#This Row],[Date]])</f>
        <v>13941.779999999997</v>
      </c>
      <c r="AO1326" s="41" t="str">
        <f>IF(AND(DaybyDay[[#This Row],[_Space]],ISNUMBER(DaybyDay[[#This Row],[Admin Hours]])),DaybyDay[[#This Row],[Est-Admin-Payroll]]/(DaybyDay[[#This Row],[Service-Actuals]]+DaybyDay[[#This Row],[Retail-Actuals]]),"")</f>
        <v/>
      </c>
      <c r="AP1326" s="41">
        <f>DaybyDay[[#This Row],[Estimated-Payroll-Rollup]]/DaybyDay[[#This Row],[Simple-Forecast]]</f>
        <v>1.0367164563304596E-2</v>
      </c>
      <c r="AQ13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261602.43500100914</v>
      </c>
      <c r="AR1326" s="77"/>
      <c r="AS1326" s="40" t="str">
        <f>IF(DaybyDay[[#This Row],[Retail Hours]]&gt;0,DaybyDay[[#This Row],[Retail Hours]]*$AS$2,"")</f>
        <v/>
      </c>
      <c r="AT1326" s="40">
        <f>SUMIFS(DaybyDay[Est-Retail-Payroll],DaybyDay[Date],"&gt;="&amp;$C$5,DaybyDay[RowYear],"&gt;="&amp;$C$4,DaybyDay[Date],"&lt;="&amp;DaybyDay[[#This Row],[Date]])</f>
        <v>2627.1</v>
      </c>
      <c r="AU1326" s="82" t="str">
        <f>IF(AND(DaybyDay[[#This Row],[_Space]],ISNUMBER(DaybyDay[[#This Row],[Retail Hours]])),DaybyDay[[#This Row],[Est-Retail-Payroll]]/(DaybyDay[[#This Row],[Retail-Actuals]]),"")</f>
        <v/>
      </c>
      <c r="AV1326" s="82">
        <f>DaybyDay[[#This Row],[Est-Retail-PayrollRU]]/DaybyDay[[#This Row],[Simple-Forecast-Retail]]</f>
        <v>1.0042337717498179E-2</v>
      </c>
      <c r="AW1326" s="8"/>
      <c r="AX1326" s="15"/>
      <c r="AY1326" s="8"/>
    </row>
    <row r="1327" spans="3:51" hidden="1" x14ac:dyDescent="0.25">
      <c r="C1327" s="26" t="str">
        <f>Tools!$C$1</f>
        <v>Example</v>
      </c>
      <c r="D1327" s="27" t="s">
        <v>75</v>
      </c>
      <c r="E1327" s="28">
        <v>2020</v>
      </c>
      <c r="F1327" s="28">
        <f>MATCH(DaybyDay[[#This Row],[RowMonth]],Table3[SummaryMonth],0)</f>
        <v>8</v>
      </c>
      <c r="G1327" s="29">
        <f>MATCH(DaybyDay[[#This Row],[LY-Date]],DaybyDay[Date],0)</f>
        <v>957</v>
      </c>
      <c r="H1327" s="30">
        <f>WEEKDAY(DaybyDay[[#This Row],[Date]])</f>
        <v>5</v>
      </c>
      <c r="I1327" s="31">
        <v>44056</v>
      </c>
      <c r="J1327" s="74"/>
      <c r="K1327" s="32">
        <f>SUMIFS(BudgetSeasonality[365 Seasonality],BudgetSeasonality[MonthAdjustment],DaybyDay[[#This Row],[Date]])*SUMIFS(Budgets[Service-Budget],Budgets[BudgetMonth],DaybyDay[[#This Row],[RowMonth]],Budgets[BudgetYear],DaybyDay[[#This Row],[RowYear]])</f>
        <v>4221.2744917393529</v>
      </c>
      <c r="L1327" s="75"/>
      <c r="M1327" s="32">
        <f>INDEX(BudgetSeasonality[365 Seasonality],MATCH(DaybyDay[[#This Row],[Date]],BudgetSeasonality[MonthAdjustment],0))*SUMIFS(Budgets[Retail-Budget],Budgets[BudgetMonth],DaybyDay[[#This Row],[RowMonth]],Budgets[BudgetYear],DaybyDay[[#This Row],[RowYear]])</f>
        <v>1040.0232502897736</v>
      </c>
      <c r="N1327" s="75"/>
      <c r="O1327" s="33">
        <f>SUMIFS(DaybyDay[Service-Budgets],DaybyDay[Date],"&gt;="&amp;$C$5,DaybyDay[RowYear],"&gt;="&amp;$C$4,DaybyDay[Date],"&lt;="&amp;DaybyDay[[#This Row],[Date]])</f>
        <v>1202928.9000614141</v>
      </c>
      <c r="P1327" s="33">
        <f>SUMIFS(DaybyDay[Retail-Budgets],DaybyDay[Date],"&gt;="&amp;$C$5,DaybyDay[RowYear],"&gt;="&amp;$C$4,DaybyDay[Date],"&lt;="&amp;DaybyDay[[#This Row],[Date]])</f>
        <v>301859.94007476995</v>
      </c>
      <c r="Q1327" s="34">
        <f>SUMIFS(DaybyDay[Service-Actuals],DaybyDay[Date],"&gt;="&amp;$C$5,DaybyDay[RowYear],"&gt;="&amp;$C$4,DaybyDay[Date],"&lt;="&amp;DaybyDay[[#This Row],[Date]])</f>
        <v>385554.23</v>
      </c>
      <c r="R1327" s="34">
        <f>SUMIFS(DaybyDay[Retail-Actuals],DaybyDay[Date],"&gt;="&amp;$C$5,DaybyDay[RowYear],"&gt;="&amp;$C$4,DaybyDay[Date],"&lt;="&amp;DaybyDay[[#This Row],[Date]])</f>
        <v>88360.030000000028</v>
      </c>
      <c r="S1327" s="35">
        <f>SUMIFS(DaybyDay[Service-LY],DaybyDay[Date],"&gt;="&amp;$C$5,DaybyDay[RowYear],"&gt;="&amp;$C$4,DaybyDay[Date],"&lt;="&amp;DaybyDay[[#This Row],[Date]])</f>
        <v>1092634.7809999988</v>
      </c>
      <c r="T1327" s="35">
        <f>SUMIFS(DaybyDay[Retail-LY],DaybyDay[Date],"&gt;="&amp;$C$5,DaybyDay[RowYear],"&gt;="&amp;$C$4,DaybyDay[Date],"&lt;="&amp;DaybyDay[[#This Row],[Date]])</f>
        <v>262269.07999999996</v>
      </c>
      <c r="U1327" s="32">
        <f>DaybyDay[[#This Row],[Serv-Bud-RU]]+DaybyDay[[#This Row],[Ret-Bud-RU]]</f>
        <v>1504788.8401361841</v>
      </c>
      <c r="V1327" s="32">
        <f>DaybyDay[[#This Row],[Serv-Act-RU]]+DaybyDay[[#This Row],[Ret-Act-RU]]</f>
        <v>473914.26</v>
      </c>
      <c r="W1327" s="36" t="str">
        <f>IF(DaybyDay[[#This Row],[_Space]],IFERROR(
((DaybyDay[[#This Row],[Actual-Rollup]]-DaybyDay[[#This Row],[Budget-Rollup]])/DaybyDay[[#This Row],[Budget-Rollup]]),0),"")</f>
        <v/>
      </c>
      <c r="X1327" t="b">
        <f>NOT(AND(ISBLANK(DaybyDay[[#This Row],[Appts]]),ISBLANK(DaybyDay[[#This Row],[Service-Actuals]]),ISBLANK(DaybyDay[[#This Row],[Retail-Actuals]])))</f>
        <v>0</v>
      </c>
      <c r="Y1327" s="36" t="str">
        <f>IF(DaybyDay[[#This Row],[_Space]],IFERROR(
((DaybyDay[[#This Row],[Actual-Rollup]]-DaybyDay[[#This Row],[LY-Rollup]])/DaybyDay[[#This Row],[LY-Rollup]]),0),"")</f>
        <v/>
      </c>
      <c r="Z1327"/>
      <c r="AA1327" s="37" t="str">
        <f>IF(DaybyDay[[#This Row],[_Space]],DaybyDay[[#This Row],[Ret-Act-RU]]/DaybyDay[[#This Row],[Serv-Act-RU]],"")</f>
        <v/>
      </c>
      <c r="AB1327" s="50" t="str">
        <f>IF(DaybyDay[[#This Row],[_Space]],DaybyDay[[#This Row],[RETPEN-Act]]/DaybyDay[[#This Row],[RETPEN-Bud]],"")</f>
        <v/>
      </c>
      <c r="AC1327" s="37" t="str">
        <f>IF(DaybyDay[[#This Row],[_Space]],DaybyDay[[#This Row],[Ret-Bud-RU]]/DaybyDay[[#This Row],[Serv-Bud-RU]],"")</f>
        <v/>
      </c>
      <c r="AD1327" s="37" t="str">
        <f>IF(DaybyDay[[#This Row],[_Space]],DaybyDay[[#This Row],[Ret-LY-RU]]/DaybyDay[[#This Row],[Serv-LY-RU]],"")</f>
        <v/>
      </c>
      <c r="AE1327" s="30">
        <f>WEEKDAY(DaybyDay[[#This Row],[LY-Date]])</f>
        <v>5</v>
      </c>
      <c r="AF1327" s="38">
        <f>$E$2+_xlfn.DAYS(DaybyDay[[#This Row],[Date]],minDate)</f>
        <v>43692</v>
      </c>
      <c r="AG1327" s="39" cm="1">
        <f t="array" ref="AG1327">IFERROR(INDEX(DaybyDay[],DaybyDay[[#This Row],[FORM_MATCH_HELPER]],8),"")</f>
        <v>7</v>
      </c>
      <c r="AH1327" s="39" cm="1">
        <f t="array" ref="AH1327">IFERROR(INDEX(DaybyDay[],DaybyDay[[#This Row],[FORM_MATCH_HELPER]],10),"")</f>
        <v>999.82999999999993</v>
      </c>
      <c r="AI1327" s="39" cm="1">
        <f t="array" ref="AI1327">IFERROR(INDEX(DaybyDay[],DaybyDay[[#This Row],[FORM_MATCH_HELPER]],12),"")</f>
        <v>490</v>
      </c>
      <c r="AJ1327" s="32">
        <f>IFERROR(DaybyDay[[#This Row],[Serv-LY-RU]]+DaybyDay[[#This Row],[Ret-LY-RU]],"")</f>
        <v>1354903.8609999986</v>
      </c>
      <c r="AK13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1347774.1178931198</v>
      </c>
      <c r="AL1327" s="77"/>
      <c r="AM1327" s="40" t="str">
        <f>IF(DaybyDay[[#This Row],[Admin Hours]]&gt;0,DaybyDay[[#This Row],[Admin Hours]]*$AM$2+$AM$3,"")</f>
        <v/>
      </c>
      <c r="AN1327" s="40">
        <f>SUMIFS(DaybyDay[Est-Admin-Payroll],DaybyDay[Date],"&gt;="&amp;$C$5,DaybyDay[RowYear],"&gt;="&amp;$C$4,DaybyDay[Date],"&lt;="&amp;DaybyDay[[#This Row],[Date]])</f>
        <v>13941.779999999997</v>
      </c>
      <c r="AO1327" s="41" t="str">
        <f>IF(AND(DaybyDay[[#This Row],[_Space]],ISNUMBER(DaybyDay[[#This Row],[Admin Hours]])),DaybyDay[[#This Row],[Est-Admin-Payroll]]/(DaybyDay[[#This Row],[Service-Actuals]]+DaybyDay[[#This Row],[Retail-Actuals]]),"")</f>
        <v/>
      </c>
      <c r="AP1327" s="41">
        <f>DaybyDay[[#This Row],[Estimated-Payroll-Rollup]]/DaybyDay[[#This Row],[Simple-Forecast]]</f>
        <v>1.0344300142663519E-2</v>
      </c>
      <c r="AQ13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262286.40507657058</v>
      </c>
      <c r="AR1327" s="77"/>
      <c r="AS1327" s="40" t="str">
        <f>IF(DaybyDay[[#This Row],[Retail Hours]]&gt;0,DaybyDay[[#This Row],[Retail Hours]]*$AS$2,"")</f>
        <v/>
      </c>
      <c r="AT1327" s="40">
        <f>SUMIFS(DaybyDay[Est-Retail-Payroll],DaybyDay[Date],"&gt;="&amp;$C$5,DaybyDay[RowYear],"&gt;="&amp;$C$4,DaybyDay[Date],"&lt;="&amp;DaybyDay[[#This Row],[Date]])</f>
        <v>2627.1</v>
      </c>
      <c r="AU1327" s="82" t="str">
        <f>IF(AND(DaybyDay[[#This Row],[_Space]],ISNUMBER(DaybyDay[[#This Row],[Retail Hours]])),DaybyDay[[#This Row],[Est-Retail-Payroll]]/(DaybyDay[[#This Row],[Retail-Actuals]]),"")</f>
        <v/>
      </c>
      <c r="AV1327" s="82">
        <f>DaybyDay[[#This Row],[Est-Retail-PayrollRU]]/DaybyDay[[#This Row],[Simple-Forecast-Retail]]</f>
        <v>1.0016150090711173E-2</v>
      </c>
      <c r="AW1327" s="8"/>
      <c r="AX1327" s="15"/>
      <c r="AY1327" s="8"/>
    </row>
    <row r="1328" spans="3:51" hidden="1" x14ac:dyDescent="0.25">
      <c r="C1328" s="26" t="str">
        <f>Tools!$C$1</f>
        <v>Example</v>
      </c>
      <c r="D1328" s="27" t="s">
        <v>75</v>
      </c>
      <c r="E1328" s="28">
        <v>2020</v>
      </c>
      <c r="F1328" s="28">
        <f>MATCH(DaybyDay[[#This Row],[RowMonth]],Table3[SummaryMonth],0)</f>
        <v>8</v>
      </c>
      <c r="G1328" s="29">
        <f>MATCH(DaybyDay[[#This Row],[LY-Date]],DaybyDay[Date],0)</f>
        <v>958</v>
      </c>
      <c r="H1328" s="30">
        <f>WEEKDAY(DaybyDay[[#This Row],[Date]])</f>
        <v>6</v>
      </c>
      <c r="I1328" s="31">
        <v>44057</v>
      </c>
      <c r="J1328" s="74"/>
      <c r="K1328" s="32">
        <f>SUMIFS(BudgetSeasonality[365 Seasonality],BudgetSeasonality[MonthAdjustment],DaybyDay[[#This Row],[Date]])*SUMIFS(Budgets[Service-Budget],Budgets[BudgetMonth],DaybyDay[[#This Row],[RowMonth]],Budgets[BudgetYear],DaybyDay[[#This Row],[RowYear]])</f>
        <v>5357.5380616836128</v>
      </c>
      <c r="L1328" s="75"/>
      <c r="M1328" s="32">
        <f>INDEX(BudgetSeasonality[365 Seasonality],MATCH(DaybyDay[[#This Row],[Date]],BudgetSeasonality[MonthAdjustment],0))*SUMIFS(Budgets[Retail-Budget],Budgets[BudgetMonth],DaybyDay[[#This Row],[RowMonth]],Budgets[BudgetYear],DaybyDay[[#This Row],[RowYear]])</f>
        <v>1319.9720035660291</v>
      </c>
      <c r="N1328" s="75"/>
      <c r="O1328" s="33">
        <f>SUMIFS(DaybyDay[Service-Budgets],DaybyDay[Date],"&gt;="&amp;$C$5,DaybyDay[RowYear],"&gt;="&amp;$C$4,DaybyDay[Date],"&lt;="&amp;DaybyDay[[#This Row],[Date]])</f>
        <v>1208286.4381230976</v>
      </c>
      <c r="P1328" s="33">
        <f>SUMIFS(DaybyDay[Retail-Budgets],DaybyDay[Date],"&gt;="&amp;$C$5,DaybyDay[RowYear],"&gt;="&amp;$C$4,DaybyDay[Date],"&lt;="&amp;DaybyDay[[#This Row],[Date]])</f>
        <v>303179.912078336</v>
      </c>
      <c r="Q1328" s="34">
        <f>SUMIFS(DaybyDay[Service-Actuals],DaybyDay[Date],"&gt;="&amp;$C$5,DaybyDay[RowYear],"&gt;="&amp;$C$4,DaybyDay[Date],"&lt;="&amp;DaybyDay[[#This Row],[Date]])</f>
        <v>385554.23</v>
      </c>
      <c r="R1328" s="34">
        <f>SUMIFS(DaybyDay[Retail-Actuals],DaybyDay[Date],"&gt;="&amp;$C$5,DaybyDay[RowYear],"&gt;="&amp;$C$4,DaybyDay[Date],"&lt;="&amp;DaybyDay[[#This Row],[Date]])</f>
        <v>88360.030000000028</v>
      </c>
      <c r="S1328" s="35">
        <f>SUMIFS(DaybyDay[Service-LY],DaybyDay[Date],"&gt;="&amp;$C$5,DaybyDay[RowYear],"&gt;="&amp;$C$4,DaybyDay[Date],"&lt;="&amp;DaybyDay[[#This Row],[Date]])</f>
        <v>1098659.5509999988</v>
      </c>
      <c r="T1328" s="35">
        <f>SUMIFS(DaybyDay[Retail-LY],DaybyDay[Date],"&gt;="&amp;$C$5,DaybyDay[RowYear],"&gt;="&amp;$C$4,DaybyDay[Date],"&lt;="&amp;DaybyDay[[#This Row],[Date]])</f>
        <v>264405.56999999995</v>
      </c>
      <c r="U1328" s="32">
        <f>DaybyDay[[#This Row],[Serv-Bud-RU]]+DaybyDay[[#This Row],[Ret-Bud-RU]]</f>
        <v>1511466.3502014335</v>
      </c>
      <c r="V1328" s="32">
        <f>DaybyDay[[#This Row],[Serv-Act-RU]]+DaybyDay[[#This Row],[Ret-Act-RU]]</f>
        <v>473914.26</v>
      </c>
      <c r="W1328" s="36" t="str">
        <f>IF(DaybyDay[[#This Row],[_Space]],IFERROR(
((DaybyDay[[#This Row],[Actual-Rollup]]-DaybyDay[[#This Row],[Budget-Rollup]])/DaybyDay[[#This Row],[Budget-Rollup]]),0),"")</f>
        <v/>
      </c>
      <c r="X1328" t="b">
        <f>NOT(AND(ISBLANK(DaybyDay[[#This Row],[Appts]]),ISBLANK(DaybyDay[[#This Row],[Service-Actuals]]),ISBLANK(DaybyDay[[#This Row],[Retail-Actuals]])))</f>
        <v>0</v>
      </c>
      <c r="Y1328" s="36" t="str">
        <f>IF(DaybyDay[[#This Row],[_Space]],IFERROR(
((DaybyDay[[#This Row],[Actual-Rollup]]-DaybyDay[[#This Row],[LY-Rollup]])/DaybyDay[[#This Row],[LY-Rollup]]),0),"")</f>
        <v/>
      </c>
      <c r="Z1328"/>
      <c r="AA1328" s="37" t="str">
        <f>IF(DaybyDay[[#This Row],[_Space]],DaybyDay[[#This Row],[Ret-Act-RU]]/DaybyDay[[#This Row],[Serv-Act-RU]],"")</f>
        <v/>
      </c>
      <c r="AB1328" s="50" t="str">
        <f>IF(DaybyDay[[#This Row],[_Space]],DaybyDay[[#This Row],[RETPEN-Act]]/DaybyDay[[#This Row],[RETPEN-Bud]],"")</f>
        <v/>
      </c>
      <c r="AC1328" s="37" t="str">
        <f>IF(DaybyDay[[#This Row],[_Space]],DaybyDay[[#This Row],[Ret-Bud-RU]]/DaybyDay[[#This Row],[Serv-Bud-RU]],"")</f>
        <v/>
      </c>
      <c r="AD1328" s="37" t="str">
        <f>IF(DaybyDay[[#This Row],[_Space]],DaybyDay[[#This Row],[Ret-LY-RU]]/DaybyDay[[#This Row],[Serv-LY-RU]],"")</f>
        <v/>
      </c>
      <c r="AE1328" s="30">
        <f>WEEKDAY(DaybyDay[[#This Row],[LY-Date]])</f>
        <v>6</v>
      </c>
      <c r="AF1328" s="38">
        <f>$E$2+_xlfn.DAYS(DaybyDay[[#This Row],[Date]],minDate)</f>
        <v>43693</v>
      </c>
      <c r="AG1328" s="39" cm="1">
        <f t="array" ref="AG1328">IFERROR(INDEX(DaybyDay[],DaybyDay[[#This Row],[FORM_MATCH_HELPER]],8),"")</f>
        <v>29</v>
      </c>
      <c r="AH1328" s="39" cm="1">
        <f t="array" ref="AH1328">IFERROR(INDEX(DaybyDay[],DaybyDay[[#This Row],[FORM_MATCH_HELPER]],10),"")</f>
        <v>6024.77</v>
      </c>
      <c r="AI1328" s="39" cm="1">
        <f t="array" ref="AI1328">IFERROR(INDEX(DaybyDay[],DaybyDay[[#This Row],[FORM_MATCH_HELPER]],12),"")</f>
        <v>2136.4899999999998</v>
      </c>
      <c r="AJ1328" s="32">
        <f>IFERROR(DaybyDay[[#This Row],[Serv-LY-RU]]+DaybyDay[[#This Row],[Ret-LY-RU]],"")</f>
        <v>1363065.1209999989</v>
      </c>
      <c r="AK13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1354638.2828636856</v>
      </c>
      <c r="AL1328" s="77"/>
      <c r="AM1328" s="40" t="str">
        <f>IF(DaybyDay[[#This Row],[Admin Hours]]&gt;0,DaybyDay[[#This Row],[Admin Hours]]*$AM$2+$AM$3,"")</f>
        <v/>
      </c>
      <c r="AN1328" s="40">
        <f>SUMIFS(DaybyDay[Est-Admin-Payroll],DaybyDay[Date],"&gt;="&amp;$C$5,DaybyDay[RowYear],"&gt;="&amp;$C$4,DaybyDay[Date],"&lt;="&amp;DaybyDay[[#This Row],[Date]])</f>
        <v>13941.779999999997</v>
      </c>
      <c r="AO1328" s="41" t="str">
        <f>IF(AND(DaybyDay[[#This Row],[_Space]],ISNUMBER(DaybyDay[[#This Row],[Admin Hours]])),DaybyDay[[#This Row],[Est-Admin-Payroll]]/(DaybyDay[[#This Row],[Service-Actuals]]+DaybyDay[[#This Row],[Retail-Actuals]]),"")</f>
        <v/>
      </c>
      <c r="AP1328" s="41">
        <f>DaybyDay[[#This Row],[Estimated-Payroll-Rollup]]/DaybyDay[[#This Row],[Simple-Forecast]]</f>
        <v>1.0291883948921979E-2</v>
      </c>
      <c r="AQ13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263901.24343342753</v>
      </c>
      <c r="AR1328" s="77"/>
      <c r="AS1328" s="40" t="str">
        <f>IF(DaybyDay[[#This Row],[Retail Hours]]&gt;0,DaybyDay[[#This Row],[Retail Hours]]*$AS$2,"")</f>
        <v/>
      </c>
      <c r="AT1328" s="40">
        <f>SUMIFS(DaybyDay[Est-Retail-Payroll],DaybyDay[Date],"&gt;="&amp;$C$5,DaybyDay[RowYear],"&gt;="&amp;$C$4,DaybyDay[Date],"&lt;="&amp;DaybyDay[[#This Row],[Date]])</f>
        <v>2627.1</v>
      </c>
      <c r="AU1328" s="82" t="str">
        <f>IF(AND(DaybyDay[[#This Row],[_Space]],ISNUMBER(DaybyDay[[#This Row],[Retail Hours]])),DaybyDay[[#This Row],[Est-Retail-Payroll]]/(DaybyDay[[#This Row],[Retail-Actuals]]),"")</f>
        <v/>
      </c>
      <c r="AV1328" s="82">
        <f>DaybyDay[[#This Row],[Est-Retail-PayrollRU]]/DaybyDay[[#This Row],[Simple-Forecast-Retail]]</f>
        <v>9.9548602568927252E-3</v>
      </c>
      <c r="AW1328" s="8"/>
      <c r="AX1328" s="15"/>
      <c r="AY1328" s="8"/>
    </row>
    <row r="1329" spans="3:51" hidden="1" x14ac:dyDescent="0.25">
      <c r="C1329" s="26" t="str">
        <f>Tools!$C$1</f>
        <v>Example</v>
      </c>
      <c r="D1329" s="27" t="s">
        <v>75</v>
      </c>
      <c r="E1329" s="28">
        <v>2020</v>
      </c>
      <c r="F1329" s="28">
        <f>MATCH(DaybyDay[[#This Row],[RowMonth]],Table3[SummaryMonth],0)</f>
        <v>8</v>
      </c>
      <c r="G1329" s="29">
        <f>MATCH(DaybyDay[[#This Row],[LY-Date]],DaybyDay[Date],0)</f>
        <v>959</v>
      </c>
      <c r="H1329" s="30">
        <f>WEEKDAY(DaybyDay[[#This Row],[Date]])</f>
        <v>7</v>
      </c>
      <c r="I1329" s="31">
        <v>44058</v>
      </c>
      <c r="J1329" s="74"/>
      <c r="K1329" s="32">
        <f>SUMIFS(BudgetSeasonality[365 Seasonality],BudgetSeasonality[MonthAdjustment],DaybyDay[[#This Row],[Date]])*SUMIFS(Budgets[Service-Budget],Budgets[BudgetMonth],DaybyDay[[#This Row],[RowMonth]],Budgets[BudgetYear],DaybyDay[[#This Row],[RowYear]])</f>
        <v>7788.1865362172202</v>
      </c>
      <c r="L1329" s="75"/>
      <c r="M1329" s="32">
        <f>INDEX(BudgetSeasonality[365 Seasonality],MATCH(DaybyDay[[#This Row],[Date]],BudgetSeasonality[MonthAdjustment],0))*SUMIFS(Budgets[Retail-Budget],Budgets[BudgetMonth],DaybyDay[[#This Row],[RowMonth]],Budgets[BudgetYear],DaybyDay[[#This Row],[RowYear]])</f>
        <v>1918.8269066866981</v>
      </c>
      <c r="N1329" s="75"/>
      <c r="O1329" s="33">
        <f>SUMIFS(DaybyDay[Service-Budgets],DaybyDay[Date],"&gt;="&amp;$C$5,DaybyDay[RowYear],"&gt;="&amp;$C$4,DaybyDay[Date],"&lt;="&amp;DaybyDay[[#This Row],[Date]])</f>
        <v>1216074.6246593148</v>
      </c>
      <c r="P1329" s="33">
        <f>SUMIFS(DaybyDay[Retail-Budgets],DaybyDay[Date],"&gt;="&amp;$C$5,DaybyDay[RowYear],"&gt;="&amp;$C$4,DaybyDay[Date],"&lt;="&amp;DaybyDay[[#This Row],[Date]])</f>
        <v>305098.7389850227</v>
      </c>
      <c r="Q1329" s="34">
        <f>SUMIFS(DaybyDay[Service-Actuals],DaybyDay[Date],"&gt;="&amp;$C$5,DaybyDay[RowYear],"&gt;="&amp;$C$4,DaybyDay[Date],"&lt;="&amp;DaybyDay[[#This Row],[Date]])</f>
        <v>385554.23</v>
      </c>
      <c r="R1329" s="34">
        <f>SUMIFS(DaybyDay[Retail-Actuals],DaybyDay[Date],"&gt;="&amp;$C$5,DaybyDay[RowYear],"&gt;="&amp;$C$4,DaybyDay[Date],"&lt;="&amp;DaybyDay[[#This Row],[Date]])</f>
        <v>88360.030000000028</v>
      </c>
      <c r="S1329" s="35">
        <f>SUMIFS(DaybyDay[Service-LY],DaybyDay[Date],"&gt;="&amp;$C$5,DaybyDay[RowYear],"&gt;="&amp;$C$4,DaybyDay[Date],"&lt;="&amp;DaybyDay[[#This Row],[Date]])</f>
        <v>1104689.0509999988</v>
      </c>
      <c r="T1329" s="35">
        <f>SUMIFS(DaybyDay[Retail-LY],DaybyDay[Date],"&gt;="&amp;$C$5,DaybyDay[RowYear],"&gt;="&amp;$C$4,DaybyDay[Date],"&lt;="&amp;DaybyDay[[#This Row],[Date]])</f>
        <v>264889.11999999994</v>
      </c>
      <c r="U1329" s="32">
        <f>DaybyDay[[#This Row],[Serv-Bud-RU]]+DaybyDay[[#This Row],[Ret-Bud-RU]]</f>
        <v>1521173.3636443375</v>
      </c>
      <c r="V1329" s="32">
        <f>DaybyDay[[#This Row],[Serv-Act-RU]]+DaybyDay[[#This Row],[Ret-Act-RU]]</f>
        <v>473914.26</v>
      </c>
      <c r="W1329" s="36" t="str">
        <f>IF(DaybyDay[[#This Row],[_Space]],IFERROR(
((DaybyDay[[#This Row],[Actual-Rollup]]-DaybyDay[[#This Row],[Budget-Rollup]])/DaybyDay[[#This Row],[Budget-Rollup]]),0),"")</f>
        <v/>
      </c>
      <c r="X1329" t="b">
        <f>NOT(AND(ISBLANK(DaybyDay[[#This Row],[Appts]]),ISBLANK(DaybyDay[[#This Row],[Service-Actuals]]),ISBLANK(DaybyDay[[#This Row],[Retail-Actuals]])))</f>
        <v>0</v>
      </c>
      <c r="Y1329" s="36" t="str">
        <f>IF(DaybyDay[[#This Row],[_Space]],IFERROR(
((DaybyDay[[#This Row],[Actual-Rollup]]-DaybyDay[[#This Row],[LY-Rollup]])/DaybyDay[[#This Row],[LY-Rollup]]),0),"")</f>
        <v/>
      </c>
      <c r="Z1329"/>
      <c r="AA1329" s="37" t="str">
        <f>IF(DaybyDay[[#This Row],[_Space]],DaybyDay[[#This Row],[Ret-Act-RU]]/DaybyDay[[#This Row],[Serv-Act-RU]],"")</f>
        <v/>
      </c>
      <c r="AB1329" s="50" t="str">
        <f>IF(DaybyDay[[#This Row],[_Space]],DaybyDay[[#This Row],[RETPEN-Act]]/DaybyDay[[#This Row],[RETPEN-Bud]],"")</f>
        <v/>
      </c>
      <c r="AC1329" s="37" t="str">
        <f>IF(DaybyDay[[#This Row],[_Space]],DaybyDay[[#This Row],[Ret-Bud-RU]]/DaybyDay[[#This Row],[Serv-Bud-RU]],"")</f>
        <v/>
      </c>
      <c r="AD1329" s="37" t="str">
        <f>IF(DaybyDay[[#This Row],[_Space]],DaybyDay[[#This Row],[Ret-LY-RU]]/DaybyDay[[#This Row],[Serv-LY-RU]],"")</f>
        <v/>
      </c>
      <c r="AE1329" s="30">
        <f>WEEKDAY(DaybyDay[[#This Row],[LY-Date]])</f>
        <v>7</v>
      </c>
      <c r="AF1329" s="38">
        <f>$E$2+_xlfn.DAYS(DaybyDay[[#This Row],[Date]],minDate)</f>
        <v>43694</v>
      </c>
      <c r="AG1329" s="39" cm="1">
        <f t="array" ref="AG1329">IFERROR(INDEX(DaybyDay[],DaybyDay[[#This Row],[FORM_MATCH_HELPER]],8),"")</f>
        <v>26</v>
      </c>
      <c r="AH1329" s="39" cm="1">
        <f t="array" ref="AH1329">IFERROR(INDEX(DaybyDay[],DaybyDay[[#This Row],[FORM_MATCH_HELPER]],10),"")</f>
        <v>6029.5</v>
      </c>
      <c r="AI1329" s="39" cm="1">
        <f t="array" ref="AI1329">IFERROR(INDEX(DaybyDay[],DaybyDay[[#This Row],[FORM_MATCH_HELPER]],12),"")</f>
        <v>483.55</v>
      </c>
      <c r="AJ1329" s="32">
        <f>IFERROR(DaybyDay[[#This Row],[Serv-LY-RU]]+DaybyDay[[#This Row],[Ret-LY-RU]],"")</f>
        <v>1369578.1709999987</v>
      </c>
      <c r="AK13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1361978.4229195509</v>
      </c>
      <c r="AL1329" s="77"/>
      <c r="AM1329" s="40" t="str">
        <f>IF(DaybyDay[[#This Row],[Admin Hours]]&gt;0,DaybyDay[[#This Row],[Admin Hours]]*$AM$2+$AM$3,"")</f>
        <v/>
      </c>
      <c r="AN1329" s="40">
        <f>SUMIFS(DaybyDay[Est-Admin-Payroll],DaybyDay[Date],"&gt;="&amp;$C$5,DaybyDay[RowYear],"&gt;="&amp;$C$4,DaybyDay[Date],"&lt;="&amp;DaybyDay[[#This Row],[Date]])</f>
        <v>13941.779999999997</v>
      </c>
      <c r="AO1329" s="41" t="str">
        <f>IF(AND(DaybyDay[[#This Row],[_Space]],ISNUMBER(DaybyDay[[#This Row],[Admin Hours]])),DaybyDay[[#This Row],[Est-Admin-Payroll]]/(DaybyDay[[#This Row],[Service-Actuals]]+DaybyDay[[#This Row],[Retail-Actuals]]),"")</f>
        <v/>
      </c>
      <c r="AP1329" s="41">
        <f>DaybyDay[[#This Row],[Estimated-Payroll-Rollup]]/DaybyDay[[#This Row],[Simple-Forecast]]</f>
        <v>1.0236417674014434E-2</v>
      </c>
      <c r="AQ13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264955.83674744831</v>
      </c>
      <c r="AR1329" s="77"/>
      <c r="AS1329" s="40" t="str">
        <f>IF(DaybyDay[[#This Row],[Retail Hours]]&gt;0,DaybyDay[[#This Row],[Retail Hours]]*$AS$2,"")</f>
        <v/>
      </c>
      <c r="AT1329" s="40">
        <f>SUMIFS(DaybyDay[Est-Retail-Payroll],DaybyDay[Date],"&gt;="&amp;$C$5,DaybyDay[RowYear],"&gt;="&amp;$C$4,DaybyDay[Date],"&lt;="&amp;DaybyDay[[#This Row],[Date]])</f>
        <v>2627.1</v>
      </c>
      <c r="AU1329" s="82" t="str">
        <f>IF(AND(DaybyDay[[#This Row],[_Space]],ISNUMBER(DaybyDay[[#This Row],[Retail Hours]])),DaybyDay[[#This Row],[Est-Retail-Payroll]]/(DaybyDay[[#This Row],[Retail-Actuals]]),"")</f>
        <v/>
      </c>
      <c r="AV1329" s="82">
        <f>DaybyDay[[#This Row],[Est-Retail-PayrollRU]]/DaybyDay[[#This Row],[Simple-Forecast-Retail]]</f>
        <v>9.9152373174707983E-3</v>
      </c>
      <c r="AW1329" s="8"/>
      <c r="AX1329" s="15"/>
      <c r="AY1329" s="8"/>
    </row>
    <row r="1330" spans="3:51" hidden="1" x14ac:dyDescent="0.25">
      <c r="C1330" s="26" t="str">
        <f>Tools!$C$1</f>
        <v>Example</v>
      </c>
      <c r="D1330" s="27" t="s">
        <v>75</v>
      </c>
      <c r="E1330" s="28">
        <v>2020</v>
      </c>
      <c r="F1330" s="28">
        <f>MATCH(DaybyDay[[#This Row],[RowMonth]],Table3[SummaryMonth],0)</f>
        <v>8</v>
      </c>
      <c r="G1330" s="29">
        <f>MATCH(DaybyDay[[#This Row],[LY-Date]],DaybyDay[Date],0)</f>
        <v>960</v>
      </c>
      <c r="H1330" s="30">
        <f>WEEKDAY(DaybyDay[[#This Row],[Date]])</f>
        <v>1</v>
      </c>
      <c r="I1330" s="31">
        <v>44059</v>
      </c>
      <c r="J1330" s="74"/>
      <c r="K1330" s="32">
        <f>SUMIFS(BudgetSeasonality[365 Seasonality],BudgetSeasonality[MonthAdjustment],DaybyDay[[#This Row],[Date]])*SUMIFS(Budgets[Service-Budget],Budgets[BudgetMonth],DaybyDay[[#This Row],[RowMonth]],Budgets[BudgetYear],DaybyDay[[#This Row],[RowYear]])</f>
        <v>5977.8484962034854</v>
      </c>
      <c r="L1330" s="75"/>
      <c r="M1330" s="32">
        <f>INDEX(BudgetSeasonality[365 Seasonality],MATCH(DaybyDay[[#This Row],[Date]],BudgetSeasonality[MonthAdjustment],0))*SUMIFS(Budgets[Retail-Budget],Budgets[BudgetMonth],DaybyDay[[#This Row],[RowMonth]],Budgets[BudgetYear],DaybyDay[[#This Row],[RowYear]])</f>
        <v>1472.8019783901004</v>
      </c>
      <c r="N1330" s="75"/>
      <c r="O1330" s="33">
        <f>SUMIFS(DaybyDay[Service-Budgets],DaybyDay[Date],"&gt;="&amp;$C$5,DaybyDay[RowYear],"&gt;="&amp;$C$4,DaybyDay[Date],"&lt;="&amp;DaybyDay[[#This Row],[Date]])</f>
        <v>1222052.4731555183</v>
      </c>
      <c r="P1330" s="33">
        <f>SUMIFS(DaybyDay[Retail-Budgets],DaybyDay[Date],"&gt;="&amp;$C$5,DaybyDay[RowYear],"&gt;="&amp;$C$4,DaybyDay[Date],"&lt;="&amp;DaybyDay[[#This Row],[Date]])</f>
        <v>306571.54096341279</v>
      </c>
      <c r="Q1330" s="34">
        <f>SUMIFS(DaybyDay[Service-Actuals],DaybyDay[Date],"&gt;="&amp;$C$5,DaybyDay[RowYear],"&gt;="&amp;$C$4,DaybyDay[Date],"&lt;="&amp;DaybyDay[[#This Row],[Date]])</f>
        <v>385554.23</v>
      </c>
      <c r="R1330" s="34">
        <f>SUMIFS(DaybyDay[Retail-Actuals],DaybyDay[Date],"&gt;="&amp;$C$5,DaybyDay[RowYear],"&gt;="&amp;$C$4,DaybyDay[Date],"&lt;="&amp;DaybyDay[[#This Row],[Date]])</f>
        <v>88360.030000000028</v>
      </c>
      <c r="S1330" s="35">
        <f>SUMIFS(DaybyDay[Service-LY],DaybyDay[Date],"&gt;="&amp;$C$5,DaybyDay[RowYear],"&gt;="&amp;$C$4,DaybyDay[Date],"&lt;="&amp;DaybyDay[[#This Row],[Date]])</f>
        <v>1108758.8809999989</v>
      </c>
      <c r="T1330" s="35">
        <f>SUMIFS(DaybyDay[Retail-LY],DaybyDay[Date],"&gt;="&amp;$C$5,DaybyDay[RowYear],"&gt;="&amp;$C$4,DaybyDay[Date],"&lt;="&amp;DaybyDay[[#This Row],[Date]])</f>
        <v>264934.11999999994</v>
      </c>
      <c r="U1330" s="32">
        <f>DaybyDay[[#This Row],[Serv-Bud-RU]]+DaybyDay[[#This Row],[Ret-Bud-RU]]</f>
        <v>1528624.014118931</v>
      </c>
      <c r="V1330" s="32">
        <f>DaybyDay[[#This Row],[Serv-Act-RU]]+DaybyDay[[#This Row],[Ret-Act-RU]]</f>
        <v>473914.26</v>
      </c>
      <c r="W1330" s="36" t="str">
        <f>IF(DaybyDay[[#This Row],[_Space]],IFERROR(
((DaybyDay[[#This Row],[Actual-Rollup]]-DaybyDay[[#This Row],[Budget-Rollup]])/DaybyDay[[#This Row],[Budget-Rollup]]),0),"")</f>
        <v/>
      </c>
      <c r="X1330" t="b">
        <f>NOT(AND(ISBLANK(DaybyDay[[#This Row],[Appts]]),ISBLANK(DaybyDay[[#This Row],[Service-Actuals]]),ISBLANK(DaybyDay[[#This Row],[Retail-Actuals]])))</f>
        <v>0</v>
      </c>
      <c r="Y1330" s="36" t="str">
        <f>IF(DaybyDay[[#This Row],[_Space]],IFERROR(
((DaybyDay[[#This Row],[Actual-Rollup]]-DaybyDay[[#This Row],[LY-Rollup]])/DaybyDay[[#This Row],[LY-Rollup]]),0),"")</f>
        <v/>
      </c>
      <c r="Z1330"/>
      <c r="AA1330" s="37" t="str">
        <f>IF(DaybyDay[[#This Row],[_Space]],DaybyDay[[#This Row],[Ret-Act-RU]]/DaybyDay[[#This Row],[Serv-Act-RU]],"")</f>
        <v/>
      </c>
      <c r="AB1330" s="50" t="str">
        <f>IF(DaybyDay[[#This Row],[_Space]],DaybyDay[[#This Row],[RETPEN-Act]]/DaybyDay[[#This Row],[RETPEN-Bud]],"")</f>
        <v/>
      </c>
      <c r="AC1330" s="37" t="str">
        <f>IF(DaybyDay[[#This Row],[_Space]],DaybyDay[[#This Row],[Ret-Bud-RU]]/DaybyDay[[#This Row],[Serv-Bud-RU]],"")</f>
        <v/>
      </c>
      <c r="AD1330" s="37" t="str">
        <f>IF(DaybyDay[[#This Row],[_Space]],DaybyDay[[#This Row],[Ret-LY-RU]]/DaybyDay[[#This Row],[Serv-LY-RU]],"")</f>
        <v/>
      </c>
      <c r="AE1330" s="30">
        <f>WEEKDAY(DaybyDay[[#This Row],[LY-Date]])</f>
        <v>1</v>
      </c>
      <c r="AF1330" s="38">
        <f>$E$2+_xlfn.DAYS(DaybyDay[[#This Row],[Date]],minDate)</f>
        <v>43695</v>
      </c>
      <c r="AG1330" s="39" cm="1">
        <f t="array" ref="AG1330">IFERROR(INDEX(DaybyDay[],DaybyDay[[#This Row],[FORM_MATCH_HELPER]],8),"")</f>
        <v>23</v>
      </c>
      <c r="AH1330" s="39" cm="1">
        <f t="array" ref="AH1330">IFERROR(INDEX(DaybyDay[],DaybyDay[[#This Row],[FORM_MATCH_HELPER]],10),"")</f>
        <v>4069.83</v>
      </c>
      <c r="AI1330" s="39" cm="1">
        <f t="array" ref="AI1330">IFERROR(INDEX(DaybyDay[],DaybyDay[[#This Row],[FORM_MATCH_HELPER]],12),"")</f>
        <v>45</v>
      </c>
      <c r="AJ1330" s="32">
        <f>IFERROR(DaybyDay[[#This Row],[Serv-LY-RU]]+DaybyDay[[#This Row],[Ret-LY-RU]],"")</f>
        <v>1373693.0009999988</v>
      </c>
      <c r="AK13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1367176.3820104909</v>
      </c>
      <c r="AL1330" s="77"/>
      <c r="AM1330" s="40" t="str">
        <f>IF(DaybyDay[[#This Row],[Admin Hours]]&gt;0,DaybyDay[[#This Row],[Admin Hours]]*$AM$2+$AM$3,"")</f>
        <v/>
      </c>
      <c r="AN1330" s="40">
        <f>SUMIFS(DaybyDay[Est-Admin-Payroll],DaybyDay[Date],"&gt;="&amp;$C$5,DaybyDay[RowYear],"&gt;="&amp;$C$4,DaybyDay[Date],"&lt;="&amp;DaybyDay[[#This Row],[Date]])</f>
        <v>13941.779999999997</v>
      </c>
      <c r="AO1330" s="41" t="str">
        <f>IF(AND(DaybyDay[[#This Row],[_Space]],ISNUMBER(DaybyDay[[#This Row],[Admin Hours]])),DaybyDay[[#This Row],[Est-Admin-Payroll]]/(DaybyDay[[#This Row],[Service-Actuals]]+DaybyDay[[#This Row],[Retail-Actuals]]),"")</f>
        <v/>
      </c>
      <c r="AP1330" s="41">
        <f>DaybyDay[[#This Row],[Estimated-Payroll-Rollup]]/DaybyDay[[#This Row],[Simple-Forecast]]</f>
        <v>1.019749915478939E-2</v>
      </c>
      <c r="AQ13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265604.48710629228</v>
      </c>
      <c r="AR1330" s="77"/>
      <c r="AS1330" s="40" t="str">
        <f>IF(DaybyDay[[#This Row],[Retail Hours]]&gt;0,DaybyDay[[#This Row],[Retail Hours]]*$AS$2,"")</f>
        <v/>
      </c>
      <c r="AT1330" s="40">
        <f>SUMIFS(DaybyDay[Est-Retail-Payroll],DaybyDay[Date],"&gt;="&amp;$C$5,DaybyDay[RowYear],"&gt;="&amp;$C$4,DaybyDay[Date],"&lt;="&amp;DaybyDay[[#This Row],[Date]])</f>
        <v>2627.1</v>
      </c>
      <c r="AU1330" s="82" t="str">
        <f>IF(AND(DaybyDay[[#This Row],[_Space]],ISNUMBER(DaybyDay[[#This Row],[Retail Hours]])),DaybyDay[[#This Row],[Est-Retail-Payroll]]/(DaybyDay[[#This Row],[Retail-Actuals]]),"")</f>
        <v/>
      </c>
      <c r="AV1330" s="82">
        <f>DaybyDay[[#This Row],[Est-Retail-PayrollRU]]/DaybyDay[[#This Row],[Simple-Forecast-Retail]]</f>
        <v>9.8910226578689565E-3</v>
      </c>
      <c r="AW1330" s="8"/>
      <c r="AX1330" s="15"/>
      <c r="AY1330" s="8"/>
    </row>
    <row r="1331" spans="3:51" hidden="1" x14ac:dyDescent="0.25">
      <c r="C1331" s="26" t="str">
        <f>Tools!$C$1</f>
        <v>Example</v>
      </c>
      <c r="D1331" s="27" t="s">
        <v>75</v>
      </c>
      <c r="E1331" s="28">
        <v>2020</v>
      </c>
      <c r="F1331" s="28">
        <f>MATCH(DaybyDay[[#This Row],[RowMonth]],Table3[SummaryMonth],0)</f>
        <v>8</v>
      </c>
      <c r="G1331" s="29">
        <f>MATCH(DaybyDay[[#This Row],[LY-Date]],DaybyDay[Date],0)</f>
        <v>961</v>
      </c>
      <c r="H1331" s="30">
        <f>WEEKDAY(DaybyDay[[#This Row],[Date]])</f>
        <v>2</v>
      </c>
      <c r="I1331" s="31">
        <v>44060</v>
      </c>
      <c r="J1331" s="74"/>
      <c r="K1331" s="32">
        <f>SUMIFS(BudgetSeasonality[365 Seasonality],BudgetSeasonality[MonthAdjustment],DaybyDay[[#This Row],[Date]])*SUMIFS(Budgets[Service-Budget],Budgets[BudgetMonth],DaybyDay[[#This Row],[RowMonth]],Budgets[BudgetYear],DaybyDay[[#This Row],[RowYear]])</f>
        <v>3345.3888192030486</v>
      </c>
      <c r="L1331" s="75"/>
      <c r="M1331" s="32">
        <f>INDEX(BudgetSeasonality[365 Seasonality],MATCH(DaybyDay[[#This Row],[Date]],BudgetSeasonality[MonthAdjustment],0))*SUMIFS(Budgets[Retail-Budget],Budgets[BudgetMonth],DaybyDay[[#This Row],[RowMonth]],Budgets[BudgetYear],DaybyDay[[#This Row],[RowYear]])</f>
        <v>824.22551768174708</v>
      </c>
      <c r="N1331" s="75"/>
      <c r="O1331" s="33">
        <f>SUMIFS(DaybyDay[Service-Budgets],DaybyDay[Date],"&gt;="&amp;$C$5,DaybyDay[RowYear],"&gt;="&amp;$C$4,DaybyDay[Date],"&lt;="&amp;DaybyDay[[#This Row],[Date]])</f>
        <v>1225397.8619747213</v>
      </c>
      <c r="P1331" s="33">
        <f>SUMIFS(DaybyDay[Retail-Budgets],DaybyDay[Date],"&gt;="&amp;$C$5,DaybyDay[RowYear],"&gt;="&amp;$C$4,DaybyDay[Date],"&lt;="&amp;DaybyDay[[#This Row],[Date]])</f>
        <v>307395.76648109453</v>
      </c>
      <c r="Q1331" s="34">
        <f>SUMIFS(DaybyDay[Service-Actuals],DaybyDay[Date],"&gt;="&amp;$C$5,DaybyDay[RowYear],"&gt;="&amp;$C$4,DaybyDay[Date],"&lt;="&amp;DaybyDay[[#This Row],[Date]])</f>
        <v>385554.23</v>
      </c>
      <c r="R1331" s="34">
        <f>SUMIFS(DaybyDay[Retail-Actuals],DaybyDay[Date],"&gt;="&amp;$C$5,DaybyDay[RowYear],"&gt;="&amp;$C$4,DaybyDay[Date],"&lt;="&amp;DaybyDay[[#This Row],[Date]])</f>
        <v>88360.030000000028</v>
      </c>
      <c r="S1331" s="35">
        <f>SUMIFS(DaybyDay[Service-LY],DaybyDay[Date],"&gt;="&amp;$C$5,DaybyDay[RowYear],"&gt;="&amp;$C$4,DaybyDay[Date],"&lt;="&amp;DaybyDay[[#This Row],[Date]])</f>
        <v>1111289.8809999989</v>
      </c>
      <c r="T1331" s="35">
        <f>SUMIFS(DaybyDay[Retail-LY],DaybyDay[Date],"&gt;="&amp;$C$5,DaybyDay[RowYear],"&gt;="&amp;$C$4,DaybyDay[Date],"&lt;="&amp;DaybyDay[[#This Row],[Date]])</f>
        <v>266946.61999999994</v>
      </c>
      <c r="U1331" s="32">
        <f>DaybyDay[[#This Row],[Serv-Bud-RU]]+DaybyDay[[#This Row],[Ret-Bud-RU]]</f>
        <v>1532793.6284558158</v>
      </c>
      <c r="V1331" s="32">
        <f>DaybyDay[[#This Row],[Serv-Act-RU]]+DaybyDay[[#This Row],[Ret-Act-RU]]</f>
        <v>473914.26</v>
      </c>
      <c r="W1331" s="36" t="str">
        <f>IF(DaybyDay[[#This Row],[_Space]],IFERROR(
((DaybyDay[[#This Row],[Actual-Rollup]]-DaybyDay[[#This Row],[Budget-Rollup]])/DaybyDay[[#This Row],[Budget-Rollup]]),0),"")</f>
        <v/>
      </c>
      <c r="X1331" t="b">
        <f>NOT(AND(ISBLANK(DaybyDay[[#This Row],[Appts]]),ISBLANK(DaybyDay[[#This Row],[Service-Actuals]]),ISBLANK(DaybyDay[[#This Row],[Retail-Actuals]])))</f>
        <v>0</v>
      </c>
      <c r="Y1331" s="36" t="str">
        <f>IF(DaybyDay[[#This Row],[_Space]],IFERROR(
((DaybyDay[[#This Row],[Actual-Rollup]]-DaybyDay[[#This Row],[LY-Rollup]])/DaybyDay[[#This Row],[LY-Rollup]]),0),"")</f>
        <v/>
      </c>
      <c r="Z1331"/>
      <c r="AA1331" s="37" t="str">
        <f>IF(DaybyDay[[#This Row],[_Space]],DaybyDay[[#This Row],[Ret-Act-RU]]/DaybyDay[[#This Row],[Serv-Act-RU]],"")</f>
        <v/>
      </c>
      <c r="AB1331" s="50" t="str">
        <f>IF(DaybyDay[[#This Row],[_Space]],DaybyDay[[#This Row],[RETPEN-Act]]/DaybyDay[[#This Row],[RETPEN-Bud]],"")</f>
        <v/>
      </c>
      <c r="AC1331" s="37" t="str">
        <f>IF(DaybyDay[[#This Row],[_Space]],DaybyDay[[#This Row],[Ret-Bud-RU]]/DaybyDay[[#This Row],[Serv-Bud-RU]],"")</f>
        <v/>
      </c>
      <c r="AD1331" s="37" t="str">
        <f>IF(DaybyDay[[#This Row],[_Space]],DaybyDay[[#This Row],[Ret-LY-RU]]/DaybyDay[[#This Row],[Serv-LY-RU]],"")</f>
        <v/>
      </c>
      <c r="AE1331" s="30">
        <f>WEEKDAY(DaybyDay[[#This Row],[LY-Date]])</f>
        <v>2</v>
      </c>
      <c r="AF1331" s="38">
        <f>$E$2+_xlfn.DAYS(DaybyDay[[#This Row],[Date]],minDate)</f>
        <v>43696</v>
      </c>
      <c r="AG1331" s="39" cm="1">
        <f t="array" ref="AG1331">IFERROR(INDEX(DaybyDay[],DaybyDay[[#This Row],[FORM_MATCH_HELPER]],8),"")</f>
        <v>14</v>
      </c>
      <c r="AH1331" s="39" cm="1">
        <f t="array" ref="AH1331">IFERROR(INDEX(DaybyDay[],DaybyDay[[#This Row],[FORM_MATCH_HELPER]],10),"")</f>
        <v>2531</v>
      </c>
      <c r="AI1331" s="39" cm="1">
        <f t="array" ref="AI1331">IFERROR(INDEX(DaybyDay[],DaybyDay[[#This Row],[FORM_MATCH_HELPER]],12),"")</f>
        <v>2012.5</v>
      </c>
      <c r="AJ1331" s="32">
        <f>IFERROR(DaybyDay[[#This Row],[Serv-LY-RU]]+DaybyDay[[#This Row],[Ret-LY-RU]],"")</f>
        <v>1378236.5009999988</v>
      </c>
      <c r="AK13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1371190.0894170855</v>
      </c>
      <c r="AL1331" s="77"/>
      <c r="AM1331" s="40" t="str">
        <f>IF(DaybyDay[[#This Row],[Admin Hours]]&gt;0,DaybyDay[[#This Row],[Admin Hours]]*$AM$2+$AM$3,"")</f>
        <v/>
      </c>
      <c r="AN1331" s="40">
        <f>SUMIFS(DaybyDay[Est-Admin-Payroll],DaybyDay[Date],"&gt;="&amp;$C$5,DaybyDay[RowYear],"&gt;="&amp;$C$4,DaybyDay[Date],"&lt;="&amp;DaybyDay[[#This Row],[Date]])</f>
        <v>13941.779999999997</v>
      </c>
      <c r="AO1331" s="41" t="str">
        <f>IF(AND(DaybyDay[[#This Row],[_Space]],ISNUMBER(DaybyDay[[#This Row],[Admin Hours]])),DaybyDay[[#This Row],[Est-Admin-Payroll]]/(DaybyDay[[#This Row],[Service-Actuals]]+DaybyDay[[#This Row],[Retail-Actuals]]),"")</f>
        <v/>
      </c>
      <c r="AP1331" s="41">
        <f>DaybyDay[[#This Row],[Estimated-Payroll-Rollup]]/DaybyDay[[#This Row],[Simple-Forecast]]</f>
        <v>1.0167649334401816E-2</v>
      </c>
      <c r="AQ13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266947.32487923233</v>
      </c>
      <c r="AR1331" s="77"/>
      <c r="AS1331" s="40" t="str">
        <f>IF(DaybyDay[[#This Row],[Retail Hours]]&gt;0,DaybyDay[[#This Row],[Retail Hours]]*$AS$2,"")</f>
        <v/>
      </c>
      <c r="AT1331" s="40">
        <f>SUMIFS(DaybyDay[Est-Retail-Payroll],DaybyDay[Date],"&gt;="&amp;$C$5,DaybyDay[RowYear],"&gt;="&amp;$C$4,DaybyDay[Date],"&lt;="&amp;DaybyDay[[#This Row],[Date]])</f>
        <v>2627.1</v>
      </c>
      <c r="AU1331" s="82" t="str">
        <f>IF(AND(DaybyDay[[#This Row],[_Space]],ISNUMBER(DaybyDay[[#This Row],[Retail Hours]])),DaybyDay[[#This Row],[Est-Retail-Payroll]]/(DaybyDay[[#This Row],[Retail-Actuals]]),"")</f>
        <v/>
      </c>
      <c r="AV1331" s="82">
        <f>DaybyDay[[#This Row],[Est-Retail-PayrollRU]]/DaybyDay[[#This Row],[Simple-Forecast-Retail]]</f>
        <v>9.8412673780810759E-3</v>
      </c>
      <c r="AW1331" s="8"/>
      <c r="AX1331" s="15"/>
      <c r="AY1331" s="8"/>
    </row>
    <row r="1332" spans="3:51" hidden="1" x14ac:dyDescent="0.25">
      <c r="C1332" s="26" t="str">
        <f>Tools!$C$1</f>
        <v>Example</v>
      </c>
      <c r="D1332" s="27" t="s">
        <v>75</v>
      </c>
      <c r="E1332" s="28">
        <v>2020</v>
      </c>
      <c r="F1332" s="28">
        <f>MATCH(DaybyDay[[#This Row],[RowMonth]],Table3[SummaryMonth],0)</f>
        <v>8</v>
      </c>
      <c r="G1332" s="29">
        <f>MATCH(DaybyDay[[#This Row],[LY-Date]],DaybyDay[Date],0)</f>
        <v>962</v>
      </c>
      <c r="H1332" s="30">
        <f>WEEKDAY(DaybyDay[[#This Row],[Date]])</f>
        <v>3</v>
      </c>
      <c r="I1332" s="31">
        <v>44061</v>
      </c>
      <c r="J1332" s="74"/>
      <c r="K1332" s="32">
        <f>SUMIFS(BudgetSeasonality[365 Seasonality],BudgetSeasonality[MonthAdjustment],DaybyDay[[#This Row],[Date]])*SUMIFS(Budgets[Service-Budget],Budgets[BudgetMonth],DaybyDay[[#This Row],[RowMonth]],Budgets[BudgetYear],DaybyDay[[#This Row],[RowYear]])</f>
        <v>3492.2911233260743</v>
      </c>
      <c r="L1332" s="75"/>
      <c r="M1332" s="32">
        <f>INDEX(BudgetSeasonality[365 Seasonality],MATCH(DaybyDay[[#This Row],[Date]],BudgetSeasonality[MonthAdjustment],0))*SUMIFS(Budgets[Retail-Budget],Budgets[BudgetMonth],DaybyDay[[#This Row],[RowMonth]],Budgets[BudgetYear],DaybyDay[[#This Row],[RowYear]])</f>
        <v>860.41880767226212</v>
      </c>
      <c r="N1332" s="75"/>
      <c r="O1332" s="33">
        <f>SUMIFS(DaybyDay[Service-Budgets],DaybyDay[Date],"&gt;="&amp;$C$5,DaybyDay[RowYear],"&gt;="&amp;$C$4,DaybyDay[Date],"&lt;="&amp;DaybyDay[[#This Row],[Date]])</f>
        <v>1228890.1530980475</v>
      </c>
      <c r="P1332" s="33">
        <f>SUMIFS(DaybyDay[Retail-Budgets],DaybyDay[Date],"&gt;="&amp;$C$5,DaybyDay[RowYear],"&gt;="&amp;$C$4,DaybyDay[Date],"&lt;="&amp;DaybyDay[[#This Row],[Date]])</f>
        <v>308256.18528876681</v>
      </c>
      <c r="Q1332" s="34">
        <f>SUMIFS(DaybyDay[Service-Actuals],DaybyDay[Date],"&gt;="&amp;$C$5,DaybyDay[RowYear],"&gt;="&amp;$C$4,DaybyDay[Date],"&lt;="&amp;DaybyDay[[#This Row],[Date]])</f>
        <v>385554.23</v>
      </c>
      <c r="R1332" s="34">
        <f>SUMIFS(DaybyDay[Retail-Actuals],DaybyDay[Date],"&gt;="&amp;$C$5,DaybyDay[RowYear],"&gt;="&amp;$C$4,DaybyDay[Date],"&lt;="&amp;DaybyDay[[#This Row],[Date]])</f>
        <v>88360.030000000028</v>
      </c>
      <c r="S1332" s="35">
        <f>SUMIFS(DaybyDay[Service-LY],DaybyDay[Date],"&gt;="&amp;$C$5,DaybyDay[RowYear],"&gt;="&amp;$C$4,DaybyDay[Date],"&lt;="&amp;DaybyDay[[#This Row],[Date]])</f>
        <v>1113532.2809999988</v>
      </c>
      <c r="T1332" s="35">
        <f>SUMIFS(DaybyDay[Retail-LY],DaybyDay[Date],"&gt;="&amp;$C$5,DaybyDay[RowYear],"&gt;="&amp;$C$4,DaybyDay[Date],"&lt;="&amp;DaybyDay[[#This Row],[Date]])</f>
        <v>267679.01999999996</v>
      </c>
      <c r="U1332" s="32">
        <f>DaybyDay[[#This Row],[Serv-Bud-RU]]+DaybyDay[[#This Row],[Ret-Bud-RU]]</f>
        <v>1537146.3383868143</v>
      </c>
      <c r="V1332" s="32">
        <f>DaybyDay[[#This Row],[Serv-Act-RU]]+DaybyDay[[#This Row],[Ret-Act-RU]]</f>
        <v>473914.26</v>
      </c>
      <c r="W1332" s="36" t="str">
        <f>IF(DaybyDay[[#This Row],[_Space]],IFERROR(
((DaybyDay[[#This Row],[Actual-Rollup]]-DaybyDay[[#This Row],[Budget-Rollup]])/DaybyDay[[#This Row],[Budget-Rollup]]),0),"")</f>
        <v/>
      </c>
      <c r="X1332" t="b">
        <f>NOT(AND(ISBLANK(DaybyDay[[#This Row],[Appts]]),ISBLANK(DaybyDay[[#This Row],[Service-Actuals]]),ISBLANK(DaybyDay[[#This Row],[Retail-Actuals]])))</f>
        <v>0</v>
      </c>
      <c r="Y1332" s="36" t="str">
        <f>IF(DaybyDay[[#This Row],[_Space]],IFERROR(
((DaybyDay[[#This Row],[Actual-Rollup]]-DaybyDay[[#This Row],[LY-Rollup]])/DaybyDay[[#This Row],[LY-Rollup]]),0),"")</f>
        <v/>
      </c>
      <c r="Z1332"/>
      <c r="AA1332" s="37" t="str">
        <f>IF(DaybyDay[[#This Row],[_Space]],DaybyDay[[#This Row],[Ret-Act-RU]]/DaybyDay[[#This Row],[Serv-Act-RU]],"")</f>
        <v/>
      </c>
      <c r="AB1332" s="50" t="str">
        <f>IF(DaybyDay[[#This Row],[_Space]],DaybyDay[[#This Row],[RETPEN-Act]]/DaybyDay[[#This Row],[RETPEN-Bud]],"")</f>
        <v/>
      </c>
      <c r="AC1332" s="37" t="str">
        <f>IF(DaybyDay[[#This Row],[_Space]],DaybyDay[[#This Row],[Ret-Bud-RU]]/DaybyDay[[#This Row],[Serv-Bud-RU]],"")</f>
        <v/>
      </c>
      <c r="AD1332" s="37" t="str">
        <f>IF(DaybyDay[[#This Row],[_Space]],DaybyDay[[#This Row],[Ret-LY-RU]]/DaybyDay[[#This Row],[Serv-LY-RU]],"")</f>
        <v/>
      </c>
      <c r="AE1332" s="30">
        <f>WEEKDAY(DaybyDay[[#This Row],[LY-Date]])</f>
        <v>3</v>
      </c>
      <c r="AF1332" s="38">
        <f>$E$2+_xlfn.DAYS(DaybyDay[[#This Row],[Date]],minDate)</f>
        <v>43697</v>
      </c>
      <c r="AG1332" s="39" cm="1">
        <f t="array" ref="AG1332">IFERROR(INDEX(DaybyDay[],DaybyDay[[#This Row],[FORM_MATCH_HELPER]],8),"")</f>
        <v>13</v>
      </c>
      <c r="AH1332" s="39" cm="1">
        <f t="array" ref="AH1332">IFERROR(INDEX(DaybyDay[],DaybyDay[[#This Row],[FORM_MATCH_HELPER]],10),"")</f>
        <v>2242.4</v>
      </c>
      <c r="AI1332" s="39" cm="1">
        <f t="array" ref="AI1332">IFERROR(INDEX(DaybyDay[],DaybyDay[[#This Row],[FORM_MATCH_HELPER]],12),"")</f>
        <v>732.4</v>
      </c>
      <c r="AJ1332" s="32">
        <f>IFERROR(DaybyDay[[#This Row],[Serv-LY-RU]]+DaybyDay[[#This Row],[Ret-LY-RU]],"")</f>
        <v>1381211.3009999988</v>
      </c>
      <c r="AK13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1374508.2405174575</v>
      </c>
      <c r="AL1332" s="77"/>
      <c r="AM1332" s="40" t="str">
        <f>IF(DaybyDay[[#This Row],[Admin Hours]]&gt;0,DaybyDay[[#This Row],[Admin Hours]]*$AM$2+$AM$3,"")</f>
        <v/>
      </c>
      <c r="AN1332" s="40">
        <f>SUMIFS(DaybyDay[Est-Admin-Payroll],DaybyDay[Date],"&gt;="&amp;$C$5,DaybyDay[RowYear],"&gt;="&amp;$C$4,DaybyDay[Date],"&lt;="&amp;DaybyDay[[#This Row],[Date]])</f>
        <v>13941.779999999997</v>
      </c>
      <c r="AO1332" s="41" t="str">
        <f>IF(AND(DaybyDay[[#This Row],[_Space]],ISNUMBER(DaybyDay[[#This Row],[Admin Hours]])),DaybyDay[[#This Row],[Est-Admin-Payroll]]/(DaybyDay[[#This Row],[Service-Actuals]]+DaybyDay[[#This Row],[Retail-Actuals]]),"")</f>
        <v/>
      </c>
      <c r="AP1332" s="41">
        <f>DaybyDay[[#This Row],[Estimated-Payroll-Rollup]]/DaybyDay[[#This Row],[Simple-Forecast]]</f>
        <v>1.0143103976409317E-2</v>
      </c>
      <c r="AQ13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267674.41301669978</v>
      </c>
      <c r="AR1332" s="77"/>
      <c r="AS1332" s="40" t="str">
        <f>IF(DaybyDay[[#This Row],[Retail Hours]]&gt;0,DaybyDay[[#This Row],[Retail Hours]]*$AS$2,"")</f>
        <v/>
      </c>
      <c r="AT1332" s="40">
        <f>SUMIFS(DaybyDay[Est-Retail-Payroll],DaybyDay[Date],"&gt;="&amp;$C$5,DaybyDay[RowYear],"&gt;="&amp;$C$4,DaybyDay[Date],"&lt;="&amp;DaybyDay[[#This Row],[Date]])</f>
        <v>2627.1</v>
      </c>
      <c r="AU1332" s="82" t="str">
        <f>IF(AND(DaybyDay[[#This Row],[_Space]],ISNUMBER(DaybyDay[[#This Row],[Retail Hours]])),DaybyDay[[#This Row],[Est-Retail-Payroll]]/(DaybyDay[[#This Row],[Retail-Actuals]]),"")</f>
        <v/>
      </c>
      <c r="AV1332" s="82">
        <f>DaybyDay[[#This Row],[Est-Retail-PayrollRU]]/DaybyDay[[#This Row],[Simple-Forecast-Retail]]</f>
        <v>9.8145353916816083E-3</v>
      </c>
      <c r="AW1332" s="8"/>
      <c r="AX1332" s="15"/>
      <c r="AY1332" s="8"/>
    </row>
    <row r="1333" spans="3:51" hidden="1" x14ac:dyDescent="0.25">
      <c r="C1333" s="26" t="str">
        <f>Tools!$C$1</f>
        <v>Example</v>
      </c>
      <c r="D1333" s="27" t="s">
        <v>75</v>
      </c>
      <c r="E1333" s="28">
        <v>2020</v>
      </c>
      <c r="F1333" s="28">
        <f>MATCH(DaybyDay[[#This Row],[RowMonth]],Table3[SummaryMonth],0)</f>
        <v>8</v>
      </c>
      <c r="G1333" s="29">
        <f>MATCH(DaybyDay[[#This Row],[LY-Date]],DaybyDay[Date],0)</f>
        <v>963</v>
      </c>
      <c r="H1333" s="30">
        <f>WEEKDAY(DaybyDay[[#This Row],[Date]])</f>
        <v>4</v>
      </c>
      <c r="I1333" s="31">
        <v>44062</v>
      </c>
      <c r="J1333" s="74"/>
      <c r="K1333" s="32">
        <f>SUMIFS(BudgetSeasonality[365 Seasonality],BudgetSeasonality[MonthAdjustment],DaybyDay[[#This Row],[Date]])*SUMIFS(Budgets[Service-Budget],Budgets[BudgetMonth],DaybyDay[[#This Row],[RowMonth]],Budgets[BudgetYear],DaybyDay[[#This Row],[RowYear]])</f>
        <v>4130.3350091400725</v>
      </c>
      <c r="L1333" s="75"/>
      <c r="M1333" s="32">
        <f>INDEX(BudgetSeasonality[365 Seasonality],MATCH(DaybyDay[[#This Row],[Date]],BudgetSeasonality[MonthAdjustment],0))*SUMIFS(Budgets[Retail-Budget],Budgets[BudgetMonth],DaybyDay[[#This Row],[RowMonth]],Budgets[BudgetYear],DaybyDay[[#This Row],[RowYear]])</f>
        <v>1017.617889904502</v>
      </c>
      <c r="N1333" s="75"/>
      <c r="O1333" s="33">
        <f>SUMIFS(DaybyDay[Service-Budgets],DaybyDay[Date],"&gt;="&amp;$C$5,DaybyDay[RowYear],"&gt;="&amp;$C$4,DaybyDay[Date],"&lt;="&amp;DaybyDay[[#This Row],[Date]])</f>
        <v>1233020.4881071874</v>
      </c>
      <c r="P1333" s="33">
        <f>SUMIFS(DaybyDay[Retail-Budgets],DaybyDay[Date],"&gt;="&amp;$C$5,DaybyDay[RowYear],"&gt;="&amp;$C$4,DaybyDay[Date],"&lt;="&amp;DaybyDay[[#This Row],[Date]])</f>
        <v>309273.80317867128</v>
      </c>
      <c r="Q1333" s="34">
        <f>SUMIFS(DaybyDay[Service-Actuals],DaybyDay[Date],"&gt;="&amp;$C$5,DaybyDay[RowYear],"&gt;="&amp;$C$4,DaybyDay[Date],"&lt;="&amp;DaybyDay[[#This Row],[Date]])</f>
        <v>385554.23</v>
      </c>
      <c r="R1333" s="34">
        <f>SUMIFS(DaybyDay[Retail-Actuals],DaybyDay[Date],"&gt;="&amp;$C$5,DaybyDay[RowYear],"&gt;="&amp;$C$4,DaybyDay[Date],"&lt;="&amp;DaybyDay[[#This Row],[Date]])</f>
        <v>88360.030000000028</v>
      </c>
      <c r="S1333" s="35">
        <f>SUMIFS(DaybyDay[Service-LY],DaybyDay[Date],"&gt;="&amp;$C$5,DaybyDay[RowYear],"&gt;="&amp;$C$4,DaybyDay[Date],"&lt;="&amp;DaybyDay[[#This Row],[Date]])</f>
        <v>1118152.2809999988</v>
      </c>
      <c r="T1333" s="35">
        <f>SUMIFS(DaybyDay[Retail-LY],DaybyDay[Date],"&gt;="&amp;$C$5,DaybyDay[RowYear],"&gt;="&amp;$C$4,DaybyDay[Date],"&lt;="&amp;DaybyDay[[#This Row],[Date]])</f>
        <v>267757.42</v>
      </c>
      <c r="U1333" s="32">
        <f>DaybyDay[[#This Row],[Serv-Bud-RU]]+DaybyDay[[#This Row],[Ret-Bud-RU]]</f>
        <v>1542294.2912858587</v>
      </c>
      <c r="V1333" s="32">
        <f>DaybyDay[[#This Row],[Serv-Act-RU]]+DaybyDay[[#This Row],[Ret-Act-RU]]</f>
        <v>473914.26</v>
      </c>
      <c r="W1333" s="36" t="str">
        <f>IF(DaybyDay[[#This Row],[_Space]],IFERROR(
((DaybyDay[[#This Row],[Actual-Rollup]]-DaybyDay[[#This Row],[Budget-Rollup]])/DaybyDay[[#This Row],[Budget-Rollup]]),0),"")</f>
        <v/>
      </c>
      <c r="X1333" t="b">
        <f>NOT(AND(ISBLANK(DaybyDay[[#This Row],[Appts]]),ISBLANK(DaybyDay[[#This Row],[Service-Actuals]]),ISBLANK(DaybyDay[[#This Row],[Retail-Actuals]])))</f>
        <v>0</v>
      </c>
      <c r="Y1333" s="36" t="str">
        <f>IF(DaybyDay[[#This Row],[_Space]],IFERROR(
((DaybyDay[[#This Row],[Actual-Rollup]]-DaybyDay[[#This Row],[LY-Rollup]])/DaybyDay[[#This Row],[LY-Rollup]]),0),"")</f>
        <v/>
      </c>
      <c r="Z1333"/>
      <c r="AA1333" s="37" t="str">
        <f>IF(DaybyDay[[#This Row],[_Space]],DaybyDay[[#This Row],[Ret-Act-RU]]/DaybyDay[[#This Row],[Serv-Act-RU]],"")</f>
        <v/>
      </c>
      <c r="AB1333" s="50" t="str">
        <f>IF(DaybyDay[[#This Row],[_Space]],DaybyDay[[#This Row],[RETPEN-Act]]/DaybyDay[[#This Row],[RETPEN-Bud]],"")</f>
        <v/>
      </c>
      <c r="AC1333" s="37" t="str">
        <f>IF(DaybyDay[[#This Row],[_Space]],DaybyDay[[#This Row],[Ret-Bud-RU]]/DaybyDay[[#This Row],[Serv-Bud-RU]],"")</f>
        <v/>
      </c>
      <c r="AD1333" s="37" t="str">
        <f>IF(DaybyDay[[#This Row],[_Space]],DaybyDay[[#This Row],[Ret-LY-RU]]/DaybyDay[[#This Row],[Serv-LY-RU]],"")</f>
        <v/>
      </c>
      <c r="AE1333" s="30">
        <f>WEEKDAY(DaybyDay[[#This Row],[LY-Date]])</f>
        <v>4</v>
      </c>
      <c r="AF1333" s="38">
        <f>$E$2+_xlfn.DAYS(DaybyDay[[#This Row],[Date]],minDate)</f>
        <v>43698</v>
      </c>
      <c r="AG1333" s="39" cm="1">
        <f t="array" ref="AG1333">IFERROR(INDEX(DaybyDay[],DaybyDay[[#This Row],[FORM_MATCH_HELPER]],8),"")</f>
        <v>28</v>
      </c>
      <c r="AH1333" s="39" cm="1">
        <f t="array" ref="AH1333">IFERROR(INDEX(DaybyDay[],DaybyDay[[#This Row],[FORM_MATCH_HELPER]],10),"")</f>
        <v>4620</v>
      </c>
      <c r="AI1333" s="39" cm="1">
        <f t="array" ref="AI1333">IFERROR(INDEX(DaybyDay[],DaybyDay[[#This Row],[FORM_MATCH_HELPER]],12),"")</f>
        <v>78.400000000000006</v>
      </c>
      <c r="AJ1333" s="32">
        <f>IFERROR(DaybyDay[[#This Row],[Serv-LY-RU]]+DaybyDay[[#This Row],[Ret-LY-RU]],"")</f>
        <v>1385909.7009999987</v>
      </c>
      <c r="AK13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1379014.4613375138</v>
      </c>
      <c r="AL1333" s="77"/>
      <c r="AM1333" s="40" t="str">
        <f>IF(DaybyDay[[#This Row],[Admin Hours]]&gt;0,DaybyDay[[#This Row],[Admin Hours]]*$AM$2+$AM$3,"")</f>
        <v/>
      </c>
      <c r="AN1333" s="40">
        <f>SUMIFS(DaybyDay[Est-Admin-Payroll],DaybyDay[Date],"&gt;="&amp;$C$5,DaybyDay[RowYear],"&gt;="&amp;$C$4,DaybyDay[Date],"&lt;="&amp;DaybyDay[[#This Row],[Date]])</f>
        <v>13941.779999999997</v>
      </c>
      <c r="AO1333" s="41" t="str">
        <f>IF(AND(DaybyDay[[#This Row],[_Space]],ISNUMBER(DaybyDay[[#This Row],[Admin Hours]])),DaybyDay[[#This Row],[Est-Admin-Payroll]]/(DaybyDay[[#This Row],[Service-Actuals]]+DaybyDay[[#This Row],[Retail-Actuals]]),"")</f>
        <v/>
      </c>
      <c r="AP1333" s="41">
        <f>DaybyDay[[#This Row],[Estimated-Payroll-Rollup]]/DaybyDay[[#This Row],[Simple-Forecast]]</f>
        <v>1.0109959243268404E-2</v>
      </c>
      <c r="AQ13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268145.91627505707</v>
      </c>
      <c r="AR1333" s="77"/>
      <c r="AS1333" s="40" t="str">
        <f>IF(DaybyDay[[#This Row],[Retail Hours]]&gt;0,DaybyDay[[#This Row],[Retail Hours]]*$AS$2,"")</f>
        <v/>
      </c>
      <c r="AT1333" s="40">
        <f>SUMIFS(DaybyDay[Est-Retail-Payroll],DaybyDay[Date],"&gt;="&amp;$C$5,DaybyDay[RowYear],"&gt;="&amp;$C$4,DaybyDay[Date],"&lt;="&amp;DaybyDay[[#This Row],[Date]])</f>
        <v>2627.1</v>
      </c>
      <c r="AU1333" s="82" t="str">
        <f>IF(AND(DaybyDay[[#This Row],[_Space]],ISNUMBER(DaybyDay[[#This Row],[Retail Hours]])),DaybyDay[[#This Row],[Est-Retail-Payroll]]/(DaybyDay[[#This Row],[Retail-Actuals]]),"")</f>
        <v/>
      </c>
      <c r="AV1333" s="82">
        <f>DaybyDay[[#This Row],[Est-Retail-PayrollRU]]/DaybyDay[[#This Row],[Simple-Forecast-Retail]]</f>
        <v>9.7972776781175726E-3</v>
      </c>
      <c r="AW1333" s="8"/>
      <c r="AX1333" s="15"/>
      <c r="AY1333" s="8"/>
    </row>
    <row r="1334" spans="3:51" hidden="1" x14ac:dyDescent="0.25">
      <c r="C1334" s="26" t="str">
        <f>Tools!$C$1</f>
        <v>Example</v>
      </c>
      <c r="D1334" s="27" t="s">
        <v>75</v>
      </c>
      <c r="E1334" s="28">
        <v>2020</v>
      </c>
      <c r="F1334" s="28">
        <f>MATCH(DaybyDay[[#This Row],[RowMonth]],Table3[SummaryMonth],0)</f>
        <v>8</v>
      </c>
      <c r="G1334" s="29">
        <f>MATCH(DaybyDay[[#This Row],[LY-Date]],DaybyDay[Date],0)</f>
        <v>964</v>
      </c>
      <c r="H1334" s="30">
        <f>WEEKDAY(DaybyDay[[#This Row],[Date]])</f>
        <v>5</v>
      </c>
      <c r="I1334" s="31">
        <v>44063</v>
      </c>
      <c r="J1334" s="74"/>
      <c r="K1334" s="32">
        <f>SUMIFS(BudgetSeasonality[365 Seasonality],BudgetSeasonality[MonthAdjustment],DaybyDay[[#This Row],[Date]])*SUMIFS(Budgets[Service-Budget],Budgets[BudgetMonth],DaybyDay[[#This Row],[RowMonth]],Budgets[BudgetYear],DaybyDay[[#This Row],[RowYear]])</f>
        <v>4278.767911773788</v>
      </c>
      <c r="L1334" s="75"/>
      <c r="M1334" s="32">
        <f>INDEX(BudgetSeasonality[365 Seasonality],MATCH(DaybyDay[[#This Row],[Date]],BudgetSeasonality[MonthAdjustment],0))*SUMIFS(Budgets[Retail-Budget],Budgets[BudgetMonth],DaybyDay[[#This Row],[RowMonth]],Budgets[BudgetYear],DaybyDay[[#This Row],[RowYear]])</f>
        <v>1054.188283549634</v>
      </c>
      <c r="N1334" s="75"/>
      <c r="O1334" s="33">
        <f>SUMIFS(DaybyDay[Service-Budgets],DaybyDay[Date],"&gt;="&amp;$C$5,DaybyDay[RowYear],"&gt;="&amp;$C$4,DaybyDay[Date],"&lt;="&amp;DaybyDay[[#This Row],[Date]])</f>
        <v>1237299.2560189613</v>
      </c>
      <c r="P1334" s="33">
        <f>SUMIFS(DaybyDay[Retail-Budgets],DaybyDay[Date],"&gt;="&amp;$C$5,DaybyDay[RowYear],"&gt;="&amp;$C$4,DaybyDay[Date],"&lt;="&amp;DaybyDay[[#This Row],[Date]])</f>
        <v>310327.9914622209</v>
      </c>
      <c r="Q1334" s="34">
        <f>SUMIFS(DaybyDay[Service-Actuals],DaybyDay[Date],"&gt;="&amp;$C$5,DaybyDay[RowYear],"&gt;="&amp;$C$4,DaybyDay[Date],"&lt;="&amp;DaybyDay[[#This Row],[Date]])</f>
        <v>385554.23</v>
      </c>
      <c r="R1334" s="34">
        <f>SUMIFS(DaybyDay[Retail-Actuals],DaybyDay[Date],"&gt;="&amp;$C$5,DaybyDay[RowYear],"&gt;="&amp;$C$4,DaybyDay[Date],"&lt;="&amp;DaybyDay[[#This Row],[Date]])</f>
        <v>88360.030000000028</v>
      </c>
      <c r="S1334" s="35">
        <f>SUMIFS(DaybyDay[Service-LY],DaybyDay[Date],"&gt;="&amp;$C$5,DaybyDay[RowYear],"&gt;="&amp;$C$4,DaybyDay[Date],"&lt;="&amp;DaybyDay[[#This Row],[Date]])</f>
        <v>1121065.3509999989</v>
      </c>
      <c r="T1334" s="35">
        <f>SUMIFS(DaybyDay[Retail-LY],DaybyDay[Date],"&gt;="&amp;$C$5,DaybyDay[RowYear],"&gt;="&amp;$C$4,DaybyDay[Date],"&lt;="&amp;DaybyDay[[#This Row],[Date]])</f>
        <v>268199.42</v>
      </c>
      <c r="U1334" s="32">
        <f>DaybyDay[[#This Row],[Serv-Bud-RU]]+DaybyDay[[#This Row],[Ret-Bud-RU]]</f>
        <v>1547627.2474811822</v>
      </c>
      <c r="V1334" s="32">
        <f>DaybyDay[[#This Row],[Serv-Act-RU]]+DaybyDay[[#This Row],[Ret-Act-RU]]</f>
        <v>473914.26</v>
      </c>
      <c r="W1334" s="36" t="str">
        <f>IF(DaybyDay[[#This Row],[_Space]],IFERROR(
((DaybyDay[[#This Row],[Actual-Rollup]]-DaybyDay[[#This Row],[Budget-Rollup]])/DaybyDay[[#This Row],[Budget-Rollup]]),0),"")</f>
        <v/>
      </c>
      <c r="X1334" t="b">
        <f>NOT(AND(ISBLANK(DaybyDay[[#This Row],[Appts]]),ISBLANK(DaybyDay[[#This Row],[Service-Actuals]]),ISBLANK(DaybyDay[[#This Row],[Retail-Actuals]])))</f>
        <v>0</v>
      </c>
      <c r="Y1334" s="36" t="str">
        <f>IF(DaybyDay[[#This Row],[_Space]],IFERROR(
((DaybyDay[[#This Row],[Actual-Rollup]]-DaybyDay[[#This Row],[LY-Rollup]])/DaybyDay[[#This Row],[LY-Rollup]]),0),"")</f>
        <v/>
      </c>
      <c r="Z1334"/>
      <c r="AA1334" s="37" t="str">
        <f>IF(DaybyDay[[#This Row],[_Space]],DaybyDay[[#This Row],[Ret-Act-RU]]/DaybyDay[[#This Row],[Serv-Act-RU]],"")</f>
        <v/>
      </c>
      <c r="AB1334" s="50" t="str">
        <f>IF(DaybyDay[[#This Row],[_Space]],DaybyDay[[#This Row],[RETPEN-Act]]/DaybyDay[[#This Row],[RETPEN-Bud]],"")</f>
        <v/>
      </c>
      <c r="AC1334" s="37" t="str">
        <f>IF(DaybyDay[[#This Row],[_Space]],DaybyDay[[#This Row],[Ret-Bud-RU]]/DaybyDay[[#This Row],[Serv-Bud-RU]],"")</f>
        <v/>
      </c>
      <c r="AD1334" s="37" t="str">
        <f>IF(DaybyDay[[#This Row],[_Space]],DaybyDay[[#This Row],[Ret-LY-RU]]/DaybyDay[[#This Row],[Serv-LY-RU]],"")</f>
        <v/>
      </c>
      <c r="AE1334" s="30">
        <f>WEEKDAY(DaybyDay[[#This Row],[LY-Date]])</f>
        <v>5</v>
      </c>
      <c r="AF1334" s="38">
        <f>$E$2+_xlfn.DAYS(DaybyDay[[#This Row],[Date]],minDate)</f>
        <v>43699</v>
      </c>
      <c r="AG1334" s="39" cm="1">
        <f t="array" ref="AG1334">IFERROR(INDEX(DaybyDay[],DaybyDay[[#This Row],[FORM_MATCH_HELPER]],8),"")</f>
        <v>16</v>
      </c>
      <c r="AH1334" s="39" cm="1">
        <f t="array" ref="AH1334">IFERROR(INDEX(DaybyDay[],DaybyDay[[#This Row],[FORM_MATCH_HELPER]],10),"")</f>
        <v>2913.07</v>
      </c>
      <c r="AI1334" s="39" cm="1">
        <f t="array" ref="AI1334">IFERROR(INDEX(DaybyDay[],DaybyDay[[#This Row],[FORM_MATCH_HELPER]],12),"")</f>
        <v>442</v>
      </c>
      <c r="AJ1334" s="32">
        <f>IFERROR(DaybyDay[[#This Row],[Serv-LY-RU]]+DaybyDay[[#This Row],[Ret-LY-RU]],"")</f>
        <v>1389264.7709999988</v>
      </c>
      <c r="AK13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1382937.0544520959</v>
      </c>
      <c r="AL1334" s="77"/>
      <c r="AM1334" s="40" t="str">
        <f>IF(DaybyDay[[#This Row],[Admin Hours]]&gt;0,DaybyDay[[#This Row],[Admin Hours]]*$AM$2+$AM$3,"")</f>
        <v/>
      </c>
      <c r="AN1334" s="40">
        <f>SUMIFS(DaybyDay[Est-Admin-Payroll],DaybyDay[Date],"&gt;="&amp;$C$5,DaybyDay[RowYear],"&gt;="&amp;$C$4,DaybyDay[Date],"&lt;="&amp;DaybyDay[[#This Row],[Date]])</f>
        <v>13941.779999999997</v>
      </c>
      <c r="AO1334" s="41" t="str">
        <f>IF(AND(DaybyDay[[#This Row],[_Space]],ISNUMBER(DaybyDay[[#This Row],[Admin Hours]])),DaybyDay[[#This Row],[Est-Admin-Payroll]]/(DaybyDay[[#This Row],[Service-Actuals]]+DaybyDay[[#This Row],[Retail-Actuals]]),"")</f>
        <v/>
      </c>
      <c r="AP1334" s="41">
        <f>DaybyDay[[#This Row],[Estimated-Payroll-Rollup]]/DaybyDay[[#This Row],[Simple-Forecast]]</f>
        <v>1.0081283132241745E-2</v>
      </c>
      <c r="AQ13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268812.24544117856</v>
      </c>
      <c r="AR1334" s="77"/>
      <c r="AS1334" s="40" t="str">
        <f>IF(DaybyDay[[#This Row],[Retail Hours]]&gt;0,DaybyDay[[#This Row],[Retail Hours]]*$AS$2,"")</f>
        <v/>
      </c>
      <c r="AT1334" s="40">
        <f>SUMIFS(DaybyDay[Est-Retail-Payroll],DaybyDay[Date],"&gt;="&amp;$C$5,DaybyDay[RowYear],"&gt;="&amp;$C$4,DaybyDay[Date],"&lt;="&amp;DaybyDay[[#This Row],[Date]])</f>
        <v>2627.1</v>
      </c>
      <c r="AU1334" s="82" t="str">
        <f>IF(AND(DaybyDay[[#This Row],[_Space]],ISNUMBER(DaybyDay[[#This Row],[Retail Hours]])),DaybyDay[[#This Row],[Est-Retail-Payroll]]/(DaybyDay[[#This Row],[Retail-Actuals]]),"")</f>
        <v/>
      </c>
      <c r="AV1334" s="82">
        <f>DaybyDay[[#This Row],[Est-Retail-PayrollRU]]/DaybyDay[[#This Row],[Simple-Forecast-Retail]]</f>
        <v>9.7729922819861318E-3</v>
      </c>
      <c r="AW1334" s="8"/>
      <c r="AX1334" s="15"/>
      <c r="AY1334" s="8"/>
    </row>
    <row r="1335" spans="3:51" hidden="1" x14ac:dyDescent="0.25">
      <c r="C1335" s="26" t="str">
        <f>Tools!$C$1</f>
        <v>Example</v>
      </c>
      <c r="D1335" s="27" t="s">
        <v>75</v>
      </c>
      <c r="E1335" s="28">
        <v>2020</v>
      </c>
      <c r="F1335" s="28">
        <f>MATCH(DaybyDay[[#This Row],[RowMonth]],Table3[SummaryMonth],0)</f>
        <v>8</v>
      </c>
      <c r="G1335" s="29">
        <f>MATCH(DaybyDay[[#This Row],[LY-Date]],DaybyDay[Date],0)</f>
        <v>965</v>
      </c>
      <c r="H1335" s="30">
        <f>WEEKDAY(DaybyDay[[#This Row],[Date]])</f>
        <v>6</v>
      </c>
      <c r="I1335" s="31">
        <v>44064</v>
      </c>
      <c r="J1335" s="74"/>
      <c r="K1335" s="32">
        <f>SUMIFS(BudgetSeasonality[365 Seasonality],BudgetSeasonality[MonthAdjustment],DaybyDay[[#This Row],[Date]])*SUMIFS(Budgets[Service-Budget],Budgets[BudgetMonth],DaybyDay[[#This Row],[RowMonth]],Budgets[BudgetYear],DaybyDay[[#This Row],[RowYear]])</f>
        <v>5455.1042068554361</v>
      </c>
      <c r="L1335" s="75"/>
      <c r="M1335" s="32">
        <f>INDEX(BudgetSeasonality[365 Seasonality],MATCH(DaybyDay[[#This Row],[Date]],BudgetSeasonality[MonthAdjustment],0))*SUMIFS(Budgets[Retail-Budget],Budgets[BudgetMonth],DaybyDay[[#This Row],[RowMonth]],Budgets[BudgetYear],DaybyDay[[#This Row],[RowYear]])</f>
        <v>1344.0100185348288</v>
      </c>
      <c r="N1335" s="75"/>
      <c r="O1335" s="33">
        <f>SUMIFS(DaybyDay[Service-Budgets],DaybyDay[Date],"&gt;="&amp;$C$5,DaybyDay[RowYear],"&gt;="&amp;$C$4,DaybyDay[Date],"&lt;="&amp;DaybyDay[[#This Row],[Date]])</f>
        <v>1242754.3602258167</v>
      </c>
      <c r="P1335" s="33">
        <f>SUMIFS(DaybyDay[Retail-Budgets],DaybyDay[Date],"&gt;="&amp;$C$5,DaybyDay[RowYear],"&gt;="&amp;$C$4,DaybyDay[Date],"&lt;="&amp;DaybyDay[[#This Row],[Date]])</f>
        <v>311672.00148075575</v>
      </c>
      <c r="Q1335" s="34">
        <f>SUMIFS(DaybyDay[Service-Actuals],DaybyDay[Date],"&gt;="&amp;$C$5,DaybyDay[RowYear],"&gt;="&amp;$C$4,DaybyDay[Date],"&lt;="&amp;DaybyDay[[#This Row],[Date]])</f>
        <v>385554.23</v>
      </c>
      <c r="R1335" s="34">
        <f>SUMIFS(DaybyDay[Retail-Actuals],DaybyDay[Date],"&gt;="&amp;$C$5,DaybyDay[RowYear],"&gt;="&amp;$C$4,DaybyDay[Date],"&lt;="&amp;DaybyDay[[#This Row],[Date]])</f>
        <v>88360.030000000028</v>
      </c>
      <c r="S1335" s="35">
        <f>SUMIFS(DaybyDay[Service-LY],DaybyDay[Date],"&gt;="&amp;$C$5,DaybyDay[RowYear],"&gt;="&amp;$C$4,DaybyDay[Date],"&lt;="&amp;DaybyDay[[#This Row],[Date]])</f>
        <v>1125673.1509999989</v>
      </c>
      <c r="T1335" s="35">
        <f>SUMIFS(DaybyDay[Retail-LY],DaybyDay[Date],"&gt;="&amp;$C$5,DaybyDay[RowYear],"&gt;="&amp;$C$4,DaybyDay[Date],"&lt;="&amp;DaybyDay[[#This Row],[Date]])</f>
        <v>269013.67</v>
      </c>
      <c r="U1335" s="32">
        <f>DaybyDay[[#This Row],[Serv-Bud-RU]]+DaybyDay[[#This Row],[Ret-Bud-RU]]</f>
        <v>1554426.3617065726</v>
      </c>
      <c r="V1335" s="32">
        <f>DaybyDay[[#This Row],[Serv-Act-RU]]+DaybyDay[[#This Row],[Ret-Act-RU]]</f>
        <v>473914.26</v>
      </c>
      <c r="W1335" s="36" t="str">
        <f>IF(DaybyDay[[#This Row],[_Space]],IFERROR(
((DaybyDay[[#This Row],[Actual-Rollup]]-DaybyDay[[#This Row],[Budget-Rollup]])/DaybyDay[[#This Row],[Budget-Rollup]]),0),"")</f>
        <v/>
      </c>
      <c r="X1335" t="b">
        <f>NOT(AND(ISBLANK(DaybyDay[[#This Row],[Appts]]),ISBLANK(DaybyDay[[#This Row],[Service-Actuals]]),ISBLANK(DaybyDay[[#This Row],[Retail-Actuals]])))</f>
        <v>0</v>
      </c>
      <c r="Y1335" s="36" t="str">
        <f>IF(DaybyDay[[#This Row],[_Space]],IFERROR(
((DaybyDay[[#This Row],[Actual-Rollup]]-DaybyDay[[#This Row],[LY-Rollup]])/DaybyDay[[#This Row],[LY-Rollup]]),0),"")</f>
        <v/>
      </c>
      <c r="Z1335"/>
      <c r="AA1335" s="37" t="str">
        <f>IF(DaybyDay[[#This Row],[_Space]],DaybyDay[[#This Row],[Ret-Act-RU]]/DaybyDay[[#This Row],[Serv-Act-RU]],"")</f>
        <v/>
      </c>
      <c r="AB1335" s="50" t="str">
        <f>IF(DaybyDay[[#This Row],[_Space]],DaybyDay[[#This Row],[RETPEN-Act]]/DaybyDay[[#This Row],[RETPEN-Bud]],"")</f>
        <v/>
      </c>
      <c r="AC1335" s="37" t="str">
        <f>IF(DaybyDay[[#This Row],[_Space]],DaybyDay[[#This Row],[Ret-Bud-RU]]/DaybyDay[[#This Row],[Serv-Bud-RU]],"")</f>
        <v/>
      </c>
      <c r="AD1335" s="37" t="str">
        <f>IF(DaybyDay[[#This Row],[_Space]],DaybyDay[[#This Row],[Ret-LY-RU]]/DaybyDay[[#This Row],[Serv-LY-RU]],"")</f>
        <v/>
      </c>
      <c r="AE1335" s="30">
        <f>WEEKDAY(DaybyDay[[#This Row],[LY-Date]])</f>
        <v>6</v>
      </c>
      <c r="AF1335" s="38">
        <f>$E$2+_xlfn.DAYS(DaybyDay[[#This Row],[Date]],minDate)</f>
        <v>43700</v>
      </c>
      <c r="AG1335" s="39" cm="1">
        <f t="array" ref="AG1335">IFERROR(INDEX(DaybyDay[],DaybyDay[[#This Row],[FORM_MATCH_HELPER]],8),"")</f>
        <v>21</v>
      </c>
      <c r="AH1335" s="39" cm="1">
        <f t="array" ref="AH1335">IFERROR(INDEX(DaybyDay[],DaybyDay[[#This Row],[FORM_MATCH_HELPER]],10),"")</f>
        <v>4607.8</v>
      </c>
      <c r="AI1335" s="39" cm="1">
        <f t="array" ref="AI1335">IFERROR(INDEX(DaybyDay[],DaybyDay[[#This Row],[FORM_MATCH_HELPER]],12),"")</f>
        <v>814.25</v>
      </c>
      <c r="AJ1335" s="32">
        <f>IFERROR(DaybyDay[[#This Row],[Serv-LY-RU]]+DaybyDay[[#This Row],[Ret-LY-RU]],"")</f>
        <v>1394686.8209999988</v>
      </c>
      <c r="AK13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1388502.3954196745</v>
      </c>
      <c r="AL1335" s="77"/>
      <c r="AM1335" s="40" t="str">
        <f>IF(DaybyDay[[#This Row],[Admin Hours]]&gt;0,DaybyDay[[#This Row],[Admin Hours]]*$AM$2+$AM$3,"")</f>
        <v/>
      </c>
      <c r="AN1335" s="40">
        <f>SUMIFS(DaybyDay[Est-Admin-Payroll],DaybyDay[Date],"&gt;="&amp;$C$5,DaybyDay[RowYear],"&gt;="&amp;$C$4,DaybyDay[Date],"&lt;="&amp;DaybyDay[[#This Row],[Date]])</f>
        <v>13941.779999999997</v>
      </c>
      <c r="AO1335" s="41" t="str">
        <f>IF(AND(DaybyDay[[#This Row],[_Space]],ISNUMBER(DaybyDay[[#This Row],[Admin Hours]])),DaybyDay[[#This Row],[Est-Admin-Payroll]]/(DaybyDay[[#This Row],[Service-Actuals]]+DaybyDay[[#This Row],[Retail-Actuals]]),"")</f>
        <v/>
      </c>
      <c r="AP1335" s="41">
        <f>DaybyDay[[#This Row],[Estimated-Payroll-Rollup]]/DaybyDay[[#This Row],[Simple-Forecast]]</f>
        <v>1.0040875727683637E-2</v>
      </c>
      <c r="AQ13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269785.38701651513</v>
      </c>
      <c r="AR1335" s="77"/>
      <c r="AS1335" s="40" t="str">
        <f>IF(DaybyDay[[#This Row],[Retail Hours]]&gt;0,DaybyDay[[#This Row],[Retail Hours]]*$AS$2,"")</f>
        <v/>
      </c>
      <c r="AT1335" s="40">
        <f>SUMIFS(DaybyDay[Est-Retail-Payroll],DaybyDay[Date],"&gt;="&amp;$C$5,DaybyDay[RowYear],"&gt;="&amp;$C$4,DaybyDay[Date],"&lt;="&amp;DaybyDay[[#This Row],[Date]])</f>
        <v>2627.1</v>
      </c>
      <c r="AU1335" s="82" t="str">
        <f>IF(AND(DaybyDay[[#This Row],[_Space]],ISNUMBER(DaybyDay[[#This Row],[Retail Hours]])),DaybyDay[[#This Row],[Est-Retail-Payroll]]/(DaybyDay[[#This Row],[Retail-Actuals]]),"")</f>
        <v/>
      </c>
      <c r="AV1335" s="82">
        <f>DaybyDay[[#This Row],[Est-Retail-PayrollRU]]/DaybyDay[[#This Row],[Simple-Forecast-Retail]]</f>
        <v>9.7377401684071926E-3</v>
      </c>
      <c r="AW1335" s="8"/>
      <c r="AX1335" s="15"/>
      <c r="AY1335" s="8"/>
    </row>
    <row r="1336" spans="3:51" hidden="1" x14ac:dyDescent="0.25">
      <c r="C1336" s="26" t="str">
        <f>Tools!$C$1</f>
        <v>Example</v>
      </c>
      <c r="D1336" s="27" t="s">
        <v>75</v>
      </c>
      <c r="E1336" s="28">
        <v>2020</v>
      </c>
      <c r="F1336" s="28">
        <f>MATCH(DaybyDay[[#This Row],[RowMonth]],Table3[SummaryMonth],0)</f>
        <v>8</v>
      </c>
      <c r="G1336" s="29">
        <f>MATCH(DaybyDay[[#This Row],[LY-Date]],DaybyDay[Date],0)</f>
        <v>966</v>
      </c>
      <c r="H1336" s="30">
        <f>WEEKDAY(DaybyDay[[#This Row],[Date]])</f>
        <v>7</v>
      </c>
      <c r="I1336" s="31">
        <v>44065</v>
      </c>
      <c r="J1336" s="74"/>
      <c r="K1336" s="32">
        <f>SUMIFS(BudgetSeasonality[365 Seasonality],BudgetSeasonality[MonthAdjustment],DaybyDay[[#This Row],[Date]])*SUMIFS(Budgets[Service-Budget],Budgets[BudgetMonth],DaybyDay[[#This Row],[RowMonth]],Budgets[BudgetYear],DaybyDay[[#This Row],[RowYear]])</f>
        <v>7922.0872114993344</v>
      </c>
      <c r="L1336" s="75"/>
      <c r="M1336" s="32">
        <f>INDEX(BudgetSeasonality[365 Seasonality],MATCH(DaybyDay[[#This Row],[Date]],BudgetSeasonality[MonthAdjustment],0))*SUMIFS(Budgets[Retail-Budget],Budgets[BudgetMonth],DaybyDay[[#This Row],[RowMonth]],Budgets[BudgetYear],DaybyDay[[#This Row],[RowYear]])</f>
        <v>1951.8168995894148</v>
      </c>
      <c r="N1336" s="75"/>
      <c r="O1336" s="33">
        <f>SUMIFS(DaybyDay[Service-Budgets],DaybyDay[Date],"&gt;="&amp;$C$5,DaybyDay[RowYear],"&gt;="&amp;$C$4,DaybyDay[Date],"&lt;="&amp;DaybyDay[[#This Row],[Date]])</f>
        <v>1250676.4474373159</v>
      </c>
      <c r="P1336" s="33">
        <f>SUMIFS(DaybyDay[Retail-Budgets],DaybyDay[Date],"&gt;="&amp;$C$5,DaybyDay[RowYear],"&gt;="&amp;$C$4,DaybyDay[Date],"&lt;="&amp;DaybyDay[[#This Row],[Date]])</f>
        <v>313623.81838034518</v>
      </c>
      <c r="Q1336" s="34">
        <f>SUMIFS(DaybyDay[Service-Actuals],DaybyDay[Date],"&gt;="&amp;$C$5,DaybyDay[RowYear],"&gt;="&amp;$C$4,DaybyDay[Date],"&lt;="&amp;DaybyDay[[#This Row],[Date]])</f>
        <v>385554.23</v>
      </c>
      <c r="R1336" s="34">
        <f>SUMIFS(DaybyDay[Retail-Actuals],DaybyDay[Date],"&gt;="&amp;$C$5,DaybyDay[RowYear],"&gt;="&amp;$C$4,DaybyDay[Date],"&lt;="&amp;DaybyDay[[#This Row],[Date]])</f>
        <v>88360.030000000028</v>
      </c>
      <c r="S1336" s="35">
        <f>SUMIFS(DaybyDay[Service-LY],DaybyDay[Date],"&gt;="&amp;$C$5,DaybyDay[RowYear],"&gt;="&amp;$C$4,DaybyDay[Date],"&lt;="&amp;DaybyDay[[#This Row],[Date]])</f>
        <v>1130923.500999999</v>
      </c>
      <c r="T1336" s="35">
        <f>SUMIFS(DaybyDay[Retail-LY],DaybyDay[Date],"&gt;="&amp;$C$5,DaybyDay[RowYear],"&gt;="&amp;$C$4,DaybyDay[Date],"&lt;="&amp;DaybyDay[[#This Row],[Date]])</f>
        <v>269253.87</v>
      </c>
      <c r="U1336" s="32">
        <f>DaybyDay[[#This Row],[Serv-Bud-RU]]+DaybyDay[[#This Row],[Ret-Bud-RU]]</f>
        <v>1564300.2658176611</v>
      </c>
      <c r="V1336" s="32">
        <f>DaybyDay[[#This Row],[Serv-Act-RU]]+DaybyDay[[#This Row],[Ret-Act-RU]]</f>
        <v>473914.26</v>
      </c>
      <c r="W1336" s="36" t="str">
        <f>IF(DaybyDay[[#This Row],[_Space]],IFERROR(
((DaybyDay[[#This Row],[Actual-Rollup]]-DaybyDay[[#This Row],[Budget-Rollup]])/DaybyDay[[#This Row],[Budget-Rollup]]),0),"")</f>
        <v/>
      </c>
      <c r="X1336" t="b">
        <f>NOT(AND(ISBLANK(DaybyDay[[#This Row],[Appts]]),ISBLANK(DaybyDay[[#This Row],[Service-Actuals]]),ISBLANK(DaybyDay[[#This Row],[Retail-Actuals]])))</f>
        <v>0</v>
      </c>
      <c r="Y1336" s="36" t="str">
        <f>IF(DaybyDay[[#This Row],[_Space]],IFERROR(
((DaybyDay[[#This Row],[Actual-Rollup]]-DaybyDay[[#This Row],[LY-Rollup]])/DaybyDay[[#This Row],[LY-Rollup]]),0),"")</f>
        <v/>
      </c>
      <c r="Z1336"/>
      <c r="AA1336" s="37" t="str">
        <f>IF(DaybyDay[[#This Row],[_Space]],DaybyDay[[#This Row],[Ret-Act-RU]]/DaybyDay[[#This Row],[Serv-Act-RU]],"")</f>
        <v/>
      </c>
      <c r="AB1336" s="50" t="str">
        <f>IF(DaybyDay[[#This Row],[_Space]],DaybyDay[[#This Row],[RETPEN-Act]]/DaybyDay[[#This Row],[RETPEN-Bud]],"")</f>
        <v/>
      </c>
      <c r="AC1336" s="37" t="str">
        <f>IF(DaybyDay[[#This Row],[_Space]],DaybyDay[[#This Row],[Ret-Bud-RU]]/DaybyDay[[#This Row],[Serv-Bud-RU]],"")</f>
        <v/>
      </c>
      <c r="AD1336" s="37" t="str">
        <f>IF(DaybyDay[[#This Row],[_Space]],DaybyDay[[#This Row],[Ret-LY-RU]]/DaybyDay[[#This Row],[Serv-LY-RU]],"")</f>
        <v/>
      </c>
      <c r="AE1336" s="30">
        <f>WEEKDAY(DaybyDay[[#This Row],[LY-Date]])</f>
        <v>7</v>
      </c>
      <c r="AF1336" s="38">
        <f>$E$2+_xlfn.DAYS(DaybyDay[[#This Row],[Date]],minDate)</f>
        <v>43701</v>
      </c>
      <c r="AG1336" s="39" cm="1">
        <f t="array" ref="AG1336">IFERROR(INDEX(DaybyDay[],DaybyDay[[#This Row],[FORM_MATCH_HELPER]],8),"")</f>
        <v>23</v>
      </c>
      <c r="AH1336" s="39" cm="1">
        <f t="array" ref="AH1336">IFERROR(INDEX(DaybyDay[],DaybyDay[[#This Row],[FORM_MATCH_HELPER]],10),"")</f>
        <v>5250.35</v>
      </c>
      <c r="AI1336" s="39" cm="1">
        <f t="array" ref="AI1336">IFERROR(INDEX(DaybyDay[],DaybyDay[[#This Row],[FORM_MATCH_HELPER]],12),"")</f>
        <v>240.2</v>
      </c>
      <c r="AJ1336" s="32">
        <f>IFERROR(DaybyDay[[#This Row],[Serv-LY-RU]]+DaybyDay[[#This Row],[Ret-LY-RU]],"")</f>
        <v>1400177.3709999989</v>
      </c>
      <c r="AK13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1395409.3865326901</v>
      </c>
      <c r="AL1336" s="77"/>
      <c r="AM1336" s="40" t="str">
        <f>IF(DaybyDay[[#This Row],[Admin Hours]]&gt;0,DaybyDay[[#This Row],[Admin Hours]]*$AM$2+$AM$3,"")</f>
        <v/>
      </c>
      <c r="AN1336" s="40">
        <f>SUMIFS(DaybyDay[Est-Admin-Payroll],DaybyDay[Date],"&gt;="&amp;$C$5,DaybyDay[RowYear],"&gt;="&amp;$C$4,DaybyDay[Date],"&lt;="&amp;DaybyDay[[#This Row],[Date]])</f>
        <v>13941.779999999997</v>
      </c>
      <c r="AO1336" s="41" t="str">
        <f>IF(AND(DaybyDay[[#This Row],[_Space]],ISNUMBER(DaybyDay[[#This Row],[Admin Hours]])),DaybyDay[[#This Row],[Est-Admin-Payroll]]/(DaybyDay[[#This Row],[Service-Actuals]]+DaybyDay[[#This Row],[Retail-Actuals]]),"")</f>
        <v/>
      </c>
      <c r="AP1336" s="41">
        <f>DaybyDay[[#This Row],[Estimated-Payroll-Rollup]]/DaybyDay[[#This Row],[Simple-Forecast]]</f>
        <v>9.9911754461122684E-3</v>
      </c>
      <c r="AQ13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270734.03071534634</v>
      </c>
      <c r="AR1336" s="77"/>
      <c r="AS1336" s="40" t="str">
        <f>IF(DaybyDay[[#This Row],[Retail Hours]]&gt;0,DaybyDay[[#This Row],[Retail Hours]]*$AS$2,"")</f>
        <v/>
      </c>
      <c r="AT1336" s="40">
        <f>SUMIFS(DaybyDay[Est-Retail-Payroll],DaybyDay[Date],"&gt;="&amp;$C$5,DaybyDay[RowYear],"&gt;="&amp;$C$4,DaybyDay[Date],"&lt;="&amp;DaybyDay[[#This Row],[Date]])</f>
        <v>2627.1</v>
      </c>
      <c r="AU1336" s="82" t="str">
        <f>IF(AND(DaybyDay[[#This Row],[_Space]],ISNUMBER(DaybyDay[[#This Row],[Retail Hours]])),DaybyDay[[#This Row],[Est-Retail-Payroll]]/(DaybyDay[[#This Row],[Retail-Actuals]]),"")</f>
        <v/>
      </c>
      <c r="AV1336" s="82">
        <f>DaybyDay[[#This Row],[Est-Retail-PayrollRU]]/DaybyDay[[#This Row],[Simple-Forecast-Retail]]</f>
        <v>9.7036194270020328E-3</v>
      </c>
      <c r="AW1336" s="8"/>
      <c r="AX1336" s="15"/>
      <c r="AY1336" s="8"/>
    </row>
    <row r="1337" spans="3:51" hidden="1" x14ac:dyDescent="0.25">
      <c r="C1337" s="26" t="str">
        <f>Tools!$C$1</f>
        <v>Example</v>
      </c>
      <c r="D1337" s="27" t="s">
        <v>75</v>
      </c>
      <c r="E1337" s="28">
        <v>2020</v>
      </c>
      <c r="F1337" s="28">
        <f>MATCH(DaybyDay[[#This Row],[RowMonth]],Table3[SummaryMonth],0)</f>
        <v>8</v>
      </c>
      <c r="G1337" s="29">
        <f>MATCH(DaybyDay[[#This Row],[LY-Date]],DaybyDay[Date],0)</f>
        <v>967</v>
      </c>
      <c r="H1337" s="30">
        <f>WEEKDAY(DaybyDay[[#This Row],[Date]])</f>
        <v>1</v>
      </c>
      <c r="I1337" s="31">
        <v>44066</v>
      </c>
      <c r="J1337" s="74"/>
      <c r="K1337" s="32">
        <f>SUMIFS(BudgetSeasonality[365 Seasonality],BudgetSeasonality[MonthAdjustment],DaybyDay[[#This Row],[Date]])*SUMIFS(Budgets[Service-Budget],Budgets[BudgetMonth],DaybyDay[[#This Row],[RowMonth]],Budgets[BudgetYear],DaybyDay[[#This Row],[RowYear]])</f>
        <v>6143.3270096687793</v>
      </c>
      <c r="L1337" s="75"/>
      <c r="M1337" s="32">
        <f>INDEX(BudgetSeasonality[365 Seasonality],MATCH(DaybyDay[[#This Row],[Date]],BudgetSeasonality[MonthAdjustment],0))*SUMIFS(Budgets[Retail-Budget],Budgets[BudgetMonth],DaybyDay[[#This Row],[RowMonth]],Budgets[BudgetYear],DaybyDay[[#This Row],[RowYear]])</f>
        <v>1513.5720116499799</v>
      </c>
      <c r="N1337" s="75"/>
      <c r="O1337" s="33">
        <f>SUMIFS(DaybyDay[Service-Budgets],DaybyDay[Date],"&gt;="&amp;$C$5,DaybyDay[RowYear],"&gt;="&amp;$C$4,DaybyDay[Date],"&lt;="&amp;DaybyDay[[#This Row],[Date]])</f>
        <v>1256819.7744469848</v>
      </c>
      <c r="P1337" s="33">
        <f>SUMIFS(DaybyDay[Retail-Budgets],DaybyDay[Date],"&gt;="&amp;$C$5,DaybyDay[RowYear],"&gt;="&amp;$C$4,DaybyDay[Date],"&lt;="&amp;DaybyDay[[#This Row],[Date]])</f>
        <v>315137.39039199514</v>
      </c>
      <c r="Q1337" s="34">
        <f>SUMIFS(DaybyDay[Service-Actuals],DaybyDay[Date],"&gt;="&amp;$C$5,DaybyDay[RowYear],"&gt;="&amp;$C$4,DaybyDay[Date],"&lt;="&amp;DaybyDay[[#This Row],[Date]])</f>
        <v>385554.23</v>
      </c>
      <c r="R1337" s="34">
        <f>SUMIFS(DaybyDay[Retail-Actuals],DaybyDay[Date],"&gt;="&amp;$C$5,DaybyDay[RowYear],"&gt;="&amp;$C$4,DaybyDay[Date],"&lt;="&amp;DaybyDay[[#This Row],[Date]])</f>
        <v>88360.030000000028</v>
      </c>
      <c r="S1337" s="35">
        <f>SUMIFS(DaybyDay[Service-LY],DaybyDay[Date],"&gt;="&amp;$C$5,DaybyDay[RowYear],"&gt;="&amp;$C$4,DaybyDay[Date],"&lt;="&amp;DaybyDay[[#This Row],[Date]])</f>
        <v>1136743.500999999</v>
      </c>
      <c r="T1337" s="35">
        <f>SUMIFS(DaybyDay[Retail-LY],DaybyDay[Date],"&gt;="&amp;$C$5,DaybyDay[RowYear],"&gt;="&amp;$C$4,DaybyDay[Date],"&lt;="&amp;DaybyDay[[#This Row],[Date]])</f>
        <v>272668.87</v>
      </c>
      <c r="U1337" s="32">
        <f>DaybyDay[[#This Row],[Serv-Bud-RU]]+DaybyDay[[#This Row],[Ret-Bud-RU]]</f>
        <v>1571957.16483898</v>
      </c>
      <c r="V1337" s="32">
        <f>DaybyDay[[#This Row],[Serv-Act-RU]]+DaybyDay[[#This Row],[Ret-Act-RU]]</f>
        <v>473914.26</v>
      </c>
      <c r="W1337" s="36" t="str">
        <f>IF(DaybyDay[[#This Row],[_Space]],IFERROR(
((DaybyDay[[#This Row],[Actual-Rollup]]-DaybyDay[[#This Row],[Budget-Rollup]])/DaybyDay[[#This Row],[Budget-Rollup]]),0),"")</f>
        <v/>
      </c>
      <c r="X1337" t="b">
        <f>NOT(AND(ISBLANK(DaybyDay[[#This Row],[Appts]]),ISBLANK(DaybyDay[[#This Row],[Service-Actuals]]),ISBLANK(DaybyDay[[#This Row],[Retail-Actuals]])))</f>
        <v>0</v>
      </c>
      <c r="Y1337" s="36" t="str">
        <f>IF(DaybyDay[[#This Row],[_Space]],IFERROR(
((DaybyDay[[#This Row],[Actual-Rollup]]-DaybyDay[[#This Row],[LY-Rollup]])/DaybyDay[[#This Row],[LY-Rollup]]),0),"")</f>
        <v/>
      </c>
      <c r="Z1337"/>
      <c r="AA1337" s="37" t="str">
        <f>IF(DaybyDay[[#This Row],[_Space]],DaybyDay[[#This Row],[Ret-Act-RU]]/DaybyDay[[#This Row],[Serv-Act-RU]],"")</f>
        <v/>
      </c>
      <c r="AB1337" s="50" t="str">
        <f>IF(DaybyDay[[#This Row],[_Space]],DaybyDay[[#This Row],[RETPEN-Act]]/DaybyDay[[#This Row],[RETPEN-Bud]],"")</f>
        <v/>
      </c>
      <c r="AC1337" s="37" t="str">
        <f>IF(DaybyDay[[#This Row],[_Space]],DaybyDay[[#This Row],[Ret-Bud-RU]]/DaybyDay[[#This Row],[Serv-Bud-RU]],"")</f>
        <v/>
      </c>
      <c r="AD1337" s="37" t="str">
        <f>IF(DaybyDay[[#This Row],[_Space]],DaybyDay[[#This Row],[Ret-LY-RU]]/DaybyDay[[#This Row],[Serv-LY-RU]],"")</f>
        <v/>
      </c>
      <c r="AE1337" s="30">
        <f>WEEKDAY(DaybyDay[[#This Row],[LY-Date]])</f>
        <v>1</v>
      </c>
      <c r="AF1337" s="38">
        <f>$E$2+_xlfn.DAYS(DaybyDay[[#This Row],[Date]],minDate)</f>
        <v>43702</v>
      </c>
      <c r="AG1337" s="39" cm="1">
        <f t="array" ref="AG1337">IFERROR(INDEX(DaybyDay[],DaybyDay[[#This Row],[FORM_MATCH_HELPER]],8),"")</f>
        <v>26</v>
      </c>
      <c r="AH1337" s="39" cm="1">
        <f t="array" ref="AH1337">IFERROR(INDEX(DaybyDay[],DaybyDay[[#This Row],[FORM_MATCH_HELPER]],10),"")</f>
        <v>5820</v>
      </c>
      <c r="AI1337" s="39" cm="1">
        <f t="array" ref="AI1337">IFERROR(INDEX(DaybyDay[],DaybyDay[[#This Row],[FORM_MATCH_HELPER]],12),"")</f>
        <v>3415</v>
      </c>
      <c r="AJ1337" s="32">
        <f>IFERROR(DaybyDay[[#This Row],[Serv-LY-RU]]+DaybyDay[[#This Row],[Ret-LY-RU]],"")</f>
        <v>1409412.3709999989</v>
      </c>
      <c r="AK13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1403219.5395389041</v>
      </c>
      <c r="AL1337" s="77"/>
      <c r="AM1337" s="40" t="str">
        <f>IF(DaybyDay[[#This Row],[Admin Hours]]&gt;0,DaybyDay[[#This Row],[Admin Hours]]*$AM$2+$AM$3,"")</f>
        <v/>
      </c>
      <c r="AN1337" s="40">
        <f>SUMIFS(DaybyDay[Est-Admin-Payroll],DaybyDay[Date],"&gt;="&amp;$C$5,DaybyDay[RowYear],"&gt;="&amp;$C$4,DaybyDay[Date],"&lt;="&amp;DaybyDay[[#This Row],[Date]])</f>
        <v>13941.779999999997</v>
      </c>
      <c r="AO1337" s="41" t="str">
        <f>IF(AND(DaybyDay[[#This Row],[_Space]],ISNUMBER(DaybyDay[[#This Row],[Admin Hours]])),DaybyDay[[#This Row],[Est-Admin-Payroll]]/(DaybyDay[[#This Row],[Service-Actuals]]+DaybyDay[[#This Row],[Retail-Actuals]]),"")</f>
        <v/>
      </c>
      <c r="AP1337" s="41">
        <f>DaybyDay[[#This Row],[Estimated-Payroll-Rollup]]/DaybyDay[[#This Row],[Simple-Forecast]]</f>
        <v>9.9355657522993482E-3</v>
      </c>
      <c r="AQ13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273061.57845488808</v>
      </c>
      <c r="AR1337" s="77"/>
      <c r="AS1337" s="40" t="str">
        <f>IF(DaybyDay[[#This Row],[Retail Hours]]&gt;0,DaybyDay[[#This Row],[Retail Hours]]*$AS$2,"")</f>
        <v/>
      </c>
      <c r="AT1337" s="40">
        <f>SUMIFS(DaybyDay[Est-Retail-Payroll],DaybyDay[Date],"&gt;="&amp;$C$5,DaybyDay[RowYear],"&gt;="&amp;$C$4,DaybyDay[Date],"&lt;="&amp;DaybyDay[[#This Row],[Date]])</f>
        <v>2627.1</v>
      </c>
      <c r="AU1337" s="82" t="str">
        <f>IF(AND(DaybyDay[[#This Row],[_Space]],ISNUMBER(DaybyDay[[#This Row],[Retail Hours]])),DaybyDay[[#This Row],[Est-Retail-Payroll]]/(DaybyDay[[#This Row],[Retail-Actuals]]),"")</f>
        <v/>
      </c>
      <c r="AV1337" s="82">
        <f>DaybyDay[[#This Row],[Est-Retail-PayrollRU]]/DaybyDay[[#This Row],[Simple-Forecast-Retail]]</f>
        <v>9.6209068110767459E-3</v>
      </c>
      <c r="AW1337" s="8"/>
      <c r="AX1337" s="15"/>
      <c r="AY1337" s="8"/>
    </row>
    <row r="1338" spans="3:51" hidden="1" x14ac:dyDescent="0.25">
      <c r="C1338" s="26" t="str">
        <f>Tools!$C$1</f>
        <v>Example</v>
      </c>
      <c r="D1338" s="27" t="s">
        <v>75</v>
      </c>
      <c r="E1338" s="28">
        <v>2020</v>
      </c>
      <c r="F1338" s="28">
        <f>MATCH(DaybyDay[[#This Row],[RowMonth]],Table3[SummaryMonth],0)</f>
        <v>8</v>
      </c>
      <c r="G1338" s="29">
        <f>MATCH(DaybyDay[[#This Row],[LY-Date]],DaybyDay[Date],0)</f>
        <v>968</v>
      </c>
      <c r="H1338" s="30">
        <f>WEEKDAY(DaybyDay[[#This Row],[Date]])</f>
        <v>2</v>
      </c>
      <c r="I1338" s="31">
        <v>44067</v>
      </c>
      <c r="J1338" s="74"/>
      <c r="K1338" s="32">
        <f>SUMIFS(BudgetSeasonality[365 Seasonality],BudgetSeasonality[MonthAdjustment],DaybyDay[[#This Row],[Date]])*SUMIFS(Budgets[Service-Budget],Budgets[BudgetMonth],DaybyDay[[#This Row],[RowMonth]],Budgets[BudgetYear],DaybyDay[[#This Row],[RowYear]])</f>
        <v>3536.822713711766</v>
      </c>
      <c r="L1338" s="75"/>
      <c r="M1338" s="32">
        <f>INDEX(BudgetSeasonality[365 Seasonality],MATCH(DaybyDay[[#This Row],[Date]],BudgetSeasonality[MonthAdjustment],0))*SUMIFS(Budgets[Retail-Budget],Budgets[BudgetMonth],DaybyDay[[#This Row],[RowMonth]],Budgets[BudgetYear],DaybyDay[[#This Row],[RowYear]])</f>
        <v>871.39034943391061</v>
      </c>
      <c r="N1338" s="75"/>
      <c r="O1338" s="33">
        <f>SUMIFS(DaybyDay[Service-Budgets],DaybyDay[Date],"&gt;="&amp;$C$5,DaybyDay[RowYear],"&gt;="&amp;$C$4,DaybyDay[Date],"&lt;="&amp;DaybyDay[[#This Row],[Date]])</f>
        <v>1260356.5971606965</v>
      </c>
      <c r="P1338" s="33">
        <f>SUMIFS(DaybyDay[Retail-Budgets],DaybyDay[Date],"&gt;="&amp;$C$5,DaybyDay[RowYear],"&gt;="&amp;$C$4,DaybyDay[Date],"&lt;="&amp;DaybyDay[[#This Row],[Date]])</f>
        <v>316008.78074142907</v>
      </c>
      <c r="Q1338" s="34">
        <f>SUMIFS(DaybyDay[Service-Actuals],DaybyDay[Date],"&gt;="&amp;$C$5,DaybyDay[RowYear],"&gt;="&amp;$C$4,DaybyDay[Date],"&lt;="&amp;DaybyDay[[#This Row],[Date]])</f>
        <v>385554.23</v>
      </c>
      <c r="R1338" s="34">
        <f>SUMIFS(DaybyDay[Retail-Actuals],DaybyDay[Date],"&gt;="&amp;$C$5,DaybyDay[RowYear],"&gt;="&amp;$C$4,DaybyDay[Date],"&lt;="&amp;DaybyDay[[#This Row],[Date]])</f>
        <v>88360.030000000028</v>
      </c>
      <c r="S1338" s="35">
        <f>SUMIFS(DaybyDay[Service-LY],DaybyDay[Date],"&gt;="&amp;$C$5,DaybyDay[RowYear],"&gt;="&amp;$C$4,DaybyDay[Date],"&lt;="&amp;DaybyDay[[#This Row],[Date]])</f>
        <v>1140344.5609999991</v>
      </c>
      <c r="T1338" s="35">
        <f>SUMIFS(DaybyDay[Retail-LY],DaybyDay[Date],"&gt;="&amp;$C$5,DaybyDay[RowYear],"&gt;="&amp;$C$4,DaybyDay[Date],"&lt;="&amp;DaybyDay[[#This Row],[Date]])</f>
        <v>273215.87</v>
      </c>
      <c r="U1338" s="32">
        <f>DaybyDay[[#This Row],[Serv-Bud-RU]]+DaybyDay[[#This Row],[Ret-Bud-RU]]</f>
        <v>1576365.3779021255</v>
      </c>
      <c r="V1338" s="32">
        <f>DaybyDay[[#This Row],[Serv-Act-RU]]+DaybyDay[[#This Row],[Ret-Act-RU]]</f>
        <v>473914.26</v>
      </c>
      <c r="W1338" s="36" t="str">
        <f>IF(DaybyDay[[#This Row],[_Space]],IFERROR(
((DaybyDay[[#This Row],[Actual-Rollup]]-DaybyDay[[#This Row],[Budget-Rollup]])/DaybyDay[[#This Row],[Budget-Rollup]]),0),"")</f>
        <v/>
      </c>
      <c r="X1338" t="b">
        <f>NOT(AND(ISBLANK(DaybyDay[[#This Row],[Appts]]),ISBLANK(DaybyDay[[#This Row],[Service-Actuals]]),ISBLANK(DaybyDay[[#This Row],[Retail-Actuals]])))</f>
        <v>0</v>
      </c>
      <c r="Y1338" s="36" t="str">
        <f>IF(DaybyDay[[#This Row],[_Space]],IFERROR(
((DaybyDay[[#This Row],[Actual-Rollup]]-DaybyDay[[#This Row],[LY-Rollup]])/DaybyDay[[#This Row],[LY-Rollup]]),0),"")</f>
        <v/>
      </c>
      <c r="Z1338"/>
      <c r="AA1338" s="37" t="str">
        <f>IF(DaybyDay[[#This Row],[_Space]],DaybyDay[[#This Row],[Ret-Act-RU]]/DaybyDay[[#This Row],[Serv-Act-RU]],"")</f>
        <v/>
      </c>
      <c r="AB1338" s="50" t="str">
        <f>IF(DaybyDay[[#This Row],[_Space]],DaybyDay[[#This Row],[RETPEN-Act]]/DaybyDay[[#This Row],[RETPEN-Bud]],"")</f>
        <v/>
      </c>
      <c r="AC1338" s="37" t="str">
        <f>IF(DaybyDay[[#This Row],[_Space]],DaybyDay[[#This Row],[Ret-Bud-RU]]/DaybyDay[[#This Row],[Serv-Bud-RU]],"")</f>
        <v/>
      </c>
      <c r="AD1338" s="37" t="str">
        <f>IF(DaybyDay[[#This Row],[_Space]],DaybyDay[[#This Row],[Ret-LY-RU]]/DaybyDay[[#This Row],[Serv-LY-RU]],"")</f>
        <v/>
      </c>
      <c r="AE1338" s="30">
        <f>WEEKDAY(DaybyDay[[#This Row],[LY-Date]])</f>
        <v>2</v>
      </c>
      <c r="AF1338" s="38">
        <f>$E$2+_xlfn.DAYS(DaybyDay[[#This Row],[Date]],minDate)</f>
        <v>43703</v>
      </c>
      <c r="AG1338" s="39" cm="1">
        <f t="array" ref="AG1338">IFERROR(INDEX(DaybyDay[],DaybyDay[[#This Row],[FORM_MATCH_HELPER]],8),"")</f>
        <v>16</v>
      </c>
      <c r="AH1338" s="39" cm="1">
        <f t="array" ref="AH1338">IFERROR(INDEX(DaybyDay[],DaybyDay[[#This Row],[FORM_MATCH_HELPER]],10),"")</f>
        <v>3601.0600000000004</v>
      </c>
      <c r="AI1338" s="39" cm="1">
        <f t="array" ref="AI1338">IFERROR(INDEX(DaybyDay[],DaybyDay[[#This Row],[FORM_MATCH_HELPER]],12),"")</f>
        <v>547</v>
      </c>
      <c r="AJ1338" s="32">
        <f>IFERROR(DaybyDay[[#This Row],[Serv-LY-RU]]+DaybyDay[[#This Row],[Ret-LY-RU]],"")</f>
        <v>1413560.4309999989</v>
      </c>
      <c r="AK13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1407139.7670518765</v>
      </c>
      <c r="AL1338" s="77"/>
      <c r="AM1338" s="40" t="str">
        <f>IF(DaybyDay[[#This Row],[Admin Hours]]&gt;0,DaybyDay[[#This Row],[Admin Hours]]*$AM$2+$AM$3,"")</f>
        <v/>
      </c>
      <c r="AN1338" s="40">
        <f>SUMIFS(DaybyDay[Est-Admin-Payroll],DaybyDay[Date],"&gt;="&amp;$C$5,DaybyDay[RowYear],"&gt;="&amp;$C$4,DaybyDay[Date],"&lt;="&amp;DaybyDay[[#This Row],[Date]])</f>
        <v>13941.779999999997</v>
      </c>
      <c r="AO1338" s="41" t="str">
        <f>IF(AND(DaybyDay[[#This Row],[_Space]],ISNUMBER(DaybyDay[[#This Row],[Admin Hours]])),DaybyDay[[#This Row],[Est-Admin-Payroll]]/(DaybyDay[[#This Row],[Service-Actuals]]+DaybyDay[[#This Row],[Retail-Actuals]]),"")</f>
        <v/>
      </c>
      <c r="AP1338" s="41">
        <f>DaybyDay[[#This Row],[Estimated-Payroll-Rollup]]/DaybyDay[[#This Row],[Simple-Forecast]]</f>
        <v>9.907885717144977E-3</v>
      </c>
      <c r="AQ13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273701.92317752808</v>
      </c>
      <c r="AR1338" s="77"/>
      <c r="AS1338" s="40" t="str">
        <f>IF(DaybyDay[[#This Row],[Retail Hours]]&gt;0,DaybyDay[[#This Row],[Retail Hours]]*$AS$2,"")</f>
        <v/>
      </c>
      <c r="AT1338" s="40">
        <f>SUMIFS(DaybyDay[Est-Retail-Payroll],DaybyDay[Date],"&gt;="&amp;$C$5,DaybyDay[RowYear],"&gt;="&amp;$C$4,DaybyDay[Date],"&lt;="&amp;DaybyDay[[#This Row],[Date]])</f>
        <v>2627.1</v>
      </c>
      <c r="AU1338" s="82" t="str">
        <f>IF(AND(DaybyDay[[#This Row],[_Space]],ISNUMBER(DaybyDay[[#This Row],[Retail Hours]])),DaybyDay[[#This Row],[Est-Retail-Payroll]]/(DaybyDay[[#This Row],[Retail-Actuals]]),"")</f>
        <v/>
      </c>
      <c r="AV1338" s="82">
        <f>DaybyDay[[#This Row],[Est-Retail-PayrollRU]]/DaybyDay[[#This Row],[Simple-Forecast-Retail]]</f>
        <v>9.5983980291436052E-3</v>
      </c>
      <c r="AW1338" s="8"/>
      <c r="AX1338" s="15"/>
      <c r="AY1338" s="8"/>
    </row>
    <row r="1339" spans="3:51" hidden="1" x14ac:dyDescent="0.25">
      <c r="C1339" s="26" t="str">
        <f>Tools!$C$1</f>
        <v>Example</v>
      </c>
      <c r="D1339" s="27" t="s">
        <v>75</v>
      </c>
      <c r="E1339" s="28">
        <v>2020</v>
      </c>
      <c r="F1339" s="28">
        <f>MATCH(DaybyDay[[#This Row],[RowMonth]],Table3[SummaryMonth],0)</f>
        <v>8</v>
      </c>
      <c r="G1339" s="29">
        <f>MATCH(DaybyDay[[#This Row],[LY-Date]],DaybyDay[Date],0)</f>
        <v>969</v>
      </c>
      <c r="H1339" s="30">
        <f>WEEKDAY(DaybyDay[[#This Row],[Date]])</f>
        <v>3</v>
      </c>
      <c r="I1339" s="31">
        <v>44068</v>
      </c>
      <c r="J1339" s="74"/>
      <c r="K1339" s="32">
        <f>SUMIFS(BudgetSeasonality[365 Seasonality],BudgetSeasonality[MonthAdjustment],DaybyDay[[#This Row],[Date]])*SUMIFS(Budgets[Service-Budget],Budgets[BudgetMonth],DaybyDay[[#This Row],[RowMonth]],Budgets[BudgetYear],DaybyDay[[#This Row],[RowYear]])</f>
        <v>3703.3666399914532</v>
      </c>
      <c r="L1339" s="75"/>
      <c r="M1339" s="32">
        <f>INDEX(BudgetSeasonality[365 Seasonality],MATCH(DaybyDay[[#This Row],[Date]],BudgetSeasonality[MonthAdjustment],0))*SUMIFS(Budgets[Retail-Budget],Budgets[BudgetMonth],DaybyDay[[#This Row],[RowMonth]],Budgets[BudgetYear],DaybyDay[[#This Row],[RowYear]])</f>
        <v>912.42287547891806</v>
      </c>
      <c r="N1339" s="75"/>
      <c r="O1339" s="33">
        <f>SUMIFS(DaybyDay[Service-Budgets],DaybyDay[Date],"&gt;="&amp;$C$5,DaybyDay[RowYear],"&gt;="&amp;$C$4,DaybyDay[Date],"&lt;="&amp;DaybyDay[[#This Row],[Date]])</f>
        <v>1264059.963800688</v>
      </c>
      <c r="P1339" s="33">
        <f>SUMIFS(DaybyDay[Retail-Budgets],DaybyDay[Date],"&gt;="&amp;$C$5,DaybyDay[RowYear],"&gt;="&amp;$C$4,DaybyDay[Date],"&lt;="&amp;DaybyDay[[#This Row],[Date]])</f>
        <v>316921.20361690799</v>
      </c>
      <c r="Q1339" s="34">
        <f>SUMIFS(DaybyDay[Service-Actuals],DaybyDay[Date],"&gt;="&amp;$C$5,DaybyDay[RowYear],"&gt;="&amp;$C$4,DaybyDay[Date],"&lt;="&amp;DaybyDay[[#This Row],[Date]])</f>
        <v>385554.23</v>
      </c>
      <c r="R1339" s="34">
        <f>SUMIFS(DaybyDay[Retail-Actuals],DaybyDay[Date],"&gt;="&amp;$C$5,DaybyDay[RowYear],"&gt;="&amp;$C$4,DaybyDay[Date],"&lt;="&amp;DaybyDay[[#This Row],[Date]])</f>
        <v>88360.030000000028</v>
      </c>
      <c r="S1339" s="35">
        <f>SUMIFS(DaybyDay[Service-LY],DaybyDay[Date],"&gt;="&amp;$C$5,DaybyDay[RowYear],"&gt;="&amp;$C$4,DaybyDay[Date],"&lt;="&amp;DaybyDay[[#This Row],[Date]])</f>
        <v>1143273.5609999991</v>
      </c>
      <c r="T1339" s="35">
        <f>SUMIFS(DaybyDay[Retail-LY],DaybyDay[Date],"&gt;="&amp;$C$5,DaybyDay[RowYear],"&gt;="&amp;$C$4,DaybyDay[Date],"&lt;="&amp;DaybyDay[[#This Row],[Date]])</f>
        <v>275907.37</v>
      </c>
      <c r="U1339" s="32">
        <f>DaybyDay[[#This Row],[Serv-Bud-RU]]+DaybyDay[[#This Row],[Ret-Bud-RU]]</f>
        <v>1580981.1674175961</v>
      </c>
      <c r="V1339" s="32">
        <f>DaybyDay[[#This Row],[Serv-Act-RU]]+DaybyDay[[#This Row],[Ret-Act-RU]]</f>
        <v>473914.26</v>
      </c>
      <c r="W1339" s="36" t="str">
        <f>IF(DaybyDay[[#This Row],[_Space]],IFERROR(
((DaybyDay[[#This Row],[Actual-Rollup]]-DaybyDay[[#This Row],[Budget-Rollup]])/DaybyDay[[#This Row],[Budget-Rollup]]),0),"")</f>
        <v/>
      </c>
      <c r="X1339" t="b">
        <f>NOT(AND(ISBLANK(DaybyDay[[#This Row],[Appts]]),ISBLANK(DaybyDay[[#This Row],[Service-Actuals]]),ISBLANK(DaybyDay[[#This Row],[Retail-Actuals]])))</f>
        <v>0</v>
      </c>
      <c r="Y1339" s="36" t="str">
        <f>IF(DaybyDay[[#This Row],[_Space]],IFERROR(
((DaybyDay[[#This Row],[Actual-Rollup]]-DaybyDay[[#This Row],[LY-Rollup]])/DaybyDay[[#This Row],[LY-Rollup]]),0),"")</f>
        <v/>
      </c>
      <c r="Z1339"/>
      <c r="AA1339" s="37" t="str">
        <f>IF(DaybyDay[[#This Row],[_Space]],DaybyDay[[#This Row],[Ret-Act-RU]]/DaybyDay[[#This Row],[Serv-Act-RU]],"")</f>
        <v/>
      </c>
      <c r="AB1339" s="50" t="str">
        <f>IF(DaybyDay[[#This Row],[_Space]],DaybyDay[[#This Row],[RETPEN-Act]]/DaybyDay[[#This Row],[RETPEN-Bud]],"")</f>
        <v/>
      </c>
      <c r="AC1339" s="37" t="str">
        <f>IF(DaybyDay[[#This Row],[_Space]],DaybyDay[[#This Row],[Ret-Bud-RU]]/DaybyDay[[#This Row],[Serv-Bud-RU]],"")</f>
        <v/>
      </c>
      <c r="AD1339" s="37" t="str">
        <f>IF(DaybyDay[[#This Row],[_Space]],DaybyDay[[#This Row],[Ret-LY-RU]]/DaybyDay[[#This Row],[Serv-LY-RU]],"")</f>
        <v/>
      </c>
      <c r="AE1339" s="30">
        <f>WEEKDAY(DaybyDay[[#This Row],[LY-Date]])</f>
        <v>3</v>
      </c>
      <c r="AF1339" s="38">
        <f>$E$2+_xlfn.DAYS(DaybyDay[[#This Row],[Date]],minDate)</f>
        <v>43704</v>
      </c>
      <c r="AG1339" s="39" cm="1">
        <f t="array" ref="AG1339">IFERROR(INDEX(DaybyDay[],DaybyDay[[#This Row],[FORM_MATCH_HELPER]],8),"")</f>
        <v>16</v>
      </c>
      <c r="AH1339" s="39" cm="1">
        <f t="array" ref="AH1339">IFERROR(INDEX(DaybyDay[],DaybyDay[[#This Row],[FORM_MATCH_HELPER]],10),"")</f>
        <v>2929</v>
      </c>
      <c r="AI1339" s="39" cm="1">
        <f t="array" ref="AI1339">IFERROR(INDEX(DaybyDay[],DaybyDay[[#This Row],[FORM_MATCH_HELPER]],12),"")</f>
        <v>2691.5</v>
      </c>
      <c r="AJ1339" s="32">
        <f>IFERROR(DaybyDay[[#This Row],[Serv-LY-RU]]+DaybyDay[[#This Row],[Ret-LY-RU]],"")</f>
        <v>1419180.9309999989</v>
      </c>
      <c r="AK13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1411874.2647670116</v>
      </c>
      <c r="AL1339" s="77"/>
      <c r="AM1339" s="40" t="str">
        <f>IF(DaybyDay[[#This Row],[Admin Hours]]&gt;0,DaybyDay[[#This Row],[Admin Hours]]*$AM$2+$AM$3,"")</f>
        <v/>
      </c>
      <c r="AN1339" s="40">
        <f>SUMIFS(DaybyDay[Est-Admin-Payroll],DaybyDay[Date],"&gt;="&amp;$C$5,DaybyDay[RowYear],"&gt;="&amp;$C$4,DaybyDay[Date],"&lt;="&amp;DaybyDay[[#This Row],[Date]])</f>
        <v>13941.779999999997</v>
      </c>
      <c r="AO1339" s="41" t="str">
        <f>IF(AND(DaybyDay[[#This Row],[_Space]],ISNUMBER(DaybyDay[[#This Row],[Admin Hours]])),DaybyDay[[#This Row],[Est-Admin-Payroll]]/(DaybyDay[[#This Row],[Service-Actuals]]+DaybyDay[[#This Row],[Retail-Actuals]]),"")</f>
        <v/>
      </c>
      <c r="AP1339" s="41">
        <f>DaybyDay[[#This Row],[Estimated-Payroll-Rollup]]/DaybyDay[[#This Row],[Simple-Forecast]]</f>
        <v>9.8746611847200707E-3</v>
      </c>
      <c r="AQ13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275417.05246757407</v>
      </c>
      <c r="AR1339" s="77"/>
      <c r="AS1339" s="40" t="str">
        <f>IF(DaybyDay[[#This Row],[Retail Hours]]&gt;0,DaybyDay[[#This Row],[Retail Hours]]*$AS$2,"")</f>
        <v/>
      </c>
      <c r="AT1339" s="40">
        <f>SUMIFS(DaybyDay[Est-Retail-Payroll],DaybyDay[Date],"&gt;="&amp;$C$5,DaybyDay[RowYear],"&gt;="&amp;$C$4,DaybyDay[Date],"&lt;="&amp;DaybyDay[[#This Row],[Date]])</f>
        <v>2627.1</v>
      </c>
      <c r="AU1339" s="82" t="str">
        <f>IF(AND(DaybyDay[[#This Row],[_Space]],ISNUMBER(DaybyDay[[#This Row],[Retail Hours]])),DaybyDay[[#This Row],[Est-Retail-Payroll]]/(DaybyDay[[#This Row],[Retail-Actuals]]),"")</f>
        <v/>
      </c>
      <c r="AV1339" s="82">
        <f>DaybyDay[[#This Row],[Est-Retail-PayrollRU]]/DaybyDay[[#This Row],[Simple-Forecast-Retail]]</f>
        <v>9.5386250650158957E-3</v>
      </c>
      <c r="AW1339" s="8"/>
      <c r="AX1339" s="15"/>
      <c r="AY1339" s="8"/>
    </row>
    <row r="1340" spans="3:51" hidden="1" x14ac:dyDescent="0.25">
      <c r="C1340" s="26" t="str">
        <f>Tools!$C$1</f>
        <v>Example</v>
      </c>
      <c r="D1340" s="27" t="s">
        <v>75</v>
      </c>
      <c r="E1340" s="28">
        <v>2020</v>
      </c>
      <c r="F1340" s="28">
        <f>MATCH(DaybyDay[[#This Row],[RowMonth]],Table3[SummaryMonth],0)</f>
        <v>8</v>
      </c>
      <c r="G1340" s="29">
        <f>MATCH(DaybyDay[[#This Row],[LY-Date]],DaybyDay[Date],0)</f>
        <v>970</v>
      </c>
      <c r="H1340" s="30">
        <f>WEEKDAY(DaybyDay[[#This Row],[Date]])</f>
        <v>4</v>
      </c>
      <c r="I1340" s="31">
        <v>44069</v>
      </c>
      <c r="J1340" s="74"/>
      <c r="K1340" s="32">
        <f>SUMIFS(BudgetSeasonality[365 Seasonality],BudgetSeasonality[MonthAdjustment],DaybyDay[[#This Row],[Date]])*SUMIFS(Budgets[Service-Budget],Budgets[BudgetMonth],DaybyDay[[#This Row],[RowMonth]],Budgets[BudgetYear],DaybyDay[[#This Row],[RowYear]])</f>
        <v>4354.238131931008</v>
      </c>
      <c r="L1340" s="75"/>
      <c r="M1340" s="32">
        <f>INDEX(BudgetSeasonality[365 Seasonality],MATCH(DaybyDay[[#This Row],[Date]],BudgetSeasonality[MonthAdjustment],0))*SUMIFS(Budgets[Retail-Budget],Budgets[BudgetMonth],DaybyDay[[#This Row],[RowMonth]],Budgets[BudgetYear],DaybyDay[[#This Row],[RowYear]])</f>
        <v>1072.7823796742987</v>
      </c>
      <c r="N1340" s="75"/>
      <c r="O1340" s="33">
        <f>SUMIFS(DaybyDay[Service-Budgets],DaybyDay[Date],"&gt;="&amp;$C$5,DaybyDay[RowYear],"&gt;="&amp;$C$4,DaybyDay[Date],"&lt;="&amp;DaybyDay[[#This Row],[Date]])</f>
        <v>1268414.2019326191</v>
      </c>
      <c r="P1340" s="33">
        <f>SUMIFS(DaybyDay[Retail-Budgets],DaybyDay[Date],"&gt;="&amp;$C$5,DaybyDay[RowYear],"&gt;="&amp;$C$4,DaybyDay[Date],"&lt;="&amp;DaybyDay[[#This Row],[Date]])</f>
        <v>317993.98599658231</v>
      </c>
      <c r="Q1340" s="34">
        <f>SUMIFS(DaybyDay[Service-Actuals],DaybyDay[Date],"&gt;="&amp;$C$5,DaybyDay[RowYear],"&gt;="&amp;$C$4,DaybyDay[Date],"&lt;="&amp;DaybyDay[[#This Row],[Date]])</f>
        <v>385554.23</v>
      </c>
      <c r="R1340" s="34">
        <f>SUMIFS(DaybyDay[Retail-Actuals],DaybyDay[Date],"&gt;="&amp;$C$5,DaybyDay[RowYear],"&gt;="&amp;$C$4,DaybyDay[Date],"&lt;="&amp;DaybyDay[[#This Row],[Date]])</f>
        <v>88360.030000000028</v>
      </c>
      <c r="S1340" s="35">
        <f>SUMIFS(DaybyDay[Service-LY],DaybyDay[Date],"&gt;="&amp;$C$5,DaybyDay[RowYear],"&gt;="&amp;$C$4,DaybyDay[Date],"&lt;="&amp;DaybyDay[[#This Row],[Date]])</f>
        <v>1147511.960999999</v>
      </c>
      <c r="T1340" s="35">
        <f>SUMIFS(DaybyDay[Retail-LY],DaybyDay[Date],"&gt;="&amp;$C$5,DaybyDay[RowYear],"&gt;="&amp;$C$4,DaybyDay[Date],"&lt;="&amp;DaybyDay[[#This Row],[Date]])</f>
        <v>276080.77</v>
      </c>
      <c r="U1340" s="32">
        <f>DaybyDay[[#This Row],[Serv-Bud-RU]]+DaybyDay[[#This Row],[Ret-Bud-RU]]</f>
        <v>1586408.1879292014</v>
      </c>
      <c r="V1340" s="32">
        <f>DaybyDay[[#This Row],[Serv-Act-RU]]+DaybyDay[[#This Row],[Ret-Act-RU]]</f>
        <v>473914.26</v>
      </c>
      <c r="W1340" s="36" t="str">
        <f>IF(DaybyDay[[#This Row],[_Space]],IFERROR(
((DaybyDay[[#This Row],[Actual-Rollup]]-DaybyDay[[#This Row],[Budget-Rollup]])/DaybyDay[[#This Row],[Budget-Rollup]]),0),"")</f>
        <v/>
      </c>
      <c r="X1340" t="b">
        <f>NOT(AND(ISBLANK(DaybyDay[[#This Row],[Appts]]),ISBLANK(DaybyDay[[#This Row],[Service-Actuals]]),ISBLANK(DaybyDay[[#This Row],[Retail-Actuals]])))</f>
        <v>0</v>
      </c>
      <c r="Y1340" s="36" t="str">
        <f>IF(DaybyDay[[#This Row],[_Space]],IFERROR(
((DaybyDay[[#This Row],[Actual-Rollup]]-DaybyDay[[#This Row],[LY-Rollup]])/DaybyDay[[#This Row],[LY-Rollup]]),0),"")</f>
        <v/>
      </c>
      <c r="Z1340"/>
      <c r="AA1340" s="37" t="str">
        <f>IF(DaybyDay[[#This Row],[_Space]],DaybyDay[[#This Row],[Ret-Act-RU]]/DaybyDay[[#This Row],[Serv-Act-RU]],"")</f>
        <v/>
      </c>
      <c r="AB1340" s="50" t="str">
        <f>IF(DaybyDay[[#This Row],[_Space]],DaybyDay[[#This Row],[RETPEN-Act]]/DaybyDay[[#This Row],[RETPEN-Bud]],"")</f>
        <v/>
      </c>
      <c r="AC1340" s="37" t="str">
        <f>IF(DaybyDay[[#This Row],[_Space]],DaybyDay[[#This Row],[Ret-Bud-RU]]/DaybyDay[[#This Row],[Serv-Bud-RU]],"")</f>
        <v/>
      </c>
      <c r="AD1340" s="37" t="str">
        <f>IF(DaybyDay[[#This Row],[_Space]],DaybyDay[[#This Row],[Ret-LY-RU]]/DaybyDay[[#This Row],[Serv-LY-RU]],"")</f>
        <v/>
      </c>
      <c r="AE1340" s="30">
        <f>WEEKDAY(DaybyDay[[#This Row],[LY-Date]])</f>
        <v>4</v>
      </c>
      <c r="AF1340" s="38">
        <f>$E$2+_xlfn.DAYS(DaybyDay[[#This Row],[Date]],minDate)</f>
        <v>43705</v>
      </c>
      <c r="AG1340" s="39" cm="1">
        <f t="array" ref="AG1340">IFERROR(INDEX(DaybyDay[],DaybyDay[[#This Row],[FORM_MATCH_HELPER]],8),"")</f>
        <v>28</v>
      </c>
      <c r="AH1340" s="39" cm="1">
        <f t="array" ref="AH1340">IFERROR(INDEX(DaybyDay[],DaybyDay[[#This Row],[FORM_MATCH_HELPER]],10),"")</f>
        <v>4238.3999999999996</v>
      </c>
      <c r="AI1340" s="39" cm="1">
        <f t="array" ref="AI1340">IFERROR(INDEX(DaybyDay[],DaybyDay[[#This Row],[FORM_MATCH_HELPER]],12),"")</f>
        <v>173.4</v>
      </c>
      <c r="AJ1340" s="32">
        <f>IFERROR(DaybyDay[[#This Row],[Serv-LY-RU]]+DaybyDay[[#This Row],[Ret-LY-RU]],"")</f>
        <v>1423592.730999999</v>
      </c>
      <c r="AK13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1416357.8821531585</v>
      </c>
      <c r="AL1340" s="77"/>
      <c r="AM1340" s="40" t="str">
        <f>IF(DaybyDay[[#This Row],[Admin Hours]]&gt;0,DaybyDay[[#This Row],[Admin Hours]]*$AM$2+$AM$3,"")</f>
        <v/>
      </c>
      <c r="AN1340" s="40">
        <f>SUMIFS(DaybyDay[Est-Admin-Payroll],DaybyDay[Date],"&gt;="&amp;$C$5,DaybyDay[RowYear],"&gt;="&amp;$C$4,DaybyDay[Date],"&lt;="&amp;DaybyDay[[#This Row],[Date]])</f>
        <v>13941.779999999997</v>
      </c>
      <c r="AO1340" s="41" t="str">
        <f>IF(AND(DaybyDay[[#This Row],[_Space]],ISNUMBER(DaybyDay[[#This Row],[Admin Hours]])),DaybyDay[[#This Row],[Est-Admin-Payroll]]/(DaybyDay[[#This Row],[Service-Actuals]]+DaybyDay[[#This Row],[Retail-Actuals]]),"")</f>
        <v/>
      </c>
      <c r="AP1340" s="41">
        <f>DaybyDay[[#This Row],[Estimated-Payroll-Rollup]]/DaybyDay[[#This Row],[Simple-Forecast]]</f>
        <v>9.8434019930087099E-3</v>
      </c>
      <c r="AQ13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275958.85931318661</v>
      </c>
      <c r="AR1340" s="77"/>
      <c r="AS1340" s="40" t="str">
        <f>IF(DaybyDay[[#This Row],[Retail Hours]]&gt;0,DaybyDay[[#This Row],[Retail Hours]]*$AS$2,"")</f>
        <v/>
      </c>
      <c r="AT1340" s="40">
        <f>SUMIFS(DaybyDay[Est-Retail-Payroll],DaybyDay[Date],"&gt;="&amp;$C$5,DaybyDay[RowYear],"&gt;="&amp;$C$4,DaybyDay[Date],"&lt;="&amp;DaybyDay[[#This Row],[Date]])</f>
        <v>2627.1</v>
      </c>
      <c r="AU1340" s="82" t="str">
        <f>IF(AND(DaybyDay[[#This Row],[_Space]],ISNUMBER(DaybyDay[[#This Row],[Retail Hours]])),DaybyDay[[#This Row],[Est-Retail-Payroll]]/(DaybyDay[[#This Row],[Retail-Actuals]]),"")</f>
        <v/>
      </c>
      <c r="AV1340" s="82">
        <f>DaybyDay[[#This Row],[Est-Retail-PayrollRU]]/DaybyDay[[#This Row],[Simple-Forecast-Retail]]</f>
        <v>9.5198973011353678E-3</v>
      </c>
      <c r="AW1340" s="8"/>
      <c r="AX1340" s="15"/>
      <c r="AY1340" s="8"/>
    </row>
    <row r="1341" spans="3:51" hidden="1" x14ac:dyDescent="0.25">
      <c r="C1341" s="26" t="str">
        <f>Tools!$C$1</f>
        <v>Example</v>
      </c>
      <c r="D1341" s="27" t="s">
        <v>75</v>
      </c>
      <c r="E1341" s="28">
        <v>2020</v>
      </c>
      <c r="F1341" s="28">
        <f>MATCH(DaybyDay[[#This Row],[RowMonth]],Table3[SummaryMonth],0)</f>
        <v>8</v>
      </c>
      <c r="G1341" s="29">
        <f>MATCH(DaybyDay[[#This Row],[LY-Date]],DaybyDay[Date],0)</f>
        <v>971</v>
      </c>
      <c r="H1341" s="30">
        <f>WEEKDAY(DaybyDay[[#This Row],[Date]])</f>
        <v>5</v>
      </c>
      <c r="I1341" s="31">
        <v>44070</v>
      </c>
      <c r="J1341" s="74"/>
      <c r="K1341" s="32">
        <f>SUMIFS(BudgetSeasonality[365 Seasonality],BudgetSeasonality[MonthAdjustment],DaybyDay[[#This Row],[Date]])*SUMIFS(Budgets[Service-Budget],Budgets[BudgetMonth],DaybyDay[[#This Row],[RowMonth]],Budgets[BudgetYear],DaybyDay[[#This Row],[RowYear]])</f>
        <v>4508.3864409168464</v>
      </c>
      <c r="L1341" s="75"/>
      <c r="M1341" s="32">
        <f>INDEX(BudgetSeasonality[365 Seasonality],MATCH(DaybyDay[[#This Row],[Date]],BudgetSeasonality[MonthAdjustment],0))*SUMIFS(Budgets[Retail-Budget],Budgets[BudgetMonth],DaybyDay[[#This Row],[RowMonth]],Budgets[BudgetYear],DaybyDay[[#This Row],[RowYear]])</f>
        <v>1110.7609156950789</v>
      </c>
      <c r="N1341" s="75"/>
      <c r="O1341" s="33">
        <f>SUMIFS(DaybyDay[Service-Budgets],DaybyDay[Date],"&gt;="&amp;$C$5,DaybyDay[RowYear],"&gt;="&amp;$C$4,DaybyDay[Date],"&lt;="&amp;DaybyDay[[#This Row],[Date]])</f>
        <v>1272922.588373536</v>
      </c>
      <c r="P1341" s="33">
        <f>SUMIFS(DaybyDay[Retail-Budgets],DaybyDay[Date],"&gt;="&amp;$C$5,DaybyDay[RowYear],"&gt;="&amp;$C$4,DaybyDay[Date],"&lt;="&amp;DaybyDay[[#This Row],[Date]])</f>
        <v>319104.74691227742</v>
      </c>
      <c r="Q1341" s="34">
        <f>SUMIFS(DaybyDay[Service-Actuals],DaybyDay[Date],"&gt;="&amp;$C$5,DaybyDay[RowYear],"&gt;="&amp;$C$4,DaybyDay[Date],"&lt;="&amp;DaybyDay[[#This Row],[Date]])</f>
        <v>385554.23</v>
      </c>
      <c r="R1341" s="34">
        <f>SUMIFS(DaybyDay[Retail-Actuals],DaybyDay[Date],"&gt;="&amp;$C$5,DaybyDay[RowYear],"&gt;="&amp;$C$4,DaybyDay[Date],"&lt;="&amp;DaybyDay[[#This Row],[Date]])</f>
        <v>88360.030000000028</v>
      </c>
      <c r="S1341" s="35">
        <f>SUMIFS(DaybyDay[Service-LY],DaybyDay[Date],"&gt;="&amp;$C$5,DaybyDay[RowYear],"&gt;="&amp;$C$4,DaybyDay[Date],"&lt;="&amp;DaybyDay[[#This Row],[Date]])</f>
        <v>1151425.6609999989</v>
      </c>
      <c r="T1341" s="35">
        <f>SUMIFS(DaybyDay[Retail-LY],DaybyDay[Date],"&gt;="&amp;$C$5,DaybyDay[RowYear],"&gt;="&amp;$C$4,DaybyDay[Date],"&lt;="&amp;DaybyDay[[#This Row],[Date]])</f>
        <v>276317.87</v>
      </c>
      <c r="U1341" s="32">
        <f>DaybyDay[[#This Row],[Serv-Bud-RU]]+DaybyDay[[#This Row],[Ret-Bud-RU]]</f>
        <v>1592027.3352858135</v>
      </c>
      <c r="V1341" s="32">
        <f>DaybyDay[[#This Row],[Serv-Act-RU]]+DaybyDay[[#This Row],[Ret-Act-RU]]</f>
        <v>473914.26</v>
      </c>
      <c r="W1341" s="36" t="str">
        <f>IF(DaybyDay[[#This Row],[_Space]],IFERROR(
((DaybyDay[[#This Row],[Actual-Rollup]]-DaybyDay[[#This Row],[Budget-Rollup]])/DaybyDay[[#This Row],[Budget-Rollup]]),0),"")</f>
        <v/>
      </c>
      <c r="X1341" t="b">
        <f>NOT(AND(ISBLANK(DaybyDay[[#This Row],[Appts]]),ISBLANK(DaybyDay[[#This Row],[Service-Actuals]]),ISBLANK(DaybyDay[[#This Row],[Retail-Actuals]])))</f>
        <v>0</v>
      </c>
      <c r="Y1341" s="36" t="str">
        <f>IF(DaybyDay[[#This Row],[_Space]],IFERROR(
((DaybyDay[[#This Row],[Actual-Rollup]]-DaybyDay[[#This Row],[LY-Rollup]])/DaybyDay[[#This Row],[LY-Rollup]]),0),"")</f>
        <v/>
      </c>
      <c r="Z1341"/>
      <c r="AA1341" s="37" t="str">
        <f>IF(DaybyDay[[#This Row],[_Space]],DaybyDay[[#This Row],[Ret-Act-RU]]/DaybyDay[[#This Row],[Serv-Act-RU]],"")</f>
        <v/>
      </c>
      <c r="AB1341" s="50" t="str">
        <f>IF(DaybyDay[[#This Row],[_Space]],DaybyDay[[#This Row],[RETPEN-Act]]/DaybyDay[[#This Row],[RETPEN-Bud]],"")</f>
        <v/>
      </c>
      <c r="AC1341" s="37" t="str">
        <f>IF(DaybyDay[[#This Row],[_Space]],DaybyDay[[#This Row],[Ret-Bud-RU]]/DaybyDay[[#This Row],[Serv-Bud-RU]],"")</f>
        <v/>
      </c>
      <c r="AD1341" s="37" t="str">
        <f>IF(DaybyDay[[#This Row],[_Space]],DaybyDay[[#This Row],[Ret-LY-RU]]/DaybyDay[[#This Row],[Serv-LY-RU]],"")</f>
        <v/>
      </c>
      <c r="AE1341" s="30">
        <f>WEEKDAY(DaybyDay[[#This Row],[LY-Date]])</f>
        <v>5</v>
      </c>
      <c r="AF1341" s="38">
        <f>$E$2+_xlfn.DAYS(DaybyDay[[#This Row],[Date]],minDate)</f>
        <v>43706</v>
      </c>
      <c r="AG1341" s="39" cm="1">
        <f t="array" ref="AG1341">IFERROR(INDEX(DaybyDay[],DaybyDay[[#This Row],[FORM_MATCH_HELPER]],8),"")</f>
        <v>23</v>
      </c>
      <c r="AH1341" s="39" cm="1">
        <f t="array" ref="AH1341">IFERROR(INDEX(DaybyDay[],DaybyDay[[#This Row],[FORM_MATCH_HELPER]],10),"")</f>
        <v>3913.7000000000003</v>
      </c>
      <c r="AI1341" s="39" cm="1">
        <f t="array" ref="AI1341">IFERROR(INDEX(DaybyDay[],DaybyDay[[#This Row],[FORM_MATCH_HELPER]],12),"")</f>
        <v>237.1</v>
      </c>
      <c r="AJ1341" s="32">
        <f>IFERROR(DaybyDay[[#This Row],[Serv-LY-RU]]+DaybyDay[[#This Row],[Ret-LY-RU]],"")</f>
        <v>1427743.530999999</v>
      </c>
      <c r="AK13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1420794.5373376701</v>
      </c>
      <c r="AL1341" s="77"/>
      <c r="AM1341" s="40" t="str">
        <f>IF(DaybyDay[[#This Row],[Admin Hours]]&gt;0,DaybyDay[[#This Row],[Admin Hours]]*$AM$2+$AM$3,"")</f>
        <v/>
      </c>
      <c r="AN1341" s="40">
        <f>SUMIFS(DaybyDay[Est-Admin-Payroll],DaybyDay[Date],"&gt;="&amp;$C$5,DaybyDay[RowYear],"&gt;="&amp;$C$4,DaybyDay[Date],"&lt;="&amp;DaybyDay[[#This Row],[Date]])</f>
        <v>13941.779999999997</v>
      </c>
      <c r="AO1341" s="41" t="str">
        <f>IF(AND(DaybyDay[[#This Row],[_Space]],ISNUMBER(DaybyDay[[#This Row],[Admin Hours]])),DaybyDay[[#This Row],[Est-Admin-Payroll]]/(DaybyDay[[#This Row],[Service-Actuals]]+DaybyDay[[#This Row],[Retail-Actuals]]),"")</f>
        <v/>
      </c>
      <c r="AP1341" s="41">
        <f>DaybyDay[[#This Row],[Estimated-Payroll-Rollup]]/DaybyDay[[#This Row],[Simple-Forecast]]</f>
        <v>9.8126644167175273E-3</v>
      </c>
      <c r="AQ13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276548.22736508655</v>
      </c>
      <c r="AR1341" s="77"/>
      <c r="AS1341" s="40" t="str">
        <f>IF(DaybyDay[[#This Row],[Retail Hours]]&gt;0,DaybyDay[[#This Row],[Retail Hours]]*$AS$2,"")</f>
        <v/>
      </c>
      <c r="AT1341" s="40">
        <f>SUMIFS(DaybyDay[Est-Retail-Payroll],DaybyDay[Date],"&gt;="&amp;$C$5,DaybyDay[RowYear],"&gt;="&amp;$C$4,DaybyDay[Date],"&lt;="&amp;DaybyDay[[#This Row],[Date]])</f>
        <v>2627.1</v>
      </c>
      <c r="AU1341" s="82" t="str">
        <f>IF(AND(DaybyDay[[#This Row],[_Space]],ISNUMBER(DaybyDay[[#This Row],[Retail Hours]])),DaybyDay[[#This Row],[Est-Retail-Payroll]]/(DaybyDay[[#This Row],[Retail-Actuals]]),"")</f>
        <v/>
      </c>
      <c r="AV1341" s="82">
        <f>DaybyDay[[#This Row],[Est-Retail-PayrollRU]]/DaybyDay[[#This Row],[Simple-Forecast-Retail]]</f>
        <v>9.4996088929249229E-3</v>
      </c>
      <c r="AW1341" s="8"/>
      <c r="AX1341" s="15"/>
      <c r="AY1341" s="8"/>
    </row>
    <row r="1342" spans="3:51" hidden="1" x14ac:dyDescent="0.25">
      <c r="C1342" s="26" t="str">
        <f>Tools!$C$1</f>
        <v>Example</v>
      </c>
      <c r="D1342" s="27" t="s">
        <v>75</v>
      </c>
      <c r="E1342" s="28">
        <v>2020</v>
      </c>
      <c r="F1342" s="28">
        <f>MATCH(DaybyDay[[#This Row],[RowMonth]],Table3[SummaryMonth],0)</f>
        <v>8</v>
      </c>
      <c r="G1342" s="29">
        <f>MATCH(DaybyDay[[#This Row],[LY-Date]],DaybyDay[Date],0)</f>
        <v>972</v>
      </c>
      <c r="H1342" s="30">
        <f>WEEKDAY(DaybyDay[[#This Row],[Date]])</f>
        <v>6</v>
      </c>
      <c r="I1342" s="31">
        <v>44071</v>
      </c>
      <c r="J1342" s="74"/>
      <c r="K1342" s="32">
        <f>SUMIFS(BudgetSeasonality[365 Seasonality],BudgetSeasonality[MonthAdjustment],DaybyDay[[#This Row],[Date]])*SUMIFS(Budgets[Service-Budget],Budgets[BudgetMonth],DaybyDay[[#This Row],[RowMonth]],Budgets[BudgetYear],DaybyDay[[#This Row],[RowYear]])</f>
        <v>5683.2351145452658</v>
      </c>
      <c r="L1342" s="75"/>
      <c r="M1342" s="32">
        <f>INDEX(BudgetSeasonality[365 Seasonality],MATCH(DaybyDay[[#This Row],[Date]],BudgetSeasonality[MonthAdjustment],0))*SUMIFS(Budgets[Retail-Budget],Budgets[BudgetMonth],DaybyDay[[#This Row],[RowMonth]],Budgets[BudgetYear],DaybyDay[[#This Row],[RowYear]])</f>
        <v>1400.2161355668843</v>
      </c>
      <c r="N1342" s="75"/>
      <c r="O1342" s="33">
        <f>SUMIFS(DaybyDay[Service-Budgets],DaybyDay[Date],"&gt;="&amp;$C$5,DaybyDay[RowYear],"&gt;="&amp;$C$4,DaybyDay[Date],"&lt;="&amp;DaybyDay[[#This Row],[Date]])</f>
        <v>1278605.8234880813</v>
      </c>
      <c r="P1342" s="33">
        <f>SUMIFS(DaybyDay[Retail-Budgets],DaybyDay[Date],"&gt;="&amp;$C$5,DaybyDay[RowYear],"&gt;="&amp;$C$4,DaybyDay[Date],"&lt;="&amp;DaybyDay[[#This Row],[Date]])</f>
        <v>320504.9630478443</v>
      </c>
      <c r="Q1342" s="34">
        <f>SUMIFS(DaybyDay[Service-Actuals],DaybyDay[Date],"&gt;="&amp;$C$5,DaybyDay[RowYear],"&gt;="&amp;$C$4,DaybyDay[Date],"&lt;="&amp;DaybyDay[[#This Row],[Date]])</f>
        <v>385554.23</v>
      </c>
      <c r="R1342" s="34">
        <f>SUMIFS(DaybyDay[Retail-Actuals],DaybyDay[Date],"&gt;="&amp;$C$5,DaybyDay[RowYear],"&gt;="&amp;$C$4,DaybyDay[Date],"&lt;="&amp;DaybyDay[[#This Row],[Date]])</f>
        <v>88360.030000000028</v>
      </c>
      <c r="S1342" s="35">
        <f>SUMIFS(DaybyDay[Service-LY],DaybyDay[Date],"&gt;="&amp;$C$5,DaybyDay[RowYear],"&gt;="&amp;$C$4,DaybyDay[Date],"&lt;="&amp;DaybyDay[[#This Row],[Date]])</f>
        <v>1156794.5909999989</v>
      </c>
      <c r="T1342" s="35">
        <f>SUMIFS(DaybyDay[Retail-LY],DaybyDay[Date],"&gt;="&amp;$C$5,DaybyDay[RowYear],"&gt;="&amp;$C$4,DaybyDay[Date],"&lt;="&amp;DaybyDay[[#This Row],[Date]])</f>
        <v>277996.42</v>
      </c>
      <c r="U1342" s="32">
        <f>DaybyDay[[#This Row],[Serv-Bud-RU]]+DaybyDay[[#This Row],[Ret-Bud-RU]]</f>
        <v>1599110.7865359257</v>
      </c>
      <c r="V1342" s="32">
        <f>DaybyDay[[#This Row],[Serv-Act-RU]]+DaybyDay[[#This Row],[Ret-Act-RU]]</f>
        <v>473914.26</v>
      </c>
      <c r="W1342" s="36" t="str">
        <f>IF(DaybyDay[[#This Row],[_Space]],IFERROR(
((DaybyDay[[#This Row],[Actual-Rollup]]-DaybyDay[[#This Row],[Budget-Rollup]])/DaybyDay[[#This Row],[Budget-Rollup]]),0),"")</f>
        <v/>
      </c>
      <c r="X1342" t="b">
        <f>NOT(AND(ISBLANK(DaybyDay[[#This Row],[Appts]]),ISBLANK(DaybyDay[[#This Row],[Service-Actuals]]),ISBLANK(DaybyDay[[#This Row],[Retail-Actuals]])))</f>
        <v>0</v>
      </c>
      <c r="Y1342" s="36" t="str">
        <f>IF(DaybyDay[[#This Row],[_Space]],IFERROR(
((DaybyDay[[#This Row],[Actual-Rollup]]-DaybyDay[[#This Row],[LY-Rollup]])/DaybyDay[[#This Row],[LY-Rollup]]),0),"")</f>
        <v/>
      </c>
      <c r="Z1342"/>
      <c r="AA1342" s="37" t="str">
        <f>IF(DaybyDay[[#This Row],[_Space]],DaybyDay[[#This Row],[Ret-Act-RU]]/DaybyDay[[#This Row],[Serv-Act-RU]],"")</f>
        <v/>
      </c>
      <c r="AB1342" s="50" t="str">
        <f>IF(DaybyDay[[#This Row],[_Space]],DaybyDay[[#This Row],[RETPEN-Act]]/DaybyDay[[#This Row],[RETPEN-Bud]],"")</f>
        <v/>
      </c>
      <c r="AC1342" s="37" t="str">
        <f>IF(DaybyDay[[#This Row],[_Space]],DaybyDay[[#This Row],[Ret-Bud-RU]]/DaybyDay[[#This Row],[Serv-Bud-RU]],"")</f>
        <v/>
      </c>
      <c r="AD1342" s="37" t="str">
        <f>IF(DaybyDay[[#This Row],[_Space]],DaybyDay[[#This Row],[Ret-LY-RU]]/DaybyDay[[#This Row],[Serv-LY-RU]],"")</f>
        <v/>
      </c>
      <c r="AE1342" s="30">
        <f>WEEKDAY(DaybyDay[[#This Row],[LY-Date]])</f>
        <v>6</v>
      </c>
      <c r="AF1342" s="38">
        <f>$E$2+_xlfn.DAYS(DaybyDay[[#This Row],[Date]],minDate)</f>
        <v>43707</v>
      </c>
      <c r="AG1342" s="39" cm="1">
        <f t="array" ref="AG1342">IFERROR(INDEX(DaybyDay[],DaybyDay[[#This Row],[FORM_MATCH_HELPER]],8),"")</f>
        <v>32</v>
      </c>
      <c r="AH1342" s="39" cm="1">
        <f t="array" ref="AH1342">IFERROR(INDEX(DaybyDay[],DaybyDay[[#This Row],[FORM_MATCH_HELPER]],10),"")</f>
        <v>5368.9299999999994</v>
      </c>
      <c r="AI1342" s="39" cm="1">
        <f t="array" ref="AI1342">IFERROR(INDEX(DaybyDay[],DaybyDay[[#This Row],[FORM_MATCH_HELPER]],12),"")</f>
        <v>1678.55</v>
      </c>
      <c r="AJ1342" s="32">
        <f>IFERROR(DaybyDay[[#This Row],[Serv-LY-RU]]+DaybyDay[[#This Row],[Ret-LY-RU]],"")</f>
        <v>1434791.0109999988</v>
      </c>
      <c r="AK13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1427282.2296687267</v>
      </c>
      <c r="AL1342" s="77"/>
      <c r="AM1342" s="40" t="str">
        <f>IF(DaybyDay[[#This Row],[Admin Hours]]&gt;0,DaybyDay[[#This Row],[Admin Hours]]*$AM$2+$AM$3,"")</f>
        <v/>
      </c>
      <c r="AN1342" s="40">
        <f>SUMIFS(DaybyDay[Est-Admin-Payroll],DaybyDay[Date],"&gt;="&amp;$C$5,DaybyDay[RowYear],"&gt;="&amp;$C$4,DaybyDay[Date],"&lt;="&amp;DaybyDay[[#This Row],[Date]])</f>
        <v>13941.779999999997</v>
      </c>
      <c r="AO1342" s="41" t="str">
        <f>IF(AND(DaybyDay[[#This Row],[_Space]],ISNUMBER(DaybyDay[[#This Row],[Admin Hours]])),DaybyDay[[#This Row],[Est-Admin-Payroll]]/(DaybyDay[[#This Row],[Service-Actuals]]+DaybyDay[[#This Row],[Retail-Actuals]]),"")</f>
        <v/>
      </c>
      <c r="AP1342" s="41">
        <f>DaybyDay[[#This Row],[Estimated-Payroll-Rollup]]/DaybyDay[[#This Row],[Simple-Forecast]]</f>
        <v>9.7680610815394902E-3</v>
      </c>
      <c r="AQ13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277971.41373784072</v>
      </c>
      <c r="AR1342" s="77"/>
      <c r="AS1342" s="40" t="str">
        <f>IF(DaybyDay[[#This Row],[Retail Hours]]&gt;0,DaybyDay[[#This Row],[Retail Hours]]*$AS$2,"")</f>
        <v/>
      </c>
      <c r="AT1342" s="40">
        <f>SUMIFS(DaybyDay[Est-Retail-Payroll],DaybyDay[Date],"&gt;="&amp;$C$5,DaybyDay[RowYear],"&gt;="&amp;$C$4,DaybyDay[Date],"&lt;="&amp;DaybyDay[[#This Row],[Date]])</f>
        <v>2627.1</v>
      </c>
      <c r="AU1342" s="82" t="str">
        <f>IF(AND(DaybyDay[[#This Row],[_Space]],ISNUMBER(DaybyDay[[#This Row],[Retail Hours]])),DaybyDay[[#This Row],[Est-Retail-Payroll]]/(DaybyDay[[#This Row],[Retail-Actuals]]),"")</f>
        <v/>
      </c>
      <c r="AV1342" s="82">
        <f>DaybyDay[[#This Row],[Est-Retail-PayrollRU]]/DaybyDay[[#This Row],[Simple-Forecast-Retail]]</f>
        <v>9.4509718271881728E-3</v>
      </c>
      <c r="AW1342" s="8"/>
      <c r="AX1342" s="15"/>
      <c r="AY1342" s="8"/>
    </row>
    <row r="1343" spans="3:51" hidden="1" x14ac:dyDescent="0.25">
      <c r="C1343" s="26" t="str">
        <f>Tools!$C$1</f>
        <v>Example</v>
      </c>
      <c r="D1343" s="27" t="s">
        <v>75</v>
      </c>
      <c r="E1343" s="28">
        <v>2020</v>
      </c>
      <c r="F1343" s="28">
        <f>MATCH(DaybyDay[[#This Row],[RowMonth]],Table3[SummaryMonth],0)</f>
        <v>8</v>
      </c>
      <c r="G1343" s="29">
        <f>MATCH(DaybyDay[[#This Row],[LY-Date]],DaybyDay[Date],0)</f>
        <v>973</v>
      </c>
      <c r="H1343" s="30">
        <f>WEEKDAY(DaybyDay[[#This Row],[Date]])</f>
        <v>7</v>
      </c>
      <c r="I1343" s="31">
        <v>44072</v>
      </c>
      <c r="J1343" s="74"/>
      <c r="K1343" s="32">
        <f>SUMIFS(BudgetSeasonality[365 Seasonality],BudgetSeasonality[MonthAdjustment],DaybyDay[[#This Row],[Date]])*SUMIFS(Budgets[Service-Budget],Budgets[BudgetMonth],DaybyDay[[#This Row],[RowMonth]],Budgets[BudgetYear],DaybyDay[[#This Row],[RowYear]])</f>
        <v>8141.6434475080978</v>
      </c>
      <c r="L1343" s="75"/>
      <c r="M1343" s="32">
        <f>INDEX(BudgetSeasonality[365 Seasonality],MATCH(DaybyDay[[#This Row],[Date]],BudgetSeasonality[MonthAdjustment],0))*SUMIFS(Budgets[Retail-Budget],Budgets[BudgetMonth],DaybyDay[[#This Row],[RowMonth]],Budgets[BudgetYear],DaybyDay[[#This Row],[RowYear]])</f>
        <v>2005.9104181800844</v>
      </c>
      <c r="N1343" s="75"/>
      <c r="O1343" s="33">
        <f>SUMIFS(DaybyDay[Service-Budgets],DaybyDay[Date],"&gt;="&amp;$C$5,DaybyDay[RowYear],"&gt;="&amp;$C$4,DaybyDay[Date],"&lt;="&amp;DaybyDay[[#This Row],[Date]])</f>
        <v>1286747.4669355894</v>
      </c>
      <c r="P1343" s="33">
        <f>SUMIFS(DaybyDay[Retail-Budgets],DaybyDay[Date],"&gt;="&amp;$C$5,DaybyDay[RowYear],"&gt;="&amp;$C$4,DaybyDay[Date],"&lt;="&amp;DaybyDay[[#This Row],[Date]])</f>
        <v>322510.87346602441</v>
      </c>
      <c r="Q1343" s="34">
        <f>SUMIFS(DaybyDay[Service-Actuals],DaybyDay[Date],"&gt;="&amp;$C$5,DaybyDay[RowYear],"&gt;="&amp;$C$4,DaybyDay[Date],"&lt;="&amp;DaybyDay[[#This Row],[Date]])</f>
        <v>385554.23</v>
      </c>
      <c r="R1343" s="34">
        <f>SUMIFS(DaybyDay[Retail-Actuals],DaybyDay[Date],"&gt;="&amp;$C$5,DaybyDay[RowYear],"&gt;="&amp;$C$4,DaybyDay[Date],"&lt;="&amp;DaybyDay[[#This Row],[Date]])</f>
        <v>88360.030000000028</v>
      </c>
      <c r="S1343" s="35">
        <f>SUMIFS(DaybyDay[Service-LY],DaybyDay[Date],"&gt;="&amp;$C$5,DaybyDay[RowYear],"&gt;="&amp;$C$4,DaybyDay[Date],"&lt;="&amp;DaybyDay[[#This Row],[Date]])</f>
        <v>1165438.9909999988</v>
      </c>
      <c r="T1343" s="35">
        <f>SUMIFS(DaybyDay[Retail-LY],DaybyDay[Date],"&gt;="&amp;$C$5,DaybyDay[RowYear],"&gt;="&amp;$C$4,DaybyDay[Date],"&lt;="&amp;DaybyDay[[#This Row],[Date]])</f>
        <v>279401.42</v>
      </c>
      <c r="U1343" s="32">
        <f>DaybyDay[[#This Row],[Serv-Bud-RU]]+DaybyDay[[#This Row],[Ret-Bud-RU]]</f>
        <v>1609258.3404016139</v>
      </c>
      <c r="V1343" s="32">
        <f>DaybyDay[[#This Row],[Serv-Act-RU]]+DaybyDay[[#This Row],[Ret-Act-RU]]</f>
        <v>473914.26</v>
      </c>
      <c r="W1343" s="36" t="str">
        <f>IF(DaybyDay[[#This Row],[_Space]],IFERROR(
((DaybyDay[[#This Row],[Actual-Rollup]]-DaybyDay[[#This Row],[Budget-Rollup]])/DaybyDay[[#This Row],[Budget-Rollup]]),0),"")</f>
        <v/>
      </c>
      <c r="X1343" t="b">
        <f>NOT(AND(ISBLANK(DaybyDay[[#This Row],[Appts]]),ISBLANK(DaybyDay[[#This Row],[Service-Actuals]]),ISBLANK(DaybyDay[[#This Row],[Retail-Actuals]])))</f>
        <v>0</v>
      </c>
      <c r="Y1343" s="36" t="str">
        <f>IF(DaybyDay[[#This Row],[_Space]],IFERROR(
((DaybyDay[[#This Row],[Actual-Rollup]]-DaybyDay[[#This Row],[LY-Rollup]])/DaybyDay[[#This Row],[LY-Rollup]]),0),"")</f>
        <v/>
      </c>
      <c r="Z1343"/>
      <c r="AA1343" s="37" t="str">
        <f>IF(DaybyDay[[#This Row],[_Space]],DaybyDay[[#This Row],[Ret-Act-RU]]/DaybyDay[[#This Row],[Serv-Act-RU]],"")</f>
        <v/>
      </c>
      <c r="AB1343" s="50" t="str">
        <f>IF(DaybyDay[[#This Row],[_Space]],DaybyDay[[#This Row],[RETPEN-Act]]/DaybyDay[[#This Row],[RETPEN-Bud]],"")</f>
        <v/>
      </c>
      <c r="AC1343" s="37" t="str">
        <f>IF(DaybyDay[[#This Row],[_Space]],DaybyDay[[#This Row],[Ret-Bud-RU]]/DaybyDay[[#This Row],[Serv-Bud-RU]],"")</f>
        <v/>
      </c>
      <c r="AD1343" s="37" t="str">
        <f>IF(DaybyDay[[#This Row],[_Space]],DaybyDay[[#This Row],[Ret-LY-RU]]/DaybyDay[[#This Row],[Serv-LY-RU]],"")</f>
        <v/>
      </c>
      <c r="AE1343" s="30">
        <f>WEEKDAY(DaybyDay[[#This Row],[LY-Date]])</f>
        <v>7</v>
      </c>
      <c r="AF1343" s="38">
        <f>$E$2+_xlfn.DAYS(DaybyDay[[#This Row],[Date]],minDate)</f>
        <v>43708</v>
      </c>
      <c r="AG1343" s="39" cm="1">
        <f t="array" ref="AG1343">IFERROR(INDEX(DaybyDay[],DaybyDay[[#This Row],[FORM_MATCH_HELPER]],8),"")</f>
        <v>37</v>
      </c>
      <c r="AH1343" s="39" cm="1">
        <f t="array" ref="AH1343">IFERROR(INDEX(DaybyDay[],DaybyDay[[#This Row],[FORM_MATCH_HELPER]],10),"")</f>
        <v>8644.4</v>
      </c>
      <c r="AI1343" s="39" cm="1">
        <f t="array" ref="AI1343">IFERROR(INDEX(DaybyDay[],DaybyDay[[#This Row],[FORM_MATCH_HELPER]],12),"")</f>
        <v>1405</v>
      </c>
      <c r="AJ1343" s="32">
        <f>IFERROR(DaybyDay[[#This Row],[Serv-LY-RU]]+DaybyDay[[#This Row],[Ret-LY-RU]],"")</f>
        <v>1444840.4109999987</v>
      </c>
      <c r="AK13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1436553.3291052268</v>
      </c>
      <c r="AL1343" s="77"/>
      <c r="AM1343" s="40" t="str">
        <f>IF(DaybyDay[[#This Row],[Admin Hours]]&gt;0,DaybyDay[[#This Row],[Admin Hours]]*$AM$2+$AM$3,"")</f>
        <v/>
      </c>
      <c r="AN1343" s="40">
        <f>SUMIFS(DaybyDay[Est-Admin-Payroll],DaybyDay[Date],"&gt;="&amp;$C$5,DaybyDay[RowYear],"&gt;="&amp;$C$4,DaybyDay[Date],"&lt;="&amp;DaybyDay[[#This Row],[Date]])</f>
        <v>13941.779999999997</v>
      </c>
      <c r="AO1343" s="41" t="str">
        <f>IF(AND(DaybyDay[[#This Row],[_Space]],ISNUMBER(DaybyDay[[#This Row],[Admin Hours]])),DaybyDay[[#This Row],[Est-Admin-Payroll]]/(DaybyDay[[#This Row],[Service-Actuals]]+DaybyDay[[#This Row],[Retail-Actuals]]),"")</f>
        <v/>
      </c>
      <c r="AP1343" s="41">
        <f>DaybyDay[[#This Row],[Estimated-Payroll-Rollup]]/DaybyDay[[#This Row],[Simple-Forecast]]</f>
        <v>9.7050208422709856E-3</v>
      </c>
      <c r="AQ13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279517.36311771825</v>
      </c>
      <c r="AR1343" s="77"/>
      <c r="AS1343" s="40" t="str">
        <f>IF(DaybyDay[[#This Row],[Retail Hours]]&gt;0,DaybyDay[[#This Row],[Retail Hours]]*$AS$2,"")</f>
        <v/>
      </c>
      <c r="AT1343" s="40">
        <f>SUMIFS(DaybyDay[Est-Retail-Payroll],DaybyDay[Date],"&gt;="&amp;$C$5,DaybyDay[RowYear],"&gt;="&amp;$C$4,DaybyDay[Date],"&lt;="&amp;DaybyDay[[#This Row],[Date]])</f>
        <v>2627.1</v>
      </c>
      <c r="AU1343" s="82" t="str">
        <f>IF(AND(DaybyDay[[#This Row],[_Space]],ISNUMBER(DaybyDay[[#This Row],[Retail Hours]])),DaybyDay[[#This Row],[Est-Retail-Payroll]]/(DaybyDay[[#This Row],[Retail-Actuals]]),"")</f>
        <v/>
      </c>
      <c r="AV1343" s="82">
        <f>DaybyDay[[#This Row],[Est-Retail-PayrollRU]]/DaybyDay[[#This Row],[Simple-Forecast-Retail]]</f>
        <v>9.3987005697875065E-3</v>
      </c>
      <c r="AW1343" s="8"/>
      <c r="AX1343" s="15"/>
      <c r="AY1343" s="8"/>
    </row>
    <row r="1344" spans="3:51" hidden="1" x14ac:dyDescent="0.25">
      <c r="C1344" s="26" t="str">
        <f>Tools!$C$1</f>
        <v>Example</v>
      </c>
      <c r="D1344" s="27" t="s">
        <v>76</v>
      </c>
      <c r="E1344" s="28">
        <v>2020</v>
      </c>
      <c r="F1344" s="28">
        <f>MATCH(DaybyDay[[#This Row],[RowMonth]],Table3[SummaryMonth],0)</f>
        <v>9</v>
      </c>
      <c r="G1344" s="29">
        <f>MATCH(DaybyDay[[#This Row],[LY-Date]],DaybyDay[Date],0)</f>
        <v>974</v>
      </c>
      <c r="H1344" s="30">
        <f>WEEKDAY(DaybyDay[[#This Row],[Date]])</f>
        <v>1</v>
      </c>
      <c r="I1344" s="31">
        <v>44073</v>
      </c>
      <c r="J1344" s="74"/>
      <c r="K1344" s="32">
        <f>SUMIFS(BudgetSeasonality[365 Seasonality],BudgetSeasonality[MonthAdjustment],DaybyDay[[#This Row],[Date]])*SUMIFS(Budgets[Service-Budget],Budgets[BudgetMonth],DaybyDay[[#This Row],[RowMonth]],Budgets[BudgetYear],DaybyDay[[#This Row],[RowYear]])</f>
        <v>6231.0158765698907</v>
      </c>
      <c r="L1344" s="75"/>
      <c r="M1344" s="32">
        <f>INDEX(BudgetSeasonality[365 Seasonality],MATCH(DaybyDay[[#This Row],[Date]],BudgetSeasonality[MonthAdjustment],0))*SUMIFS(Budgets[Retail-Budget],Budgets[BudgetMonth],DaybyDay[[#This Row],[RowMonth]],Budgets[BudgetYear],DaybyDay[[#This Row],[RowYear]])</f>
        <v>1950.4708780647463</v>
      </c>
      <c r="N1344" s="75"/>
      <c r="O1344" s="33">
        <f>SUMIFS(DaybyDay[Service-Budgets],DaybyDay[Date],"&gt;="&amp;$C$5,DaybyDay[RowYear],"&gt;="&amp;$C$4,DaybyDay[Date],"&lt;="&amp;DaybyDay[[#This Row],[Date]])</f>
        <v>1292978.4828121592</v>
      </c>
      <c r="P1344" s="33">
        <f>SUMIFS(DaybyDay[Retail-Budgets],DaybyDay[Date],"&gt;="&amp;$C$5,DaybyDay[RowYear],"&gt;="&amp;$C$4,DaybyDay[Date],"&lt;="&amp;DaybyDay[[#This Row],[Date]])</f>
        <v>324461.34434408916</v>
      </c>
      <c r="Q1344" s="34">
        <f>SUMIFS(DaybyDay[Service-Actuals],DaybyDay[Date],"&gt;="&amp;$C$5,DaybyDay[RowYear],"&gt;="&amp;$C$4,DaybyDay[Date],"&lt;="&amp;DaybyDay[[#This Row],[Date]])</f>
        <v>385554.23</v>
      </c>
      <c r="R1344" s="34">
        <f>SUMIFS(DaybyDay[Retail-Actuals],DaybyDay[Date],"&gt;="&amp;$C$5,DaybyDay[RowYear],"&gt;="&amp;$C$4,DaybyDay[Date],"&lt;="&amp;DaybyDay[[#This Row],[Date]])</f>
        <v>88360.030000000028</v>
      </c>
      <c r="S1344" s="35">
        <f>SUMIFS(DaybyDay[Service-LY],DaybyDay[Date],"&gt;="&amp;$C$5,DaybyDay[RowYear],"&gt;="&amp;$C$4,DaybyDay[Date],"&lt;="&amp;DaybyDay[[#This Row],[Date]])</f>
        <v>1171517.1909999987</v>
      </c>
      <c r="T1344" s="35">
        <f>SUMIFS(DaybyDay[Retail-LY],DaybyDay[Date],"&gt;="&amp;$C$5,DaybyDay[RowYear],"&gt;="&amp;$C$4,DaybyDay[Date],"&lt;="&amp;DaybyDay[[#This Row],[Date]])</f>
        <v>279693.42</v>
      </c>
      <c r="U1344" s="32">
        <f>DaybyDay[[#This Row],[Serv-Bud-RU]]+DaybyDay[[#This Row],[Ret-Bud-RU]]</f>
        <v>1617439.8271562485</v>
      </c>
      <c r="V1344" s="32">
        <f>DaybyDay[[#This Row],[Serv-Act-RU]]+DaybyDay[[#This Row],[Ret-Act-RU]]</f>
        <v>473914.26</v>
      </c>
      <c r="W1344" s="36" t="str">
        <f>IF(DaybyDay[[#This Row],[_Space]],IFERROR(
((DaybyDay[[#This Row],[Actual-Rollup]]-DaybyDay[[#This Row],[Budget-Rollup]])/DaybyDay[[#This Row],[Budget-Rollup]]),0),"")</f>
        <v/>
      </c>
      <c r="X1344" t="b">
        <f>NOT(AND(ISBLANK(DaybyDay[[#This Row],[Appts]]),ISBLANK(DaybyDay[[#This Row],[Service-Actuals]]),ISBLANK(DaybyDay[[#This Row],[Retail-Actuals]])))</f>
        <v>0</v>
      </c>
      <c r="Y1344" s="36" t="str">
        <f>IF(DaybyDay[[#This Row],[_Space]],IFERROR(
((DaybyDay[[#This Row],[Actual-Rollup]]-DaybyDay[[#This Row],[LY-Rollup]])/DaybyDay[[#This Row],[LY-Rollup]]),0),"")</f>
        <v/>
      </c>
      <c r="Z1344"/>
      <c r="AA1344" s="37" t="str">
        <f>IF(DaybyDay[[#This Row],[_Space]],DaybyDay[[#This Row],[Ret-Act-RU]]/DaybyDay[[#This Row],[Serv-Act-RU]],"")</f>
        <v/>
      </c>
      <c r="AB1344" s="50" t="str">
        <f>IF(DaybyDay[[#This Row],[_Space]],DaybyDay[[#This Row],[RETPEN-Act]]/DaybyDay[[#This Row],[RETPEN-Bud]],"")</f>
        <v/>
      </c>
      <c r="AC1344" s="37" t="str">
        <f>IF(DaybyDay[[#This Row],[_Space]],DaybyDay[[#This Row],[Ret-Bud-RU]]/DaybyDay[[#This Row],[Serv-Bud-RU]],"")</f>
        <v/>
      </c>
      <c r="AD1344" s="37" t="str">
        <f>IF(DaybyDay[[#This Row],[_Space]],DaybyDay[[#This Row],[Ret-LY-RU]]/DaybyDay[[#This Row],[Serv-LY-RU]],"")</f>
        <v/>
      </c>
      <c r="AE1344" s="30">
        <f>WEEKDAY(DaybyDay[[#This Row],[LY-Date]])</f>
        <v>1</v>
      </c>
      <c r="AF1344" s="38">
        <f>$E$2+_xlfn.DAYS(DaybyDay[[#This Row],[Date]],minDate)</f>
        <v>43709</v>
      </c>
      <c r="AG1344" s="39" cm="1">
        <f t="array" ref="AG1344">IFERROR(INDEX(DaybyDay[],DaybyDay[[#This Row],[FORM_MATCH_HELPER]],8),"")</f>
        <v>25</v>
      </c>
      <c r="AH1344" s="39" cm="1">
        <f t="array" ref="AH1344">IFERROR(INDEX(DaybyDay[],DaybyDay[[#This Row],[FORM_MATCH_HELPER]],10),"")</f>
        <v>6078.2</v>
      </c>
      <c r="AI1344" s="39" cm="1">
        <f t="array" ref="AI1344">IFERROR(INDEX(DaybyDay[],DaybyDay[[#This Row],[FORM_MATCH_HELPER]],12),"")</f>
        <v>292</v>
      </c>
      <c r="AJ1344" s="32">
        <f>IFERROR(DaybyDay[[#This Row],[Serv-LY-RU]]+DaybyDay[[#This Row],[Ret-LY-RU]],"")</f>
        <v>1451210.6109999986</v>
      </c>
      <c r="AK13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1443174.1478139418</v>
      </c>
      <c r="AL1344" s="77"/>
      <c r="AM1344" s="40" t="str">
        <f>IF(DaybyDay[[#This Row],[Admin Hours]]&gt;0,DaybyDay[[#This Row],[Admin Hours]]*$AM$2+$AM$3,"")</f>
        <v/>
      </c>
      <c r="AN1344" s="40">
        <f>SUMIFS(DaybyDay[Est-Admin-Payroll],DaybyDay[Date],"&gt;="&amp;$C$5,DaybyDay[RowYear],"&gt;="&amp;$C$4,DaybyDay[Date],"&lt;="&amp;DaybyDay[[#This Row],[Date]])</f>
        <v>13941.779999999997</v>
      </c>
      <c r="AO1344" s="41" t="str">
        <f>IF(AND(DaybyDay[[#This Row],[_Space]],ISNUMBER(DaybyDay[[#This Row],[Admin Hours]])),DaybyDay[[#This Row],[Est-Admin-Payroll]]/(DaybyDay[[#This Row],[Service-Actuals]]+DaybyDay[[#This Row],[Retail-Actuals]]),"")</f>
        <v/>
      </c>
      <c r="AP1344" s="41">
        <f>DaybyDay[[#This Row],[Estimated-Payroll-Rollup]]/DaybyDay[[#This Row],[Simple-Forecast]]</f>
        <v>9.6604973288347811E-3</v>
      </c>
      <c r="AQ13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280490.97391859756</v>
      </c>
      <c r="AR1344" s="77"/>
      <c r="AS1344" s="40" t="str">
        <f>IF(DaybyDay[[#This Row],[Retail Hours]]&gt;0,DaybyDay[[#This Row],[Retail Hours]]*$AS$2,"")</f>
        <v/>
      </c>
      <c r="AT1344" s="40">
        <f>SUMIFS(DaybyDay[Est-Retail-Payroll],DaybyDay[Date],"&gt;="&amp;$C$5,DaybyDay[RowYear],"&gt;="&amp;$C$4,DaybyDay[Date],"&lt;="&amp;DaybyDay[[#This Row],[Date]])</f>
        <v>2627.1</v>
      </c>
      <c r="AU1344" s="82" t="str">
        <f>IF(AND(DaybyDay[[#This Row],[_Space]],ISNUMBER(DaybyDay[[#This Row],[Retail Hours]])),DaybyDay[[#This Row],[Est-Retail-Payroll]]/(DaybyDay[[#This Row],[Retail-Actuals]]),"")</f>
        <v/>
      </c>
      <c r="AV1344" s="82">
        <f>DaybyDay[[#This Row],[Est-Retail-PayrollRU]]/DaybyDay[[#This Row],[Simple-Forecast-Retail]]</f>
        <v>9.3660767877772125E-3</v>
      </c>
      <c r="AW1344" s="8"/>
      <c r="AX1344" s="15"/>
      <c r="AY1344" s="8"/>
    </row>
    <row r="1345" spans="3:51" hidden="1" x14ac:dyDescent="0.25">
      <c r="C1345" s="26" t="str">
        <f>Tools!$C$1</f>
        <v>Example</v>
      </c>
      <c r="D1345" s="27" t="s">
        <v>76</v>
      </c>
      <c r="E1345" s="28">
        <v>2020</v>
      </c>
      <c r="F1345" s="28">
        <f>MATCH(DaybyDay[[#This Row],[RowMonth]],Table3[SummaryMonth],0)</f>
        <v>9</v>
      </c>
      <c r="G1345" s="29">
        <f>MATCH(DaybyDay[[#This Row],[LY-Date]],DaybyDay[Date],0)</f>
        <v>975</v>
      </c>
      <c r="H1345" s="30">
        <f>WEEKDAY(DaybyDay[[#This Row],[Date]])</f>
        <v>2</v>
      </c>
      <c r="I1345" s="31">
        <v>44074</v>
      </c>
      <c r="J1345" s="74"/>
      <c r="K1345" s="32">
        <f>SUMIFS(BudgetSeasonality[365 Seasonality],BudgetSeasonality[MonthAdjustment],DaybyDay[[#This Row],[Date]])*SUMIFS(Budgets[Service-Budget],Budgets[BudgetMonth],DaybyDay[[#This Row],[RowMonth]],Budgets[BudgetYear],DaybyDay[[#This Row],[RowYear]])</f>
        <v>3651.1456077250273</v>
      </c>
      <c r="L1345" s="75"/>
      <c r="M1345" s="32">
        <f>INDEX(BudgetSeasonality[365 Seasonality],MATCH(DaybyDay[[#This Row],[Date]],BudgetSeasonality[MonthAdjustment],0))*SUMIFS(Budgets[Retail-Budget],Budgets[BudgetMonth],DaybyDay[[#This Row],[RowMonth]],Budgets[BudgetYear],DaybyDay[[#This Row],[RowYear]])</f>
        <v>1142.9040337098229</v>
      </c>
      <c r="N1345" s="75"/>
      <c r="O1345" s="33">
        <f>SUMIFS(DaybyDay[Service-Budgets],DaybyDay[Date],"&gt;="&amp;$C$5,DaybyDay[RowYear],"&gt;="&amp;$C$4,DaybyDay[Date],"&lt;="&amp;DaybyDay[[#This Row],[Date]])</f>
        <v>1296629.6284198842</v>
      </c>
      <c r="P1345" s="33">
        <f>SUMIFS(DaybyDay[Retail-Budgets],DaybyDay[Date],"&gt;="&amp;$C$5,DaybyDay[RowYear],"&gt;="&amp;$C$4,DaybyDay[Date],"&lt;="&amp;DaybyDay[[#This Row],[Date]])</f>
        <v>325604.248377799</v>
      </c>
      <c r="Q1345" s="34">
        <f>SUMIFS(DaybyDay[Service-Actuals],DaybyDay[Date],"&gt;="&amp;$C$5,DaybyDay[RowYear],"&gt;="&amp;$C$4,DaybyDay[Date],"&lt;="&amp;DaybyDay[[#This Row],[Date]])</f>
        <v>385554.23</v>
      </c>
      <c r="R1345" s="34">
        <f>SUMIFS(DaybyDay[Retail-Actuals],DaybyDay[Date],"&gt;="&amp;$C$5,DaybyDay[RowYear],"&gt;="&amp;$C$4,DaybyDay[Date],"&lt;="&amp;DaybyDay[[#This Row],[Date]])</f>
        <v>88360.030000000028</v>
      </c>
      <c r="S1345" s="35">
        <f>SUMIFS(DaybyDay[Service-LY],DaybyDay[Date],"&gt;="&amp;$C$5,DaybyDay[RowYear],"&gt;="&amp;$C$4,DaybyDay[Date],"&lt;="&amp;DaybyDay[[#This Row],[Date]])</f>
        <v>1175932.1909999987</v>
      </c>
      <c r="T1345" s="35">
        <f>SUMIFS(DaybyDay[Retail-LY],DaybyDay[Date],"&gt;="&amp;$C$5,DaybyDay[RowYear],"&gt;="&amp;$C$4,DaybyDay[Date],"&lt;="&amp;DaybyDay[[#This Row],[Date]])</f>
        <v>280544.42</v>
      </c>
      <c r="U1345" s="32">
        <f>DaybyDay[[#This Row],[Serv-Bud-RU]]+DaybyDay[[#This Row],[Ret-Bud-RU]]</f>
        <v>1622233.8767976833</v>
      </c>
      <c r="V1345" s="32">
        <f>DaybyDay[[#This Row],[Serv-Act-RU]]+DaybyDay[[#This Row],[Ret-Act-RU]]</f>
        <v>473914.26</v>
      </c>
      <c r="W1345" s="36" t="str">
        <f>IF(DaybyDay[[#This Row],[_Space]],IFERROR(
((DaybyDay[[#This Row],[Actual-Rollup]]-DaybyDay[[#This Row],[Budget-Rollup]])/DaybyDay[[#This Row],[Budget-Rollup]]),0),"")</f>
        <v/>
      </c>
      <c r="X1345" t="b">
        <f>NOT(AND(ISBLANK(DaybyDay[[#This Row],[Appts]]),ISBLANK(DaybyDay[[#This Row],[Service-Actuals]]),ISBLANK(DaybyDay[[#This Row],[Retail-Actuals]])))</f>
        <v>0</v>
      </c>
      <c r="Y1345" s="36" t="str">
        <f>IF(DaybyDay[[#This Row],[_Space]],IFERROR(
((DaybyDay[[#This Row],[Actual-Rollup]]-DaybyDay[[#This Row],[LY-Rollup]])/DaybyDay[[#This Row],[LY-Rollup]]),0),"")</f>
        <v/>
      </c>
      <c r="Z1345"/>
      <c r="AA1345" s="37" t="str">
        <f>IF(DaybyDay[[#This Row],[_Space]],DaybyDay[[#This Row],[Ret-Act-RU]]/DaybyDay[[#This Row],[Serv-Act-RU]],"")</f>
        <v/>
      </c>
      <c r="AB1345" s="50" t="str">
        <f>IF(DaybyDay[[#This Row],[_Space]],DaybyDay[[#This Row],[RETPEN-Act]]/DaybyDay[[#This Row],[RETPEN-Bud]],"")</f>
        <v/>
      </c>
      <c r="AC1345" s="37" t="str">
        <f>IF(DaybyDay[[#This Row],[_Space]],DaybyDay[[#This Row],[Ret-Bud-RU]]/DaybyDay[[#This Row],[Serv-Bud-RU]],"")</f>
        <v/>
      </c>
      <c r="AD1345" s="37" t="str">
        <f>IF(DaybyDay[[#This Row],[_Space]],DaybyDay[[#This Row],[Ret-LY-RU]]/DaybyDay[[#This Row],[Serv-LY-RU]],"")</f>
        <v/>
      </c>
      <c r="AE1345" s="30">
        <f>WEEKDAY(DaybyDay[[#This Row],[LY-Date]])</f>
        <v>2</v>
      </c>
      <c r="AF1345" s="38">
        <f>$E$2+_xlfn.DAYS(DaybyDay[[#This Row],[Date]],minDate)</f>
        <v>43710</v>
      </c>
      <c r="AG1345" s="39" cm="1">
        <f t="array" ref="AG1345">IFERROR(INDEX(DaybyDay[],DaybyDay[[#This Row],[FORM_MATCH_HELPER]],8),"")</f>
        <v>18</v>
      </c>
      <c r="AH1345" s="39" cm="1">
        <f t="array" ref="AH1345">IFERROR(INDEX(DaybyDay[],DaybyDay[[#This Row],[FORM_MATCH_HELPER]],10),"")</f>
        <v>4415</v>
      </c>
      <c r="AI1345" s="39" cm="1">
        <f t="array" ref="AI1345">IFERROR(INDEX(DaybyDay[],DaybyDay[[#This Row],[FORM_MATCH_HELPER]],12),"")</f>
        <v>851</v>
      </c>
      <c r="AJ1345" s="32">
        <f>IFERROR(DaybyDay[[#This Row],[Serv-LY-RU]]+DaybyDay[[#This Row],[Ret-LY-RU]],"")</f>
        <v>1456476.6109999986</v>
      </c>
      <c r="AK13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1447809.6855106698</v>
      </c>
      <c r="AL1345" s="77"/>
      <c r="AM1345" s="40" t="str">
        <f>IF(DaybyDay[[#This Row],[Admin Hours]]&gt;0,DaybyDay[[#This Row],[Admin Hours]]*$AM$2+$AM$3,"")</f>
        <v/>
      </c>
      <c r="AN1345" s="40">
        <f>SUMIFS(DaybyDay[Est-Admin-Payroll],DaybyDay[Date],"&gt;="&amp;$C$5,DaybyDay[RowYear],"&gt;="&amp;$C$4,DaybyDay[Date],"&lt;="&amp;DaybyDay[[#This Row],[Date]])</f>
        <v>13941.779999999997</v>
      </c>
      <c r="AO1345" s="41" t="str">
        <f>IF(AND(DaybyDay[[#This Row],[_Space]],ISNUMBER(DaybyDay[[#This Row],[Admin Hours]])),DaybyDay[[#This Row],[Est-Admin-Payroll]]/(DaybyDay[[#This Row],[Service-Actuals]]+DaybyDay[[#This Row],[Retail-Actuals]]),"")</f>
        <v/>
      </c>
      <c r="AP1345" s="41">
        <f>DaybyDay[[#This Row],[Estimated-Payroll-Rollup]]/DaybyDay[[#This Row],[Simple-Forecast]]</f>
        <v>9.6295667445286271E-3</v>
      </c>
      <c r="AQ13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281396.6934331677</v>
      </c>
      <c r="AR1345" s="77"/>
      <c r="AS1345" s="40" t="str">
        <f>IF(DaybyDay[[#This Row],[Retail Hours]]&gt;0,DaybyDay[[#This Row],[Retail Hours]]*$AS$2,"")</f>
        <v/>
      </c>
      <c r="AT1345" s="40">
        <f>SUMIFS(DaybyDay[Est-Retail-Payroll],DaybyDay[Date],"&gt;="&amp;$C$5,DaybyDay[RowYear],"&gt;="&amp;$C$4,DaybyDay[Date],"&lt;="&amp;DaybyDay[[#This Row],[Date]])</f>
        <v>2627.1</v>
      </c>
      <c r="AU1345" s="82" t="str">
        <f>IF(AND(DaybyDay[[#This Row],[_Space]],ISNUMBER(DaybyDay[[#This Row],[Retail Hours]])),DaybyDay[[#This Row],[Est-Retail-Payroll]]/(DaybyDay[[#This Row],[Retail-Actuals]]),"")</f>
        <v/>
      </c>
      <c r="AV1345" s="82">
        <f>DaybyDay[[#This Row],[Est-Retail-PayrollRU]]/DaybyDay[[#This Row],[Simple-Forecast-Retail]]</f>
        <v>9.3359305965830114E-3</v>
      </c>
      <c r="AW1345" s="8"/>
      <c r="AX1345" s="15"/>
      <c r="AY1345" s="8"/>
    </row>
    <row r="1346" spans="3:51" hidden="1" x14ac:dyDescent="0.25">
      <c r="C1346" s="26" t="str">
        <f>Tools!$C$1</f>
        <v>Example</v>
      </c>
      <c r="D1346" s="27" t="s">
        <v>76</v>
      </c>
      <c r="E1346" s="28">
        <v>2020</v>
      </c>
      <c r="F1346" s="28">
        <f>MATCH(DaybyDay[[#This Row],[RowMonth]],Table3[SummaryMonth],0)</f>
        <v>9</v>
      </c>
      <c r="G1346" s="29">
        <f>MATCH(DaybyDay[[#This Row],[LY-Date]],DaybyDay[Date],0)</f>
        <v>976</v>
      </c>
      <c r="H1346" s="30">
        <f>WEEKDAY(DaybyDay[[#This Row],[Date]])</f>
        <v>3</v>
      </c>
      <c r="I1346" s="31">
        <v>44075</v>
      </c>
      <c r="J1346" s="74"/>
      <c r="K1346" s="32">
        <f>SUMIFS(BudgetSeasonality[365 Seasonality],BudgetSeasonality[MonthAdjustment],DaybyDay[[#This Row],[Date]])*SUMIFS(Budgets[Service-Budget],Budgets[BudgetMonth],DaybyDay[[#This Row],[RowMonth]],Budgets[BudgetYear],DaybyDay[[#This Row],[RowYear]])</f>
        <v>3787.9332146390416</v>
      </c>
      <c r="L1346" s="75"/>
      <c r="M1346" s="32">
        <f>INDEX(BudgetSeasonality[365 Seasonality],MATCH(DaybyDay[[#This Row],[Date]],BudgetSeasonality[MonthAdjustment],0))*SUMIFS(Budgets[Retail-Budget],Budgets[BudgetMonth],DaybyDay[[#This Row],[RowMonth]],Budgets[BudgetYear],DaybyDay[[#This Row],[RowYear]])</f>
        <v>1185.7221309592915</v>
      </c>
      <c r="N1346" s="75"/>
      <c r="O1346" s="33">
        <f>SUMIFS(DaybyDay[Service-Budgets],DaybyDay[Date],"&gt;="&amp;$C$5,DaybyDay[RowYear],"&gt;="&amp;$C$4,DaybyDay[Date],"&lt;="&amp;DaybyDay[[#This Row],[Date]])</f>
        <v>1300417.5616345233</v>
      </c>
      <c r="P1346" s="33">
        <f>SUMIFS(DaybyDay[Retail-Budgets],DaybyDay[Date],"&gt;="&amp;$C$5,DaybyDay[RowYear],"&gt;="&amp;$C$4,DaybyDay[Date],"&lt;="&amp;DaybyDay[[#This Row],[Date]])</f>
        <v>326789.97050875827</v>
      </c>
      <c r="Q1346" s="34">
        <f>SUMIFS(DaybyDay[Service-Actuals],DaybyDay[Date],"&gt;="&amp;$C$5,DaybyDay[RowYear],"&gt;="&amp;$C$4,DaybyDay[Date],"&lt;="&amp;DaybyDay[[#This Row],[Date]])</f>
        <v>385554.23</v>
      </c>
      <c r="R1346" s="34">
        <f>SUMIFS(DaybyDay[Retail-Actuals],DaybyDay[Date],"&gt;="&amp;$C$5,DaybyDay[RowYear],"&gt;="&amp;$C$4,DaybyDay[Date],"&lt;="&amp;DaybyDay[[#This Row],[Date]])</f>
        <v>88360.030000000028</v>
      </c>
      <c r="S1346" s="35">
        <f>SUMIFS(DaybyDay[Service-LY],DaybyDay[Date],"&gt;="&amp;$C$5,DaybyDay[RowYear],"&gt;="&amp;$C$4,DaybyDay[Date],"&lt;="&amp;DaybyDay[[#This Row],[Date]])</f>
        <v>1178345.3909999987</v>
      </c>
      <c r="T1346" s="35">
        <f>SUMIFS(DaybyDay[Retail-LY],DaybyDay[Date],"&gt;="&amp;$C$5,DaybyDay[RowYear],"&gt;="&amp;$C$4,DaybyDay[Date],"&lt;="&amp;DaybyDay[[#This Row],[Date]])</f>
        <v>283109.67</v>
      </c>
      <c r="U1346" s="32">
        <f>DaybyDay[[#This Row],[Serv-Bud-RU]]+DaybyDay[[#This Row],[Ret-Bud-RU]]</f>
        <v>1627207.5321432815</v>
      </c>
      <c r="V1346" s="32">
        <f>DaybyDay[[#This Row],[Serv-Act-RU]]+DaybyDay[[#This Row],[Ret-Act-RU]]</f>
        <v>473914.26</v>
      </c>
      <c r="W1346" s="36" t="str">
        <f>IF(DaybyDay[[#This Row],[_Space]],IFERROR(
((DaybyDay[[#This Row],[Actual-Rollup]]-DaybyDay[[#This Row],[Budget-Rollup]])/DaybyDay[[#This Row],[Budget-Rollup]]),0),"")</f>
        <v/>
      </c>
      <c r="X1346" t="b">
        <f>NOT(AND(ISBLANK(DaybyDay[[#This Row],[Appts]]),ISBLANK(DaybyDay[[#This Row],[Service-Actuals]]),ISBLANK(DaybyDay[[#This Row],[Retail-Actuals]])))</f>
        <v>0</v>
      </c>
      <c r="Y1346" s="36" t="str">
        <f>IF(DaybyDay[[#This Row],[_Space]],IFERROR(
((DaybyDay[[#This Row],[Actual-Rollup]]-DaybyDay[[#This Row],[LY-Rollup]])/DaybyDay[[#This Row],[LY-Rollup]]),0),"")</f>
        <v/>
      </c>
      <c r="Z1346"/>
      <c r="AA1346" s="37" t="str">
        <f>IF(DaybyDay[[#This Row],[_Space]],DaybyDay[[#This Row],[Ret-Act-RU]]/DaybyDay[[#This Row],[Serv-Act-RU]],"")</f>
        <v/>
      </c>
      <c r="AB1346" s="50" t="str">
        <f>IF(DaybyDay[[#This Row],[_Space]],DaybyDay[[#This Row],[RETPEN-Act]]/DaybyDay[[#This Row],[RETPEN-Bud]],"")</f>
        <v/>
      </c>
      <c r="AC1346" s="37" t="str">
        <f>IF(DaybyDay[[#This Row],[_Space]],DaybyDay[[#This Row],[Ret-Bud-RU]]/DaybyDay[[#This Row],[Serv-Bud-RU]],"")</f>
        <v/>
      </c>
      <c r="AD1346" s="37" t="str">
        <f>IF(DaybyDay[[#This Row],[_Space]],DaybyDay[[#This Row],[Ret-LY-RU]]/DaybyDay[[#This Row],[Serv-LY-RU]],"")</f>
        <v/>
      </c>
      <c r="AE1346" s="30">
        <f>WEEKDAY(DaybyDay[[#This Row],[LY-Date]])</f>
        <v>3</v>
      </c>
      <c r="AF1346" s="38">
        <f>$E$2+_xlfn.DAYS(DaybyDay[[#This Row],[Date]],minDate)</f>
        <v>43711</v>
      </c>
      <c r="AG1346" s="39" cm="1">
        <f t="array" ref="AG1346">IFERROR(INDEX(DaybyDay[],DaybyDay[[#This Row],[FORM_MATCH_HELPER]],8),"")</f>
        <v>10</v>
      </c>
      <c r="AH1346" s="39" cm="1">
        <f t="array" ref="AH1346">IFERROR(INDEX(DaybyDay[],DaybyDay[[#This Row],[FORM_MATCH_HELPER]],10),"")</f>
        <v>2413.1999999999998</v>
      </c>
      <c r="AI1346" s="39" cm="1">
        <f t="array" ref="AI1346">IFERROR(INDEX(DaybyDay[],DaybyDay[[#This Row],[FORM_MATCH_HELPER]],12),"")</f>
        <v>2565.25</v>
      </c>
      <c r="AJ1346" s="32">
        <f>IFERROR(DaybyDay[[#This Row],[Serv-LY-RU]]+DaybyDay[[#This Row],[Ret-LY-RU]],"")</f>
        <v>1461455.0609999986</v>
      </c>
      <c r="AK13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1452379.8447807226</v>
      </c>
      <c r="AL1346" s="77"/>
      <c r="AM1346" s="40" t="str">
        <f>IF(DaybyDay[[#This Row],[Admin Hours]]&gt;0,DaybyDay[[#This Row],[Admin Hours]]*$AM$2+$AM$3,"")</f>
        <v/>
      </c>
      <c r="AN1346" s="40">
        <f>SUMIFS(DaybyDay[Est-Admin-Payroll],DaybyDay[Date],"&gt;="&amp;$C$5,DaybyDay[RowYear],"&gt;="&amp;$C$4,DaybyDay[Date],"&lt;="&amp;DaybyDay[[#This Row],[Date]])</f>
        <v>13941.779999999997</v>
      </c>
      <c r="AO1346" s="41" t="str">
        <f>IF(AND(DaybyDay[[#This Row],[_Space]],ISNUMBER(DaybyDay[[#This Row],[Admin Hours]])),DaybyDay[[#This Row],[Est-Admin-Payroll]]/(DaybyDay[[#This Row],[Service-Actuals]]+DaybyDay[[#This Row],[Retail-Actuals]]),"")</f>
        <v/>
      </c>
      <c r="AP1346" s="41">
        <f>DaybyDay[[#This Row],[Estimated-Payroll-Rollup]]/DaybyDay[[#This Row],[Simple-Forecast]]</f>
        <v>9.5992656811516811E-3</v>
      </c>
      <c r="AQ13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283165.82517113636</v>
      </c>
      <c r="AR1346" s="77"/>
      <c r="AS1346" s="40" t="str">
        <f>IF(DaybyDay[[#This Row],[Retail Hours]]&gt;0,DaybyDay[[#This Row],[Retail Hours]]*$AS$2,"")</f>
        <v/>
      </c>
      <c r="AT1346" s="40">
        <f>SUMIFS(DaybyDay[Est-Retail-Payroll],DaybyDay[Date],"&gt;="&amp;$C$5,DaybyDay[RowYear],"&gt;="&amp;$C$4,DaybyDay[Date],"&lt;="&amp;DaybyDay[[#This Row],[Date]])</f>
        <v>2627.1</v>
      </c>
      <c r="AU1346" s="82" t="str">
        <f>IF(AND(DaybyDay[[#This Row],[_Space]],ISNUMBER(DaybyDay[[#This Row],[Retail Hours]])),DaybyDay[[#This Row],[Est-Retail-Payroll]]/(DaybyDay[[#This Row],[Retail-Actuals]]),"")</f>
        <v/>
      </c>
      <c r="AV1346" s="82">
        <f>DaybyDay[[#This Row],[Est-Retail-PayrollRU]]/DaybyDay[[#This Row],[Simple-Forecast-Retail]]</f>
        <v>9.2776026146949922E-3</v>
      </c>
      <c r="AW1346" s="8"/>
      <c r="AX1346" s="15"/>
      <c r="AY1346" s="8"/>
    </row>
    <row r="1347" spans="3:51" hidden="1" x14ac:dyDescent="0.25">
      <c r="C1347" s="26" t="str">
        <f>Tools!$C$1</f>
        <v>Example</v>
      </c>
      <c r="D1347" s="27" t="s">
        <v>76</v>
      </c>
      <c r="E1347" s="28">
        <v>2020</v>
      </c>
      <c r="F1347" s="28">
        <f>MATCH(DaybyDay[[#This Row],[RowMonth]],Table3[SummaryMonth],0)</f>
        <v>9</v>
      </c>
      <c r="G1347" s="29">
        <f>MATCH(DaybyDay[[#This Row],[LY-Date]],DaybyDay[Date],0)</f>
        <v>977</v>
      </c>
      <c r="H1347" s="30">
        <f>WEEKDAY(DaybyDay[[#This Row],[Date]])</f>
        <v>4</v>
      </c>
      <c r="I1347" s="31">
        <v>44076</v>
      </c>
      <c r="J1347" s="74"/>
      <c r="K1347" s="32">
        <f>SUMIFS(BudgetSeasonality[365 Seasonality],BudgetSeasonality[MonthAdjustment],DaybyDay[[#This Row],[Date]])*SUMIFS(Budgets[Service-Budget],Budgets[BudgetMonth],DaybyDay[[#This Row],[RowMonth]],Budgets[BudgetYear],DaybyDay[[#This Row],[RowYear]])</f>
        <v>4395.4850815112322</v>
      </c>
      <c r="L1347" s="75"/>
      <c r="M1347" s="32">
        <f>INDEX(BudgetSeasonality[365 Seasonality],MATCH(DaybyDay[[#This Row],[Date]],BudgetSeasonality[MonthAdjustment],0))*SUMIFS(Budgets[Retail-Budget],Budgets[BudgetMonth],DaybyDay[[#This Row],[RowMonth]],Budgets[BudgetYear],DaybyDay[[#This Row],[RowYear]])</f>
        <v>1375.9017496156982</v>
      </c>
      <c r="N1347" s="75"/>
      <c r="O1347" s="33">
        <f>SUMIFS(DaybyDay[Service-Budgets],DaybyDay[Date],"&gt;="&amp;$C$5,DaybyDay[RowYear],"&gt;="&amp;$C$4,DaybyDay[Date],"&lt;="&amp;DaybyDay[[#This Row],[Date]])</f>
        <v>1304813.0467160346</v>
      </c>
      <c r="P1347" s="33">
        <f>SUMIFS(DaybyDay[Retail-Budgets],DaybyDay[Date],"&gt;="&amp;$C$5,DaybyDay[RowYear],"&gt;="&amp;$C$4,DaybyDay[Date],"&lt;="&amp;DaybyDay[[#This Row],[Date]])</f>
        <v>328165.87225837394</v>
      </c>
      <c r="Q1347" s="34">
        <f>SUMIFS(DaybyDay[Service-Actuals],DaybyDay[Date],"&gt;="&amp;$C$5,DaybyDay[RowYear],"&gt;="&amp;$C$4,DaybyDay[Date],"&lt;="&amp;DaybyDay[[#This Row],[Date]])</f>
        <v>385554.23</v>
      </c>
      <c r="R1347" s="34">
        <f>SUMIFS(DaybyDay[Retail-Actuals],DaybyDay[Date],"&gt;="&amp;$C$5,DaybyDay[RowYear],"&gt;="&amp;$C$4,DaybyDay[Date],"&lt;="&amp;DaybyDay[[#This Row],[Date]])</f>
        <v>88360.030000000028</v>
      </c>
      <c r="S1347" s="35">
        <f>SUMIFS(DaybyDay[Service-LY],DaybyDay[Date],"&gt;="&amp;$C$5,DaybyDay[RowYear],"&gt;="&amp;$C$4,DaybyDay[Date],"&lt;="&amp;DaybyDay[[#This Row],[Date]])</f>
        <v>1184322.9909999988</v>
      </c>
      <c r="T1347" s="35">
        <f>SUMIFS(DaybyDay[Retail-LY],DaybyDay[Date],"&gt;="&amp;$C$5,DaybyDay[RowYear],"&gt;="&amp;$C$4,DaybyDay[Date],"&lt;="&amp;DaybyDay[[#This Row],[Date]])</f>
        <v>284223.67</v>
      </c>
      <c r="U1347" s="32">
        <f>DaybyDay[[#This Row],[Serv-Bud-RU]]+DaybyDay[[#This Row],[Ret-Bud-RU]]</f>
        <v>1632978.9189744086</v>
      </c>
      <c r="V1347" s="32">
        <f>DaybyDay[[#This Row],[Serv-Act-RU]]+DaybyDay[[#This Row],[Ret-Act-RU]]</f>
        <v>473914.26</v>
      </c>
      <c r="W1347" s="36" t="str">
        <f>IF(DaybyDay[[#This Row],[_Space]],IFERROR(
((DaybyDay[[#This Row],[Actual-Rollup]]-DaybyDay[[#This Row],[Budget-Rollup]])/DaybyDay[[#This Row],[Budget-Rollup]]),0),"")</f>
        <v/>
      </c>
      <c r="X1347" t="b">
        <f>NOT(AND(ISBLANK(DaybyDay[[#This Row],[Appts]]),ISBLANK(DaybyDay[[#This Row],[Service-Actuals]]),ISBLANK(DaybyDay[[#This Row],[Retail-Actuals]])))</f>
        <v>0</v>
      </c>
      <c r="Y1347" s="36" t="str">
        <f>IF(DaybyDay[[#This Row],[_Space]],IFERROR(
((DaybyDay[[#This Row],[Actual-Rollup]]-DaybyDay[[#This Row],[LY-Rollup]])/DaybyDay[[#This Row],[LY-Rollup]]),0),"")</f>
        <v/>
      </c>
      <c r="Z1347"/>
      <c r="AA1347" s="37" t="str">
        <f>IF(DaybyDay[[#This Row],[_Space]],DaybyDay[[#This Row],[Ret-Act-RU]]/DaybyDay[[#This Row],[Serv-Act-RU]],"")</f>
        <v/>
      </c>
      <c r="AB1347" s="50" t="str">
        <f>IF(DaybyDay[[#This Row],[_Space]],DaybyDay[[#This Row],[RETPEN-Act]]/DaybyDay[[#This Row],[RETPEN-Bud]],"")</f>
        <v/>
      </c>
      <c r="AC1347" s="37" t="str">
        <f>IF(DaybyDay[[#This Row],[_Space]],DaybyDay[[#This Row],[Ret-Bud-RU]]/DaybyDay[[#This Row],[Serv-Bud-RU]],"")</f>
        <v/>
      </c>
      <c r="AD1347" s="37" t="str">
        <f>IF(DaybyDay[[#This Row],[_Space]],DaybyDay[[#This Row],[Ret-LY-RU]]/DaybyDay[[#This Row],[Serv-LY-RU]],"")</f>
        <v/>
      </c>
      <c r="AE1347" s="30">
        <f>WEEKDAY(DaybyDay[[#This Row],[LY-Date]])</f>
        <v>4</v>
      </c>
      <c r="AF1347" s="38">
        <f>$E$2+_xlfn.DAYS(DaybyDay[[#This Row],[Date]],minDate)</f>
        <v>43712</v>
      </c>
      <c r="AG1347" s="39" cm="1">
        <f t="array" ref="AG1347">IFERROR(INDEX(DaybyDay[],DaybyDay[[#This Row],[FORM_MATCH_HELPER]],8),"")</f>
        <v>28</v>
      </c>
      <c r="AH1347" s="39" cm="1">
        <f t="array" ref="AH1347">IFERROR(INDEX(DaybyDay[],DaybyDay[[#This Row],[FORM_MATCH_HELPER]],10),"")</f>
        <v>5977.6</v>
      </c>
      <c r="AI1347" s="39" cm="1">
        <f t="array" ref="AI1347">IFERROR(INDEX(DaybyDay[],DaybyDay[[#This Row],[FORM_MATCH_HELPER]],12),"")</f>
        <v>1114</v>
      </c>
      <c r="AJ1347" s="32">
        <f>IFERROR(DaybyDay[[#This Row],[Serv-LY-RU]]+DaybyDay[[#This Row],[Ret-LY-RU]],"")</f>
        <v>1468546.6609999987</v>
      </c>
      <c r="AK13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1458331.1972596264</v>
      </c>
      <c r="AL1347" s="77"/>
      <c r="AM1347" s="40" t="str">
        <f>IF(DaybyDay[[#This Row],[Admin Hours]]&gt;0,DaybyDay[[#This Row],[Admin Hours]]*$AM$2+$AM$3,"")</f>
        <v/>
      </c>
      <c r="AN1347" s="40">
        <f>SUMIFS(DaybyDay[Est-Admin-Payroll],DaybyDay[Date],"&gt;="&amp;$C$5,DaybyDay[RowYear],"&gt;="&amp;$C$4,DaybyDay[Date],"&lt;="&amp;DaybyDay[[#This Row],[Date]])</f>
        <v>13941.779999999997</v>
      </c>
      <c r="AO1347" s="41" t="str">
        <f>IF(AND(DaybyDay[[#This Row],[_Space]],ISNUMBER(DaybyDay[[#This Row],[Admin Hours]])),DaybyDay[[#This Row],[Est-Admin-Payroll]]/(DaybyDay[[#This Row],[Service-Actuals]]+DaybyDay[[#This Row],[Retail-Actuals]]),"")</f>
        <v/>
      </c>
      <c r="AP1347" s="41">
        <f>DaybyDay[[#This Row],[Estimated-Payroll-Rollup]]/DaybyDay[[#This Row],[Simple-Forecast]]</f>
        <v>9.5600917172986629E-3</v>
      </c>
      <c r="AQ13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284300.32175300072</v>
      </c>
      <c r="AR1347" s="77"/>
      <c r="AS1347" s="40" t="str">
        <f>IF(DaybyDay[[#This Row],[Retail Hours]]&gt;0,DaybyDay[[#This Row],[Retail Hours]]*$AS$2,"")</f>
        <v/>
      </c>
      <c r="AT1347" s="40">
        <f>SUMIFS(DaybyDay[Est-Retail-Payroll],DaybyDay[Date],"&gt;="&amp;$C$5,DaybyDay[RowYear],"&gt;="&amp;$C$4,DaybyDay[Date],"&lt;="&amp;DaybyDay[[#This Row],[Date]])</f>
        <v>2627.1</v>
      </c>
      <c r="AU1347" s="82" t="str">
        <f>IF(AND(DaybyDay[[#This Row],[_Space]],ISNUMBER(DaybyDay[[#This Row],[Retail Hours]])),DaybyDay[[#This Row],[Est-Retail-Payroll]]/(DaybyDay[[#This Row],[Retail-Actuals]]),"")</f>
        <v/>
      </c>
      <c r="AV1347" s="82">
        <f>DaybyDay[[#This Row],[Est-Retail-PayrollRU]]/DaybyDay[[#This Row],[Simple-Forecast-Retail]]</f>
        <v>9.2405804671667462E-3</v>
      </c>
      <c r="AW1347" s="8"/>
      <c r="AX1347" s="15"/>
      <c r="AY1347" s="8"/>
    </row>
    <row r="1348" spans="3:51" hidden="1" x14ac:dyDescent="0.25">
      <c r="C1348" s="26" t="str">
        <f>Tools!$C$1</f>
        <v>Example</v>
      </c>
      <c r="D1348" s="27" t="s">
        <v>76</v>
      </c>
      <c r="E1348" s="28">
        <v>2020</v>
      </c>
      <c r="F1348" s="28">
        <f>MATCH(DaybyDay[[#This Row],[RowMonth]],Table3[SummaryMonth],0)</f>
        <v>9</v>
      </c>
      <c r="G1348" s="29">
        <f>MATCH(DaybyDay[[#This Row],[LY-Date]],DaybyDay[Date],0)</f>
        <v>978</v>
      </c>
      <c r="H1348" s="30">
        <f>WEEKDAY(DaybyDay[[#This Row],[Date]])</f>
        <v>5</v>
      </c>
      <c r="I1348" s="31">
        <v>44077</v>
      </c>
      <c r="J1348" s="74"/>
      <c r="K1348" s="32">
        <f>SUMIFS(BudgetSeasonality[365 Seasonality],BudgetSeasonality[MonthAdjustment],DaybyDay[[#This Row],[Date]])*SUMIFS(Budgets[Service-Budget],Budgets[BudgetMonth],DaybyDay[[#This Row],[RowMonth]],Budgets[BudgetYear],DaybyDay[[#This Row],[RowYear]])</f>
        <v>4511.6957974448969</v>
      </c>
      <c r="L1348" s="75"/>
      <c r="M1348" s="32">
        <f>INDEX(BudgetSeasonality[365 Seasonality],MATCH(DaybyDay[[#This Row],[Date]],BudgetSeasonality[MonthAdjustment],0))*SUMIFS(Budgets[Retail-Budget],Budgets[BudgetMonth],DaybyDay[[#This Row],[RowMonth]],Budgets[BudgetYear],DaybyDay[[#This Row],[RowYear]])</f>
        <v>1412.2787420095044</v>
      </c>
      <c r="N1348" s="75"/>
      <c r="O1348" s="33">
        <f>SUMIFS(DaybyDay[Service-Budgets],DaybyDay[Date],"&gt;="&amp;$C$5,DaybyDay[RowYear],"&gt;="&amp;$C$4,DaybyDay[Date],"&lt;="&amp;DaybyDay[[#This Row],[Date]])</f>
        <v>1309324.7425134794</v>
      </c>
      <c r="P1348" s="33">
        <f>SUMIFS(DaybyDay[Retail-Budgets],DaybyDay[Date],"&gt;="&amp;$C$5,DaybyDay[RowYear],"&gt;="&amp;$C$4,DaybyDay[Date],"&lt;="&amp;DaybyDay[[#This Row],[Date]])</f>
        <v>329578.15100038343</v>
      </c>
      <c r="Q1348" s="34">
        <f>SUMIFS(DaybyDay[Service-Actuals],DaybyDay[Date],"&gt;="&amp;$C$5,DaybyDay[RowYear],"&gt;="&amp;$C$4,DaybyDay[Date],"&lt;="&amp;DaybyDay[[#This Row],[Date]])</f>
        <v>385554.23</v>
      </c>
      <c r="R1348" s="34">
        <f>SUMIFS(DaybyDay[Retail-Actuals],DaybyDay[Date],"&gt;="&amp;$C$5,DaybyDay[RowYear],"&gt;="&amp;$C$4,DaybyDay[Date],"&lt;="&amp;DaybyDay[[#This Row],[Date]])</f>
        <v>88360.030000000028</v>
      </c>
      <c r="S1348" s="35">
        <f>SUMIFS(DaybyDay[Service-LY],DaybyDay[Date],"&gt;="&amp;$C$5,DaybyDay[RowYear],"&gt;="&amp;$C$4,DaybyDay[Date],"&lt;="&amp;DaybyDay[[#This Row],[Date]])</f>
        <v>1187349.1609999987</v>
      </c>
      <c r="T1348" s="35">
        <f>SUMIFS(DaybyDay[Retail-LY],DaybyDay[Date],"&gt;="&amp;$C$5,DaybyDay[RowYear],"&gt;="&amp;$C$4,DaybyDay[Date],"&lt;="&amp;DaybyDay[[#This Row],[Date]])</f>
        <v>286046.96999999997</v>
      </c>
      <c r="U1348" s="32">
        <f>DaybyDay[[#This Row],[Serv-Bud-RU]]+DaybyDay[[#This Row],[Ret-Bud-RU]]</f>
        <v>1638902.893513863</v>
      </c>
      <c r="V1348" s="32">
        <f>DaybyDay[[#This Row],[Serv-Act-RU]]+DaybyDay[[#This Row],[Ret-Act-RU]]</f>
        <v>473914.26</v>
      </c>
      <c r="W1348" s="36" t="str">
        <f>IF(DaybyDay[[#This Row],[_Space]],IFERROR(
((DaybyDay[[#This Row],[Actual-Rollup]]-DaybyDay[[#This Row],[Budget-Rollup]])/DaybyDay[[#This Row],[Budget-Rollup]]),0),"")</f>
        <v/>
      </c>
      <c r="X1348" t="b">
        <f>NOT(AND(ISBLANK(DaybyDay[[#This Row],[Appts]]),ISBLANK(DaybyDay[[#This Row],[Service-Actuals]]),ISBLANK(DaybyDay[[#This Row],[Retail-Actuals]])))</f>
        <v>0</v>
      </c>
      <c r="Y1348" s="36" t="str">
        <f>IF(DaybyDay[[#This Row],[_Space]],IFERROR(
((DaybyDay[[#This Row],[Actual-Rollup]]-DaybyDay[[#This Row],[LY-Rollup]])/DaybyDay[[#This Row],[LY-Rollup]]),0),"")</f>
        <v/>
      </c>
      <c r="Z1348"/>
      <c r="AA1348" s="37" t="str">
        <f>IF(DaybyDay[[#This Row],[_Space]],DaybyDay[[#This Row],[Ret-Act-RU]]/DaybyDay[[#This Row],[Serv-Act-RU]],"")</f>
        <v/>
      </c>
      <c r="AB1348" s="50" t="str">
        <f>IF(DaybyDay[[#This Row],[_Space]],DaybyDay[[#This Row],[RETPEN-Act]]/DaybyDay[[#This Row],[RETPEN-Bud]],"")</f>
        <v/>
      </c>
      <c r="AC1348" s="37" t="str">
        <f>IF(DaybyDay[[#This Row],[_Space]],DaybyDay[[#This Row],[Ret-Bud-RU]]/DaybyDay[[#This Row],[Serv-Bud-RU]],"")</f>
        <v/>
      </c>
      <c r="AD1348" s="37" t="str">
        <f>IF(DaybyDay[[#This Row],[_Space]],DaybyDay[[#This Row],[Ret-LY-RU]]/DaybyDay[[#This Row],[Serv-LY-RU]],"")</f>
        <v/>
      </c>
      <c r="AE1348" s="30">
        <f>WEEKDAY(DaybyDay[[#This Row],[LY-Date]])</f>
        <v>5</v>
      </c>
      <c r="AF1348" s="38">
        <f>$E$2+_xlfn.DAYS(DaybyDay[[#This Row],[Date]],minDate)</f>
        <v>43713</v>
      </c>
      <c r="AG1348" s="39" cm="1">
        <f t="array" ref="AG1348">IFERROR(INDEX(DaybyDay[],DaybyDay[[#This Row],[FORM_MATCH_HELPER]],8),"")</f>
        <v>17</v>
      </c>
      <c r="AH1348" s="39" cm="1">
        <f t="array" ref="AH1348">IFERROR(INDEX(DaybyDay[],DaybyDay[[#This Row],[FORM_MATCH_HELPER]],10),"")</f>
        <v>3026.17</v>
      </c>
      <c r="AI1348" s="39" cm="1">
        <f t="array" ref="AI1348">IFERROR(INDEX(DaybyDay[],DaybyDay[[#This Row],[FORM_MATCH_HELPER]],12),"")</f>
        <v>1823.3</v>
      </c>
      <c r="AJ1348" s="32">
        <f>IFERROR(DaybyDay[[#This Row],[Serv-LY-RU]]+DaybyDay[[#This Row],[Ret-LY-RU]],"")</f>
        <v>1473396.1309999987</v>
      </c>
      <c r="AK13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1463241.9866606658</v>
      </c>
      <c r="AL1348" s="77"/>
      <c r="AM1348" s="40" t="str">
        <f>IF(DaybyDay[[#This Row],[Admin Hours]]&gt;0,DaybyDay[[#This Row],[Admin Hours]]*$AM$2+$AM$3,"")</f>
        <v/>
      </c>
      <c r="AN1348" s="40">
        <f>SUMIFS(DaybyDay[Est-Admin-Payroll],DaybyDay[Date],"&gt;="&amp;$C$5,DaybyDay[RowYear],"&gt;="&amp;$C$4,DaybyDay[Date],"&lt;="&amp;DaybyDay[[#This Row],[Date]])</f>
        <v>13941.779999999997</v>
      </c>
      <c r="AO1348" s="41" t="str">
        <f>IF(AND(DaybyDay[[#This Row],[_Space]],ISNUMBER(DaybyDay[[#This Row],[Admin Hours]])),DaybyDay[[#This Row],[Est-Admin-Payroll]]/(DaybyDay[[#This Row],[Service-Actuals]]+DaybyDay[[#This Row],[Retail-Actuals]]),"")</f>
        <v/>
      </c>
      <c r="AP1348" s="41">
        <f>DaybyDay[[#This Row],[Estimated-Payroll-Rollup]]/DaybyDay[[#This Row],[Simple-Forecast]]</f>
        <v>9.5280070740843062E-3</v>
      </c>
      <c r="AQ13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285800.00701955979</v>
      </c>
      <c r="AR1348" s="77"/>
      <c r="AS1348" s="40" t="str">
        <f>IF(DaybyDay[[#This Row],[Retail Hours]]&gt;0,DaybyDay[[#This Row],[Retail Hours]]*$AS$2,"")</f>
        <v/>
      </c>
      <c r="AT1348" s="40">
        <f>SUMIFS(DaybyDay[Est-Retail-Payroll],DaybyDay[Date],"&gt;="&amp;$C$5,DaybyDay[RowYear],"&gt;="&amp;$C$4,DaybyDay[Date],"&lt;="&amp;DaybyDay[[#This Row],[Date]])</f>
        <v>2627.1</v>
      </c>
      <c r="AU1348" s="82" t="str">
        <f>IF(AND(DaybyDay[[#This Row],[_Space]],ISNUMBER(DaybyDay[[#This Row],[Retail Hours]])),DaybyDay[[#This Row],[Est-Retail-Payroll]]/(DaybyDay[[#This Row],[Retail-Actuals]]),"")</f>
        <v/>
      </c>
      <c r="AV1348" s="82">
        <f>DaybyDay[[#This Row],[Est-Retail-PayrollRU]]/DaybyDay[[#This Row],[Simple-Forecast-Retail]]</f>
        <v>9.1920921465205013E-3</v>
      </c>
      <c r="AW1348" s="8"/>
      <c r="AX1348" s="15"/>
      <c r="AY1348" s="8"/>
    </row>
    <row r="1349" spans="3:51" hidden="1" x14ac:dyDescent="0.25">
      <c r="C1349" s="26" t="str">
        <f>Tools!$C$1</f>
        <v>Example</v>
      </c>
      <c r="D1349" s="27" t="s">
        <v>76</v>
      </c>
      <c r="E1349" s="28">
        <v>2020</v>
      </c>
      <c r="F1349" s="28">
        <f>MATCH(DaybyDay[[#This Row],[RowMonth]],Table3[SummaryMonth],0)</f>
        <v>9</v>
      </c>
      <c r="G1349" s="29">
        <f>MATCH(DaybyDay[[#This Row],[LY-Date]],DaybyDay[Date],0)</f>
        <v>979</v>
      </c>
      <c r="H1349" s="30">
        <f>WEEKDAY(DaybyDay[[#This Row],[Date]])</f>
        <v>6</v>
      </c>
      <c r="I1349" s="31">
        <v>44078</v>
      </c>
      <c r="J1349" s="74"/>
      <c r="K1349" s="32">
        <f>SUMIFS(BudgetSeasonality[365 Seasonality],BudgetSeasonality[MonthAdjustment],DaybyDay[[#This Row],[Date]])*SUMIFS(Budgets[Service-Budget],Budgets[BudgetMonth],DaybyDay[[#This Row],[RowMonth]],Budgets[BudgetYear],DaybyDay[[#This Row],[RowYear]])</f>
        <v>5627.1651764362514</v>
      </c>
      <c r="L1349" s="75"/>
      <c r="M1349" s="32">
        <f>INDEX(BudgetSeasonality[365 Seasonality],MATCH(DaybyDay[[#This Row],[Date]],BudgetSeasonality[MonthAdjustment],0))*SUMIFS(Budgets[Retail-Budget],Budgets[BudgetMonth],DaybyDay[[#This Row],[RowMonth]],Budgets[BudgetYear],DaybyDay[[#This Row],[RowYear]])</f>
        <v>1761.449821363791</v>
      </c>
      <c r="N1349" s="75"/>
      <c r="O1349" s="33">
        <f>SUMIFS(DaybyDay[Service-Budgets],DaybyDay[Date],"&gt;="&amp;$C$5,DaybyDay[RowYear],"&gt;="&amp;$C$4,DaybyDay[Date],"&lt;="&amp;DaybyDay[[#This Row],[Date]])</f>
        <v>1314951.9076899157</v>
      </c>
      <c r="P1349" s="33">
        <f>SUMIFS(DaybyDay[Retail-Budgets],DaybyDay[Date],"&gt;="&amp;$C$5,DaybyDay[RowYear],"&gt;="&amp;$C$4,DaybyDay[Date],"&lt;="&amp;DaybyDay[[#This Row],[Date]])</f>
        <v>331339.60082174721</v>
      </c>
      <c r="Q1349" s="34">
        <f>SUMIFS(DaybyDay[Service-Actuals],DaybyDay[Date],"&gt;="&amp;$C$5,DaybyDay[RowYear],"&gt;="&amp;$C$4,DaybyDay[Date],"&lt;="&amp;DaybyDay[[#This Row],[Date]])</f>
        <v>385554.23</v>
      </c>
      <c r="R1349" s="34">
        <f>SUMIFS(DaybyDay[Retail-Actuals],DaybyDay[Date],"&gt;="&amp;$C$5,DaybyDay[RowYear],"&gt;="&amp;$C$4,DaybyDay[Date],"&lt;="&amp;DaybyDay[[#This Row],[Date]])</f>
        <v>88360.030000000028</v>
      </c>
      <c r="S1349" s="35">
        <f>SUMIFS(DaybyDay[Service-LY],DaybyDay[Date],"&gt;="&amp;$C$5,DaybyDay[RowYear],"&gt;="&amp;$C$4,DaybyDay[Date],"&lt;="&amp;DaybyDay[[#This Row],[Date]])</f>
        <v>1192199.7609999988</v>
      </c>
      <c r="T1349" s="35">
        <f>SUMIFS(DaybyDay[Retail-LY],DaybyDay[Date],"&gt;="&amp;$C$5,DaybyDay[RowYear],"&gt;="&amp;$C$4,DaybyDay[Date],"&lt;="&amp;DaybyDay[[#This Row],[Date]])</f>
        <v>286480.87</v>
      </c>
      <c r="U1349" s="32">
        <f>DaybyDay[[#This Row],[Serv-Bud-RU]]+DaybyDay[[#This Row],[Ret-Bud-RU]]</f>
        <v>1646291.5085116629</v>
      </c>
      <c r="V1349" s="32">
        <f>DaybyDay[[#This Row],[Serv-Act-RU]]+DaybyDay[[#This Row],[Ret-Act-RU]]</f>
        <v>473914.26</v>
      </c>
      <c r="W1349" s="36" t="str">
        <f>IF(DaybyDay[[#This Row],[_Space]],IFERROR(
((DaybyDay[[#This Row],[Actual-Rollup]]-DaybyDay[[#This Row],[Budget-Rollup]])/DaybyDay[[#This Row],[Budget-Rollup]]),0),"")</f>
        <v/>
      </c>
      <c r="X1349" t="b">
        <f>NOT(AND(ISBLANK(DaybyDay[[#This Row],[Appts]]),ISBLANK(DaybyDay[[#This Row],[Service-Actuals]]),ISBLANK(DaybyDay[[#This Row],[Retail-Actuals]])))</f>
        <v>0</v>
      </c>
      <c r="Y1349" s="36" t="str">
        <f>IF(DaybyDay[[#This Row],[_Space]],IFERROR(
((DaybyDay[[#This Row],[Actual-Rollup]]-DaybyDay[[#This Row],[LY-Rollup]])/DaybyDay[[#This Row],[LY-Rollup]]),0),"")</f>
        <v/>
      </c>
      <c r="Z1349"/>
      <c r="AA1349" s="37" t="str">
        <f>IF(DaybyDay[[#This Row],[_Space]],DaybyDay[[#This Row],[Ret-Act-RU]]/DaybyDay[[#This Row],[Serv-Act-RU]],"")</f>
        <v/>
      </c>
      <c r="AB1349" s="50" t="str">
        <f>IF(DaybyDay[[#This Row],[_Space]],DaybyDay[[#This Row],[RETPEN-Act]]/DaybyDay[[#This Row],[RETPEN-Bud]],"")</f>
        <v/>
      </c>
      <c r="AC1349" s="37" t="str">
        <f>IF(DaybyDay[[#This Row],[_Space]],DaybyDay[[#This Row],[Ret-Bud-RU]]/DaybyDay[[#This Row],[Serv-Bud-RU]],"")</f>
        <v/>
      </c>
      <c r="AD1349" s="37" t="str">
        <f>IF(DaybyDay[[#This Row],[_Space]],DaybyDay[[#This Row],[Ret-LY-RU]]/DaybyDay[[#This Row],[Serv-LY-RU]],"")</f>
        <v/>
      </c>
      <c r="AE1349" s="30">
        <f>WEEKDAY(DaybyDay[[#This Row],[LY-Date]])</f>
        <v>6</v>
      </c>
      <c r="AF1349" s="38">
        <f>$E$2+_xlfn.DAYS(DaybyDay[[#This Row],[Date]],minDate)</f>
        <v>43714</v>
      </c>
      <c r="AG1349" s="39" cm="1">
        <f t="array" ref="AG1349">IFERROR(INDEX(DaybyDay[],DaybyDay[[#This Row],[FORM_MATCH_HELPER]],8),"")</f>
        <v>25</v>
      </c>
      <c r="AH1349" s="39" cm="1">
        <f t="array" ref="AH1349">IFERROR(INDEX(DaybyDay[],DaybyDay[[#This Row],[FORM_MATCH_HELPER]],10),"")</f>
        <v>4850.6000000000004</v>
      </c>
      <c r="AI1349" s="39" cm="1">
        <f t="array" ref="AI1349">IFERROR(INDEX(DaybyDay[],DaybyDay[[#This Row],[FORM_MATCH_HELPER]],12),"")</f>
        <v>433.9</v>
      </c>
      <c r="AJ1349" s="32">
        <f>IFERROR(DaybyDay[[#This Row],[Serv-LY-RU]]+DaybyDay[[#This Row],[Ret-LY-RU]],"")</f>
        <v>1478680.6309999987</v>
      </c>
      <c r="AK13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1468990.2565257135</v>
      </c>
      <c r="AL1349" s="77"/>
      <c r="AM1349" s="40" t="str">
        <f>IF(DaybyDay[[#This Row],[Admin Hours]]&gt;0,DaybyDay[[#This Row],[Admin Hours]]*$AM$2+$AM$3,"")</f>
        <v/>
      </c>
      <c r="AN1349" s="40">
        <f>SUMIFS(DaybyDay[Est-Admin-Payroll],DaybyDay[Date],"&gt;="&amp;$C$5,DaybyDay[RowYear],"&gt;="&amp;$C$4,DaybyDay[Date],"&lt;="&amp;DaybyDay[[#This Row],[Date]])</f>
        <v>13941.779999999997</v>
      </c>
      <c r="AO1349" s="41" t="str">
        <f>IF(AND(DaybyDay[[#This Row],[_Space]],ISNUMBER(DaybyDay[[#This Row],[Admin Hours]])),DaybyDay[[#This Row],[Est-Admin-Payroll]]/(DaybyDay[[#This Row],[Service-Actuals]]+DaybyDay[[#This Row],[Retail-Actuals]]),"")</f>
        <v/>
      </c>
      <c r="AP1349" s="41">
        <f>DaybyDay[[#This Row],[Estimated-Payroll-Rollup]]/DaybyDay[[#This Row],[Simple-Forecast]]</f>
        <v>9.4907232625037891E-3</v>
      </c>
      <c r="AQ13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286763.17963660834</v>
      </c>
      <c r="AR1349" s="77"/>
      <c r="AS1349" s="40" t="str">
        <f>IF(DaybyDay[[#This Row],[Retail Hours]]&gt;0,DaybyDay[[#This Row],[Retail Hours]]*$AS$2,"")</f>
        <v/>
      </c>
      <c r="AT1349" s="40">
        <f>SUMIFS(DaybyDay[Est-Retail-Payroll],DaybyDay[Date],"&gt;="&amp;$C$5,DaybyDay[RowYear],"&gt;="&amp;$C$4,DaybyDay[Date],"&lt;="&amp;DaybyDay[[#This Row],[Date]])</f>
        <v>2627.1</v>
      </c>
      <c r="AU1349" s="82" t="str">
        <f>IF(AND(DaybyDay[[#This Row],[_Space]],ISNUMBER(DaybyDay[[#This Row],[Retail Hours]])),DaybyDay[[#This Row],[Est-Retail-Payroll]]/(DaybyDay[[#This Row],[Retail-Actuals]]),"")</f>
        <v/>
      </c>
      <c r="AV1349" s="82">
        <f>DaybyDay[[#This Row],[Est-Retail-PayrollRU]]/DaybyDay[[#This Row],[Simple-Forecast-Retail]]</f>
        <v>9.1612179894542609E-3</v>
      </c>
      <c r="AW1349" s="8"/>
      <c r="AX1349" s="15"/>
      <c r="AY1349" s="8"/>
    </row>
    <row r="1350" spans="3:51" hidden="1" x14ac:dyDescent="0.25">
      <c r="C1350" s="26" t="str">
        <f>Tools!$C$1</f>
        <v>Example</v>
      </c>
      <c r="D1350" s="27" t="s">
        <v>76</v>
      </c>
      <c r="E1350" s="28">
        <v>2020</v>
      </c>
      <c r="F1350" s="28">
        <f>MATCH(DaybyDay[[#This Row],[RowMonth]],Table3[SummaryMonth],0)</f>
        <v>9</v>
      </c>
      <c r="G1350" s="29">
        <f>MATCH(DaybyDay[[#This Row],[LY-Date]],DaybyDay[Date],0)</f>
        <v>980</v>
      </c>
      <c r="H1350" s="30">
        <f>WEEKDAY(DaybyDay[[#This Row],[Date]])</f>
        <v>7</v>
      </c>
      <c r="I1350" s="31">
        <v>44079</v>
      </c>
      <c r="J1350" s="74"/>
      <c r="K1350" s="32">
        <f>SUMIFS(BudgetSeasonality[365 Seasonality],BudgetSeasonality[MonthAdjustment],DaybyDay[[#This Row],[Date]])*SUMIFS(Budgets[Service-Budget],Budgets[BudgetMonth],DaybyDay[[#This Row],[RowMonth]],Budgets[BudgetYear],DaybyDay[[#This Row],[RowYear]])</f>
        <v>8001.0245605779528</v>
      </c>
      <c r="L1350" s="75"/>
      <c r="M1350" s="32">
        <f>INDEX(BudgetSeasonality[365 Seasonality],MATCH(DaybyDay[[#This Row],[Date]],BudgetSeasonality[MonthAdjustment],0))*SUMIFS(Budgets[Retail-Budget],Budgets[BudgetMonth],DaybyDay[[#This Row],[RowMonth]],Budgets[BudgetYear],DaybyDay[[#This Row],[RowYear]])</f>
        <v>2504.5298726921064</v>
      </c>
      <c r="N1350" s="75"/>
      <c r="O1350" s="33">
        <f>SUMIFS(DaybyDay[Service-Budgets],DaybyDay[Date],"&gt;="&amp;$C$5,DaybyDay[RowYear],"&gt;="&amp;$C$4,DaybyDay[Date],"&lt;="&amp;DaybyDay[[#This Row],[Date]])</f>
        <v>1322952.9322504937</v>
      </c>
      <c r="P1350" s="33">
        <f>SUMIFS(DaybyDay[Retail-Budgets],DaybyDay[Date],"&gt;="&amp;$C$5,DaybyDay[RowYear],"&gt;="&amp;$C$4,DaybyDay[Date],"&lt;="&amp;DaybyDay[[#This Row],[Date]])</f>
        <v>333844.13069443934</v>
      </c>
      <c r="Q1350" s="34">
        <f>SUMIFS(DaybyDay[Service-Actuals],DaybyDay[Date],"&gt;="&amp;$C$5,DaybyDay[RowYear],"&gt;="&amp;$C$4,DaybyDay[Date],"&lt;="&amp;DaybyDay[[#This Row],[Date]])</f>
        <v>385554.23</v>
      </c>
      <c r="R1350" s="34">
        <f>SUMIFS(DaybyDay[Retail-Actuals],DaybyDay[Date],"&gt;="&amp;$C$5,DaybyDay[RowYear],"&gt;="&amp;$C$4,DaybyDay[Date],"&lt;="&amp;DaybyDay[[#This Row],[Date]])</f>
        <v>88360.030000000028</v>
      </c>
      <c r="S1350" s="35">
        <f>SUMIFS(DaybyDay[Service-LY],DaybyDay[Date],"&gt;="&amp;$C$5,DaybyDay[RowYear],"&gt;="&amp;$C$4,DaybyDay[Date],"&lt;="&amp;DaybyDay[[#This Row],[Date]])</f>
        <v>1199197.9009999987</v>
      </c>
      <c r="T1350" s="35">
        <f>SUMIFS(DaybyDay[Retail-LY],DaybyDay[Date],"&gt;="&amp;$C$5,DaybyDay[RowYear],"&gt;="&amp;$C$4,DaybyDay[Date],"&lt;="&amp;DaybyDay[[#This Row],[Date]])</f>
        <v>287226.12</v>
      </c>
      <c r="U1350" s="32">
        <f>DaybyDay[[#This Row],[Serv-Bud-RU]]+DaybyDay[[#This Row],[Ret-Bud-RU]]</f>
        <v>1656797.0629449331</v>
      </c>
      <c r="V1350" s="32">
        <f>DaybyDay[[#This Row],[Serv-Act-RU]]+DaybyDay[[#This Row],[Ret-Act-RU]]</f>
        <v>473914.26</v>
      </c>
      <c r="W1350" s="36" t="str">
        <f>IF(DaybyDay[[#This Row],[_Space]],IFERROR(
((DaybyDay[[#This Row],[Actual-Rollup]]-DaybyDay[[#This Row],[Budget-Rollup]])/DaybyDay[[#This Row],[Budget-Rollup]]),0),"")</f>
        <v/>
      </c>
      <c r="X1350" t="b">
        <f>NOT(AND(ISBLANK(DaybyDay[[#This Row],[Appts]]),ISBLANK(DaybyDay[[#This Row],[Service-Actuals]]),ISBLANK(DaybyDay[[#This Row],[Retail-Actuals]])))</f>
        <v>0</v>
      </c>
      <c r="Y1350" s="36" t="str">
        <f>IF(DaybyDay[[#This Row],[_Space]],IFERROR(
((DaybyDay[[#This Row],[Actual-Rollup]]-DaybyDay[[#This Row],[LY-Rollup]])/DaybyDay[[#This Row],[LY-Rollup]]),0),"")</f>
        <v/>
      </c>
      <c r="Z1350"/>
      <c r="AA1350" s="37" t="str">
        <f>IF(DaybyDay[[#This Row],[_Space]],DaybyDay[[#This Row],[Ret-Act-RU]]/DaybyDay[[#This Row],[Serv-Act-RU]],"")</f>
        <v/>
      </c>
      <c r="AB1350" s="50" t="str">
        <f>IF(DaybyDay[[#This Row],[_Space]],DaybyDay[[#This Row],[RETPEN-Act]]/DaybyDay[[#This Row],[RETPEN-Bud]],"")</f>
        <v/>
      </c>
      <c r="AC1350" s="37" t="str">
        <f>IF(DaybyDay[[#This Row],[_Space]],DaybyDay[[#This Row],[Ret-Bud-RU]]/DaybyDay[[#This Row],[Serv-Bud-RU]],"")</f>
        <v/>
      </c>
      <c r="AD1350" s="37" t="str">
        <f>IF(DaybyDay[[#This Row],[_Space]],DaybyDay[[#This Row],[Ret-LY-RU]]/DaybyDay[[#This Row],[Serv-LY-RU]],"")</f>
        <v/>
      </c>
      <c r="AE1350" s="30">
        <f>WEEKDAY(DaybyDay[[#This Row],[LY-Date]])</f>
        <v>7</v>
      </c>
      <c r="AF1350" s="38">
        <f>$E$2+_xlfn.DAYS(DaybyDay[[#This Row],[Date]],minDate)</f>
        <v>43715</v>
      </c>
      <c r="AG1350" s="39" cm="1">
        <f t="array" ref="AG1350">IFERROR(INDEX(DaybyDay[],DaybyDay[[#This Row],[FORM_MATCH_HELPER]],8),"")</f>
        <v>29</v>
      </c>
      <c r="AH1350" s="39" cm="1">
        <f t="array" ref="AH1350">IFERROR(INDEX(DaybyDay[],DaybyDay[[#This Row],[FORM_MATCH_HELPER]],10),"")</f>
        <v>6998.14</v>
      </c>
      <c r="AI1350" s="39" cm="1">
        <f t="array" ref="AI1350">IFERROR(INDEX(DaybyDay[],DaybyDay[[#This Row],[FORM_MATCH_HELPER]],12),"")</f>
        <v>745.25</v>
      </c>
      <c r="AJ1350" s="32">
        <f>IFERROR(DaybyDay[[#This Row],[Serv-LY-RU]]+DaybyDay[[#This Row],[Ret-LY-RU]],"")</f>
        <v>1486424.0209999988</v>
      </c>
      <c r="AK13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1477276.6706323414</v>
      </c>
      <c r="AL1350" s="77"/>
      <c r="AM1350" s="40" t="str">
        <f>IF(DaybyDay[[#This Row],[Admin Hours]]&gt;0,DaybyDay[[#This Row],[Admin Hours]]*$AM$2+$AM$3,"")</f>
        <v/>
      </c>
      <c r="AN1350" s="40">
        <f>SUMIFS(DaybyDay[Est-Admin-Payroll],DaybyDay[Date],"&gt;="&amp;$C$5,DaybyDay[RowYear],"&gt;="&amp;$C$4,DaybyDay[Date],"&lt;="&amp;DaybyDay[[#This Row],[Date]])</f>
        <v>13941.779999999997</v>
      </c>
      <c r="AO1350" s="41" t="str">
        <f>IF(AND(DaybyDay[[#This Row],[_Space]],ISNUMBER(DaybyDay[[#This Row],[Admin Hours]])),DaybyDay[[#This Row],[Est-Admin-Payroll]]/(DaybyDay[[#This Row],[Service-Actuals]]+DaybyDay[[#This Row],[Retail-Actuals]]),"")</f>
        <v/>
      </c>
      <c r="AP1350" s="41">
        <f>DaybyDay[[#This Row],[Estimated-Payroll-Rollup]]/DaybyDay[[#This Row],[Simple-Forecast]]</f>
        <v>9.4374874234169574E-3</v>
      </c>
      <c r="AQ13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288195.93393835955</v>
      </c>
      <c r="AR1350" s="77"/>
      <c r="AS1350" s="40" t="str">
        <f>IF(DaybyDay[[#This Row],[Retail Hours]]&gt;0,DaybyDay[[#This Row],[Retail Hours]]*$AS$2,"")</f>
        <v/>
      </c>
      <c r="AT1350" s="40">
        <f>SUMIFS(DaybyDay[Est-Retail-Payroll],DaybyDay[Date],"&gt;="&amp;$C$5,DaybyDay[RowYear],"&gt;="&amp;$C$4,DaybyDay[Date],"&lt;="&amp;DaybyDay[[#This Row],[Date]])</f>
        <v>2627.1</v>
      </c>
      <c r="AU1350" s="82" t="str">
        <f>IF(AND(DaybyDay[[#This Row],[_Space]],ISNUMBER(DaybyDay[[#This Row],[Retail Hours]])),DaybyDay[[#This Row],[Est-Retail-Payroll]]/(DaybyDay[[#This Row],[Retail-Actuals]]),"")</f>
        <v/>
      </c>
      <c r="AV1350" s="82">
        <f>DaybyDay[[#This Row],[Est-Retail-PayrollRU]]/DaybyDay[[#This Row],[Simple-Forecast-Retail]]</f>
        <v>9.1156733688057302E-3</v>
      </c>
      <c r="AW1350" s="8"/>
      <c r="AX1350" s="15"/>
      <c r="AY1350" s="8"/>
    </row>
    <row r="1351" spans="3:51" hidden="1" x14ac:dyDescent="0.25">
      <c r="C1351" s="26" t="str">
        <f>Tools!$C$1</f>
        <v>Example</v>
      </c>
      <c r="D1351" s="27" t="s">
        <v>76</v>
      </c>
      <c r="E1351" s="28">
        <v>2020</v>
      </c>
      <c r="F1351" s="28">
        <f>MATCH(DaybyDay[[#This Row],[RowMonth]],Table3[SummaryMonth],0)</f>
        <v>9</v>
      </c>
      <c r="G1351" s="29">
        <f>MATCH(DaybyDay[[#This Row],[LY-Date]],DaybyDay[Date],0)</f>
        <v>981</v>
      </c>
      <c r="H1351" s="30">
        <f>WEEKDAY(DaybyDay[[#This Row],[Date]])</f>
        <v>1</v>
      </c>
      <c r="I1351" s="31">
        <v>44080</v>
      </c>
      <c r="J1351" s="74"/>
      <c r="K1351" s="32">
        <f>SUMIFS(BudgetSeasonality[365 Seasonality],BudgetSeasonality[MonthAdjustment],DaybyDay[[#This Row],[Date]])*SUMIFS(Budgets[Service-Budget],Budgets[BudgetMonth],DaybyDay[[#This Row],[RowMonth]],Budgets[BudgetYear],DaybyDay[[#This Row],[RowYear]])</f>
        <v>6199.9583845600855</v>
      </c>
      <c r="L1351" s="75"/>
      <c r="M1351" s="32">
        <f>INDEX(BudgetSeasonality[365 Seasonality],MATCH(DaybyDay[[#This Row],[Date]],BudgetSeasonality[MonthAdjustment],0))*SUMIFS(Budgets[Retail-Budget],Budgets[BudgetMonth],DaybyDay[[#This Row],[RowMonth]],Budgets[BudgetYear],DaybyDay[[#This Row],[RowYear]])</f>
        <v>1940.7490710735885</v>
      </c>
      <c r="N1351" s="75"/>
      <c r="O1351" s="33">
        <f>SUMIFS(DaybyDay[Service-Budgets],DaybyDay[Date],"&gt;="&amp;$C$5,DaybyDay[RowYear],"&gt;="&amp;$C$4,DaybyDay[Date],"&lt;="&amp;DaybyDay[[#This Row],[Date]])</f>
        <v>1329152.8906350539</v>
      </c>
      <c r="P1351" s="33">
        <f>SUMIFS(DaybyDay[Retail-Budgets],DaybyDay[Date],"&gt;="&amp;$C$5,DaybyDay[RowYear],"&gt;="&amp;$C$4,DaybyDay[Date],"&lt;="&amp;DaybyDay[[#This Row],[Date]])</f>
        <v>335784.87976551295</v>
      </c>
      <c r="Q1351" s="34">
        <f>SUMIFS(DaybyDay[Service-Actuals],DaybyDay[Date],"&gt;="&amp;$C$5,DaybyDay[RowYear],"&gt;="&amp;$C$4,DaybyDay[Date],"&lt;="&amp;DaybyDay[[#This Row],[Date]])</f>
        <v>385554.23</v>
      </c>
      <c r="R1351" s="34">
        <f>SUMIFS(DaybyDay[Retail-Actuals],DaybyDay[Date],"&gt;="&amp;$C$5,DaybyDay[RowYear],"&gt;="&amp;$C$4,DaybyDay[Date],"&lt;="&amp;DaybyDay[[#This Row],[Date]])</f>
        <v>88360.030000000028</v>
      </c>
      <c r="S1351" s="35">
        <f>SUMIFS(DaybyDay[Service-LY],DaybyDay[Date],"&gt;="&amp;$C$5,DaybyDay[RowYear],"&gt;="&amp;$C$4,DaybyDay[Date],"&lt;="&amp;DaybyDay[[#This Row],[Date]])</f>
        <v>1204033.5609999986</v>
      </c>
      <c r="T1351" s="35">
        <f>SUMIFS(DaybyDay[Retail-LY],DaybyDay[Date],"&gt;="&amp;$C$5,DaybyDay[RowYear],"&gt;="&amp;$C$4,DaybyDay[Date],"&lt;="&amp;DaybyDay[[#This Row],[Date]])</f>
        <v>287550.12</v>
      </c>
      <c r="U1351" s="32">
        <f>DaybyDay[[#This Row],[Serv-Bud-RU]]+DaybyDay[[#This Row],[Ret-Bud-RU]]</f>
        <v>1664937.7704005667</v>
      </c>
      <c r="V1351" s="32">
        <f>DaybyDay[[#This Row],[Serv-Act-RU]]+DaybyDay[[#This Row],[Ret-Act-RU]]</f>
        <v>473914.26</v>
      </c>
      <c r="W1351" s="36" t="str">
        <f>IF(DaybyDay[[#This Row],[_Space]],IFERROR(
((DaybyDay[[#This Row],[Actual-Rollup]]-DaybyDay[[#This Row],[Budget-Rollup]])/DaybyDay[[#This Row],[Budget-Rollup]]),0),"")</f>
        <v/>
      </c>
      <c r="X1351" t="b">
        <f>NOT(AND(ISBLANK(DaybyDay[[#This Row],[Appts]]),ISBLANK(DaybyDay[[#This Row],[Service-Actuals]]),ISBLANK(DaybyDay[[#This Row],[Retail-Actuals]])))</f>
        <v>0</v>
      </c>
      <c r="Y1351" s="36" t="str">
        <f>IF(DaybyDay[[#This Row],[_Space]],IFERROR(
((DaybyDay[[#This Row],[Actual-Rollup]]-DaybyDay[[#This Row],[LY-Rollup]])/DaybyDay[[#This Row],[LY-Rollup]]),0),"")</f>
        <v/>
      </c>
      <c r="Z1351"/>
      <c r="AA1351" s="37" t="str">
        <f>IF(DaybyDay[[#This Row],[_Space]],DaybyDay[[#This Row],[Ret-Act-RU]]/DaybyDay[[#This Row],[Serv-Act-RU]],"")</f>
        <v/>
      </c>
      <c r="AB1351" s="50" t="str">
        <f>IF(DaybyDay[[#This Row],[_Space]],DaybyDay[[#This Row],[RETPEN-Act]]/DaybyDay[[#This Row],[RETPEN-Bud]],"")</f>
        <v/>
      </c>
      <c r="AC1351" s="37" t="str">
        <f>IF(DaybyDay[[#This Row],[_Space]],DaybyDay[[#This Row],[Ret-Bud-RU]]/DaybyDay[[#This Row],[Serv-Bud-RU]],"")</f>
        <v/>
      </c>
      <c r="AD1351" s="37" t="str">
        <f>IF(DaybyDay[[#This Row],[_Space]],DaybyDay[[#This Row],[Ret-LY-RU]]/DaybyDay[[#This Row],[Serv-LY-RU]],"")</f>
        <v/>
      </c>
      <c r="AE1351" s="30">
        <f>WEEKDAY(DaybyDay[[#This Row],[LY-Date]])</f>
        <v>1</v>
      </c>
      <c r="AF1351" s="38">
        <f>$E$2+_xlfn.DAYS(DaybyDay[[#This Row],[Date]],minDate)</f>
        <v>43716</v>
      </c>
      <c r="AG1351" s="39" cm="1">
        <f t="array" ref="AG1351">IFERROR(INDEX(DaybyDay[],DaybyDay[[#This Row],[FORM_MATCH_HELPER]],8),"")</f>
        <v>21</v>
      </c>
      <c r="AH1351" s="39" cm="1">
        <f t="array" ref="AH1351">IFERROR(INDEX(DaybyDay[],DaybyDay[[#This Row],[FORM_MATCH_HELPER]],10),"")</f>
        <v>4835.66</v>
      </c>
      <c r="AI1351" s="39" cm="1">
        <f t="array" ref="AI1351">IFERROR(INDEX(DaybyDay[],DaybyDay[[#This Row],[FORM_MATCH_HELPER]],12),"")</f>
        <v>324</v>
      </c>
      <c r="AJ1351" s="32">
        <f>IFERROR(DaybyDay[[#This Row],[Serv-LY-RU]]+DaybyDay[[#This Row],[Ret-LY-RU]],"")</f>
        <v>1491583.6809999985</v>
      </c>
      <c r="AK13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1483283.2951305555</v>
      </c>
      <c r="AL1351" s="77"/>
      <c r="AM1351" s="40" t="str">
        <f>IF(DaybyDay[[#This Row],[Admin Hours]]&gt;0,DaybyDay[[#This Row],[Admin Hours]]*$AM$2+$AM$3,"")</f>
        <v/>
      </c>
      <c r="AN1351" s="40">
        <f>SUMIFS(DaybyDay[Est-Admin-Payroll],DaybyDay[Date],"&gt;="&amp;$C$5,DaybyDay[RowYear],"&gt;="&amp;$C$4,DaybyDay[Date],"&lt;="&amp;DaybyDay[[#This Row],[Date]])</f>
        <v>13941.779999999997</v>
      </c>
      <c r="AO1351" s="41" t="str">
        <f>IF(AND(DaybyDay[[#This Row],[_Space]],ISNUMBER(DaybyDay[[#This Row],[Admin Hours]])),DaybyDay[[#This Row],[Est-Admin-Payroll]]/(DaybyDay[[#This Row],[Service-Actuals]]+DaybyDay[[#This Row],[Retail-Actuals]]),"")</f>
        <v/>
      </c>
      <c r="AP1351" s="41">
        <f>DaybyDay[[#This Row],[Estimated-Payroll-Rollup]]/DaybyDay[[#This Row],[Simple-Forecast]]</f>
        <v>9.3992698803857765E-3</v>
      </c>
      <c r="AQ13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289181.18690485222</v>
      </c>
      <c r="AR1351" s="77"/>
      <c r="AS1351" s="40" t="str">
        <f>IF(DaybyDay[[#This Row],[Retail Hours]]&gt;0,DaybyDay[[#This Row],[Retail Hours]]*$AS$2,"")</f>
        <v/>
      </c>
      <c r="AT1351" s="40">
        <f>SUMIFS(DaybyDay[Est-Retail-Payroll],DaybyDay[Date],"&gt;="&amp;$C$5,DaybyDay[RowYear],"&gt;="&amp;$C$4,DaybyDay[Date],"&lt;="&amp;DaybyDay[[#This Row],[Date]])</f>
        <v>2627.1</v>
      </c>
      <c r="AU1351" s="82" t="str">
        <f>IF(AND(DaybyDay[[#This Row],[_Space]],ISNUMBER(DaybyDay[[#This Row],[Retail Hours]])),DaybyDay[[#This Row],[Est-Retail-Payroll]]/(DaybyDay[[#This Row],[Retail-Actuals]]),"")</f>
        <v/>
      </c>
      <c r="AV1351" s="82">
        <f>DaybyDay[[#This Row],[Est-Retail-PayrollRU]]/DaybyDay[[#This Row],[Simple-Forecast-Retail]]</f>
        <v>9.0846158704797793E-3</v>
      </c>
      <c r="AW1351" s="8"/>
      <c r="AX1351" s="15"/>
      <c r="AY1351" s="8"/>
    </row>
    <row r="1352" spans="3:51" hidden="1" x14ac:dyDescent="0.25">
      <c r="C1352" s="26" t="str">
        <f>Tools!$C$1</f>
        <v>Example</v>
      </c>
      <c r="D1352" s="27" t="s">
        <v>76</v>
      </c>
      <c r="E1352" s="28">
        <v>2020</v>
      </c>
      <c r="F1352" s="28">
        <f>MATCH(DaybyDay[[#This Row],[RowMonth]],Table3[SummaryMonth],0)</f>
        <v>9</v>
      </c>
      <c r="G1352" s="29">
        <f>MATCH(DaybyDay[[#This Row],[LY-Date]],DaybyDay[Date],0)</f>
        <v>982</v>
      </c>
      <c r="H1352" s="30">
        <f>WEEKDAY(DaybyDay[[#This Row],[Date]])</f>
        <v>2</v>
      </c>
      <c r="I1352" s="31">
        <v>44081</v>
      </c>
      <c r="J1352" s="74"/>
      <c r="K1352" s="32">
        <f>SUMIFS(BudgetSeasonality[365 Seasonality],BudgetSeasonality[MonthAdjustment],DaybyDay[[#This Row],[Date]])*SUMIFS(Budgets[Service-Budget],Budgets[BudgetMonth],DaybyDay[[#This Row],[RowMonth]],Budgets[BudgetYear],DaybyDay[[#This Row],[RowYear]])</f>
        <v>3580.8518911554438</v>
      </c>
      <c r="L1352" s="75"/>
      <c r="M1352" s="32">
        <f>INDEX(BudgetSeasonality[365 Seasonality],MATCH(DaybyDay[[#This Row],[Date]],BudgetSeasonality[MonthAdjustment],0))*SUMIFS(Budgets[Retail-Budget],Budgets[BudgetMonth],DaybyDay[[#This Row],[RowMonth]],Budgets[BudgetYear],DaybyDay[[#This Row],[RowYear]])</f>
        <v>1120.9002626079935</v>
      </c>
      <c r="N1352" s="75"/>
      <c r="O1352" s="33">
        <f>SUMIFS(DaybyDay[Service-Budgets],DaybyDay[Date],"&gt;="&amp;$C$5,DaybyDay[RowYear],"&gt;="&amp;$C$4,DaybyDay[Date],"&lt;="&amp;DaybyDay[[#This Row],[Date]])</f>
        <v>1332733.7425262092</v>
      </c>
      <c r="P1352" s="33">
        <f>SUMIFS(DaybyDay[Retail-Budgets],DaybyDay[Date],"&gt;="&amp;$C$5,DaybyDay[RowYear],"&gt;="&amp;$C$4,DaybyDay[Date],"&lt;="&amp;DaybyDay[[#This Row],[Date]])</f>
        <v>336905.78002812096</v>
      </c>
      <c r="Q1352" s="34">
        <f>SUMIFS(DaybyDay[Service-Actuals],DaybyDay[Date],"&gt;="&amp;$C$5,DaybyDay[RowYear],"&gt;="&amp;$C$4,DaybyDay[Date],"&lt;="&amp;DaybyDay[[#This Row],[Date]])</f>
        <v>385554.23</v>
      </c>
      <c r="R1352" s="34">
        <f>SUMIFS(DaybyDay[Retail-Actuals],DaybyDay[Date],"&gt;="&amp;$C$5,DaybyDay[RowYear],"&gt;="&amp;$C$4,DaybyDay[Date],"&lt;="&amp;DaybyDay[[#This Row],[Date]])</f>
        <v>88360.030000000028</v>
      </c>
      <c r="S1352" s="35">
        <f>SUMIFS(DaybyDay[Service-LY],DaybyDay[Date],"&gt;="&amp;$C$5,DaybyDay[RowYear],"&gt;="&amp;$C$4,DaybyDay[Date],"&lt;="&amp;DaybyDay[[#This Row],[Date]])</f>
        <v>1205933.5609999986</v>
      </c>
      <c r="T1352" s="35">
        <f>SUMIFS(DaybyDay[Retail-LY],DaybyDay[Date],"&gt;="&amp;$C$5,DaybyDay[RowYear],"&gt;="&amp;$C$4,DaybyDay[Date],"&lt;="&amp;DaybyDay[[#This Row],[Date]])</f>
        <v>288014.62</v>
      </c>
      <c r="U1352" s="32">
        <f>DaybyDay[[#This Row],[Serv-Bud-RU]]+DaybyDay[[#This Row],[Ret-Bud-RU]]</f>
        <v>1669639.5225543301</v>
      </c>
      <c r="V1352" s="32">
        <f>DaybyDay[[#This Row],[Serv-Act-RU]]+DaybyDay[[#This Row],[Ret-Act-RU]]</f>
        <v>473914.26</v>
      </c>
      <c r="W1352" s="36" t="str">
        <f>IF(DaybyDay[[#This Row],[_Space]],IFERROR(
((DaybyDay[[#This Row],[Actual-Rollup]]-DaybyDay[[#This Row],[Budget-Rollup]])/DaybyDay[[#This Row],[Budget-Rollup]]),0),"")</f>
        <v/>
      </c>
      <c r="X1352" t="b">
        <f>NOT(AND(ISBLANK(DaybyDay[[#This Row],[Appts]]),ISBLANK(DaybyDay[[#This Row],[Service-Actuals]]),ISBLANK(DaybyDay[[#This Row],[Retail-Actuals]])))</f>
        <v>0</v>
      </c>
      <c r="Y1352" s="36" t="str">
        <f>IF(DaybyDay[[#This Row],[_Space]],IFERROR(
((DaybyDay[[#This Row],[Actual-Rollup]]-DaybyDay[[#This Row],[LY-Rollup]])/DaybyDay[[#This Row],[LY-Rollup]]),0),"")</f>
        <v/>
      </c>
      <c r="Z1352"/>
      <c r="AA1352" s="37" t="str">
        <f>IF(DaybyDay[[#This Row],[_Space]],DaybyDay[[#This Row],[Ret-Act-RU]]/DaybyDay[[#This Row],[Serv-Act-RU]],"")</f>
        <v/>
      </c>
      <c r="AB1352" s="50" t="str">
        <f>IF(DaybyDay[[#This Row],[_Space]],DaybyDay[[#This Row],[RETPEN-Act]]/DaybyDay[[#This Row],[RETPEN-Bud]],"")</f>
        <v/>
      </c>
      <c r="AC1352" s="37" t="str">
        <f>IF(DaybyDay[[#This Row],[_Space]],DaybyDay[[#This Row],[Ret-Bud-RU]]/DaybyDay[[#This Row],[Serv-Bud-RU]],"")</f>
        <v/>
      </c>
      <c r="AD1352" s="37" t="str">
        <f>IF(DaybyDay[[#This Row],[_Space]],DaybyDay[[#This Row],[Ret-LY-RU]]/DaybyDay[[#This Row],[Serv-LY-RU]],"")</f>
        <v/>
      </c>
      <c r="AE1352" s="30">
        <f>WEEKDAY(DaybyDay[[#This Row],[LY-Date]])</f>
        <v>2</v>
      </c>
      <c r="AF1352" s="38">
        <f>$E$2+_xlfn.DAYS(DaybyDay[[#This Row],[Date]],minDate)</f>
        <v>43717</v>
      </c>
      <c r="AG1352" s="39" cm="1">
        <f t="array" ref="AG1352">IFERROR(INDEX(DaybyDay[],DaybyDay[[#This Row],[FORM_MATCH_HELPER]],8),"")</f>
        <v>6</v>
      </c>
      <c r="AH1352" s="39" cm="1">
        <f t="array" ref="AH1352">IFERROR(INDEX(DaybyDay[],DaybyDay[[#This Row],[FORM_MATCH_HELPER]],10),"")</f>
        <v>1900</v>
      </c>
      <c r="AI1352" s="39" cm="1">
        <f t="array" ref="AI1352">IFERROR(INDEX(DaybyDay[],DaybyDay[[#This Row],[FORM_MATCH_HELPER]],12),"")</f>
        <v>464.5</v>
      </c>
      <c r="AJ1352" s="32">
        <f>IFERROR(DaybyDay[[#This Row],[Serv-LY-RU]]+DaybyDay[[#This Row],[Ret-LY-RU]],"")</f>
        <v>1493948.1809999985</v>
      </c>
      <c r="AK13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1486449.0087441907</v>
      </c>
      <c r="AL1352" s="77"/>
      <c r="AM1352" s="40" t="str">
        <f>IF(DaybyDay[[#This Row],[Admin Hours]]&gt;0,DaybyDay[[#This Row],[Admin Hours]]*$AM$2+$AM$3,"")</f>
        <v/>
      </c>
      <c r="AN1352" s="40">
        <f>SUMIFS(DaybyDay[Est-Admin-Payroll],DaybyDay[Date],"&gt;="&amp;$C$5,DaybyDay[RowYear],"&gt;="&amp;$C$4,DaybyDay[Date],"&lt;="&amp;DaybyDay[[#This Row],[Date]])</f>
        <v>13941.779999999997</v>
      </c>
      <c r="AO1352" s="41" t="str">
        <f>IF(AND(DaybyDay[[#This Row],[_Space]],ISNUMBER(DaybyDay[[#This Row],[Admin Hours]])),DaybyDay[[#This Row],[Est-Admin-Payroll]]/(DaybyDay[[#This Row],[Service-Actuals]]+DaybyDay[[#This Row],[Retail-Actuals]]),"")</f>
        <v/>
      </c>
      <c r="AP1352" s="41">
        <f>DaybyDay[[#This Row],[Estimated-Payroll-Rollup]]/DaybyDay[[#This Row],[Simple-Forecast]]</f>
        <v>9.3792521088756006E-3</v>
      </c>
      <c r="AQ13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289886.98580497073</v>
      </c>
      <c r="AR1352" s="77"/>
      <c r="AS1352" s="40" t="str">
        <f>IF(DaybyDay[[#This Row],[Retail Hours]]&gt;0,DaybyDay[[#This Row],[Retail Hours]]*$AS$2,"")</f>
        <v/>
      </c>
      <c r="AT1352" s="40">
        <f>SUMIFS(DaybyDay[Est-Retail-Payroll],DaybyDay[Date],"&gt;="&amp;$C$5,DaybyDay[RowYear],"&gt;="&amp;$C$4,DaybyDay[Date],"&lt;="&amp;DaybyDay[[#This Row],[Date]])</f>
        <v>2627.1</v>
      </c>
      <c r="AU1352" s="82" t="str">
        <f>IF(AND(DaybyDay[[#This Row],[_Space]],ISNUMBER(DaybyDay[[#This Row],[Retail Hours]])),DaybyDay[[#This Row],[Est-Retail-Payroll]]/(DaybyDay[[#This Row],[Retail-Actuals]]),"")</f>
        <v/>
      </c>
      <c r="AV1352" s="82">
        <f>DaybyDay[[#This Row],[Est-Retail-PayrollRU]]/DaybyDay[[#This Row],[Simple-Forecast-Retail]]</f>
        <v>9.0624972097486708E-3</v>
      </c>
      <c r="AW1352" s="8"/>
      <c r="AX1352" s="15"/>
      <c r="AY1352" s="8"/>
    </row>
    <row r="1353" spans="3:51" hidden="1" x14ac:dyDescent="0.25">
      <c r="C1353" s="26" t="str">
        <f>Tools!$C$1</f>
        <v>Example</v>
      </c>
      <c r="D1353" s="27" t="s">
        <v>76</v>
      </c>
      <c r="E1353" s="28">
        <v>2020</v>
      </c>
      <c r="F1353" s="28">
        <f>MATCH(DaybyDay[[#This Row],[RowMonth]],Table3[SummaryMonth],0)</f>
        <v>9</v>
      </c>
      <c r="G1353" s="29">
        <f>MATCH(DaybyDay[[#This Row],[LY-Date]],DaybyDay[Date],0)</f>
        <v>983</v>
      </c>
      <c r="H1353" s="30">
        <f>WEEKDAY(DaybyDay[[#This Row],[Date]])</f>
        <v>3</v>
      </c>
      <c r="I1353" s="31">
        <v>44082</v>
      </c>
      <c r="J1353" s="74"/>
      <c r="K1353" s="32">
        <f>SUMIFS(BudgetSeasonality[365 Seasonality],BudgetSeasonality[MonthAdjustment],DaybyDay[[#This Row],[Date]])*SUMIFS(Budgets[Service-Budget],Budgets[BudgetMonth],DaybyDay[[#This Row],[RowMonth]],Budgets[BudgetYear],DaybyDay[[#This Row],[RowYear]])</f>
        <v>3680.1683332602524</v>
      </c>
      <c r="L1353" s="75"/>
      <c r="M1353" s="32">
        <f>INDEX(BudgetSeasonality[365 Seasonality],MATCH(DaybyDay[[#This Row],[Date]],BudgetSeasonality[MonthAdjustment],0))*SUMIFS(Budgets[Retail-Budget],Budgets[BudgetMonth],DaybyDay[[#This Row],[RowMonth]],Budgets[BudgetYear],DaybyDay[[#This Row],[RowYear]])</f>
        <v>1151.9889055958636</v>
      </c>
      <c r="N1353" s="75"/>
      <c r="O1353" s="33">
        <f>SUMIFS(DaybyDay[Service-Budgets],DaybyDay[Date],"&gt;="&amp;$C$5,DaybyDay[RowYear],"&gt;="&amp;$C$4,DaybyDay[Date],"&lt;="&amp;DaybyDay[[#This Row],[Date]])</f>
        <v>1336413.9108594696</v>
      </c>
      <c r="P1353" s="33">
        <f>SUMIFS(DaybyDay[Retail-Budgets],DaybyDay[Date],"&gt;="&amp;$C$5,DaybyDay[RowYear],"&gt;="&amp;$C$4,DaybyDay[Date],"&lt;="&amp;DaybyDay[[#This Row],[Date]])</f>
        <v>338057.76893371681</v>
      </c>
      <c r="Q1353" s="34">
        <f>SUMIFS(DaybyDay[Service-Actuals],DaybyDay[Date],"&gt;="&amp;$C$5,DaybyDay[RowYear],"&gt;="&amp;$C$4,DaybyDay[Date],"&lt;="&amp;DaybyDay[[#This Row],[Date]])</f>
        <v>385554.23</v>
      </c>
      <c r="R1353" s="34">
        <f>SUMIFS(DaybyDay[Retail-Actuals],DaybyDay[Date],"&gt;="&amp;$C$5,DaybyDay[RowYear],"&gt;="&amp;$C$4,DaybyDay[Date],"&lt;="&amp;DaybyDay[[#This Row],[Date]])</f>
        <v>88360.030000000028</v>
      </c>
      <c r="S1353" s="35">
        <f>SUMIFS(DaybyDay[Service-LY],DaybyDay[Date],"&gt;="&amp;$C$5,DaybyDay[RowYear],"&gt;="&amp;$C$4,DaybyDay[Date],"&lt;="&amp;DaybyDay[[#This Row],[Date]])</f>
        <v>1207564.7309999985</v>
      </c>
      <c r="T1353" s="35">
        <f>SUMIFS(DaybyDay[Retail-LY],DaybyDay[Date],"&gt;="&amp;$C$5,DaybyDay[RowYear],"&gt;="&amp;$C$4,DaybyDay[Date],"&lt;="&amp;DaybyDay[[#This Row],[Date]])</f>
        <v>288031.12</v>
      </c>
      <c r="U1353" s="32">
        <f>DaybyDay[[#This Row],[Serv-Bud-RU]]+DaybyDay[[#This Row],[Ret-Bud-RU]]</f>
        <v>1674471.6797931865</v>
      </c>
      <c r="V1353" s="32">
        <f>DaybyDay[[#This Row],[Serv-Act-RU]]+DaybyDay[[#This Row],[Ret-Act-RU]]</f>
        <v>473914.26</v>
      </c>
      <c r="W1353" s="36" t="str">
        <f>IF(DaybyDay[[#This Row],[_Space]],IFERROR(
((DaybyDay[[#This Row],[Actual-Rollup]]-DaybyDay[[#This Row],[Budget-Rollup]])/DaybyDay[[#This Row],[Budget-Rollup]]),0),"")</f>
        <v/>
      </c>
      <c r="X1353" t="b">
        <f>NOT(AND(ISBLANK(DaybyDay[[#This Row],[Appts]]),ISBLANK(DaybyDay[[#This Row],[Service-Actuals]]),ISBLANK(DaybyDay[[#This Row],[Retail-Actuals]])))</f>
        <v>0</v>
      </c>
      <c r="Y1353" s="36" t="str">
        <f>IF(DaybyDay[[#This Row],[_Space]],IFERROR(
((DaybyDay[[#This Row],[Actual-Rollup]]-DaybyDay[[#This Row],[LY-Rollup]])/DaybyDay[[#This Row],[LY-Rollup]]),0),"")</f>
        <v/>
      </c>
      <c r="Z1353"/>
      <c r="AA1353" s="37" t="str">
        <f>IF(DaybyDay[[#This Row],[_Space]],DaybyDay[[#This Row],[Ret-Act-RU]]/DaybyDay[[#This Row],[Serv-Act-RU]],"")</f>
        <v/>
      </c>
      <c r="AB1353" s="50" t="str">
        <f>IF(DaybyDay[[#This Row],[_Space]],DaybyDay[[#This Row],[RETPEN-Act]]/DaybyDay[[#This Row],[RETPEN-Bud]],"")</f>
        <v/>
      </c>
      <c r="AC1353" s="37" t="str">
        <f>IF(DaybyDay[[#This Row],[_Space]],DaybyDay[[#This Row],[Ret-Bud-RU]]/DaybyDay[[#This Row],[Serv-Bud-RU]],"")</f>
        <v/>
      </c>
      <c r="AD1353" s="37" t="str">
        <f>IF(DaybyDay[[#This Row],[_Space]],DaybyDay[[#This Row],[Ret-LY-RU]]/DaybyDay[[#This Row],[Serv-LY-RU]],"")</f>
        <v/>
      </c>
      <c r="AE1353" s="30">
        <f>WEEKDAY(DaybyDay[[#This Row],[LY-Date]])</f>
        <v>3</v>
      </c>
      <c r="AF1353" s="38">
        <f>$E$2+_xlfn.DAYS(DaybyDay[[#This Row],[Date]],minDate)</f>
        <v>43718</v>
      </c>
      <c r="AG1353" s="39" cm="1">
        <f t="array" ref="AG1353">IFERROR(INDEX(DaybyDay[],DaybyDay[[#This Row],[FORM_MATCH_HELPER]],8),"")</f>
        <v>9</v>
      </c>
      <c r="AH1353" s="39" cm="1">
        <f t="array" ref="AH1353">IFERROR(INDEX(DaybyDay[],DaybyDay[[#This Row],[FORM_MATCH_HELPER]],10),"")</f>
        <v>1631.17</v>
      </c>
      <c r="AI1353" s="39" cm="1">
        <f t="array" ref="AI1353">IFERROR(INDEX(DaybyDay[],DaybyDay[[#This Row],[FORM_MATCH_HELPER]],12),"")</f>
        <v>16.5</v>
      </c>
      <c r="AJ1353" s="32">
        <f>IFERROR(DaybyDay[[#This Row],[Serv-LY-RU]]+DaybyDay[[#This Row],[Ret-LY-RU]],"")</f>
        <v>1495595.8509999984</v>
      </c>
      <c r="AK13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1489316.7626175028</v>
      </c>
      <c r="AL1353" s="77"/>
      <c r="AM1353" s="40" t="str">
        <f>IF(DaybyDay[[#This Row],[Admin Hours]]&gt;0,DaybyDay[[#This Row],[Admin Hours]]*$AM$2+$AM$3,"")</f>
        <v/>
      </c>
      <c r="AN1353" s="40">
        <f>SUMIFS(DaybyDay[Est-Admin-Payroll],DaybyDay[Date],"&gt;="&amp;$C$5,DaybyDay[RowYear],"&gt;="&amp;$C$4,DaybyDay[Date],"&lt;="&amp;DaybyDay[[#This Row],[Date]])</f>
        <v>13941.779999999997</v>
      </c>
      <c r="AO1353" s="41" t="str">
        <f>IF(AND(DaybyDay[[#This Row],[_Space]],ISNUMBER(DaybyDay[[#This Row],[Admin Hours]])),DaybyDay[[#This Row],[Est-Admin-Payroll]]/(DaybyDay[[#This Row],[Service-Actuals]]+DaybyDay[[#This Row],[Retail-Actuals]]),"")</f>
        <v/>
      </c>
      <c r="AP1353" s="41">
        <f>DaybyDay[[#This Row],[Estimated-Payroll-Rollup]]/DaybyDay[[#This Row],[Simple-Forecast]]</f>
        <v>9.3611918900966713E-3</v>
      </c>
      <c r="AQ13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290385.12504662573</v>
      </c>
      <c r="AR1353" s="77"/>
      <c r="AS1353" s="40" t="str">
        <f>IF(DaybyDay[[#This Row],[Retail Hours]]&gt;0,DaybyDay[[#This Row],[Retail Hours]]*$AS$2,"")</f>
        <v/>
      </c>
      <c r="AT1353" s="40">
        <f>SUMIFS(DaybyDay[Est-Retail-Payroll],DaybyDay[Date],"&gt;="&amp;$C$5,DaybyDay[RowYear],"&gt;="&amp;$C$4,DaybyDay[Date],"&lt;="&amp;DaybyDay[[#This Row],[Date]])</f>
        <v>2627.1</v>
      </c>
      <c r="AU1353" s="82" t="str">
        <f>IF(AND(DaybyDay[[#This Row],[_Space]],ISNUMBER(DaybyDay[[#This Row],[Retail Hours]])),DaybyDay[[#This Row],[Est-Retail-Payroll]]/(DaybyDay[[#This Row],[Retail-Actuals]]),"")</f>
        <v/>
      </c>
      <c r="AV1353" s="82">
        <f>DaybyDay[[#This Row],[Est-Retail-PayrollRU]]/DaybyDay[[#This Row],[Simple-Forecast-Retail]]</f>
        <v>9.0469510088651388E-3</v>
      </c>
      <c r="AW1353" s="8"/>
      <c r="AX1353" s="15"/>
      <c r="AY1353" s="8"/>
    </row>
    <row r="1354" spans="3:51" hidden="1" x14ac:dyDescent="0.25">
      <c r="C1354" s="26" t="str">
        <f>Tools!$C$1</f>
        <v>Example</v>
      </c>
      <c r="D1354" s="27" t="s">
        <v>76</v>
      </c>
      <c r="E1354" s="28">
        <v>2020</v>
      </c>
      <c r="F1354" s="28">
        <f>MATCH(DaybyDay[[#This Row],[RowMonth]],Table3[SummaryMonth],0)</f>
        <v>9</v>
      </c>
      <c r="G1354" s="29">
        <f>MATCH(DaybyDay[[#This Row],[LY-Date]],DaybyDay[Date],0)</f>
        <v>984</v>
      </c>
      <c r="H1354" s="30">
        <f>WEEKDAY(DaybyDay[[#This Row],[Date]])</f>
        <v>4</v>
      </c>
      <c r="I1354" s="31">
        <v>44083</v>
      </c>
      <c r="J1354" s="74"/>
      <c r="K1354" s="32">
        <f>SUMIFS(BudgetSeasonality[365 Seasonality],BudgetSeasonality[MonthAdjustment],DaybyDay[[#This Row],[Date]])*SUMIFS(Budgets[Service-Budget],Budgets[BudgetMonth],DaybyDay[[#This Row],[RowMonth]],Budgets[BudgetYear],DaybyDay[[#This Row],[RowYear]])</f>
        <v>4253.0616839613785</v>
      </c>
      <c r="L1354" s="75"/>
      <c r="M1354" s="32">
        <f>INDEX(BudgetSeasonality[365 Seasonality],MATCH(DaybyDay[[#This Row],[Date]],BudgetSeasonality[MonthAdjustment],0))*SUMIFS(Budgets[Retail-Budget],Budgets[BudgetMonth],DaybyDay[[#This Row],[RowMonth]],Budgets[BudgetYear],DaybyDay[[#This Row],[RowYear]])</f>
        <v>1331.3195025505618</v>
      </c>
      <c r="N1354" s="75"/>
      <c r="O1354" s="33">
        <f>SUMIFS(DaybyDay[Service-Budgets],DaybyDay[Date],"&gt;="&amp;$C$5,DaybyDay[RowYear],"&gt;="&amp;$C$4,DaybyDay[Date],"&lt;="&amp;DaybyDay[[#This Row],[Date]])</f>
        <v>1340666.972543431</v>
      </c>
      <c r="P1354" s="33">
        <f>SUMIFS(DaybyDay[Retail-Budgets],DaybyDay[Date],"&gt;="&amp;$C$5,DaybyDay[RowYear],"&gt;="&amp;$C$4,DaybyDay[Date],"&lt;="&amp;DaybyDay[[#This Row],[Date]])</f>
        <v>339389.0884362674</v>
      </c>
      <c r="Q1354" s="34">
        <f>SUMIFS(DaybyDay[Service-Actuals],DaybyDay[Date],"&gt;="&amp;$C$5,DaybyDay[RowYear],"&gt;="&amp;$C$4,DaybyDay[Date],"&lt;="&amp;DaybyDay[[#This Row],[Date]])</f>
        <v>385554.23</v>
      </c>
      <c r="R1354" s="34">
        <f>SUMIFS(DaybyDay[Retail-Actuals],DaybyDay[Date],"&gt;="&amp;$C$5,DaybyDay[RowYear],"&gt;="&amp;$C$4,DaybyDay[Date],"&lt;="&amp;DaybyDay[[#This Row],[Date]])</f>
        <v>88360.030000000028</v>
      </c>
      <c r="S1354" s="35">
        <f>SUMIFS(DaybyDay[Service-LY],DaybyDay[Date],"&gt;="&amp;$C$5,DaybyDay[RowYear],"&gt;="&amp;$C$4,DaybyDay[Date],"&lt;="&amp;DaybyDay[[#This Row],[Date]])</f>
        <v>1212247.2509999985</v>
      </c>
      <c r="T1354" s="35">
        <f>SUMIFS(DaybyDay[Retail-LY],DaybyDay[Date],"&gt;="&amp;$C$5,DaybyDay[RowYear],"&gt;="&amp;$C$4,DaybyDay[Date],"&lt;="&amp;DaybyDay[[#This Row],[Date]])</f>
        <v>289017.2</v>
      </c>
      <c r="U1354" s="32">
        <f>DaybyDay[[#This Row],[Serv-Bud-RU]]+DaybyDay[[#This Row],[Ret-Bud-RU]]</f>
        <v>1680056.0609796983</v>
      </c>
      <c r="V1354" s="32">
        <f>DaybyDay[[#This Row],[Serv-Act-RU]]+DaybyDay[[#This Row],[Ret-Act-RU]]</f>
        <v>473914.26</v>
      </c>
      <c r="W1354" s="36" t="str">
        <f>IF(DaybyDay[[#This Row],[_Space]],IFERROR(
((DaybyDay[[#This Row],[Actual-Rollup]]-DaybyDay[[#This Row],[Budget-Rollup]])/DaybyDay[[#This Row],[Budget-Rollup]]),0),"")</f>
        <v/>
      </c>
      <c r="X1354" t="b">
        <f>NOT(AND(ISBLANK(DaybyDay[[#This Row],[Appts]]),ISBLANK(DaybyDay[[#This Row],[Service-Actuals]]),ISBLANK(DaybyDay[[#This Row],[Retail-Actuals]])))</f>
        <v>0</v>
      </c>
      <c r="Y1354" s="36" t="str">
        <f>IF(DaybyDay[[#This Row],[_Space]],IFERROR(
((DaybyDay[[#This Row],[Actual-Rollup]]-DaybyDay[[#This Row],[LY-Rollup]])/DaybyDay[[#This Row],[LY-Rollup]]),0),"")</f>
        <v/>
      </c>
      <c r="Z1354"/>
      <c r="AA1354" s="37" t="str">
        <f>IF(DaybyDay[[#This Row],[_Space]],DaybyDay[[#This Row],[Ret-Act-RU]]/DaybyDay[[#This Row],[Serv-Act-RU]],"")</f>
        <v/>
      </c>
      <c r="AB1354" s="50" t="str">
        <f>IF(DaybyDay[[#This Row],[_Space]],DaybyDay[[#This Row],[RETPEN-Act]]/DaybyDay[[#This Row],[RETPEN-Bud]],"")</f>
        <v/>
      </c>
      <c r="AC1354" s="37" t="str">
        <f>IF(DaybyDay[[#This Row],[_Space]],DaybyDay[[#This Row],[Ret-Bud-RU]]/DaybyDay[[#This Row],[Serv-Bud-RU]],"")</f>
        <v/>
      </c>
      <c r="AD1354" s="37" t="str">
        <f>IF(DaybyDay[[#This Row],[_Space]],DaybyDay[[#This Row],[Ret-LY-RU]]/DaybyDay[[#This Row],[Serv-LY-RU]],"")</f>
        <v/>
      </c>
      <c r="AE1354" s="30">
        <f>WEEKDAY(DaybyDay[[#This Row],[LY-Date]])</f>
        <v>4</v>
      </c>
      <c r="AF1354" s="38">
        <f>$E$2+_xlfn.DAYS(DaybyDay[[#This Row],[Date]],minDate)</f>
        <v>43719</v>
      </c>
      <c r="AG1354" s="39" cm="1">
        <f t="array" ref="AG1354">IFERROR(INDEX(DaybyDay[],DaybyDay[[#This Row],[FORM_MATCH_HELPER]],8),"")</f>
        <v>28</v>
      </c>
      <c r="AH1354" s="39" cm="1">
        <f t="array" ref="AH1354">IFERROR(INDEX(DaybyDay[],DaybyDay[[#This Row],[FORM_MATCH_HELPER]],10),"")</f>
        <v>4682.5200000000004</v>
      </c>
      <c r="AI1354" s="39" cm="1">
        <f t="array" ref="AI1354">IFERROR(INDEX(DaybyDay[],DaybyDay[[#This Row],[FORM_MATCH_HELPER]],12),"")</f>
        <v>986.08</v>
      </c>
      <c r="AJ1354" s="32">
        <f>IFERROR(DaybyDay[[#This Row],[Serv-LY-RU]]+DaybyDay[[#This Row],[Ret-LY-RU]],"")</f>
        <v>1501264.4509999985</v>
      </c>
      <c r="AK13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1494486.970843151</v>
      </c>
      <c r="AL1354" s="77"/>
      <c r="AM1354" s="40" t="str">
        <f>IF(DaybyDay[[#This Row],[Admin Hours]]&gt;0,DaybyDay[[#This Row],[Admin Hours]]*$AM$2+$AM$3,"")</f>
        <v/>
      </c>
      <c r="AN1354" s="40">
        <f>SUMIFS(DaybyDay[Est-Admin-Payroll],DaybyDay[Date],"&gt;="&amp;$C$5,DaybyDay[RowYear],"&gt;="&amp;$C$4,DaybyDay[Date],"&lt;="&amp;DaybyDay[[#This Row],[Date]])</f>
        <v>13941.779999999997</v>
      </c>
      <c r="AO1354" s="41" t="str">
        <f>IF(AND(DaybyDay[[#This Row],[_Space]],ISNUMBER(DaybyDay[[#This Row],[Admin Hours]])),DaybyDay[[#This Row],[Est-Admin-Payroll]]/(DaybyDay[[#This Row],[Service-Actuals]]+DaybyDay[[#This Row],[Retail-Actuals]]),"")</f>
        <v/>
      </c>
      <c r="AP1354" s="41">
        <f>DaybyDay[[#This Row],[Estimated-Payroll-Rollup]]/DaybyDay[[#This Row],[Simple-Forecast]]</f>
        <v>9.3288066553931914E-3</v>
      </c>
      <c r="AQ13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291437.58826633357</v>
      </c>
      <c r="AR1354" s="77"/>
      <c r="AS1354" s="40" t="str">
        <f>IF(DaybyDay[[#This Row],[Retail Hours]]&gt;0,DaybyDay[[#This Row],[Retail Hours]]*$AS$2,"")</f>
        <v/>
      </c>
      <c r="AT1354" s="40">
        <f>SUMIFS(DaybyDay[Est-Retail-Payroll],DaybyDay[Date],"&gt;="&amp;$C$5,DaybyDay[RowYear],"&gt;="&amp;$C$4,DaybyDay[Date],"&lt;="&amp;DaybyDay[[#This Row],[Date]])</f>
        <v>2627.1</v>
      </c>
      <c r="AU1354" s="82" t="str">
        <f>IF(AND(DaybyDay[[#This Row],[_Space]],ISNUMBER(DaybyDay[[#This Row],[Retail Hours]])),DaybyDay[[#This Row],[Est-Retail-Payroll]]/(DaybyDay[[#This Row],[Retail-Actuals]]),"")</f>
        <v/>
      </c>
      <c r="AV1354" s="82">
        <f>DaybyDay[[#This Row],[Est-Retail-PayrollRU]]/DaybyDay[[#This Row],[Simple-Forecast-Retail]]</f>
        <v>9.0142799205406368E-3</v>
      </c>
      <c r="AW1354" s="8"/>
      <c r="AX1354" s="15"/>
      <c r="AY1354" s="8"/>
    </row>
    <row r="1355" spans="3:51" hidden="1" x14ac:dyDescent="0.25">
      <c r="C1355" s="26" t="str">
        <f>Tools!$C$1</f>
        <v>Example</v>
      </c>
      <c r="D1355" s="27" t="s">
        <v>76</v>
      </c>
      <c r="E1355" s="28">
        <v>2020</v>
      </c>
      <c r="F1355" s="28">
        <f>MATCH(DaybyDay[[#This Row],[RowMonth]],Table3[SummaryMonth],0)</f>
        <v>9</v>
      </c>
      <c r="G1355" s="29">
        <f>MATCH(DaybyDay[[#This Row],[LY-Date]],DaybyDay[Date],0)</f>
        <v>985</v>
      </c>
      <c r="H1355" s="30">
        <f>WEEKDAY(DaybyDay[[#This Row],[Date]])</f>
        <v>5</v>
      </c>
      <c r="I1355" s="31">
        <v>44084</v>
      </c>
      <c r="J1355" s="74"/>
      <c r="K1355" s="32">
        <f>SUMIFS(BudgetSeasonality[365 Seasonality],BudgetSeasonality[MonthAdjustment],DaybyDay[[#This Row],[Date]])*SUMIFS(Budgets[Service-Budget],Budgets[BudgetMonth],DaybyDay[[#This Row],[RowMonth]],Budgets[BudgetYear],DaybyDay[[#This Row],[RowYear]])</f>
        <v>4338.3879201630489</v>
      </c>
      <c r="L1355" s="75"/>
      <c r="M1355" s="32">
        <f>INDEX(BudgetSeasonality[365 Seasonality],MATCH(DaybyDay[[#This Row],[Date]],BudgetSeasonality[MonthAdjustment],0))*SUMIFS(Budgets[Retail-Budget],Budgets[BudgetMonth],DaybyDay[[#This Row],[RowMonth]],Budgets[BudgetYear],DaybyDay[[#This Row],[RowYear]])</f>
        <v>1358.0288453195371</v>
      </c>
      <c r="N1355" s="75"/>
      <c r="O1355" s="33">
        <f>SUMIFS(DaybyDay[Service-Budgets],DaybyDay[Date],"&gt;="&amp;$C$5,DaybyDay[RowYear],"&gt;="&amp;$C$4,DaybyDay[Date],"&lt;="&amp;DaybyDay[[#This Row],[Date]])</f>
        <v>1345005.3604635941</v>
      </c>
      <c r="P1355" s="33">
        <f>SUMIFS(DaybyDay[Retail-Budgets],DaybyDay[Date],"&gt;="&amp;$C$5,DaybyDay[RowYear],"&gt;="&amp;$C$4,DaybyDay[Date],"&lt;="&amp;DaybyDay[[#This Row],[Date]])</f>
        <v>340747.11728158692</v>
      </c>
      <c r="Q1355" s="34">
        <f>SUMIFS(DaybyDay[Service-Actuals],DaybyDay[Date],"&gt;="&amp;$C$5,DaybyDay[RowYear],"&gt;="&amp;$C$4,DaybyDay[Date],"&lt;="&amp;DaybyDay[[#This Row],[Date]])</f>
        <v>385554.23</v>
      </c>
      <c r="R1355" s="34">
        <f>SUMIFS(DaybyDay[Retail-Actuals],DaybyDay[Date],"&gt;="&amp;$C$5,DaybyDay[RowYear],"&gt;="&amp;$C$4,DaybyDay[Date],"&lt;="&amp;DaybyDay[[#This Row],[Date]])</f>
        <v>88360.030000000028</v>
      </c>
      <c r="S1355" s="35">
        <f>SUMIFS(DaybyDay[Service-LY],DaybyDay[Date],"&gt;="&amp;$C$5,DaybyDay[RowYear],"&gt;="&amp;$C$4,DaybyDay[Date],"&lt;="&amp;DaybyDay[[#This Row],[Date]])</f>
        <v>1216879.2409999985</v>
      </c>
      <c r="T1355" s="35">
        <f>SUMIFS(DaybyDay[Retail-LY],DaybyDay[Date],"&gt;="&amp;$C$5,DaybyDay[RowYear],"&gt;="&amp;$C$4,DaybyDay[Date],"&lt;="&amp;DaybyDay[[#This Row],[Date]])</f>
        <v>289493.35000000003</v>
      </c>
      <c r="U1355" s="32">
        <f>DaybyDay[[#This Row],[Serv-Bud-RU]]+DaybyDay[[#This Row],[Ret-Bud-RU]]</f>
        <v>1685752.4777451809</v>
      </c>
      <c r="V1355" s="32">
        <f>DaybyDay[[#This Row],[Serv-Act-RU]]+DaybyDay[[#This Row],[Ret-Act-RU]]</f>
        <v>473914.26</v>
      </c>
      <c r="W1355" s="36" t="str">
        <f>IF(DaybyDay[[#This Row],[_Space]],IFERROR(
((DaybyDay[[#This Row],[Actual-Rollup]]-DaybyDay[[#This Row],[Budget-Rollup]])/DaybyDay[[#This Row],[Budget-Rollup]]),0),"")</f>
        <v/>
      </c>
      <c r="X1355" t="b">
        <f>NOT(AND(ISBLANK(DaybyDay[[#This Row],[Appts]]),ISBLANK(DaybyDay[[#This Row],[Service-Actuals]]),ISBLANK(DaybyDay[[#This Row],[Retail-Actuals]])))</f>
        <v>0</v>
      </c>
      <c r="Y1355" s="36" t="str">
        <f>IF(DaybyDay[[#This Row],[_Space]],IFERROR(
((DaybyDay[[#This Row],[Actual-Rollup]]-DaybyDay[[#This Row],[LY-Rollup]])/DaybyDay[[#This Row],[LY-Rollup]]),0),"")</f>
        <v/>
      </c>
      <c r="Z1355"/>
      <c r="AA1355" s="37" t="str">
        <f>IF(DaybyDay[[#This Row],[_Space]],DaybyDay[[#This Row],[Ret-Act-RU]]/DaybyDay[[#This Row],[Serv-Act-RU]],"")</f>
        <v/>
      </c>
      <c r="AB1355" s="50" t="str">
        <f>IF(DaybyDay[[#This Row],[_Space]],DaybyDay[[#This Row],[RETPEN-Act]]/DaybyDay[[#This Row],[RETPEN-Bud]],"")</f>
        <v/>
      </c>
      <c r="AC1355" s="37" t="str">
        <f>IF(DaybyDay[[#This Row],[_Space]],DaybyDay[[#This Row],[Ret-Bud-RU]]/DaybyDay[[#This Row],[Serv-Bud-RU]],"")</f>
        <v/>
      </c>
      <c r="AD1355" s="37" t="str">
        <f>IF(DaybyDay[[#This Row],[_Space]],DaybyDay[[#This Row],[Ret-LY-RU]]/DaybyDay[[#This Row],[Serv-LY-RU]],"")</f>
        <v/>
      </c>
      <c r="AE1355" s="30">
        <f>WEEKDAY(DaybyDay[[#This Row],[LY-Date]])</f>
        <v>5</v>
      </c>
      <c r="AF1355" s="38">
        <f>$E$2+_xlfn.DAYS(DaybyDay[[#This Row],[Date]],minDate)</f>
        <v>43720</v>
      </c>
      <c r="AG1355" s="39" cm="1">
        <f t="array" ref="AG1355">IFERROR(INDEX(DaybyDay[],DaybyDay[[#This Row],[FORM_MATCH_HELPER]],8),"")</f>
        <v>20</v>
      </c>
      <c r="AH1355" s="39" cm="1">
        <f t="array" ref="AH1355">IFERROR(INDEX(DaybyDay[],DaybyDay[[#This Row],[FORM_MATCH_HELPER]],10),"")</f>
        <v>4631.9900000000007</v>
      </c>
      <c r="AI1355" s="39" cm="1">
        <f t="array" ref="AI1355">IFERROR(INDEX(DaybyDay[],DaybyDay[[#This Row],[FORM_MATCH_HELPER]],12),"")</f>
        <v>476.15</v>
      </c>
      <c r="AJ1355" s="32">
        <f>IFERROR(DaybyDay[[#This Row],[Serv-LY-RU]]+DaybyDay[[#This Row],[Ret-LY-RU]],"")</f>
        <v>1506372.5909999986</v>
      </c>
      <c r="AK13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1499428.5029388666</v>
      </c>
      <c r="AL1355" s="77"/>
      <c r="AM1355" s="40" t="str">
        <f>IF(DaybyDay[[#This Row],[Admin Hours]]&gt;0,DaybyDay[[#This Row],[Admin Hours]]*$AM$2+$AM$3,"")</f>
        <v/>
      </c>
      <c r="AN1355" s="40">
        <f>SUMIFS(DaybyDay[Est-Admin-Payroll],DaybyDay[Date],"&gt;="&amp;$C$5,DaybyDay[RowYear],"&gt;="&amp;$C$4,DaybyDay[Date],"&lt;="&amp;DaybyDay[[#This Row],[Date]])</f>
        <v>13941.779999999997</v>
      </c>
      <c r="AO1355" s="41" t="str">
        <f>IF(AND(DaybyDay[[#This Row],[_Space]],ISNUMBER(DaybyDay[[#This Row],[Admin Hours]])),DaybyDay[[#This Row],[Est-Admin-Payroll]]/(DaybyDay[[#This Row],[Service-Actuals]]+DaybyDay[[#This Row],[Retail-Actuals]]),"")</f>
        <v/>
      </c>
      <c r="AP1355" s="41">
        <f>DaybyDay[[#This Row],[Estimated-Payroll-Rollup]]/DaybyDay[[#This Row],[Simple-Forecast]]</f>
        <v>9.2980625436119377E-3</v>
      </c>
      <c r="AQ13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292249.99490453867</v>
      </c>
      <c r="AR1355" s="77"/>
      <c r="AS1355" s="40" t="str">
        <f>IF(DaybyDay[[#This Row],[Retail Hours]]&gt;0,DaybyDay[[#This Row],[Retail Hours]]*$AS$2,"")</f>
        <v/>
      </c>
      <c r="AT1355" s="40">
        <f>SUMIFS(DaybyDay[Est-Retail-Payroll],DaybyDay[Date],"&gt;="&amp;$C$5,DaybyDay[RowYear],"&gt;="&amp;$C$4,DaybyDay[Date],"&lt;="&amp;DaybyDay[[#This Row],[Date]])</f>
        <v>2627.1</v>
      </c>
      <c r="AU1355" s="82" t="str">
        <f>IF(AND(DaybyDay[[#This Row],[_Space]],ISNUMBER(DaybyDay[[#This Row],[Retail Hours]])),DaybyDay[[#This Row],[Est-Retail-Payroll]]/(DaybyDay[[#This Row],[Retail-Actuals]]),"")</f>
        <v/>
      </c>
      <c r="AV1355" s="82">
        <f>DaybyDay[[#This Row],[Est-Retail-PayrollRU]]/DaybyDay[[#This Row],[Simple-Forecast-Retail]]</f>
        <v>8.9892217136158473E-3</v>
      </c>
      <c r="AW1355" s="8"/>
      <c r="AX1355" s="15"/>
      <c r="AY1355" s="8"/>
    </row>
    <row r="1356" spans="3:51" hidden="1" x14ac:dyDescent="0.25">
      <c r="C1356" s="26" t="str">
        <f>Tools!$C$1</f>
        <v>Example</v>
      </c>
      <c r="D1356" s="27" t="s">
        <v>76</v>
      </c>
      <c r="E1356" s="28">
        <v>2020</v>
      </c>
      <c r="F1356" s="28">
        <f>MATCH(DaybyDay[[#This Row],[RowMonth]],Table3[SummaryMonth],0)</f>
        <v>9</v>
      </c>
      <c r="G1356" s="29">
        <f>MATCH(DaybyDay[[#This Row],[LY-Date]],DaybyDay[Date],0)</f>
        <v>986</v>
      </c>
      <c r="H1356" s="30">
        <f>WEEKDAY(DaybyDay[[#This Row],[Date]])</f>
        <v>6</v>
      </c>
      <c r="I1356" s="31">
        <v>44085</v>
      </c>
      <c r="J1356" s="74"/>
      <c r="K1356" s="32">
        <f>SUMIFS(BudgetSeasonality[365 Seasonality],BudgetSeasonality[MonthAdjustment],DaybyDay[[#This Row],[Date]])*SUMIFS(Budgets[Service-Budget],Budgets[BudgetMonth],DaybyDay[[#This Row],[RowMonth]],Budgets[BudgetYear],DaybyDay[[#This Row],[RowYear]])</f>
        <v>5427.5971279665291</v>
      </c>
      <c r="L1356" s="75"/>
      <c r="M1356" s="32">
        <f>INDEX(BudgetSeasonality[365 Seasonality],MATCH(DaybyDay[[#This Row],[Date]],BudgetSeasonality[MonthAdjustment],0))*SUMIFS(Budgets[Retail-Budget],Budgets[BudgetMonth],DaybyDay[[#This Row],[RowMonth]],Budgets[BudgetYear],DaybyDay[[#This Row],[RowYear]])</f>
        <v>1698.9798045249499</v>
      </c>
      <c r="N1356" s="75"/>
      <c r="O1356" s="33">
        <f>SUMIFS(DaybyDay[Service-Budgets],DaybyDay[Date],"&gt;="&amp;$C$5,DaybyDay[RowYear],"&gt;="&amp;$C$4,DaybyDay[Date],"&lt;="&amp;DaybyDay[[#This Row],[Date]])</f>
        <v>1350432.9575915607</v>
      </c>
      <c r="P1356" s="33">
        <f>SUMIFS(DaybyDay[Retail-Budgets],DaybyDay[Date],"&gt;="&amp;$C$5,DaybyDay[RowYear],"&gt;="&amp;$C$4,DaybyDay[Date],"&lt;="&amp;DaybyDay[[#This Row],[Date]])</f>
        <v>342446.0970861119</v>
      </c>
      <c r="Q1356" s="34">
        <f>SUMIFS(DaybyDay[Service-Actuals],DaybyDay[Date],"&gt;="&amp;$C$5,DaybyDay[RowYear],"&gt;="&amp;$C$4,DaybyDay[Date],"&lt;="&amp;DaybyDay[[#This Row],[Date]])</f>
        <v>385554.23</v>
      </c>
      <c r="R1356" s="34">
        <f>SUMIFS(DaybyDay[Retail-Actuals],DaybyDay[Date],"&gt;="&amp;$C$5,DaybyDay[RowYear],"&gt;="&amp;$C$4,DaybyDay[Date],"&lt;="&amp;DaybyDay[[#This Row],[Date]])</f>
        <v>88360.030000000028</v>
      </c>
      <c r="S1356" s="35">
        <f>SUMIFS(DaybyDay[Service-LY],DaybyDay[Date],"&gt;="&amp;$C$5,DaybyDay[RowYear],"&gt;="&amp;$C$4,DaybyDay[Date],"&lt;="&amp;DaybyDay[[#This Row],[Date]])</f>
        <v>1224901.2409999985</v>
      </c>
      <c r="T1356" s="35">
        <f>SUMIFS(DaybyDay[Retail-LY],DaybyDay[Date],"&gt;="&amp;$C$5,DaybyDay[RowYear],"&gt;="&amp;$C$4,DaybyDay[Date],"&lt;="&amp;DaybyDay[[#This Row],[Date]])</f>
        <v>290466.15000000002</v>
      </c>
      <c r="U1356" s="32">
        <f>DaybyDay[[#This Row],[Serv-Bud-RU]]+DaybyDay[[#This Row],[Ret-Bud-RU]]</f>
        <v>1692879.0546776727</v>
      </c>
      <c r="V1356" s="32">
        <f>DaybyDay[[#This Row],[Serv-Act-RU]]+DaybyDay[[#This Row],[Ret-Act-RU]]</f>
        <v>473914.26</v>
      </c>
      <c r="W1356" s="36" t="str">
        <f>IF(DaybyDay[[#This Row],[_Space]],IFERROR(
((DaybyDay[[#This Row],[Actual-Rollup]]-DaybyDay[[#This Row],[Budget-Rollup]])/DaybyDay[[#This Row],[Budget-Rollup]]),0),"")</f>
        <v/>
      </c>
      <c r="X1356" t="b">
        <f>NOT(AND(ISBLANK(DaybyDay[[#This Row],[Appts]]),ISBLANK(DaybyDay[[#This Row],[Service-Actuals]]),ISBLANK(DaybyDay[[#This Row],[Retail-Actuals]])))</f>
        <v>0</v>
      </c>
      <c r="Y1356" s="36" t="str">
        <f>IF(DaybyDay[[#This Row],[_Space]],IFERROR(
((DaybyDay[[#This Row],[Actual-Rollup]]-DaybyDay[[#This Row],[LY-Rollup]])/DaybyDay[[#This Row],[LY-Rollup]]),0),"")</f>
        <v/>
      </c>
      <c r="Z1356"/>
      <c r="AA1356" s="37" t="str">
        <f>IF(DaybyDay[[#This Row],[_Space]],DaybyDay[[#This Row],[Ret-Act-RU]]/DaybyDay[[#This Row],[Serv-Act-RU]],"")</f>
        <v/>
      </c>
      <c r="AB1356" s="50" t="str">
        <f>IF(DaybyDay[[#This Row],[_Space]],DaybyDay[[#This Row],[RETPEN-Act]]/DaybyDay[[#This Row],[RETPEN-Bud]],"")</f>
        <v/>
      </c>
      <c r="AC1356" s="37" t="str">
        <f>IF(DaybyDay[[#This Row],[_Space]],DaybyDay[[#This Row],[Ret-Bud-RU]]/DaybyDay[[#This Row],[Serv-Bud-RU]],"")</f>
        <v/>
      </c>
      <c r="AD1356" s="37" t="str">
        <f>IF(DaybyDay[[#This Row],[_Space]],DaybyDay[[#This Row],[Ret-LY-RU]]/DaybyDay[[#This Row],[Serv-LY-RU]],"")</f>
        <v/>
      </c>
      <c r="AE1356" s="30">
        <f>WEEKDAY(DaybyDay[[#This Row],[LY-Date]])</f>
        <v>6</v>
      </c>
      <c r="AF1356" s="38">
        <f>$E$2+_xlfn.DAYS(DaybyDay[[#This Row],[Date]],minDate)</f>
        <v>43721</v>
      </c>
      <c r="AG1356" s="39" cm="1">
        <f t="array" ref="AG1356">IFERROR(INDEX(DaybyDay[],DaybyDay[[#This Row],[FORM_MATCH_HELPER]],8),"")</f>
        <v>28</v>
      </c>
      <c r="AH1356" s="39" cm="1">
        <f t="array" ref="AH1356">IFERROR(INDEX(DaybyDay[],DaybyDay[[#This Row],[FORM_MATCH_HELPER]],10),"")</f>
        <v>8022</v>
      </c>
      <c r="AI1356" s="39" cm="1">
        <f t="array" ref="AI1356">IFERROR(INDEX(DaybyDay[],DaybyDay[[#This Row],[FORM_MATCH_HELPER]],12),"")</f>
        <v>972.8</v>
      </c>
      <c r="AJ1356" s="32">
        <f>IFERROR(DaybyDay[[#This Row],[Serv-LY-RU]]+DaybyDay[[#This Row],[Ret-LY-RU]],"")</f>
        <v>1515367.3909999984</v>
      </c>
      <c r="AK13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1506894.6519093763</v>
      </c>
      <c r="AL1356" s="77"/>
      <c r="AM1356" s="40" t="str">
        <f>IF(DaybyDay[[#This Row],[Admin Hours]]&gt;0,DaybyDay[[#This Row],[Admin Hours]]*$AM$2+$AM$3,"")</f>
        <v/>
      </c>
      <c r="AN1356" s="40">
        <f>SUMIFS(DaybyDay[Est-Admin-Payroll],DaybyDay[Date],"&gt;="&amp;$C$5,DaybyDay[RowYear],"&gt;="&amp;$C$4,DaybyDay[Date],"&lt;="&amp;DaybyDay[[#This Row],[Date]])</f>
        <v>13941.779999999997</v>
      </c>
      <c r="AO1356" s="41" t="str">
        <f>IF(AND(DaybyDay[[#This Row],[_Space]],ISNUMBER(DaybyDay[[#This Row],[Admin Hours]])),DaybyDay[[#This Row],[Est-Admin-Payroll]]/(DaybyDay[[#This Row],[Service-Actuals]]+DaybyDay[[#This Row],[Retail-Actuals]]),"")</f>
        <v/>
      </c>
      <c r="AP1356" s="41">
        <f>DaybyDay[[#This Row],[Estimated-Payroll-Rollup]]/DaybyDay[[#This Row],[Simple-Forecast]]</f>
        <v>9.2519938154498448E-3</v>
      </c>
      <c r="AQ13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293452.2965902423</v>
      </c>
      <c r="AR1356" s="77"/>
      <c r="AS1356" s="40" t="str">
        <f>IF(DaybyDay[[#This Row],[Retail Hours]]&gt;0,DaybyDay[[#This Row],[Retail Hours]]*$AS$2,"")</f>
        <v/>
      </c>
      <c r="AT1356" s="40">
        <f>SUMIFS(DaybyDay[Est-Retail-Payroll],DaybyDay[Date],"&gt;="&amp;$C$5,DaybyDay[RowYear],"&gt;="&amp;$C$4,DaybyDay[Date],"&lt;="&amp;DaybyDay[[#This Row],[Date]])</f>
        <v>2627.1</v>
      </c>
      <c r="AU1356" s="82" t="str">
        <f>IF(AND(DaybyDay[[#This Row],[_Space]],ISNUMBER(DaybyDay[[#This Row],[Retail Hours]])),DaybyDay[[#This Row],[Est-Retail-Payroll]]/(DaybyDay[[#This Row],[Retail-Actuals]]),"")</f>
        <v/>
      </c>
      <c r="AV1356" s="82">
        <f>DaybyDay[[#This Row],[Est-Retail-PayrollRU]]/DaybyDay[[#This Row],[Simple-Forecast-Retail]]</f>
        <v>8.952392025979989E-3</v>
      </c>
      <c r="AW1356" s="8"/>
      <c r="AX1356" s="15"/>
      <c r="AY1356" s="8"/>
    </row>
    <row r="1357" spans="3:51" hidden="1" x14ac:dyDescent="0.25">
      <c r="C1357" s="26" t="str">
        <f>Tools!$C$1</f>
        <v>Example</v>
      </c>
      <c r="D1357" s="27" t="s">
        <v>76</v>
      </c>
      <c r="E1357" s="28">
        <v>2020</v>
      </c>
      <c r="F1357" s="28">
        <f>MATCH(DaybyDay[[#This Row],[RowMonth]],Table3[SummaryMonth],0)</f>
        <v>9</v>
      </c>
      <c r="G1357" s="29">
        <f>MATCH(DaybyDay[[#This Row],[LY-Date]],DaybyDay[Date],0)</f>
        <v>987</v>
      </c>
      <c r="H1357" s="30">
        <f>WEEKDAY(DaybyDay[[#This Row],[Date]])</f>
        <v>7</v>
      </c>
      <c r="I1357" s="31">
        <v>44086</v>
      </c>
      <c r="J1357" s="74"/>
      <c r="K1357" s="32">
        <f>SUMIFS(BudgetSeasonality[365 Seasonality],BudgetSeasonality[MonthAdjustment],DaybyDay[[#This Row],[Date]])*SUMIFS(Budgets[Service-Budget],Budgets[BudgetMonth],DaybyDay[[#This Row],[RowMonth]],Budgets[BudgetYear],DaybyDay[[#This Row],[RowYear]])</f>
        <v>7780.5384259274042</v>
      </c>
      <c r="L1357" s="75"/>
      <c r="M1357" s="32">
        <f>INDEX(BudgetSeasonality[365 Seasonality],MATCH(DaybyDay[[#This Row],[Date]],BudgetSeasonality[MonthAdjustment],0))*SUMIFS(Budgets[Retail-Budget],Budgets[BudgetMonth],DaybyDay[[#This Row],[RowMonth]],Budgets[BudgetYear],DaybyDay[[#This Row],[RowYear]])</f>
        <v>2435.5119479793711</v>
      </c>
      <c r="N1357" s="75"/>
      <c r="O1357" s="33">
        <f>SUMIFS(DaybyDay[Service-Budgets],DaybyDay[Date],"&gt;="&amp;$C$5,DaybyDay[RowYear],"&gt;="&amp;$C$4,DaybyDay[Date],"&lt;="&amp;DaybyDay[[#This Row],[Date]])</f>
        <v>1358213.4960174882</v>
      </c>
      <c r="P1357" s="33">
        <f>SUMIFS(DaybyDay[Retail-Budgets],DaybyDay[Date],"&gt;="&amp;$C$5,DaybyDay[RowYear],"&gt;="&amp;$C$4,DaybyDay[Date],"&lt;="&amp;DaybyDay[[#This Row],[Date]])</f>
        <v>344881.60903409129</v>
      </c>
      <c r="Q1357" s="34">
        <f>SUMIFS(DaybyDay[Service-Actuals],DaybyDay[Date],"&gt;="&amp;$C$5,DaybyDay[RowYear],"&gt;="&amp;$C$4,DaybyDay[Date],"&lt;="&amp;DaybyDay[[#This Row],[Date]])</f>
        <v>385554.23</v>
      </c>
      <c r="R1357" s="34">
        <f>SUMIFS(DaybyDay[Retail-Actuals],DaybyDay[Date],"&gt;="&amp;$C$5,DaybyDay[RowYear],"&gt;="&amp;$C$4,DaybyDay[Date],"&lt;="&amp;DaybyDay[[#This Row],[Date]])</f>
        <v>88360.030000000028</v>
      </c>
      <c r="S1357" s="35">
        <f>SUMIFS(DaybyDay[Service-LY],DaybyDay[Date],"&gt;="&amp;$C$5,DaybyDay[RowYear],"&gt;="&amp;$C$4,DaybyDay[Date],"&lt;="&amp;DaybyDay[[#This Row],[Date]])</f>
        <v>1233251.4909999985</v>
      </c>
      <c r="T1357" s="35">
        <f>SUMIFS(DaybyDay[Retail-LY],DaybyDay[Date],"&gt;="&amp;$C$5,DaybyDay[RowYear],"&gt;="&amp;$C$4,DaybyDay[Date],"&lt;="&amp;DaybyDay[[#This Row],[Date]])</f>
        <v>293015.95</v>
      </c>
      <c r="U1357" s="32">
        <f>DaybyDay[[#This Row],[Serv-Bud-RU]]+DaybyDay[[#This Row],[Ret-Bud-RU]]</f>
        <v>1703095.1050515794</v>
      </c>
      <c r="V1357" s="32">
        <f>DaybyDay[[#This Row],[Serv-Act-RU]]+DaybyDay[[#This Row],[Ret-Act-RU]]</f>
        <v>473914.26</v>
      </c>
      <c r="W1357" s="36" t="str">
        <f>IF(DaybyDay[[#This Row],[_Space]],IFERROR(
((DaybyDay[[#This Row],[Actual-Rollup]]-DaybyDay[[#This Row],[Budget-Rollup]])/DaybyDay[[#This Row],[Budget-Rollup]]),0),"")</f>
        <v/>
      </c>
      <c r="X1357" t="b">
        <f>NOT(AND(ISBLANK(DaybyDay[[#This Row],[Appts]]),ISBLANK(DaybyDay[[#This Row],[Service-Actuals]]),ISBLANK(DaybyDay[[#This Row],[Retail-Actuals]])))</f>
        <v>0</v>
      </c>
      <c r="Y1357" s="36" t="str">
        <f>IF(DaybyDay[[#This Row],[_Space]],IFERROR(
((DaybyDay[[#This Row],[Actual-Rollup]]-DaybyDay[[#This Row],[LY-Rollup]])/DaybyDay[[#This Row],[LY-Rollup]]),0),"")</f>
        <v/>
      </c>
      <c r="Z1357"/>
      <c r="AA1357" s="37" t="str">
        <f>IF(DaybyDay[[#This Row],[_Space]],DaybyDay[[#This Row],[Ret-Act-RU]]/DaybyDay[[#This Row],[Serv-Act-RU]],"")</f>
        <v/>
      </c>
      <c r="AB1357" s="50" t="str">
        <f>IF(DaybyDay[[#This Row],[_Space]],DaybyDay[[#This Row],[RETPEN-Act]]/DaybyDay[[#This Row],[RETPEN-Bud]],"")</f>
        <v/>
      </c>
      <c r="AC1357" s="37" t="str">
        <f>IF(DaybyDay[[#This Row],[_Space]],DaybyDay[[#This Row],[Ret-Bud-RU]]/DaybyDay[[#This Row],[Serv-Bud-RU]],"")</f>
        <v/>
      </c>
      <c r="AD1357" s="37" t="str">
        <f>IF(DaybyDay[[#This Row],[_Space]],DaybyDay[[#This Row],[Ret-LY-RU]]/DaybyDay[[#This Row],[Serv-LY-RU]],"")</f>
        <v/>
      </c>
      <c r="AE1357" s="30">
        <f>WEEKDAY(DaybyDay[[#This Row],[LY-Date]])</f>
        <v>7</v>
      </c>
      <c r="AF1357" s="38">
        <f>$E$2+_xlfn.DAYS(DaybyDay[[#This Row],[Date]],minDate)</f>
        <v>43722</v>
      </c>
      <c r="AG1357" s="39" cm="1">
        <f t="array" ref="AG1357">IFERROR(INDEX(DaybyDay[],DaybyDay[[#This Row],[FORM_MATCH_HELPER]],8),"")</f>
        <v>36</v>
      </c>
      <c r="AH1357" s="39" cm="1">
        <f t="array" ref="AH1357">IFERROR(INDEX(DaybyDay[],DaybyDay[[#This Row],[FORM_MATCH_HELPER]],10),"")</f>
        <v>8350.25</v>
      </c>
      <c r="AI1357" s="39" cm="1">
        <f t="array" ref="AI1357">IFERROR(INDEX(DaybyDay[],DaybyDay[[#This Row],[FORM_MATCH_HELPER]],12),"")</f>
        <v>2549.8000000000002</v>
      </c>
      <c r="AJ1357" s="32">
        <f>IFERROR(DaybyDay[[#This Row],[Serv-LY-RU]]+DaybyDay[[#This Row],[Ret-LY-RU]],"")</f>
        <v>1526267.4409999985</v>
      </c>
      <c r="AK13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1516614.2938804207</v>
      </c>
      <c r="AL1357" s="77"/>
      <c r="AM1357" s="40" t="str">
        <f>IF(DaybyDay[[#This Row],[Admin Hours]]&gt;0,DaybyDay[[#This Row],[Admin Hours]]*$AM$2+$AM$3,"")</f>
        <v/>
      </c>
      <c r="AN1357" s="40">
        <f>SUMIFS(DaybyDay[Est-Admin-Payroll],DaybyDay[Date],"&gt;="&amp;$C$5,DaybyDay[RowYear],"&gt;="&amp;$C$4,DaybyDay[Date],"&lt;="&amp;DaybyDay[[#This Row],[Date]])</f>
        <v>13941.779999999997</v>
      </c>
      <c r="AO1357" s="41" t="str">
        <f>IF(AND(DaybyDay[[#This Row],[_Space]],ISNUMBER(DaybyDay[[#This Row],[Admin Hours]])),DaybyDay[[#This Row],[Est-Admin-Payroll]]/(DaybyDay[[#This Row],[Service-Actuals]]+DaybyDay[[#This Row],[Retail-Actuals]]),"")</f>
        <v/>
      </c>
      <c r="AP1357" s="41">
        <f>DaybyDay[[#This Row],[Estimated-Payroll-Rollup]]/DaybyDay[[#This Row],[Simple-Forecast]]</f>
        <v>9.1926998553656346E-3</v>
      </c>
      <c r="AQ13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295745.41492763907</v>
      </c>
      <c r="AR1357" s="77"/>
      <c r="AS1357" s="40" t="str">
        <f>IF(DaybyDay[[#This Row],[Retail Hours]]&gt;0,DaybyDay[[#This Row],[Retail Hours]]*$AS$2,"")</f>
        <v/>
      </c>
      <c r="AT1357" s="40">
        <f>SUMIFS(DaybyDay[Est-Retail-Payroll],DaybyDay[Date],"&gt;="&amp;$C$5,DaybyDay[RowYear],"&gt;="&amp;$C$4,DaybyDay[Date],"&lt;="&amp;DaybyDay[[#This Row],[Date]])</f>
        <v>2627.1</v>
      </c>
      <c r="AU1357" s="82" t="str">
        <f>IF(AND(DaybyDay[[#This Row],[_Space]],ISNUMBER(DaybyDay[[#This Row],[Retail Hours]])),DaybyDay[[#This Row],[Est-Retail-Payroll]]/(DaybyDay[[#This Row],[Retail-Actuals]]),"")</f>
        <v/>
      </c>
      <c r="AV1357" s="82">
        <f>DaybyDay[[#This Row],[Est-Retail-PayrollRU]]/DaybyDay[[#This Row],[Simple-Forecast-Retail]]</f>
        <v>8.8829779512990276E-3</v>
      </c>
      <c r="AW1357" s="8"/>
      <c r="AX1357" s="15"/>
      <c r="AY1357" s="8"/>
    </row>
    <row r="1358" spans="3:51" hidden="1" x14ac:dyDescent="0.25">
      <c r="C1358" s="26" t="str">
        <f>Tools!$C$1</f>
        <v>Example</v>
      </c>
      <c r="D1358" s="27" t="s">
        <v>76</v>
      </c>
      <c r="E1358" s="28">
        <v>2020</v>
      </c>
      <c r="F1358" s="28">
        <f>MATCH(DaybyDay[[#This Row],[RowMonth]],Table3[SummaryMonth],0)</f>
        <v>9</v>
      </c>
      <c r="G1358" s="29">
        <f>MATCH(DaybyDay[[#This Row],[LY-Date]],DaybyDay[Date],0)</f>
        <v>988</v>
      </c>
      <c r="H1358" s="30">
        <f>WEEKDAY(DaybyDay[[#This Row],[Date]])</f>
        <v>1</v>
      </c>
      <c r="I1358" s="31">
        <v>44087</v>
      </c>
      <c r="J1358" s="74"/>
      <c r="K1358" s="32">
        <f>SUMIFS(BudgetSeasonality[365 Seasonality],BudgetSeasonality[MonthAdjustment],DaybyDay[[#This Row],[Date]])*SUMIFS(Budgets[Service-Budget],Budgets[BudgetMonth],DaybyDay[[#This Row],[RowMonth]],Budgets[BudgetYear],DaybyDay[[#This Row],[RowYear]])</f>
        <v>5964.4642275620408</v>
      </c>
      <c r="L1358" s="75"/>
      <c r="M1358" s="32">
        <f>INDEX(BudgetSeasonality[365 Seasonality],MATCH(DaybyDay[[#This Row],[Date]],BudgetSeasonality[MonthAdjustment],0))*SUMIFS(Budgets[Retail-Budget],Budgets[BudgetMonth],DaybyDay[[#This Row],[RowMonth]],Budgets[BudgetYear],DaybyDay[[#This Row],[RowYear]])</f>
        <v>1867.0332429842615</v>
      </c>
      <c r="N1358" s="75"/>
      <c r="O1358" s="33">
        <f>SUMIFS(DaybyDay[Service-Budgets],DaybyDay[Date],"&gt;="&amp;$C$5,DaybyDay[RowYear],"&gt;="&amp;$C$4,DaybyDay[Date],"&lt;="&amp;DaybyDay[[#This Row],[Date]])</f>
        <v>1364177.9602450503</v>
      </c>
      <c r="P1358" s="33">
        <f>SUMIFS(DaybyDay[Retail-Budgets],DaybyDay[Date],"&gt;="&amp;$C$5,DaybyDay[RowYear],"&gt;="&amp;$C$4,DaybyDay[Date],"&lt;="&amp;DaybyDay[[#This Row],[Date]])</f>
        <v>346748.64227707556</v>
      </c>
      <c r="Q1358" s="34">
        <f>SUMIFS(DaybyDay[Service-Actuals],DaybyDay[Date],"&gt;="&amp;$C$5,DaybyDay[RowYear],"&gt;="&amp;$C$4,DaybyDay[Date],"&lt;="&amp;DaybyDay[[#This Row],[Date]])</f>
        <v>385554.23</v>
      </c>
      <c r="R1358" s="34">
        <f>SUMIFS(DaybyDay[Retail-Actuals],DaybyDay[Date],"&gt;="&amp;$C$5,DaybyDay[RowYear],"&gt;="&amp;$C$4,DaybyDay[Date],"&lt;="&amp;DaybyDay[[#This Row],[Date]])</f>
        <v>88360.030000000028</v>
      </c>
      <c r="S1358" s="35">
        <f>SUMIFS(DaybyDay[Service-LY],DaybyDay[Date],"&gt;="&amp;$C$5,DaybyDay[RowYear],"&gt;="&amp;$C$4,DaybyDay[Date],"&lt;="&amp;DaybyDay[[#This Row],[Date]])</f>
        <v>1237645.4909999985</v>
      </c>
      <c r="T1358" s="35">
        <f>SUMIFS(DaybyDay[Retail-LY],DaybyDay[Date],"&gt;="&amp;$C$5,DaybyDay[RowYear],"&gt;="&amp;$C$4,DaybyDay[Date],"&lt;="&amp;DaybyDay[[#This Row],[Date]])</f>
        <v>295628.95</v>
      </c>
      <c r="U1358" s="32">
        <f>DaybyDay[[#This Row],[Serv-Bud-RU]]+DaybyDay[[#This Row],[Ret-Bud-RU]]</f>
        <v>1710926.6025221259</v>
      </c>
      <c r="V1358" s="32">
        <f>DaybyDay[[#This Row],[Serv-Act-RU]]+DaybyDay[[#This Row],[Ret-Act-RU]]</f>
        <v>473914.26</v>
      </c>
      <c r="W1358" s="36" t="str">
        <f>IF(DaybyDay[[#This Row],[_Space]],IFERROR(
((DaybyDay[[#This Row],[Actual-Rollup]]-DaybyDay[[#This Row],[Budget-Rollup]])/DaybyDay[[#This Row],[Budget-Rollup]]),0),"")</f>
        <v/>
      </c>
      <c r="X1358" t="b">
        <f>NOT(AND(ISBLANK(DaybyDay[[#This Row],[Appts]]),ISBLANK(DaybyDay[[#This Row],[Service-Actuals]]),ISBLANK(DaybyDay[[#This Row],[Retail-Actuals]])))</f>
        <v>0</v>
      </c>
      <c r="Y1358" s="36" t="str">
        <f>IF(DaybyDay[[#This Row],[_Space]],IFERROR(
((DaybyDay[[#This Row],[Actual-Rollup]]-DaybyDay[[#This Row],[LY-Rollup]])/DaybyDay[[#This Row],[LY-Rollup]]),0),"")</f>
        <v/>
      </c>
      <c r="Z1358"/>
      <c r="AA1358" s="37" t="str">
        <f>IF(DaybyDay[[#This Row],[_Space]],DaybyDay[[#This Row],[Ret-Act-RU]]/DaybyDay[[#This Row],[Serv-Act-RU]],"")</f>
        <v/>
      </c>
      <c r="AB1358" s="50" t="str">
        <f>IF(DaybyDay[[#This Row],[_Space]],DaybyDay[[#This Row],[RETPEN-Act]]/DaybyDay[[#This Row],[RETPEN-Bud]],"")</f>
        <v/>
      </c>
      <c r="AC1358" s="37" t="str">
        <f>IF(DaybyDay[[#This Row],[_Space]],DaybyDay[[#This Row],[Ret-Bud-RU]]/DaybyDay[[#This Row],[Serv-Bud-RU]],"")</f>
        <v/>
      </c>
      <c r="AD1358" s="37" t="str">
        <f>IF(DaybyDay[[#This Row],[_Space]],DaybyDay[[#This Row],[Ret-LY-RU]]/DaybyDay[[#This Row],[Serv-LY-RU]],"")</f>
        <v/>
      </c>
      <c r="AE1358" s="30">
        <f>WEEKDAY(DaybyDay[[#This Row],[LY-Date]])</f>
        <v>1</v>
      </c>
      <c r="AF1358" s="38">
        <f>$E$2+_xlfn.DAYS(DaybyDay[[#This Row],[Date]],minDate)</f>
        <v>43723</v>
      </c>
      <c r="AG1358" s="39" cm="1">
        <f t="array" ref="AG1358">IFERROR(INDEX(DaybyDay[],DaybyDay[[#This Row],[FORM_MATCH_HELPER]],8),"")</f>
        <v>28</v>
      </c>
      <c r="AH1358" s="39" cm="1">
        <f t="array" ref="AH1358">IFERROR(INDEX(DaybyDay[],DaybyDay[[#This Row],[FORM_MATCH_HELPER]],10),"")</f>
        <v>4394</v>
      </c>
      <c r="AI1358" s="39" cm="1">
        <f t="array" ref="AI1358">IFERROR(INDEX(DaybyDay[],DaybyDay[[#This Row],[FORM_MATCH_HELPER]],12),"")</f>
        <v>2613</v>
      </c>
      <c r="AJ1358" s="32">
        <f>IFERROR(DaybyDay[[#This Row],[Serv-LY-RU]]+DaybyDay[[#This Row],[Ret-LY-RU]],"")</f>
        <v>1533274.4409999985</v>
      </c>
      <c r="AK13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1523400.2128841029</v>
      </c>
      <c r="AL1358" s="77"/>
      <c r="AM1358" s="40" t="str">
        <f>IF(DaybyDay[[#This Row],[Admin Hours]]&gt;0,DaybyDay[[#This Row],[Admin Hours]]*$AM$2+$AM$3,"")</f>
        <v/>
      </c>
      <c r="AN1358" s="40">
        <f>SUMIFS(DaybyDay[Est-Admin-Payroll],DaybyDay[Date],"&gt;="&amp;$C$5,DaybyDay[RowYear],"&gt;="&amp;$C$4,DaybyDay[Date],"&lt;="&amp;DaybyDay[[#This Row],[Date]])</f>
        <v>13941.779999999997</v>
      </c>
      <c r="AO1358" s="41" t="str">
        <f>IF(AND(DaybyDay[[#This Row],[_Space]],ISNUMBER(DaybyDay[[#This Row],[Admin Hours]])),DaybyDay[[#This Row],[Est-Admin-Payroll]]/(DaybyDay[[#This Row],[Service-Actuals]]+DaybyDay[[#This Row],[Retail-Actuals]]),"")</f>
        <v/>
      </c>
      <c r="AP1358" s="41">
        <f>DaybyDay[[#This Row],[Estimated-Payroll-Rollup]]/DaybyDay[[#This Row],[Simple-Forecast]]</f>
        <v>9.1517513796360861E-3</v>
      </c>
      <c r="AQ13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297827.88844178373</v>
      </c>
      <c r="AR1358" s="77"/>
      <c r="AS1358" s="40" t="str">
        <f>IF(DaybyDay[[#This Row],[Retail Hours]]&gt;0,DaybyDay[[#This Row],[Retail Hours]]*$AS$2,"")</f>
        <v/>
      </c>
      <c r="AT1358" s="40">
        <f>SUMIFS(DaybyDay[Est-Retail-Payroll],DaybyDay[Date],"&gt;="&amp;$C$5,DaybyDay[RowYear],"&gt;="&amp;$C$4,DaybyDay[Date],"&lt;="&amp;DaybyDay[[#This Row],[Date]])</f>
        <v>2627.1</v>
      </c>
      <c r="AU1358" s="82" t="str">
        <f>IF(AND(DaybyDay[[#This Row],[_Space]],ISNUMBER(DaybyDay[[#This Row],[Retail Hours]])),DaybyDay[[#This Row],[Est-Retail-Payroll]]/(DaybyDay[[#This Row],[Retail-Actuals]]),"")</f>
        <v/>
      </c>
      <c r="AV1358" s="82">
        <f>DaybyDay[[#This Row],[Est-Retail-PayrollRU]]/DaybyDay[[#This Row],[Simple-Forecast-Retail]]</f>
        <v>8.8208663525260085E-3</v>
      </c>
      <c r="AW1358" s="8"/>
      <c r="AX1358" s="15"/>
      <c r="AY1358" s="8"/>
    </row>
    <row r="1359" spans="3:51" hidden="1" x14ac:dyDescent="0.25">
      <c r="C1359" s="26" t="str">
        <f>Tools!$C$1</f>
        <v>Example</v>
      </c>
      <c r="D1359" s="27" t="s">
        <v>76</v>
      </c>
      <c r="E1359" s="28">
        <v>2020</v>
      </c>
      <c r="F1359" s="28">
        <f>MATCH(DaybyDay[[#This Row],[RowMonth]],Table3[SummaryMonth],0)</f>
        <v>9</v>
      </c>
      <c r="G1359" s="29">
        <f>MATCH(DaybyDay[[#This Row],[LY-Date]],DaybyDay[Date],0)</f>
        <v>989</v>
      </c>
      <c r="H1359" s="30">
        <f>WEEKDAY(DaybyDay[[#This Row],[Date]])</f>
        <v>2</v>
      </c>
      <c r="I1359" s="31">
        <v>44088</v>
      </c>
      <c r="J1359" s="74"/>
      <c r="K1359" s="32">
        <f>SUMIFS(BudgetSeasonality[365 Seasonality],BudgetSeasonality[MonthAdjustment],DaybyDay[[#This Row],[Date]])*SUMIFS(Budgets[Service-Budget],Budgets[BudgetMonth],DaybyDay[[#This Row],[RowMonth]],Budgets[BudgetYear],DaybyDay[[#This Row],[RowYear]])</f>
        <v>3336.6651183498543</v>
      </c>
      <c r="L1359" s="75"/>
      <c r="M1359" s="32">
        <f>INDEX(BudgetSeasonality[365 Seasonality],MATCH(DaybyDay[[#This Row],[Date]],BudgetSeasonality[MonthAdjustment],0))*SUMIFS(Budgets[Retail-Budget],Budgets[BudgetMonth],DaybyDay[[#This Row],[RowMonth]],Budgets[BudgetYear],DaybyDay[[#This Row],[RowYear]])</f>
        <v>1044.463418504155</v>
      </c>
      <c r="N1359" s="75"/>
      <c r="O1359" s="33">
        <f>SUMIFS(DaybyDay[Service-Budgets],DaybyDay[Date],"&gt;="&amp;$C$5,DaybyDay[RowYear],"&gt;="&amp;$C$4,DaybyDay[Date],"&lt;="&amp;DaybyDay[[#This Row],[Date]])</f>
        <v>1367514.6253634002</v>
      </c>
      <c r="P1359" s="33">
        <f>SUMIFS(DaybyDay[Retail-Budgets],DaybyDay[Date],"&gt;="&amp;$C$5,DaybyDay[RowYear],"&gt;="&amp;$C$4,DaybyDay[Date],"&lt;="&amp;DaybyDay[[#This Row],[Date]])</f>
        <v>347793.10569557972</v>
      </c>
      <c r="Q1359" s="34">
        <f>SUMIFS(DaybyDay[Service-Actuals],DaybyDay[Date],"&gt;="&amp;$C$5,DaybyDay[RowYear],"&gt;="&amp;$C$4,DaybyDay[Date],"&lt;="&amp;DaybyDay[[#This Row],[Date]])</f>
        <v>385554.23</v>
      </c>
      <c r="R1359" s="34">
        <f>SUMIFS(DaybyDay[Retail-Actuals],DaybyDay[Date],"&gt;="&amp;$C$5,DaybyDay[RowYear],"&gt;="&amp;$C$4,DaybyDay[Date],"&lt;="&amp;DaybyDay[[#This Row],[Date]])</f>
        <v>88360.030000000028</v>
      </c>
      <c r="S1359" s="35">
        <f>SUMIFS(DaybyDay[Service-LY],DaybyDay[Date],"&gt;="&amp;$C$5,DaybyDay[RowYear],"&gt;="&amp;$C$4,DaybyDay[Date],"&lt;="&amp;DaybyDay[[#This Row],[Date]])</f>
        <v>1241047.2609999985</v>
      </c>
      <c r="T1359" s="35">
        <f>SUMIFS(DaybyDay[Retail-LY],DaybyDay[Date],"&gt;="&amp;$C$5,DaybyDay[RowYear],"&gt;="&amp;$C$4,DaybyDay[Date],"&lt;="&amp;DaybyDay[[#This Row],[Date]])</f>
        <v>297245.95</v>
      </c>
      <c r="U1359" s="32">
        <f>DaybyDay[[#This Row],[Serv-Bud-RU]]+DaybyDay[[#This Row],[Ret-Bud-RU]]</f>
        <v>1715307.7310589799</v>
      </c>
      <c r="V1359" s="32">
        <f>DaybyDay[[#This Row],[Serv-Act-RU]]+DaybyDay[[#This Row],[Ret-Act-RU]]</f>
        <v>473914.26</v>
      </c>
      <c r="W1359" s="36" t="str">
        <f>IF(DaybyDay[[#This Row],[_Space]],IFERROR(
((DaybyDay[[#This Row],[Actual-Rollup]]-DaybyDay[[#This Row],[Budget-Rollup]])/DaybyDay[[#This Row],[Budget-Rollup]]),0),"")</f>
        <v/>
      </c>
      <c r="X1359" t="b">
        <f>NOT(AND(ISBLANK(DaybyDay[[#This Row],[Appts]]),ISBLANK(DaybyDay[[#This Row],[Service-Actuals]]),ISBLANK(DaybyDay[[#This Row],[Retail-Actuals]])))</f>
        <v>0</v>
      </c>
      <c r="Y1359" s="36" t="str">
        <f>IF(DaybyDay[[#This Row],[_Space]],IFERROR(
((DaybyDay[[#This Row],[Actual-Rollup]]-DaybyDay[[#This Row],[LY-Rollup]])/DaybyDay[[#This Row],[LY-Rollup]]),0),"")</f>
        <v/>
      </c>
      <c r="Z1359"/>
      <c r="AA1359" s="37" t="str">
        <f>IF(DaybyDay[[#This Row],[_Space]],DaybyDay[[#This Row],[Ret-Act-RU]]/DaybyDay[[#This Row],[Serv-Act-RU]],"")</f>
        <v/>
      </c>
      <c r="AB1359" s="50" t="str">
        <f>IF(DaybyDay[[#This Row],[_Space]],DaybyDay[[#This Row],[RETPEN-Act]]/DaybyDay[[#This Row],[RETPEN-Bud]],"")</f>
        <v/>
      </c>
      <c r="AC1359" s="37" t="str">
        <f>IF(DaybyDay[[#This Row],[_Space]],DaybyDay[[#This Row],[Ret-Bud-RU]]/DaybyDay[[#This Row],[Serv-Bud-RU]],"")</f>
        <v/>
      </c>
      <c r="AD1359" s="37" t="str">
        <f>IF(DaybyDay[[#This Row],[_Space]],DaybyDay[[#This Row],[Ret-LY-RU]]/DaybyDay[[#This Row],[Serv-LY-RU]],"")</f>
        <v/>
      </c>
      <c r="AE1359" s="30">
        <f>WEEKDAY(DaybyDay[[#This Row],[LY-Date]])</f>
        <v>2</v>
      </c>
      <c r="AF1359" s="38">
        <f>$E$2+_xlfn.DAYS(DaybyDay[[#This Row],[Date]],minDate)</f>
        <v>43724</v>
      </c>
      <c r="AG1359" s="39" cm="1">
        <f t="array" ref="AG1359">IFERROR(INDEX(DaybyDay[],DaybyDay[[#This Row],[FORM_MATCH_HELPER]],8),"")</f>
        <v>19</v>
      </c>
      <c r="AH1359" s="39" cm="1">
        <f t="array" ref="AH1359">IFERROR(INDEX(DaybyDay[],DaybyDay[[#This Row],[FORM_MATCH_HELPER]],10),"")</f>
        <v>3401.7700000000004</v>
      </c>
      <c r="AI1359" s="39" cm="1">
        <f t="array" ref="AI1359">IFERROR(INDEX(DaybyDay[],DaybyDay[[#This Row],[FORM_MATCH_HELPER]],12),"")</f>
        <v>1617</v>
      </c>
      <c r="AJ1359" s="32">
        <f>IFERROR(DaybyDay[[#This Row],[Serv-LY-RU]]+DaybyDay[[#This Row],[Ret-LY-RU]],"")</f>
        <v>1538293.2109999985</v>
      </c>
      <c r="AK13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1527738.2175252982</v>
      </c>
      <c r="AL1359" s="77"/>
      <c r="AM1359" s="40" t="str">
        <f>IF(DaybyDay[[#This Row],[Admin Hours]]&gt;0,DaybyDay[[#This Row],[Admin Hours]]*$AM$2+$AM$3,"")</f>
        <v/>
      </c>
      <c r="AN1359" s="40">
        <f>SUMIFS(DaybyDay[Est-Admin-Payroll],DaybyDay[Date],"&gt;="&amp;$C$5,DaybyDay[RowYear],"&gt;="&amp;$C$4,DaybyDay[Date],"&lt;="&amp;DaybyDay[[#This Row],[Date]])</f>
        <v>13941.779999999997</v>
      </c>
      <c r="AO1359" s="41" t="str">
        <f>IF(AND(DaybyDay[[#This Row],[_Space]],ISNUMBER(DaybyDay[[#This Row],[Admin Hours]])),DaybyDay[[#This Row],[Est-Admin-Payroll]]/(DaybyDay[[#This Row],[Service-Actuals]]+DaybyDay[[#This Row],[Retail-Actuals]]),"")</f>
        <v/>
      </c>
      <c r="AP1359" s="41">
        <f>DaybyDay[[#This Row],[Estimated-Payroll-Rollup]]/DaybyDay[[#This Row],[Simple-Forecast]]</f>
        <v>9.1257650296812914E-3</v>
      </c>
      <c r="AQ13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299069.40687298914</v>
      </c>
      <c r="AR1359" s="77"/>
      <c r="AS1359" s="40" t="str">
        <f>IF(DaybyDay[[#This Row],[Retail Hours]]&gt;0,DaybyDay[[#This Row],[Retail Hours]]*$AS$2,"")</f>
        <v/>
      </c>
      <c r="AT1359" s="40">
        <f>SUMIFS(DaybyDay[Est-Retail-Payroll],DaybyDay[Date],"&gt;="&amp;$C$5,DaybyDay[RowYear],"&gt;="&amp;$C$4,DaybyDay[Date],"&lt;="&amp;DaybyDay[[#This Row],[Date]])</f>
        <v>2627.1</v>
      </c>
      <c r="AU1359" s="82" t="str">
        <f>IF(AND(DaybyDay[[#This Row],[_Space]],ISNUMBER(DaybyDay[[#This Row],[Retail Hours]])),DaybyDay[[#This Row],[Est-Retail-Payroll]]/(DaybyDay[[#This Row],[Retail-Actuals]]),"")</f>
        <v/>
      </c>
      <c r="AV1359" s="82">
        <f>DaybyDay[[#This Row],[Est-Retail-PayrollRU]]/DaybyDay[[#This Row],[Simple-Forecast-Retail]]</f>
        <v>8.784248537717183E-3</v>
      </c>
      <c r="AW1359" s="8"/>
      <c r="AX1359" s="15"/>
      <c r="AY1359" s="8"/>
    </row>
    <row r="1360" spans="3:51" hidden="1" x14ac:dyDescent="0.25">
      <c r="C1360" s="26" t="str">
        <f>Tools!$C$1</f>
        <v>Example</v>
      </c>
      <c r="D1360" s="27" t="s">
        <v>76</v>
      </c>
      <c r="E1360" s="28">
        <v>2020</v>
      </c>
      <c r="F1360" s="28">
        <f>MATCH(DaybyDay[[#This Row],[RowMonth]],Table3[SummaryMonth],0)</f>
        <v>9</v>
      </c>
      <c r="G1360" s="29">
        <f>MATCH(DaybyDay[[#This Row],[LY-Date]],DaybyDay[Date],0)</f>
        <v>990</v>
      </c>
      <c r="H1360" s="30">
        <f>WEEKDAY(DaybyDay[[#This Row],[Date]])</f>
        <v>3</v>
      </c>
      <c r="I1360" s="31">
        <v>44089</v>
      </c>
      <c r="J1360" s="74"/>
      <c r="K1360" s="32">
        <f>SUMIFS(BudgetSeasonality[365 Seasonality],BudgetSeasonality[MonthAdjustment],DaybyDay[[#This Row],[Date]])*SUMIFS(Budgets[Service-Budget],Budgets[BudgetMonth],DaybyDay[[#This Row],[RowMonth]],Budgets[BudgetYear],DaybyDay[[#This Row],[RowYear]])</f>
        <v>3433.8389905931135</v>
      </c>
      <c r="L1360" s="75"/>
      <c r="M1360" s="32">
        <f>INDEX(BudgetSeasonality[365 Seasonality],MATCH(DaybyDay[[#This Row],[Date]],BudgetSeasonality[MonthAdjustment],0))*SUMIFS(Budgets[Retail-Budget],Budgets[BudgetMonth],DaybyDay[[#This Row],[RowMonth]],Budgets[BudgetYear],DaybyDay[[#This Row],[RowYear]])</f>
        <v>1074.8813811082878</v>
      </c>
      <c r="N1360" s="75"/>
      <c r="O1360" s="33">
        <f>SUMIFS(DaybyDay[Service-Budgets],DaybyDay[Date],"&gt;="&amp;$C$5,DaybyDay[RowYear],"&gt;="&amp;$C$4,DaybyDay[Date],"&lt;="&amp;DaybyDay[[#This Row],[Date]])</f>
        <v>1370948.4643539933</v>
      </c>
      <c r="P1360" s="33">
        <f>SUMIFS(DaybyDay[Retail-Budgets],DaybyDay[Date],"&gt;="&amp;$C$5,DaybyDay[RowYear],"&gt;="&amp;$C$4,DaybyDay[Date],"&lt;="&amp;DaybyDay[[#This Row],[Date]])</f>
        <v>348867.98707668803</v>
      </c>
      <c r="Q1360" s="34">
        <f>SUMIFS(DaybyDay[Service-Actuals],DaybyDay[Date],"&gt;="&amp;$C$5,DaybyDay[RowYear],"&gt;="&amp;$C$4,DaybyDay[Date],"&lt;="&amp;DaybyDay[[#This Row],[Date]])</f>
        <v>385554.23</v>
      </c>
      <c r="R1360" s="34">
        <f>SUMIFS(DaybyDay[Retail-Actuals],DaybyDay[Date],"&gt;="&amp;$C$5,DaybyDay[RowYear],"&gt;="&amp;$C$4,DaybyDay[Date],"&lt;="&amp;DaybyDay[[#This Row],[Date]])</f>
        <v>88360.030000000028</v>
      </c>
      <c r="S1360" s="35">
        <f>SUMIFS(DaybyDay[Service-LY],DaybyDay[Date],"&gt;="&amp;$C$5,DaybyDay[RowYear],"&gt;="&amp;$C$4,DaybyDay[Date],"&lt;="&amp;DaybyDay[[#This Row],[Date]])</f>
        <v>1243841.4809999985</v>
      </c>
      <c r="T1360" s="35">
        <f>SUMIFS(DaybyDay[Retail-LY],DaybyDay[Date],"&gt;="&amp;$C$5,DaybyDay[RowYear],"&gt;="&amp;$C$4,DaybyDay[Date],"&lt;="&amp;DaybyDay[[#This Row],[Date]])</f>
        <v>299051.3</v>
      </c>
      <c r="U1360" s="32">
        <f>DaybyDay[[#This Row],[Serv-Bud-RU]]+DaybyDay[[#This Row],[Ret-Bud-RU]]</f>
        <v>1719816.4514306814</v>
      </c>
      <c r="V1360" s="32">
        <f>DaybyDay[[#This Row],[Serv-Act-RU]]+DaybyDay[[#This Row],[Ret-Act-RU]]</f>
        <v>473914.26</v>
      </c>
      <c r="W1360" s="36" t="str">
        <f>IF(DaybyDay[[#This Row],[_Space]],IFERROR(
((DaybyDay[[#This Row],[Actual-Rollup]]-DaybyDay[[#This Row],[Budget-Rollup]])/DaybyDay[[#This Row],[Budget-Rollup]]),0),"")</f>
        <v/>
      </c>
      <c r="X1360" t="b">
        <f>NOT(AND(ISBLANK(DaybyDay[[#This Row],[Appts]]),ISBLANK(DaybyDay[[#This Row],[Service-Actuals]]),ISBLANK(DaybyDay[[#This Row],[Retail-Actuals]])))</f>
        <v>0</v>
      </c>
      <c r="Y1360" s="36" t="str">
        <f>IF(DaybyDay[[#This Row],[_Space]],IFERROR(
((DaybyDay[[#This Row],[Actual-Rollup]]-DaybyDay[[#This Row],[LY-Rollup]])/DaybyDay[[#This Row],[LY-Rollup]]),0),"")</f>
        <v/>
      </c>
      <c r="Z1360"/>
      <c r="AA1360" s="37" t="str">
        <f>IF(DaybyDay[[#This Row],[_Space]],DaybyDay[[#This Row],[Ret-Act-RU]]/DaybyDay[[#This Row],[Serv-Act-RU]],"")</f>
        <v/>
      </c>
      <c r="AB1360" s="50" t="str">
        <f>IF(DaybyDay[[#This Row],[_Space]],DaybyDay[[#This Row],[RETPEN-Act]]/DaybyDay[[#This Row],[RETPEN-Bud]],"")</f>
        <v/>
      </c>
      <c r="AC1360" s="37" t="str">
        <f>IF(DaybyDay[[#This Row],[_Space]],DaybyDay[[#This Row],[Ret-Bud-RU]]/DaybyDay[[#This Row],[Serv-Bud-RU]],"")</f>
        <v/>
      </c>
      <c r="AD1360" s="37" t="str">
        <f>IF(DaybyDay[[#This Row],[_Space]],DaybyDay[[#This Row],[Ret-LY-RU]]/DaybyDay[[#This Row],[Serv-LY-RU]],"")</f>
        <v/>
      </c>
      <c r="AE1360" s="30">
        <f>WEEKDAY(DaybyDay[[#This Row],[LY-Date]])</f>
        <v>3</v>
      </c>
      <c r="AF1360" s="38">
        <f>$E$2+_xlfn.DAYS(DaybyDay[[#This Row],[Date]],minDate)</f>
        <v>43725</v>
      </c>
      <c r="AG1360" s="39" cm="1">
        <f t="array" ref="AG1360">IFERROR(INDEX(DaybyDay[],DaybyDay[[#This Row],[FORM_MATCH_HELPER]],8),"")</f>
        <v>13</v>
      </c>
      <c r="AH1360" s="39" cm="1">
        <f t="array" ref="AH1360">IFERROR(INDEX(DaybyDay[],DaybyDay[[#This Row],[FORM_MATCH_HELPER]],10),"")</f>
        <v>2794.22</v>
      </c>
      <c r="AI1360" s="39" cm="1">
        <f t="array" ref="AI1360">IFERROR(INDEX(DaybyDay[],DaybyDay[[#This Row],[FORM_MATCH_HELPER]],12),"")</f>
        <v>1805.35</v>
      </c>
      <c r="AJ1360" s="32">
        <f>IFERROR(DaybyDay[[#This Row],[Serv-LY-RU]]+DaybyDay[[#This Row],[Ret-LY-RU]],"")</f>
        <v>1542892.7809999986</v>
      </c>
      <c r="AK13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1531923.8102501398</v>
      </c>
      <c r="AL1360" s="77"/>
      <c r="AM1360" s="40" t="str">
        <f>IF(DaybyDay[[#This Row],[Admin Hours]]&gt;0,DaybyDay[[#This Row],[Admin Hours]]*$AM$2+$AM$3,"")</f>
        <v/>
      </c>
      <c r="AN1360" s="40">
        <f>SUMIFS(DaybyDay[Est-Admin-Payroll],DaybyDay[Date],"&gt;="&amp;$C$5,DaybyDay[RowYear],"&gt;="&amp;$C$4,DaybyDay[Date],"&lt;="&amp;DaybyDay[[#This Row],[Date]])</f>
        <v>13941.779999999997</v>
      </c>
      <c r="AO1360" s="41" t="str">
        <f>IF(AND(DaybyDay[[#This Row],[_Space]],ISNUMBER(DaybyDay[[#This Row],[Admin Hours]])),DaybyDay[[#This Row],[Est-Admin-Payroll]]/(DaybyDay[[#This Row],[Service-Actuals]]+DaybyDay[[#This Row],[Retail-Actuals]]),"")</f>
        <v/>
      </c>
      <c r="AP1360" s="41">
        <f>DaybyDay[[#This Row],[Estimated-Payroll-Rollup]]/DaybyDay[[#This Row],[Simple-Forecast]]</f>
        <v>9.1008311945510647E-3</v>
      </c>
      <c r="AQ13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300416.72842151823</v>
      </c>
      <c r="AR1360" s="77"/>
      <c r="AS1360" s="40" t="str">
        <f>IF(DaybyDay[[#This Row],[Retail Hours]]&gt;0,DaybyDay[[#This Row],[Retail Hours]]*$AS$2,"")</f>
        <v/>
      </c>
      <c r="AT1360" s="40">
        <f>SUMIFS(DaybyDay[Est-Retail-Payroll],DaybyDay[Date],"&gt;="&amp;$C$5,DaybyDay[RowYear],"&gt;="&amp;$C$4,DaybyDay[Date],"&lt;="&amp;DaybyDay[[#This Row],[Date]])</f>
        <v>2627.1</v>
      </c>
      <c r="AU1360" s="82" t="str">
        <f>IF(AND(DaybyDay[[#This Row],[_Space]],ISNUMBER(DaybyDay[[#This Row],[Retail Hours]])),DaybyDay[[#This Row],[Est-Retail-Payroll]]/(DaybyDay[[#This Row],[Retail-Actuals]]),"")</f>
        <v/>
      </c>
      <c r="AV1360" s="82">
        <f>DaybyDay[[#This Row],[Est-Retail-PayrollRU]]/DaybyDay[[#This Row],[Simple-Forecast-Retail]]</f>
        <v>8.7448525713051672E-3</v>
      </c>
      <c r="AW1360" s="8"/>
      <c r="AX1360" s="15"/>
      <c r="AY1360" s="8"/>
    </row>
    <row r="1361" spans="3:51" hidden="1" x14ac:dyDescent="0.25">
      <c r="C1361" s="26" t="str">
        <f>Tools!$C$1</f>
        <v>Example</v>
      </c>
      <c r="D1361" s="27" t="s">
        <v>76</v>
      </c>
      <c r="E1361" s="28">
        <v>2020</v>
      </c>
      <c r="F1361" s="28">
        <f>MATCH(DaybyDay[[#This Row],[RowMonth]],Table3[SummaryMonth],0)</f>
        <v>9</v>
      </c>
      <c r="G1361" s="29">
        <f>MATCH(DaybyDay[[#This Row],[LY-Date]],DaybyDay[Date],0)</f>
        <v>991</v>
      </c>
      <c r="H1361" s="30">
        <f>WEEKDAY(DaybyDay[[#This Row],[Date]])</f>
        <v>4</v>
      </c>
      <c r="I1361" s="31">
        <v>44090</v>
      </c>
      <c r="J1361" s="74"/>
      <c r="K1361" s="32">
        <f>SUMIFS(BudgetSeasonality[365 Seasonality],BudgetSeasonality[MonthAdjustment],DaybyDay[[#This Row],[Date]])*SUMIFS(Budgets[Service-Budget],Budgets[BudgetMonth],DaybyDay[[#This Row],[RowMonth]],Budgets[BudgetYear],DaybyDay[[#This Row],[RowYear]])</f>
        <v>4011.2005879508515</v>
      </c>
      <c r="L1361" s="75"/>
      <c r="M1361" s="32">
        <f>INDEX(BudgetSeasonality[365 Seasonality],MATCH(DaybyDay[[#This Row],[Date]],BudgetSeasonality[MonthAdjustment],0))*SUMIFS(Budgets[Retail-Budget],Budgets[BudgetMonth],DaybyDay[[#This Row],[RowMonth]],Budgets[BudgetYear],DaybyDay[[#This Row],[RowYear]])</f>
        <v>1255.6106560879455</v>
      </c>
      <c r="N1361" s="75"/>
      <c r="O1361" s="33">
        <f>SUMIFS(DaybyDay[Service-Budgets],DaybyDay[Date],"&gt;="&amp;$C$5,DaybyDay[RowYear],"&gt;="&amp;$C$4,DaybyDay[Date],"&lt;="&amp;DaybyDay[[#This Row],[Date]])</f>
        <v>1374959.6649419442</v>
      </c>
      <c r="P1361" s="33">
        <f>SUMIFS(DaybyDay[Retail-Budgets],DaybyDay[Date],"&gt;="&amp;$C$5,DaybyDay[RowYear],"&gt;="&amp;$C$4,DaybyDay[Date],"&lt;="&amp;DaybyDay[[#This Row],[Date]])</f>
        <v>350123.59773277596</v>
      </c>
      <c r="Q1361" s="34">
        <f>SUMIFS(DaybyDay[Service-Actuals],DaybyDay[Date],"&gt;="&amp;$C$5,DaybyDay[RowYear],"&gt;="&amp;$C$4,DaybyDay[Date],"&lt;="&amp;DaybyDay[[#This Row],[Date]])</f>
        <v>385554.23</v>
      </c>
      <c r="R1361" s="34">
        <f>SUMIFS(DaybyDay[Retail-Actuals],DaybyDay[Date],"&gt;="&amp;$C$5,DaybyDay[RowYear],"&gt;="&amp;$C$4,DaybyDay[Date],"&lt;="&amp;DaybyDay[[#This Row],[Date]])</f>
        <v>88360.030000000028</v>
      </c>
      <c r="S1361" s="35">
        <f>SUMIFS(DaybyDay[Service-LY],DaybyDay[Date],"&gt;="&amp;$C$5,DaybyDay[RowYear],"&gt;="&amp;$C$4,DaybyDay[Date],"&lt;="&amp;DaybyDay[[#This Row],[Date]])</f>
        <v>1247276.4809999985</v>
      </c>
      <c r="T1361" s="35">
        <f>SUMIFS(DaybyDay[Retail-LY],DaybyDay[Date],"&gt;="&amp;$C$5,DaybyDay[RowYear],"&gt;="&amp;$C$4,DaybyDay[Date],"&lt;="&amp;DaybyDay[[#This Row],[Date]])</f>
        <v>300308.08999999997</v>
      </c>
      <c r="U1361" s="32">
        <f>DaybyDay[[#This Row],[Serv-Bud-RU]]+DaybyDay[[#This Row],[Ret-Bud-RU]]</f>
        <v>1725083.26267472</v>
      </c>
      <c r="V1361" s="32">
        <f>DaybyDay[[#This Row],[Serv-Act-RU]]+DaybyDay[[#This Row],[Ret-Act-RU]]</f>
        <v>473914.26</v>
      </c>
      <c r="W1361" s="36" t="str">
        <f>IF(DaybyDay[[#This Row],[_Space]],IFERROR(
((DaybyDay[[#This Row],[Actual-Rollup]]-DaybyDay[[#This Row],[Budget-Rollup]])/DaybyDay[[#This Row],[Budget-Rollup]]),0),"")</f>
        <v/>
      </c>
      <c r="X1361" t="b">
        <f>NOT(AND(ISBLANK(DaybyDay[[#This Row],[Appts]]),ISBLANK(DaybyDay[[#This Row],[Service-Actuals]]),ISBLANK(DaybyDay[[#This Row],[Retail-Actuals]])))</f>
        <v>0</v>
      </c>
      <c r="Y1361" s="36" t="str">
        <f>IF(DaybyDay[[#This Row],[_Space]],IFERROR(
((DaybyDay[[#This Row],[Actual-Rollup]]-DaybyDay[[#This Row],[LY-Rollup]])/DaybyDay[[#This Row],[LY-Rollup]]),0),"")</f>
        <v/>
      </c>
      <c r="Z1361"/>
      <c r="AA1361" s="37" t="str">
        <f>IF(DaybyDay[[#This Row],[_Space]],DaybyDay[[#This Row],[Ret-Act-RU]]/DaybyDay[[#This Row],[Serv-Act-RU]],"")</f>
        <v/>
      </c>
      <c r="AB1361" s="50" t="str">
        <f>IF(DaybyDay[[#This Row],[_Space]],DaybyDay[[#This Row],[RETPEN-Act]]/DaybyDay[[#This Row],[RETPEN-Bud]],"")</f>
        <v/>
      </c>
      <c r="AC1361" s="37" t="str">
        <f>IF(DaybyDay[[#This Row],[_Space]],DaybyDay[[#This Row],[Ret-Bud-RU]]/DaybyDay[[#This Row],[Serv-Bud-RU]],"")</f>
        <v/>
      </c>
      <c r="AD1361" s="37" t="str">
        <f>IF(DaybyDay[[#This Row],[_Space]],DaybyDay[[#This Row],[Ret-LY-RU]]/DaybyDay[[#This Row],[Serv-LY-RU]],"")</f>
        <v/>
      </c>
      <c r="AE1361" s="30">
        <f>WEEKDAY(DaybyDay[[#This Row],[LY-Date]])</f>
        <v>4</v>
      </c>
      <c r="AF1361" s="38">
        <f>$E$2+_xlfn.DAYS(DaybyDay[[#This Row],[Date]],minDate)</f>
        <v>43726</v>
      </c>
      <c r="AG1361" s="39" cm="1">
        <f t="array" ref="AG1361">IFERROR(INDEX(DaybyDay[],DaybyDay[[#This Row],[FORM_MATCH_HELPER]],8),"")</f>
        <v>16</v>
      </c>
      <c r="AH1361" s="39" cm="1">
        <f t="array" ref="AH1361">IFERROR(INDEX(DaybyDay[],DaybyDay[[#This Row],[FORM_MATCH_HELPER]],10),"")</f>
        <v>3435</v>
      </c>
      <c r="AI1361" s="39" cm="1">
        <f t="array" ref="AI1361">IFERROR(INDEX(DaybyDay[],DaybyDay[[#This Row],[FORM_MATCH_HELPER]],12),"")</f>
        <v>1256.79</v>
      </c>
      <c r="AJ1361" s="32">
        <f>IFERROR(DaybyDay[[#This Row],[Serv-LY-RU]]+DaybyDay[[#This Row],[Ret-LY-RU]],"")</f>
        <v>1547584.5709999986</v>
      </c>
      <c r="AK13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1536477.3290239323</v>
      </c>
      <c r="AL1361" s="77"/>
      <c r="AM1361" s="40" t="str">
        <f>IF(DaybyDay[[#This Row],[Admin Hours]]&gt;0,DaybyDay[[#This Row],[Admin Hours]]*$AM$2+$AM$3,"")</f>
        <v/>
      </c>
      <c r="AN1361" s="40">
        <f>SUMIFS(DaybyDay[Est-Admin-Payroll],DaybyDay[Date],"&gt;="&amp;$C$5,DaybyDay[RowYear],"&gt;="&amp;$C$4,DaybyDay[Date],"&lt;="&amp;DaybyDay[[#This Row],[Date]])</f>
        <v>13941.779999999997</v>
      </c>
      <c r="AO1361" s="41" t="str">
        <f>IF(AND(DaybyDay[[#This Row],[_Space]],ISNUMBER(DaybyDay[[#This Row],[Admin Hours]])),DaybyDay[[#This Row],[Est-Admin-Payroll]]/(DaybyDay[[#This Row],[Service-Actuals]]+DaybyDay[[#This Row],[Retail-Actuals]]),"")</f>
        <v/>
      </c>
      <c r="AP1361" s="41">
        <f>DaybyDay[[#This Row],[Estimated-Payroll-Rollup]]/DaybyDay[[#This Row],[Simple-Forecast]]</f>
        <v>9.0738598849725294E-3</v>
      </c>
      <c r="AQ13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301570.46024883009</v>
      </c>
      <c r="AR1361" s="77"/>
      <c r="AS1361" s="40" t="str">
        <f>IF(DaybyDay[[#This Row],[Retail Hours]]&gt;0,DaybyDay[[#This Row],[Retail Hours]]*$AS$2,"")</f>
        <v/>
      </c>
      <c r="AT1361" s="40">
        <f>SUMIFS(DaybyDay[Est-Retail-Payroll],DaybyDay[Date],"&gt;="&amp;$C$5,DaybyDay[RowYear],"&gt;="&amp;$C$4,DaybyDay[Date],"&lt;="&amp;DaybyDay[[#This Row],[Date]])</f>
        <v>2627.1</v>
      </c>
      <c r="AU1361" s="82" t="str">
        <f>IF(AND(DaybyDay[[#This Row],[_Space]],ISNUMBER(DaybyDay[[#This Row],[Retail Hours]])),DaybyDay[[#This Row],[Est-Retail-Payroll]]/(DaybyDay[[#This Row],[Retail-Actuals]]),"")</f>
        <v/>
      </c>
      <c r="AV1361" s="82">
        <f>DaybyDay[[#This Row],[Est-Retail-PayrollRU]]/DaybyDay[[#This Row],[Simple-Forecast-Retail]]</f>
        <v>8.7113969910459482E-3</v>
      </c>
      <c r="AW1361" s="8"/>
      <c r="AX1361" s="15"/>
      <c r="AY1361" s="8"/>
    </row>
    <row r="1362" spans="3:51" hidden="1" x14ac:dyDescent="0.25">
      <c r="C1362" s="26" t="str">
        <f>Tools!$C$1</f>
        <v>Example</v>
      </c>
      <c r="D1362" s="27" t="s">
        <v>76</v>
      </c>
      <c r="E1362" s="28">
        <v>2020</v>
      </c>
      <c r="F1362" s="28">
        <f>MATCH(DaybyDay[[#This Row],[RowMonth]],Table3[SummaryMonth],0)</f>
        <v>9</v>
      </c>
      <c r="G1362" s="29">
        <f>MATCH(DaybyDay[[#This Row],[LY-Date]],DaybyDay[Date],0)</f>
        <v>992</v>
      </c>
      <c r="H1362" s="30">
        <f>WEEKDAY(DaybyDay[[#This Row],[Date]])</f>
        <v>5</v>
      </c>
      <c r="I1362" s="31">
        <v>44091</v>
      </c>
      <c r="J1362" s="74"/>
      <c r="K1362" s="32">
        <f>SUMIFS(BudgetSeasonality[365 Seasonality],BudgetSeasonality[MonthAdjustment],DaybyDay[[#This Row],[Date]])*SUMIFS(Budgets[Service-Budget],Budgets[BudgetMonth],DaybyDay[[#This Row],[RowMonth]],Budgets[BudgetYear],DaybyDay[[#This Row],[RowYear]])</f>
        <v>4107.4945218938465</v>
      </c>
      <c r="L1362" s="75"/>
      <c r="M1362" s="32">
        <f>INDEX(BudgetSeasonality[365 Seasonality],MATCH(DaybyDay[[#This Row],[Date]],BudgetSeasonality[MonthAdjustment],0))*SUMIFS(Budgets[Retail-Budget],Budgets[BudgetMonth],DaybyDay[[#This Row],[RowMonth]],Budgets[BudgetYear],DaybyDay[[#This Row],[RowYear]])</f>
        <v>1285.7531749982797</v>
      </c>
      <c r="N1362" s="75"/>
      <c r="O1362" s="33">
        <f>SUMIFS(DaybyDay[Service-Budgets],DaybyDay[Date],"&gt;="&amp;$C$5,DaybyDay[RowYear],"&gt;="&amp;$C$4,DaybyDay[Date],"&lt;="&amp;DaybyDay[[#This Row],[Date]])</f>
        <v>1379067.159463838</v>
      </c>
      <c r="P1362" s="33">
        <f>SUMIFS(DaybyDay[Retail-Budgets],DaybyDay[Date],"&gt;="&amp;$C$5,DaybyDay[RowYear],"&gt;="&amp;$C$4,DaybyDay[Date],"&lt;="&amp;DaybyDay[[#This Row],[Date]])</f>
        <v>351409.35090777423</v>
      </c>
      <c r="Q1362" s="34">
        <f>SUMIFS(DaybyDay[Service-Actuals],DaybyDay[Date],"&gt;="&amp;$C$5,DaybyDay[RowYear],"&gt;="&amp;$C$4,DaybyDay[Date],"&lt;="&amp;DaybyDay[[#This Row],[Date]])</f>
        <v>385554.23</v>
      </c>
      <c r="R1362" s="34">
        <f>SUMIFS(DaybyDay[Retail-Actuals],DaybyDay[Date],"&gt;="&amp;$C$5,DaybyDay[RowYear],"&gt;="&amp;$C$4,DaybyDay[Date],"&lt;="&amp;DaybyDay[[#This Row],[Date]])</f>
        <v>88360.030000000028</v>
      </c>
      <c r="S1362" s="35">
        <f>SUMIFS(DaybyDay[Service-LY],DaybyDay[Date],"&gt;="&amp;$C$5,DaybyDay[RowYear],"&gt;="&amp;$C$4,DaybyDay[Date],"&lt;="&amp;DaybyDay[[#This Row],[Date]])</f>
        <v>1249532.6809999985</v>
      </c>
      <c r="T1362" s="35">
        <f>SUMIFS(DaybyDay[Retail-LY],DaybyDay[Date],"&gt;="&amp;$C$5,DaybyDay[RowYear],"&gt;="&amp;$C$4,DaybyDay[Date],"&lt;="&amp;DaybyDay[[#This Row],[Date]])</f>
        <v>300800.88999999996</v>
      </c>
      <c r="U1362" s="32">
        <f>DaybyDay[[#This Row],[Serv-Bud-RU]]+DaybyDay[[#This Row],[Ret-Bud-RU]]</f>
        <v>1730476.5103716122</v>
      </c>
      <c r="V1362" s="32">
        <f>DaybyDay[[#This Row],[Serv-Act-RU]]+DaybyDay[[#This Row],[Ret-Act-RU]]</f>
        <v>473914.26</v>
      </c>
      <c r="W1362" s="36" t="str">
        <f>IF(DaybyDay[[#This Row],[_Space]],IFERROR(
((DaybyDay[[#This Row],[Actual-Rollup]]-DaybyDay[[#This Row],[Budget-Rollup]])/DaybyDay[[#This Row],[Budget-Rollup]]),0),"")</f>
        <v/>
      </c>
      <c r="X1362" t="b">
        <f>NOT(AND(ISBLANK(DaybyDay[[#This Row],[Appts]]),ISBLANK(DaybyDay[[#This Row],[Service-Actuals]]),ISBLANK(DaybyDay[[#This Row],[Retail-Actuals]])))</f>
        <v>0</v>
      </c>
      <c r="Y1362" s="36" t="str">
        <f>IF(DaybyDay[[#This Row],[_Space]],IFERROR(
((DaybyDay[[#This Row],[Actual-Rollup]]-DaybyDay[[#This Row],[LY-Rollup]])/DaybyDay[[#This Row],[LY-Rollup]]),0),"")</f>
        <v/>
      </c>
      <c r="Z1362"/>
      <c r="AA1362" s="37" t="str">
        <f>IF(DaybyDay[[#This Row],[_Space]],DaybyDay[[#This Row],[Ret-Act-RU]]/DaybyDay[[#This Row],[Serv-Act-RU]],"")</f>
        <v/>
      </c>
      <c r="AB1362" s="50" t="str">
        <f>IF(DaybyDay[[#This Row],[_Space]],DaybyDay[[#This Row],[RETPEN-Act]]/DaybyDay[[#This Row],[RETPEN-Bud]],"")</f>
        <v/>
      </c>
      <c r="AC1362" s="37" t="str">
        <f>IF(DaybyDay[[#This Row],[_Space]],DaybyDay[[#This Row],[Ret-Bud-RU]]/DaybyDay[[#This Row],[Serv-Bud-RU]],"")</f>
        <v/>
      </c>
      <c r="AD1362" s="37" t="str">
        <f>IF(DaybyDay[[#This Row],[_Space]],DaybyDay[[#This Row],[Ret-LY-RU]]/DaybyDay[[#This Row],[Serv-LY-RU]],"")</f>
        <v/>
      </c>
      <c r="AE1362" s="30">
        <f>WEEKDAY(DaybyDay[[#This Row],[LY-Date]])</f>
        <v>5</v>
      </c>
      <c r="AF1362" s="38">
        <f>$E$2+_xlfn.DAYS(DaybyDay[[#This Row],[Date]],minDate)</f>
        <v>43727</v>
      </c>
      <c r="AG1362" s="39" cm="1">
        <f t="array" ref="AG1362">IFERROR(INDEX(DaybyDay[],DaybyDay[[#This Row],[FORM_MATCH_HELPER]],8),"")</f>
        <v>11</v>
      </c>
      <c r="AH1362" s="39" cm="1">
        <f t="array" ref="AH1362">IFERROR(INDEX(DaybyDay[],DaybyDay[[#This Row],[FORM_MATCH_HELPER]],10),"")</f>
        <v>2256.1999999999998</v>
      </c>
      <c r="AI1362" s="39" cm="1">
        <f t="array" ref="AI1362">IFERROR(INDEX(DaybyDay[],DaybyDay[[#This Row],[FORM_MATCH_HELPER]],12),"")</f>
        <v>492.8</v>
      </c>
      <c r="AJ1362" s="32">
        <f>IFERROR(DaybyDay[[#This Row],[Serv-LY-RU]]+DaybyDay[[#This Row],[Ret-LY-RU]],"")</f>
        <v>1550333.5709999984</v>
      </c>
      <c r="AK13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1540126.7487148247</v>
      </c>
      <c r="AL1362" s="77"/>
      <c r="AM1362" s="40" t="str">
        <f>IF(DaybyDay[[#This Row],[Admin Hours]]&gt;0,DaybyDay[[#This Row],[Admin Hours]]*$AM$2+$AM$3,"")</f>
        <v/>
      </c>
      <c r="AN1362" s="40">
        <f>SUMIFS(DaybyDay[Est-Admin-Payroll],DaybyDay[Date],"&gt;="&amp;$C$5,DaybyDay[RowYear],"&gt;="&amp;$C$4,DaybyDay[Date],"&lt;="&amp;DaybyDay[[#This Row],[Date]])</f>
        <v>13941.779999999997</v>
      </c>
      <c r="AO1362" s="41" t="str">
        <f>IF(AND(DaybyDay[[#This Row],[_Space]],ISNUMBER(DaybyDay[[#This Row],[Admin Hours]])),DaybyDay[[#This Row],[Est-Admin-Payroll]]/(DaybyDay[[#This Row],[Service-Actuals]]+DaybyDay[[#This Row],[Retail-Actuals]]),"")</f>
        <v/>
      </c>
      <c r="AP1362" s="41">
        <f>DaybyDay[[#This Row],[Estimated-Payroll-Rollup]]/DaybyDay[[#This Row],[Simple-Forecast]]</f>
        <v>9.0523588474999642E-3</v>
      </c>
      <c r="AQ13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302360.33325222199</v>
      </c>
      <c r="AR1362" s="77"/>
      <c r="AS1362" s="40" t="str">
        <f>IF(DaybyDay[[#This Row],[Retail Hours]]&gt;0,DaybyDay[[#This Row],[Retail Hours]]*$AS$2,"")</f>
        <v/>
      </c>
      <c r="AT1362" s="40">
        <f>SUMIFS(DaybyDay[Est-Retail-Payroll],DaybyDay[Date],"&gt;="&amp;$C$5,DaybyDay[RowYear],"&gt;="&amp;$C$4,DaybyDay[Date],"&lt;="&amp;DaybyDay[[#This Row],[Date]])</f>
        <v>2627.1</v>
      </c>
      <c r="AU1362" s="82" t="str">
        <f>IF(AND(DaybyDay[[#This Row],[_Space]],ISNUMBER(DaybyDay[[#This Row],[Retail Hours]])),DaybyDay[[#This Row],[Est-Retail-Payroll]]/(DaybyDay[[#This Row],[Retail-Actuals]]),"")</f>
        <v/>
      </c>
      <c r="AV1362" s="82">
        <f>DaybyDay[[#This Row],[Est-Retail-PayrollRU]]/DaybyDay[[#This Row],[Simple-Forecast-Retail]]</f>
        <v>8.6886397158734904E-3</v>
      </c>
      <c r="AW1362" s="8"/>
      <c r="AX1362" s="15"/>
      <c r="AY1362" s="8"/>
    </row>
    <row r="1363" spans="3:51" hidden="1" x14ac:dyDescent="0.25">
      <c r="C1363" s="26" t="str">
        <f>Tools!$C$1</f>
        <v>Example</v>
      </c>
      <c r="D1363" s="27" t="s">
        <v>76</v>
      </c>
      <c r="E1363" s="28">
        <v>2020</v>
      </c>
      <c r="F1363" s="28">
        <f>MATCH(DaybyDay[[#This Row],[RowMonth]],Table3[SummaryMonth],0)</f>
        <v>9</v>
      </c>
      <c r="G1363" s="29">
        <f>MATCH(DaybyDay[[#This Row],[LY-Date]],DaybyDay[Date],0)</f>
        <v>993</v>
      </c>
      <c r="H1363" s="30">
        <f>WEEKDAY(DaybyDay[[#This Row],[Date]])</f>
        <v>6</v>
      </c>
      <c r="I1363" s="31">
        <v>44092</v>
      </c>
      <c r="J1363" s="74"/>
      <c r="K1363" s="32">
        <f>SUMIFS(BudgetSeasonality[365 Seasonality],BudgetSeasonality[MonthAdjustment],DaybyDay[[#This Row],[Date]])*SUMIFS(Budgets[Service-Budget],Budgets[BudgetMonth],DaybyDay[[#This Row],[RowMonth]],Budgets[BudgetYear],DaybyDay[[#This Row],[RowYear]])</f>
        <v>5213.8938746426384</v>
      </c>
      <c r="L1363" s="75"/>
      <c r="M1363" s="32">
        <f>INDEX(BudgetSeasonality[365 Seasonality],MATCH(DaybyDay[[#This Row],[Date]],BudgetSeasonality[MonthAdjustment],0))*SUMIFS(Budgets[Retail-Budget],Budgets[BudgetMonth],DaybyDay[[#This Row],[RowMonth]],Budgets[BudgetYear],DaybyDay[[#This Row],[RowYear]])</f>
        <v>1632.0850990045719</v>
      </c>
      <c r="N1363" s="75"/>
      <c r="O1363" s="33">
        <f>SUMIFS(DaybyDay[Service-Budgets],DaybyDay[Date],"&gt;="&amp;$C$5,DaybyDay[RowYear],"&gt;="&amp;$C$4,DaybyDay[Date],"&lt;="&amp;DaybyDay[[#This Row],[Date]])</f>
        <v>1384281.0533384806</v>
      </c>
      <c r="P1363" s="33">
        <f>SUMIFS(DaybyDay[Retail-Budgets],DaybyDay[Date],"&gt;="&amp;$C$5,DaybyDay[RowYear],"&gt;="&amp;$C$4,DaybyDay[Date],"&lt;="&amp;DaybyDay[[#This Row],[Date]])</f>
        <v>353041.43600677879</v>
      </c>
      <c r="Q1363" s="34">
        <f>SUMIFS(DaybyDay[Service-Actuals],DaybyDay[Date],"&gt;="&amp;$C$5,DaybyDay[RowYear],"&gt;="&amp;$C$4,DaybyDay[Date],"&lt;="&amp;DaybyDay[[#This Row],[Date]])</f>
        <v>385554.23</v>
      </c>
      <c r="R1363" s="34">
        <f>SUMIFS(DaybyDay[Retail-Actuals],DaybyDay[Date],"&gt;="&amp;$C$5,DaybyDay[RowYear],"&gt;="&amp;$C$4,DaybyDay[Date],"&lt;="&amp;DaybyDay[[#This Row],[Date]])</f>
        <v>88360.030000000028</v>
      </c>
      <c r="S1363" s="35">
        <f>SUMIFS(DaybyDay[Service-LY],DaybyDay[Date],"&gt;="&amp;$C$5,DaybyDay[RowYear],"&gt;="&amp;$C$4,DaybyDay[Date],"&lt;="&amp;DaybyDay[[#This Row],[Date]])</f>
        <v>1254292.0309999986</v>
      </c>
      <c r="T1363" s="35">
        <f>SUMIFS(DaybyDay[Retail-LY],DaybyDay[Date],"&gt;="&amp;$C$5,DaybyDay[RowYear],"&gt;="&amp;$C$4,DaybyDay[Date],"&lt;="&amp;DaybyDay[[#This Row],[Date]])</f>
        <v>301559.58999999997</v>
      </c>
      <c r="U1363" s="32">
        <f>DaybyDay[[#This Row],[Serv-Bud-RU]]+DaybyDay[[#This Row],[Ret-Bud-RU]]</f>
        <v>1737322.4893452595</v>
      </c>
      <c r="V1363" s="32">
        <f>DaybyDay[[#This Row],[Serv-Act-RU]]+DaybyDay[[#This Row],[Ret-Act-RU]]</f>
        <v>473914.26</v>
      </c>
      <c r="W1363" s="36" t="str">
        <f>IF(DaybyDay[[#This Row],[_Space]],IFERROR(
((DaybyDay[[#This Row],[Actual-Rollup]]-DaybyDay[[#This Row],[Budget-Rollup]])/DaybyDay[[#This Row],[Budget-Rollup]]),0),"")</f>
        <v/>
      </c>
      <c r="X1363" t="b">
        <f>NOT(AND(ISBLANK(DaybyDay[[#This Row],[Appts]]),ISBLANK(DaybyDay[[#This Row],[Service-Actuals]]),ISBLANK(DaybyDay[[#This Row],[Retail-Actuals]])))</f>
        <v>0</v>
      </c>
      <c r="Y1363" s="36" t="str">
        <f>IF(DaybyDay[[#This Row],[_Space]],IFERROR(
((DaybyDay[[#This Row],[Actual-Rollup]]-DaybyDay[[#This Row],[LY-Rollup]])/DaybyDay[[#This Row],[LY-Rollup]]),0),"")</f>
        <v/>
      </c>
      <c r="Z1363"/>
      <c r="AA1363" s="37" t="str">
        <f>IF(DaybyDay[[#This Row],[_Space]],DaybyDay[[#This Row],[Ret-Act-RU]]/DaybyDay[[#This Row],[Serv-Act-RU]],"")</f>
        <v/>
      </c>
      <c r="AB1363" s="50" t="str">
        <f>IF(DaybyDay[[#This Row],[_Space]],DaybyDay[[#This Row],[RETPEN-Act]]/DaybyDay[[#This Row],[RETPEN-Bud]],"")</f>
        <v/>
      </c>
      <c r="AC1363" s="37" t="str">
        <f>IF(DaybyDay[[#This Row],[_Space]],DaybyDay[[#This Row],[Ret-Bud-RU]]/DaybyDay[[#This Row],[Serv-Bud-RU]],"")</f>
        <v/>
      </c>
      <c r="AD1363" s="37" t="str">
        <f>IF(DaybyDay[[#This Row],[_Space]],DaybyDay[[#This Row],[Ret-LY-RU]]/DaybyDay[[#This Row],[Serv-LY-RU]],"")</f>
        <v/>
      </c>
      <c r="AE1363" s="30">
        <f>WEEKDAY(DaybyDay[[#This Row],[LY-Date]])</f>
        <v>6</v>
      </c>
      <c r="AF1363" s="38">
        <f>$E$2+_xlfn.DAYS(DaybyDay[[#This Row],[Date]],minDate)</f>
        <v>43728</v>
      </c>
      <c r="AG1363" s="39" cm="1">
        <f t="array" ref="AG1363">IFERROR(INDEX(DaybyDay[],DaybyDay[[#This Row],[FORM_MATCH_HELPER]],8),"")</f>
        <v>20</v>
      </c>
      <c r="AH1363" s="39" cm="1">
        <f t="array" ref="AH1363">IFERROR(INDEX(DaybyDay[],DaybyDay[[#This Row],[FORM_MATCH_HELPER]],10),"")</f>
        <v>4759.3500000000004</v>
      </c>
      <c r="AI1363" s="39" cm="1">
        <f t="array" ref="AI1363">IFERROR(INDEX(DaybyDay[],DaybyDay[[#This Row],[FORM_MATCH_HELPER]],12),"")</f>
        <v>758.7</v>
      </c>
      <c r="AJ1363" s="32">
        <f>IFERROR(DaybyDay[[#This Row],[Serv-LY-RU]]+DaybyDay[[#This Row],[Ret-LY-RU]],"")</f>
        <v>1555851.6209999984</v>
      </c>
      <c r="AK13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1545759.3559778575</v>
      </c>
      <c r="AL1363" s="77"/>
      <c r="AM1363" s="40" t="str">
        <f>IF(DaybyDay[[#This Row],[Admin Hours]]&gt;0,DaybyDay[[#This Row],[Admin Hours]]*$AM$2+$AM$3,"")</f>
        <v/>
      </c>
      <c r="AN1363" s="40">
        <f>SUMIFS(DaybyDay[Est-Admin-Payroll],DaybyDay[Date],"&gt;="&amp;$C$5,DaybyDay[RowYear],"&gt;="&amp;$C$4,DaybyDay[Date],"&lt;="&amp;DaybyDay[[#This Row],[Date]])</f>
        <v>13941.779999999997</v>
      </c>
      <c r="AO1363" s="41" t="str">
        <f>IF(AND(DaybyDay[[#This Row],[_Space]],ISNUMBER(DaybyDay[[#This Row],[Admin Hours]])),DaybyDay[[#This Row],[Est-Admin-Payroll]]/(DaybyDay[[#This Row],[Service-Actuals]]+DaybyDay[[#This Row],[Retail-Actuals]]),"")</f>
        <v/>
      </c>
      <c r="AP1363" s="41">
        <f>DaybyDay[[#This Row],[Estimated-Payroll-Rollup]]/DaybyDay[[#This Row],[Simple-Forecast]]</f>
        <v>9.0193728707405017E-3</v>
      </c>
      <c r="AQ13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303428.62039943482</v>
      </c>
      <c r="AR1363" s="77"/>
      <c r="AS1363" s="40" t="str">
        <f>IF(DaybyDay[[#This Row],[Retail Hours]]&gt;0,DaybyDay[[#This Row],[Retail Hours]]*$AS$2,"")</f>
        <v/>
      </c>
      <c r="AT1363" s="40">
        <f>SUMIFS(DaybyDay[Est-Retail-Payroll],DaybyDay[Date],"&gt;="&amp;$C$5,DaybyDay[RowYear],"&gt;="&amp;$C$4,DaybyDay[Date],"&lt;="&amp;DaybyDay[[#This Row],[Date]])</f>
        <v>2627.1</v>
      </c>
      <c r="AU1363" s="82" t="str">
        <f>IF(AND(DaybyDay[[#This Row],[_Space]],ISNUMBER(DaybyDay[[#This Row],[Retail Hours]])),DaybyDay[[#This Row],[Est-Retail-Payroll]]/(DaybyDay[[#This Row],[Retail-Actuals]]),"")</f>
        <v/>
      </c>
      <c r="AV1363" s="82">
        <f>DaybyDay[[#This Row],[Est-Retail-PayrollRU]]/DaybyDay[[#This Row],[Simple-Forecast-Retail]]</f>
        <v>8.65804945012001E-3</v>
      </c>
      <c r="AW1363" s="8"/>
      <c r="AX1363" s="15"/>
      <c r="AY1363" s="8"/>
    </row>
    <row r="1364" spans="3:51" hidden="1" x14ac:dyDescent="0.25">
      <c r="C1364" s="26" t="str">
        <f>Tools!$C$1</f>
        <v>Example</v>
      </c>
      <c r="D1364" s="27" t="s">
        <v>76</v>
      </c>
      <c r="E1364" s="28">
        <v>2020</v>
      </c>
      <c r="F1364" s="28">
        <f>MATCH(DaybyDay[[#This Row],[RowMonth]],Table3[SummaryMonth],0)</f>
        <v>9</v>
      </c>
      <c r="G1364" s="29">
        <f>MATCH(DaybyDay[[#This Row],[LY-Date]],DaybyDay[Date],0)</f>
        <v>994</v>
      </c>
      <c r="H1364" s="30">
        <f>WEEKDAY(DaybyDay[[#This Row],[Date]])</f>
        <v>7</v>
      </c>
      <c r="I1364" s="31">
        <v>44093</v>
      </c>
      <c r="J1364" s="74"/>
      <c r="K1364" s="32">
        <f>SUMIFS(BudgetSeasonality[365 Seasonality],BudgetSeasonality[MonthAdjustment],DaybyDay[[#This Row],[Date]])*SUMIFS(Budgets[Service-Budget],Budgets[BudgetMonth],DaybyDay[[#This Row],[RowMonth]],Budgets[BudgetYear],DaybyDay[[#This Row],[RowYear]])</f>
        <v>7589.8160977340731</v>
      </c>
      <c r="L1364" s="75"/>
      <c r="M1364" s="32">
        <f>INDEX(BudgetSeasonality[365 Seasonality],MATCH(DaybyDay[[#This Row],[Date]],BudgetSeasonality[MonthAdjustment],0))*SUMIFS(Budgets[Retail-Budget],Budgets[BudgetMonth],DaybyDay[[#This Row],[RowMonth]],Budgets[BudgetYear],DaybyDay[[#This Row],[RowYear]])</f>
        <v>2375.8108728566772</v>
      </c>
      <c r="N1364" s="75"/>
      <c r="O1364" s="33">
        <f>SUMIFS(DaybyDay[Service-Budgets],DaybyDay[Date],"&gt;="&amp;$C$5,DaybyDay[RowYear],"&gt;="&amp;$C$4,DaybyDay[Date],"&lt;="&amp;DaybyDay[[#This Row],[Date]])</f>
        <v>1391870.8694362147</v>
      </c>
      <c r="P1364" s="33">
        <f>SUMIFS(DaybyDay[Retail-Budgets],DaybyDay[Date],"&gt;="&amp;$C$5,DaybyDay[RowYear],"&gt;="&amp;$C$4,DaybyDay[Date],"&lt;="&amp;DaybyDay[[#This Row],[Date]])</f>
        <v>355417.2468796355</v>
      </c>
      <c r="Q1364" s="34">
        <f>SUMIFS(DaybyDay[Service-Actuals],DaybyDay[Date],"&gt;="&amp;$C$5,DaybyDay[RowYear],"&gt;="&amp;$C$4,DaybyDay[Date],"&lt;="&amp;DaybyDay[[#This Row],[Date]])</f>
        <v>385554.23</v>
      </c>
      <c r="R1364" s="34">
        <f>SUMIFS(DaybyDay[Retail-Actuals],DaybyDay[Date],"&gt;="&amp;$C$5,DaybyDay[RowYear],"&gt;="&amp;$C$4,DaybyDay[Date],"&lt;="&amp;DaybyDay[[#This Row],[Date]])</f>
        <v>88360.030000000028</v>
      </c>
      <c r="S1364" s="35">
        <f>SUMIFS(DaybyDay[Service-LY],DaybyDay[Date],"&gt;="&amp;$C$5,DaybyDay[RowYear],"&gt;="&amp;$C$4,DaybyDay[Date],"&lt;="&amp;DaybyDay[[#This Row],[Date]])</f>
        <v>1261525.7809999986</v>
      </c>
      <c r="T1364" s="35">
        <f>SUMIFS(DaybyDay[Retail-LY],DaybyDay[Date],"&gt;="&amp;$C$5,DaybyDay[RowYear],"&gt;="&amp;$C$4,DaybyDay[Date],"&lt;="&amp;DaybyDay[[#This Row],[Date]])</f>
        <v>302830.07999999996</v>
      </c>
      <c r="U1364" s="32">
        <f>DaybyDay[[#This Row],[Serv-Bud-RU]]+DaybyDay[[#This Row],[Ret-Bud-RU]]</f>
        <v>1747288.1163158501</v>
      </c>
      <c r="V1364" s="32">
        <f>DaybyDay[[#This Row],[Serv-Act-RU]]+DaybyDay[[#This Row],[Ret-Act-RU]]</f>
        <v>473914.26</v>
      </c>
      <c r="W1364" s="36" t="str">
        <f>IF(DaybyDay[[#This Row],[_Space]],IFERROR(
((DaybyDay[[#This Row],[Actual-Rollup]]-DaybyDay[[#This Row],[Budget-Rollup]])/DaybyDay[[#This Row],[Budget-Rollup]]),0),"")</f>
        <v/>
      </c>
      <c r="X1364" t="b">
        <f>NOT(AND(ISBLANK(DaybyDay[[#This Row],[Appts]]),ISBLANK(DaybyDay[[#This Row],[Service-Actuals]]),ISBLANK(DaybyDay[[#This Row],[Retail-Actuals]])))</f>
        <v>0</v>
      </c>
      <c r="Y1364" s="36" t="str">
        <f>IF(DaybyDay[[#This Row],[_Space]],IFERROR(
((DaybyDay[[#This Row],[Actual-Rollup]]-DaybyDay[[#This Row],[LY-Rollup]])/DaybyDay[[#This Row],[LY-Rollup]]),0),"")</f>
        <v/>
      </c>
      <c r="Z1364"/>
      <c r="AA1364" s="37" t="str">
        <f>IF(DaybyDay[[#This Row],[_Space]],DaybyDay[[#This Row],[Ret-Act-RU]]/DaybyDay[[#This Row],[Serv-Act-RU]],"")</f>
        <v/>
      </c>
      <c r="AB1364" s="50" t="str">
        <f>IF(DaybyDay[[#This Row],[_Space]],DaybyDay[[#This Row],[RETPEN-Act]]/DaybyDay[[#This Row],[RETPEN-Bud]],"")</f>
        <v/>
      </c>
      <c r="AC1364" s="37" t="str">
        <f>IF(DaybyDay[[#This Row],[_Space]],DaybyDay[[#This Row],[Ret-Bud-RU]]/DaybyDay[[#This Row],[Serv-Bud-RU]],"")</f>
        <v/>
      </c>
      <c r="AD1364" s="37" t="str">
        <f>IF(DaybyDay[[#This Row],[_Space]],DaybyDay[[#This Row],[Ret-LY-RU]]/DaybyDay[[#This Row],[Serv-LY-RU]],"")</f>
        <v/>
      </c>
      <c r="AE1364" s="30">
        <f>WEEKDAY(DaybyDay[[#This Row],[LY-Date]])</f>
        <v>7</v>
      </c>
      <c r="AF1364" s="38">
        <f>$E$2+_xlfn.DAYS(DaybyDay[[#This Row],[Date]],minDate)</f>
        <v>43729</v>
      </c>
      <c r="AG1364" s="39" cm="1">
        <f t="array" ref="AG1364">IFERROR(INDEX(DaybyDay[],DaybyDay[[#This Row],[FORM_MATCH_HELPER]],8),"")</f>
        <v>28</v>
      </c>
      <c r="AH1364" s="39" cm="1">
        <f t="array" ref="AH1364">IFERROR(INDEX(DaybyDay[],DaybyDay[[#This Row],[FORM_MATCH_HELPER]],10),"")</f>
        <v>7233.75</v>
      </c>
      <c r="AI1364" s="39" cm="1">
        <f t="array" ref="AI1364">IFERROR(INDEX(DaybyDay[],DaybyDay[[#This Row],[FORM_MATCH_HELPER]],12),"")</f>
        <v>1270.49</v>
      </c>
      <c r="AJ1364" s="32">
        <f>IFERROR(DaybyDay[[#This Row],[Serv-LY-RU]]+DaybyDay[[#This Row],[Ret-LY-RU]],"")</f>
        <v>1564355.8609999986</v>
      </c>
      <c r="AK13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1554191.2412719359</v>
      </c>
      <c r="AL1364" s="77"/>
      <c r="AM1364" s="40" t="str">
        <f>IF(DaybyDay[[#This Row],[Admin Hours]]&gt;0,DaybyDay[[#This Row],[Admin Hours]]*$AM$2+$AM$3,"")</f>
        <v/>
      </c>
      <c r="AN1364" s="40">
        <f>SUMIFS(DaybyDay[Est-Admin-Payroll],DaybyDay[Date],"&gt;="&amp;$C$5,DaybyDay[RowYear],"&gt;="&amp;$C$4,DaybyDay[Date],"&lt;="&amp;DaybyDay[[#This Row],[Date]])</f>
        <v>13941.779999999997</v>
      </c>
      <c r="AO1364" s="41" t="str">
        <f>IF(AND(DaybyDay[[#This Row],[_Space]],ISNUMBER(DaybyDay[[#This Row],[Admin Hours]])),DaybyDay[[#This Row],[Est-Admin-Payroll]]/(DaybyDay[[#This Row],[Service-Actuals]]+DaybyDay[[#This Row],[Retail-Actuals]]),"")</f>
        <v/>
      </c>
      <c r="AP1364" s="41">
        <f>DaybyDay[[#This Row],[Estimated-Payroll-Rollup]]/DaybyDay[[#This Row],[Simple-Forecast]]</f>
        <v>8.9704404643216051E-3</v>
      </c>
      <c r="AQ13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305065.58947551157</v>
      </c>
      <c r="AR1364" s="77"/>
      <c r="AS1364" s="40" t="str">
        <f>IF(DaybyDay[[#This Row],[Retail Hours]]&gt;0,DaybyDay[[#This Row],[Retail Hours]]*$AS$2,"")</f>
        <v/>
      </c>
      <c r="AT1364" s="40">
        <f>SUMIFS(DaybyDay[Est-Retail-Payroll],DaybyDay[Date],"&gt;="&amp;$C$5,DaybyDay[RowYear],"&gt;="&amp;$C$4,DaybyDay[Date],"&lt;="&amp;DaybyDay[[#This Row],[Date]])</f>
        <v>2627.1</v>
      </c>
      <c r="AU1364" s="82" t="str">
        <f>IF(AND(DaybyDay[[#This Row],[_Space]],ISNUMBER(DaybyDay[[#This Row],[Retail Hours]])),DaybyDay[[#This Row],[Est-Retail-Payroll]]/(DaybyDay[[#This Row],[Retail-Actuals]]),"")</f>
        <v/>
      </c>
      <c r="AV1364" s="82">
        <f>DaybyDay[[#This Row],[Est-Retail-PayrollRU]]/DaybyDay[[#This Row],[Simple-Forecast-Retail]]</f>
        <v>8.6115907222334698E-3</v>
      </c>
      <c r="AW1364" s="8"/>
      <c r="AX1364" s="15"/>
      <c r="AY1364" s="8"/>
    </row>
    <row r="1365" spans="3:51" hidden="1" x14ac:dyDescent="0.25">
      <c r="C1365" s="26" t="str">
        <f>Tools!$C$1</f>
        <v>Example</v>
      </c>
      <c r="D1365" s="27" t="s">
        <v>76</v>
      </c>
      <c r="E1365" s="28">
        <v>2020</v>
      </c>
      <c r="F1365" s="28">
        <f>MATCH(DaybyDay[[#This Row],[RowMonth]],Table3[SummaryMonth],0)</f>
        <v>9</v>
      </c>
      <c r="G1365" s="29">
        <f>MATCH(DaybyDay[[#This Row],[LY-Date]],DaybyDay[Date],0)</f>
        <v>995</v>
      </c>
      <c r="H1365" s="30">
        <f>WEEKDAY(DaybyDay[[#This Row],[Date]])</f>
        <v>1</v>
      </c>
      <c r="I1365" s="31">
        <v>44094</v>
      </c>
      <c r="J1365" s="74"/>
      <c r="K1365" s="32">
        <f>SUMIFS(BudgetSeasonality[365 Seasonality],BudgetSeasonality[MonthAdjustment],DaybyDay[[#This Row],[Date]])*SUMIFS(Budgets[Service-Budget],Budgets[BudgetMonth],DaybyDay[[#This Row],[RowMonth]],Budgets[BudgetYear],DaybyDay[[#This Row],[RowYear]])</f>
        <v>5801.9423409328383</v>
      </c>
      <c r="L1365" s="75"/>
      <c r="M1365" s="32">
        <f>INDEX(BudgetSeasonality[365 Seasonality],MATCH(DaybyDay[[#This Row],[Date]],BudgetSeasonality[MonthAdjustment],0))*SUMIFS(Budgets[Retail-Budget],Budgets[BudgetMonth],DaybyDay[[#This Row],[RowMonth]],Budgets[BudgetYear],DaybyDay[[#This Row],[RowYear]])</f>
        <v>1816.1596433662</v>
      </c>
      <c r="N1365" s="75"/>
      <c r="O1365" s="33">
        <f>SUMIFS(DaybyDay[Service-Budgets],DaybyDay[Date],"&gt;="&amp;$C$5,DaybyDay[RowYear],"&gt;="&amp;$C$4,DaybyDay[Date],"&lt;="&amp;DaybyDay[[#This Row],[Date]])</f>
        <v>1397672.8117771475</v>
      </c>
      <c r="P1365" s="33">
        <f>SUMIFS(DaybyDay[Retail-Budgets],DaybyDay[Date],"&gt;="&amp;$C$5,DaybyDay[RowYear],"&gt;="&amp;$C$4,DaybyDay[Date],"&lt;="&amp;DaybyDay[[#This Row],[Date]])</f>
        <v>357233.40652300167</v>
      </c>
      <c r="Q1365" s="34">
        <f>SUMIFS(DaybyDay[Service-Actuals],DaybyDay[Date],"&gt;="&amp;$C$5,DaybyDay[RowYear],"&gt;="&amp;$C$4,DaybyDay[Date],"&lt;="&amp;DaybyDay[[#This Row],[Date]])</f>
        <v>385554.23</v>
      </c>
      <c r="R1365" s="34">
        <f>SUMIFS(DaybyDay[Retail-Actuals],DaybyDay[Date],"&gt;="&amp;$C$5,DaybyDay[RowYear],"&gt;="&amp;$C$4,DaybyDay[Date],"&lt;="&amp;DaybyDay[[#This Row],[Date]])</f>
        <v>88360.030000000028</v>
      </c>
      <c r="S1365" s="35">
        <f>SUMIFS(DaybyDay[Service-LY],DaybyDay[Date],"&gt;="&amp;$C$5,DaybyDay[RowYear],"&gt;="&amp;$C$4,DaybyDay[Date],"&lt;="&amp;DaybyDay[[#This Row],[Date]])</f>
        <v>1265294.4309999985</v>
      </c>
      <c r="T1365" s="35">
        <f>SUMIFS(DaybyDay[Retail-LY],DaybyDay[Date],"&gt;="&amp;$C$5,DaybyDay[RowYear],"&gt;="&amp;$C$4,DaybyDay[Date],"&lt;="&amp;DaybyDay[[#This Row],[Date]])</f>
        <v>303042.27999999997</v>
      </c>
      <c r="U1365" s="32">
        <f>DaybyDay[[#This Row],[Serv-Bud-RU]]+DaybyDay[[#This Row],[Ret-Bud-RU]]</f>
        <v>1754906.2183001491</v>
      </c>
      <c r="V1365" s="32">
        <f>DaybyDay[[#This Row],[Serv-Act-RU]]+DaybyDay[[#This Row],[Ret-Act-RU]]</f>
        <v>473914.26</v>
      </c>
      <c r="W1365" s="36" t="str">
        <f>IF(DaybyDay[[#This Row],[_Space]],IFERROR(
((DaybyDay[[#This Row],[Actual-Rollup]]-DaybyDay[[#This Row],[Budget-Rollup]])/DaybyDay[[#This Row],[Budget-Rollup]]),0),"")</f>
        <v/>
      </c>
      <c r="X1365" t="b">
        <f>NOT(AND(ISBLANK(DaybyDay[[#This Row],[Appts]]),ISBLANK(DaybyDay[[#This Row],[Service-Actuals]]),ISBLANK(DaybyDay[[#This Row],[Retail-Actuals]])))</f>
        <v>0</v>
      </c>
      <c r="Y1365" s="36" t="str">
        <f>IF(DaybyDay[[#This Row],[_Space]],IFERROR(
((DaybyDay[[#This Row],[Actual-Rollup]]-DaybyDay[[#This Row],[LY-Rollup]])/DaybyDay[[#This Row],[LY-Rollup]]),0),"")</f>
        <v/>
      </c>
      <c r="Z1365"/>
      <c r="AA1365" s="37" t="str">
        <f>IF(DaybyDay[[#This Row],[_Space]],DaybyDay[[#This Row],[Ret-Act-RU]]/DaybyDay[[#This Row],[Serv-Act-RU]],"")</f>
        <v/>
      </c>
      <c r="AB1365" s="50" t="str">
        <f>IF(DaybyDay[[#This Row],[_Space]],DaybyDay[[#This Row],[RETPEN-Act]]/DaybyDay[[#This Row],[RETPEN-Bud]],"")</f>
        <v/>
      </c>
      <c r="AC1365" s="37" t="str">
        <f>IF(DaybyDay[[#This Row],[_Space]],DaybyDay[[#This Row],[Ret-Bud-RU]]/DaybyDay[[#This Row],[Serv-Bud-RU]],"")</f>
        <v/>
      </c>
      <c r="AD1365" s="37" t="str">
        <f>IF(DaybyDay[[#This Row],[_Space]],DaybyDay[[#This Row],[Ret-LY-RU]]/DaybyDay[[#This Row],[Serv-LY-RU]],"")</f>
        <v/>
      </c>
      <c r="AE1365" s="30">
        <f>WEEKDAY(DaybyDay[[#This Row],[LY-Date]])</f>
        <v>1</v>
      </c>
      <c r="AF1365" s="38">
        <f>$E$2+_xlfn.DAYS(DaybyDay[[#This Row],[Date]],minDate)</f>
        <v>43730</v>
      </c>
      <c r="AG1365" s="39" cm="1">
        <f t="array" ref="AG1365">IFERROR(INDEX(DaybyDay[],DaybyDay[[#This Row],[FORM_MATCH_HELPER]],8),"")</f>
        <v>21</v>
      </c>
      <c r="AH1365" s="39" cm="1">
        <f t="array" ref="AH1365">IFERROR(INDEX(DaybyDay[],DaybyDay[[#This Row],[FORM_MATCH_HELPER]],10),"")</f>
        <v>3768.65</v>
      </c>
      <c r="AI1365" s="39" cm="1">
        <f t="array" ref="AI1365">IFERROR(INDEX(DaybyDay[],DaybyDay[[#This Row],[FORM_MATCH_HELPER]],12),"")</f>
        <v>212.2</v>
      </c>
      <c r="AJ1365" s="32">
        <f>IFERROR(DaybyDay[[#This Row],[Serv-LY-RU]]+DaybyDay[[#This Row],[Ret-LY-RU]],"")</f>
        <v>1568336.7109999985</v>
      </c>
      <c r="AK13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1559394.3687383223</v>
      </c>
      <c r="AL1365" s="77"/>
      <c r="AM1365" s="40" t="str">
        <f>IF(DaybyDay[[#This Row],[Admin Hours]]&gt;0,DaybyDay[[#This Row],[Admin Hours]]*$AM$2+$AM$3,"")</f>
        <v/>
      </c>
      <c r="AN1365" s="40">
        <f>SUMIFS(DaybyDay[Est-Admin-Payroll],DaybyDay[Date],"&gt;="&amp;$C$5,DaybyDay[RowYear],"&gt;="&amp;$C$4,DaybyDay[Date],"&lt;="&amp;DaybyDay[[#This Row],[Date]])</f>
        <v>13941.779999999997</v>
      </c>
      <c r="AO1365" s="41" t="str">
        <f>IF(AND(DaybyDay[[#This Row],[_Space]],ISNUMBER(DaybyDay[[#This Row],[Admin Hours]])),DaybyDay[[#This Row],[Est-Admin-Payroll]]/(DaybyDay[[#This Row],[Service-Actuals]]+DaybyDay[[#This Row],[Retail-Actuals]]),"")</f>
        <v/>
      </c>
      <c r="AP1365" s="41">
        <f>DaybyDay[[#This Row],[Estimated-Payroll-Rollup]]/DaybyDay[[#This Row],[Simple-Forecast]]</f>
        <v>8.9405093922969841E-3</v>
      </c>
      <c r="AQ13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305942.72549698106</v>
      </c>
      <c r="AR1365" s="77"/>
      <c r="AS1365" s="40" t="str">
        <f>IF(DaybyDay[[#This Row],[Retail Hours]]&gt;0,DaybyDay[[#This Row],[Retail Hours]]*$AS$2,"")</f>
        <v/>
      </c>
      <c r="AT1365" s="40">
        <f>SUMIFS(DaybyDay[Est-Retail-Payroll],DaybyDay[Date],"&gt;="&amp;$C$5,DaybyDay[RowYear],"&gt;="&amp;$C$4,DaybyDay[Date],"&lt;="&amp;DaybyDay[[#This Row],[Date]])</f>
        <v>2627.1</v>
      </c>
      <c r="AU1365" s="82" t="str">
        <f>IF(AND(DaybyDay[[#This Row],[_Space]],ISNUMBER(DaybyDay[[#This Row],[Retail Hours]])),DaybyDay[[#This Row],[Est-Retail-Payroll]]/(DaybyDay[[#This Row],[Retail-Actuals]]),"")</f>
        <v/>
      </c>
      <c r="AV1365" s="82">
        <f>DaybyDay[[#This Row],[Est-Retail-PayrollRU]]/DaybyDay[[#This Row],[Simple-Forecast-Retail]]</f>
        <v>8.5869013415255172E-3</v>
      </c>
      <c r="AW1365" s="8"/>
      <c r="AX1365" s="15"/>
      <c r="AY1365" s="8"/>
    </row>
    <row r="1366" spans="3:51" hidden="1" x14ac:dyDescent="0.25">
      <c r="C1366" s="26" t="str">
        <f>Tools!$C$1</f>
        <v>Example</v>
      </c>
      <c r="D1366" s="27" t="s">
        <v>76</v>
      </c>
      <c r="E1366" s="28">
        <v>2020</v>
      </c>
      <c r="F1366" s="28">
        <f>MATCH(DaybyDay[[#This Row],[RowMonth]],Table3[SummaryMonth],0)</f>
        <v>9</v>
      </c>
      <c r="G1366" s="29">
        <f>MATCH(DaybyDay[[#This Row],[LY-Date]],DaybyDay[Date],0)</f>
        <v>996</v>
      </c>
      <c r="H1366" s="30">
        <f>WEEKDAY(DaybyDay[[#This Row],[Date]])</f>
        <v>2</v>
      </c>
      <c r="I1366" s="31">
        <v>44095</v>
      </c>
      <c r="J1366" s="74"/>
      <c r="K1366" s="32">
        <f>SUMIFS(BudgetSeasonality[365 Seasonality],BudgetSeasonality[MonthAdjustment],DaybyDay[[#This Row],[Date]])*SUMIFS(Budgets[Service-Budget],Budgets[BudgetMonth],DaybyDay[[#This Row],[RowMonth]],Budgets[BudgetYear],DaybyDay[[#This Row],[RowYear]])</f>
        <v>3206.8709587806275</v>
      </c>
      <c r="L1366" s="75"/>
      <c r="M1366" s="32">
        <f>INDEX(BudgetSeasonality[365 Seasonality],MATCH(DaybyDay[[#This Row],[Date]],BudgetSeasonality[MonthAdjustment],0))*SUMIFS(Budgets[Retail-Budget],Budgets[BudgetMonth],DaybyDay[[#This Row],[RowMonth]],Budgets[BudgetYear],DaybyDay[[#This Row],[RowYear]])</f>
        <v>1003.8344531159256</v>
      </c>
      <c r="N1366" s="75"/>
      <c r="O1366" s="33">
        <f>SUMIFS(DaybyDay[Service-Budgets],DaybyDay[Date],"&gt;="&amp;$C$5,DaybyDay[RowYear],"&gt;="&amp;$C$4,DaybyDay[Date],"&lt;="&amp;DaybyDay[[#This Row],[Date]])</f>
        <v>1400879.6827359281</v>
      </c>
      <c r="P1366" s="33">
        <f>SUMIFS(DaybyDay[Retail-Budgets],DaybyDay[Date],"&gt;="&amp;$C$5,DaybyDay[RowYear],"&gt;="&amp;$C$4,DaybyDay[Date],"&lt;="&amp;DaybyDay[[#This Row],[Date]])</f>
        <v>358237.24097611761</v>
      </c>
      <c r="Q1366" s="34">
        <f>SUMIFS(DaybyDay[Service-Actuals],DaybyDay[Date],"&gt;="&amp;$C$5,DaybyDay[RowYear],"&gt;="&amp;$C$4,DaybyDay[Date],"&lt;="&amp;DaybyDay[[#This Row],[Date]])</f>
        <v>385554.23</v>
      </c>
      <c r="R1366" s="34">
        <f>SUMIFS(DaybyDay[Retail-Actuals],DaybyDay[Date],"&gt;="&amp;$C$5,DaybyDay[RowYear],"&gt;="&amp;$C$4,DaybyDay[Date],"&lt;="&amp;DaybyDay[[#This Row],[Date]])</f>
        <v>88360.030000000028</v>
      </c>
      <c r="S1366" s="35">
        <f>SUMIFS(DaybyDay[Service-LY],DaybyDay[Date],"&gt;="&amp;$C$5,DaybyDay[RowYear],"&gt;="&amp;$C$4,DaybyDay[Date],"&lt;="&amp;DaybyDay[[#This Row],[Date]])</f>
        <v>1269604.4309999985</v>
      </c>
      <c r="T1366" s="35">
        <f>SUMIFS(DaybyDay[Retail-LY],DaybyDay[Date],"&gt;="&amp;$C$5,DaybyDay[RowYear],"&gt;="&amp;$C$4,DaybyDay[Date],"&lt;="&amp;DaybyDay[[#This Row],[Date]])</f>
        <v>303837.07999999996</v>
      </c>
      <c r="U1366" s="32">
        <f>DaybyDay[[#This Row],[Serv-Bud-RU]]+DaybyDay[[#This Row],[Ret-Bud-RU]]</f>
        <v>1759116.9237120457</v>
      </c>
      <c r="V1366" s="32">
        <f>DaybyDay[[#This Row],[Serv-Act-RU]]+DaybyDay[[#This Row],[Ret-Act-RU]]</f>
        <v>473914.26</v>
      </c>
      <c r="W1366" s="36" t="str">
        <f>IF(DaybyDay[[#This Row],[_Space]],IFERROR(
((DaybyDay[[#This Row],[Actual-Rollup]]-DaybyDay[[#This Row],[Budget-Rollup]])/DaybyDay[[#This Row],[Budget-Rollup]]),0),"")</f>
        <v/>
      </c>
      <c r="X1366" t="b">
        <f>NOT(AND(ISBLANK(DaybyDay[[#This Row],[Appts]]),ISBLANK(DaybyDay[[#This Row],[Service-Actuals]]),ISBLANK(DaybyDay[[#This Row],[Retail-Actuals]])))</f>
        <v>0</v>
      </c>
      <c r="Y1366" s="36" t="str">
        <f>IF(DaybyDay[[#This Row],[_Space]],IFERROR(
((DaybyDay[[#This Row],[Actual-Rollup]]-DaybyDay[[#This Row],[LY-Rollup]])/DaybyDay[[#This Row],[LY-Rollup]]),0),"")</f>
        <v/>
      </c>
      <c r="Z1366"/>
      <c r="AA1366" s="37" t="str">
        <f>IF(DaybyDay[[#This Row],[_Space]],DaybyDay[[#This Row],[Ret-Act-RU]]/DaybyDay[[#This Row],[Serv-Act-RU]],"")</f>
        <v/>
      </c>
      <c r="AB1366" s="50" t="str">
        <f>IF(DaybyDay[[#This Row],[_Space]],DaybyDay[[#This Row],[RETPEN-Act]]/DaybyDay[[#This Row],[RETPEN-Bud]],"")</f>
        <v/>
      </c>
      <c r="AC1366" s="37" t="str">
        <f>IF(DaybyDay[[#This Row],[_Space]],DaybyDay[[#This Row],[Ret-Bud-RU]]/DaybyDay[[#This Row],[Serv-Bud-RU]],"")</f>
        <v/>
      </c>
      <c r="AD1366" s="37" t="str">
        <f>IF(DaybyDay[[#This Row],[_Space]],DaybyDay[[#This Row],[Ret-LY-RU]]/DaybyDay[[#This Row],[Serv-LY-RU]],"")</f>
        <v/>
      </c>
      <c r="AE1366" s="30">
        <f>WEEKDAY(DaybyDay[[#This Row],[LY-Date]])</f>
        <v>2</v>
      </c>
      <c r="AF1366" s="38">
        <f>$E$2+_xlfn.DAYS(DaybyDay[[#This Row],[Date]],minDate)</f>
        <v>43731</v>
      </c>
      <c r="AG1366" s="39" cm="1">
        <f t="array" ref="AG1366">IFERROR(INDEX(DaybyDay[],DaybyDay[[#This Row],[FORM_MATCH_HELPER]],8),"")</f>
        <v>15</v>
      </c>
      <c r="AH1366" s="39" cm="1">
        <f t="array" ref="AH1366">IFERROR(INDEX(DaybyDay[],DaybyDay[[#This Row],[FORM_MATCH_HELPER]],10),"")</f>
        <v>4310</v>
      </c>
      <c r="AI1366" s="39" cm="1">
        <f t="array" ref="AI1366">IFERROR(INDEX(DaybyDay[],DaybyDay[[#This Row],[FORM_MATCH_HELPER]],12),"")</f>
        <v>794.8</v>
      </c>
      <c r="AJ1366" s="32">
        <f>IFERROR(DaybyDay[[#This Row],[Serv-LY-RU]]+DaybyDay[[#This Row],[Ret-LY-RU]],"")</f>
        <v>1573441.5109999985</v>
      </c>
      <c r="AK13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1563702.2995908244</v>
      </c>
      <c r="AL1366" s="77"/>
      <c r="AM1366" s="40" t="str">
        <f>IF(DaybyDay[[#This Row],[Admin Hours]]&gt;0,DaybyDay[[#This Row],[Admin Hours]]*$AM$2+$AM$3,"")</f>
        <v/>
      </c>
      <c r="AN1366" s="40">
        <f>SUMIFS(DaybyDay[Est-Admin-Payroll],DaybyDay[Date],"&gt;="&amp;$C$5,DaybyDay[RowYear],"&gt;="&amp;$C$4,DaybyDay[Date],"&lt;="&amp;DaybyDay[[#This Row],[Date]])</f>
        <v>13941.779999999997</v>
      </c>
      <c r="AO1366" s="41" t="str">
        <f>IF(AND(DaybyDay[[#This Row],[_Space]],ISNUMBER(DaybyDay[[#This Row],[Admin Hours]])),DaybyDay[[#This Row],[Est-Admin-Payroll]]/(DaybyDay[[#This Row],[Service-Actuals]]+DaybyDay[[#This Row],[Retail-Actuals]]),"")</f>
        <v/>
      </c>
      <c r="AP1366" s="41">
        <f>DaybyDay[[#This Row],[Estimated-Payroll-Rollup]]/DaybyDay[[#This Row],[Simple-Forecast]]</f>
        <v>8.9158786833325992E-3</v>
      </c>
      <c r="AQ13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306761.58206678764</v>
      </c>
      <c r="AR1366" s="77"/>
      <c r="AS1366" s="40" t="str">
        <f>IF(DaybyDay[[#This Row],[Retail Hours]]&gt;0,DaybyDay[[#This Row],[Retail Hours]]*$AS$2,"")</f>
        <v/>
      </c>
      <c r="AT1366" s="40">
        <f>SUMIFS(DaybyDay[Est-Retail-Payroll],DaybyDay[Date],"&gt;="&amp;$C$5,DaybyDay[RowYear],"&gt;="&amp;$C$4,DaybyDay[Date],"&lt;="&amp;DaybyDay[[#This Row],[Date]])</f>
        <v>2627.1</v>
      </c>
      <c r="AU1366" s="82" t="str">
        <f>IF(AND(DaybyDay[[#This Row],[_Space]],ISNUMBER(DaybyDay[[#This Row],[Retail Hours]])),DaybyDay[[#This Row],[Est-Retail-Payroll]]/(DaybyDay[[#This Row],[Retail-Actuals]]),"")</f>
        <v/>
      </c>
      <c r="AV1366" s="82">
        <f>DaybyDay[[#This Row],[Est-Retail-PayrollRU]]/DaybyDay[[#This Row],[Simple-Forecast-Retail]]</f>
        <v>8.5639798253095197E-3</v>
      </c>
      <c r="AW1366" s="8"/>
      <c r="AX1366" s="15"/>
      <c r="AY1366" s="8"/>
    </row>
    <row r="1367" spans="3:51" hidden="1" x14ac:dyDescent="0.25">
      <c r="C1367" s="26" t="str">
        <f>Tools!$C$1</f>
        <v>Example</v>
      </c>
      <c r="D1367" s="27" t="s">
        <v>76</v>
      </c>
      <c r="E1367" s="28">
        <v>2020</v>
      </c>
      <c r="F1367" s="28">
        <f>MATCH(DaybyDay[[#This Row],[RowMonth]],Table3[SummaryMonth],0)</f>
        <v>9</v>
      </c>
      <c r="G1367" s="29">
        <f>MATCH(DaybyDay[[#This Row],[LY-Date]],DaybyDay[Date],0)</f>
        <v>997</v>
      </c>
      <c r="H1367" s="30">
        <f>WEEKDAY(DaybyDay[[#This Row],[Date]])</f>
        <v>3</v>
      </c>
      <c r="I1367" s="31">
        <v>44096</v>
      </c>
      <c r="J1367" s="74"/>
      <c r="K1367" s="32">
        <f>SUMIFS(BudgetSeasonality[365 Seasonality],BudgetSeasonality[MonthAdjustment],DaybyDay[[#This Row],[Date]])*SUMIFS(Budgets[Service-Budget],Budgets[BudgetMonth],DaybyDay[[#This Row],[RowMonth]],Budgets[BudgetYear],DaybyDay[[#This Row],[RowYear]])</f>
        <v>3340.508269663078</v>
      </c>
      <c r="L1367" s="75"/>
      <c r="M1367" s="32">
        <f>INDEX(BudgetSeasonality[365 Seasonality],MATCH(DaybyDay[[#This Row],[Date]],BudgetSeasonality[MonthAdjustment],0))*SUMIFS(Budgets[Retail-Budget],Budgets[BudgetMonth],DaybyDay[[#This Row],[RowMonth]],Budgets[BudgetYear],DaybyDay[[#This Row],[RowYear]])</f>
        <v>1045.6664253436377</v>
      </c>
      <c r="N1367" s="75"/>
      <c r="O1367" s="33">
        <f>SUMIFS(DaybyDay[Service-Budgets],DaybyDay[Date],"&gt;="&amp;$C$5,DaybyDay[RowYear],"&gt;="&amp;$C$4,DaybyDay[Date],"&lt;="&amp;DaybyDay[[#This Row],[Date]])</f>
        <v>1404220.1910055911</v>
      </c>
      <c r="P1367" s="33">
        <f>SUMIFS(DaybyDay[Retail-Budgets],DaybyDay[Date],"&gt;="&amp;$C$5,DaybyDay[RowYear],"&gt;="&amp;$C$4,DaybyDay[Date],"&lt;="&amp;DaybyDay[[#This Row],[Date]])</f>
        <v>359282.90740146127</v>
      </c>
      <c r="Q1367" s="34">
        <f>SUMIFS(DaybyDay[Service-Actuals],DaybyDay[Date],"&gt;="&amp;$C$5,DaybyDay[RowYear],"&gt;="&amp;$C$4,DaybyDay[Date],"&lt;="&amp;DaybyDay[[#This Row],[Date]])</f>
        <v>385554.23</v>
      </c>
      <c r="R1367" s="34">
        <f>SUMIFS(DaybyDay[Retail-Actuals],DaybyDay[Date],"&gt;="&amp;$C$5,DaybyDay[RowYear],"&gt;="&amp;$C$4,DaybyDay[Date],"&lt;="&amp;DaybyDay[[#This Row],[Date]])</f>
        <v>88360.030000000028</v>
      </c>
      <c r="S1367" s="35">
        <f>SUMIFS(DaybyDay[Service-LY],DaybyDay[Date],"&gt;="&amp;$C$5,DaybyDay[RowYear],"&gt;="&amp;$C$4,DaybyDay[Date],"&lt;="&amp;DaybyDay[[#This Row],[Date]])</f>
        <v>1272262.3309999984</v>
      </c>
      <c r="T1367" s="35">
        <f>SUMIFS(DaybyDay[Retail-LY],DaybyDay[Date],"&gt;="&amp;$C$5,DaybyDay[RowYear],"&gt;="&amp;$C$4,DaybyDay[Date],"&lt;="&amp;DaybyDay[[#This Row],[Date]])</f>
        <v>307600.57999999996</v>
      </c>
      <c r="U1367" s="32">
        <f>DaybyDay[[#This Row],[Serv-Bud-RU]]+DaybyDay[[#This Row],[Ret-Bud-RU]]</f>
        <v>1763503.0984070525</v>
      </c>
      <c r="V1367" s="32">
        <f>DaybyDay[[#This Row],[Serv-Act-RU]]+DaybyDay[[#This Row],[Ret-Act-RU]]</f>
        <v>473914.26</v>
      </c>
      <c r="W1367" s="36" t="str">
        <f>IF(DaybyDay[[#This Row],[_Space]],IFERROR(
((DaybyDay[[#This Row],[Actual-Rollup]]-DaybyDay[[#This Row],[Budget-Rollup]])/DaybyDay[[#This Row],[Budget-Rollup]]),0),"")</f>
        <v/>
      </c>
      <c r="X1367" t="b">
        <f>NOT(AND(ISBLANK(DaybyDay[[#This Row],[Appts]]),ISBLANK(DaybyDay[[#This Row],[Service-Actuals]]),ISBLANK(DaybyDay[[#This Row],[Retail-Actuals]])))</f>
        <v>0</v>
      </c>
      <c r="Y1367" s="36" t="str">
        <f>IF(DaybyDay[[#This Row],[_Space]],IFERROR(
((DaybyDay[[#This Row],[Actual-Rollup]]-DaybyDay[[#This Row],[LY-Rollup]])/DaybyDay[[#This Row],[LY-Rollup]]),0),"")</f>
        <v/>
      </c>
      <c r="Z1367"/>
      <c r="AA1367" s="37" t="str">
        <f>IF(DaybyDay[[#This Row],[_Space]],DaybyDay[[#This Row],[Ret-Act-RU]]/DaybyDay[[#This Row],[Serv-Act-RU]],"")</f>
        <v/>
      </c>
      <c r="AB1367" s="50" t="str">
        <f>IF(DaybyDay[[#This Row],[_Space]],DaybyDay[[#This Row],[RETPEN-Act]]/DaybyDay[[#This Row],[RETPEN-Bud]],"")</f>
        <v/>
      </c>
      <c r="AC1367" s="37" t="str">
        <f>IF(DaybyDay[[#This Row],[_Space]],DaybyDay[[#This Row],[Ret-Bud-RU]]/DaybyDay[[#This Row],[Serv-Bud-RU]],"")</f>
        <v/>
      </c>
      <c r="AD1367" s="37" t="str">
        <f>IF(DaybyDay[[#This Row],[_Space]],DaybyDay[[#This Row],[Ret-LY-RU]]/DaybyDay[[#This Row],[Serv-LY-RU]],"")</f>
        <v/>
      </c>
      <c r="AE1367" s="30">
        <f>WEEKDAY(DaybyDay[[#This Row],[LY-Date]])</f>
        <v>3</v>
      </c>
      <c r="AF1367" s="38">
        <f>$E$2+_xlfn.DAYS(DaybyDay[[#This Row],[Date]],minDate)</f>
        <v>43732</v>
      </c>
      <c r="AG1367" s="39" cm="1">
        <f t="array" ref="AG1367">IFERROR(INDEX(DaybyDay[],DaybyDay[[#This Row],[FORM_MATCH_HELPER]],8),"")</f>
        <v>13</v>
      </c>
      <c r="AH1367" s="39" cm="1">
        <f t="array" ref="AH1367">IFERROR(INDEX(DaybyDay[],DaybyDay[[#This Row],[FORM_MATCH_HELPER]],10),"")</f>
        <v>2657.8999999999996</v>
      </c>
      <c r="AI1367" s="39" cm="1">
        <f t="array" ref="AI1367">IFERROR(INDEX(DaybyDay[],DaybyDay[[#This Row],[FORM_MATCH_HELPER]],12),"")</f>
        <v>3763.5</v>
      </c>
      <c r="AJ1367" s="32">
        <f>IFERROR(DaybyDay[[#This Row],[Serv-LY-RU]]+DaybyDay[[#This Row],[Ret-LY-RU]],"")</f>
        <v>1579862.9109999985</v>
      </c>
      <c r="AK13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1568734.0078510754</v>
      </c>
      <c r="AL1367" s="77"/>
      <c r="AM1367" s="40" t="str">
        <f>IF(DaybyDay[[#This Row],[Admin Hours]]&gt;0,DaybyDay[[#This Row],[Admin Hours]]*$AM$2+$AM$3,"")</f>
        <v/>
      </c>
      <c r="AN1367" s="40">
        <f>SUMIFS(DaybyDay[Est-Admin-Payroll],DaybyDay[Date],"&gt;="&amp;$C$5,DaybyDay[RowYear],"&gt;="&amp;$C$4,DaybyDay[Date],"&lt;="&amp;DaybyDay[[#This Row],[Date]])</f>
        <v>13941.779999999997</v>
      </c>
      <c r="AO1367" s="41" t="str">
        <f>IF(AND(DaybyDay[[#This Row],[_Space]],ISNUMBER(DaybyDay[[#This Row],[Admin Hours]])),DaybyDay[[#This Row],[Est-Admin-Payroll]]/(DaybyDay[[#This Row],[Service-Actuals]]+DaybyDay[[#This Row],[Retail-Actuals]]),"")</f>
        <v/>
      </c>
      <c r="AP1367" s="41">
        <f>DaybyDay[[#This Row],[Estimated-Payroll-Rollup]]/DaybyDay[[#This Row],[Simple-Forecast]]</f>
        <v>8.8872810369541831E-3</v>
      </c>
      <c r="AQ13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309061.92947404104</v>
      </c>
      <c r="AR1367" s="77"/>
      <c r="AS1367" s="40" t="str">
        <f>IF(DaybyDay[[#This Row],[Retail Hours]]&gt;0,DaybyDay[[#This Row],[Retail Hours]]*$AS$2,"")</f>
        <v/>
      </c>
      <c r="AT1367" s="40">
        <f>SUMIFS(DaybyDay[Est-Retail-Payroll],DaybyDay[Date],"&gt;="&amp;$C$5,DaybyDay[RowYear],"&gt;="&amp;$C$4,DaybyDay[Date],"&lt;="&amp;DaybyDay[[#This Row],[Date]])</f>
        <v>2627.1</v>
      </c>
      <c r="AU1367" s="82" t="str">
        <f>IF(AND(DaybyDay[[#This Row],[_Space]],ISNUMBER(DaybyDay[[#This Row],[Retail Hours]])),DaybyDay[[#This Row],[Est-Retail-Payroll]]/(DaybyDay[[#This Row],[Retail-Actuals]]),"")</f>
        <v/>
      </c>
      <c r="AV1367" s="82">
        <f>DaybyDay[[#This Row],[Est-Retail-PayrollRU]]/DaybyDay[[#This Row],[Simple-Forecast-Retail]]</f>
        <v>8.500238138261727E-3</v>
      </c>
      <c r="AW1367" s="8"/>
      <c r="AX1367" s="15"/>
      <c r="AY1367" s="8"/>
    </row>
    <row r="1368" spans="3:51" hidden="1" x14ac:dyDescent="0.25">
      <c r="C1368" s="26" t="str">
        <f>Tools!$C$1</f>
        <v>Example</v>
      </c>
      <c r="D1368" s="27" t="s">
        <v>76</v>
      </c>
      <c r="E1368" s="28">
        <v>2020</v>
      </c>
      <c r="F1368" s="28">
        <f>MATCH(DaybyDay[[#This Row],[RowMonth]],Table3[SummaryMonth],0)</f>
        <v>9</v>
      </c>
      <c r="G1368" s="29">
        <f>MATCH(DaybyDay[[#This Row],[LY-Date]],DaybyDay[Date],0)</f>
        <v>998</v>
      </c>
      <c r="H1368" s="30">
        <f>WEEKDAY(DaybyDay[[#This Row],[Date]])</f>
        <v>4</v>
      </c>
      <c r="I1368" s="31">
        <v>44097</v>
      </c>
      <c r="J1368" s="74"/>
      <c r="K1368" s="32">
        <f>SUMIFS(BudgetSeasonality[365 Seasonality],BudgetSeasonality[MonthAdjustment],DaybyDay[[#This Row],[Date]])*SUMIFS(Budgets[Service-Budget],Budgets[BudgetMonth],DaybyDay[[#This Row],[RowMonth]],Budgets[BudgetYear],DaybyDay[[#This Row],[RowYear]])</f>
        <v>3957.2019908097741</v>
      </c>
      <c r="L1368" s="75"/>
      <c r="M1368" s="32">
        <f>INDEX(BudgetSeasonality[365 Seasonality],MATCH(DaybyDay[[#This Row],[Date]],BudgetSeasonality[MonthAdjustment],0))*SUMIFS(Budgets[Retail-Budget],Budgets[BudgetMonth],DaybyDay[[#This Row],[RowMonth]],Budgets[BudgetYear],DaybyDay[[#This Row],[RowYear]])</f>
        <v>1238.7076833999668</v>
      </c>
      <c r="N1368" s="75"/>
      <c r="O1368" s="33">
        <f>SUMIFS(DaybyDay[Service-Budgets],DaybyDay[Date],"&gt;="&amp;$C$5,DaybyDay[RowYear],"&gt;="&amp;$C$4,DaybyDay[Date],"&lt;="&amp;DaybyDay[[#This Row],[Date]])</f>
        <v>1408177.3929964008</v>
      </c>
      <c r="P1368" s="33">
        <f>SUMIFS(DaybyDay[Retail-Budgets],DaybyDay[Date],"&gt;="&amp;$C$5,DaybyDay[RowYear],"&gt;="&amp;$C$4,DaybyDay[Date],"&lt;="&amp;DaybyDay[[#This Row],[Date]])</f>
        <v>360521.61508486123</v>
      </c>
      <c r="Q1368" s="34">
        <f>SUMIFS(DaybyDay[Service-Actuals],DaybyDay[Date],"&gt;="&amp;$C$5,DaybyDay[RowYear],"&gt;="&amp;$C$4,DaybyDay[Date],"&lt;="&amp;DaybyDay[[#This Row],[Date]])</f>
        <v>385554.23</v>
      </c>
      <c r="R1368" s="34">
        <f>SUMIFS(DaybyDay[Retail-Actuals],DaybyDay[Date],"&gt;="&amp;$C$5,DaybyDay[RowYear],"&gt;="&amp;$C$4,DaybyDay[Date],"&lt;="&amp;DaybyDay[[#This Row],[Date]])</f>
        <v>88360.030000000028</v>
      </c>
      <c r="S1368" s="35">
        <f>SUMIFS(DaybyDay[Service-LY],DaybyDay[Date],"&gt;="&amp;$C$5,DaybyDay[RowYear],"&gt;="&amp;$C$4,DaybyDay[Date],"&lt;="&amp;DaybyDay[[#This Row],[Date]])</f>
        <v>1273404.3309999984</v>
      </c>
      <c r="T1368" s="35">
        <f>SUMIFS(DaybyDay[Retail-LY],DaybyDay[Date],"&gt;="&amp;$C$5,DaybyDay[RowYear],"&gt;="&amp;$C$4,DaybyDay[Date],"&lt;="&amp;DaybyDay[[#This Row],[Date]])</f>
        <v>309701.07999999996</v>
      </c>
      <c r="U1368" s="32">
        <f>DaybyDay[[#This Row],[Serv-Bud-RU]]+DaybyDay[[#This Row],[Ret-Bud-RU]]</f>
        <v>1768699.008081262</v>
      </c>
      <c r="V1368" s="32">
        <f>DaybyDay[[#This Row],[Serv-Act-RU]]+DaybyDay[[#This Row],[Ret-Act-RU]]</f>
        <v>473914.26</v>
      </c>
      <c r="W1368" s="36" t="str">
        <f>IF(DaybyDay[[#This Row],[_Space]],IFERROR(
((DaybyDay[[#This Row],[Actual-Rollup]]-DaybyDay[[#This Row],[Budget-Rollup]])/DaybyDay[[#This Row],[Budget-Rollup]]),0),"")</f>
        <v/>
      </c>
      <c r="X1368" t="b">
        <f>NOT(AND(ISBLANK(DaybyDay[[#This Row],[Appts]]),ISBLANK(DaybyDay[[#This Row],[Service-Actuals]]),ISBLANK(DaybyDay[[#This Row],[Retail-Actuals]])))</f>
        <v>0</v>
      </c>
      <c r="Y1368" s="36" t="str">
        <f>IF(DaybyDay[[#This Row],[_Space]],IFERROR(
((DaybyDay[[#This Row],[Actual-Rollup]]-DaybyDay[[#This Row],[LY-Rollup]])/DaybyDay[[#This Row],[LY-Rollup]]),0),"")</f>
        <v/>
      </c>
      <c r="Z1368"/>
      <c r="AA1368" s="37" t="str">
        <f>IF(DaybyDay[[#This Row],[_Space]],DaybyDay[[#This Row],[Ret-Act-RU]]/DaybyDay[[#This Row],[Serv-Act-RU]],"")</f>
        <v/>
      </c>
      <c r="AB1368" s="50" t="str">
        <f>IF(DaybyDay[[#This Row],[_Space]],DaybyDay[[#This Row],[RETPEN-Act]]/DaybyDay[[#This Row],[RETPEN-Bud]],"")</f>
        <v/>
      </c>
      <c r="AC1368" s="37" t="str">
        <f>IF(DaybyDay[[#This Row],[_Space]],DaybyDay[[#This Row],[Ret-Bud-RU]]/DaybyDay[[#This Row],[Serv-Bud-RU]],"")</f>
        <v/>
      </c>
      <c r="AD1368" s="37" t="str">
        <f>IF(DaybyDay[[#This Row],[_Space]],DaybyDay[[#This Row],[Ret-LY-RU]]/DaybyDay[[#This Row],[Serv-LY-RU]],"")</f>
        <v/>
      </c>
      <c r="AE1368" s="30">
        <f>WEEKDAY(DaybyDay[[#This Row],[LY-Date]])</f>
        <v>4</v>
      </c>
      <c r="AF1368" s="38">
        <f>$E$2+_xlfn.DAYS(DaybyDay[[#This Row],[Date]],minDate)</f>
        <v>43733</v>
      </c>
      <c r="AG1368" s="39" cm="1">
        <f t="array" ref="AG1368">IFERROR(INDEX(DaybyDay[],DaybyDay[[#This Row],[FORM_MATCH_HELPER]],8),"")</f>
        <v>5</v>
      </c>
      <c r="AH1368" s="39" cm="1">
        <f t="array" ref="AH1368">IFERROR(INDEX(DaybyDay[],DaybyDay[[#This Row],[FORM_MATCH_HELPER]],10),"")</f>
        <v>1142</v>
      </c>
      <c r="AI1368" s="39" cm="1">
        <f t="array" ref="AI1368">IFERROR(INDEX(DaybyDay[],DaybyDay[[#This Row],[FORM_MATCH_HELPER]],12),"")</f>
        <v>2100.5</v>
      </c>
      <c r="AJ1368" s="32">
        <f>IFERROR(DaybyDay[[#This Row],[Serv-LY-RU]]+DaybyDay[[#This Row],[Ret-LY-RU]],"")</f>
        <v>1583105.4109999985</v>
      </c>
      <c r="AK13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1572542.8056926862</v>
      </c>
      <c r="AL1368" s="77"/>
      <c r="AM1368" s="40" t="str">
        <f>IF(DaybyDay[[#This Row],[Admin Hours]]&gt;0,DaybyDay[[#This Row],[Admin Hours]]*$AM$2+$AM$3,"")</f>
        <v/>
      </c>
      <c r="AN1368" s="40">
        <f>SUMIFS(DaybyDay[Est-Admin-Payroll],DaybyDay[Date],"&gt;="&amp;$C$5,DaybyDay[RowYear],"&gt;="&amp;$C$4,DaybyDay[Date],"&lt;="&amp;DaybyDay[[#This Row],[Date]])</f>
        <v>13941.779999999997</v>
      </c>
      <c r="AO1368" s="41" t="str">
        <f>IF(AND(DaybyDay[[#This Row],[_Space]],ISNUMBER(DaybyDay[[#This Row],[Admin Hours]])),DaybyDay[[#This Row],[Est-Admin-Payroll]]/(DaybyDay[[#This Row],[Service-Actuals]]+DaybyDay[[#This Row],[Retail-Actuals]]),"")</f>
        <v/>
      </c>
      <c r="AP1368" s="41">
        <f>DaybyDay[[#This Row],[Estimated-Payroll-Rollup]]/DaybyDay[[#This Row],[Simple-Forecast]]</f>
        <v>8.8657554818412782E-3</v>
      </c>
      <c r="AQ13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310624.4570354973</v>
      </c>
      <c r="AR1368" s="77"/>
      <c r="AS1368" s="40" t="str">
        <f>IF(DaybyDay[[#This Row],[Retail Hours]]&gt;0,DaybyDay[[#This Row],[Retail Hours]]*$AS$2,"")</f>
        <v/>
      </c>
      <c r="AT1368" s="40">
        <f>SUMIFS(DaybyDay[Est-Retail-Payroll],DaybyDay[Date],"&gt;="&amp;$C$5,DaybyDay[RowYear],"&gt;="&amp;$C$4,DaybyDay[Date],"&lt;="&amp;DaybyDay[[#This Row],[Date]])</f>
        <v>2627.1</v>
      </c>
      <c r="AU1368" s="82" t="str">
        <f>IF(AND(DaybyDay[[#This Row],[_Space]],ISNUMBER(DaybyDay[[#This Row],[Retail Hours]])),DaybyDay[[#This Row],[Est-Retail-Payroll]]/(DaybyDay[[#This Row],[Retail-Actuals]]),"")</f>
        <v/>
      </c>
      <c r="AV1368" s="82">
        <f>DaybyDay[[#This Row],[Est-Retail-PayrollRU]]/DaybyDay[[#This Row],[Simple-Forecast-Retail]]</f>
        <v>8.4574795721889407E-3</v>
      </c>
      <c r="AW1368" s="8"/>
      <c r="AX1368" s="15"/>
      <c r="AY1368" s="8"/>
    </row>
    <row r="1369" spans="3:51" hidden="1" x14ac:dyDescent="0.25">
      <c r="C1369" s="26" t="str">
        <f>Tools!$C$1</f>
        <v>Example</v>
      </c>
      <c r="D1369" s="27" t="s">
        <v>76</v>
      </c>
      <c r="E1369" s="28">
        <v>2020</v>
      </c>
      <c r="F1369" s="28">
        <f>MATCH(DaybyDay[[#This Row],[RowMonth]],Table3[SummaryMonth],0)</f>
        <v>9</v>
      </c>
      <c r="G1369" s="29">
        <f>MATCH(DaybyDay[[#This Row],[LY-Date]],DaybyDay[Date],0)</f>
        <v>999</v>
      </c>
      <c r="H1369" s="30">
        <f>WEEKDAY(DaybyDay[[#This Row],[Date]])</f>
        <v>5</v>
      </c>
      <c r="I1369" s="31">
        <v>44098</v>
      </c>
      <c r="J1369" s="74"/>
      <c r="K1369" s="32">
        <f>SUMIFS(BudgetSeasonality[365 Seasonality],BudgetSeasonality[MonthAdjustment],DaybyDay[[#This Row],[Date]])*SUMIFS(Budgets[Service-Budget],Budgets[BudgetMonth],DaybyDay[[#This Row],[RowMonth]],Budgets[BudgetYear],DaybyDay[[#This Row],[RowYear]])</f>
        <v>4094.779725791298</v>
      </c>
      <c r="L1369" s="75"/>
      <c r="M1369" s="32">
        <f>INDEX(BudgetSeasonality[365 Seasonality],MATCH(DaybyDay[[#This Row],[Date]],BudgetSeasonality[MonthAdjustment],0))*SUMIFS(Budgets[Retail-Budget],Budgets[BudgetMonth],DaybyDay[[#This Row],[RowMonth]],Budgets[BudgetYear],DaybyDay[[#This Row],[RowYear]])</f>
        <v>1281.7731113923107</v>
      </c>
      <c r="N1369" s="75"/>
      <c r="O1369" s="33">
        <f>SUMIFS(DaybyDay[Service-Budgets],DaybyDay[Date],"&gt;="&amp;$C$5,DaybyDay[RowYear],"&gt;="&amp;$C$4,DaybyDay[Date],"&lt;="&amp;DaybyDay[[#This Row],[Date]])</f>
        <v>1412272.172722192</v>
      </c>
      <c r="P1369" s="33">
        <f>SUMIFS(DaybyDay[Retail-Budgets],DaybyDay[Date],"&gt;="&amp;$C$5,DaybyDay[RowYear],"&gt;="&amp;$C$4,DaybyDay[Date],"&lt;="&amp;DaybyDay[[#This Row],[Date]])</f>
        <v>361803.38819625357</v>
      </c>
      <c r="Q1369" s="34">
        <f>SUMIFS(DaybyDay[Service-Actuals],DaybyDay[Date],"&gt;="&amp;$C$5,DaybyDay[RowYear],"&gt;="&amp;$C$4,DaybyDay[Date],"&lt;="&amp;DaybyDay[[#This Row],[Date]])</f>
        <v>385554.23</v>
      </c>
      <c r="R1369" s="34">
        <f>SUMIFS(DaybyDay[Retail-Actuals],DaybyDay[Date],"&gt;="&amp;$C$5,DaybyDay[RowYear],"&gt;="&amp;$C$4,DaybyDay[Date],"&lt;="&amp;DaybyDay[[#This Row],[Date]])</f>
        <v>88360.030000000028</v>
      </c>
      <c r="S1369" s="35">
        <f>SUMIFS(DaybyDay[Service-LY],DaybyDay[Date],"&gt;="&amp;$C$5,DaybyDay[RowYear],"&gt;="&amp;$C$4,DaybyDay[Date],"&lt;="&amp;DaybyDay[[#This Row],[Date]])</f>
        <v>1276413.8309999984</v>
      </c>
      <c r="T1369" s="35">
        <f>SUMIFS(DaybyDay[Retail-LY],DaybyDay[Date],"&gt;="&amp;$C$5,DaybyDay[RowYear],"&gt;="&amp;$C$4,DaybyDay[Date],"&lt;="&amp;DaybyDay[[#This Row],[Date]])</f>
        <v>311517.48</v>
      </c>
      <c r="U1369" s="32">
        <f>DaybyDay[[#This Row],[Serv-Bud-RU]]+DaybyDay[[#This Row],[Ret-Bud-RU]]</f>
        <v>1774075.5609184457</v>
      </c>
      <c r="V1369" s="32">
        <f>DaybyDay[[#This Row],[Serv-Act-RU]]+DaybyDay[[#This Row],[Ret-Act-RU]]</f>
        <v>473914.26</v>
      </c>
      <c r="W1369" s="36" t="str">
        <f>IF(DaybyDay[[#This Row],[_Space]],IFERROR(
((DaybyDay[[#This Row],[Actual-Rollup]]-DaybyDay[[#This Row],[Budget-Rollup]])/DaybyDay[[#This Row],[Budget-Rollup]]),0),"")</f>
        <v/>
      </c>
      <c r="X1369" t="b">
        <f>NOT(AND(ISBLANK(DaybyDay[[#This Row],[Appts]]),ISBLANK(DaybyDay[[#This Row],[Service-Actuals]]),ISBLANK(DaybyDay[[#This Row],[Retail-Actuals]])))</f>
        <v>0</v>
      </c>
      <c r="Y1369" s="36" t="str">
        <f>IF(DaybyDay[[#This Row],[_Space]],IFERROR(
((DaybyDay[[#This Row],[Actual-Rollup]]-DaybyDay[[#This Row],[LY-Rollup]])/DaybyDay[[#This Row],[LY-Rollup]]),0),"")</f>
        <v/>
      </c>
      <c r="Z1369"/>
      <c r="AA1369" s="37" t="str">
        <f>IF(DaybyDay[[#This Row],[_Space]],DaybyDay[[#This Row],[Ret-Act-RU]]/DaybyDay[[#This Row],[Serv-Act-RU]],"")</f>
        <v/>
      </c>
      <c r="AB1369" s="50" t="str">
        <f>IF(DaybyDay[[#This Row],[_Space]],DaybyDay[[#This Row],[RETPEN-Act]]/DaybyDay[[#This Row],[RETPEN-Bud]],"")</f>
        <v/>
      </c>
      <c r="AC1369" s="37" t="str">
        <f>IF(DaybyDay[[#This Row],[_Space]],DaybyDay[[#This Row],[Ret-Bud-RU]]/DaybyDay[[#This Row],[Serv-Bud-RU]],"")</f>
        <v/>
      </c>
      <c r="AD1369" s="37" t="str">
        <f>IF(DaybyDay[[#This Row],[_Space]],DaybyDay[[#This Row],[Ret-LY-RU]]/DaybyDay[[#This Row],[Serv-LY-RU]],"")</f>
        <v/>
      </c>
      <c r="AE1369" s="30">
        <f>WEEKDAY(DaybyDay[[#This Row],[LY-Date]])</f>
        <v>5</v>
      </c>
      <c r="AF1369" s="38">
        <f>$E$2+_xlfn.DAYS(DaybyDay[[#This Row],[Date]],minDate)</f>
        <v>43734</v>
      </c>
      <c r="AG1369" s="39" cm="1">
        <f t="array" ref="AG1369">IFERROR(INDEX(DaybyDay[],DaybyDay[[#This Row],[FORM_MATCH_HELPER]],8),"")</f>
        <v>13</v>
      </c>
      <c r="AH1369" s="39" cm="1">
        <f t="array" ref="AH1369">IFERROR(INDEX(DaybyDay[],DaybyDay[[#This Row],[FORM_MATCH_HELPER]],10),"")</f>
        <v>3009.4999999999995</v>
      </c>
      <c r="AI1369" s="39" cm="1">
        <f t="array" ref="AI1369">IFERROR(INDEX(DaybyDay[],DaybyDay[[#This Row],[FORM_MATCH_HELPER]],12),"")</f>
        <v>1816.4</v>
      </c>
      <c r="AJ1369" s="32">
        <f>IFERROR(DaybyDay[[#This Row],[Serv-LY-RU]]+DaybyDay[[#This Row],[Ret-LY-RU]],"")</f>
        <v>1587931.3109999984</v>
      </c>
      <c r="AK13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1577209.125607803</v>
      </c>
      <c r="AL1369" s="77"/>
      <c r="AM1369" s="40" t="str">
        <f>IF(DaybyDay[[#This Row],[Admin Hours]]&gt;0,DaybyDay[[#This Row],[Admin Hours]]*$AM$2+$AM$3,"")</f>
        <v/>
      </c>
      <c r="AN1369" s="40">
        <f>SUMIFS(DaybyDay[Est-Admin-Payroll],DaybyDay[Date],"&gt;="&amp;$C$5,DaybyDay[RowYear],"&gt;="&amp;$C$4,DaybyDay[Date],"&lt;="&amp;DaybyDay[[#This Row],[Date]])</f>
        <v>13941.779999999997</v>
      </c>
      <c r="AO1369" s="41" t="str">
        <f>IF(AND(DaybyDay[[#This Row],[_Space]],ISNUMBER(DaybyDay[[#This Row],[Admin Hours]])),DaybyDay[[#This Row],[Est-Admin-Payroll]]/(DaybyDay[[#This Row],[Service-Actuals]]+DaybyDay[[#This Row],[Retail-Actuals]]),"")</f>
        <v/>
      </c>
      <c r="AP1369" s="41">
        <f>DaybyDay[[#This Row],[Estimated-Payroll-Rollup]]/DaybyDay[[#This Row],[Simple-Forecast]]</f>
        <v>8.8395253195274956E-3</v>
      </c>
      <c r="AQ13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312065.22910539206</v>
      </c>
      <c r="AR1369" s="77"/>
      <c r="AS1369" s="40" t="str">
        <f>IF(DaybyDay[[#This Row],[Retail Hours]]&gt;0,DaybyDay[[#This Row],[Retail Hours]]*$AS$2,"")</f>
        <v/>
      </c>
      <c r="AT1369" s="40">
        <f>SUMIFS(DaybyDay[Est-Retail-Payroll],DaybyDay[Date],"&gt;="&amp;$C$5,DaybyDay[RowYear],"&gt;="&amp;$C$4,DaybyDay[Date],"&lt;="&amp;DaybyDay[[#This Row],[Date]])</f>
        <v>2627.1</v>
      </c>
      <c r="AU1369" s="82" t="str">
        <f>IF(AND(DaybyDay[[#This Row],[_Space]],ISNUMBER(DaybyDay[[#This Row],[Retail Hours]])),DaybyDay[[#This Row],[Est-Retail-Payroll]]/(DaybyDay[[#This Row],[Retail-Actuals]]),"")</f>
        <v/>
      </c>
      <c r="AV1369" s="82">
        <f>DaybyDay[[#This Row],[Est-Retail-PayrollRU]]/DaybyDay[[#This Row],[Simple-Forecast-Retail]]</f>
        <v>8.4184322858756044E-3</v>
      </c>
      <c r="AW1369" s="8"/>
      <c r="AX1369" s="15"/>
      <c r="AY1369" s="8"/>
    </row>
    <row r="1370" spans="3:51" hidden="1" x14ac:dyDescent="0.25">
      <c r="C1370" s="26" t="str">
        <f>Tools!$C$1</f>
        <v>Example</v>
      </c>
      <c r="D1370" s="27" t="s">
        <v>76</v>
      </c>
      <c r="E1370" s="28">
        <v>2020</v>
      </c>
      <c r="F1370" s="28">
        <f>MATCH(DaybyDay[[#This Row],[RowMonth]],Table3[SummaryMonth],0)</f>
        <v>9</v>
      </c>
      <c r="G1370" s="29">
        <f>MATCH(DaybyDay[[#This Row],[LY-Date]],DaybyDay[Date],0)</f>
        <v>1000</v>
      </c>
      <c r="H1370" s="30">
        <f>WEEKDAY(DaybyDay[[#This Row],[Date]])</f>
        <v>6</v>
      </c>
      <c r="I1370" s="31">
        <v>44099</v>
      </c>
      <c r="J1370" s="74"/>
      <c r="K1370" s="32">
        <f>SUMIFS(BudgetSeasonality[365 Seasonality],BudgetSeasonality[MonthAdjustment],DaybyDay[[#This Row],[Date]])*SUMIFS(Budgets[Service-Budget],Budgets[BudgetMonth],DaybyDay[[#This Row],[RowMonth]],Budgets[BudgetYear],DaybyDay[[#This Row],[RowYear]])</f>
        <v>5243.4738216675951</v>
      </c>
      <c r="L1370" s="75"/>
      <c r="M1370" s="32">
        <f>INDEX(BudgetSeasonality[365 Seasonality],MATCH(DaybyDay[[#This Row],[Date]],BudgetSeasonality[MonthAdjustment],0))*SUMIFS(Budgets[Retail-Budget],Budgets[BudgetMonth],DaybyDay[[#This Row],[RowMonth]],Budgets[BudgetYear],DaybyDay[[#This Row],[RowYear]])</f>
        <v>1641.344395785346</v>
      </c>
      <c r="N1370" s="75"/>
      <c r="O1370" s="33">
        <f>SUMIFS(DaybyDay[Service-Budgets],DaybyDay[Date],"&gt;="&amp;$C$5,DaybyDay[RowYear],"&gt;="&amp;$C$4,DaybyDay[Date],"&lt;="&amp;DaybyDay[[#This Row],[Date]])</f>
        <v>1417515.6465438595</v>
      </c>
      <c r="P1370" s="33">
        <f>SUMIFS(DaybyDay[Retail-Budgets],DaybyDay[Date],"&gt;="&amp;$C$5,DaybyDay[RowYear],"&gt;="&amp;$C$4,DaybyDay[Date],"&lt;="&amp;DaybyDay[[#This Row],[Date]])</f>
        <v>363444.73259203893</v>
      </c>
      <c r="Q1370" s="34">
        <f>SUMIFS(DaybyDay[Service-Actuals],DaybyDay[Date],"&gt;="&amp;$C$5,DaybyDay[RowYear],"&gt;="&amp;$C$4,DaybyDay[Date],"&lt;="&amp;DaybyDay[[#This Row],[Date]])</f>
        <v>385554.23</v>
      </c>
      <c r="R1370" s="34">
        <f>SUMIFS(DaybyDay[Retail-Actuals],DaybyDay[Date],"&gt;="&amp;$C$5,DaybyDay[RowYear],"&gt;="&amp;$C$4,DaybyDay[Date],"&lt;="&amp;DaybyDay[[#This Row],[Date]])</f>
        <v>88360.030000000028</v>
      </c>
      <c r="S1370" s="35">
        <f>SUMIFS(DaybyDay[Service-LY],DaybyDay[Date],"&gt;="&amp;$C$5,DaybyDay[RowYear],"&gt;="&amp;$C$4,DaybyDay[Date],"&lt;="&amp;DaybyDay[[#This Row],[Date]])</f>
        <v>1279837.8809999984</v>
      </c>
      <c r="T1370" s="35">
        <f>SUMIFS(DaybyDay[Retail-LY],DaybyDay[Date],"&gt;="&amp;$C$5,DaybyDay[RowYear],"&gt;="&amp;$C$4,DaybyDay[Date],"&lt;="&amp;DaybyDay[[#This Row],[Date]])</f>
        <v>312252.48</v>
      </c>
      <c r="U1370" s="32">
        <f>DaybyDay[[#This Row],[Serv-Bud-RU]]+DaybyDay[[#This Row],[Ret-Bud-RU]]</f>
        <v>1780960.3791358983</v>
      </c>
      <c r="V1370" s="32">
        <f>DaybyDay[[#This Row],[Serv-Act-RU]]+DaybyDay[[#This Row],[Ret-Act-RU]]</f>
        <v>473914.26</v>
      </c>
      <c r="W1370" s="36" t="str">
        <f>IF(DaybyDay[[#This Row],[_Space]],IFERROR(
((DaybyDay[[#This Row],[Actual-Rollup]]-DaybyDay[[#This Row],[Budget-Rollup]])/DaybyDay[[#This Row],[Budget-Rollup]]),0),"")</f>
        <v/>
      </c>
      <c r="X1370" t="b">
        <f>NOT(AND(ISBLANK(DaybyDay[[#This Row],[Appts]]),ISBLANK(DaybyDay[[#This Row],[Service-Actuals]]),ISBLANK(DaybyDay[[#This Row],[Retail-Actuals]])))</f>
        <v>0</v>
      </c>
      <c r="Y1370" s="36" t="str">
        <f>IF(DaybyDay[[#This Row],[_Space]],IFERROR(
((DaybyDay[[#This Row],[Actual-Rollup]]-DaybyDay[[#This Row],[LY-Rollup]])/DaybyDay[[#This Row],[LY-Rollup]]),0),"")</f>
        <v/>
      </c>
      <c r="Z1370"/>
      <c r="AA1370" s="37" t="str">
        <f>IF(DaybyDay[[#This Row],[_Space]],DaybyDay[[#This Row],[Ret-Act-RU]]/DaybyDay[[#This Row],[Serv-Act-RU]],"")</f>
        <v/>
      </c>
      <c r="AB1370" s="50" t="str">
        <f>IF(DaybyDay[[#This Row],[_Space]],DaybyDay[[#This Row],[RETPEN-Act]]/DaybyDay[[#This Row],[RETPEN-Bud]],"")</f>
        <v/>
      </c>
      <c r="AC1370" s="37" t="str">
        <f>IF(DaybyDay[[#This Row],[_Space]],DaybyDay[[#This Row],[Ret-Bud-RU]]/DaybyDay[[#This Row],[Serv-Bud-RU]],"")</f>
        <v/>
      </c>
      <c r="AD1370" s="37" t="str">
        <f>IF(DaybyDay[[#This Row],[_Space]],DaybyDay[[#This Row],[Ret-LY-RU]]/DaybyDay[[#This Row],[Serv-LY-RU]],"")</f>
        <v/>
      </c>
      <c r="AE1370" s="30">
        <f>WEEKDAY(DaybyDay[[#This Row],[LY-Date]])</f>
        <v>6</v>
      </c>
      <c r="AF1370" s="38">
        <f>$E$2+_xlfn.DAYS(DaybyDay[[#This Row],[Date]],minDate)</f>
        <v>43735</v>
      </c>
      <c r="AG1370" s="39" cm="1">
        <f t="array" ref="AG1370">IFERROR(INDEX(DaybyDay[],DaybyDay[[#This Row],[FORM_MATCH_HELPER]],8),"")</f>
        <v>17</v>
      </c>
      <c r="AH1370" s="39" cm="1">
        <f t="array" ref="AH1370">IFERROR(INDEX(DaybyDay[],DaybyDay[[#This Row],[FORM_MATCH_HELPER]],10),"")</f>
        <v>3424.05</v>
      </c>
      <c r="AI1370" s="39" cm="1">
        <f t="array" ref="AI1370">IFERROR(INDEX(DaybyDay[],DaybyDay[[#This Row],[FORM_MATCH_HELPER]],12),"")</f>
        <v>735</v>
      </c>
      <c r="AJ1370" s="32">
        <f>IFERROR(DaybyDay[[#This Row],[Serv-LY-RU]]+DaybyDay[[#This Row],[Ret-LY-RU]],"")</f>
        <v>1592090.3609999984</v>
      </c>
      <c r="AK137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1582188.2075945181</v>
      </c>
      <c r="AL1370" s="77"/>
      <c r="AM1370" s="40" t="str">
        <f>IF(DaybyDay[[#This Row],[Admin Hours]]&gt;0,DaybyDay[[#This Row],[Admin Hours]]*$AM$2+$AM$3,"")</f>
        <v/>
      </c>
      <c r="AN1370" s="40">
        <f>SUMIFS(DaybyDay[Est-Admin-Payroll],DaybyDay[Date],"&gt;="&amp;$C$5,DaybyDay[RowYear],"&gt;="&amp;$C$4,DaybyDay[Date],"&lt;="&amp;DaybyDay[[#This Row],[Date]])</f>
        <v>13941.779999999997</v>
      </c>
      <c r="AO1370" s="41" t="str">
        <f>IF(AND(DaybyDay[[#This Row],[_Space]],ISNUMBER(DaybyDay[[#This Row],[Admin Hours]])),DaybyDay[[#This Row],[Est-Admin-Payroll]]/(DaybyDay[[#This Row],[Service-Actuals]]+DaybyDay[[#This Row],[Retail-Actuals]]),"")</f>
        <v/>
      </c>
      <c r="AP1370" s="41">
        <f>DaybyDay[[#This Row],[Estimated-Payroll-Rollup]]/DaybyDay[[#This Row],[Simple-Forecast]]</f>
        <v>8.8117076925989732E-3</v>
      </c>
      <c r="AQ137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313125.76961477054</v>
      </c>
      <c r="AR1370" s="77"/>
      <c r="AS1370" s="40" t="str">
        <f>IF(DaybyDay[[#This Row],[Retail Hours]]&gt;0,DaybyDay[[#This Row],[Retail Hours]]*$AS$2,"")</f>
        <v/>
      </c>
      <c r="AT1370" s="40">
        <f>SUMIFS(DaybyDay[Est-Retail-Payroll],DaybyDay[Date],"&gt;="&amp;$C$5,DaybyDay[RowYear],"&gt;="&amp;$C$4,DaybyDay[Date],"&lt;="&amp;DaybyDay[[#This Row],[Date]])</f>
        <v>2627.1</v>
      </c>
      <c r="AU1370" s="82" t="str">
        <f>IF(AND(DaybyDay[[#This Row],[_Space]],ISNUMBER(DaybyDay[[#This Row],[Retail Hours]])),DaybyDay[[#This Row],[Est-Retail-Payroll]]/(DaybyDay[[#This Row],[Retail-Actuals]]),"")</f>
        <v/>
      </c>
      <c r="AV1370" s="82">
        <f>DaybyDay[[#This Row],[Est-Retail-PayrollRU]]/DaybyDay[[#This Row],[Simple-Forecast-Retail]]</f>
        <v>8.389919498583729E-3</v>
      </c>
      <c r="AW1370" s="8"/>
      <c r="AX1370" s="15"/>
      <c r="AY1370" s="8"/>
    </row>
    <row r="1371" spans="3:51" hidden="1" x14ac:dyDescent="0.25">
      <c r="C1371" s="26" t="str">
        <f>Tools!$C$1</f>
        <v>Example</v>
      </c>
      <c r="D1371" s="27" t="s">
        <v>76</v>
      </c>
      <c r="E1371" s="28">
        <v>2020</v>
      </c>
      <c r="F1371" s="28">
        <f>MATCH(DaybyDay[[#This Row],[RowMonth]],Table3[SummaryMonth],0)</f>
        <v>9</v>
      </c>
      <c r="G1371" s="29">
        <f>MATCH(DaybyDay[[#This Row],[LY-Date]],DaybyDay[Date],0)</f>
        <v>1001</v>
      </c>
      <c r="H1371" s="30">
        <f>WEEKDAY(DaybyDay[[#This Row],[Date]])</f>
        <v>7</v>
      </c>
      <c r="I1371" s="31">
        <v>44100</v>
      </c>
      <c r="J1371" s="74"/>
      <c r="K1371" s="32">
        <f>SUMIFS(BudgetSeasonality[365 Seasonality],BudgetSeasonality[MonthAdjustment],DaybyDay[[#This Row],[Date]])*SUMIFS(Budgets[Service-Budget],Budgets[BudgetMonth],DaybyDay[[#This Row],[RowMonth]],Budgets[BudgetYear],DaybyDay[[#This Row],[RowYear]])</f>
        <v>7661.7635535297277</v>
      </c>
      <c r="L1371" s="75"/>
      <c r="M1371" s="32">
        <f>INDEX(BudgetSeasonality[365 Seasonality],MATCH(DaybyDay[[#This Row],[Date]],BudgetSeasonality[MonthAdjustment],0))*SUMIFS(Budgets[Retail-Budget],Budgets[BudgetMonth],DaybyDay[[#This Row],[RowMonth]],Budgets[BudgetYear],DaybyDay[[#This Row],[RowYear]])</f>
        <v>2398.3323075729572</v>
      </c>
      <c r="N1371" s="75"/>
      <c r="O1371" s="33">
        <f>SUMIFS(DaybyDay[Service-Budgets],DaybyDay[Date],"&gt;="&amp;$C$5,DaybyDay[RowYear],"&gt;="&amp;$C$4,DaybyDay[Date],"&lt;="&amp;DaybyDay[[#This Row],[Date]])</f>
        <v>1425177.4100973892</v>
      </c>
      <c r="P1371" s="33">
        <f>SUMIFS(DaybyDay[Retail-Budgets],DaybyDay[Date],"&gt;="&amp;$C$5,DaybyDay[RowYear],"&gt;="&amp;$C$4,DaybyDay[Date],"&lt;="&amp;DaybyDay[[#This Row],[Date]])</f>
        <v>365843.06489961187</v>
      </c>
      <c r="Q1371" s="34">
        <f>SUMIFS(DaybyDay[Service-Actuals],DaybyDay[Date],"&gt;="&amp;$C$5,DaybyDay[RowYear],"&gt;="&amp;$C$4,DaybyDay[Date],"&lt;="&amp;DaybyDay[[#This Row],[Date]])</f>
        <v>385554.23</v>
      </c>
      <c r="R1371" s="34">
        <f>SUMIFS(DaybyDay[Retail-Actuals],DaybyDay[Date],"&gt;="&amp;$C$5,DaybyDay[RowYear],"&gt;="&amp;$C$4,DaybyDay[Date],"&lt;="&amp;DaybyDay[[#This Row],[Date]])</f>
        <v>88360.030000000028</v>
      </c>
      <c r="S1371" s="35">
        <f>SUMIFS(DaybyDay[Service-LY],DaybyDay[Date],"&gt;="&amp;$C$5,DaybyDay[RowYear],"&gt;="&amp;$C$4,DaybyDay[Date],"&lt;="&amp;DaybyDay[[#This Row],[Date]])</f>
        <v>1286220.0309999983</v>
      </c>
      <c r="T1371" s="35">
        <f>SUMIFS(DaybyDay[Retail-LY],DaybyDay[Date],"&gt;="&amp;$C$5,DaybyDay[RowYear],"&gt;="&amp;$C$4,DaybyDay[Date],"&lt;="&amp;DaybyDay[[#This Row],[Date]])</f>
        <v>313107.48</v>
      </c>
      <c r="U1371" s="32">
        <f>DaybyDay[[#This Row],[Serv-Bud-RU]]+DaybyDay[[#This Row],[Ret-Bud-RU]]</f>
        <v>1791020.4749970012</v>
      </c>
      <c r="V1371" s="32">
        <f>DaybyDay[[#This Row],[Serv-Act-RU]]+DaybyDay[[#This Row],[Ret-Act-RU]]</f>
        <v>473914.26</v>
      </c>
      <c r="W1371" s="36" t="str">
        <f>IF(DaybyDay[[#This Row],[_Space]],IFERROR(
((DaybyDay[[#This Row],[Actual-Rollup]]-DaybyDay[[#This Row],[Budget-Rollup]])/DaybyDay[[#This Row],[Budget-Rollup]]),0),"")</f>
        <v/>
      </c>
      <c r="X1371" t="b">
        <f>NOT(AND(ISBLANK(DaybyDay[[#This Row],[Appts]]),ISBLANK(DaybyDay[[#This Row],[Service-Actuals]]),ISBLANK(DaybyDay[[#This Row],[Retail-Actuals]])))</f>
        <v>0</v>
      </c>
      <c r="Y1371" s="36" t="str">
        <f>IF(DaybyDay[[#This Row],[_Space]],IFERROR(
((DaybyDay[[#This Row],[Actual-Rollup]]-DaybyDay[[#This Row],[LY-Rollup]])/DaybyDay[[#This Row],[LY-Rollup]]),0),"")</f>
        <v/>
      </c>
      <c r="Z1371"/>
      <c r="AA1371" s="37" t="str">
        <f>IF(DaybyDay[[#This Row],[_Space]],DaybyDay[[#This Row],[Ret-Act-RU]]/DaybyDay[[#This Row],[Serv-Act-RU]],"")</f>
        <v/>
      </c>
      <c r="AB1371" s="50" t="str">
        <f>IF(DaybyDay[[#This Row],[_Space]],DaybyDay[[#This Row],[RETPEN-Act]]/DaybyDay[[#This Row],[RETPEN-Bud]],"")</f>
        <v/>
      </c>
      <c r="AC1371" s="37" t="str">
        <f>IF(DaybyDay[[#This Row],[_Space]],DaybyDay[[#This Row],[Ret-Bud-RU]]/DaybyDay[[#This Row],[Serv-Bud-RU]],"")</f>
        <v/>
      </c>
      <c r="AD1371" s="37" t="str">
        <f>IF(DaybyDay[[#This Row],[_Space]],DaybyDay[[#This Row],[Ret-LY-RU]]/DaybyDay[[#This Row],[Serv-LY-RU]],"")</f>
        <v/>
      </c>
      <c r="AE1371" s="30">
        <f>WEEKDAY(DaybyDay[[#This Row],[LY-Date]])</f>
        <v>7</v>
      </c>
      <c r="AF1371" s="38">
        <f>$E$2+_xlfn.DAYS(DaybyDay[[#This Row],[Date]],minDate)</f>
        <v>43736</v>
      </c>
      <c r="AG1371" s="39" cm="1">
        <f t="array" ref="AG1371">IFERROR(INDEX(DaybyDay[],DaybyDay[[#This Row],[FORM_MATCH_HELPER]],8),"")</f>
        <v>27</v>
      </c>
      <c r="AH1371" s="39" cm="1">
        <f t="array" ref="AH1371">IFERROR(INDEX(DaybyDay[],DaybyDay[[#This Row],[FORM_MATCH_HELPER]],10),"")</f>
        <v>6382.15</v>
      </c>
      <c r="AI1371" s="39" cm="1">
        <f t="array" ref="AI1371">IFERROR(INDEX(DaybyDay[],DaybyDay[[#This Row],[FORM_MATCH_HELPER]],12),"")</f>
        <v>855</v>
      </c>
      <c r="AJ1371" s="32">
        <f>IFERROR(DaybyDay[[#This Row],[Serv-LY-RU]]+DaybyDay[[#This Row],[Ret-LY-RU]],"")</f>
        <v>1599327.5109999983</v>
      </c>
      <c r="AK137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1590035.5455527282</v>
      </c>
      <c r="AL1371" s="77"/>
      <c r="AM1371" s="40" t="str">
        <f>IF(DaybyDay[[#This Row],[Admin Hours]]&gt;0,DaybyDay[[#This Row],[Admin Hours]]*$AM$2+$AM$3,"")</f>
        <v/>
      </c>
      <c r="AN1371" s="40">
        <f>SUMIFS(DaybyDay[Est-Admin-Payroll],DaybyDay[Date],"&gt;="&amp;$C$5,DaybyDay[RowYear],"&gt;="&amp;$C$4,DaybyDay[Date],"&lt;="&amp;DaybyDay[[#This Row],[Date]])</f>
        <v>13941.779999999997</v>
      </c>
      <c r="AO1371" s="41" t="str">
        <f>IF(AND(DaybyDay[[#This Row],[_Space]],ISNUMBER(DaybyDay[[#This Row],[Admin Hours]])),DaybyDay[[#This Row],[Est-Admin-Payroll]]/(DaybyDay[[#This Row],[Service-Actuals]]+DaybyDay[[#This Row],[Retail-Actuals]]),"")</f>
        <v/>
      </c>
      <c r="AP1371" s="41">
        <f>DaybyDay[[#This Row],[Estimated-Payroll-Rollup]]/DaybyDay[[#This Row],[Simple-Forecast]]</f>
        <v>8.7682190747210963E-3</v>
      </c>
      <c r="AQ137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314567.46376416471</v>
      </c>
      <c r="AR1371" s="77"/>
      <c r="AS1371" s="40" t="str">
        <f>IF(DaybyDay[[#This Row],[Retail Hours]]&gt;0,DaybyDay[[#This Row],[Retail Hours]]*$AS$2,"")</f>
        <v/>
      </c>
      <c r="AT1371" s="40">
        <f>SUMIFS(DaybyDay[Est-Retail-Payroll],DaybyDay[Date],"&gt;="&amp;$C$5,DaybyDay[RowYear],"&gt;="&amp;$C$4,DaybyDay[Date],"&lt;="&amp;DaybyDay[[#This Row],[Date]])</f>
        <v>2627.1</v>
      </c>
      <c r="AU1371" s="82" t="str">
        <f>IF(AND(DaybyDay[[#This Row],[_Space]],ISNUMBER(DaybyDay[[#This Row],[Retail Hours]])),DaybyDay[[#This Row],[Est-Retail-Payroll]]/(DaybyDay[[#This Row],[Retail-Actuals]]),"")</f>
        <v/>
      </c>
      <c r="AV1371" s="82">
        <f>DaybyDay[[#This Row],[Est-Retail-PayrollRU]]/DaybyDay[[#This Row],[Simple-Forecast-Retail]]</f>
        <v>8.3514676583639636E-3</v>
      </c>
      <c r="AW1371" s="8"/>
      <c r="AX1371" s="15"/>
      <c r="AY1371" s="8"/>
    </row>
    <row r="1372" spans="3:51" hidden="1" x14ac:dyDescent="0.25">
      <c r="C1372" s="26" t="str">
        <f>Tools!$C$1</f>
        <v>Example</v>
      </c>
      <c r="D1372" s="27" t="s">
        <v>76</v>
      </c>
      <c r="E1372" s="28">
        <v>2020</v>
      </c>
      <c r="F1372" s="28">
        <f>MATCH(DaybyDay[[#This Row],[RowMonth]],Table3[SummaryMonth],0)</f>
        <v>9</v>
      </c>
      <c r="G1372" s="29">
        <f>MATCH(DaybyDay[[#This Row],[LY-Date]],DaybyDay[Date],0)</f>
        <v>1002</v>
      </c>
      <c r="H1372" s="30">
        <f>WEEKDAY(DaybyDay[[#This Row],[Date]])</f>
        <v>1</v>
      </c>
      <c r="I1372" s="31">
        <v>44101</v>
      </c>
      <c r="J1372" s="74"/>
      <c r="K1372" s="32">
        <f>SUMIFS(BudgetSeasonality[365 Seasonality],BudgetSeasonality[MonthAdjustment],DaybyDay[[#This Row],[Date]])*SUMIFS(Budgets[Service-Budget],Budgets[BudgetMonth],DaybyDay[[#This Row],[RowMonth]],Budgets[BudgetYear],DaybyDay[[#This Row],[RowYear]])</f>
        <v>5915.4199857925432</v>
      </c>
      <c r="L1372" s="75"/>
      <c r="M1372" s="32">
        <f>INDEX(BudgetSeasonality[365 Seasonality],MATCH(DaybyDay[[#This Row],[Date]],BudgetSeasonality[MonthAdjustment],0))*SUMIFS(Budgets[Retail-Budget],Budgets[BudgetMonth],DaybyDay[[#This Row],[RowMonth]],Budgets[BudgetYear],DaybyDay[[#This Row],[RowYear]])</f>
        <v>1851.681113058245</v>
      </c>
      <c r="N1372" s="75"/>
      <c r="O1372" s="33">
        <f>SUMIFS(DaybyDay[Service-Budgets],DaybyDay[Date],"&gt;="&amp;$C$5,DaybyDay[RowYear],"&gt;="&amp;$C$4,DaybyDay[Date],"&lt;="&amp;DaybyDay[[#This Row],[Date]])</f>
        <v>1431092.8300831818</v>
      </c>
      <c r="P1372" s="33">
        <f>SUMIFS(DaybyDay[Retail-Budgets],DaybyDay[Date],"&gt;="&amp;$C$5,DaybyDay[RowYear],"&gt;="&amp;$C$4,DaybyDay[Date],"&lt;="&amp;DaybyDay[[#This Row],[Date]])</f>
        <v>367694.7460126701</v>
      </c>
      <c r="Q1372" s="34">
        <f>SUMIFS(DaybyDay[Service-Actuals],DaybyDay[Date],"&gt;="&amp;$C$5,DaybyDay[RowYear],"&gt;="&amp;$C$4,DaybyDay[Date],"&lt;="&amp;DaybyDay[[#This Row],[Date]])</f>
        <v>385554.23</v>
      </c>
      <c r="R1372" s="34">
        <f>SUMIFS(DaybyDay[Retail-Actuals],DaybyDay[Date],"&gt;="&amp;$C$5,DaybyDay[RowYear],"&gt;="&amp;$C$4,DaybyDay[Date],"&lt;="&amp;DaybyDay[[#This Row],[Date]])</f>
        <v>88360.030000000028</v>
      </c>
      <c r="S1372" s="35">
        <f>SUMIFS(DaybyDay[Service-LY],DaybyDay[Date],"&gt;="&amp;$C$5,DaybyDay[RowYear],"&gt;="&amp;$C$4,DaybyDay[Date],"&lt;="&amp;DaybyDay[[#This Row],[Date]])</f>
        <v>1292524.7009999983</v>
      </c>
      <c r="T1372" s="35">
        <f>SUMIFS(DaybyDay[Retail-LY],DaybyDay[Date],"&gt;="&amp;$C$5,DaybyDay[RowYear],"&gt;="&amp;$C$4,DaybyDay[Date],"&lt;="&amp;DaybyDay[[#This Row],[Date]])</f>
        <v>313887.82</v>
      </c>
      <c r="U1372" s="32">
        <f>DaybyDay[[#This Row],[Serv-Bud-RU]]+DaybyDay[[#This Row],[Ret-Bud-RU]]</f>
        <v>1798787.5760958521</v>
      </c>
      <c r="V1372" s="32">
        <f>DaybyDay[[#This Row],[Serv-Act-RU]]+DaybyDay[[#This Row],[Ret-Act-RU]]</f>
        <v>473914.26</v>
      </c>
      <c r="W1372" s="36" t="str">
        <f>IF(DaybyDay[[#This Row],[_Space]],IFERROR(
((DaybyDay[[#This Row],[Actual-Rollup]]-DaybyDay[[#This Row],[Budget-Rollup]])/DaybyDay[[#This Row],[Budget-Rollup]]),0),"")</f>
        <v/>
      </c>
      <c r="X1372" t="b">
        <f>NOT(AND(ISBLANK(DaybyDay[[#This Row],[Appts]]),ISBLANK(DaybyDay[[#This Row],[Service-Actuals]]),ISBLANK(DaybyDay[[#This Row],[Retail-Actuals]])))</f>
        <v>0</v>
      </c>
      <c r="Y1372" s="36" t="str">
        <f>IF(DaybyDay[[#This Row],[_Space]],IFERROR(
((DaybyDay[[#This Row],[Actual-Rollup]]-DaybyDay[[#This Row],[LY-Rollup]])/DaybyDay[[#This Row],[LY-Rollup]]),0),"")</f>
        <v/>
      </c>
      <c r="Z1372"/>
      <c r="AA1372" s="37" t="str">
        <f>IF(DaybyDay[[#This Row],[_Space]],DaybyDay[[#This Row],[Ret-Act-RU]]/DaybyDay[[#This Row],[Serv-Act-RU]],"")</f>
        <v/>
      </c>
      <c r="AB1372" s="50" t="str">
        <f>IF(DaybyDay[[#This Row],[_Space]],DaybyDay[[#This Row],[RETPEN-Act]]/DaybyDay[[#This Row],[RETPEN-Bud]],"")</f>
        <v/>
      </c>
      <c r="AC1372" s="37" t="str">
        <f>IF(DaybyDay[[#This Row],[_Space]],DaybyDay[[#This Row],[Ret-Bud-RU]]/DaybyDay[[#This Row],[Serv-Bud-RU]],"")</f>
        <v/>
      </c>
      <c r="AD1372" s="37" t="str">
        <f>IF(DaybyDay[[#This Row],[_Space]],DaybyDay[[#This Row],[Ret-LY-RU]]/DaybyDay[[#This Row],[Serv-LY-RU]],"")</f>
        <v/>
      </c>
      <c r="AE1372" s="30">
        <f>WEEKDAY(DaybyDay[[#This Row],[LY-Date]])</f>
        <v>1</v>
      </c>
      <c r="AF1372" s="38">
        <f>$E$2+_xlfn.DAYS(DaybyDay[[#This Row],[Date]],minDate)</f>
        <v>43737</v>
      </c>
      <c r="AG1372" s="39" cm="1">
        <f t="array" ref="AG1372">IFERROR(INDEX(DaybyDay[],DaybyDay[[#This Row],[FORM_MATCH_HELPER]],8),"")</f>
        <v>33</v>
      </c>
      <c r="AH1372" s="39" cm="1">
        <f t="array" ref="AH1372">IFERROR(INDEX(DaybyDay[],DaybyDay[[#This Row],[FORM_MATCH_HELPER]],10),"")</f>
        <v>6304.67</v>
      </c>
      <c r="AI1372" s="39" cm="1">
        <f t="array" ref="AI1372">IFERROR(INDEX(DaybyDay[],DaybyDay[[#This Row],[FORM_MATCH_HELPER]],12),"")</f>
        <v>780.34</v>
      </c>
      <c r="AJ1372" s="32">
        <f>IFERROR(DaybyDay[[#This Row],[Serv-LY-RU]]+DaybyDay[[#This Row],[Ret-LY-RU]],"")</f>
        <v>1606412.5209999983</v>
      </c>
      <c r="AK137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1596832.5355511783</v>
      </c>
      <c r="AL1372" s="77"/>
      <c r="AM1372" s="40" t="str">
        <f>IF(DaybyDay[[#This Row],[Admin Hours]]&gt;0,DaybyDay[[#This Row],[Admin Hours]]*$AM$2+$AM$3,"")</f>
        <v/>
      </c>
      <c r="AN1372" s="40">
        <f>SUMIFS(DaybyDay[Est-Admin-Payroll],DaybyDay[Date],"&gt;="&amp;$C$5,DaybyDay[RowYear],"&gt;="&amp;$C$4,DaybyDay[Date],"&lt;="&amp;DaybyDay[[#This Row],[Date]])</f>
        <v>13941.779999999997</v>
      </c>
      <c r="AO1372" s="41" t="str">
        <f>IF(AND(DaybyDay[[#This Row],[_Space]],ISNUMBER(DaybyDay[[#This Row],[Admin Hours]])),DaybyDay[[#This Row],[Est-Admin-Payroll]]/(DaybyDay[[#This Row],[Service-Actuals]]+DaybyDay[[#This Row],[Retail-Actuals]]),"")</f>
        <v/>
      </c>
      <c r="AP1372" s="41">
        <f>DaybyDay[[#This Row],[Estimated-Payroll-Rollup]]/DaybyDay[[#This Row],[Simple-Forecast]]</f>
        <v>8.730896753169997E-3</v>
      </c>
      <c r="AQ137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315739.82658872113</v>
      </c>
      <c r="AR1372" s="77"/>
      <c r="AS1372" s="40" t="str">
        <f>IF(DaybyDay[[#This Row],[Retail Hours]]&gt;0,DaybyDay[[#This Row],[Retail Hours]]*$AS$2,"")</f>
        <v/>
      </c>
      <c r="AT1372" s="40">
        <f>SUMIFS(DaybyDay[Est-Retail-Payroll],DaybyDay[Date],"&gt;="&amp;$C$5,DaybyDay[RowYear],"&gt;="&amp;$C$4,DaybyDay[Date],"&lt;="&amp;DaybyDay[[#This Row],[Date]])</f>
        <v>2627.1</v>
      </c>
      <c r="AU1372" s="82" t="str">
        <f>IF(AND(DaybyDay[[#This Row],[_Space]],ISNUMBER(DaybyDay[[#This Row],[Retail Hours]])),DaybyDay[[#This Row],[Est-Retail-Payroll]]/(DaybyDay[[#This Row],[Retail-Actuals]]),"")</f>
        <v/>
      </c>
      <c r="AV1372" s="82">
        <f>DaybyDay[[#This Row],[Est-Retail-PayrollRU]]/DaybyDay[[#This Row],[Simple-Forecast-Retail]]</f>
        <v>8.320458107497564E-3</v>
      </c>
      <c r="AW1372" s="8"/>
      <c r="AX1372" s="15"/>
      <c r="AY1372" s="8"/>
    </row>
    <row r="1373" spans="3:51" hidden="1" x14ac:dyDescent="0.25">
      <c r="C1373" s="26" t="str">
        <f>Tools!$C$1</f>
        <v>Example</v>
      </c>
      <c r="D1373" s="27" t="s">
        <v>76</v>
      </c>
      <c r="E1373" s="28">
        <v>2020</v>
      </c>
      <c r="F1373" s="28">
        <f>MATCH(DaybyDay[[#This Row],[RowMonth]],Table3[SummaryMonth],0)</f>
        <v>9</v>
      </c>
      <c r="G1373" s="29">
        <f>MATCH(DaybyDay[[#This Row],[LY-Date]],DaybyDay[Date],0)</f>
        <v>1003</v>
      </c>
      <c r="H1373" s="30">
        <f>WEEKDAY(DaybyDay[[#This Row],[Date]])</f>
        <v>2</v>
      </c>
      <c r="I1373" s="31">
        <v>44102</v>
      </c>
      <c r="J1373" s="74"/>
      <c r="K1373" s="32">
        <f>SUMIFS(BudgetSeasonality[365 Seasonality],BudgetSeasonality[MonthAdjustment],DaybyDay[[#This Row],[Date]])*SUMIFS(Budgets[Service-Budget],Budgets[BudgetMonth],DaybyDay[[#This Row],[RowMonth]],Budgets[BudgetYear],DaybyDay[[#This Row],[RowYear]])</f>
        <v>3360.1835641804873</v>
      </c>
      <c r="L1373" s="75"/>
      <c r="M1373" s="32">
        <f>INDEX(BudgetSeasonality[365 Seasonality],MATCH(DaybyDay[[#This Row],[Date]],BudgetSeasonality[MonthAdjustment],0))*SUMIFS(Budgets[Retail-Budget],Budgets[BudgetMonth],DaybyDay[[#This Row],[RowMonth]],Budgets[BudgetYear],DaybyDay[[#This Row],[RowYear]])</f>
        <v>1051.8253069343357</v>
      </c>
      <c r="N1373" s="75"/>
      <c r="O1373" s="33">
        <f>SUMIFS(DaybyDay[Service-Budgets],DaybyDay[Date],"&gt;="&amp;$C$5,DaybyDay[RowYear],"&gt;="&amp;$C$4,DaybyDay[Date],"&lt;="&amp;DaybyDay[[#This Row],[Date]])</f>
        <v>1434453.0136473624</v>
      </c>
      <c r="P1373" s="33">
        <f>SUMIFS(DaybyDay[Retail-Budgets],DaybyDay[Date],"&gt;="&amp;$C$5,DaybyDay[RowYear],"&gt;="&amp;$C$4,DaybyDay[Date],"&lt;="&amp;DaybyDay[[#This Row],[Date]])</f>
        <v>368746.57131960447</v>
      </c>
      <c r="Q1373" s="34">
        <f>SUMIFS(DaybyDay[Service-Actuals],DaybyDay[Date],"&gt;="&amp;$C$5,DaybyDay[RowYear],"&gt;="&amp;$C$4,DaybyDay[Date],"&lt;="&amp;DaybyDay[[#This Row],[Date]])</f>
        <v>385554.23</v>
      </c>
      <c r="R1373" s="34">
        <f>SUMIFS(DaybyDay[Retail-Actuals],DaybyDay[Date],"&gt;="&amp;$C$5,DaybyDay[RowYear],"&gt;="&amp;$C$4,DaybyDay[Date],"&lt;="&amp;DaybyDay[[#This Row],[Date]])</f>
        <v>88360.030000000028</v>
      </c>
      <c r="S1373" s="35">
        <f>SUMIFS(DaybyDay[Service-LY],DaybyDay[Date],"&gt;="&amp;$C$5,DaybyDay[RowYear],"&gt;="&amp;$C$4,DaybyDay[Date],"&lt;="&amp;DaybyDay[[#This Row],[Date]])</f>
        <v>1295143.6809999982</v>
      </c>
      <c r="T1373" s="35">
        <f>SUMIFS(DaybyDay[Retail-LY],DaybyDay[Date],"&gt;="&amp;$C$5,DaybyDay[RowYear],"&gt;="&amp;$C$4,DaybyDay[Date],"&lt;="&amp;DaybyDay[[#This Row],[Date]])</f>
        <v>314216.82</v>
      </c>
      <c r="U1373" s="32">
        <f>DaybyDay[[#This Row],[Serv-Bud-RU]]+DaybyDay[[#This Row],[Ret-Bud-RU]]</f>
        <v>1803199.5849669669</v>
      </c>
      <c r="V1373" s="32">
        <f>DaybyDay[[#This Row],[Serv-Act-RU]]+DaybyDay[[#This Row],[Ret-Act-RU]]</f>
        <v>473914.26</v>
      </c>
      <c r="W1373" s="36" t="str">
        <f>IF(DaybyDay[[#This Row],[_Space]],IFERROR(
((DaybyDay[[#This Row],[Actual-Rollup]]-DaybyDay[[#This Row],[Budget-Rollup]])/DaybyDay[[#This Row],[Budget-Rollup]]),0),"")</f>
        <v/>
      </c>
      <c r="X1373" t="b">
        <f>NOT(AND(ISBLANK(DaybyDay[[#This Row],[Appts]]),ISBLANK(DaybyDay[[#This Row],[Service-Actuals]]),ISBLANK(DaybyDay[[#This Row],[Retail-Actuals]])))</f>
        <v>0</v>
      </c>
      <c r="Y1373" s="36" t="str">
        <f>IF(DaybyDay[[#This Row],[_Space]],IFERROR(
((DaybyDay[[#This Row],[Actual-Rollup]]-DaybyDay[[#This Row],[LY-Rollup]])/DaybyDay[[#This Row],[LY-Rollup]]),0),"")</f>
        <v/>
      </c>
      <c r="Z1373"/>
      <c r="AA1373" s="37" t="str">
        <f>IF(DaybyDay[[#This Row],[_Space]],DaybyDay[[#This Row],[Ret-Act-RU]]/DaybyDay[[#This Row],[Serv-Act-RU]],"")</f>
        <v/>
      </c>
      <c r="AB1373" s="50" t="str">
        <f>IF(DaybyDay[[#This Row],[_Space]],DaybyDay[[#This Row],[RETPEN-Act]]/DaybyDay[[#This Row],[RETPEN-Bud]],"")</f>
        <v/>
      </c>
      <c r="AC1373" s="37" t="str">
        <f>IF(DaybyDay[[#This Row],[_Space]],DaybyDay[[#This Row],[Ret-Bud-RU]]/DaybyDay[[#This Row],[Serv-Bud-RU]],"")</f>
        <v/>
      </c>
      <c r="AD1373" s="37" t="str">
        <f>IF(DaybyDay[[#This Row],[_Space]],DaybyDay[[#This Row],[Ret-LY-RU]]/DaybyDay[[#This Row],[Serv-LY-RU]],"")</f>
        <v/>
      </c>
      <c r="AE1373" s="30">
        <f>WEEKDAY(DaybyDay[[#This Row],[LY-Date]])</f>
        <v>2</v>
      </c>
      <c r="AF1373" s="38">
        <f>$E$2+_xlfn.DAYS(DaybyDay[[#This Row],[Date]],minDate)</f>
        <v>43738</v>
      </c>
      <c r="AG1373" s="39" cm="1">
        <f t="array" ref="AG1373">IFERROR(INDEX(DaybyDay[],DaybyDay[[#This Row],[FORM_MATCH_HELPER]],8),"")</f>
        <v>18</v>
      </c>
      <c r="AH1373" s="39" cm="1">
        <f t="array" ref="AH1373">IFERROR(INDEX(DaybyDay[],DaybyDay[[#This Row],[FORM_MATCH_HELPER]],10),"")</f>
        <v>2618.98</v>
      </c>
      <c r="AI1373" s="39" cm="1">
        <f t="array" ref="AI1373">IFERROR(INDEX(DaybyDay[],DaybyDay[[#This Row],[FORM_MATCH_HELPER]],12),"")</f>
        <v>329</v>
      </c>
      <c r="AJ1373" s="32">
        <f>IFERROR(DaybyDay[[#This Row],[Serv-LY-RU]]+DaybyDay[[#This Row],[Ret-LY-RU]],"")</f>
        <v>1609360.5009999983</v>
      </c>
      <c r="AK137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1600162.6863221347</v>
      </c>
      <c r="AL1373" s="77"/>
      <c r="AM1373" s="40" t="str">
        <f>IF(DaybyDay[[#This Row],[Admin Hours]]&gt;0,DaybyDay[[#This Row],[Admin Hours]]*$AM$2+$AM$3,"")</f>
        <v/>
      </c>
      <c r="AN1373" s="40">
        <f>SUMIFS(DaybyDay[Est-Admin-Payroll],DaybyDay[Date],"&gt;="&amp;$C$5,DaybyDay[RowYear],"&gt;="&amp;$C$4,DaybyDay[Date],"&lt;="&amp;DaybyDay[[#This Row],[Date]])</f>
        <v>13941.779999999997</v>
      </c>
      <c r="AO1373" s="41" t="str">
        <f>IF(AND(DaybyDay[[#This Row],[_Space]],ISNUMBER(DaybyDay[[#This Row],[Admin Hours]])),DaybyDay[[#This Row],[Est-Admin-Payroll]]/(DaybyDay[[#This Row],[Service-Actuals]]+DaybyDay[[#This Row],[Retail-Actuals]]),"")</f>
        <v/>
      </c>
      <c r="AP1373" s="41">
        <f>DaybyDay[[#This Row],[Estimated-Payroll-Rollup]]/DaybyDay[[#This Row],[Simple-Forecast]]</f>
        <v>8.7127265990961413E-3</v>
      </c>
      <c r="AQ137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316349.43676752306</v>
      </c>
      <c r="AR1373" s="77"/>
      <c r="AS1373" s="40" t="str">
        <f>IF(DaybyDay[[#This Row],[Retail Hours]]&gt;0,DaybyDay[[#This Row],[Retail Hours]]*$AS$2,"")</f>
        <v/>
      </c>
      <c r="AT1373" s="40">
        <f>SUMIFS(DaybyDay[Est-Retail-Payroll],DaybyDay[Date],"&gt;="&amp;$C$5,DaybyDay[RowYear],"&gt;="&amp;$C$4,DaybyDay[Date],"&lt;="&amp;DaybyDay[[#This Row],[Date]])</f>
        <v>2627.1</v>
      </c>
      <c r="AU1373" s="82" t="str">
        <f>IF(AND(DaybyDay[[#This Row],[_Space]],ISNUMBER(DaybyDay[[#This Row],[Retail Hours]])),DaybyDay[[#This Row],[Est-Retail-Payroll]]/(DaybyDay[[#This Row],[Retail-Actuals]]),"")</f>
        <v/>
      </c>
      <c r="AV1373" s="82">
        <f>DaybyDay[[#This Row],[Est-Retail-PayrollRU]]/DaybyDay[[#This Row],[Simple-Forecast-Retail]]</f>
        <v>8.304424458105128E-3</v>
      </c>
      <c r="AW1373" s="8"/>
      <c r="AX1373" s="15"/>
      <c r="AY1373" s="8"/>
    </row>
    <row r="1374" spans="3:51" hidden="1" x14ac:dyDescent="0.25">
      <c r="C1374" s="26" t="str">
        <f>Tools!$C$1</f>
        <v>Example</v>
      </c>
      <c r="D1374" s="27" t="s">
        <v>76</v>
      </c>
      <c r="E1374" s="28">
        <v>2020</v>
      </c>
      <c r="F1374" s="28">
        <f>MATCH(DaybyDay[[#This Row],[RowMonth]],Table3[SummaryMonth],0)</f>
        <v>9</v>
      </c>
      <c r="G1374" s="29">
        <f>MATCH(DaybyDay[[#This Row],[LY-Date]],DaybyDay[Date],0)</f>
        <v>1004</v>
      </c>
      <c r="H1374" s="30">
        <f>WEEKDAY(DaybyDay[[#This Row],[Date]])</f>
        <v>3</v>
      </c>
      <c r="I1374" s="31">
        <v>44103</v>
      </c>
      <c r="J1374" s="74"/>
      <c r="K1374" s="32">
        <f>SUMIFS(BudgetSeasonality[365 Seasonality],BudgetSeasonality[MonthAdjustment],DaybyDay[[#This Row],[Date]])*SUMIFS(Budgets[Service-Budget],Budgets[BudgetMonth],DaybyDay[[#This Row],[RowMonth]],Budgets[BudgetYear],DaybyDay[[#This Row],[RowYear]])</f>
        <v>3531.1768078876298</v>
      </c>
      <c r="L1374" s="75"/>
      <c r="M1374" s="32">
        <f>INDEX(BudgetSeasonality[365 Seasonality],MATCH(DaybyDay[[#This Row],[Date]],BudgetSeasonality[MonthAdjustment],0))*SUMIFS(Budgets[Retail-Budget],Budgets[BudgetMonth],DaybyDay[[#This Row],[RowMonth]],Budgets[BudgetYear],DaybyDay[[#This Row],[RowYear]])</f>
        <v>1105.3506627997756</v>
      </c>
      <c r="N1374" s="75"/>
      <c r="O1374" s="33">
        <f>SUMIFS(DaybyDay[Service-Budgets],DaybyDay[Date],"&gt;="&amp;$C$5,DaybyDay[RowYear],"&gt;="&amp;$C$4,DaybyDay[Date],"&lt;="&amp;DaybyDay[[#This Row],[Date]])</f>
        <v>1437984.19045525</v>
      </c>
      <c r="P1374" s="33">
        <f>SUMIFS(DaybyDay[Retail-Budgets],DaybyDay[Date],"&gt;="&amp;$C$5,DaybyDay[RowYear],"&gt;="&amp;$C$4,DaybyDay[Date],"&lt;="&amp;DaybyDay[[#This Row],[Date]])</f>
        <v>369851.92198240425</v>
      </c>
      <c r="Q1374" s="34">
        <f>SUMIFS(DaybyDay[Service-Actuals],DaybyDay[Date],"&gt;="&amp;$C$5,DaybyDay[RowYear],"&gt;="&amp;$C$4,DaybyDay[Date],"&lt;="&amp;DaybyDay[[#This Row],[Date]])</f>
        <v>385554.23</v>
      </c>
      <c r="R1374" s="34">
        <f>SUMIFS(DaybyDay[Retail-Actuals],DaybyDay[Date],"&gt;="&amp;$C$5,DaybyDay[RowYear],"&gt;="&amp;$C$4,DaybyDay[Date],"&lt;="&amp;DaybyDay[[#This Row],[Date]])</f>
        <v>88360.030000000028</v>
      </c>
      <c r="S1374" s="35">
        <f>SUMIFS(DaybyDay[Service-LY],DaybyDay[Date],"&gt;="&amp;$C$5,DaybyDay[RowYear],"&gt;="&amp;$C$4,DaybyDay[Date],"&lt;="&amp;DaybyDay[[#This Row],[Date]])</f>
        <v>1298262.2809999983</v>
      </c>
      <c r="T1374" s="35">
        <f>SUMIFS(DaybyDay[Retail-LY],DaybyDay[Date],"&gt;="&amp;$C$5,DaybyDay[RowYear],"&gt;="&amp;$C$4,DaybyDay[Date],"&lt;="&amp;DaybyDay[[#This Row],[Date]])</f>
        <v>314807.62</v>
      </c>
      <c r="U1374" s="32">
        <f>DaybyDay[[#This Row],[Serv-Bud-RU]]+DaybyDay[[#This Row],[Ret-Bud-RU]]</f>
        <v>1807836.1124376543</v>
      </c>
      <c r="V1374" s="32">
        <f>DaybyDay[[#This Row],[Serv-Act-RU]]+DaybyDay[[#This Row],[Ret-Act-RU]]</f>
        <v>473914.26</v>
      </c>
      <c r="W1374" s="36" t="str">
        <f>IF(DaybyDay[[#This Row],[_Space]],IFERROR(
((DaybyDay[[#This Row],[Actual-Rollup]]-DaybyDay[[#This Row],[Budget-Rollup]])/DaybyDay[[#This Row],[Budget-Rollup]]),0),"")</f>
        <v/>
      </c>
      <c r="X1374" t="b">
        <f>NOT(AND(ISBLANK(DaybyDay[[#This Row],[Appts]]),ISBLANK(DaybyDay[[#This Row],[Service-Actuals]]),ISBLANK(DaybyDay[[#This Row],[Retail-Actuals]])))</f>
        <v>0</v>
      </c>
      <c r="Y1374" s="36" t="str">
        <f>IF(DaybyDay[[#This Row],[_Space]],IFERROR(
((DaybyDay[[#This Row],[Actual-Rollup]]-DaybyDay[[#This Row],[LY-Rollup]])/DaybyDay[[#This Row],[LY-Rollup]]),0),"")</f>
        <v/>
      </c>
      <c r="Z1374"/>
      <c r="AA1374" s="37" t="str">
        <f>IF(DaybyDay[[#This Row],[_Space]],DaybyDay[[#This Row],[Ret-Act-RU]]/DaybyDay[[#This Row],[Serv-Act-RU]],"")</f>
        <v/>
      </c>
      <c r="AB1374" s="50" t="str">
        <f>IF(DaybyDay[[#This Row],[_Space]],DaybyDay[[#This Row],[RETPEN-Act]]/DaybyDay[[#This Row],[RETPEN-Bud]],"")</f>
        <v/>
      </c>
      <c r="AC1374" s="37" t="str">
        <f>IF(DaybyDay[[#This Row],[_Space]],DaybyDay[[#This Row],[Ret-Bud-RU]]/DaybyDay[[#This Row],[Serv-Bud-RU]],"")</f>
        <v/>
      </c>
      <c r="AD1374" s="37" t="str">
        <f>IF(DaybyDay[[#This Row],[_Space]],DaybyDay[[#This Row],[Ret-LY-RU]]/DaybyDay[[#This Row],[Serv-LY-RU]],"")</f>
        <v/>
      </c>
      <c r="AE1374" s="30">
        <f>WEEKDAY(DaybyDay[[#This Row],[LY-Date]])</f>
        <v>3</v>
      </c>
      <c r="AF1374" s="38">
        <f>$E$2+_xlfn.DAYS(DaybyDay[[#This Row],[Date]],minDate)</f>
        <v>43739</v>
      </c>
      <c r="AG1374" s="39" cm="1">
        <f t="array" ref="AG1374">IFERROR(INDEX(DaybyDay[],DaybyDay[[#This Row],[FORM_MATCH_HELPER]],8),"")</f>
        <v>19</v>
      </c>
      <c r="AH1374" s="39" cm="1">
        <f t="array" ref="AH1374">IFERROR(INDEX(DaybyDay[],DaybyDay[[#This Row],[FORM_MATCH_HELPER]],10),"")</f>
        <v>3118.6000000000004</v>
      </c>
      <c r="AI1374" s="39" cm="1">
        <f t="array" ref="AI1374">IFERROR(INDEX(DaybyDay[],DaybyDay[[#This Row],[FORM_MATCH_HELPER]],12),"")</f>
        <v>590.79999999999995</v>
      </c>
      <c r="AJ1374" s="32">
        <f>IFERROR(DaybyDay[[#This Row],[Serv-LY-RU]]+DaybyDay[[#This Row],[Ret-LY-RU]],"")</f>
        <v>1613069.9009999982</v>
      </c>
      <c r="AK137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1603963.7501290324</v>
      </c>
      <c r="AL1374" s="77"/>
      <c r="AM1374" s="40" t="str">
        <f>IF(DaybyDay[[#This Row],[Admin Hours]]&gt;0,DaybyDay[[#This Row],[Admin Hours]]*$AM$2+$AM$3,"")</f>
        <v/>
      </c>
      <c r="AN1374" s="40">
        <f>SUMIFS(DaybyDay[Est-Admin-Payroll],DaybyDay[Date],"&gt;="&amp;$C$5,DaybyDay[RowYear],"&gt;="&amp;$C$4,DaybyDay[Date],"&lt;="&amp;DaybyDay[[#This Row],[Date]])</f>
        <v>13941.779999999997</v>
      </c>
      <c r="AO1374" s="41" t="str">
        <f>IF(AND(DaybyDay[[#This Row],[_Space]],ISNUMBER(DaybyDay[[#This Row],[Admin Hours]])),DaybyDay[[#This Row],[Est-Admin-Payroll]]/(DaybyDay[[#This Row],[Service-Actuals]]+DaybyDay[[#This Row],[Retail-Actuals]]),"")</f>
        <v/>
      </c>
      <c r="AP1374" s="41">
        <f>DaybyDay[[#This Row],[Estimated-Payroll-Rollup]]/DaybyDay[[#This Row],[Simple-Forecast]]</f>
        <v>8.6920792311412504E-3</v>
      </c>
      <c r="AQ137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317110.89292914281</v>
      </c>
      <c r="AR1374" s="77"/>
      <c r="AS1374" s="40" t="str">
        <f>IF(DaybyDay[[#This Row],[Retail Hours]]&gt;0,DaybyDay[[#This Row],[Retail Hours]]*$AS$2,"")</f>
        <v/>
      </c>
      <c r="AT1374" s="40">
        <f>SUMIFS(DaybyDay[Est-Retail-Payroll],DaybyDay[Date],"&gt;="&amp;$C$5,DaybyDay[RowYear],"&gt;="&amp;$C$4,DaybyDay[Date],"&lt;="&amp;DaybyDay[[#This Row],[Date]])</f>
        <v>2627.1</v>
      </c>
      <c r="AU1374" s="82" t="str">
        <f>IF(AND(DaybyDay[[#This Row],[_Space]],ISNUMBER(DaybyDay[[#This Row],[Retail Hours]])),DaybyDay[[#This Row],[Est-Retail-Payroll]]/(DaybyDay[[#This Row],[Retail-Actuals]]),"")</f>
        <v/>
      </c>
      <c r="AV1374" s="82">
        <f>DaybyDay[[#This Row],[Est-Retail-PayrollRU]]/DaybyDay[[#This Row],[Simple-Forecast-Retail]]</f>
        <v>8.2844836256918339E-3</v>
      </c>
      <c r="AW1374" s="8"/>
      <c r="AX1374" s="15"/>
      <c r="AY1374" s="8"/>
    </row>
    <row r="1375" spans="3:51" hidden="1" x14ac:dyDescent="0.25">
      <c r="C1375" s="26" t="str">
        <f>Tools!$C$1</f>
        <v>Example</v>
      </c>
      <c r="D1375" s="27" t="s">
        <v>76</v>
      </c>
      <c r="E1375" s="28">
        <v>2020</v>
      </c>
      <c r="F1375" s="28">
        <f>MATCH(DaybyDay[[#This Row],[RowMonth]],Table3[SummaryMonth],0)</f>
        <v>9</v>
      </c>
      <c r="G1375" s="29">
        <f>MATCH(DaybyDay[[#This Row],[LY-Date]],DaybyDay[Date],0)</f>
        <v>1005</v>
      </c>
      <c r="H1375" s="30">
        <f>WEEKDAY(DaybyDay[[#This Row],[Date]])</f>
        <v>4</v>
      </c>
      <c r="I1375" s="31">
        <v>44104</v>
      </c>
      <c r="J1375" s="74"/>
      <c r="K1375" s="32">
        <f>SUMIFS(BudgetSeasonality[365 Seasonality],BudgetSeasonality[MonthAdjustment],DaybyDay[[#This Row],[Date]])*SUMIFS(Budgets[Service-Budget],Budgets[BudgetMonth],DaybyDay[[#This Row],[RowMonth]],Budgets[BudgetYear],DaybyDay[[#This Row],[RowYear]])</f>
        <v>4182.0569623222673</v>
      </c>
      <c r="L1375" s="75"/>
      <c r="M1375" s="32">
        <f>INDEX(BudgetSeasonality[365 Seasonality],MATCH(DaybyDay[[#This Row],[Date]],BudgetSeasonality[MonthAdjustment],0))*SUMIFS(Budgets[Retail-Budget],Budgets[BudgetMonth],DaybyDay[[#This Row],[RowMonth]],Budgets[BudgetYear],DaybyDay[[#This Row],[RowYear]])</f>
        <v>1309.0931682728806</v>
      </c>
      <c r="N1375" s="75"/>
      <c r="O1375" s="33">
        <f>SUMIFS(DaybyDay[Service-Budgets],DaybyDay[Date],"&gt;="&amp;$C$5,DaybyDay[RowYear],"&gt;="&amp;$C$4,DaybyDay[Date],"&lt;="&amp;DaybyDay[[#This Row],[Date]])</f>
        <v>1442166.2474175722</v>
      </c>
      <c r="P1375" s="33">
        <f>SUMIFS(DaybyDay[Retail-Budgets],DaybyDay[Date],"&gt;="&amp;$C$5,DaybyDay[RowYear],"&gt;="&amp;$C$4,DaybyDay[Date],"&lt;="&amp;DaybyDay[[#This Row],[Date]])</f>
        <v>371161.01515067712</v>
      </c>
      <c r="Q1375" s="34">
        <f>SUMIFS(DaybyDay[Service-Actuals],DaybyDay[Date],"&gt;="&amp;$C$5,DaybyDay[RowYear],"&gt;="&amp;$C$4,DaybyDay[Date],"&lt;="&amp;DaybyDay[[#This Row],[Date]])</f>
        <v>385554.23</v>
      </c>
      <c r="R1375" s="34">
        <f>SUMIFS(DaybyDay[Retail-Actuals],DaybyDay[Date],"&gt;="&amp;$C$5,DaybyDay[RowYear],"&gt;="&amp;$C$4,DaybyDay[Date],"&lt;="&amp;DaybyDay[[#This Row],[Date]])</f>
        <v>88360.030000000028</v>
      </c>
      <c r="S1375" s="35">
        <f>SUMIFS(DaybyDay[Service-LY],DaybyDay[Date],"&gt;="&amp;$C$5,DaybyDay[RowYear],"&gt;="&amp;$C$4,DaybyDay[Date],"&lt;="&amp;DaybyDay[[#This Row],[Date]])</f>
        <v>1301836.4809999983</v>
      </c>
      <c r="T1375" s="35">
        <f>SUMIFS(DaybyDay[Retail-LY],DaybyDay[Date],"&gt;="&amp;$C$5,DaybyDay[RowYear],"&gt;="&amp;$C$4,DaybyDay[Date],"&lt;="&amp;DaybyDay[[#This Row],[Date]])</f>
        <v>315752.12</v>
      </c>
      <c r="U1375" s="32">
        <f>DaybyDay[[#This Row],[Serv-Bud-RU]]+DaybyDay[[#This Row],[Ret-Bud-RU]]</f>
        <v>1813327.2625682494</v>
      </c>
      <c r="V1375" s="32">
        <f>DaybyDay[[#This Row],[Serv-Act-RU]]+DaybyDay[[#This Row],[Ret-Act-RU]]</f>
        <v>473914.26</v>
      </c>
      <c r="W1375" s="36" t="str">
        <f>IF(DaybyDay[[#This Row],[_Space]],IFERROR(
((DaybyDay[[#This Row],[Actual-Rollup]]-DaybyDay[[#This Row],[Budget-Rollup]])/DaybyDay[[#This Row],[Budget-Rollup]]),0),"")</f>
        <v/>
      </c>
      <c r="X1375" t="b">
        <f>NOT(AND(ISBLANK(DaybyDay[[#This Row],[Appts]]),ISBLANK(DaybyDay[[#This Row],[Service-Actuals]]),ISBLANK(DaybyDay[[#This Row],[Retail-Actuals]])))</f>
        <v>0</v>
      </c>
      <c r="Y1375" s="36" t="str">
        <f>IF(DaybyDay[[#This Row],[_Space]],IFERROR(
((DaybyDay[[#This Row],[Actual-Rollup]]-DaybyDay[[#This Row],[LY-Rollup]])/DaybyDay[[#This Row],[LY-Rollup]]),0),"")</f>
        <v/>
      </c>
      <c r="Z1375"/>
      <c r="AA1375" s="37" t="str">
        <f>IF(DaybyDay[[#This Row],[_Space]],DaybyDay[[#This Row],[Ret-Act-RU]]/DaybyDay[[#This Row],[Serv-Act-RU]],"")</f>
        <v/>
      </c>
      <c r="AB1375" s="50" t="str">
        <f>IF(DaybyDay[[#This Row],[_Space]],DaybyDay[[#This Row],[RETPEN-Act]]/DaybyDay[[#This Row],[RETPEN-Bud]],"")</f>
        <v/>
      </c>
      <c r="AC1375" s="37" t="str">
        <f>IF(DaybyDay[[#This Row],[_Space]],DaybyDay[[#This Row],[Ret-Bud-RU]]/DaybyDay[[#This Row],[Serv-Bud-RU]],"")</f>
        <v/>
      </c>
      <c r="AD1375" s="37" t="str">
        <f>IF(DaybyDay[[#This Row],[_Space]],DaybyDay[[#This Row],[Ret-LY-RU]]/DaybyDay[[#This Row],[Serv-LY-RU]],"")</f>
        <v/>
      </c>
      <c r="AE1375" s="30">
        <f>WEEKDAY(DaybyDay[[#This Row],[LY-Date]])</f>
        <v>4</v>
      </c>
      <c r="AF1375" s="38">
        <f>$E$2+_xlfn.DAYS(DaybyDay[[#This Row],[Date]],minDate)</f>
        <v>43740</v>
      </c>
      <c r="AG1375" s="39" cm="1">
        <f t="array" ref="AG1375">IFERROR(INDEX(DaybyDay[],DaybyDay[[#This Row],[FORM_MATCH_HELPER]],8),"")</f>
        <v>16</v>
      </c>
      <c r="AH1375" s="39" cm="1">
        <f t="array" ref="AH1375">IFERROR(INDEX(DaybyDay[],DaybyDay[[#This Row],[FORM_MATCH_HELPER]],10),"")</f>
        <v>3574.2</v>
      </c>
      <c r="AI1375" s="39" cm="1">
        <f t="array" ref="AI1375">IFERROR(INDEX(DaybyDay[],DaybyDay[[#This Row],[FORM_MATCH_HELPER]],12),"")</f>
        <v>944.5</v>
      </c>
      <c r="AJ1375" s="32">
        <f>IFERROR(DaybyDay[[#This Row],[Serv-LY-RU]]+DaybyDay[[#This Row],[Ret-LY-RU]],"")</f>
        <v>1617588.6009999984</v>
      </c>
      <c r="AK137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1608527.3516776362</v>
      </c>
      <c r="AL1375" s="77"/>
      <c r="AM1375" s="40" t="str">
        <f>IF(DaybyDay[[#This Row],[Admin Hours]]&gt;0,DaybyDay[[#This Row],[Admin Hours]]*$AM$2+$AM$3,"")</f>
        <v/>
      </c>
      <c r="AN1375" s="40">
        <f>SUMIFS(DaybyDay[Est-Admin-Payroll],DaybyDay[Date],"&gt;="&amp;$C$5,DaybyDay[RowYear],"&gt;="&amp;$C$4,DaybyDay[Date],"&lt;="&amp;DaybyDay[[#This Row],[Date]])</f>
        <v>13941.779999999997</v>
      </c>
      <c r="AO1375" s="41" t="str">
        <f>IF(AND(DaybyDay[[#This Row],[_Space]],ISNUMBER(DaybyDay[[#This Row],[Admin Hours]])),DaybyDay[[#This Row],[Est-Admin-Payroll]]/(DaybyDay[[#This Row],[Service-Actuals]]+DaybyDay[[#This Row],[Retail-Actuals]]),"")</f>
        <v/>
      </c>
      <c r="AP1375" s="41">
        <f>DaybyDay[[#This Row],[Estimated-Payroll-Rollup]]/DaybyDay[[#This Row],[Simple-Forecast]]</f>
        <v>8.6674186705368878E-3</v>
      </c>
      <c r="AQ137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318133.40133345302</v>
      </c>
      <c r="AR1375" s="77"/>
      <c r="AS1375" s="40" t="str">
        <f>IF(DaybyDay[[#This Row],[Retail Hours]]&gt;0,DaybyDay[[#This Row],[Retail Hours]]*$AS$2,"")</f>
        <v/>
      </c>
      <c r="AT1375" s="40">
        <f>SUMIFS(DaybyDay[Est-Retail-Payroll],DaybyDay[Date],"&gt;="&amp;$C$5,DaybyDay[RowYear],"&gt;="&amp;$C$4,DaybyDay[Date],"&lt;="&amp;DaybyDay[[#This Row],[Date]])</f>
        <v>2627.1</v>
      </c>
      <c r="AU1375" s="82" t="str">
        <f>IF(AND(DaybyDay[[#This Row],[_Space]],ISNUMBER(DaybyDay[[#This Row],[Retail Hours]])),DaybyDay[[#This Row],[Est-Retail-Payroll]]/(DaybyDay[[#This Row],[Retail-Actuals]]),"")</f>
        <v/>
      </c>
      <c r="AV1375" s="82">
        <f>DaybyDay[[#This Row],[Est-Retail-PayrollRU]]/DaybyDay[[#This Row],[Simple-Forecast-Retail]]</f>
        <v>8.2578565752245321E-3</v>
      </c>
      <c r="AW1375" s="8"/>
      <c r="AX1375" s="15"/>
      <c r="AY1375" s="8"/>
    </row>
    <row r="1376" spans="3:51" hidden="1" x14ac:dyDescent="0.25">
      <c r="C1376" s="26" t="str">
        <f>Tools!$C$1</f>
        <v>Example</v>
      </c>
      <c r="D1376" s="27" t="s">
        <v>76</v>
      </c>
      <c r="E1376" s="28">
        <v>2020</v>
      </c>
      <c r="F1376" s="28">
        <f>MATCH(DaybyDay[[#This Row],[RowMonth]],Table3[SummaryMonth],0)</f>
        <v>9</v>
      </c>
      <c r="G1376" s="29">
        <f>MATCH(DaybyDay[[#This Row],[LY-Date]],DaybyDay[Date],0)</f>
        <v>1006</v>
      </c>
      <c r="H1376" s="30">
        <f>WEEKDAY(DaybyDay[[#This Row],[Date]])</f>
        <v>5</v>
      </c>
      <c r="I1376" s="31">
        <v>44105</v>
      </c>
      <c r="J1376" s="74"/>
      <c r="K1376" s="32">
        <f>SUMIFS(BudgetSeasonality[365 Seasonality],BudgetSeasonality[MonthAdjustment],DaybyDay[[#This Row],[Date]])*SUMIFS(Budgets[Service-Budget],Budgets[BudgetMonth],DaybyDay[[#This Row],[RowMonth]],Budgets[BudgetYear],DaybyDay[[#This Row],[RowYear]])</f>
        <v>4350.0704643321442</v>
      </c>
      <c r="L1376" s="75"/>
      <c r="M1376" s="32">
        <f>INDEX(BudgetSeasonality[365 Seasonality],MATCH(DaybyDay[[#This Row],[Date]],BudgetSeasonality[MonthAdjustment],0))*SUMIFS(Budgets[Retail-Budget],Budgets[BudgetMonth],DaybyDay[[#This Row],[RowMonth]],Budgets[BudgetYear],DaybyDay[[#This Row],[RowYear]])</f>
        <v>1361.6857870823092</v>
      </c>
      <c r="N1376" s="75"/>
      <c r="O1376" s="33">
        <f>SUMIFS(DaybyDay[Service-Budgets],DaybyDay[Date],"&gt;="&amp;$C$5,DaybyDay[RowYear],"&gt;="&amp;$C$4,DaybyDay[Date],"&lt;="&amp;DaybyDay[[#This Row],[Date]])</f>
        <v>1446516.3178819043</v>
      </c>
      <c r="P1376" s="33">
        <f>SUMIFS(DaybyDay[Retail-Budgets],DaybyDay[Date],"&gt;="&amp;$C$5,DaybyDay[RowYear],"&gt;="&amp;$C$4,DaybyDay[Date],"&lt;="&amp;DaybyDay[[#This Row],[Date]])</f>
        <v>372522.70093775942</v>
      </c>
      <c r="Q1376" s="34">
        <f>SUMIFS(DaybyDay[Service-Actuals],DaybyDay[Date],"&gt;="&amp;$C$5,DaybyDay[RowYear],"&gt;="&amp;$C$4,DaybyDay[Date],"&lt;="&amp;DaybyDay[[#This Row],[Date]])</f>
        <v>385554.23</v>
      </c>
      <c r="R1376" s="34">
        <f>SUMIFS(DaybyDay[Retail-Actuals],DaybyDay[Date],"&gt;="&amp;$C$5,DaybyDay[RowYear],"&gt;="&amp;$C$4,DaybyDay[Date],"&lt;="&amp;DaybyDay[[#This Row],[Date]])</f>
        <v>88360.030000000028</v>
      </c>
      <c r="S1376" s="35">
        <f>SUMIFS(DaybyDay[Service-LY],DaybyDay[Date],"&gt;="&amp;$C$5,DaybyDay[RowYear],"&gt;="&amp;$C$4,DaybyDay[Date],"&lt;="&amp;DaybyDay[[#This Row],[Date]])</f>
        <v>1306390.3809999982</v>
      </c>
      <c r="T1376" s="35">
        <f>SUMIFS(DaybyDay[Retail-LY],DaybyDay[Date],"&gt;="&amp;$C$5,DaybyDay[RowYear],"&gt;="&amp;$C$4,DaybyDay[Date],"&lt;="&amp;DaybyDay[[#This Row],[Date]])</f>
        <v>318654.12</v>
      </c>
      <c r="U1376" s="32">
        <f>DaybyDay[[#This Row],[Serv-Bud-RU]]+DaybyDay[[#This Row],[Ret-Bud-RU]]</f>
        <v>1819039.0188196637</v>
      </c>
      <c r="V1376" s="32">
        <f>DaybyDay[[#This Row],[Serv-Act-RU]]+DaybyDay[[#This Row],[Ret-Act-RU]]</f>
        <v>473914.26</v>
      </c>
      <c r="W1376" s="36" t="str">
        <f>IF(DaybyDay[[#This Row],[_Space]],IFERROR(
((DaybyDay[[#This Row],[Actual-Rollup]]-DaybyDay[[#This Row],[Budget-Rollup]])/DaybyDay[[#This Row],[Budget-Rollup]]),0),"")</f>
        <v/>
      </c>
      <c r="X1376" t="b">
        <f>NOT(AND(ISBLANK(DaybyDay[[#This Row],[Appts]]),ISBLANK(DaybyDay[[#This Row],[Service-Actuals]]),ISBLANK(DaybyDay[[#This Row],[Retail-Actuals]])))</f>
        <v>0</v>
      </c>
      <c r="Y1376" s="36" t="str">
        <f>IF(DaybyDay[[#This Row],[_Space]],IFERROR(
((DaybyDay[[#This Row],[Actual-Rollup]]-DaybyDay[[#This Row],[LY-Rollup]])/DaybyDay[[#This Row],[LY-Rollup]]),0),"")</f>
        <v/>
      </c>
      <c r="Z1376"/>
      <c r="AA1376" s="37" t="str">
        <f>IF(DaybyDay[[#This Row],[_Space]],DaybyDay[[#This Row],[Ret-Act-RU]]/DaybyDay[[#This Row],[Serv-Act-RU]],"")</f>
        <v/>
      </c>
      <c r="AB1376" s="50" t="str">
        <f>IF(DaybyDay[[#This Row],[_Space]],DaybyDay[[#This Row],[RETPEN-Act]]/DaybyDay[[#This Row],[RETPEN-Bud]],"")</f>
        <v/>
      </c>
      <c r="AC1376" s="37" t="str">
        <f>IF(DaybyDay[[#This Row],[_Space]],DaybyDay[[#This Row],[Ret-Bud-RU]]/DaybyDay[[#This Row],[Serv-Bud-RU]],"")</f>
        <v/>
      </c>
      <c r="AD1376" s="37" t="str">
        <f>IF(DaybyDay[[#This Row],[_Space]],DaybyDay[[#This Row],[Ret-LY-RU]]/DaybyDay[[#This Row],[Serv-LY-RU]],"")</f>
        <v/>
      </c>
      <c r="AE1376" s="30">
        <f>WEEKDAY(DaybyDay[[#This Row],[LY-Date]])</f>
        <v>5</v>
      </c>
      <c r="AF1376" s="38">
        <f>$E$2+_xlfn.DAYS(DaybyDay[[#This Row],[Date]],minDate)</f>
        <v>43741</v>
      </c>
      <c r="AG1376" s="39" cm="1">
        <f t="array" ref="AG1376">IFERROR(INDEX(DaybyDay[],DaybyDay[[#This Row],[FORM_MATCH_HELPER]],8),"")</f>
        <v>20</v>
      </c>
      <c r="AH1376" s="39" cm="1">
        <f t="array" ref="AH1376">IFERROR(INDEX(DaybyDay[],DaybyDay[[#This Row],[FORM_MATCH_HELPER]],10),"")</f>
        <v>4553.8999999999996</v>
      </c>
      <c r="AI1376" s="39" cm="1">
        <f t="array" ref="AI1376">IFERROR(INDEX(DaybyDay[],DaybyDay[[#This Row],[FORM_MATCH_HELPER]],12),"")</f>
        <v>2902</v>
      </c>
      <c r="AJ1376" s="32">
        <f>IFERROR(DaybyDay[[#This Row],[Serv-LY-RU]]+DaybyDay[[#This Row],[Ret-LY-RU]],"")</f>
        <v>1625044.5009999983</v>
      </c>
      <c r="AK137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1614632.9556472739</v>
      </c>
      <c r="AL1376" s="77"/>
      <c r="AM1376" s="40" t="str">
        <f>IF(DaybyDay[[#This Row],[Admin Hours]]&gt;0,DaybyDay[[#This Row],[Admin Hours]]*$AM$2+$AM$3,"")</f>
        <v/>
      </c>
      <c r="AN1376" s="40">
        <f>SUMIFS(DaybyDay[Est-Admin-Payroll],DaybyDay[Date],"&gt;="&amp;$C$5,DaybyDay[RowYear],"&gt;="&amp;$C$4,DaybyDay[Date],"&lt;="&amp;DaybyDay[[#This Row],[Date]])</f>
        <v>13941.779999999997</v>
      </c>
      <c r="AO1376" s="41" t="str">
        <f>IF(AND(DaybyDay[[#This Row],[_Space]],ISNUMBER(DaybyDay[[#This Row],[Admin Hours]])),DaybyDay[[#This Row],[Est-Admin-Payroll]]/(DaybyDay[[#This Row],[Service-Actuals]]+DaybyDay[[#This Row],[Retail-Actuals]]),"")</f>
        <v/>
      </c>
      <c r="AP1376" s="41">
        <f>DaybyDay[[#This Row],[Estimated-Payroll-Rollup]]/DaybyDay[[#This Row],[Simple-Forecast]]</f>
        <v>8.6346435276437282E-3</v>
      </c>
      <c r="AQ137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320143.41236419335</v>
      </c>
      <c r="AR1376" s="77"/>
      <c r="AS1376" s="40" t="str">
        <f>IF(DaybyDay[[#This Row],[Retail Hours]]&gt;0,DaybyDay[[#This Row],[Retail Hours]]*$AS$2,"")</f>
        <v/>
      </c>
      <c r="AT1376" s="40">
        <f>SUMIFS(DaybyDay[Est-Retail-Payroll],DaybyDay[Date],"&gt;="&amp;$C$5,DaybyDay[RowYear],"&gt;="&amp;$C$4,DaybyDay[Date],"&lt;="&amp;DaybyDay[[#This Row],[Date]])</f>
        <v>2627.1</v>
      </c>
      <c r="AU1376" s="82" t="str">
        <f>IF(AND(DaybyDay[[#This Row],[_Space]],ISNUMBER(DaybyDay[[#This Row],[Retail Hours]])),DaybyDay[[#This Row],[Est-Retail-Payroll]]/(DaybyDay[[#This Row],[Retail-Actuals]]),"")</f>
        <v/>
      </c>
      <c r="AV1376" s="82">
        <f>DaybyDay[[#This Row],[Est-Retail-PayrollRU]]/DaybyDay[[#This Row],[Simple-Forecast-Retail]]</f>
        <v>8.2060098647646872E-3</v>
      </c>
      <c r="AW1376" s="8"/>
      <c r="AX1376" s="15"/>
      <c r="AY1376" s="8"/>
    </row>
    <row r="1377" spans="3:51" hidden="1" x14ac:dyDescent="0.25">
      <c r="C1377" s="26" t="str">
        <f>Tools!$C$1</f>
        <v>Example</v>
      </c>
      <c r="D1377" s="27" t="s">
        <v>76</v>
      </c>
      <c r="E1377" s="28">
        <v>2020</v>
      </c>
      <c r="F1377" s="28">
        <f>MATCH(DaybyDay[[#This Row],[RowMonth]],Table3[SummaryMonth],0)</f>
        <v>9</v>
      </c>
      <c r="G1377" s="29">
        <f>MATCH(DaybyDay[[#This Row],[LY-Date]],DaybyDay[Date],0)</f>
        <v>1007</v>
      </c>
      <c r="H1377" s="30">
        <f>WEEKDAY(DaybyDay[[#This Row],[Date]])</f>
        <v>6</v>
      </c>
      <c r="I1377" s="31">
        <v>44106</v>
      </c>
      <c r="J1377" s="74"/>
      <c r="K1377" s="32">
        <f>SUMIFS(BudgetSeasonality[365 Seasonality],BudgetSeasonality[MonthAdjustment],DaybyDay[[#This Row],[Date]])*SUMIFS(Budgets[Service-Budget],Budgets[BudgetMonth],DaybyDay[[#This Row],[RowMonth]],Budgets[BudgetYear],DaybyDay[[#This Row],[RowYear]])</f>
        <v>5524.9901536954421</v>
      </c>
      <c r="L1377" s="75"/>
      <c r="M1377" s="32">
        <f>INDEX(BudgetSeasonality[365 Seasonality],MATCH(DaybyDay[[#This Row],[Date]],BudgetSeasonality[MonthAdjustment],0))*SUMIFS(Budgets[Retail-Budget],Budgets[BudgetMonth],DaybyDay[[#This Row],[RowMonth]],Budgets[BudgetYear],DaybyDay[[#This Row],[RowYear]])</f>
        <v>1729.4663678998177</v>
      </c>
      <c r="N1377" s="75"/>
      <c r="O1377" s="33">
        <f>SUMIFS(DaybyDay[Service-Budgets],DaybyDay[Date],"&gt;="&amp;$C$5,DaybyDay[RowYear],"&gt;="&amp;$C$4,DaybyDay[Date],"&lt;="&amp;DaybyDay[[#This Row],[Date]])</f>
        <v>1452041.3080355998</v>
      </c>
      <c r="P1377" s="33">
        <f>SUMIFS(DaybyDay[Retail-Budgets],DaybyDay[Date],"&gt;="&amp;$C$5,DaybyDay[RowYear],"&gt;="&amp;$C$4,DaybyDay[Date],"&lt;="&amp;DaybyDay[[#This Row],[Date]])</f>
        <v>374252.16730565921</v>
      </c>
      <c r="Q1377" s="34">
        <f>SUMIFS(DaybyDay[Service-Actuals],DaybyDay[Date],"&gt;="&amp;$C$5,DaybyDay[RowYear],"&gt;="&amp;$C$4,DaybyDay[Date],"&lt;="&amp;DaybyDay[[#This Row],[Date]])</f>
        <v>385554.23</v>
      </c>
      <c r="R1377" s="34">
        <f>SUMIFS(DaybyDay[Retail-Actuals],DaybyDay[Date],"&gt;="&amp;$C$5,DaybyDay[RowYear],"&gt;="&amp;$C$4,DaybyDay[Date],"&lt;="&amp;DaybyDay[[#This Row],[Date]])</f>
        <v>88360.030000000028</v>
      </c>
      <c r="S1377" s="35">
        <f>SUMIFS(DaybyDay[Service-LY],DaybyDay[Date],"&gt;="&amp;$C$5,DaybyDay[RowYear],"&gt;="&amp;$C$4,DaybyDay[Date],"&lt;="&amp;DaybyDay[[#This Row],[Date]])</f>
        <v>1309438.9809999983</v>
      </c>
      <c r="T1377" s="35">
        <f>SUMIFS(DaybyDay[Retail-LY],DaybyDay[Date],"&gt;="&amp;$C$5,DaybyDay[RowYear],"&gt;="&amp;$C$4,DaybyDay[Date],"&lt;="&amp;DaybyDay[[#This Row],[Date]])</f>
        <v>321514.42</v>
      </c>
      <c r="U1377" s="32">
        <f>DaybyDay[[#This Row],[Serv-Bud-RU]]+DaybyDay[[#This Row],[Ret-Bud-RU]]</f>
        <v>1826293.475341259</v>
      </c>
      <c r="V1377" s="32">
        <f>DaybyDay[[#This Row],[Serv-Act-RU]]+DaybyDay[[#This Row],[Ret-Act-RU]]</f>
        <v>473914.26</v>
      </c>
      <c r="W1377" s="36" t="str">
        <f>IF(DaybyDay[[#This Row],[_Space]],IFERROR(
((DaybyDay[[#This Row],[Actual-Rollup]]-DaybyDay[[#This Row],[Budget-Rollup]])/DaybyDay[[#This Row],[Budget-Rollup]]),0),"")</f>
        <v/>
      </c>
      <c r="X1377" t="b">
        <f>NOT(AND(ISBLANK(DaybyDay[[#This Row],[Appts]]),ISBLANK(DaybyDay[[#This Row],[Service-Actuals]]),ISBLANK(DaybyDay[[#This Row],[Retail-Actuals]])))</f>
        <v>0</v>
      </c>
      <c r="Y1377" s="36" t="str">
        <f>IF(DaybyDay[[#This Row],[_Space]],IFERROR(
((DaybyDay[[#This Row],[Actual-Rollup]]-DaybyDay[[#This Row],[LY-Rollup]])/DaybyDay[[#This Row],[LY-Rollup]]),0),"")</f>
        <v/>
      </c>
      <c r="Z1377"/>
      <c r="AA1377" s="37" t="str">
        <f>IF(DaybyDay[[#This Row],[_Space]],DaybyDay[[#This Row],[Ret-Act-RU]]/DaybyDay[[#This Row],[Serv-Act-RU]],"")</f>
        <v/>
      </c>
      <c r="AB1377" s="50" t="str">
        <f>IF(DaybyDay[[#This Row],[_Space]],DaybyDay[[#This Row],[RETPEN-Act]]/DaybyDay[[#This Row],[RETPEN-Bud]],"")</f>
        <v/>
      </c>
      <c r="AC1377" s="37" t="str">
        <f>IF(DaybyDay[[#This Row],[_Space]],DaybyDay[[#This Row],[Ret-Bud-RU]]/DaybyDay[[#This Row],[Serv-Bud-RU]],"")</f>
        <v/>
      </c>
      <c r="AD1377" s="37" t="str">
        <f>IF(DaybyDay[[#This Row],[_Space]],DaybyDay[[#This Row],[Ret-LY-RU]]/DaybyDay[[#This Row],[Serv-LY-RU]],"")</f>
        <v/>
      </c>
      <c r="AE1377" s="30">
        <f>WEEKDAY(DaybyDay[[#This Row],[LY-Date]])</f>
        <v>6</v>
      </c>
      <c r="AF1377" s="38">
        <f>$E$2+_xlfn.DAYS(DaybyDay[[#This Row],[Date]],minDate)</f>
        <v>43742</v>
      </c>
      <c r="AG1377" s="39" cm="1">
        <f t="array" ref="AG1377">IFERROR(INDEX(DaybyDay[],DaybyDay[[#This Row],[FORM_MATCH_HELPER]],8),"")</f>
        <v>17</v>
      </c>
      <c r="AH1377" s="39" cm="1">
        <f t="array" ref="AH1377">IFERROR(INDEX(DaybyDay[],DaybyDay[[#This Row],[FORM_MATCH_HELPER]],10),"")</f>
        <v>3048.5999999999995</v>
      </c>
      <c r="AI1377" s="39" cm="1">
        <f t="array" ref="AI1377">IFERROR(INDEX(DaybyDay[],DaybyDay[[#This Row],[FORM_MATCH_HELPER]],12),"")</f>
        <v>2860.3</v>
      </c>
      <c r="AJ1377" s="32">
        <f>IFERROR(DaybyDay[[#This Row],[Serv-LY-RU]]+DaybyDay[[#This Row],[Ret-LY-RU]],"")</f>
        <v>1630953.4009999982</v>
      </c>
      <c r="AK137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1620632.0167448539</v>
      </c>
      <c r="AL1377" s="77"/>
      <c r="AM1377" s="40" t="str">
        <f>IF(DaybyDay[[#This Row],[Admin Hours]]&gt;0,DaybyDay[[#This Row],[Admin Hours]]*$AM$2+$AM$3,"")</f>
        <v/>
      </c>
      <c r="AN1377" s="40">
        <f>SUMIFS(DaybyDay[Est-Admin-Payroll],DaybyDay[Date],"&gt;="&amp;$C$5,DaybyDay[RowYear],"&gt;="&amp;$C$4,DaybyDay[Date],"&lt;="&amp;DaybyDay[[#This Row],[Date]])</f>
        <v>13941.779999999997</v>
      </c>
      <c r="AO1377" s="41" t="str">
        <f>IF(AND(DaybyDay[[#This Row],[_Space]],ISNUMBER(DaybyDay[[#This Row],[Admin Hours]])),DaybyDay[[#This Row],[Est-Admin-Payroll]]/(DaybyDay[[#This Row],[Service-Actuals]]+DaybyDay[[#This Row],[Retail-Actuals]]),"")</f>
        <v/>
      </c>
      <c r="AP1377" s="41">
        <f>DaybyDay[[#This Row],[Estimated-Payroll-Rollup]]/DaybyDay[[#This Row],[Simple-Forecast]]</f>
        <v>8.6026808405297219E-3</v>
      </c>
      <c r="AQ137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322289.30073380796</v>
      </c>
      <c r="AR1377" s="77"/>
      <c r="AS1377" s="40" t="str">
        <f>IF(DaybyDay[[#This Row],[Retail Hours]]&gt;0,DaybyDay[[#This Row],[Retail Hours]]*$AS$2,"")</f>
        <v/>
      </c>
      <c r="AT1377" s="40">
        <f>SUMIFS(DaybyDay[Est-Retail-Payroll],DaybyDay[Date],"&gt;="&amp;$C$5,DaybyDay[RowYear],"&gt;="&amp;$C$4,DaybyDay[Date],"&lt;="&amp;DaybyDay[[#This Row],[Date]])</f>
        <v>2627.1</v>
      </c>
      <c r="AU1377" s="82" t="str">
        <f>IF(AND(DaybyDay[[#This Row],[_Space]],ISNUMBER(DaybyDay[[#This Row],[Retail Hours]])),DaybyDay[[#This Row],[Est-Retail-Payroll]]/(DaybyDay[[#This Row],[Retail-Actuals]]),"")</f>
        <v/>
      </c>
      <c r="AV1377" s="82">
        <f>DaybyDay[[#This Row],[Est-Retail-PayrollRU]]/DaybyDay[[#This Row],[Simple-Forecast-Retail]]</f>
        <v>8.1513720561571801E-3</v>
      </c>
      <c r="AW1377" s="8"/>
      <c r="AX1377" s="15"/>
      <c r="AY1377" s="8"/>
    </row>
    <row r="1378" spans="3:51" hidden="1" x14ac:dyDescent="0.25">
      <c r="C1378" s="26" t="str">
        <f>Tools!$C$1</f>
        <v>Example</v>
      </c>
      <c r="D1378" s="27" t="s">
        <v>76</v>
      </c>
      <c r="E1378" s="28">
        <v>2020</v>
      </c>
      <c r="F1378" s="28">
        <f>MATCH(DaybyDay[[#This Row],[RowMonth]],Table3[SummaryMonth],0)</f>
        <v>9</v>
      </c>
      <c r="G1378" s="29">
        <f>MATCH(DaybyDay[[#This Row],[LY-Date]],DaybyDay[Date],0)</f>
        <v>1008</v>
      </c>
      <c r="H1378" s="30">
        <f>WEEKDAY(DaybyDay[[#This Row],[Date]])</f>
        <v>7</v>
      </c>
      <c r="I1378" s="31">
        <v>44107</v>
      </c>
      <c r="J1378" s="74"/>
      <c r="K1378" s="32">
        <f>SUMIFS(BudgetSeasonality[365 Seasonality],BudgetSeasonality[MonthAdjustment],DaybyDay[[#This Row],[Date]])*SUMIFS(Budgets[Service-Budget],Budgets[BudgetMonth],DaybyDay[[#This Row],[RowMonth]],Budgets[BudgetYear],DaybyDay[[#This Row],[RowYear]])</f>
        <v>7964.965888496411</v>
      </c>
      <c r="L1378" s="75"/>
      <c r="M1378" s="32">
        <f>INDEX(BudgetSeasonality[365 Seasonality],MATCH(DaybyDay[[#This Row],[Date]],BudgetSeasonality[MonthAdjustment],0))*SUMIFS(Budgets[Retail-Budget],Budgets[BudgetMonth],DaybyDay[[#This Row],[RowMonth]],Budgets[BudgetYear],DaybyDay[[#This Row],[RowYear]])</f>
        <v>2493.2425655836141</v>
      </c>
      <c r="N1378" s="75"/>
      <c r="O1378" s="33">
        <f>SUMIFS(DaybyDay[Service-Budgets],DaybyDay[Date],"&gt;="&amp;$C$5,DaybyDay[RowYear],"&gt;="&amp;$C$4,DaybyDay[Date],"&lt;="&amp;DaybyDay[[#This Row],[Date]])</f>
        <v>1460006.2739240963</v>
      </c>
      <c r="P1378" s="33">
        <f>SUMIFS(DaybyDay[Retail-Budgets],DaybyDay[Date],"&gt;="&amp;$C$5,DaybyDay[RowYear],"&gt;="&amp;$C$4,DaybyDay[Date],"&lt;="&amp;DaybyDay[[#This Row],[Date]])</f>
        <v>376745.40987124282</v>
      </c>
      <c r="Q1378" s="34">
        <f>SUMIFS(DaybyDay[Service-Actuals],DaybyDay[Date],"&gt;="&amp;$C$5,DaybyDay[RowYear],"&gt;="&amp;$C$4,DaybyDay[Date],"&lt;="&amp;DaybyDay[[#This Row],[Date]])</f>
        <v>385554.23</v>
      </c>
      <c r="R1378" s="34">
        <f>SUMIFS(DaybyDay[Retail-Actuals],DaybyDay[Date],"&gt;="&amp;$C$5,DaybyDay[RowYear],"&gt;="&amp;$C$4,DaybyDay[Date],"&lt;="&amp;DaybyDay[[#This Row],[Date]])</f>
        <v>88360.030000000028</v>
      </c>
      <c r="S1378" s="35">
        <f>SUMIFS(DaybyDay[Service-LY],DaybyDay[Date],"&gt;="&amp;$C$5,DaybyDay[RowYear],"&gt;="&amp;$C$4,DaybyDay[Date],"&lt;="&amp;DaybyDay[[#This Row],[Date]])</f>
        <v>1317339.1709999982</v>
      </c>
      <c r="T1378" s="35">
        <f>SUMIFS(DaybyDay[Retail-LY],DaybyDay[Date],"&gt;="&amp;$C$5,DaybyDay[RowYear],"&gt;="&amp;$C$4,DaybyDay[Date],"&lt;="&amp;DaybyDay[[#This Row],[Date]])</f>
        <v>322813.42</v>
      </c>
      <c r="U1378" s="32">
        <f>DaybyDay[[#This Row],[Serv-Bud-RU]]+DaybyDay[[#This Row],[Ret-Bud-RU]]</f>
        <v>1836751.683795339</v>
      </c>
      <c r="V1378" s="32">
        <f>DaybyDay[[#This Row],[Serv-Act-RU]]+DaybyDay[[#This Row],[Ret-Act-RU]]</f>
        <v>473914.26</v>
      </c>
      <c r="W1378" s="36" t="str">
        <f>IF(DaybyDay[[#This Row],[_Space]],IFERROR(
((DaybyDay[[#This Row],[Actual-Rollup]]-DaybyDay[[#This Row],[Budget-Rollup]])/DaybyDay[[#This Row],[Budget-Rollup]]),0),"")</f>
        <v/>
      </c>
      <c r="X1378" t="b">
        <f>NOT(AND(ISBLANK(DaybyDay[[#This Row],[Appts]]),ISBLANK(DaybyDay[[#This Row],[Service-Actuals]]),ISBLANK(DaybyDay[[#This Row],[Retail-Actuals]])))</f>
        <v>0</v>
      </c>
      <c r="Y1378" s="36" t="str">
        <f>IF(DaybyDay[[#This Row],[_Space]],IFERROR(
((DaybyDay[[#This Row],[Actual-Rollup]]-DaybyDay[[#This Row],[LY-Rollup]])/DaybyDay[[#This Row],[LY-Rollup]]),0),"")</f>
        <v/>
      </c>
      <c r="Z1378"/>
      <c r="AA1378" s="37" t="str">
        <f>IF(DaybyDay[[#This Row],[_Space]],DaybyDay[[#This Row],[Ret-Act-RU]]/DaybyDay[[#This Row],[Serv-Act-RU]],"")</f>
        <v/>
      </c>
      <c r="AB1378" s="50" t="str">
        <f>IF(DaybyDay[[#This Row],[_Space]],DaybyDay[[#This Row],[RETPEN-Act]]/DaybyDay[[#This Row],[RETPEN-Bud]],"")</f>
        <v/>
      </c>
      <c r="AC1378" s="37" t="str">
        <f>IF(DaybyDay[[#This Row],[_Space]],DaybyDay[[#This Row],[Ret-Bud-RU]]/DaybyDay[[#This Row],[Serv-Bud-RU]],"")</f>
        <v/>
      </c>
      <c r="AD1378" s="37" t="str">
        <f>IF(DaybyDay[[#This Row],[_Space]],DaybyDay[[#This Row],[Ret-LY-RU]]/DaybyDay[[#This Row],[Serv-LY-RU]],"")</f>
        <v/>
      </c>
      <c r="AE1378" s="30">
        <f>WEEKDAY(DaybyDay[[#This Row],[LY-Date]])</f>
        <v>7</v>
      </c>
      <c r="AF1378" s="38">
        <f>$E$2+_xlfn.DAYS(DaybyDay[[#This Row],[Date]],minDate)</f>
        <v>43743</v>
      </c>
      <c r="AG1378" s="39" cm="1">
        <f t="array" ref="AG1378">IFERROR(INDEX(DaybyDay[],DaybyDay[[#This Row],[FORM_MATCH_HELPER]],8),"")</f>
        <v>31</v>
      </c>
      <c r="AH1378" s="39" cm="1">
        <f t="array" ref="AH1378">IFERROR(INDEX(DaybyDay[],DaybyDay[[#This Row],[FORM_MATCH_HELPER]],10),"")</f>
        <v>7900.1900000000005</v>
      </c>
      <c r="AI1378" s="39" cm="1">
        <f t="array" ref="AI1378">IFERROR(INDEX(DaybyDay[],DaybyDay[[#This Row],[FORM_MATCH_HELPER]],12),"")</f>
        <v>1299</v>
      </c>
      <c r="AJ1378" s="32">
        <f>IFERROR(DaybyDay[[#This Row],[Serv-LY-RU]]+DaybyDay[[#This Row],[Ret-LY-RU]],"")</f>
        <v>1640152.5909999982</v>
      </c>
      <c r="AK137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1629616.0643306149</v>
      </c>
      <c r="AL1378" s="77"/>
      <c r="AM1378" s="40" t="str">
        <f>IF(DaybyDay[[#This Row],[Admin Hours]]&gt;0,DaybyDay[[#This Row],[Admin Hours]]*$AM$2+$AM$3,"")</f>
        <v/>
      </c>
      <c r="AN1378" s="40">
        <f>SUMIFS(DaybyDay[Est-Admin-Payroll],DaybyDay[Date],"&gt;="&amp;$C$5,DaybyDay[RowYear],"&gt;="&amp;$C$4,DaybyDay[Date],"&lt;="&amp;DaybyDay[[#This Row],[Date]])</f>
        <v>13941.779999999997</v>
      </c>
      <c r="AO1378" s="41" t="str">
        <f>IF(AND(DaybyDay[[#This Row],[_Space]],ISNUMBER(DaybyDay[[#This Row],[Admin Hours]])),DaybyDay[[#This Row],[Est-Admin-Payroll]]/(DaybyDay[[#This Row],[Service-Actuals]]+DaybyDay[[#This Row],[Retail-Actuals]]),"")</f>
        <v/>
      </c>
      <c r="AP1378" s="41">
        <f>DaybyDay[[#This Row],[Estimated-Payroll-Rollup]]/DaybyDay[[#This Row],[Simple-Forecast]]</f>
        <v>8.5552543971311162E-3</v>
      </c>
      <c r="AQ137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323990.27660808817</v>
      </c>
      <c r="AR1378" s="77"/>
      <c r="AS1378" s="40" t="str">
        <f>IF(DaybyDay[[#This Row],[Retail Hours]]&gt;0,DaybyDay[[#This Row],[Retail Hours]]*$AS$2,"")</f>
        <v/>
      </c>
      <c r="AT1378" s="40">
        <f>SUMIFS(DaybyDay[Est-Retail-Payroll],DaybyDay[Date],"&gt;="&amp;$C$5,DaybyDay[RowYear],"&gt;="&amp;$C$4,DaybyDay[Date],"&lt;="&amp;DaybyDay[[#This Row],[Date]])</f>
        <v>2627.1</v>
      </c>
      <c r="AU1378" s="82" t="str">
        <f>IF(AND(DaybyDay[[#This Row],[_Space]],ISNUMBER(DaybyDay[[#This Row],[Retail Hours]])),DaybyDay[[#This Row],[Est-Retail-Payroll]]/(DaybyDay[[#This Row],[Retail-Actuals]]),"")</f>
        <v/>
      </c>
      <c r="AV1378" s="82">
        <f>DaybyDay[[#This Row],[Est-Retail-PayrollRU]]/DaybyDay[[#This Row],[Simple-Forecast-Retail]]</f>
        <v>8.1085766755211817E-3</v>
      </c>
      <c r="AW1378" s="8"/>
      <c r="AX1378" s="15"/>
      <c r="AY1378" s="8"/>
    </row>
    <row r="1379" spans="3:51" hidden="1" x14ac:dyDescent="0.25">
      <c r="C1379" s="26" t="str">
        <f>Tools!$C$1</f>
        <v>Example</v>
      </c>
      <c r="D1379" s="27" t="s">
        <v>77</v>
      </c>
      <c r="E1379" s="28">
        <v>2020</v>
      </c>
      <c r="F1379" s="28">
        <f>MATCH(DaybyDay[[#This Row],[RowMonth]],Table3[SummaryMonth],0)</f>
        <v>10</v>
      </c>
      <c r="G1379" s="29">
        <f>MATCH(DaybyDay[[#This Row],[LY-Date]],DaybyDay[Date],0)</f>
        <v>1009</v>
      </c>
      <c r="H1379" s="30">
        <f>WEEKDAY(DaybyDay[[#This Row],[Date]])</f>
        <v>1</v>
      </c>
      <c r="I1379" s="31">
        <v>44108</v>
      </c>
      <c r="J1379" s="74"/>
      <c r="K1379" s="32">
        <f>SUMIFS(BudgetSeasonality[365 Seasonality],BudgetSeasonality[MonthAdjustment],DaybyDay[[#This Row],[Date]])*SUMIFS(Budgets[Service-Budget],Budgets[BudgetMonth],DaybyDay[[#This Row],[RowMonth]],Budgets[BudgetYear],DaybyDay[[#This Row],[RowYear]])</f>
        <v>6116.0476535556509</v>
      </c>
      <c r="L1379" s="75"/>
      <c r="M1379" s="32">
        <f>INDEX(BudgetSeasonality[365 Seasonality],MATCH(DaybyDay[[#This Row],[Date]],BudgetSeasonality[MonthAdjustment],0))*SUMIFS(Budgets[Retail-Budget],Budgets[BudgetMonth],DaybyDay[[#This Row],[RowMonth]],Budgets[BudgetYear],DaybyDay[[#This Row],[RowYear]])</f>
        <v>1564.3975770189006</v>
      </c>
      <c r="N1379" s="75"/>
      <c r="O1379" s="33">
        <f>SUMIFS(DaybyDay[Service-Budgets],DaybyDay[Date],"&gt;="&amp;$C$5,DaybyDay[RowYear],"&gt;="&amp;$C$4,DaybyDay[Date],"&lt;="&amp;DaybyDay[[#This Row],[Date]])</f>
        <v>1466122.3215776519</v>
      </c>
      <c r="P1379" s="33">
        <f>SUMIFS(DaybyDay[Retail-Budgets],DaybyDay[Date],"&gt;="&amp;$C$5,DaybyDay[RowYear],"&gt;="&amp;$C$4,DaybyDay[Date],"&lt;="&amp;DaybyDay[[#This Row],[Date]])</f>
        <v>378309.80744826171</v>
      </c>
      <c r="Q1379" s="34">
        <f>SUMIFS(DaybyDay[Service-Actuals],DaybyDay[Date],"&gt;="&amp;$C$5,DaybyDay[RowYear],"&gt;="&amp;$C$4,DaybyDay[Date],"&lt;="&amp;DaybyDay[[#This Row],[Date]])</f>
        <v>385554.23</v>
      </c>
      <c r="R1379" s="34">
        <f>SUMIFS(DaybyDay[Retail-Actuals],DaybyDay[Date],"&gt;="&amp;$C$5,DaybyDay[RowYear],"&gt;="&amp;$C$4,DaybyDay[Date],"&lt;="&amp;DaybyDay[[#This Row],[Date]])</f>
        <v>88360.030000000028</v>
      </c>
      <c r="S1379" s="35">
        <f>SUMIFS(DaybyDay[Service-LY],DaybyDay[Date],"&gt;="&amp;$C$5,DaybyDay[RowYear],"&gt;="&amp;$C$4,DaybyDay[Date],"&lt;="&amp;DaybyDay[[#This Row],[Date]])</f>
        <v>1323677.3209999981</v>
      </c>
      <c r="T1379" s="35">
        <f>SUMIFS(DaybyDay[Retail-LY],DaybyDay[Date],"&gt;="&amp;$C$5,DaybyDay[RowYear],"&gt;="&amp;$C$4,DaybyDay[Date],"&lt;="&amp;DaybyDay[[#This Row],[Date]])</f>
        <v>323146.42</v>
      </c>
      <c r="U1379" s="32">
        <f>DaybyDay[[#This Row],[Serv-Bud-RU]]+DaybyDay[[#This Row],[Ret-Bud-RU]]</f>
        <v>1844432.1290259135</v>
      </c>
      <c r="V1379" s="32">
        <f>DaybyDay[[#This Row],[Serv-Act-RU]]+DaybyDay[[#This Row],[Ret-Act-RU]]</f>
        <v>473914.26</v>
      </c>
      <c r="W1379" s="36" t="str">
        <f>IF(DaybyDay[[#This Row],[_Space]],IFERROR(
((DaybyDay[[#This Row],[Actual-Rollup]]-DaybyDay[[#This Row],[Budget-Rollup]])/DaybyDay[[#This Row],[Budget-Rollup]]),0),"")</f>
        <v/>
      </c>
      <c r="X1379" t="b">
        <f>NOT(AND(ISBLANK(DaybyDay[[#This Row],[Appts]]),ISBLANK(DaybyDay[[#This Row],[Service-Actuals]]),ISBLANK(DaybyDay[[#This Row],[Retail-Actuals]])))</f>
        <v>0</v>
      </c>
      <c r="Y1379" s="36" t="str">
        <f>IF(DaybyDay[[#This Row],[_Space]],IFERROR(
((DaybyDay[[#This Row],[Actual-Rollup]]-DaybyDay[[#This Row],[LY-Rollup]])/DaybyDay[[#This Row],[LY-Rollup]]),0),"")</f>
        <v/>
      </c>
      <c r="Z1379"/>
      <c r="AA1379" s="37" t="str">
        <f>IF(DaybyDay[[#This Row],[_Space]],DaybyDay[[#This Row],[Ret-Act-RU]]/DaybyDay[[#This Row],[Serv-Act-RU]],"")</f>
        <v/>
      </c>
      <c r="AB1379" s="50" t="str">
        <f>IF(DaybyDay[[#This Row],[_Space]],DaybyDay[[#This Row],[RETPEN-Act]]/DaybyDay[[#This Row],[RETPEN-Bud]],"")</f>
        <v/>
      </c>
      <c r="AC1379" s="37" t="str">
        <f>IF(DaybyDay[[#This Row],[_Space]],DaybyDay[[#This Row],[Ret-Bud-RU]]/DaybyDay[[#This Row],[Serv-Bud-RU]],"")</f>
        <v/>
      </c>
      <c r="AD1379" s="37" t="str">
        <f>IF(DaybyDay[[#This Row],[_Space]],DaybyDay[[#This Row],[Ret-LY-RU]]/DaybyDay[[#This Row],[Serv-LY-RU]],"")</f>
        <v/>
      </c>
      <c r="AE1379" s="30">
        <f>WEEKDAY(DaybyDay[[#This Row],[LY-Date]])</f>
        <v>1</v>
      </c>
      <c r="AF1379" s="38">
        <f>$E$2+_xlfn.DAYS(DaybyDay[[#This Row],[Date]],minDate)</f>
        <v>43744</v>
      </c>
      <c r="AG1379" s="39" cm="1">
        <f t="array" ref="AG1379">IFERROR(INDEX(DaybyDay[],DaybyDay[[#This Row],[FORM_MATCH_HELPER]],8),"")</f>
        <v>25</v>
      </c>
      <c r="AH1379" s="39" cm="1">
        <f t="array" ref="AH1379">IFERROR(INDEX(DaybyDay[],DaybyDay[[#This Row],[FORM_MATCH_HELPER]],10),"")</f>
        <v>6338.15</v>
      </c>
      <c r="AI1379" s="39" cm="1">
        <f t="array" ref="AI1379">IFERROR(INDEX(DaybyDay[],DaybyDay[[#This Row],[FORM_MATCH_HELPER]],12),"")</f>
        <v>333</v>
      </c>
      <c r="AJ1379" s="32">
        <f>IFERROR(DaybyDay[[#This Row],[Serv-LY-RU]]+DaybyDay[[#This Row],[Ret-LY-RU]],"")</f>
        <v>1646823.7409999981</v>
      </c>
      <c r="AK137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1636172.1439712471</v>
      </c>
      <c r="AL1379" s="77"/>
      <c r="AM1379" s="40" t="str">
        <f>IF(DaybyDay[[#This Row],[Admin Hours]]&gt;0,DaybyDay[[#This Row],[Admin Hours]]*$AM$2+$AM$3,"")</f>
        <v/>
      </c>
      <c r="AN1379" s="40">
        <f>SUMIFS(DaybyDay[Est-Admin-Payroll],DaybyDay[Date],"&gt;="&amp;$C$5,DaybyDay[RowYear],"&gt;="&amp;$C$4,DaybyDay[Date],"&lt;="&amp;DaybyDay[[#This Row],[Date]])</f>
        <v>13941.779999999997</v>
      </c>
      <c r="AO1379" s="41" t="str">
        <f>IF(AND(DaybyDay[[#This Row],[_Space]],ISNUMBER(DaybyDay[[#This Row],[Admin Hours]])),DaybyDay[[#This Row],[Est-Admin-Payroll]]/(DaybyDay[[#This Row],[Service-Actuals]]+DaybyDay[[#This Row],[Retail-Actuals]]),"")</f>
        <v/>
      </c>
      <c r="AP1379" s="41">
        <f>DaybyDay[[#This Row],[Estimated-Payroll-Rollup]]/DaybyDay[[#This Row],[Simple-Forecast]]</f>
        <v>8.5209738176822303E-3</v>
      </c>
      <c r="AQ137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324819.88404319959</v>
      </c>
      <c r="AR1379" s="77"/>
      <c r="AS1379" s="40" t="str">
        <f>IF(DaybyDay[[#This Row],[Retail Hours]]&gt;0,DaybyDay[[#This Row],[Retail Hours]]*$AS$2,"")</f>
        <v/>
      </c>
      <c r="AT1379" s="40">
        <f>SUMIFS(DaybyDay[Est-Retail-Payroll],DaybyDay[Date],"&gt;="&amp;$C$5,DaybyDay[RowYear],"&gt;="&amp;$C$4,DaybyDay[Date],"&lt;="&amp;DaybyDay[[#This Row],[Date]])</f>
        <v>2627.1</v>
      </c>
      <c r="AU1379" s="82" t="str">
        <f>IF(AND(DaybyDay[[#This Row],[_Space]],ISNUMBER(DaybyDay[[#This Row],[Retail Hours]])),DaybyDay[[#This Row],[Est-Retail-Payroll]]/(DaybyDay[[#This Row],[Retail-Actuals]]),"")</f>
        <v/>
      </c>
      <c r="AV1379" s="82">
        <f>DaybyDay[[#This Row],[Est-Retail-PayrollRU]]/DaybyDay[[#This Row],[Simple-Forecast-Retail]]</f>
        <v>8.0878669350507113E-3</v>
      </c>
      <c r="AW1379" s="8"/>
      <c r="AX1379" s="15"/>
      <c r="AY1379" s="8"/>
    </row>
    <row r="1380" spans="3:51" hidden="1" x14ac:dyDescent="0.25">
      <c r="C1380" s="26" t="str">
        <f>Tools!$C$1</f>
        <v>Example</v>
      </c>
      <c r="D1380" s="27" t="s">
        <v>77</v>
      </c>
      <c r="E1380" s="28">
        <v>2020</v>
      </c>
      <c r="F1380" s="28">
        <f>MATCH(DaybyDay[[#This Row],[RowMonth]],Table3[SummaryMonth],0)</f>
        <v>10</v>
      </c>
      <c r="G1380" s="29">
        <f>MATCH(DaybyDay[[#This Row],[LY-Date]],DaybyDay[Date],0)</f>
        <v>1010</v>
      </c>
      <c r="H1380" s="30">
        <f>WEEKDAY(DaybyDay[[#This Row],[Date]])</f>
        <v>2</v>
      </c>
      <c r="I1380" s="31">
        <v>44109</v>
      </c>
      <c r="J1380" s="74"/>
      <c r="K1380" s="32">
        <f>SUMIFS(BudgetSeasonality[365 Seasonality],BudgetSeasonality[MonthAdjustment],DaybyDay[[#This Row],[Date]])*SUMIFS(Budgets[Service-Budget],Budgets[BudgetMonth],DaybyDay[[#This Row],[RowMonth]],Budgets[BudgetYear],DaybyDay[[#This Row],[RowYear]])</f>
        <v>3621.7146930244048</v>
      </c>
      <c r="L1380" s="75"/>
      <c r="M1380" s="32">
        <f>INDEX(BudgetSeasonality[365 Seasonality],MATCH(DaybyDay[[#This Row],[Date]],BudgetSeasonality[MonthAdjustment],0))*SUMIFS(Budgets[Retail-Budget],Budgets[BudgetMonth],DaybyDay[[#This Row],[RowMonth]],Budgets[BudgetYear],DaybyDay[[#This Row],[RowYear]])</f>
        <v>926.38285562200213</v>
      </c>
      <c r="N1380" s="75"/>
      <c r="O1380" s="33">
        <f>SUMIFS(DaybyDay[Service-Budgets],DaybyDay[Date],"&gt;="&amp;$C$5,DaybyDay[RowYear],"&gt;="&amp;$C$4,DaybyDay[Date],"&lt;="&amp;DaybyDay[[#This Row],[Date]])</f>
        <v>1469744.0362706762</v>
      </c>
      <c r="P1380" s="33">
        <f>SUMIFS(DaybyDay[Retail-Budgets],DaybyDay[Date],"&gt;="&amp;$C$5,DaybyDay[RowYear],"&gt;="&amp;$C$4,DaybyDay[Date],"&lt;="&amp;DaybyDay[[#This Row],[Date]])</f>
        <v>379236.19030388369</v>
      </c>
      <c r="Q1380" s="34">
        <f>SUMIFS(DaybyDay[Service-Actuals],DaybyDay[Date],"&gt;="&amp;$C$5,DaybyDay[RowYear],"&gt;="&amp;$C$4,DaybyDay[Date],"&lt;="&amp;DaybyDay[[#This Row],[Date]])</f>
        <v>385554.23</v>
      </c>
      <c r="R1380" s="34">
        <f>SUMIFS(DaybyDay[Retail-Actuals],DaybyDay[Date],"&gt;="&amp;$C$5,DaybyDay[RowYear],"&gt;="&amp;$C$4,DaybyDay[Date],"&lt;="&amp;DaybyDay[[#This Row],[Date]])</f>
        <v>88360.030000000028</v>
      </c>
      <c r="S1380" s="35">
        <f>SUMIFS(DaybyDay[Service-LY],DaybyDay[Date],"&gt;="&amp;$C$5,DaybyDay[RowYear],"&gt;="&amp;$C$4,DaybyDay[Date],"&lt;="&amp;DaybyDay[[#This Row],[Date]])</f>
        <v>1325933.9209999982</v>
      </c>
      <c r="T1380" s="35">
        <f>SUMIFS(DaybyDay[Retail-LY],DaybyDay[Date],"&gt;="&amp;$C$5,DaybyDay[RowYear],"&gt;="&amp;$C$4,DaybyDay[Date],"&lt;="&amp;DaybyDay[[#This Row],[Date]])</f>
        <v>323646.51999999996</v>
      </c>
      <c r="U1380" s="32">
        <f>DaybyDay[[#This Row],[Serv-Bud-RU]]+DaybyDay[[#This Row],[Ret-Bud-RU]]</f>
        <v>1848980.2265745599</v>
      </c>
      <c r="V1380" s="32">
        <f>DaybyDay[[#This Row],[Serv-Act-RU]]+DaybyDay[[#This Row],[Ret-Act-RU]]</f>
        <v>473914.26</v>
      </c>
      <c r="W1380" s="36" t="str">
        <f>IF(DaybyDay[[#This Row],[_Space]],IFERROR(
((DaybyDay[[#This Row],[Actual-Rollup]]-DaybyDay[[#This Row],[Budget-Rollup]])/DaybyDay[[#This Row],[Budget-Rollup]]),0),"")</f>
        <v/>
      </c>
      <c r="X1380" t="b">
        <f>NOT(AND(ISBLANK(DaybyDay[[#This Row],[Appts]]),ISBLANK(DaybyDay[[#This Row],[Service-Actuals]]),ISBLANK(DaybyDay[[#This Row],[Retail-Actuals]])))</f>
        <v>0</v>
      </c>
      <c r="Y1380" s="36" t="str">
        <f>IF(DaybyDay[[#This Row],[_Space]],IFERROR(
((DaybyDay[[#This Row],[Actual-Rollup]]-DaybyDay[[#This Row],[LY-Rollup]])/DaybyDay[[#This Row],[LY-Rollup]]),0),"")</f>
        <v/>
      </c>
      <c r="Z1380"/>
      <c r="AA1380" s="37" t="str">
        <f>IF(DaybyDay[[#This Row],[_Space]],DaybyDay[[#This Row],[Ret-Act-RU]]/DaybyDay[[#This Row],[Serv-Act-RU]],"")</f>
        <v/>
      </c>
      <c r="AB1380" s="50" t="str">
        <f>IF(DaybyDay[[#This Row],[_Space]],DaybyDay[[#This Row],[RETPEN-Act]]/DaybyDay[[#This Row],[RETPEN-Bud]],"")</f>
        <v/>
      </c>
      <c r="AC1380" s="37" t="str">
        <f>IF(DaybyDay[[#This Row],[_Space]],DaybyDay[[#This Row],[Ret-Bud-RU]]/DaybyDay[[#This Row],[Serv-Bud-RU]],"")</f>
        <v/>
      </c>
      <c r="AD1380" s="37" t="str">
        <f>IF(DaybyDay[[#This Row],[_Space]],DaybyDay[[#This Row],[Ret-LY-RU]]/DaybyDay[[#This Row],[Serv-LY-RU]],"")</f>
        <v/>
      </c>
      <c r="AE1380" s="30">
        <f>WEEKDAY(DaybyDay[[#This Row],[LY-Date]])</f>
        <v>2</v>
      </c>
      <c r="AF1380" s="38">
        <f>$E$2+_xlfn.DAYS(DaybyDay[[#This Row],[Date]],minDate)</f>
        <v>43745</v>
      </c>
      <c r="AG1380" s="39" cm="1">
        <f t="array" ref="AG1380">IFERROR(INDEX(DaybyDay[],DaybyDay[[#This Row],[FORM_MATCH_HELPER]],8),"")</f>
        <v>11</v>
      </c>
      <c r="AH1380" s="39" cm="1">
        <f t="array" ref="AH1380">IFERROR(INDEX(DaybyDay[],DaybyDay[[#This Row],[FORM_MATCH_HELPER]],10),"")</f>
        <v>2256.6</v>
      </c>
      <c r="AI1380" s="39" cm="1">
        <f t="array" ref="AI1380">IFERROR(INDEX(DaybyDay[],DaybyDay[[#This Row],[FORM_MATCH_HELPER]],12),"")</f>
        <v>500.1</v>
      </c>
      <c r="AJ1380" s="32">
        <f>IFERROR(DaybyDay[[#This Row],[Serv-LY-RU]]+DaybyDay[[#This Row],[Ret-LY-RU]],"")</f>
        <v>1649580.4409999982</v>
      </c>
      <c r="AK138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1639465.871409459</v>
      </c>
      <c r="AL1380" s="77"/>
      <c r="AM1380" s="40" t="str">
        <f>IF(DaybyDay[[#This Row],[Admin Hours]]&gt;0,DaybyDay[[#This Row],[Admin Hours]]*$AM$2+$AM$3,"")</f>
        <v/>
      </c>
      <c r="AN1380" s="40">
        <f>SUMIFS(DaybyDay[Est-Admin-Payroll],DaybyDay[Date],"&gt;="&amp;$C$5,DaybyDay[RowYear],"&gt;="&amp;$C$4,DaybyDay[Date],"&lt;="&amp;DaybyDay[[#This Row],[Date]])</f>
        <v>13941.779999999997</v>
      </c>
      <c r="AO1380" s="41" t="str">
        <f>IF(AND(DaybyDay[[#This Row],[_Space]],ISNUMBER(DaybyDay[[#This Row],[Admin Hours]])),DaybyDay[[#This Row],[Est-Admin-Payroll]]/(DaybyDay[[#This Row],[Service-Actuals]]+DaybyDay[[#This Row],[Retail-Actuals]]),"")</f>
        <v/>
      </c>
      <c r="AP1380" s="41">
        <f>DaybyDay[[#This Row],[Estimated-Payroll-Rollup]]/DaybyDay[[#This Row],[Simple-Forecast]]</f>
        <v>8.5038549707742075E-3</v>
      </c>
      <c r="AQ138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325460.49636616081</v>
      </c>
      <c r="AR1380" s="77"/>
      <c r="AS1380" s="40" t="str">
        <f>IF(DaybyDay[[#This Row],[Retail Hours]]&gt;0,DaybyDay[[#This Row],[Retail Hours]]*$AS$2,"")</f>
        <v/>
      </c>
      <c r="AT1380" s="40">
        <f>SUMIFS(DaybyDay[Est-Retail-Payroll],DaybyDay[Date],"&gt;="&amp;$C$5,DaybyDay[RowYear],"&gt;="&amp;$C$4,DaybyDay[Date],"&lt;="&amp;DaybyDay[[#This Row],[Date]])</f>
        <v>2627.1</v>
      </c>
      <c r="AU1380" s="82" t="str">
        <f>IF(AND(DaybyDay[[#This Row],[_Space]],ISNUMBER(DaybyDay[[#This Row],[Retail Hours]])),DaybyDay[[#This Row],[Est-Retail-Payroll]]/(DaybyDay[[#This Row],[Retail-Actuals]]),"")</f>
        <v/>
      </c>
      <c r="AV1380" s="82">
        <f>DaybyDay[[#This Row],[Est-Retail-PayrollRU]]/DaybyDay[[#This Row],[Simple-Forecast-Retail]]</f>
        <v>8.0719473771230562E-3</v>
      </c>
      <c r="AW1380" s="8"/>
      <c r="AX1380" s="15"/>
      <c r="AY1380" s="8"/>
    </row>
    <row r="1381" spans="3:51" hidden="1" x14ac:dyDescent="0.25">
      <c r="C1381" s="26" t="str">
        <f>Tools!$C$1</f>
        <v>Example</v>
      </c>
      <c r="D1381" s="27" t="s">
        <v>77</v>
      </c>
      <c r="E1381" s="28">
        <v>2020</v>
      </c>
      <c r="F1381" s="28">
        <f>MATCH(DaybyDay[[#This Row],[RowMonth]],Table3[SummaryMonth],0)</f>
        <v>10</v>
      </c>
      <c r="G1381" s="29">
        <f>MATCH(DaybyDay[[#This Row],[LY-Date]],DaybyDay[Date],0)</f>
        <v>1011</v>
      </c>
      <c r="H1381" s="30">
        <f>WEEKDAY(DaybyDay[[#This Row],[Date]])</f>
        <v>3</v>
      </c>
      <c r="I1381" s="31">
        <v>44110</v>
      </c>
      <c r="J1381" s="74"/>
      <c r="K1381" s="32">
        <f>SUMIFS(BudgetSeasonality[365 Seasonality],BudgetSeasonality[MonthAdjustment],DaybyDay[[#This Row],[Date]])*SUMIFS(Budgets[Service-Budget],Budgets[BudgetMonth],DaybyDay[[#This Row],[RowMonth]],Budgets[BudgetYear],DaybyDay[[#This Row],[RowYear]])</f>
        <v>3796.7202581345914</v>
      </c>
      <c r="L1381" s="75"/>
      <c r="M1381" s="32">
        <f>INDEX(BudgetSeasonality[365 Seasonality],MATCH(DaybyDay[[#This Row],[Date]],BudgetSeasonality[MonthAdjustment],0))*SUMIFS(Budgets[Retail-Budget],Budgets[BudgetMonth],DaybyDay[[#This Row],[RowMonth]],Budgets[BudgetYear],DaybyDay[[#This Row],[RowYear]])</f>
        <v>971.14677793448357</v>
      </c>
      <c r="N1381" s="75"/>
      <c r="O1381" s="33">
        <f>SUMIFS(DaybyDay[Service-Budgets],DaybyDay[Date],"&gt;="&amp;$C$5,DaybyDay[RowYear],"&gt;="&amp;$C$4,DaybyDay[Date],"&lt;="&amp;DaybyDay[[#This Row],[Date]])</f>
        <v>1473540.7565288108</v>
      </c>
      <c r="P1381" s="33">
        <f>SUMIFS(DaybyDay[Retail-Budgets],DaybyDay[Date],"&gt;="&amp;$C$5,DaybyDay[RowYear],"&gt;="&amp;$C$4,DaybyDay[Date],"&lt;="&amp;DaybyDay[[#This Row],[Date]])</f>
        <v>380207.3370818182</v>
      </c>
      <c r="Q1381" s="34">
        <f>SUMIFS(DaybyDay[Service-Actuals],DaybyDay[Date],"&gt;="&amp;$C$5,DaybyDay[RowYear],"&gt;="&amp;$C$4,DaybyDay[Date],"&lt;="&amp;DaybyDay[[#This Row],[Date]])</f>
        <v>385554.23</v>
      </c>
      <c r="R1381" s="34">
        <f>SUMIFS(DaybyDay[Retail-Actuals],DaybyDay[Date],"&gt;="&amp;$C$5,DaybyDay[RowYear],"&gt;="&amp;$C$4,DaybyDay[Date],"&lt;="&amp;DaybyDay[[#This Row],[Date]])</f>
        <v>88360.030000000028</v>
      </c>
      <c r="S1381" s="35">
        <f>SUMIFS(DaybyDay[Service-LY],DaybyDay[Date],"&gt;="&amp;$C$5,DaybyDay[RowYear],"&gt;="&amp;$C$4,DaybyDay[Date],"&lt;="&amp;DaybyDay[[#This Row],[Date]])</f>
        <v>1329594.8709999982</v>
      </c>
      <c r="T1381" s="35">
        <f>SUMIFS(DaybyDay[Retail-LY],DaybyDay[Date],"&gt;="&amp;$C$5,DaybyDay[RowYear],"&gt;="&amp;$C$4,DaybyDay[Date],"&lt;="&amp;DaybyDay[[#This Row],[Date]])</f>
        <v>324314.01999999996</v>
      </c>
      <c r="U1381" s="32">
        <f>DaybyDay[[#This Row],[Serv-Bud-RU]]+DaybyDay[[#This Row],[Ret-Bud-RU]]</f>
        <v>1853748.093610629</v>
      </c>
      <c r="V1381" s="32">
        <f>DaybyDay[[#This Row],[Serv-Act-RU]]+DaybyDay[[#This Row],[Ret-Act-RU]]</f>
        <v>473914.26</v>
      </c>
      <c r="W1381" s="36" t="str">
        <f>IF(DaybyDay[[#This Row],[_Space]],IFERROR(
((DaybyDay[[#This Row],[Actual-Rollup]]-DaybyDay[[#This Row],[Budget-Rollup]])/DaybyDay[[#This Row],[Budget-Rollup]]),0),"")</f>
        <v/>
      </c>
      <c r="X1381" t="b">
        <f>NOT(AND(ISBLANK(DaybyDay[[#This Row],[Appts]]),ISBLANK(DaybyDay[[#This Row],[Service-Actuals]]),ISBLANK(DaybyDay[[#This Row],[Retail-Actuals]])))</f>
        <v>0</v>
      </c>
      <c r="Y1381" s="36" t="str">
        <f>IF(DaybyDay[[#This Row],[_Space]],IFERROR(
((DaybyDay[[#This Row],[Actual-Rollup]]-DaybyDay[[#This Row],[LY-Rollup]])/DaybyDay[[#This Row],[LY-Rollup]]),0),"")</f>
        <v/>
      </c>
      <c r="Z1381"/>
      <c r="AA1381" s="37" t="str">
        <f>IF(DaybyDay[[#This Row],[_Space]],DaybyDay[[#This Row],[Ret-Act-RU]]/DaybyDay[[#This Row],[Serv-Act-RU]],"")</f>
        <v/>
      </c>
      <c r="AB1381" s="50" t="str">
        <f>IF(DaybyDay[[#This Row],[_Space]],DaybyDay[[#This Row],[RETPEN-Act]]/DaybyDay[[#This Row],[RETPEN-Bud]],"")</f>
        <v/>
      </c>
      <c r="AC1381" s="37" t="str">
        <f>IF(DaybyDay[[#This Row],[_Space]],DaybyDay[[#This Row],[Ret-Bud-RU]]/DaybyDay[[#This Row],[Serv-Bud-RU]],"")</f>
        <v/>
      </c>
      <c r="AD1381" s="37" t="str">
        <f>IF(DaybyDay[[#This Row],[_Space]],DaybyDay[[#This Row],[Ret-LY-RU]]/DaybyDay[[#This Row],[Serv-LY-RU]],"")</f>
        <v/>
      </c>
      <c r="AE1381" s="30">
        <f>WEEKDAY(DaybyDay[[#This Row],[LY-Date]])</f>
        <v>3</v>
      </c>
      <c r="AF1381" s="38">
        <f>$E$2+_xlfn.DAYS(DaybyDay[[#This Row],[Date]],minDate)</f>
        <v>43746</v>
      </c>
      <c r="AG1381" s="39" cm="1">
        <f t="array" ref="AG1381">IFERROR(INDEX(DaybyDay[],DaybyDay[[#This Row],[FORM_MATCH_HELPER]],8),"")</f>
        <v>14</v>
      </c>
      <c r="AH1381" s="39" cm="1">
        <f t="array" ref="AH1381">IFERROR(INDEX(DaybyDay[],DaybyDay[[#This Row],[FORM_MATCH_HELPER]],10),"")</f>
        <v>3660.95</v>
      </c>
      <c r="AI1381" s="39" cm="1">
        <f t="array" ref="AI1381">IFERROR(INDEX(DaybyDay[],DaybyDay[[#This Row],[FORM_MATCH_HELPER]],12),"")</f>
        <v>667.5</v>
      </c>
      <c r="AJ1381" s="32">
        <f>IFERROR(DaybyDay[[#This Row],[Serv-LY-RU]]+DaybyDay[[#This Row],[Ret-LY-RU]],"")</f>
        <v>1653908.8909999982</v>
      </c>
      <c r="AK138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1643628.0195381879</v>
      </c>
      <c r="AL1381" s="77"/>
      <c r="AM1381" s="40" t="str">
        <f>IF(DaybyDay[[#This Row],[Admin Hours]]&gt;0,DaybyDay[[#This Row],[Admin Hours]]*$AM$2+$AM$3,"")</f>
        <v/>
      </c>
      <c r="AN1381" s="40">
        <f>SUMIFS(DaybyDay[Est-Admin-Payroll],DaybyDay[Date],"&gt;="&amp;$C$5,DaybyDay[RowYear],"&gt;="&amp;$C$4,DaybyDay[Date],"&lt;="&amp;DaybyDay[[#This Row],[Date]])</f>
        <v>13941.779999999997</v>
      </c>
      <c r="AO1381" s="41" t="str">
        <f>IF(AND(DaybyDay[[#This Row],[_Space]],ISNUMBER(DaybyDay[[#This Row],[Admin Hours]])),DaybyDay[[#This Row],[Est-Admin-Payroll]]/(DaybyDay[[#This Row],[Service-Actuals]]+DaybyDay[[#This Row],[Retail-Actuals]]),"")</f>
        <v/>
      </c>
      <c r="AP1381" s="41">
        <f>DaybyDay[[#This Row],[Estimated-Payroll-Rollup]]/DaybyDay[[#This Row],[Simple-Forecast]]</f>
        <v>8.482320716287883E-3</v>
      </c>
      <c r="AQ138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326202.6846740375</v>
      </c>
      <c r="AR1381" s="77"/>
      <c r="AS1381" s="40" t="str">
        <f>IF(DaybyDay[[#This Row],[Retail Hours]]&gt;0,DaybyDay[[#This Row],[Retail Hours]]*$AS$2,"")</f>
        <v/>
      </c>
      <c r="AT1381" s="40">
        <f>SUMIFS(DaybyDay[Est-Retail-Payroll],DaybyDay[Date],"&gt;="&amp;$C$5,DaybyDay[RowYear],"&gt;="&amp;$C$4,DaybyDay[Date],"&lt;="&amp;DaybyDay[[#This Row],[Date]])</f>
        <v>2627.1</v>
      </c>
      <c r="AU1381" s="82" t="str">
        <f>IF(AND(DaybyDay[[#This Row],[_Space]],ISNUMBER(DaybyDay[[#This Row],[Retail Hours]])),DaybyDay[[#This Row],[Est-Retail-Payroll]]/(DaybyDay[[#This Row],[Retail-Actuals]]),"")</f>
        <v/>
      </c>
      <c r="AV1381" s="82">
        <f>DaybyDay[[#This Row],[Est-Retail-PayrollRU]]/DaybyDay[[#This Row],[Simple-Forecast-Retail]]</f>
        <v>8.0535817865054222E-3</v>
      </c>
      <c r="AW1381" s="8"/>
      <c r="AX1381" s="15"/>
      <c r="AY1381" s="8"/>
    </row>
    <row r="1382" spans="3:51" hidden="1" x14ac:dyDescent="0.25">
      <c r="C1382" s="26" t="str">
        <f>Tools!$C$1</f>
        <v>Example</v>
      </c>
      <c r="D1382" s="27" t="s">
        <v>77</v>
      </c>
      <c r="E1382" s="28">
        <v>2020</v>
      </c>
      <c r="F1382" s="28">
        <f>MATCH(DaybyDay[[#This Row],[RowMonth]],Table3[SummaryMonth],0)</f>
        <v>10</v>
      </c>
      <c r="G1382" s="29">
        <f>MATCH(DaybyDay[[#This Row],[LY-Date]],DaybyDay[Date],0)</f>
        <v>1012</v>
      </c>
      <c r="H1382" s="30">
        <f>WEEKDAY(DaybyDay[[#This Row],[Date]])</f>
        <v>4</v>
      </c>
      <c r="I1382" s="31">
        <v>44111</v>
      </c>
      <c r="J1382" s="74"/>
      <c r="K1382" s="32">
        <f>SUMIFS(BudgetSeasonality[365 Seasonality],BudgetSeasonality[MonthAdjustment],DaybyDay[[#This Row],[Date]])*SUMIFS(Budgets[Service-Budget],Budgets[BudgetMonth],DaybyDay[[#This Row],[RowMonth]],Budgets[BudgetYear],DaybyDay[[#This Row],[RowYear]])</f>
        <v>4437.970682302639</v>
      </c>
      <c r="L1382" s="75"/>
      <c r="M1382" s="32">
        <f>INDEX(BudgetSeasonality[365 Seasonality],MATCH(DaybyDay[[#This Row],[Date]],BudgetSeasonality[MonthAdjustment],0))*SUMIFS(Budgets[Retail-Budget],Budgets[BudgetMonth],DaybyDay[[#This Row],[RowMonth]],Budgets[BudgetYear],DaybyDay[[#This Row],[RowYear]])</f>
        <v>1135.1694714541504</v>
      </c>
      <c r="N1382" s="75"/>
      <c r="O1382" s="33">
        <f>SUMIFS(DaybyDay[Service-Budgets],DaybyDay[Date],"&gt;="&amp;$C$5,DaybyDay[RowYear],"&gt;="&amp;$C$4,DaybyDay[Date],"&lt;="&amp;DaybyDay[[#This Row],[Date]])</f>
        <v>1477978.7272111136</v>
      </c>
      <c r="P1382" s="33">
        <f>SUMIFS(DaybyDay[Retail-Budgets],DaybyDay[Date],"&gt;="&amp;$C$5,DaybyDay[RowYear],"&gt;="&amp;$C$4,DaybyDay[Date],"&lt;="&amp;DaybyDay[[#This Row],[Date]])</f>
        <v>381342.50655327237</v>
      </c>
      <c r="Q1382" s="34">
        <f>SUMIFS(DaybyDay[Service-Actuals],DaybyDay[Date],"&gt;="&amp;$C$5,DaybyDay[RowYear],"&gt;="&amp;$C$4,DaybyDay[Date],"&lt;="&amp;DaybyDay[[#This Row],[Date]])</f>
        <v>385554.23</v>
      </c>
      <c r="R1382" s="34">
        <f>SUMIFS(DaybyDay[Retail-Actuals],DaybyDay[Date],"&gt;="&amp;$C$5,DaybyDay[RowYear],"&gt;="&amp;$C$4,DaybyDay[Date],"&lt;="&amp;DaybyDay[[#This Row],[Date]])</f>
        <v>88360.030000000028</v>
      </c>
      <c r="S1382" s="35">
        <f>SUMIFS(DaybyDay[Service-LY],DaybyDay[Date],"&gt;="&amp;$C$5,DaybyDay[RowYear],"&gt;="&amp;$C$4,DaybyDay[Date],"&lt;="&amp;DaybyDay[[#This Row],[Date]])</f>
        <v>1333915.0709999981</v>
      </c>
      <c r="T1382" s="35">
        <f>SUMIFS(DaybyDay[Retail-LY],DaybyDay[Date],"&gt;="&amp;$C$5,DaybyDay[RowYear],"&gt;="&amp;$C$4,DaybyDay[Date],"&lt;="&amp;DaybyDay[[#This Row],[Date]])</f>
        <v>324398.76999999996</v>
      </c>
      <c r="U1382" s="32">
        <f>DaybyDay[[#This Row],[Serv-Bud-RU]]+DaybyDay[[#This Row],[Ret-Bud-RU]]</f>
        <v>1859321.2337643858</v>
      </c>
      <c r="V1382" s="32">
        <f>DaybyDay[[#This Row],[Serv-Act-RU]]+DaybyDay[[#This Row],[Ret-Act-RU]]</f>
        <v>473914.26</v>
      </c>
      <c r="W1382" s="36" t="str">
        <f>IF(DaybyDay[[#This Row],[_Space]],IFERROR(
((DaybyDay[[#This Row],[Actual-Rollup]]-DaybyDay[[#This Row],[Budget-Rollup]])/DaybyDay[[#This Row],[Budget-Rollup]]),0),"")</f>
        <v/>
      </c>
      <c r="X1382" t="b">
        <f>NOT(AND(ISBLANK(DaybyDay[[#This Row],[Appts]]),ISBLANK(DaybyDay[[#This Row],[Service-Actuals]]),ISBLANK(DaybyDay[[#This Row],[Retail-Actuals]])))</f>
        <v>0</v>
      </c>
      <c r="Y1382" s="36" t="str">
        <f>IF(DaybyDay[[#This Row],[_Space]],IFERROR(
((DaybyDay[[#This Row],[Actual-Rollup]]-DaybyDay[[#This Row],[LY-Rollup]])/DaybyDay[[#This Row],[LY-Rollup]]),0),"")</f>
        <v/>
      </c>
      <c r="Z1382"/>
      <c r="AA1382" s="37" t="str">
        <f>IF(DaybyDay[[#This Row],[_Space]],DaybyDay[[#This Row],[Ret-Act-RU]]/DaybyDay[[#This Row],[Serv-Act-RU]],"")</f>
        <v/>
      </c>
      <c r="AB1382" s="50" t="str">
        <f>IF(DaybyDay[[#This Row],[_Space]],DaybyDay[[#This Row],[RETPEN-Act]]/DaybyDay[[#This Row],[RETPEN-Bud]],"")</f>
        <v/>
      </c>
      <c r="AC1382" s="37" t="str">
        <f>IF(DaybyDay[[#This Row],[_Space]],DaybyDay[[#This Row],[Ret-Bud-RU]]/DaybyDay[[#This Row],[Serv-Bud-RU]],"")</f>
        <v/>
      </c>
      <c r="AD1382" s="37" t="str">
        <f>IF(DaybyDay[[#This Row],[_Space]],DaybyDay[[#This Row],[Ret-LY-RU]]/DaybyDay[[#This Row],[Serv-LY-RU]],"")</f>
        <v/>
      </c>
      <c r="AE1382" s="30">
        <f>WEEKDAY(DaybyDay[[#This Row],[LY-Date]])</f>
        <v>4</v>
      </c>
      <c r="AF1382" s="38">
        <f>$E$2+_xlfn.DAYS(DaybyDay[[#This Row],[Date]],minDate)</f>
        <v>43747</v>
      </c>
      <c r="AG1382" s="39" cm="1">
        <f t="array" ref="AG1382">IFERROR(INDEX(DaybyDay[],DaybyDay[[#This Row],[FORM_MATCH_HELPER]],8),"")</f>
        <v>18</v>
      </c>
      <c r="AH1382" s="39" cm="1">
        <f t="array" ref="AH1382">IFERROR(INDEX(DaybyDay[],DaybyDay[[#This Row],[FORM_MATCH_HELPER]],10),"")</f>
        <v>4320.2</v>
      </c>
      <c r="AI1382" s="39" cm="1">
        <f t="array" ref="AI1382">IFERROR(INDEX(DaybyDay[],DaybyDay[[#This Row],[FORM_MATCH_HELPER]],12),"")</f>
        <v>84.75</v>
      </c>
      <c r="AJ1382" s="32">
        <f>IFERROR(DaybyDay[[#This Row],[Serv-LY-RU]]+DaybyDay[[#This Row],[Ret-LY-RU]],"")</f>
        <v>1658313.8409999982</v>
      </c>
      <c r="AK138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1648170.4122717238</v>
      </c>
      <c r="AL1382" s="77"/>
      <c r="AM1382" s="40" t="str">
        <f>IF(DaybyDay[[#This Row],[Admin Hours]]&gt;0,DaybyDay[[#This Row],[Admin Hours]]*$AM$2+$AM$3,"")</f>
        <v/>
      </c>
      <c r="AN1382" s="40">
        <f>SUMIFS(DaybyDay[Est-Admin-Payroll],DaybyDay[Date],"&gt;="&amp;$C$5,DaybyDay[RowYear],"&gt;="&amp;$C$4,DaybyDay[Date],"&lt;="&amp;DaybyDay[[#This Row],[Date]])</f>
        <v>13941.779999999997</v>
      </c>
      <c r="AO1382" s="41" t="str">
        <f>IF(AND(DaybyDay[[#This Row],[_Space]],ISNUMBER(DaybyDay[[#This Row],[Admin Hours]])),DaybyDay[[#This Row],[Est-Admin-Payroll]]/(DaybyDay[[#This Row],[Service-Actuals]]+DaybyDay[[#This Row],[Retail-Actuals]]),"")</f>
        <v/>
      </c>
      <c r="AP1382" s="41">
        <f>DaybyDay[[#This Row],[Estimated-Payroll-Rollup]]/DaybyDay[[#This Row],[Simple-Forecast]]</f>
        <v>8.4589432598681426E-3</v>
      </c>
      <c r="AQ138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326727.31988813565</v>
      </c>
      <c r="AR1382" s="77"/>
      <c r="AS1382" s="40" t="str">
        <f>IF(DaybyDay[[#This Row],[Retail Hours]]&gt;0,DaybyDay[[#This Row],[Retail Hours]]*$AS$2,"")</f>
        <v/>
      </c>
      <c r="AT1382" s="40">
        <f>SUMIFS(DaybyDay[Est-Retail-Payroll],DaybyDay[Date],"&gt;="&amp;$C$5,DaybyDay[RowYear],"&gt;="&amp;$C$4,DaybyDay[Date],"&lt;="&amp;DaybyDay[[#This Row],[Date]])</f>
        <v>2627.1</v>
      </c>
      <c r="AU1382" s="82" t="str">
        <f>IF(AND(DaybyDay[[#This Row],[_Space]],ISNUMBER(DaybyDay[[#This Row],[Retail Hours]])),DaybyDay[[#This Row],[Est-Retail-Payroll]]/(DaybyDay[[#This Row],[Retail-Actuals]]),"")</f>
        <v/>
      </c>
      <c r="AV1382" s="82">
        <f>DaybyDay[[#This Row],[Est-Retail-PayrollRU]]/DaybyDay[[#This Row],[Simple-Forecast-Retail]]</f>
        <v>8.0406499245286919E-3</v>
      </c>
      <c r="AW1382" s="8"/>
      <c r="AX1382" s="15"/>
      <c r="AY1382" s="8"/>
    </row>
    <row r="1383" spans="3:51" hidden="1" x14ac:dyDescent="0.25">
      <c r="C1383" s="26" t="str">
        <f>Tools!$C$1</f>
        <v>Example</v>
      </c>
      <c r="D1383" s="27" t="s">
        <v>77</v>
      </c>
      <c r="E1383" s="28">
        <v>2020</v>
      </c>
      <c r="F1383" s="28">
        <f>MATCH(DaybyDay[[#This Row],[RowMonth]],Table3[SummaryMonth],0)</f>
        <v>10</v>
      </c>
      <c r="G1383" s="29">
        <f>MATCH(DaybyDay[[#This Row],[LY-Date]],DaybyDay[Date],0)</f>
        <v>1013</v>
      </c>
      <c r="H1383" s="30">
        <f>WEEKDAY(DaybyDay[[#This Row],[Date]])</f>
        <v>5</v>
      </c>
      <c r="I1383" s="31">
        <v>44112</v>
      </c>
      <c r="J1383" s="74"/>
      <c r="K1383" s="32">
        <f>SUMIFS(BudgetSeasonality[365 Seasonality],BudgetSeasonality[MonthAdjustment],DaybyDay[[#This Row],[Date]])*SUMIFS(Budgets[Service-Budget],Budgets[BudgetMonth],DaybyDay[[#This Row],[RowMonth]],Budgets[BudgetYear],DaybyDay[[#This Row],[RowYear]])</f>
        <v>4601.4671460862282</v>
      </c>
      <c r="L1383" s="75"/>
      <c r="M1383" s="32">
        <f>INDEX(BudgetSeasonality[365 Seasonality],MATCH(DaybyDay[[#This Row],[Date]],BudgetSeasonality[MonthAdjustment],0))*SUMIFS(Budgets[Retail-Budget],Budgets[BudgetMonth],DaybyDay[[#This Row],[RowMonth]],Budgets[BudgetYear],DaybyDay[[#This Row],[RowYear]])</f>
        <v>1176.9895301395184</v>
      </c>
      <c r="N1383" s="75"/>
      <c r="O1383" s="33">
        <f>SUMIFS(DaybyDay[Service-Budgets],DaybyDay[Date],"&gt;="&amp;$C$5,DaybyDay[RowYear],"&gt;="&amp;$C$4,DaybyDay[Date],"&lt;="&amp;DaybyDay[[#This Row],[Date]])</f>
        <v>1482580.1943571998</v>
      </c>
      <c r="P1383" s="33">
        <f>SUMIFS(DaybyDay[Retail-Budgets],DaybyDay[Date],"&gt;="&amp;$C$5,DaybyDay[RowYear],"&gt;="&amp;$C$4,DaybyDay[Date],"&lt;="&amp;DaybyDay[[#This Row],[Date]])</f>
        <v>382519.49608341191</v>
      </c>
      <c r="Q1383" s="34">
        <f>SUMIFS(DaybyDay[Service-Actuals],DaybyDay[Date],"&gt;="&amp;$C$5,DaybyDay[RowYear],"&gt;="&amp;$C$4,DaybyDay[Date],"&lt;="&amp;DaybyDay[[#This Row],[Date]])</f>
        <v>385554.23</v>
      </c>
      <c r="R1383" s="34">
        <f>SUMIFS(DaybyDay[Retail-Actuals],DaybyDay[Date],"&gt;="&amp;$C$5,DaybyDay[RowYear],"&gt;="&amp;$C$4,DaybyDay[Date],"&lt;="&amp;DaybyDay[[#This Row],[Date]])</f>
        <v>88360.030000000028</v>
      </c>
      <c r="S1383" s="35">
        <f>SUMIFS(DaybyDay[Service-LY],DaybyDay[Date],"&gt;="&amp;$C$5,DaybyDay[RowYear],"&gt;="&amp;$C$4,DaybyDay[Date],"&lt;="&amp;DaybyDay[[#This Row],[Date]])</f>
        <v>1337029.2709999981</v>
      </c>
      <c r="T1383" s="35">
        <f>SUMIFS(DaybyDay[Retail-LY],DaybyDay[Date],"&gt;="&amp;$C$5,DaybyDay[RowYear],"&gt;="&amp;$C$4,DaybyDay[Date],"&lt;="&amp;DaybyDay[[#This Row],[Date]])</f>
        <v>324896.76999999996</v>
      </c>
      <c r="U1383" s="32">
        <f>DaybyDay[[#This Row],[Serv-Bud-RU]]+DaybyDay[[#This Row],[Ret-Bud-RU]]</f>
        <v>1865099.6904406117</v>
      </c>
      <c r="V1383" s="32">
        <f>DaybyDay[[#This Row],[Serv-Act-RU]]+DaybyDay[[#This Row],[Ret-Act-RU]]</f>
        <v>473914.26</v>
      </c>
      <c r="W1383" s="36" t="str">
        <f>IF(DaybyDay[[#This Row],[_Space]],IFERROR(
((DaybyDay[[#This Row],[Actual-Rollup]]-DaybyDay[[#This Row],[Budget-Rollup]])/DaybyDay[[#This Row],[Budget-Rollup]]),0),"")</f>
        <v/>
      </c>
      <c r="X1383" t="b">
        <f>NOT(AND(ISBLANK(DaybyDay[[#This Row],[Appts]]),ISBLANK(DaybyDay[[#This Row],[Service-Actuals]]),ISBLANK(DaybyDay[[#This Row],[Retail-Actuals]])))</f>
        <v>0</v>
      </c>
      <c r="Y1383" s="36" t="str">
        <f>IF(DaybyDay[[#This Row],[_Space]],IFERROR(
((DaybyDay[[#This Row],[Actual-Rollup]]-DaybyDay[[#This Row],[LY-Rollup]])/DaybyDay[[#This Row],[LY-Rollup]]),0),"")</f>
        <v/>
      </c>
      <c r="Z1383"/>
      <c r="AA1383" s="37" t="str">
        <f>IF(DaybyDay[[#This Row],[_Space]],DaybyDay[[#This Row],[Ret-Act-RU]]/DaybyDay[[#This Row],[Serv-Act-RU]],"")</f>
        <v/>
      </c>
      <c r="AB1383" s="50" t="str">
        <f>IF(DaybyDay[[#This Row],[_Space]],DaybyDay[[#This Row],[RETPEN-Act]]/DaybyDay[[#This Row],[RETPEN-Bud]],"")</f>
        <v/>
      </c>
      <c r="AC1383" s="37" t="str">
        <f>IF(DaybyDay[[#This Row],[_Space]],DaybyDay[[#This Row],[Ret-Bud-RU]]/DaybyDay[[#This Row],[Serv-Bud-RU]],"")</f>
        <v/>
      </c>
      <c r="AD1383" s="37" t="str">
        <f>IF(DaybyDay[[#This Row],[_Space]],DaybyDay[[#This Row],[Ret-LY-RU]]/DaybyDay[[#This Row],[Serv-LY-RU]],"")</f>
        <v/>
      </c>
      <c r="AE1383" s="30">
        <f>WEEKDAY(DaybyDay[[#This Row],[LY-Date]])</f>
        <v>5</v>
      </c>
      <c r="AF1383" s="38">
        <f>$E$2+_xlfn.DAYS(DaybyDay[[#This Row],[Date]],minDate)</f>
        <v>43748</v>
      </c>
      <c r="AG1383" s="39" cm="1">
        <f t="array" ref="AG1383">IFERROR(INDEX(DaybyDay[],DaybyDay[[#This Row],[FORM_MATCH_HELPER]],8),"")</f>
        <v>14</v>
      </c>
      <c r="AH1383" s="39" cm="1">
        <f t="array" ref="AH1383">IFERROR(INDEX(DaybyDay[],DaybyDay[[#This Row],[FORM_MATCH_HELPER]],10),"")</f>
        <v>3114.2</v>
      </c>
      <c r="AI1383" s="39" cm="1">
        <f t="array" ref="AI1383">IFERROR(INDEX(DaybyDay[],DaybyDay[[#This Row],[FORM_MATCH_HELPER]],12),"")</f>
        <v>498</v>
      </c>
      <c r="AJ1383" s="32">
        <f>IFERROR(DaybyDay[[#This Row],[Serv-LY-RU]]+DaybyDay[[#This Row],[Ret-LY-RU]],"")</f>
        <v>1661926.0409999981</v>
      </c>
      <c r="AK138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1652409.2773643225</v>
      </c>
      <c r="AL1383" s="77"/>
      <c r="AM1383" s="40" t="str">
        <f>IF(DaybyDay[[#This Row],[Admin Hours]]&gt;0,DaybyDay[[#This Row],[Admin Hours]]*$AM$2+$AM$3,"")</f>
        <v/>
      </c>
      <c r="AN1383" s="40">
        <f>SUMIFS(DaybyDay[Est-Admin-Payroll],DaybyDay[Date],"&gt;="&amp;$C$5,DaybyDay[RowYear],"&gt;="&amp;$C$4,DaybyDay[Date],"&lt;="&amp;DaybyDay[[#This Row],[Date]])</f>
        <v>13941.779999999997</v>
      </c>
      <c r="AO1383" s="41" t="str">
        <f>IF(AND(DaybyDay[[#This Row],[_Space]],ISNUMBER(DaybyDay[[#This Row],[Admin Hours]])),DaybyDay[[#This Row],[Est-Admin-Payroll]]/(DaybyDay[[#This Row],[Service-Actuals]]+DaybyDay[[#This Row],[Retail-Actuals]]),"")</f>
        <v/>
      </c>
      <c r="AP1383" s="41">
        <f>DaybyDay[[#This Row],[Estimated-Payroll-Rollup]]/DaybyDay[[#This Row],[Simple-Forecast]]</f>
        <v>8.4372438420570062E-3</v>
      </c>
      <c r="AQ138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327473.49357616616</v>
      </c>
      <c r="AR1383" s="77"/>
      <c r="AS1383" s="40" t="str">
        <f>IF(DaybyDay[[#This Row],[Retail Hours]]&gt;0,DaybyDay[[#This Row],[Retail Hours]]*$AS$2,"")</f>
        <v/>
      </c>
      <c r="AT1383" s="40">
        <f>SUMIFS(DaybyDay[Est-Retail-Payroll],DaybyDay[Date],"&gt;="&amp;$C$5,DaybyDay[RowYear],"&gt;="&amp;$C$4,DaybyDay[Date],"&lt;="&amp;DaybyDay[[#This Row],[Date]])</f>
        <v>2627.1</v>
      </c>
      <c r="AU1383" s="82" t="str">
        <f>IF(AND(DaybyDay[[#This Row],[_Space]],ISNUMBER(DaybyDay[[#This Row],[Retail Hours]])),DaybyDay[[#This Row],[Est-Retail-Payroll]]/(DaybyDay[[#This Row],[Retail-Actuals]]),"")</f>
        <v/>
      </c>
      <c r="AV1383" s="82">
        <f>DaybyDay[[#This Row],[Est-Retail-PayrollRU]]/DaybyDay[[#This Row],[Simple-Forecast-Retail]]</f>
        <v>8.0223286816615887E-3</v>
      </c>
      <c r="AW1383" s="8"/>
      <c r="AX1383" s="15"/>
      <c r="AY1383" s="8"/>
    </row>
    <row r="1384" spans="3:51" hidden="1" x14ac:dyDescent="0.25">
      <c r="C1384" s="26" t="str">
        <f>Tools!$C$1</f>
        <v>Example</v>
      </c>
      <c r="D1384" s="27" t="s">
        <v>77</v>
      </c>
      <c r="E1384" s="28">
        <v>2020</v>
      </c>
      <c r="F1384" s="28">
        <f>MATCH(DaybyDay[[#This Row],[RowMonth]],Table3[SummaryMonth],0)</f>
        <v>10</v>
      </c>
      <c r="G1384" s="29">
        <f>MATCH(DaybyDay[[#This Row],[LY-Date]],DaybyDay[Date],0)</f>
        <v>1014</v>
      </c>
      <c r="H1384" s="30">
        <f>WEEKDAY(DaybyDay[[#This Row],[Date]])</f>
        <v>6</v>
      </c>
      <c r="I1384" s="31">
        <v>44113</v>
      </c>
      <c r="J1384" s="74"/>
      <c r="K1384" s="32">
        <f>SUMIFS(BudgetSeasonality[365 Seasonality],BudgetSeasonality[MonthAdjustment],DaybyDay[[#This Row],[Date]])*SUMIFS(Budgets[Service-Budget],Budgets[BudgetMonth],DaybyDay[[#This Row],[RowMonth]],Budgets[BudgetYear],DaybyDay[[#This Row],[RowYear]])</f>
        <v>5748.8222766795443</v>
      </c>
      <c r="L1384" s="75"/>
      <c r="M1384" s="32">
        <f>INDEX(BudgetSeasonality[365 Seasonality],MATCH(DaybyDay[[#This Row],[Date]],BudgetSeasonality[MonthAdjustment],0))*SUMIFS(Budgets[Retail-Budget],Budgets[BudgetMonth],DaybyDay[[#This Row],[RowMonth]],Budgets[BudgetYear],DaybyDay[[#This Row],[RowYear]])</f>
        <v>1470.4665741316278</v>
      </c>
      <c r="N1384" s="75"/>
      <c r="O1384" s="33">
        <f>SUMIFS(DaybyDay[Service-Budgets],DaybyDay[Date],"&gt;="&amp;$C$5,DaybyDay[RowYear],"&gt;="&amp;$C$4,DaybyDay[Date],"&lt;="&amp;DaybyDay[[#This Row],[Date]])</f>
        <v>1488329.0166338794</v>
      </c>
      <c r="P1384" s="33">
        <f>SUMIFS(DaybyDay[Retail-Budgets],DaybyDay[Date],"&gt;="&amp;$C$5,DaybyDay[RowYear],"&gt;="&amp;$C$4,DaybyDay[Date],"&lt;="&amp;DaybyDay[[#This Row],[Date]])</f>
        <v>383989.96265754354</v>
      </c>
      <c r="Q1384" s="34">
        <f>SUMIFS(DaybyDay[Service-Actuals],DaybyDay[Date],"&gt;="&amp;$C$5,DaybyDay[RowYear],"&gt;="&amp;$C$4,DaybyDay[Date],"&lt;="&amp;DaybyDay[[#This Row],[Date]])</f>
        <v>385554.23</v>
      </c>
      <c r="R1384" s="34">
        <f>SUMIFS(DaybyDay[Retail-Actuals],DaybyDay[Date],"&gt;="&amp;$C$5,DaybyDay[RowYear],"&gt;="&amp;$C$4,DaybyDay[Date],"&lt;="&amp;DaybyDay[[#This Row],[Date]])</f>
        <v>88360.030000000028</v>
      </c>
      <c r="S1384" s="35">
        <f>SUMIFS(DaybyDay[Service-LY],DaybyDay[Date],"&gt;="&amp;$C$5,DaybyDay[RowYear],"&gt;="&amp;$C$4,DaybyDay[Date],"&lt;="&amp;DaybyDay[[#This Row],[Date]])</f>
        <v>1341184.1209999982</v>
      </c>
      <c r="T1384" s="35">
        <f>SUMIFS(DaybyDay[Retail-LY],DaybyDay[Date],"&gt;="&amp;$C$5,DaybyDay[RowYear],"&gt;="&amp;$C$4,DaybyDay[Date],"&lt;="&amp;DaybyDay[[#This Row],[Date]])</f>
        <v>325605.26999999996</v>
      </c>
      <c r="U1384" s="32">
        <f>DaybyDay[[#This Row],[Serv-Bud-RU]]+DaybyDay[[#This Row],[Ret-Bud-RU]]</f>
        <v>1872318.979291423</v>
      </c>
      <c r="V1384" s="32">
        <f>DaybyDay[[#This Row],[Serv-Act-RU]]+DaybyDay[[#This Row],[Ret-Act-RU]]</f>
        <v>473914.26</v>
      </c>
      <c r="W1384" s="36" t="str">
        <f>IF(DaybyDay[[#This Row],[_Space]],IFERROR(
((DaybyDay[[#This Row],[Actual-Rollup]]-DaybyDay[[#This Row],[Budget-Rollup]])/DaybyDay[[#This Row],[Budget-Rollup]]),0),"")</f>
        <v/>
      </c>
      <c r="X1384" t="b">
        <f>NOT(AND(ISBLANK(DaybyDay[[#This Row],[Appts]]),ISBLANK(DaybyDay[[#This Row],[Service-Actuals]]),ISBLANK(DaybyDay[[#This Row],[Retail-Actuals]])))</f>
        <v>0</v>
      </c>
      <c r="Y1384" s="36" t="str">
        <f>IF(DaybyDay[[#This Row],[_Space]],IFERROR(
((DaybyDay[[#This Row],[Actual-Rollup]]-DaybyDay[[#This Row],[LY-Rollup]])/DaybyDay[[#This Row],[LY-Rollup]]),0),"")</f>
        <v/>
      </c>
      <c r="Z1384"/>
      <c r="AA1384" s="37" t="str">
        <f>IF(DaybyDay[[#This Row],[_Space]],DaybyDay[[#This Row],[Ret-Act-RU]]/DaybyDay[[#This Row],[Serv-Act-RU]],"")</f>
        <v/>
      </c>
      <c r="AB1384" s="50" t="str">
        <f>IF(DaybyDay[[#This Row],[_Space]],DaybyDay[[#This Row],[RETPEN-Act]]/DaybyDay[[#This Row],[RETPEN-Bud]],"")</f>
        <v/>
      </c>
      <c r="AC1384" s="37" t="str">
        <f>IF(DaybyDay[[#This Row],[_Space]],DaybyDay[[#This Row],[Ret-Bud-RU]]/DaybyDay[[#This Row],[Serv-Bud-RU]],"")</f>
        <v/>
      </c>
      <c r="AD1384" s="37" t="str">
        <f>IF(DaybyDay[[#This Row],[_Space]],DaybyDay[[#This Row],[Ret-LY-RU]]/DaybyDay[[#This Row],[Serv-LY-RU]],"")</f>
        <v/>
      </c>
      <c r="AE1384" s="30">
        <f>WEEKDAY(DaybyDay[[#This Row],[LY-Date]])</f>
        <v>6</v>
      </c>
      <c r="AF1384" s="38">
        <f>$E$2+_xlfn.DAYS(DaybyDay[[#This Row],[Date]],minDate)</f>
        <v>43749</v>
      </c>
      <c r="AG1384" s="39" cm="1">
        <f t="array" ref="AG1384">IFERROR(INDEX(DaybyDay[],DaybyDay[[#This Row],[FORM_MATCH_HELPER]],8),"")</f>
        <v>25</v>
      </c>
      <c r="AH1384" s="39" cm="1">
        <f t="array" ref="AH1384">IFERROR(INDEX(DaybyDay[],DaybyDay[[#This Row],[FORM_MATCH_HELPER]],10),"")</f>
        <v>4154.8500000000004</v>
      </c>
      <c r="AI1384" s="39" cm="1">
        <f t="array" ref="AI1384">IFERROR(INDEX(DaybyDay[],DaybyDay[[#This Row],[FORM_MATCH_HELPER]],12),"")</f>
        <v>708.5</v>
      </c>
      <c r="AJ1384" s="32">
        <f>IFERROR(DaybyDay[[#This Row],[Serv-LY-RU]]+DaybyDay[[#This Row],[Ret-LY-RU]],"")</f>
        <v>1666789.3909999982</v>
      </c>
      <c r="AK138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1657877.8783853212</v>
      </c>
      <c r="AL1384" s="77"/>
      <c r="AM1384" s="40" t="str">
        <f>IF(DaybyDay[[#This Row],[Admin Hours]]&gt;0,DaybyDay[[#This Row],[Admin Hours]]*$AM$2+$AM$3,"")</f>
        <v/>
      </c>
      <c r="AN1384" s="40">
        <f>SUMIFS(DaybyDay[Est-Admin-Payroll],DaybyDay[Date],"&gt;="&amp;$C$5,DaybyDay[RowYear],"&gt;="&amp;$C$4,DaybyDay[Date],"&lt;="&amp;DaybyDay[[#This Row],[Date]])</f>
        <v>13941.779999999997</v>
      </c>
      <c r="AO1384" s="41" t="str">
        <f>IF(AND(DaybyDay[[#This Row],[_Space]],ISNUMBER(DaybyDay[[#This Row],[Admin Hours]])),DaybyDay[[#This Row],[Est-Admin-Payroll]]/(DaybyDay[[#This Row],[Service-Actuals]]+DaybyDay[[#This Row],[Retail-Actuals]]),"")</f>
        <v/>
      </c>
      <c r="AP1384" s="41">
        <f>DaybyDay[[#This Row],[Estimated-Payroll-Rollup]]/DaybyDay[[#This Row],[Simple-Forecast]]</f>
        <v>8.4094131309469539E-3</v>
      </c>
      <c r="AQ138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328448.28473589814</v>
      </c>
      <c r="AR1384" s="77"/>
      <c r="AS1384" s="40" t="str">
        <f>IF(DaybyDay[[#This Row],[Retail Hours]]&gt;0,DaybyDay[[#This Row],[Retail Hours]]*$AS$2,"")</f>
        <v/>
      </c>
      <c r="AT1384" s="40">
        <f>SUMIFS(DaybyDay[Est-Retail-Payroll],DaybyDay[Date],"&gt;="&amp;$C$5,DaybyDay[RowYear],"&gt;="&amp;$C$4,DaybyDay[Date],"&lt;="&amp;DaybyDay[[#This Row],[Date]])</f>
        <v>2627.1</v>
      </c>
      <c r="AU1384" s="82" t="str">
        <f>IF(AND(DaybyDay[[#This Row],[_Space]],ISNUMBER(DaybyDay[[#This Row],[Retail Hours]])),DaybyDay[[#This Row],[Est-Retail-Payroll]]/(DaybyDay[[#This Row],[Retail-Actuals]]),"")</f>
        <v/>
      </c>
      <c r="AV1384" s="82">
        <f>DaybyDay[[#This Row],[Est-Retail-PayrollRU]]/DaybyDay[[#This Row],[Simple-Forecast-Retail]]</f>
        <v>7.9985194689399085E-3</v>
      </c>
      <c r="AW1384" s="8"/>
      <c r="AX1384" s="15"/>
      <c r="AY1384" s="8"/>
    </row>
    <row r="1385" spans="3:51" hidden="1" x14ac:dyDescent="0.25">
      <c r="C1385" s="26" t="str">
        <f>Tools!$C$1</f>
        <v>Example</v>
      </c>
      <c r="D1385" s="27" t="s">
        <v>77</v>
      </c>
      <c r="E1385" s="28">
        <v>2020</v>
      </c>
      <c r="F1385" s="28">
        <f>MATCH(DaybyDay[[#This Row],[RowMonth]],Table3[SummaryMonth],0)</f>
        <v>10</v>
      </c>
      <c r="G1385" s="29">
        <f>MATCH(DaybyDay[[#This Row],[LY-Date]],DaybyDay[Date],0)</f>
        <v>1015</v>
      </c>
      <c r="H1385" s="30">
        <f>WEEKDAY(DaybyDay[[#This Row],[Date]])</f>
        <v>7</v>
      </c>
      <c r="I1385" s="31">
        <v>44114</v>
      </c>
      <c r="J1385" s="74"/>
      <c r="K1385" s="32">
        <f>SUMIFS(BudgetSeasonality[365 Seasonality],BudgetSeasonality[MonthAdjustment],DaybyDay[[#This Row],[Date]])*SUMIFS(Budgets[Service-Budget],Budgets[BudgetMonth],DaybyDay[[#This Row],[RowMonth]],Budgets[BudgetYear],DaybyDay[[#This Row],[RowYear]])</f>
        <v>8133.7136247712415</v>
      </c>
      <c r="L1385" s="75"/>
      <c r="M1385" s="32">
        <f>INDEX(BudgetSeasonality[365 Seasonality],MATCH(DaybyDay[[#This Row],[Date]],BudgetSeasonality[MonthAdjustment],0))*SUMIFS(Budgets[Retail-Budget],Budgets[BudgetMonth],DaybyDay[[#This Row],[RowMonth]],Budgets[BudgetYear],DaybyDay[[#This Row],[RowYear]])</f>
        <v>2080.487695245517</v>
      </c>
      <c r="N1385" s="75"/>
      <c r="O1385" s="33">
        <f>SUMIFS(DaybyDay[Service-Budgets],DaybyDay[Date],"&gt;="&amp;$C$5,DaybyDay[RowYear],"&gt;="&amp;$C$4,DaybyDay[Date],"&lt;="&amp;DaybyDay[[#This Row],[Date]])</f>
        <v>1496462.7302586506</v>
      </c>
      <c r="P1385" s="33">
        <f>SUMIFS(DaybyDay[Retail-Budgets],DaybyDay[Date],"&gt;="&amp;$C$5,DaybyDay[RowYear],"&gt;="&amp;$C$4,DaybyDay[Date],"&lt;="&amp;DaybyDay[[#This Row],[Date]])</f>
        <v>386070.45035278908</v>
      </c>
      <c r="Q1385" s="34">
        <f>SUMIFS(DaybyDay[Service-Actuals],DaybyDay[Date],"&gt;="&amp;$C$5,DaybyDay[RowYear],"&gt;="&amp;$C$4,DaybyDay[Date],"&lt;="&amp;DaybyDay[[#This Row],[Date]])</f>
        <v>385554.23</v>
      </c>
      <c r="R1385" s="34">
        <f>SUMIFS(DaybyDay[Retail-Actuals],DaybyDay[Date],"&gt;="&amp;$C$5,DaybyDay[RowYear],"&gt;="&amp;$C$4,DaybyDay[Date],"&lt;="&amp;DaybyDay[[#This Row],[Date]])</f>
        <v>88360.030000000028</v>
      </c>
      <c r="S1385" s="35">
        <f>SUMIFS(DaybyDay[Service-LY],DaybyDay[Date],"&gt;="&amp;$C$5,DaybyDay[RowYear],"&gt;="&amp;$C$4,DaybyDay[Date],"&lt;="&amp;DaybyDay[[#This Row],[Date]])</f>
        <v>1350074.9109999982</v>
      </c>
      <c r="T1385" s="35">
        <f>SUMIFS(DaybyDay[Retail-LY],DaybyDay[Date],"&gt;="&amp;$C$5,DaybyDay[RowYear],"&gt;="&amp;$C$4,DaybyDay[Date],"&lt;="&amp;DaybyDay[[#This Row],[Date]])</f>
        <v>326945.86999999994</v>
      </c>
      <c r="U1385" s="32">
        <f>DaybyDay[[#This Row],[Serv-Bud-RU]]+DaybyDay[[#This Row],[Ret-Bud-RU]]</f>
        <v>1882533.1806114397</v>
      </c>
      <c r="V1385" s="32">
        <f>DaybyDay[[#This Row],[Serv-Act-RU]]+DaybyDay[[#This Row],[Ret-Act-RU]]</f>
        <v>473914.26</v>
      </c>
      <c r="W1385" s="36" t="str">
        <f>IF(DaybyDay[[#This Row],[_Space]],IFERROR(
((DaybyDay[[#This Row],[Actual-Rollup]]-DaybyDay[[#This Row],[Budget-Rollup]])/DaybyDay[[#This Row],[Budget-Rollup]]),0),"")</f>
        <v/>
      </c>
      <c r="X1385" t="b">
        <f>NOT(AND(ISBLANK(DaybyDay[[#This Row],[Appts]]),ISBLANK(DaybyDay[[#This Row],[Service-Actuals]]),ISBLANK(DaybyDay[[#This Row],[Retail-Actuals]])))</f>
        <v>0</v>
      </c>
      <c r="Y1385" s="36" t="str">
        <f>IF(DaybyDay[[#This Row],[_Space]],IFERROR(
((DaybyDay[[#This Row],[Actual-Rollup]]-DaybyDay[[#This Row],[LY-Rollup]])/DaybyDay[[#This Row],[LY-Rollup]]),0),"")</f>
        <v/>
      </c>
      <c r="Z1385"/>
      <c r="AA1385" s="37" t="str">
        <f>IF(DaybyDay[[#This Row],[_Space]],DaybyDay[[#This Row],[Ret-Act-RU]]/DaybyDay[[#This Row],[Serv-Act-RU]],"")</f>
        <v/>
      </c>
      <c r="AB1385" s="50" t="str">
        <f>IF(DaybyDay[[#This Row],[_Space]],DaybyDay[[#This Row],[RETPEN-Act]]/DaybyDay[[#This Row],[RETPEN-Bud]],"")</f>
        <v/>
      </c>
      <c r="AC1385" s="37" t="str">
        <f>IF(DaybyDay[[#This Row],[_Space]],DaybyDay[[#This Row],[Ret-Bud-RU]]/DaybyDay[[#This Row],[Serv-Bud-RU]],"")</f>
        <v/>
      </c>
      <c r="AD1385" s="37" t="str">
        <f>IF(DaybyDay[[#This Row],[_Space]],DaybyDay[[#This Row],[Ret-LY-RU]]/DaybyDay[[#This Row],[Serv-LY-RU]],"")</f>
        <v/>
      </c>
      <c r="AE1385" s="30">
        <f>WEEKDAY(DaybyDay[[#This Row],[LY-Date]])</f>
        <v>7</v>
      </c>
      <c r="AF1385" s="38">
        <f>$E$2+_xlfn.DAYS(DaybyDay[[#This Row],[Date]],minDate)</f>
        <v>43750</v>
      </c>
      <c r="AG1385" s="39" cm="1">
        <f t="array" ref="AG1385">IFERROR(INDEX(DaybyDay[],DaybyDay[[#This Row],[FORM_MATCH_HELPER]],8),"")</f>
        <v>45</v>
      </c>
      <c r="AH1385" s="39" cm="1">
        <f t="array" ref="AH1385">IFERROR(INDEX(DaybyDay[],DaybyDay[[#This Row],[FORM_MATCH_HELPER]],10),"")</f>
        <v>8890.7899999999991</v>
      </c>
      <c r="AI1385" s="39" cm="1">
        <f t="array" ref="AI1385">IFERROR(INDEX(DaybyDay[],DaybyDay[[#This Row],[FORM_MATCH_HELPER]],12),"")</f>
        <v>1340.6</v>
      </c>
      <c r="AJ1385" s="32">
        <f>IFERROR(DaybyDay[[#This Row],[Serv-LY-RU]]+DaybyDay[[#This Row],[Ret-LY-RU]],"")</f>
        <v>1677020.7809999981</v>
      </c>
      <c r="AK138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1667267.0555730395</v>
      </c>
      <c r="AL1385" s="77"/>
      <c r="AM1385" s="40" t="str">
        <f>IF(DaybyDay[[#This Row],[Admin Hours]]&gt;0,DaybyDay[[#This Row],[Admin Hours]]*$AM$2+$AM$3,"")</f>
        <v/>
      </c>
      <c r="AN1385" s="40">
        <f>SUMIFS(DaybyDay[Est-Admin-Payroll],DaybyDay[Date],"&gt;="&amp;$C$5,DaybyDay[RowYear],"&gt;="&amp;$C$4,DaybyDay[Date],"&lt;="&amp;DaybyDay[[#This Row],[Date]])</f>
        <v>13941.779999999997</v>
      </c>
      <c r="AO1385" s="41" t="str">
        <f>IF(AND(DaybyDay[[#This Row],[_Space]],ISNUMBER(DaybyDay[[#This Row],[Admin Hours]])),DaybyDay[[#This Row],[Est-Admin-Payroll]]/(DaybyDay[[#This Row],[Service-Actuals]]+DaybyDay[[#This Row],[Retail-Actuals]]),"")</f>
        <v/>
      </c>
      <c r="AP1385" s="41">
        <f>DaybyDay[[#This Row],[Estimated-Payroll-Rollup]]/DaybyDay[[#This Row],[Simple-Forecast]]</f>
        <v>8.362055708710809E-3</v>
      </c>
      <c r="AQ138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329994.20393635577</v>
      </c>
      <c r="AR1385" s="77"/>
      <c r="AS1385" s="40" t="str">
        <f>IF(DaybyDay[[#This Row],[Retail Hours]]&gt;0,DaybyDay[[#This Row],[Retail Hours]]*$AS$2,"")</f>
        <v/>
      </c>
      <c r="AT1385" s="40">
        <f>SUMIFS(DaybyDay[Est-Retail-Payroll],DaybyDay[Date],"&gt;="&amp;$C$5,DaybyDay[RowYear],"&gt;="&amp;$C$4,DaybyDay[Date],"&lt;="&amp;DaybyDay[[#This Row],[Date]])</f>
        <v>2627.1</v>
      </c>
      <c r="AU1385" s="82" t="str">
        <f>IF(AND(DaybyDay[[#This Row],[_Space]],ISNUMBER(DaybyDay[[#This Row],[Retail Hours]])),DaybyDay[[#This Row],[Est-Retail-Payroll]]/(DaybyDay[[#This Row],[Retail-Actuals]]),"")</f>
        <v/>
      </c>
      <c r="AV1385" s="82">
        <f>DaybyDay[[#This Row],[Est-Retail-PayrollRU]]/DaybyDay[[#This Row],[Simple-Forecast-Retail]]</f>
        <v>7.9610489174127275E-3</v>
      </c>
      <c r="AW1385" s="8"/>
      <c r="AX1385" s="15"/>
      <c r="AY1385" s="8"/>
    </row>
    <row r="1386" spans="3:51" hidden="1" x14ac:dyDescent="0.25">
      <c r="C1386" s="26" t="str">
        <f>Tools!$C$1</f>
        <v>Example</v>
      </c>
      <c r="D1386" s="27" t="s">
        <v>77</v>
      </c>
      <c r="E1386" s="28">
        <v>2020</v>
      </c>
      <c r="F1386" s="28">
        <f>MATCH(DaybyDay[[#This Row],[RowMonth]],Table3[SummaryMonth],0)</f>
        <v>10</v>
      </c>
      <c r="G1386" s="29">
        <f>MATCH(DaybyDay[[#This Row],[LY-Date]],DaybyDay[Date],0)</f>
        <v>1016</v>
      </c>
      <c r="H1386" s="30">
        <f>WEEKDAY(DaybyDay[[#This Row],[Date]])</f>
        <v>1</v>
      </c>
      <c r="I1386" s="31">
        <v>44115</v>
      </c>
      <c r="J1386" s="74"/>
      <c r="K1386" s="32">
        <f>SUMIFS(BudgetSeasonality[365 Seasonality],BudgetSeasonality[MonthAdjustment],DaybyDay[[#This Row],[Date]])*SUMIFS(Budgets[Service-Budget],Budgets[BudgetMonth],DaybyDay[[#This Row],[RowMonth]],Budgets[BudgetYear],DaybyDay[[#This Row],[RowYear]])</f>
        <v>6426.4238342727076</v>
      </c>
      <c r="L1386" s="75"/>
      <c r="M1386" s="32">
        <f>INDEX(BudgetSeasonality[365 Seasonality],MATCH(DaybyDay[[#This Row],[Date]],BudgetSeasonality[MonthAdjustment],0))*SUMIFS(Budgets[Retail-Budget],Budgets[BudgetMonth],DaybyDay[[#This Row],[RowMonth]],Budgets[BudgetYear],DaybyDay[[#This Row],[RowYear]])</f>
        <v>1643.7873680379194</v>
      </c>
      <c r="N1386" s="75"/>
      <c r="O1386" s="33">
        <f>SUMIFS(DaybyDay[Service-Budgets],DaybyDay[Date],"&gt;="&amp;$C$5,DaybyDay[RowYear],"&gt;="&amp;$C$4,DaybyDay[Date],"&lt;="&amp;DaybyDay[[#This Row],[Date]])</f>
        <v>1502889.1540929233</v>
      </c>
      <c r="P1386" s="33">
        <f>SUMIFS(DaybyDay[Retail-Budgets],DaybyDay[Date],"&gt;="&amp;$C$5,DaybyDay[RowYear],"&gt;="&amp;$C$4,DaybyDay[Date],"&lt;="&amp;DaybyDay[[#This Row],[Date]])</f>
        <v>387714.23772082699</v>
      </c>
      <c r="Q1386" s="34">
        <f>SUMIFS(DaybyDay[Service-Actuals],DaybyDay[Date],"&gt;="&amp;$C$5,DaybyDay[RowYear],"&gt;="&amp;$C$4,DaybyDay[Date],"&lt;="&amp;DaybyDay[[#This Row],[Date]])</f>
        <v>385554.23</v>
      </c>
      <c r="R1386" s="34">
        <f>SUMIFS(DaybyDay[Retail-Actuals],DaybyDay[Date],"&gt;="&amp;$C$5,DaybyDay[RowYear],"&gt;="&amp;$C$4,DaybyDay[Date],"&lt;="&amp;DaybyDay[[#This Row],[Date]])</f>
        <v>88360.030000000028</v>
      </c>
      <c r="S1386" s="35">
        <f>SUMIFS(DaybyDay[Service-LY],DaybyDay[Date],"&gt;="&amp;$C$5,DaybyDay[RowYear],"&gt;="&amp;$C$4,DaybyDay[Date],"&lt;="&amp;DaybyDay[[#This Row],[Date]])</f>
        <v>1356566.5109999983</v>
      </c>
      <c r="T1386" s="35">
        <f>SUMIFS(DaybyDay[Retail-LY],DaybyDay[Date],"&gt;="&amp;$C$5,DaybyDay[RowYear],"&gt;="&amp;$C$4,DaybyDay[Date],"&lt;="&amp;DaybyDay[[#This Row],[Date]])</f>
        <v>328373.66999999993</v>
      </c>
      <c r="U1386" s="32">
        <f>DaybyDay[[#This Row],[Serv-Bud-RU]]+DaybyDay[[#This Row],[Ret-Bud-RU]]</f>
        <v>1890603.3918137504</v>
      </c>
      <c r="V1386" s="32">
        <f>DaybyDay[[#This Row],[Serv-Act-RU]]+DaybyDay[[#This Row],[Ret-Act-RU]]</f>
        <v>473914.26</v>
      </c>
      <c r="W1386" s="36" t="str">
        <f>IF(DaybyDay[[#This Row],[_Space]],IFERROR(
((DaybyDay[[#This Row],[Actual-Rollup]]-DaybyDay[[#This Row],[Budget-Rollup]])/DaybyDay[[#This Row],[Budget-Rollup]]),0),"")</f>
        <v/>
      </c>
      <c r="X1386" t="b">
        <f>NOT(AND(ISBLANK(DaybyDay[[#This Row],[Appts]]),ISBLANK(DaybyDay[[#This Row],[Service-Actuals]]),ISBLANK(DaybyDay[[#This Row],[Retail-Actuals]])))</f>
        <v>0</v>
      </c>
      <c r="Y1386" s="36" t="str">
        <f>IF(DaybyDay[[#This Row],[_Space]],IFERROR(
((DaybyDay[[#This Row],[Actual-Rollup]]-DaybyDay[[#This Row],[LY-Rollup]])/DaybyDay[[#This Row],[LY-Rollup]]),0),"")</f>
        <v/>
      </c>
      <c r="Z1386"/>
      <c r="AA1386" s="37" t="str">
        <f>IF(DaybyDay[[#This Row],[_Space]],DaybyDay[[#This Row],[Ret-Act-RU]]/DaybyDay[[#This Row],[Serv-Act-RU]],"")</f>
        <v/>
      </c>
      <c r="AB1386" s="50" t="str">
        <f>IF(DaybyDay[[#This Row],[_Space]],DaybyDay[[#This Row],[RETPEN-Act]]/DaybyDay[[#This Row],[RETPEN-Bud]],"")</f>
        <v/>
      </c>
      <c r="AC1386" s="37" t="str">
        <f>IF(DaybyDay[[#This Row],[_Space]],DaybyDay[[#This Row],[Ret-Bud-RU]]/DaybyDay[[#This Row],[Serv-Bud-RU]],"")</f>
        <v/>
      </c>
      <c r="AD1386" s="37" t="str">
        <f>IF(DaybyDay[[#This Row],[_Space]],DaybyDay[[#This Row],[Ret-LY-RU]]/DaybyDay[[#This Row],[Serv-LY-RU]],"")</f>
        <v/>
      </c>
      <c r="AE1386" s="30">
        <f>WEEKDAY(DaybyDay[[#This Row],[LY-Date]])</f>
        <v>1</v>
      </c>
      <c r="AF1386" s="38">
        <f>$E$2+_xlfn.DAYS(DaybyDay[[#This Row],[Date]],minDate)</f>
        <v>43751</v>
      </c>
      <c r="AG1386" s="39" cm="1">
        <f t="array" ref="AG1386">IFERROR(INDEX(DaybyDay[],DaybyDay[[#This Row],[FORM_MATCH_HELPER]],8),"")</f>
        <v>29</v>
      </c>
      <c r="AH1386" s="39" cm="1">
        <f t="array" ref="AH1386">IFERROR(INDEX(DaybyDay[],DaybyDay[[#This Row],[FORM_MATCH_HELPER]],10),"")</f>
        <v>6491.5999999999995</v>
      </c>
      <c r="AI1386" s="39" cm="1">
        <f t="array" ref="AI1386">IFERROR(INDEX(DaybyDay[],DaybyDay[[#This Row],[FORM_MATCH_HELPER]],12),"")</f>
        <v>1427.8</v>
      </c>
      <c r="AJ1386" s="32">
        <f>IFERROR(DaybyDay[[#This Row],[Serv-LY-RU]]+DaybyDay[[#This Row],[Ret-LY-RU]],"")</f>
        <v>1684940.1809999982</v>
      </c>
      <c r="AK138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1674604.3652458242</v>
      </c>
      <c r="AL1386" s="77"/>
      <c r="AM1386" s="40" t="str">
        <f>IF(DaybyDay[[#This Row],[Admin Hours]]&gt;0,DaybyDay[[#This Row],[Admin Hours]]*$AM$2+$AM$3,"")</f>
        <v/>
      </c>
      <c r="AN1386" s="40">
        <f>SUMIFS(DaybyDay[Est-Admin-Payroll],DaybyDay[Date],"&gt;="&amp;$C$5,DaybyDay[RowYear],"&gt;="&amp;$C$4,DaybyDay[Date],"&lt;="&amp;DaybyDay[[#This Row],[Date]])</f>
        <v>13941.779999999997</v>
      </c>
      <c r="AO1386" s="41" t="str">
        <f>IF(AND(DaybyDay[[#This Row],[_Space]],ISNUMBER(DaybyDay[[#This Row],[Admin Hours]])),DaybyDay[[#This Row],[Est-Admin-Payroll]]/(DaybyDay[[#This Row],[Service-Actuals]]+DaybyDay[[#This Row],[Retail-Actuals]]),"")</f>
        <v/>
      </c>
      <c r="AP1386" s="41">
        <f>DaybyDay[[#This Row],[Estimated-Payroll-Rollup]]/DaybyDay[[#This Row],[Simple-Forecast]]</f>
        <v>8.3254172085914808E-3</v>
      </c>
      <c r="AQ138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331397.36391842208</v>
      </c>
      <c r="AR1386" s="77"/>
      <c r="AS1386" s="40" t="str">
        <f>IF(DaybyDay[[#This Row],[Retail Hours]]&gt;0,DaybyDay[[#This Row],[Retail Hours]]*$AS$2,"")</f>
        <v/>
      </c>
      <c r="AT1386" s="40">
        <f>SUMIFS(DaybyDay[Est-Retail-Payroll],DaybyDay[Date],"&gt;="&amp;$C$5,DaybyDay[RowYear],"&gt;="&amp;$C$4,DaybyDay[Date],"&lt;="&amp;DaybyDay[[#This Row],[Date]])</f>
        <v>2627.1</v>
      </c>
      <c r="AU1386" s="82" t="str">
        <f>IF(AND(DaybyDay[[#This Row],[_Space]],ISNUMBER(DaybyDay[[#This Row],[Retail Hours]])),DaybyDay[[#This Row],[Est-Retail-Payroll]]/(DaybyDay[[#This Row],[Retail-Actuals]]),"")</f>
        <v/>
      </c>
      <c r="AV1386" s="82">
        <f>DaybyDay[[#This Row],[Est-Retail-PayrollRU]]/DaybyDay[[#This Row],[Simple-Forecast-Retail]]</f>
        <v>7.9273412707250614E-3</v>
      </c>
      <c r="AW1386" s="8"/>
      <c r="AX1386" s="15"/>
      <c r="AY1386" s="8"/>
    </row>
    <row r="1387" spans="3:51" hidden="1" x14ac:dyDescent="0.25">
      <c r="C1387" s="26" t="str">
        <f>Tools!$C$1</f>
        <v>Example</v>
      </c>
      <c r="D1387" s="27" t="s">
        <v>77</v>
      </c>
      <c r="E1387" s="28">
        <v>2020</v>
      </c>
      <c r="F1387" s="28">
        <f>MATCH(DaybyDay[[#This Row],[RowMonth]],Table3[SummaryMonth],0)</f>
        <v>10</v>
      </c>
      <c r="G1387" s="29">
        <f>MATCH(DaybyDay[[#This Row],[LY-Date]],DaybyDay[Date],0)</f>
        <v>1017</v>
      </c>
      <c r="H1387" s="30">
        <f>WEEKDAY(DaybyDay[[#This Row],[Date]])</f>
        <v>2</v>
      </c>
      <c r="I1387" s="31">
        <v>44116</v>
      </c>
      <c r="J1387" s="74"/>
      <c r="K1387" s="32">
        <f>SUMIFS(BudgetSeasonality[365 Seasonality],BudgetSeasonality[MonthAdjustment],DaybyDay[[#This Row],[Date]])*SUMIFS(Budgets[Service-Budget],Budgets[BudgetMonth],DaybyDay[[#This Row],[RowMonth]],Budgets[BudgetYear],DaybyDay[[#This Row],[RowYear]])</f>
        <v>3918.8885681956313</v>
      </c>
      <c r="L1387" s="75"/>
      <c r="M1387" s="32">
        <f>INDEX(BudgetSeasonality[365 Seasonality],MATCH(DaybyDay[[#This Row],[Date]],BudgetSeasonality[MonthAdjustment],0))*SUMIFS(Budgets[Retail-Budget],Budgets[BudgetMonth],DaybyDay[[#This Row],[RowMonth]],Budgets[BudgetYear],DaybyDay[[#This Row],[RowYear]])</f>
        <v>1002.3956855745139</v>
      </c>
      <c r="N1387" s="75"/>
      <c r="O1387" s="33">
        <f>SUMIFS(DaybyDay[Service-Budgets],DaybyDay[Date],"&gt;="&amp;$C$5,DaybyDay[RowYear],"&gt;="&amp;$C$4,DaybyDay[Date],"&lt;="&amp;DaybyDay[[#This Row],[Date]])</f>
        <v>1506808.042661119</v>
      </c>
      <c r="P1387" s="33">
        <f>SUMIFS(DaybyDay[Retail-Budgets],DaybyDay[Date],"&gt;="&amp;$C$5,DaybyDay[RowYear],"&gt;="&amp;$C$4,DaybyDay[Date],"&lt;="&amp;DaybyDay[[#This Row],[Date]])</f>
        <v>388716.6334064015</v>
      </c>
      <c r="Q1387" s="34">
        <f>SUMIFS(DaybyDay[Service-Actuals],DaybyDay[Date],"&gt;="&amp;$C$5,DaybyDay[RowYear],"&gt;="&amp;$C$4,DaybyDay[Date],"&lt;="&amp;DaybyDay[[#This Row],[Date]])</f>
        <v>385554.23</v>
      </c>
      <c r="R1387" s="34">
        <f>SUMIFS(DaybyDay[Retail-Actuals],DaybyDay[Date],"&gt;="&amp;$C$5,DaybyDay[RowYear],"&gt;="&amp;$C$4,DaybyDay[Date],"&lt;="&amp;DaybyDay[[#This Row],[Date]])</f>
        <v>88360.030000000028</v>
      </c>
      <c r="S1387" s="35">
        <f>SUMIFS(DaybyDay[Service-LY],DaybyDay[Date],"&gt;="&amp;$C$5,DaybyDay[RowYear],"&gt;="&amp;$C$4,DaybyDay[Date],"&lt;="&amp;DaybyDay[[#This Row],[Date]])</f>
        <v>1360556.7109999983</v>
      </c>
      <c r="T1387" s="35">
        <f>SUMIFS(DaybyDay[Retail-LY],DaybyDay[Date],"&gt;="&amp;$C$5,DaybyDay[RowYear],"&gt;="&amp;$C$4,DaybyDay[Date],"&lt;="&amp;DaybyDay[[#This Row],[Date]])</f>
        <v>329548.16999999993</v>
      </c>
      <c r="U1387" s="32">
        <f>DaybyDay[[#This Row],[Serv-Bud-RU]]+DaybyDay[[#This Row],[Ret-Bud-RU]]</f>
        <v>1895524.6760675204</v>
      </c>
      <c r="V1387" s="32">
        <f>DaybyDay[[#This Row],[Serv-Act-RU]]+DaybyDay[[#This Row],[Ret-Act-RU]]</f>
        <v>473914.26</v>
      </c>
      <c r="W1387" s="36" t="str">
        <f>IF(DaybyDay[[#This Row],[_Space]],IFERROR(
((DaybyDay[[#This Row],[Actual-Rollup]]-DaybyDay[[#This Row],[Budget-Rollup]])/DaybyDay[[#This Row],[Budget-Rollup]]),0),"")</f>
        <v/>
      </c>
      <c r="X1387" t="b">
        <f>NOT(AND(ISBLANK(DaybyDay[[#This Row],[Appts]]),ISBLANK(DaybyDay[[#This Row],[Service-Actuals]]),ISBLANK(DaybyDay[[#This Row],[Retail-Actuals]])))</f>
        <v>0</v>
      </c>
      <c r="Y1387" s="36" t="str">
        <f>IF(DaybyDay[[#This Row],[_Space]],IFERROR(
((DaybyDay[[#This Row],[Actual-Rollup]]-DaybyDay[[#This Row],[LY-Rollup]])/DaybyDay[[#This Row],[LY-Rollup]]),0),"")</f>
        <v/>
      </c>
      <c r="Z1387"/>
      <c r="AA1387" s="37" t="str">
        <f>IF(DaybyDay[[#This Row],[_Space]],DaybyDay[[#This Row],[Ret-Act-RU]]/DaybyDay[[#This Row],[Serv-Act-RU]],"")</f>
        <v/>
      </c>
      <c r="AB1387" s="50" t="str">
        <f>IF(DaybyDay[[#This Row],[_Space]],DaybyDay[[#This Row],[RETPEN-Act]]/DaybyDay[[#This Row],[RETPEN-Bud]],"")</f>
        <v/>
      </c>
      <c r="AC1387" s="37" t="str">
        <f>IF(DaybyDay[[#This Row],[_Space]],DaybyDay[[#This Row],[Ret-Bud-RU]]/DaybyDay[[#This Row],[Serv-Bud-RU]],"")</f>
        <v/>
      </c>
      <c r="AD1387" s="37" t="str">
        <f>IF(DaybyDay[[#This Row],[_Space]],DaybyDay[[#This Row],[Ret-LY-RU]]/DaybyDay[[#This Row],[Serv-LY-RU]],"")</f>
        <v/>
      </c>
      <c r="AE1387" s="30">
        <f>WEEKDAY(DaybyDay[[#This Row],[LY-Date]])</f>
        <v>2</v>
      </c>
      <c r="AF1387" s="38">
        <f>$E$2+_xlfn.DAYS(DaybyDay[[#This Row],[Date]],minDate)</f>
        <v>43752</v>
      </c>
      <c r="AG1387" s="39" cm="1">
        <f t="array" ref="AG1387">IFERROR(INDEX(DaybyDay[],DaybyDay[[#This Row],[FORM_MATCH_HELPER]],8),"")</f>
        <v>15</v>
      </c>
      <c r="AH1387" s="39" cm="1">
        <f t="array" ref="AH1387">IFERROR(INDEX(DaybyDay[],DaybyDay[[#This Row],[FORM_MATCH_HELPER]],10),"")</f>
        <v>3990.2</v>
      </c>
      <c r="AI1387" s="39" cm="1">
        <f t="array" ref="AI1387">IFERROR(INDEX(DaybyDay[],DaybyDay[[#This Row],[FORM_MATCH_HELPER]],12),"")</f>
        <v>1174.5</v>
      </c>
      <c r="AJ1387" s="32">
        <f>IFERROR(DaybyDay[[#This Row],[Serv-LY-RU]]+DaybyDay[[#This Row],[Ret-LY-RU]],"")</f>
        <v>1690104.8809999982</v>
      </c>
      <c r="AK138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1679244.0775194562</v>
      </c>
      <c r="AL1387" s="77"/>
      <c r="AM1387" s="40" t="str">
        <f>IF(DaybyDay[[#This Row],[Admin Hours]]&gt;0,DaybyDay[[#This Row],[Admin Hours]]*$AM$2+$AM$3,"")</f>
        <v/>
      </c>
      <c r="AN1387" s="40">
        <f>SUMIFS(DaybyDay[Est-Admin-Payroll],DaybyDay[Date],"&gt;="&amp;$C$5,DaybyDay[RowYear],"&gt;="&amp;$C$4,DaybyDay[Date],"&lt;="&amp;DaybyDay[[#This Row],[Date]])</f>
        <v>13941.779999999997</v>
      </c>
      <c r="AO1387" s="41" t="str">
        <f>IF(AND(DaybyDay[[#This Row],[_Space]],ISNUMBER(DaybyDay[[#This Row],[Admin Hours]])),DaybyDay[[#This Row],[Est-Admin-Payroll]]/(DaybyDay[[#This Row],[Service-Actuals]]+DaybyDay[[#This Row],[Retail-Actuals]]),"")</f>
        <v/>
      </c>
      <c r="AP1387" s="41">
        <f>DaybyDay[[#This Row],[Estimated-Payroll-Rollup]]/DaybyDay[[#This Row],[Simple-Forecast]]</f>
        <v>8.3024142747577818E-3</v>
      </c>
      <c r="AQ138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332402.81701208348</v>
      </c>
      <c r="AR1387" s="77"/>
      <c r="AS1387" s="40" t="str">
        <f>IF(DaybyDay[[#This Row],[Retail Hours]]&gt;0,DaybyDay[[#This Row],[Retail Hours]]*$AS$2,"")</f>
        <v/>
      </c>
      <c r="AT1387" s="40">
        <f>SUMIFS(DaybyDay[Est-Retail-Payroll],DaybyDay[Date],"&gt;="&amp;$C$5,DaybyDay[RowYear],"&gt;="&amp;$C$4,DaybyDay[Date],"&lt;="&amp;DaybyDay[[#This Row],[Date]])</f>
        <v>2627.1</v>
      </c>
      <c r="AU1387" s="82" t="str">
        <f>IF(AND(DaybyDay[[#This Row],[_Space]],ISNUMBER(DaybyDay[[#This Row],[Retail Hours]])),DaybyDay[[#This Row],[Est-Retail-Payroll]]/(DaybyDay[[#This Row],[Retail-Actuals]]),"")</f>
        <v/>
      </c>
      <c r="AV1387" s="82">
        <f>DaybyDay[[#This Row],[Est-Retail-PayrollRU]]/DaybyDay[[#This Row],[Simple-Forecast-Retail]]</f>
        <v>7.9033626237424454E-3</v>
      </c>
      <c r="AW1387" s="8"/>
      <c r="AX1387" s="15"/>
      <c r="AY1387" s="8"/>
    </row>
    <row r="1388" spans="3:51" hidden="1" x14ac:dyDescent="0.25">
      <c r="C1388" s="26" t="str">
        <f>Tools!$C$1</f>
        <v>Example</v>
      </c>
      <c r="D1388" s="27" t="s">
        <v>77</v>
      </c>
      <c r="E1388" s="28">
        <v>2020</v>
      </c>
      <c r="F1388" s="28">
        <f>MATCH(DaybyDay[[#This Row],[RowMonth]],Table3[SummaryMonth],0)</f>
        <v>10</v>
      </c>
      <c r="G1388" s="29">
        <f>MATCH(DaybyDay[[#This Row],[LY-Date]],DaybyDay[Date],0)</f>
        <v>1018</v>
      </c>
      <c r="H1388" s="30">
        <f>WEEKDAY(DaybyDay[[#This Row],[Date]])</f>
        <v>3</v>
      </c>
      <c r="I1388" s="31">
        <v>44117</v>
      </c>
      <c r="J1388" s="74"/>
      <c r="K1388" s="32">
        <f>SUMIFS(BudgetSeasonality[365 Seasonality],BudgetSeasonality[MonthAdjustment],DaybyDay[[#This Row],[Date]])*SUMIFS(Budgets[Service-Budget],Budgets[BudgetMonth],DaybyDay[[#This Row],[RowMonth]],Budgets[BudgetYear],DaybyDay[[#This Row],[RowYear]])</f>
        <v>4079.1363362161928</v>
      </c>
      <c r="L1388" s="75"/>
      <c r="M1388" s="32">
        <f>INDEX(BudgetSeasonality[365 Seasonality],MATCH(DaybyDay[[#This Row],[Date]],BudgetSeasonality[MonthAdjustment],0))*SUMIFS(Budgets[Retail-Budget],Budgets[BudgetMonth],DaybyDay[[#This Row],[RowMonth]],Budgets[BudgetYear],DaybyDay[[#This Row],[RowYear]])</f>
        <v>1043.3847743152321</v>
      </c>
      <c r="N1388" s="75"/>
      <c r="O1388" s="33">
        <f>SUMIFS(DaybyDay[Service-Budgets],DaybyDay[Date],"&gt;="&amp;$C$5,DaybyDay[RowYear],"&gt;="&amp;$C$4,DaybyDay[Date],"&lt;="&amp;DaybyDay[[#This Row],[Date]])</f>
        <v>1510887.1789973353</v>
      </c>
      <c r="P1388" s="33">
        <f>SUMIFS(DaybyDay[Retail-Budgets],DaybyDay[Date],"&gt;="&amp;$C$5,DaybyDay[RowYear],"&gt;="&amp;$C$4,DaybyDay[Date],"&lt;="&amp;DaybyDay[[#This Row],[Date]])</f>
        <v>389760.01818071672</v>
      </c>
      <c r="Q1388" s="34">
        <f>SUMIFS(DaybyDay[Service-Actuals],DaybyDay[Date],"&gt;="&amp;$C$5,DaybyDay[RowYear],"&gt;="&amp;$C$4,DaybyDay[Date],"&lt;="&amp;DaybyDay[[#This Row],[Date]])</f>
        <v>385554.23</v>
      </c>
      <c r="R1388" s="34">
        <f>SUMIFS(DaybyDay[Retail-Actuals],DaybyDay[Date],"&gt;="&amp;$C$5,DaybyDay[RowYear],"&gt;="&amp;$C$4,DaybyDay[Date],"&lt;="&amp;DaybyDay[[#This Row],[Date]])</f>
        <v>88360.030000000028</v>
      </c>
      <c r="S1388" s="35">
        <f>SUMIFS(DaybyDay[Service-LY],DaybyDay[Date],"&gt;="&amp;$C$5,DaybyDay[RowYear],"&gt;="&amp;$C$4,DaybyDay[Date],"&lt;="&amp;DaybyDay[[#This Row],[Date]])</f>
        <v>1365958.3109999984</v>
      </c>
      <c r="T1388" s="35">
        <f>SUMIFS(DaybyDay[Retail-LY],DaybyDay[Date],"&gt;="&amp;$C$5,DaybyDay[RowYear],"&gt;="&amp;$C$4,DaybyDay[Date],"&lt;="&amp;DaybyDay[[#This Row],[Date]])</f>
        <v>330842.66999999993</v>
      </c>
      <c r="U1388" s="32">
        <f>DaybyDay[[#This Row],[Serv-Bud-RU]]+DaybyDay[[#This Row],[Ret-Bud-RU]]</f>
        <v>1900647.197178052</v>
      </c>
      <c r="V1388" s="32">
        <f>DaybyDay[[#This Row],[Serv-Act-RU]]+DaybyDay[[#This Row],[Ret-Act-RU]]</f>
        <v>473914.26</v>
      </c>
      <c r="W1388" s="36" t="str">
        <f>IF(DaybyDay[[#This Row],[_Space]],IFERROR(
((DaybyDay[[#This Row],[Actual-Rollup]]-DaybyDay[[#This Row],[Budget-Rollup]])/DaybyDay[[#This Row],[Budget-Rollup]]),0),"")</f>
        <v/>
      </c>
      <c r="X1388" t="b">
        <f>NOT(AND(ISBLANK(DaybyDay[[#This Row],[Appts]]),ISBLANK(DaybyDay[[#This Row],[Service-Actuals]]),ISBLANK(DaybyDay[[#This Row],[Retail-Actuals]])))</f>
        <v>0</v>
      </c>
      <c r="Y1388" s="36" t="str">
        <f>IF(DaybyDay[[#This Row],[_Space]],IFERROR(
((DaybyDay[[#This Row],[Actual-Rollup]]-DaybyDay[[#This Row],[LY-Rollup]])/DaybyDay[[#This Row],[LY-Rollup]]),0),"")</f>
        <v/>
      </c>
      <c r="Z1388"/>
      <c r="AA1388" s="37" t="str">
        <f>IF(DaybyDay[[#This Row],[_Space]],DaybyDay[[#This Row],[Ret-Act-RU]]/DaybyDay[[#This Row],[Serv-Act-RU]],"")</f>
        <v/>
      </c>
      <c r="AB1388" s="50" t="str">
        <f>IF(DaybyDay[[#This Row],[_Space]],DaybyDay[[#This Row],[RETPEN-Act]]/DaybyDay[[#This Row],[RETPEN-Bud]],"")</f>
        <v/>
      </c>
      <c r="AC1388" s="37" t="str">
        <f>IF(DaybyDay[[#This Row],[_Space]],DaybyDay[[#This Row],[Ret-Bud-RU]]/DaybyDay[[#This Row],[Serv-Bud-RU]],"")</f>
        <v/>
      </c>
      <c r="AD1388" s="37" t="str">
        <f>IF(DaybyDay[[#This Row],[_Space]],DaybyDay[[#This Row],[Ret-LY-RU]]/DaybyDay[[#This Row],[Serv-LY-RU]],"")</f>
        <v/>
      </c>
      <c r="AE1388" s="30">
        <f>WEEKDAY(DaybyDay[[#This Row],[LY-Date]])</f>
        <v>3</v>
      </c>
      <c r="AF1388" s="38">
        <f>$E$2+_xlfn.DAYS(DaybyDay[[#This Row],[Date]],minDate)</f>
        <v>43753</v>
      </c>
      <c r="AG1388" s="39" cm="1">
        <f t="array" ref="AG1388">IFERROR(INDEX(DaybyDay[],DaybyDay[[#This Row],[FORM_MATCH_HELPER]],8),"")</f>
        <v>20</v>
      </c>
      <c r="AH1388" s="39" cm="1">
        <f t="array" ref="AH1388">IFERROR(INDEX(DaybyDay[],DaybyDay[[#This Row],[FORM_MATCH_HELPER]],10),"")</f>
        <v>5401.6</v>
      </c>
      <c r="AI1388" s="39" cm="1">
        <f t="array" ref="AI1388">IFERROR(INDEX(DaybyDay[],DaybyDay[[#This Row],[FORM_MATCH_HELPER]],12),"")</f>
        <v>1294.5</v>
      </c>
      <c r="AJ1388" s="32">
        <f>IFERROR(DaybyDay[[#This Row],[Serv-LY-RU]]+DaybyDay[[#This Row],[Ret-LY-RU]],"")</f>
        <v>1696800.9809999983</v>
      </c>
      <c r="AK138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1684724.4332459886</v>
      </c>
      <c r="AL1388" s="77"/>
      <c r="AM1388" s="40" t="str">
        <f>IF(DaybyDay[[#This Row],[Admin Hours]]&gt;0,DaybyDay[[#This Row],[Admin Hours]]*$AM$2+$AM$3,"")</f>
        <v/>
      </c>
      <c r="AN1388" s="40">
        <f>SUMIFS(DaybyDay[Est-Admin-Payroll],DaybyDay[Date],"&gt;="&amp;$C$5,DaybyDay[RowYear],"&gt;="&amp;$C$4,DaybyDay[Date],"&lt;="&amp;DaybyDay[[#This Row],[Date]])</f>
        <v>13941.779999999997</v>
      </c>
      <c r="AO1388" s="41" t="str">
        <f>IF(AND(DaybyDay[[#This Row],[_Space]],ISNUMBER(DaybyDay[[#This Row],[Admin Hours]])),DaybyDay[[#This Row],[Est-Admin-Payroll]]/(DaybyDay[[#This Row],[Service-Actuals]]+DaybyDay[[#This Row],[Retail-Actuals]]),"")</f>
        <v/>
      </c>
      <c r="AP1388" s="41">
        <f>DaybyDay[[#This Row],[Estimated-Payroll-Rollup]]/DaybyDay[[#This Row],[Simple-Forecast]]</f>
        <v>8.2754067815934279E-3</v>
      </c>
      <c r="AQ138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333484.87019840407</v>
      </c>
      <c r="AR1388" s="77"/>
      <c r="AS1388" s="40" t="str">
        <f>IF(DaybyDay[[#This Row],[Retail Hours]]&gt;0,DaybyDay[[#This Row],[Retail Hours]]*$AS$2,"")</f>
        <v/>
      </c>
      <c r="AT1388" s="40">
        <f>SUMIFS(DaybyDay[Est-Retail-Payroll],DaybyDay[Date],"&gt;="&amp;$C$5,DaybyDay[RowYear],"&gt;="&amp;$C$4,DaybyDay[Date],"&lt;="&amp;DaybyDay[[#This Row],[Date]])</f>
        <v>2627.1</v>
      </c>
      <c r="AU1388" s="82" t="str">
        <f>IF(AND(DaybyDay[[#This Row],[_Space]],ISNUMBER(DaybyDay[[#This Row],[Retail Hours]])),DaybyDay[[#This Row],[Est-Retail-Payroll]]/(DaybyDay[[#This Row],[Retail-Actuals]]),"")</f>
        <v/>
      </c>
      <c r="AV1388" s="82">
        <f>DaybyDay[[#This Row],[Est-Retail-PayrollRU]]/DaybyDay[[#This Row],[Simple-Forecast-Retail]]</f>
        <v>7.8777187056103277E-3</v>
      </c>
      <c r="AW1388" s="8"/>
      <c r="AX1388" s="15"/>
      <c r="AY1388" s="8"/>
    </row>
    <row r="1389" spans="3:51" hidden="1" x14ac:dyDescent="0.25">
      <c r="C1389" s="26" t="str">
        <f>Tools!$C$1</f>
        <v>Example</v>
      </c>
      <c r="D1389" s="27" t="s">
        <v>77</v>
      </c>
      <c r="E1389" s="28">
        <v>2020</v>
      </c>
      <c r="F1389" s="28">
        <f>MATCH(DaybyDay[[#This Row],[RowMonth]],Table3[SummaryMonth],0)</f>
        <v>10</v>
      </c>
      <c r="G1389" s="29">
        <f>MATCH(DaybyDay[[#This Row],[LY-Date]],DaybyDay[Date],0)</f>
        <v>1019</v>
      </c>
      <c r="H1389" s="30">
        <f>WEEKDAY(DaybyDay[[#This Row],[Date]])</f>
        <v>4</v>
      </c>
      <c r="I1389" s="31">
        <v>44118</v>
      </c>
      <c r="J1389" s="74"/>
      <c r="K1389" s="32">
        <f>SUMIFS(BudgetSeasonality[365 Seasonality],BudgetSeasonality[MonthAdjustment],DaybyDay[[#This Row],[Date]])*SUMIFS(Budgets[Service-Budget],Budgets[BudgetMonth],DaybyDay[[#This Row],[RowMonth]],Budgets[BudgetYear],DaybyDay[[#This Row],[RowYear]])</f>
        <v>4704.6731460292976</v>
      </c>
      <c r="L1389" s="75"/>
      <c r="M1389" s="32">
        <f>INDEX(BudgetSeasonality[365 Seasonality],MATCH(DaybyDay[[#This Row],[Date]],BudgetSeasonality[MonthAdjustment],0))*SUMIFS(Budgets[Retail-Budget],Budgets[BudgetMonth],DaybyDay[[#This Row],[RowMonth]],Budgets[BudgetYear],DaybyDay[[#This Row],[RowYear]])</f>
        <v>1203.3881498675528</v>
      </c>
      <c r="N1389" s="75"/>
      <c r="O1389" s="33">
        <f>SUMIFS(DaybyDay[Service-Budgets],DaybyDay[Date],"&gt;="&amp;$C$5,DaybyDay[RowYear],"&gt;="&amp;$C$4,DaybyDay[Date],"&lt;="&amp;DaybyDay[[#This Row],[Date]])</f>
        <v>1515591.8521433645</v>
      </c>
      <c r="P1389" s="33">
        <f>SUMIFS(DaybyDay[Retail-Budgets],DaybyDay[Date],"&gt;="&amp;$C$5,DaybyDay[RowYear],"&gt;="&amp;$C$4,DaybyDay[Date],"&lt;="&amp;DaybyDay[[#This Row],[Date]])</f>
        <v>390963.40633058426</v>
      </c>
      <c r="Q1389" s="34">
        <f>SUMIFS(DaybyDay[Service-Actuals],DaybyDay[Date],"&gt;="&amp;$C$5,DaybyDay[RowYear],"&gt;="&amp;$C$4,DaybyDay[Date],"&lt;="&amp;DaybyDay[[#This Row],[Date]])</f>
        <v>385554.23</v>
      </c>
      <c r="R1389" s="34">
        <f>SUMIFS(DaybyDay[Retail-Actuals],DaybyDay[Date],"&gt;="&amp;$C$5,DaybyDay[RowYear],"&gt;="&amp;$C$4,DaybyDay[Date],"&lt;="&amp;DaybyDay[[#This Row],[Date]])</f>
        <v>88360.030000000028</v>
      </c>
      <c r="S1389" s="35">
        <f>SUMIFS(DaybyDay[Service-LY],DaybyDay[Date],"&gt;="&amp;$C$5,DaybyDay[RowYear],"&gt;="&amp;$C$4,DaybyDay[Date],"&lt;="&amp;DaybyDay[[#This Row],[Date]])</f>
        <v>1371187.3109999984</v>
      </c>
      <c r="T1389" s="35">
        <f>SUMIFS(DaybyDay[Retail-LY],DaybyDay[Date],"&gt;="&amp;$C$5,DaybyDay[RowYear],"&gt;="&amp;$C$4,DaybyDay[Date],"&lt;="&amp;DaybyDay[[#This Row],[Date]])</f>
        <v>332040.41999999993</v>
      </c>
      <c r="U1389" s="32">
        <f>DaybyDay[[#This Row],[Serv-Bud-RU]]+DaybyDay[[#This Row],[Ret-Bud-RU]]</f>
        <v>1906555.2584739488</v>
      </c>
      <c r="V1389" s="32">
        <f>DaybyDay[[#This Row],[Serv-Act-RU]]+DaybyDay[[#This Row],[Ret-Act-RU]]</f>
        <v>473914.26</v>
      </c>
      <c r="W1389" s="36" t="str">
        <f>IF(DaybyDay[[#This Row],[_Space]],IFERROR(
((DaybyDay[[#This Row],[Actual-Rollup]]-DaybyDay[[#This Row],[Budget-Rollup]])/DaybyDay[[#This Row],[Budget-Rollup]]),0),"")</f>
        <v/>
      </c>
      <c r="X1389" t="b">
        <f>NOT(AND(ISBLANK(DaybyDay[[#This Row],[Appts]]),ISBLANK(DaybyDay[[#This Row],[Service-Actuals]]),ISBLANK(DaybyDay[[#This Row],[Retail-Actuals]])))</f>
        <v>0</v>
      </c>
      <c r="Y1389" s="36" t="str">
        <f>IF(DaybyDay[[#This Row],[_Space]],IFERROR(
((DaybyDay[[#This Row],[Actual-Rollup]]-DaybyDay[[#This Row],[LY-Rollup]])/DaybyDay[[#This Row],[LY-Rollup]]),0),"")</f>
        <v/>
      </c>
      <c r="Z1389"/>
      <c r="AA1389" s="37" t="str">
        <f>IF(DaybyDay[[#This Row],[_Space]],DaybyDay[[#This Row],[Ret-Act-RU]]/DaybyDay[[#This Row],[Serv-Act-RU]],"")</f>
        <v/>
      </c>
      <c r="AB1389" s="50" t="str">
        <f>IF(DaybyDay[[#This Row],[_Space]],DaybyDay[[#This Row],[RETPEN-Act]]/DaybyDay[[#This Row],[RETPEN-Bud]],"")</f>
        <v/>
      </c>
      <c r="AC1389" s="37" t="str">
        <f>IF(DaybyDay[[#This Row],[_Space]],DaybyDay[[#This Row],[Ret-Bud-RU]]/DaybyDay[[#This Row],[Serv-Bud-RU]],"")</f>
        <v/>
      </c>
      <c r="AD1389" s="37" t="str">
        <f>IF(DaybyDay[[#This Row],[_Space]],DaybyDay[[#This Row],[Ret-LY-RU]]/DaybyDay[[#This Row],[Serv-LY-RU]],"")</f>
        <v/>
      </c>
      <c r="AE1389" s="30">
        <f>WEEKDAY(DaybyDay[[#This Row],[LY-Date]])</f>
        <v>4</v>
      </c>
      <c r="AF1389" s="38">
        <f>$E$2+_xlfn.DAYS(DaybyDay[[#This Row],[Date]],minDate)</f>
        <v>43754</v>
      </c>
      <c r="AG1389" s="39" cm="1">
        <f t="array" ref="AG1389">IFERROR(INDEX(DaybyDay[],DaybyDay[[#This Row],[FORM_MATCH_HELPER]],8),"")</f>
        <v>27</v>
      </c>
      <c r="AH1389" s="39" cm="1">
        <f t="array" ref="AH1389">IFERROR(INDEX(DaybyDay[],DaybyDay[[#This Row],[FORM_MATCH_HELPER]],10),"")</f>
        <v>5229</v>
      </c>
      <c r="AI1389" s="39" cm="1">
        <f t="array" ref="AI1389">IFERROR(INDEX(DaybyDay[],DaybyDay[[#This Row],[FORM_MATCH_HELPER]],12),"")</f>
        <v>1197.75</v>
      </c>
      <c r="AJ1389" s="32">
        <f>IFERROR(DaybyDay[[#This Row],[Serv-LY-RU]]+DaybyDay[[#This Row],[Ret-LY-RU]],"")</f>
        <v>1703227.7309999983</v>
      </c>
      <c r="AK138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1690406.1210819713</v>
      </c>
      <c r="AL1389" s="77"/>
      <c r="AM1389" s="40" t="str">
        <f>IF(DaybyDay[[#This Row],[Admin Hours]]&gt;0,DaybyDay[[#This Row],[Admin Hours]]*$AM$2+$AM$3,"")</f>
        <v/>
      </c>
      <c r="AN1389" s="40">
        <f>SUMIFS(DaybyDay[Est-Admin-Payroll],DaybyDay[Date],"&gt;="&amp;$C$5,DaybyDay[RowYear],"&gt;="&amp;$C$4,DaybyDay[Date],"&lt;="&amp;DaybyDay[[#This Row],[Date]])</f>
        <v>13941.779999999997</v>
      </c>
      <c r="AO1389" s="41" t="str">
        <f>IF(AND(DaybyDay[[#This Row],[_Space]],ISNUMBER(DaybyDay[[#This Row],[Admin Hours]])),DaybyDay[[#This Row],[Est-Admin-Payroll]]/(DaybyDay[[#This Row],[Service-Actuals]]+DaybyDay[[#This Row],[Retail-Actuals]]),"")</f>
        <v/>
      </c>
      <c r="AP1389" s="41">
        <f>DaybyDay[[#This Row],[Estimated-Payroll-Rollup]]/DaybyDay[[#This Row],[Simple-Forecast]]</f>
        <v>8.2475919994162931E-3</v>
      </c>
      <c r="AQ138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334587.27965951484</v>
      </c>
      <c r="AR1389" s="77"/>
      <c r="AS1389" s="40" t="str">
        <f>IF(DaybyDay[[#This Row],[Retail Hours]]&gt;0,DaybyDay[[#This Row],[Retail Hours]]*$AS$2,"")</f>
        <v/>
      </c>
      <c r="AT1389" s="40">
        <f>SUMIFS(DaybyDay[Est-Retail-Payroll],DaybyDay[Date],"&gt;="&amp;$C$5,DaybyDay[RowYear],"&gt;="&amp;$C$4,DaybyDay[Date],"&lt;="&amp;DaybyDay[[#This Row],[Date]])</f>
        <v>2627.1</v>
      </c>
      <c r="AU1389" s="82" t="str">
        <f>IF(AND(DaybyDay[[#This Row],[_Space]],ISNUMBER(DaybyDay[[#This Row],[Retail Hours]])),DaybyDay[[#This Row],[Est-Retail-Payroll]]/(DaybyDay[[#This Row],[Retail-Actuals]]),"")</f>
        <v/>
      </c>
      <c r="AV1389" s="82">
        <f>DaybyDay[[#This Row],[Est-Retail-PayrollRU]]/DaybyDay[[#This Row],[Simple-Forecast-Retail]]</f>
        <v>7.8517629321515417E-3</v>
      </c>
      <c r="AW1389" s="8"/>
      <c r="AX1389" s="15"/>
      <c r="AY1389" s="8"/>
    </row>
    <row r="1390" spans="3:51" hidden="1" x14ac:dyDescent="0.25">
      <c r="C1390" s="26" t="str">
        <f>Tools!$C$1</f>
        <v>Example</v>
      </c>
      <c r="D1390" s="27" t="s">
        <v>77</v>
      </c>
      <c r="E1390" s="28">
        <v>2020</v>
      </c>
      <c r="F1390" s="28">
        <f>MATCH(DaybyDay[[#This Row],[RowMonth]],Table3[SummaryMonth],0)</f>
        <v>10</v>
      </c>
      <c r="G1390" s="29">
        <f>MATCH(DaybyDay[[#This Row],[LY-Date]],DaybyDay[Date],0)</f>
        <v>1020</v>
      </c>
      <c r="H1390" s="30">
        <f>WEEKDAY(DaybyDay[[#This Row],[Date]])</f>
        <v>5</v>
      </c>
      <c r="I1390" s="31">
        <v>44119</v>
      </c>
      <c r="J1390" s="74"/>
      <c r="K1390" s="32">
        <f>SUMIFS(BudgetSeasonality[365 Seasonality],BudgetSeasonality[MonthAdjustment],DaybyDay[[#This Row],[Date]])*SUMIFS(Budgets[Service-Budget],Budgets[BudgetMonth],DaybyDay[[#This Row],[RowMonth]],Budgets[BudgetYear],DaybyDay[[#This Row],[RowYear]])</f>
        <v>4852.0800985024534</v>
      </c>
      <c r="L1390" s="75"/>
      <c r="M1390" s="32">
        <f>INDEX(BudgetSeasonality[365 Seasonality],MATCH(DaybyDay[[#This Row],[Date]],BudgetSeasonality[MonthAdjustment],0))*SUMIFS(Budgets[Retail-Budget],Budgets[BudgetMonth],DaybyDay[[#This Row],[RowMonth]],Budgets[BudgetYear],DaybyDay[[#This Row],[RowYear]])</f>
        <v>1241.0927415168151</v>
      </c>
      <c r="N1390" s="75"/>
      <c r="O1390" s="33">
        <f>SUMIFS(DaybyDay[Service-Budgets],DaybyDay[Date],"&gt;="&amp;$C$5,DaybyDay[RowYear],"&gt;="&amp;$C$4,DaybyDay[Date],"&lt;="&amp;DaybyDay[[#This Row],[Date]])</f>
        <v>1520443.9322418668</v>
      </c>
      <c r="P1390" s="33">
        <f>SUMIFS(DaybyDay[Retail-Budgets],DaybyDay[Date],"&gt;="&amp;$C$5,DaybyDay[RowYear],"&gt;="&amp;$C$4,DaybyDay[Date],"&lt;="&amp;DaybyDay[[#This Row],[Date]])</f>
        <v>392204.49907210108</v>
      </c>
      <c r="Q1390" s="34">
        <f>SUMIFS(DaybyDay[Service-Actuals],DaybyDay[Date],"&gt;="&amp;$C$5,DaybyDay[RowYear],"&gt;="&amp;$C$4,DaybyDay[Date],"&lt;="&amp;DaybyDay[[#This Row],[Date]])</f>
        <v>385554.23</v>
      </c>
      <c r="R1390" s="34">
        <f>SUMIFS(DaybyDay[Retail-Actuals],DaybyDay[Date],"&gt;="&amp;$C$5,DaybyDay[RowYear],"&gt;="&amp;$C$4,DaybyDay[Date],"&lt;="&amp;DaybyDay[[#This Row],[Date]])</f>
        <v>88360.030000000028</v>
      </c>
      <c r="S1390" s="35">
        <f>SUMIFS(DaybyDay[Service-LY],DaybyDay[Date],"&gt;="&amp;$C$5,DaybyDay[RowYear],"&gt;="&amp;$C$4,DaybyDay[Date],"&lt;="&amp;DaybyDay[[#This Row],[Date]])</f>
        <v>1376269.5809999984</v>
      </c>
      <c r="T1390" s="35">
        <f>SUMIFS(DaybyDay[Retail-LY],DaybyDay[Date],"&gt;="&amp;$C$5,DaybyDay[RowYear],"&gt;="&amp;$C$4,DaybyDay[Date],"&lt;="&amp;DaybyDay[[#This Row],[Date]])</f>
        <v>332354.41999999993</v>
      </c>
      <c r="U1390" s="32">
        <f>DaybyDay[[#This Row],[Serv-Bud-RU]]+DaybyDay[[#This Row],[Ret-Bud-RU]]</f>
        <v>1912648.4313139678</v>
      </c>
      <c r="V1390" s="32">
        <f>DaybyDay[[#This Row],[Serv-Act-RU]]+DaybyDay[[#This Row],[Ret-Act-RU]]</f>
        <v>473914.26</v>
      </c>
      <c r="W1390" s="36" t="str">
        <f>IF(DaybyDay[[#This Row],[_Space]],IFERROR(
((DaybyDay[[#This Row],[Actual-Rollup]]-DaybyDay[[#This Row],[Budget-Rollup]])/DaybyDay[[#This Row],[Budget-Rollup]]),0),"")</f>
        <v/>
      </c>
      <c r="X1390" t="b">
        <f>NOT(AND(ISBLANK(DaybyDay[[#This Row],[Appts]]),ISBLANK(DaybyDay[[#This Row],[Service-Actuals]]),ISBLANK(DaybyDay[[#This Row],[Retail-Actuals]])))</f>
        <v>0</v>
      </c>
      <c r="Y1390" s="36" t="str">
        <f>IF(DaybyDay[[#This Row],[_Space]],IFERROR(
((DaybyDay[[#This Row],[Actual-Rollup]]-DaybyDay[[#This Row],[LY-Rollup]])/DaybyDay[[#This Row],[LY-Rollup]]),0),"")</f>
        <v/>
      </c>
      <c r="Z1390"/>
      <c r="AA1390" s="37" t="str">
        <f>IF(DaybyDay[[#This Row],[_Space]],DaybyDay[[#This Row],[Ret-Act-RU]]/DaybyDay[[#This Row],[Serv-Act-RU]],"")</f>
        <v/>
      </c>
      <c r="AB1390" s="50" t="str">
        <f>IF(DaybyDay[[#This Row],[_Space]],DaybyDay[[#This Row],[RETPEN-Act]]/DaybyDay[[#This Row],[RETPEN-Bud]],"")</f>
        <v/>
      </c>
      <c r="AC1390" s="37" t="str">
        <f>IF(DaybyDay[[#This Row],[_Space]],DaybyDay[[#This Row],[Ret-Bud-RU]]/DaybyDay[[#This Row],[Serv-Bud-RU]],"")</f>
        <v/>
      </c>
      <c r="AD1390" s="37" t="str">
        <f>IF(DaybyDay[[#This Row],[_Space]],DaybyDay[[#This Row],[Ret-LY-RU]]/DaybyDay[[#This Row],[Serv-LY-RU]],"")</f>
        <v/>
      </c>
      <c r="AE1390" s="30">
        <f>WEEKDAY(DaybyDay[[#This Row],[LY-Date]])</f>
        <v>5</v>
      </c>
      <c r="AF1390" s="38">
        <f>$E$2+_xlfn.DAYS(DaybyDay[[#This Row],[Date]],minDate)</f>
        <v>43755</v>
      </c>
      <c r="AG1390" s="39" cm="1">
        <f t="array" ref="AG1390">IFERROR(INDEX(DaybyDay[],DaybyDay[[#This Row],[FORM_MATCH_HELPER]],8),"")</f>
        <v>23</v>
      </c>
      <c r="AH1390" s="39" cm="1">
        <f t="array" ref="AH1390">IFERROR(INDEX(DaybyDay[],DaybyDay[[#This Row],[FORM_MATCH_HELPER]],10),"")</f>
        <v>5082.2700000000004</v>
      </c>
      <c r="AI1390" s="39" cm="1">
        <f t="array" ref="AI1390">IFERROR(INDEX(DaybyDay[],DaybyDay[[#This Row],[FORM_MATCH_HELPER]],12),"")</f>
        <v>314</v>
      </c>
      <c r="AJ1390" s="32">
        <f>IFERROR(DaybyDay[[#This Row],[Serv-LY-RU]]+DaybyDay[[#This Row],[Ret-LY-RU]],"")</f>
        <v>1708624.0009999983</v>
      </c>
      <c r="AK139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1695658.4758275351</v>
      </c>
      <c r="AL1390" s="77"/>
      <c r="AM1390" s="40" t="str">
        <f>IF(DaybyDay[[#This Row],[Admin Hours]]&gt;0,DaybyDay[[#This Row],[Admin Hours]]*$AM$2+$AM$3,"")</f>
        <v/>
      </c>
      <c r="AN1390" s="40">
        <f>SUMIFS(DaybyDay[Est-Admin-Payroll],DaybyDay[Date],"&gt;="&amp;$C$5,DaybyDay[RowYear],"&gt;="&amp;$C$4,DaybyDay[Date],"&lt;="&amp;DaybyDay[[#This Row],[Date]])</f>
        <v>13941.779999999997</v>
      </c>
      <c r="AO1390" s="41" t="str">
        <f>IF(AND(DaybyDay[[#This Row],[_Space]],ISNUMBER(DaybyDay[[#This Row],[Admin Hours]])),DaybyDay[[#This Row],[Est-Admin-Payroll]]/(DaybyDay[[#This Row],[Service-Actuals]]+DaybyDay[[#This Row],[Retail-Actuals]]),"")</f>
        <v/>
      </c>
      <c r="AP1390" s="41">
        <f>DaybyDay[[#This Row],[Estimated-Payroll-Rollup]]/DaybyDay[[#This Row],[Simple-Forecast]]</f>
        <v>8.2220448272733501E-3</v>
      </c>
      <c r="AQ139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335270.00000475824</v>
      </c>
      <c r="AR1390" s="77"/>
      <c r="AS1390" s="40" t="str">
        <f>IF(DaybyDay[[#This Row],[Retail Hours]]&gt;0,DaybyDay[[#This Row],[Retail Hours]]*$AS$2,"")</f>
        <v/>
      </c>
      <c r="AT1390" s="40">
        <f>SUMIFS(DaybyDay[Est-Retail-Payroll],DaybyDay[Date],"&gt;="&amp;$C$5,DaybyDay[RowYear],"&gt;="&amp;$C$4,DaybyDay[Date],"&lt;="&amp;DaybyDay[[#This Row],[Date]])</f>
        <v>2627.1</v>
      </c>
      <c r="AU1390" s="82" t="str">
        <f>IF(AND(DaybyDay[[#This Row],[_Space]],ISNUMBER(DaybyDay[[#This Row],[Retail Hours]])),DaybyDay[[#This Row],[Est-Retail-Payroll]]/(DaybyDay[[#This Row],[Retail-Actuals]]),"")</f>
        <v/>
      </c>
      <c r="AV1390" s="82">
        <f>DaybyDay[[#This Row],[Est-Retail-PayrollRU]]/DaybyDay[[#This Row],[Simple-Forecast-Retail]]</f>
        <v>7.835774152064651E-3</v>
      </c>
      <c r="AW1390" s="8"/>
      <c r="AX1390" s="15"/>
      <c r="AY1390" s="8"/>
    </row>
    <row r="1391" spans="3:51" hidden="1" x14ac:dyDescent="0.25">
      <c r="C1391" s="26" t="str">
        <f>Tools!$C$1</f>
        <v>Example</v>
      </c>
      <c r="D1391" s="27" t="s">
        <v>77</v>
      </c>
      <c r="E1391" s="28">
        <v>2020</v>
      </c>
      <c r="F1391" s="28">
        <f>MATCH(DaybyDay[[#This Row],[RowMonth]],Table3[SummaryMonth],0)</f>
        <v>10</v>
      </c>
      <c r="G1391" s="29">
        <f>MATCH(DaybyDay[[#This Row],[LY-Date]],DaybyDay[Date],0)</f>
        <v>1021</v>
      </c>
      <c r="H1391" s="30">
        <f>WEEKDAY(DaybyDay[[#This Row],[Date]])</f>
        <v>6</v>
      </c>
      <c r="I1391" s="31">
        <v>44120</v>
      </c>
      <c r="J1391" s="74"/>
      <c r="K1391" s="32">
        <f>SUMIFS(BudgetSeasonality[365 Seasonality],BudgetSeasonality[MonthAdjustment],DaybyDay[[#This Row],[Date]])*SUMIFS(Budgets[Service-Budget],Budgets[BudgetMonth],DaybyDay[[#This Row],[RowMonth]],Budgets[BudgetYear],DaybyDay[[#This Row],[RowYear]])</f>
        <v>5983.5111807740514</v>
      </c>
      <c r="L1391" s="75"/>
      <c r="M1391" s="32">
        <f>INDEX(BudgetSeasonality[365 Seasonality],MATCH(DaybyDay[[#This Row],[Date]],BudgetSeasonality[MonthAdjustment],0))*SUMIFS(Budgets[Retail-Budget],Budgets[BudgetMonth],DaybyDay[[#This Row],[RowMonth]],Budgets[BudgetYear],DaybyDay[[#This Row],[RowYear]])</f>
        <v>1530.4966415404749</v>
      </c>
      <c r="N1391" s="75"/>
      <c r="O1391" s="33">
        <f>SUMIFS(DaybyDay[Service-Budgets],DaybyDay[Date],"&gt;="&amp;$C$5,DaybyDay[RowYear],"&gt;="&amp;$C$4,DaybyDay[Date],"&lt;="&amp;DaybyDay[[#This Row],[Date]])</f>
        <v>1526427.4434226409</v>
      </c>
      <c r="P1391" s="33">
        <f>SUMIFS(DaybyDay[Retail-Budgets],DaybyDay[Date],"&gt;="&amp;$C$5,DaybyDay[RowYear],"&gt;="&amp;$C$4,DaybyDay[Date],"&lt;="&amp;DaybyDay[[#This Row],[Date]])</f>
        <v>393734.99571364158</v>
      </c>
      <c r="Q1391" s="34">
        <f>SUMIFS(DaybyDay[Service-Actuals],DaybyDay[Date],"&gt;="&amp;$C$5,DaybyDay[RowYear],"&gt;="&amp;$C$4,DaybyDay[Date],"&lt;="&amp;DaybyDay[[#This Row],[Date]])</f>
        <v>385554.23</v>
      </c>
      <c r="R1391" s="34">
        <f>SUMIFS(DaybyDay[Retail-Actuals],DaybyDay[Date],"&gt;="&amp;$C$5,DaybyDay[RowYear],"&gt;="&amp;$C$4,DaybyDay[Date],"&lt;="&amp;DaybyDay[[#This Row],[Date]])</f>
        <v>88360.030000000028</v>
      </c>
      <c r="S1391" s="35">
        <f>SUMIFS(DaybyDay[Service-LY],DaybyDay[Date],"&gt;="&amp;$C$5,DaybyDay[RowYear],"&gt;="&amp;$C$4,DaybyDay[Date],"&lt;="&amp;DaybyDay[[#This Row],[Date]])</f>
        <v>1382112.3509999984</v>
      </c>
      <c r="T1391" s="35">
        <f>SUMIFS(DaybyDay[Retail-LY],DaybyDay[Date],"&gt;="&amp;$C$5,DaybyDay[RowYear],"&gt;="&amp;$C$4,DaybyDay[Date],"&lt;="&amp;DaybyDay[[#This Row],[Date]])</f>
        <v>334563.91999999993</v>
      </c>
      <c r="U1391" s="32">
        <f>DaybyDay[[#This Row],[Serv-Bud-RU]]+DaybyDay[[#This Row],[Ret-Bud-RU]]</f>
        <v>1920162.4391362825</v>
      </c>
      <c r="V1391" s="32">
        <f>DaybyDay[[#This Row],[Serv-Act-RU]]+DaybyDay[[#This Row],[Ret-Act-RU]]</f>
        <v>473914.26</v>
      </c>
      <c r="W1391" s="36" t="str">
        <f>IF(DaybyDay[[#This Row],[_Space]],IFERROR(
((DaybyDay[[#This Row],[Actual-Rollup]]-DaybyDay[[#This Row],[Budget-Rollup]])/DaybyDay[[#This Row],[Budget-Rollup]]),0),"")</f>
        <v/>
      </c>
      <c r="X1391" t="b">
        <f>NOT(AND(ISBLANK(DaybyDay[[#This Row],[Appts]]),ISBLANK(DaybyDay[[#This Row],[Service-Actuals]]),ISBLANK(DaybyDay[[#This Row],[Retail-Actuals]])))</f>
        <v>0</v>
      </c>
      <c r="Y1391" s="36" t="str">
        <f>IF(DaybyDay[[#This Row],[_Space]],IFERROR(
((DaybyDay[[#This Row],[Actual-Rollup]]-DaybyDay[[#This Row],[LY-Rollup]])/DaybyDay[[#This Row],[LY-Rollup]]),0),"")</f>
        <v/>
      </c>
      <c r="Z1391"/>
      <c r="AA1391" s="37" t="str">
        <f>IF(DaybyDay[[#This Row],[_Space]],DaybyDay[[#This Row],[Ret-Act-RU]]/DaybyDay[[#This Row],[Serv-Act-RU]],"")</f>
        <v/>
      </c>
      <c r="AB1391" s="50" t="str">
        <f>IF(DaybyDay[[#This Row],[_Space]],DaybyDay[[#This Row],[RETPEN-Act]]/DaybyDay[[#This Row],[RETPEN-Bud]],"")</f>
        <v/>
      </c>
      <c r="AC1391" s="37" t="str">
        <f>IF(DaybyDay[[#This Row],[_Space]],DaybyDay[[#This Row],[Ret-Bud-RU]]/DaybyDay[[#This Row],[Serv-Bud-RU]],"")</f>
        <v/>
      </c>
      <c r="AD1391" s="37" t="str">
        <f>IF(DaybyDay[[#This Row],[_Space]],DaybyDay[[#This Row],[Ret-LY-RU]]/DaybyDay[[#This Row],[Serv-LY-RU]],"")</f>
        <v/>
      </c>
      <c r="AE1391" s="30">
        <f>WEEKDAY(DaybyDay[[#This Row],[LY-Date]])</f>
        <v>6</v>
      </c>
      <c r="AF1391" s="38">
        <f>$E$2+_xlfn.DAYS(DaybyDay[[#This Row],[Date]],minDate)</f>
        <v>43756</v>
      </c>
      <c r="AG1391" s="39" cm="1">
        <f t="array" ref="AG1391">IFERROR(INDEX(DaybyDay[],DaybyDay[[#This Row],[FORM_MATCH_HELPER]],8),"")</f>
        <v>30</v>
      </c>
      <c r="AH1391" s="39" cm="1">
        <f t="array" ref="AH1391">IFERROR(INDEX(DaybyDay[],DaybyDay[[#This Row],[FORM_MATCH_HELPER]],10),"")</f>
        <v>5842.77</v>
      </c>
      <c r="AI1391" s="39" cm="1">
        <f t="array" ref="AI1391">IFERROR(INDEX(DaybyDay[],DaybyDay[[#This Row],[FORM_MATCH_HELPER]],12),"")</f>
        <v>2209.5</v>
      </c>
      <c r="AJ1391" s="32">
        <f>IFERROR(DaybyDay[[#This Row],[Serv-LY-RU]]+DaybyDay[[#This Row],[Ret-LY-RU]],"")</f>
        <v>1716676.2709999983</v>
      </c>
      <c r="AK139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1702824.7123667924</v>
      </c>
      <c r="AL1391" s="77"/>
      <c r="AM1391" s="40" t="str">
        <f>IF(DaybyDay[[#This Row],[Admin Hours]]&gt;0,DaybyDay[[#This Row],[Admin Hours]]*$AM$2+$AM$3,"")</f>
        <v/>
      </c>
      <c r="AN1391" s="40">
        <f>SUMIFS(DaybyDay[Est-Admin-Payroll],DaybyDay[Date],"&gt;="&amp;$C$5,DaybyDay[RowYear],"&gt;="&amp;$C$4,DaybyDay[Date],"&lt;="&amp;DaybyDay[[#This Row],[Date]])</f>
        <v>13941.779999999997</v>
      </c>
      <c r="AO1391" s="41" t="str">
        <f>IF(AND(DaybyDay[[#This Row],[_Space]],ISNUMBER(DaybyDay[[#This Row],[Admin Hours]])),DaybyDay[[#This Row],[Est-Admin-Payroll]]/(DaybyDay[[#This Row],[Service-Actuals]]+DaybyDay[[#This Row],[Retail-Actuals]]),"")</f>
        <v/>
      </c>
      <c r="AP1391" s="41">
        <f>DaybyDay[[#This Row],[Estimated-Payroll-Rollup]]/DaybyDay[[#This Row],[Simple-Forecast]]</f>
        <v>8.187442840562267E-3</v>
      </c>
      <c r="AQ139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337010.38311566034</v>
      </c>
      <c r="AR1391" s="77"/>
      <c r="AS1391" s="40" t="str">
        <f>IF(DaybyDay[[#This Row],[Retail Hours]]&gt;0,DaybyDay[[#This Row],[Retail Hours]]*$AS$2,"")</f>
        <v/>
      </c>
      <c r="AT1391" s="40">
        <f>SUMIFS(DaybyDay[Est-Retail-Payroll],DaybyDay[Date],"&gt;="&amp;$C$5,DaybyDay[RowYear],"&gt;="&amp;$C$4,DaybyDay[Date],"&lt;="&amp;DaybyDay[[#This Row],[Date]])</f>
        <v>2627.1</v>
      </c>
      <c r="AU1391" s="82" t="str">
        <f>IF(AND(DaybyDay[[#This Row],[_Space]],ISNUMBER(DaybyDay[[#This Row],[Retail Hours]])),DaybyDay[[#This Row],[Est-Retail-Payroll]]/(DaybyDay[[#This Row],[Retail-Actuals]]),"")</f>
        <v/>
      </c>
      <c r="AV1391" s="82">
        <f>DaybyDay[[#This Row],[Est-Retail-PayrollRU]]/DaybyDay[[#This Row],[Simple-Forecast-Retail]]</f>
        <v>7.7953087845913397E-3</v>
      </c>
      <c r="AW1391" s="8"/>
      <c r="AX1391" s="15"/>
      <c r="AY1391" s="8"/>
    </row>
    <row r="1392" spans="3:51" hidden="1" x14ac:dyDescent="0.25">
      <c r="C1392" s="26" t="str">
        <f>Tools!$C$1</f>
        <v>Example</v>
      </c>
      <c r="D1392" s="27" t="s">
        <v>77</v>
      </c>
      <c r="E1392" s="28">
        <v>2020</v>
      </c>
      <c r="F1392" s="28">
        <f>MATCH(DaybyDay[[#This Row],[RowMonth]],Table3[SummaryMonth],0)</f>
        <v>10</v>
      </c>
      <c r="G1392" s="29">
        <f>MATCH(DaybyDay[[#This Row],[LY-Date]],DaybyDay[Date],0)</f>
        <v>1022</v>
      </c>
      <c r="H1392" s="30">
        <f>WEEKDAY(DaybyDay[[#This Row],[Date]])</f>
        <v>7</v>
      </c>
      <c r="I1392" s="31">
        <v>44121</v>
      </c>
      <c r="J1392" s="74"/>
      <c r="K1392" s="32">
        <f>SUMIFS(BudgetSeasonality[365 Seasonality],BudgetSeasonality[MonthAdjustment],DaybyDay[[#This Row],[Date]])*SUMIFS(Budgets[Service-Budget],Budgets[BudgetMonth],DaybyDay[[#This Row],[RowMonth]],Budgets[BudgetYear],DaybyDay[[#This Row],[RowYear]])</f>
        <v>8353.129731943669</v>
      </c>
      <c r="L1392" s="75"/>
      <c r="M1392" s="32">
        <f>INDEX(BudgetSeasonality[365 Seasonality],MATCH(DaybyDay[[#This Row],[Date]],BudgetSeasonality[MonthAdjustment],0))*SUMIFS(Budgets[Retail-Budget],Budgets[BudgetMonth],DaybyDay[[#This Row],[RowMonth]],Budgets[BudgetYear],DaybyDay[[#This Row],[RowYear]])</f>
        <v>2136.611199486023</v>
      </c>
      <c r="N1392" s="75"/>
      <c r="O1392" s="33">
        <f>SUMIFS(DaybyDay[Service-Budgets],DaybyDay[Date],"&gt;="&amp;$C$5,DaybyDay[RowYear],"&gt;="&amp;$C$4,DaybyDay[Date],"&lt;="&amp;DaybyDay[[#This Row],[Date]])</f>
        <v>1534780.5731545845</v>
      </c>
      <c r="P1392" s="33">
        <f>SUMIFS(DaybyDay[Retail-Budgets],DaybyDay[Date],"&gt;="&amp;$C$5,DaybyDay[RowYear],"&gt;="&amp;$C$4,DaybyDay[Date],"&lt;="&amp;DaybyDay[[#This Row],[Date]])</f>
        <v>395871.60691312759</v>
      </c>
      <c r="Q1392" s="34">
        <f>SUMIFS(DaybyDay[Service-Actuals],DaybyDay[Date],"&gt;="&amp;$C$5,DaybyDay[RowYear],"&gt;="&amp;$C$4,DaybyDay[Date],"&lt;="&amp;DaybyDay[[#This Row],[Date]])</f>
        <v>385554.23</v>
      </c>
      <c r="R1392" s="34">
        <f>SUMIFS(DaybyDay[Retail-Actuals],DaybyDay[Date],"&gt;="&amp;$C$5,DaybyDay[RowYear],"&gt;="&amp;$C$4,DaybyDay[Date],"&lt;="&amp;DaybyDay[[#This Row],[Date]])</f>
        <v>88360.030000000028</v>
      </c>
      <c r="S1392" s="35">
        <f>SUMIFS(DaybyDay[Service-LY],DaybyDay[Date],"&gt;="&amp;$C$5,DaybyDay[RowYear],"&gt;="&amp;$C$4,DaybyDay[Date],"&lt;="&amp;DaybyDay[[#This Row],[Date]])</f>
        <v>1389213.0209999983</v>
      </c>
      <c r="T1392" s="35">
        <f>SUMIFS(DaybyDay[Retail-LY],DaybyDay[Date],"&gt;="&amp;$C$5,DaybyDay[RowYear],"&gt;="&amp;$C$4,DaybyDay[Date],"&lt;="&amp;DaybyDay[[#This Row],[Date]])</f>
        <v>336309.90999999992</v>
      </c>
      <c r="U1392" s="32">
        <f>DaybyDay[[#This Row],[Serv-Bud-RU]]+DaybyDay[[#This Row],[Ret-Bud-RU]]</f>
        <v>1930652.180067712</v>
      </c>
      <c r="V1392" s="32">
        <f>DaybyDay[[#This Row],[Serv-Act-RU]]+DaybyDay[[#This Row],[Ret-Act-RU]]</f>
        <v>473914.26</v>
      </c>
      <c r="W1392" s="36" t="str">
        <f>IF(DaybyDay[[#This Row],[_Space]],IFERROR(
((DaybyDay[[#This Row],[Actual-Rollup]]-DaybyDay[[#This Row],[Budget-Rollup]])/DaybyDay[[#This Row],[Budget-Rollup]]),0),"")</f>
        <v/>
      </c>
      <c r="X1392" t="b">
        <f>NOT(AND(ISBLANK(DaybyDay[[#This Row],[Appts]]),ISBLANK(DaybyDay[[#This Row],[Service-Actuals]]),ISBLANK(DaybyDay[[#This Row],[Retail-Actuals]])))</f>
        <v>0</v>
      </c>
      <c r="Y1392" s="36" t="str">
        <f>IF(DaybyDay[[#This Row],[_Space]],IFERROR(
((DaybyDay[[#This Row],[Actual-Rollup]]-DaybyDay[[#This Row],[LY-Rollup]])/DaybyDay[[#This Row],[LY-Rollup]]),0),"")</f>
        <v/>
      </c>
      <c r="Z1392"/>
      <c r="AA1392" s="37" t="str">
        <f>IF(DaybyDay[[#This Row],[_Space]],DaybyDay[[#This Row],[Ret-Act-RU]]/DaybyDay[[#This Row],[Serv-Act-RU]],"")</f>
        <v/>
      </c>
      <c r="AB1392" s="50" t="str">
        <f>IF(DaybyDay[[#This Row],[_Space]],DaybyDay[[#This Row],[RETPEN-Act]]/DaybyDay[[#This Row],[RETPEN-Bud]],"")</f>
        <v/>
      </c>
      <c r="AC1392" s="37" t="str">
        <f>IF(DaybyDay[[#This Row],[_Space]],DaybyDay[[#This Row],[Ret-Bud-RU]]/DaybyDay[[#This Row],[Serv-Bud-RU]],"")</f>
        <v/>
      </c>
      <c r="AD1392" s="37" t="str">
        <f>IF(DaybyDay[[#This Row],[_Space]],DaybyDay[[#This Row],[Ret-LY-RU]]/DaybyDay[[#This Row],[Serv-LY-RU]],"")</f>
        <v/>
      </c>
      <c r="AE1392" s="30">
        <f>WEEKDAY(DaybyDay[[#This Row],[LY-Date]])</f>
        <v>7</v>
      </c>
      <c r="AF1392" s="38">
        <f>$E$2+_xlfn.DAYS(DaybyDay[[#This Row],[Date]],minDate)</f>
        <v>43757</v>
      </c>
      <c r="AG1392" s="39" cm="1">
        <f t="array" ref="AG1392">IFERROR(INDEX(DaybyDay[],DaybyDay[[#This Row],[FORM_MATCH_HELPER]],8),"")</f>
        <v>30</v>
      </c>
      <c r="AH1392" s="39" cm="1">
        <f t="array" ref="AH1392">IFERROR(INDEX(DaybyDay[],DaybyDay[[#This Row],[FORM_MATCH_HELPER]],10),"")</f>
        <v>7100.67</v>
      </c>
      <c r="AI1392" s="39" cm="1">
        <f t="array" ref="AI1392">IFERROR(INDEX(DaybyDay[],DaybyDay[[#This Row],[FORM_MATCH_HELPER]],12),"")</f>
        <v>1745.99</v>
      </c>
      <c r="AJ1392" s="32">
        <f>IFERROR(DaybyDay[[#This Row],[Serv-LY-RU]]+DaybyDay[[#This Row],[Ret-LY-RU]],"")</f>
        <v>1725522.9309999982</v>
      </c>
      <c r="AK139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1711648.3599173669</v>
      </c>
      <c r="AL1392" s="77"/>
      <c r="AM1392" s="40" t="str">
        <f>IF(DaybyDay[[#This Row],[Admin Hours]]&gt;0,DaybyDay[[#This Row],[Admin Hours]]*$AM$2+$AM$3,"")</f>
        <v/>
      </c>
      <c r="AN1392" s="40">
        <f>SUMIFS(DaybyDay[Est-Admin-Payroll],DaybyDay[Date],"&gt;="&amp;$C$5,DaybyDay[RowYear],"&gt;="&amp;$C$4,DaybyDay[Date],"&lt;="&amp;DaybyDay[[#This Row],[Date]])</f>
        <v>13941.779999999997</v>
      </c>
      <c r="AO1392" s="41" t="str">
        <f>IF(AND(DaybyDay[[#This Row],[_Space]],ISNUMBER(DaybyDay[[#This Row],[Admin Hours]])),DaybyDay[[#This Row],[Est-Admin-Payroll]]/(DaybyDay[[#This Row],[Service-Actuals]]+DaybyDay[[#This Row],[Retail-Actuals]]),"")</f>
        <v/>
      </c>
      <c r="AP1392" s="41">
        <f>DaybyDay[[#This Row],[Estimated-Payroll-Rollup]]/DaybyDay[[#This Row],[Simple-Forecast]]</f>
        <v>8.1452360931617181E-3</v>
      </c>
      <c r="AQ139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338780.04950978956</v>
      </c>
      <c r="AR1392" s="77"/>
      <c r="AS1392" s="40" t="str">
        <f>IF(DaybyDay[[#This Row],[Retail Hours]]&gt;0,DaybyDay[[#This Row],[Retail Hours]]*$AS$2,"")</f>
        <v/>
      </c>
      <c r="AT1392" s="40">
        <f>SUMIFS(DaybyDay[Est-Retail-Payroll],DaybyDay[Date],"&gt;="&amp;$C$5,DaybyDay[RowYear],"&gt;="&amp;$C$4,DaybyDay[Date],"&lt;="&amp;DaybyDay[[#This Row],[Date]])</f>
        <v>2627.1</v>
      </c>
      <c r="AU1392" s="82" t="str">
        <f>IF(AND(DaybyDay[[#This Row],[_Space]],ISNUMBER(DaybyDay[[#This Row],[Retail Hours]])),DaybyDay[[#This Row],[Est-Retail-Payroll]]/(DaybyDay[[#This Row],[Retail-Actuals]]),"")</f>
        <v/>
      </c>
      <c r="AV1392" s="82">
        <f>DaybyDay[[#This Row],[Est-Retail-PayrollRU]]/DaybyDay[[#This Row],[Simple-Forecast-Retail]]</f>
        <v>7.7545888661430338E-3</v>
      </c>
      <c r="AW1392" s="8"/>
      <c r="AX1392" s="15"/>
      <c r="AY1392" s="8"/>
    </row>
    <row r="1393" spans="3:51" hidden="1" x14ac:dyDescent="0.25">
      <c r="C1393" s="26" t="str">
        <f>Tools!$C$1</f>
        <v>Example</v>
      </c>
      <c r="D1393" s="27" t="s">
        <v>77</v>
      </c>
      <c r="E1393" s="28">
        <v>2020</v>
      </c>
      <c r="F1393" s="28">
        <f>MATCH(DaybyDay[[#This Row],[RowMonth]],Table3[SummaryMonth],0)</f>
        <v>10</v>
      </c>
      <c r="G1393" s="29">
        <f>MATCH(DaybyDay[[#This Row],[LY-Date]],DaybyDay[Date],0)</f>
        <v>1023</v>
      </c>
      <c r="H1393" s="30">
        <f>WEEKDAY(DaybyDay[[#This Row],[Date]])</f>
        <v>1</v>
      </c>
      <c r="I1393" s="31">
        <v>44122</v>
      </c>
      <c r="J1393" s="74"/>
      <c r="K1393" s="32">
        <f>SUMIFS(BudgetSeasonality[365 Seasonality],BudgetSeasonality[MonthAdjustment],DaybyDay[[#This Row],[Date]])*SUMIFS(Budgets[Service-Budget],Budgets[BudgetMonth],DaybyDay[[#This Row],[RowMonth]],Budgets[BudgetYear],DaybyDay[[#This Row],[RowYear]])</f>
        <v>6631.633869573524</v>
      </c>
      <c r="L1393" s="75"/>
      <c r="M1393" s="32">
        <f>INDEX(BudgetSeasonality[365 Seasonality],MATCH(DaybyDay[[#This Row],[Date]],BudgetSeasonality[MonthAdjustment],0))*SUMIFS(Budgets[Retail-Budget],Budgets[BudgetMonth],DaybyDay[[#This Row],[RowMonth]],Budgets[BudgetYear],DaybyDay[[#This Row],[RowYear]])</f>
        <v>1696.2771621319737</v>
      </c>
      <c r="N1393" s="75"/>
      <c r="O1393" s="33">
        <f>SUMIFS(DaybyDay[Service-Budgets],DaybyDay[Date],"&gt;="&amp;$C$5,DaybyDay[RowYear],"&gt;="&amp;$C$4,DaybyDay[Date],"&lt;="&amp;DaybyDay[[#This Row],[Date]])</f>
        <v>1541412.207024158</v>
      </c>
      <c r="P1393" s="33">
        <f>SUMIFS(DaybyDay[Retail-Budgets],DaybyDay[Date],"&gt;="&amp;$C$5,DaybyDay[RowYear],"&gt;="&amp;$C$4,DaybyDay[Date],"&lt;="&amp;DaybyDay[[#This Row],[Date]])</f>
        <v>397567.88407525956</v>
      </c>
      <c r="Q1393" s="34">
        <f>SUMIFS(DaybyDay[Service-Actuals],DaybyDay[Date],"&gt;="&amp;$C$5,DaybyDay[RowYear],"&gt;="&amp;$C$4,DaybyDay[Date],"&lt;="&amp;DaybyDay[[#This Row],[Date]])</f>
        <v>385554.23</v>
      </c>
      <c r="R1393" s="34">
        <f>SUMIFS(DaybyDay[Retail-Actuals],DaybyDay[Date],"&gt;="&amp;$C$5,DaybyDay[RowYear],"&gt;="&amp;$C$4,DaybyDay[Date],"&lt;="&amp;DaybyDay[[#This Row],[Date]])</f>
        <v>88360.030000000028</v>
      </c>
      <c r="S1393" s="35">
        <f>SUMIFS(DaybyDay[Service-LY],DaybyDay[Date],"&gt;="&amp;$C$5,DaybyDay[RowYear],"&gt;="&amp;$C$4,DaybyDay[Date],"&lt;="&amp;DaybyDay[[#This Row],[Date]])</f>
        <v>1394631.9109999982</v>
      </c>
      <c r="T1393" s="35">
        <f>SUMIFS(DaybyDay[Retail-LY],DaybyDay[Date],"&gt;="&amp;$C$5,DaybyDay[RowYear],"&gt;="&amp;$C$4,DaybyDay[Date],"&lt;="&amp;DaybyDay[[#This Row],[Date]])</f>
        <v>336743.4599999999</v>
      </c>
      <c r="U1393" s="32">
        <f>DaybyDay[[#This Row],[Serv-Bud-RU]]+DaybyDay[[#This Row],[Ret-Bud-RU]]</f>
        <v>1938980.0910994175</v>
      </c>
      <c r="V1393" s="32">
        <f>DaybyDay[[#This Row],[Serv-Act-RU]]+DaybyDay[[#This Row],[Ret-Act-RU]]</f>
        <v>473914.26</v>
      </c>
      <c r="W1393" s="36" t="str">
        <f>IF(DaybyDay[[#This Row],[_Space]],IFERROR(
((DaybyDay[[#This Row],[Actual-Rollup]]-DaybyDay[[#This Row],[Budget-Rollup]])/DaybyDay[[#This Row],[Budget-Rollup]]),0),"")</f>
        <v/>
      </c>
      <c r="X1393" t="b">
        <f>NOT(AND(ISBLANK(DaybyDay[[#This Row],[Appts]]),ISBLANK(DaybyDay[[#This Row],[Service-Actuals]]),ISBLANK(DaybyDay[[#This Row],[Retail-Actuals]])))</f>
        <v>0</v>
      </c>
      <c r="Y1393" s="36" t="str">
        <f>IF(DaybyDay[[#This Row],[_Space]],IFERROR(
((DaybyDay[[#This Row],[Actual-Rollup]]-DaybyDay[[#This Row],[LY-Rollup]])/DaybyDay[[#This Row],[LY-Rollup]]),0),"")</f>
        <v/>
      </c>
      <c r="Z1393"/>
      <c r="AA1393" s="37" t="str">
        <f>IF(DaybyDay[[#This Row],[_Space]],DaybyDay[[#This Row],[Ret-Act-RU]]/DaybyDay[[#This Row],[Serv-Act-RU]],"")</f>
        <v/>
      </c>
      <c r="AB1393" s="50" t="str">
        <f>IF(DaybyDay[[#This Row],[_Space]],DaybyDay[[#This Row],[RETPEN-Act]]/DaybyDay[[#This Row],[RETPEN-Bud]],"")</f>
        <v/>
      </c>
      <c r="AC1393" s="37" t="str">
        <f>IF(DaybyDay[[#This Row],[_Space]],DaybyDay[[#This Row],[Ret-Bud-RU]]/DaybyDay[[#This Row],[Serv-Bud-RU]],"")</f>
        <v/>
      </c>
      <c r="AD1393" s="37" t="str">
        <f>IF(DaybyDay[[#This Row],[_Space]],DaybyDay[[#This Row],[Ret-LY-RU]]/DaybyDay[[#This Row],[Serv-LY-RU]],"")</f>
        <v/>
      </c>
      <c r="AE1393" s="30">
        <f>WEEKDAY(DaybyDay[[#This Row],[LY-Date]])</f>
        <v>1</v>
      </c>
      <c r="AF1393" s="38">
        <f>$E$2+_xlfn.DAYS(DaybyDay[[#This Row],[Date]],minDate)</f>
        <v>43758</v>
      </c>
      <c r="AG1393" s="39" cm="1">
        <f t="array" ref="AG1393">IFERROR(INDEX(DaybyDay[],DaybyDay[[#This Row],[FORM_MATCH_HELPER]],8),"")</f>
        <v>24</v>
      </c>
      <c r="AH1393" s="39" cm="1">
        <f t="array" ref="AH1393">IFERROR(INDEX(DaybyDay[],DaybyDay[[#This Row],[FORM_MATCH_HELPER]],10),"")</f>
        <v>5418.8899999999994</v>
      </c>
      <c r="AI1393" s="39" cm="1">
        <f t="array" ref="AI1393">IFERROR(INDEX(DaybyDay[],DaybyDay[[#This Row],[FORM_MATCH_HELPER]],12),"")</f>
        <v>433.55</v>
      </c>
      <c r="AJ1393" s="32">
        <f>IFERROR(DaybyDay[[#This Row],[Serv-LY-RU]]+DaybyDay[[#This Row],[Ret-LY-RU]],"")</f>
        <v>1731375.3709999982</v>
      </c>
      <c r="AK139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1718076.1828399745</v>
      </c>
      <c r="AL1393" s="77"/>
      <c r="AM1393" s="40" t="str">
        <f>IF(DaybyDay[[#This Row],[Admin Hours]]&gt;0,DaybyDay[[#This Row],[Admin Hours]]*$AM$2+$AM$3,"")</f>
        <v/>
      </c>
      <c r="AN1393" s="40">
        <f>SUMIFS(DaybyDay[Est-Admin-Payroll],DaybyDay[Date],"&gt;="&amp;$C$5,DaybyDay[RowYear],"&gt;="&amp;$C$4,DaybyDay[Date],"&lt;="&amp;DaybyDay[[#This Row],[Date]])</f>
        <v>13941.779999999997</v>
      </c>
      <c r="AO1393" s="41" t="str">
        <f>IF(AND(DaybyDay[[#This Row],[_Space]],ISNUMBER(DaybyDay[[#This Row],[Admin Hours]])),DaybyDay[[#This Row],[Est-Admin-Payroll]]/(DaybyDay[[#This Row],[Service-Actuals]]+DaybyDay[[#This Row],[Retail-Actuals]]),"")</f>
        <v/>
      </c>
      <c r="AP1393" s="41">
        <f>DaybyDay[[#This Row],[Estimated-Payroll-Rollup]]/DaybyDay[[#This Row],[Simple-Forecast]]</f>
        <v>8.1147623948515935E-3</v>
      </c>
      <c r="AQ139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339715.3280572606</v>
      </c>
      <c r="AR1393" s="77"/>
      <c r="AS1393" s="40" t="str">
        <f>IF(DaybyDay[[#This Row],[Retail Hours]]&gt;0,DaybyDay[[#This Row],[Retail Hours]]*$AS$2,"")</f>
        <v/>
      </c>
      <c r="AT1393" s="40">
        <f>SUMIFS(DaybyDay[Est-Retail-Payroll],DaybyDay[Date],"&gt;="&amp;$C$5,DaybyDay[RowYear],"&gt;="&amp;$C$4,DaybyDay[Date],"&lt;="&amp;DaybyDay[[#This Row],[Date]])</f>
        <v>2627.1</v>
      </c>
      <c r="AU1393" s="82" t="str">
        <f>IF(AND(DaybyDay[[#This Row],[_Space]],ISNUMBER(DaybyDay[[#This Row],[Retail Hours]])),DaybyDay[[#This Row],[Est-Retail-Payroll]]/(DaybyDay[[#This Row],[Retail-Actuals]]),"")</f>
        <v/>
      </c>
      <c r="AV1393" s="82">
        <f>DaybyDay[[#This Row],[Est-Retail-PayrollRU]]/DaybyDay[[#This Row],[Simple-Forecast-Retail]]</f>
        <v>7.733239518580657E-3</v>
      </c>
      <c r="AW1393" s="8"/>
      <c r="AX1393" s="15"/>
      <c r="AY1393" s="8"/>
    </row>
    <row r="1394" spans="3:51" hidden="1" x14ac:dyDescent="0.25">
      <c r="C1394" s="26" t="str">
        <f>Tools!$C$1</f>
        <v>Example</v>
      </c>
      <c r="D1394" s="27" t="s">
        <v>77</v>
      </c>
      <c r="E1394" s="28">
        <v>2020</v>
      </c>
      <c r="F1394" s="28">
        <f>MATCH(DaybyDay[[#This Row],[RowMonth]],Table3[SummaryMonth],0)</f>
        <v>10</v>
      </c>
      <c r="G1394" s="29">
        <f>MATCH(DaybyDay[[#This Row],[LY-Date]],DaybyDay[Date],0)</f>
        <v>1024</v>
      </c>
      <c r="H1394" s="30">
        <f>WEEKDAY(DaybyDay[[#This Row],[Date]])</f>
        <v>2</v>
      </c>
      <c r="I1394" s="31">
        <v>44123</v>
      </c>
      <c r="J1394" s="74"/>
      <c r="K1394" s="32">
        <f>SUMIFS(BudgetSeasonality[365 Seasonality],BudgetSeasonality[MonthAdjustment],DaybyDay[[#This Row],[Date]])*SUMIFS(Budgets[Service-Budget],Budgets[BudgetMonth],DaybyDay[[#This Row],[RowMonth]],Budgets[BudgetYear],DaybyDay[[#This Row],[RowYear]])</f>
        <v>4111.2924237349371</v>
      </c>
      <c r="L1394" s="75"/>
      <c r="M1394" s="32">
        <f>INDEX(BudgetSeasonality[365 Seasonality],MATCH(DaybyDay[[#This Row],[Date]],BudgetSeasonality[MonthAdjustment],0))*SUMIFS(Budgets[Retail-Budget],Budgets[BudgetMonth],DaybyDay[[#This Row],[RowMonth]],Budgets[BudgetYear],DaybyDay[[#This Row],[RowYear]])</f>
        <v>1051.6098419161174</v>
      </c>
      <c r="N1394" s="75"/>
      <c r="O1394" s="33">
        <f>SUMIFS(DaybyDay[Service-Budgets],DaybyDay[Date],"&gt;="&amp;$C$5,DaybyDay[RowYear],"&gt;="&amp;$C$4,DaybyDay[Date],"&lt;="&amp;DaybyDay[[#This Row],[Date]])</f>
        <v>1545523.4994478929</v>
      </c>
      <c r="P1394" s="33">
        <f>SUMIFS(DaybyDay[Retail-Budgets],DaybyDay[Date],"&gt;="&amp;$C$5,DaybyDay[RowYear],"&gt;="&amp;$C$4,DaybyDay[Date],"&lt;="&amp;DaybyDay[[#This Row],[Date]])</f>
        <v>398619.49391717569</v>
      </c>
      <c r="Q1394" s="34">
        <f>SUMIFS(DaybyDay[Service-Actuals],DaybyDay[Date],"&gt;="&amp;$C$5,DaybyDay[RowYear],"&gt;="&amp;$C$4,DaybyDay[Date],"&lt;="&amp;DaybyDay[[#This Row],[Date]])</f>
        <v>385554.23</v>
      </c>
      <c r="R1394" s="34">
        <f>SUMIFS(DaybyDay[Retail-Actuals],DaybyDay[Date],"&gt;="&amp;$C$5,DaybyDay[RowYear],"&gt;="&amp;$C$4,DaybyDay[Date],"&lt;="&amp;DaybyDay[[#This Row],[Date]])</f>
        <v>88360.030000000028</v>
      </c>
      <c r="S1394" s="35">
        <f>SUMIFS(DaybyDay[Service-LY],DaybyDay[Date],"&gt;="&amp;$C$5,DaybyDay[RowYear],"&gt;="&amp;$C$4,DaybyDay[Date],"&lt;="&amp;DaybyDay[[#This Row],[Date]])</f>
        <v>1399273.8309999981</v>
      </c>
      <c r="T1394" s="35">
        <f>SUMIFS(DaybyDay[Retail-LY],DaybyDay[Date],"&gt;="&amp;$C$5,DaybyDay[RowYear],"&gt;="&amp;$C$4,DaybyDay[Date],"&lt;="&amp;DaybyDay[[#This Row],[Date]])</f>
        <v>337132.9599999999</v>
      </c>
      <c r="U1394" s="32">
        <f>DaybyDay[[#This Row],[Serv-Bud-RU]]+DaybyDay[[#This Row],[Ret-Bud-RU]]</f>
        <v>1944142.9933650685</v>
      </c>
      <c r="V1394" s="32">
        <f>DaybyDay[[#This Row],[Serv-Act-RU]]+DaybyDay[[#This Row],[Ret-Act-RU]]</f>
        <v>473914.26</v>
      </c>
      <c r="W1394" s="36" t="str">
        <f>IF(DaybyDay[[#This Row],[_Space]],IFERROR(
((DaybyDay[[#This Row],[Actual-Rollup]]-DaybyDay[[#This Row],[Budget-Rollup]])/DaybyDay[[#This Row],[Budget-Rollup]]),0),"")</f>
        <v/>
      </c>
      <c r="X1394" t="b">
        <f>NOT(AND(ISBLANK(DaybyDay[[#This Row],[Appts]]),ISBLANK(DaybyDay[[#This Row],[Service-Actuals]]),ISBLANK(DaybyDay[[#This Row],[Retail-Actuals]])))</f>
        <v>0</v>
      </c>
      <c r="Y1394" s="36" t="str">
        <f>IF(DaybyDay[[#This Row],[_Space]],IFERROR(
((DaybyDay[[#This Row],[Actual-Rollup]]-DaybyDay[[#This Row],[LY-Rollup]])/DaybyDay[[#This Row],[LY-Rollup]]),0),"")</f>
        <v/>
      </c>
      <c r="Z1394"/>
      <c r="AA1394" s="37" t="str">
        <f>IF(DaybyDay[[#This Row],[_Space]],DaybyDay[[#This Row],[Ret-Act-RU]]/DaybyDay[[#This Row],[Serv-Act-RU]],"")</f>
        <v/>
      </c>
      <c r="AB1394" s="50" t="str">
        <f>IF(DaybyDay[[#This Row],[_Space]],DaybyDay[[#This Row],[RETPEN-Act]]/DaybyDay[[#This Row],[RETPEN-Bud]],"")</f>
        <v/>
      </c>
      <c r="AC1394" s="37" t="str">
        <f>IF(DaybyDay[[#This Row],[_Space]],DaybyDay[[#This Row],[Ret-Bud-RU]]/DaybyDay[[#This Row],[Serv-Bud-RU]],"")</f>
        <v/>
      </c>
      <c r="AD1394" s="37" t="str">
        <f>IF(DaybyDay[[#This Row],[_Space]],DaybyDay[[#This Row],[Ret-LY-RU]]/DaybyDay[[#This Row],[Serv-LY-RU]],"")</f>
        <v/>
      </c>
      <c r="AE1394" s="30">
        <f>WEEKDAY(DaybyDay[[#This Row],[LY-Date]])</f>
        <v>2</v>
      </c>
      <c r="AF1394" s="38">
        <f>$E$2+_xlfn.DAYS(DaybyDay[[#This Row],[Date]],minDate)</f>
        <v>43759</v>
      </c>
      <c r="AG1394" s="39" cm="1">
        <f t="array" ref="AG1394">IFERROR(INDEX(DaybyDay[],DaybyDay[[#This Row],[FORM_MATCH_HELPER]],8),"")</f>
        <v>25</v>
      </c>
      <c r="AH1394" s="39" cm="1">
        <f t="array" ref="AH1394">IFERROR(INDEX(DaybyDay[],DaybyDay[[#This Row],[FORM_MATCH_HELPER]],10),"")</f>
        <v>4641.92</v>
      </c>
      <c r="AI1394" s="39" cm="1">
        <f t="array" ref="AI1394">IFERROR(INDEX(DaybyDay[],DaybyDay[[#This Row],[FORM_MATCH_HELPER]],12),"")</f>
        <v>389.5</v>
      </c>
      <c r="AJ1394" s="32">
        <f>IFERROR(DaybyDay[[#This Row],[Serv-LY-RU]]+DaybyDay[[#This Row],[Ret-LY-RU]],"")</f>
        <v>1736406.7909999981</v>
      </c>
      <c r="AK139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1722752.9556981642</v>
      </c>
      <c r="AL1394" s="77"/>
      <c r="AM1394" s="40" t="str">
        <f>IF(DaybyDay[[#This Row],[Admin Hours]]&gt;0,DaybyDay[[#This Row],[Admin Hours]]*$AM$2+$AM$3,"")</f>
        <v/>
      </c>
      <c r="AN1394" s="40">
        <f>SUMIFS(DaybyDay[Est-Admin-Payroll],DaybyDay[Date],"&gt;="&amp;$C$5,DaybyDay[RowYear],"&gt;="&amp;$C$4,DaybyDay[Date],"&lt;="&amp;DaybyDay[[#This Row],[Date]])</f>
        <v>13941.779999999997</v>
      </c>
      <c r="AO1394" s="41" t="str">
        <f>IF(AND(DaybyDay[[#This Row],[_Space]],ISNUMBER(DaybyDay[[#This Row],[Admin Hours]])),DaybyDay[[#This Row],[Est-Admin-Payroll]]/(DaybyDay[[#This Row],[Service-Actuals]]+DaybyDay[[#This Row],[Retail-Actuals]]),"")</f>
        <v/>
      </c>
      <c r="AP1394" s="41">
        <f>DaybyDay[[#This Row],[Estimated-Payroll-Rollup]]/DaybyDay[[#This Row],[Simple-Forecast]]</f>
        <v>8.0927331767948942E-3</v>
      </c>
      <c r="AQ139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340354.67570177716</v>
      </c>
      <c r="AR1394" s="77"/>
      <c r="AS1394" s="40" t="str">
        <f>IF(DaybyDay[[#This Row],[Retail Hours]]&gt;0,DaybyDay[[#This Row],[Retail Hours]]*$AS$2,"")</f>
        <v/>
      </c>
      <c r="AT1394" s="40">
        <f>SUMIFS(DaybyDay[Est-Retail-Payroll],DaybyDay[Date],"&gt;="&amp;$C$5,DaybyDay[RowYear],"&gt;="&amp;$C$4,DaybyDay[Date],"&lt;="&amp;DaybyDay[[#This Row],[Date]])</f>
        <v>2627.1</v>
      </c>
      <c r="AU1394" s="82" t="str">
        <f>IF(AND(DaybyDay[[#This Row],[_Space]],ISNUMBER(DaybyDay[[#This Row],[Retail Hours]])),DaybyDay[[#This Row],[Est-Retail-Payroll]]/(DaybyDay[[#This Row],[Retail-Actuals]]),"")</f>
        <v/>
      </c>
      <c r="AV1394" s="82">
        <f>DaybyDay[[#This Row],[Est-Retail-PayrollRU]]/DaybyDay[[#This Row],[Simple-Forecast-Retail]]</f>
        <v>7.7187128238599438E-3</v>
      </c>
      <c r="AW1394" s="8"/>
      <c r="AX1394" s="15"/>
      <c r="AY1394" s="8"/>
    </row>
    <row r="1395" spans="3:51" hidden="1" x14ac:dyDescent="0.25">
      <c r="C1395" s="26" t="str">
        <f>Tools!$C$1</f>
        <v>Example</v>
      </c>
      <c r="D1395" s="27" t="s">
        <v>77</v>
      </c>
      <c r="E1395" s="28">
        <v>2020</v>
      </c>
      <c r="F1395" s="28">
        <f>MATCH(DaybyDay[[#This Row],[RowMonth]],Table3[SummaryMonth],0)</f>
        <v>10</v>
      </c>
      <c r="G1395" s="29">
        <f>MATCH(DaybyDay[[#This Row],[LY-Date]],DaybyDay[Date],0)</f>
        <v>1025</v>
      </c>
      <c r="H1395" s="30">
        <f>WEEKDAY(DaybyDay[[#This Row],[Date]])</f>
        <v>3</v>
      </c>
      <c r="I1395" s="31">
        <v>44124</v>
      </c>
      <c r="J1395" s="74"/>
      <c r="K1395" s="32">
        <f>SUMIFS(BudgetSeasonality[365 Seasonality],BudgetSeasonality[MonthAdjustment],DaybyDay[[#This Row],[Date]])*SUMIFS(Budgets[Service-Budget],Budgets[BudgetMonth],DaybyDay[[#This Row],[RowMonth]],Budgets[BudgetYear],DaybyDay[[#This Row],[RowYear]])</f>
        <v>4260.375814210176</v>
      </c>
      <c r="L1395" s="75"/>
      <c r="M1395" s="32">
        <f>INDEX(BudgetSeasonality[365 Seasonality],MATCH(DaybyDay[[#This Row],[Date]],BudgetSeasonality[MonthAdjustment],0))*SUMIFS(Budgets[Retail-Budget],Budgets[BudgetMonth],DaybyDay[[#This Row],[RowMonth]],Budgets[BudgetYear],DaybyDay[[#This Row],[RowYear]])</f>
        <v>1089.7432424460555</v>
      </c>
      <c r="N1395" s="75"/>
      <c r="O1395" s="33">
        <f>SUMIFS(DaybyDay[Service-Budgets],DaybyDay[Date],"&gt;="&amp;$C$5,DaybyDay[RowYear],"&gt;="&amp;$C$4,DaybyDay[Date],"&lt;="&amp;DaybyDay[[#This Row],[Date]])</f>
        <v>1549783.875262103</v>
      </c>
      <c r="P1395" s="33">
        <f>SUMIFS(DaybyDay[Retail-Budgets],DaybyDay[Date],"&gt;="&amp;$C$5,DaybyDay[RowYear],"&gt;="&amp;$C$4,DaybyDay[Date],"&lt;="&amp;DaybyDay[[#This Row],[Date]])</f>
        <v>399709.23715962173</v>
      </c>
      <c r="Q1395" s="34">
        <f>SUMIFS(DaybyDay[Service-Actuals],DaybyDay[Date],"&gt;="&amp;$C$5,DaybyDay[RowYear],"&gt;="&amp;$C$4,DaybyDay[Date],"&lt;="&amp;DaybyDay[[#This Row],[Date]])</f>
        <v>385554.23</v>
      </c>
      <c r="R1395" s="34">
        <f>SUMIFS(DaybyDay[Retail-Actuals],DaybyDay[Date],"&gt;="&amp;$C$5,DaybyDay[RowYear],"&gt;="&amp;$C$4,DaybyDay[Date],"&lt;="&amp;DaybyDay[[#This Row],[Date]])</f>
        <v>88360.030000000028</v>
      </c>
      <c r="S1395" s="35">
        <f>SUMIFS(DaybyDay[Service-LY],DaybyDay[Date],"&gt;="&amp;$C$5,DaybyDay[RowYear],"&gt;="&amp;$C$4,DaybyDay[Date],"&lt;="&amp;DaybyDay[[#This Row],[Date]])</f>
        <v>1403557.4309999982</v>
      </c>
      <c r="T1395" s="35">
        <f>SUMIFS(DaybyDay[Retail-LY],DaybyDay[Date],"&gt;="&amp;$C$5,DaybyDay[RowYear],"&gt;="&amp;$C$4,DaybyDay[Date],"&lt;="&amp;DaybyDay[[#This Row],[Date]])</f>
        <v>337443.85999999993</v>
      </c>
      <c r="U1395" s="32">
        <f>DaybyDay[[#This Row],[Serv-Bud-RU]]+DaybyDay[[#This Row],[Ret-Bud-RU]]</f>
        <v>1949493.1124217247</v>
      </c>
      <c r="V1395" s="32">
        <f>DaybyDay[[#This Row],[Serv-Act-RU]]+DaybyDay[[#This Row],[Ret-Act-RU]]</f>
        <v>473914.26</v>
      </c>
      <c r="W1395" s="36" t="str">
        <f>IF(DaybyDay[[#This Row],[_Space]],IFERROR(
((DaybyDay[[#This Row],[Actual-Rollup]]-DaybyDay[[#This Row],[Budget-Rollup]])/DaybyDay[[#This Row],[Budget-Rollup]]),0),"")</f>
        <v/>
      </c>
      <c r="X1395" t="b">
        <f>NOT(AND(ISBLANK(DaybyDay[[#This Row],[Appts]]),ISBLANK(DaybyDay[[#This Row],[Service-Actuals]]),ISBLANK(DaybyDay[[#This Row],[Retail-Actuals]])))</f>
        <v>0</v>
      </c>
      <c r="Y1395" s="36" t="str">
        <f>IF(DaybyDay[[#This Row],[_Space]],IFERROR(
((DaybyDay[[#This Row],[Actual-Rollup]]-DaybyDay[[#This Row],[LY-Rollup]])/DaybyDay[[#This Row],[LY-Rollup]]),0),"")</f>
        <v/>
      </c>
      <c r="Z1395"/>
      <c r="AA1395" s="37" t="str">
        <f>IF(DaybyDay[[#This Row],[_Space]],DaybyDay[[#This Row],[Ret-Act-RU]]/DaybyDay[[#This Row],[Serv-Act-RU]],"")</f>
        <v/>
      </c>
      <c r="AB1395" s="50" t="str">
        <f>IF(DaybyDay[[#This Row],[_Space]],DaybyDay[[#This Row],[RETPEN-Act]]/DaybyDay[[#This Row],[RETPEN-Bud]],"")</f>
        <v/>
      </c>
      <c r="AC1395" s="37" t="str">
        <f>IF(DaybyDay[[#This Row],[_Space]],DaybyDay[[#This Row],[Ret-Bud-RU]]/DaybyDay[[#This Row],[Serv-Bud-RU]],"")</f>
        <v/>
      </c>
      <c r="AD1395" s="37" t="str">
        <f>IF(DaybyDay[[#This Row],[_Space]],DaybyDay[[#This Row],[Ret-LY-RU]]/DaybyDay[[#This Row],[Serv-LY-RU]],"")</f>
        <v/>
      </c>
      <c r="AE1395" s="30">
        <f>WEEKDAY(DaybyDay[[#This Row],[LY-Date]])</f>
        <v>3</v>
      </c>
      <c r="AF1395" s="38">
        <f>$E$2+_xlfn.DAYS(DaybyDay[[#This Row],[Date]],minDate)</f>
        <v>43760</v>
      </c>
      <c r="AG1395" s="39" cm="1">
        <f t="array" ref="AG1395">IFERROR(INDEX(DaybyDay[],DaybyDay[[#This Row],[FORM_MATCH_HELPER]],8),"")</f>
        <v>14</v>
      </c>
      <c r="AH1395" s="39" cm="1">
        <f t="array" ref="AH1395">IFERROR(INDEX(DaybyDay[],DaybyDay[[#This Row],[FORM_MATCH_HELPER]],10),"")</f>
        <v>4283.6000000000004</v>
      </c>
      <c r="AI1395" s="39" cm="1">
        <f t="array" ref="AI1395">IFERROR(INDEX(DaybyDay[],DaybyDay[[#This Row],[FORM_MATCH_HELPER]],12),"")</f>
        <v>310.89999999999998</v>
      </c>
      <c r="AJ1395" s="32">
        <f>IFERROR(DaybyDay[[#This Row],[Serv-LY-RU]]+DaybyDay[[#This Row],[Ret-LY-RU]],"")</f>
        <v>1741001.2909999981</v>
      </c>
      <c r="AK139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1727293.9416763778</v>
      </c>
      <c r="AL1395" s="77"/>
      <c r="AM1395" s="40" t="str">
        <f>IF(DaybyDay[[#This Row],[Admin Hours]]&gt;0,DaybyDay[[#This Row],[Admin Hours]]*$AM$2+$AM$3,"")</f>
        <v/>
      </c>
      <c r="AN1395" s="40">
        <f>SUMIFS(DaybyDay[Est-Admin-Payroll],DaybyDay[Date],"&gt;="&amp;$C$5,DaybyDay[RowYear],"&gt;="&amp;$C$4,DaybyDay[Date],"&lt;="&amp;DaybyDay[[#This Row],[Date]])</f>
        <v>13941.779999999997</v>
      </c>
      <c r="AO1395" s="41" t="str">
        <f>IF(AND(DaybyDay[[#This Row],[_Space]],ISNUMBER(DaybyDay[[#This Row],[Admin Hours]])),DaybyDay[[#This Row],[Est-Admin-Payroll]]/(DaybyDay[[#This Row],[Service-Actuals]]+DaybyDay[[#This Row],[Retail-Actuals]]),"")</f>
        <v/>
      </c>
      <c r="AP1395" s="41">
        <f>DaybyDay[[#This Row],[Estimated-Payroll-Rollup]]/DaybyDay[[#This Row],[Simple-Forecast]]</f>
        <v>8.0714577082747051E-3</v>
      </c>
      <c r="AQ139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340971.49037476873</v>
      </c>
      <c r="AR1395" s="77"/>
      <c r="AS1395" s="40" t="str">
        <f>IF(DaybyDay[[#This Row],[Retail Hours]]&gt;0,DaybyDay[[#This Row],[Retail Hours]]*$AS$2,"")</f>
        <v/>
      </c>
      <c r="AT1395" s="40">
        <f>SUMIFS(DaybyDay[Est-Retail-Payroll],DaybyDay[Date],"&gt;="&amp;$C$5,DaybyDay[RowYear],"&gt;="&amp;$C$4,DaybyDay[Date],"&lt;="&amp;DaybyDay[[#This Row],[Date]])</f>
        <v>2627.1</v>
      </c>
      <c r="AU1395" s="82" t="str">
        <f>IF(AND(DaybyDay[[#This Row],[_Space]],ISNUMBER(DaybyDay[[#This Row],[Retail Hours]])),DaybyDay[[#This Row],[Est-Retail-Payroll]]/(DaybyDay[[#This Row],[Retail-Actuals]]),"")</f>
        <v/>
      </c>
      <c r="AV1395" s="82">
        <f>DaybyDay[[#This Row],[Est-Retail-PayrollRU]]/DaybyDay[[#This Row],[Simple-Forecast-Retail]]</f>
        <v>7.7047497346845644E-3</v>
      </c>
      <c r="AW1395" s="8"/>
      <c r="AX1395" s="15"/>
      <c r="AY1395" s="8"/>
    </row>
    <row r="1396" spans="3:51" hidden="1" x14ac:dyDescent="0.25">
      <c r="C1396" s="26" t="str">
        <f>Tools!$C$1</f>
        <v>Example</v>
      </c>
      <c r="D1396" s="27" t="s">
        <v>77</v>
      </c>
      <c r="E1396" s="28">
        <v>2020</v>
      </c>
      <c r="F1396" s="28">
        <f>MATCH(DaybyDay[[#This Row],[RowMonth]],Table3[SummaryMonth],0)</f>
        <v>10</v>
      </c>
      <c r="G1396" s="29">
        <f>MATCH(DaybyDay[[#This Row],[LY-Date]],DaybyDay[Date],0)</f>
        <v>1026</v>
      </c>
      <c r="H1396" s="30">
        <f>WEEKDAY(DaybyDay[[#This Row],[Date]])</f>
        <v>4</v>
      </c>
      <c r="I1396" s="31">
        <v>44125</v>
      </c>
      <c r="J1396" s="74"/>
      <c r="K1396" s="32">
        <f>SUMIFS(BudgetSeasonality[365 Seasonality],BudgetSeasonality[MonthAdjustment],DaybyDay[[#This Row],[Date]])*SUMIFS(Budgets[Service-Budget],Budgets[BudgetMonth],DaybyDay[[#This Row],[RowMonth]],Budgets[BudgetYear],DaybyDay[[#This Row],[RowYear]])</f>
        <v>4876.5350755055788</v>
      </c>
      <c r="L1396" s="75"/>
      <c r="M1396" s="32">
        <f>INDEX(BudgetSeasonality[365 Seasonality],MATCH(DaybyDay[[#This Row],[Date]],BudgetSeasonality[MonthAdjustment],0))*SUMIFS(Budgets[Retail-Budget],Budgets[BudgetMonth],DaybyDay[[#This Row],[RowMonth]],Budgets[BudgetYear],DaybyDay[[#This Row],[RowYear]])</f>
        <v>1247.3479751148561</v>
      </c>
      <c r="N1396" s="75"/>
      <c r="O1396" s="33">
        <f>SUMIFS(DaybyDay[Service-Budgets],DaybyDay[Date],"&gt;="&amp;$C$5,DaybyDay[RowYear],"&gt;="&amp;$C$4,DaybyDay[Date],"&lt;="&amp;DaybyDay[[#This Row],[Date]])</f>
        <v>1554660.4103376085</v>
      </c>
      <c r="P1396" s="33">
        <f>SUMIFS(DaybyDay[Retail-Budgets],DaybyDay[Date],"&gt;="&amp;$C$5,DaybyDay[RowYear],"&gt;="&amp;$C$4,DaybyDay[Date],"&lt;="&amp;DaybyDay[[#This Row],[Date]])</f>
        <v>400956.58513473661</v>
      </c>
      <c r="Q1396" s="34">
        <f>SUMIFS(DaybyDay[Service-Actuals],DaybyDay[Date],"&gt;="&amp;$C$5,DaybyDay[RowYear],"&gt;="&amp;$C$4,DaybyDay[Date],"&lt;="&amp;DaybyDay[[#This Row],[Date]])</f>
        <v>385554.23</v>
      </c>
      <c r="R1396" s="34">
        <f>SUMIFS(DaybyDay[Retail-Actuals],DaybyDay[Date],"&gt;="&amp;$C$5,DaybyDay[RowYear],"&gt;="&amp;$C$4,DaybyDay[Date],"&lt;="&amp;DaybyDay[[#This Row],[Date]])</f>
        <v>88360.030000000028</v>
      </c>
      <c r="S1396" s="35">
        <f>SUMIFS(DaybyDay[Service-LY],DaybyDay[Date],"&gt;="&amp;$C$5,DaybyDay[RowYear],"&gt;="&amp;$C$4,DaybyDay[Date],"&lt;="&amp;DaybyDay[[#This Row],[Date]])</f>
        <v>1408000.9209999982</v>
      </c>
      <c r="T1396" s="35">
        <f>SUMIFS(DaybyDay[Retail-LY],DaybyDay[Date],"&gt;="&amp;$C$5,DaybyDay[RowYear],"&gt;="&amp;$C$4,DaybyDay[Date],"&lt;="&amp;DaybyDay[[#This Row],[Date]])</f>
        <v>338764.85999999993</v>
      </c>
      <c r="U1396" s="32">
        <f>DaybyDay[[#This Row],[Serv-Bud-RU]]+DaybyDay[[#This Row],[Ret-Bud-RU]]</f>
        <v>1955616.995472345</v>
      </c>
      <c r="V1396" s="32">
        <f>DaybyDay[[#This Row],[Serv-Act-RU]]+DaybyDay[[#This Row],[Ret-Act-RU]]</f>
        <v>473914.26</v>
      </c>
      <c r="W1396" s="36" t="str">
        <f>IF(DaybyDay[[#This Row],[_Space]],IFERROR(
((DaybyDay[[#This Row],[Actual-Rollup]]-DaybyDay[[#This Row],[Budget-Rollup]])/DaybyDay[[#This Row],[Budget-Rollup]]),0),"")</f>
        <v/>
      </c>
      <c r="X1396" t="b">
        <f>NOT(AND(ISBLANK(DaybyDay[[#This Row],[Appts]]),ISBLANK(DaybyDay[[#This Row],[Service-Actuals]]),ISBLANK(DaybyDay[[#This Row],[Retail-Actuals]])))</f>
        <v>0</v>
      </c>
      <c r="Y1396" s="36" t="str">
        <f>IF(DaybyDay[[#This Row],[_Space]],IFERROR(
((DaybyDay[[#This Row],[Actual-Rollup]]-DaybyDay[[#This Row],[LY-Rollup]])/DaybyDay[[#This Row],[LY-Rollup]]),0),"")</f>
        <v/>
      </c>
      <c r="Z1396"/>
      <c r="AA1396" s="37" t="str">
        <f>IF(DaybyDay[[#This Row],[_Space]],DaybyDay[[#This Row],[Ret-Act-RU]]/DaybyDay[[#This Row],[Serv-Act-RU]],"")</f>
        <v/>
      </c>
      <c r="AB1396" s="50" t="str">
        <f>IF(DaybyDay[[#This Row],[_Space]],DaybyDay[[#This Row],[RETPEN-Act]]/DaybyDay[[#This Row],[RETPEN-Bud]],"")</f>
        <v/>
      </c>
      <c r="AC1396" s="37" t="str">
        <f>IF(DaybyDay[[#This Row],[_Space]],DaybyDay[[#This Row],[Ret-Bud-RU]]/DaybyDay[[#This Row],[Serv-Bud-RU]],"")</f>
        <v/>
      </c>
      <c r="AD1396" s="37" t="str">
        <f>IF(DaybyDay[[#This Row],[_Space]],DaybyDay[[#This Row],[Ret-LY-RU]]/DaybyDay[[#This Row],[Serv-LY-RU]],"")</f>
        <v/>
      </c>
      <c r="AE1396" s="30">
        <f>WEEKDAY(DaybyDay[[#This Row],[LY-Date]])</f>
        <v>4</v>
      </c>
      <c r="AF1396" s="38">
        <f>$E$2+_xlfn.DAYS(DaybyDay[[#This Row],[Date]],minDate)</f>
        <v>43761</v>
      </c>
      <c r="AG1396" s="39" cm="1">
        <f t="array" ref="AG1396">IFERROR(INDEX(DaybyDay[],DaybyDay[[#This Row],[FORM_MATCH_HELPER]],8),"")</f>
        <v>22</v>
      </c>
      <c r="AH1396" s="39" cm="1">
        <f t="array" ref="AH1396">IFERROR(INDEX(DaybyDay[],DaybyDay[[#This Row],[FORM_MATCH_HELPER]],10),"")</f>
        <v>4443.49</v>
      </c>
      <c r="AI1396" s="39" cm="1">
        <f t="array" ref="AI1396">IFERROR(INDEX(DaybyDay[],DaybyDay[[#This Row],[FORM_MATCH_HELPER]],12),"")</f>
        <v>1321</v>
      </c>
      <c r="AJ1396" s="32">
        <f>IFERROR(DaybyDay[[#This Row],[Serv-LY-RU]]+DaybyDay[[#This Row],[Ret-LY-RU]],"")</f>
        <v>1746765.7809999981</v>
      </c>
      <c r="AK139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1732740.9075323031</v>
      </c>
      <c r="AL1396" s="77"/>
      <c r="AM1396" s="40" t="str">
        <f>IF(DaybyDay[[#This Row],[Admin Hours]]&gt;0,DaybyDay[[#This Row],[Admin Hours]]*$AM$2+$AM$3,"")</f>
        <v/>
      </c>
      <c r="AN1396" s="40">
        <f>SUMIFS(DaybyDay[Est-Admin-Payroll],DaybyDay[Date],"&gt;="&amp;$C$5,DaybyDay[RowYear],"&gt;="&amp;$C$4,DaybyDay[Date],"&lt;="&amp;DaybyDay[[#This Row],[Date]])</f>
        <v>13941.779999999997</v>
      </c>
      <c r="AO1396" s="41" t="str">
        <f>IF(AND(DaybyDay[[#This Row],[_Space]],ISNUMBER(DaybyDay[[#This Row],[Admin Hours]])),DaybyDay[[#This Row],[Est-Admin-Payroll]]/(DaybyDay[[#This Row],[Service-Actuals]]+DaybyDay[[#This Row],[Retail-Actuals]]),"")</f>
        <v/>
      </c>
      <c r="AP1396" s="41">
        <f>DaybyDay[[#This Row],[Estimated-Payroll-Rollup]]/DaybyDay[[#This Row],[Simple-Forecast]]</f>
        <v>8.0460846393101519E-3</v>
      </c>
      <c r="AQ139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342153.36593608197</v>
      </c>
      <c r="AR1396" s="77"/>
      <c r="AS1396" s="40" t="str">
        <f>IF(DaybyDay[[#This Row],[Retail Hours]]&gt;0,DaybyDay[[#This Row],[Retail Hours]]*$AS$2,"")</f>
        <v/>
      </c>
      <c r="AT1396" s="40">
        <f>SUMIFS(DaybyDay[Est-Retail-Payroll],DaybyDay[Date],"&gt;="&amp;$C$5,DaybyDay[RowYear],"&gt;="&amp;$C$4,DaybyDay[Date],"&lt;="&amp;DaybyDay[[#This Row],[Date]])</f>
        <v>2627.1</v>
      </c>
      <c r="AU1396" s="82" t="str">
        <f>IF(AND(DaybyDay[[#This Row],[_Space]],ISNUMBER(DaybyDay[[#This Row],[Retail Hours]])),DaybyDay[[#This Row],[Est-Retail-Payroll]]/(DaybyDay[[#This Row],[Retail-Actuals]]),"")</f>
        <v/>
      </c>
      <c r="AV1396" s="82">
        <f>DaybyDay[[#This Row],[Est-Retail-PayrollRU]]/DaybyDay[[#This Row],[Simple-Forecast-Retail]]</f>
        <v>7.6781357763721992E-3</v>
      </c>
      <c r="AW1396" s="8"/>
      <c r="AX1396" s="15"/>
      <c r="AY1396" s="8"/>
    </row>
    <row r="1397" spans="3:51" hidden="1" x14ac:dyDescent="0.25">
      <c r="C1397" s="26" t="str">
        <f>Tools!$C$1</f>
        <v>Example</v>
      </c>
      <c r="D1397" s="27" t="s">
        <v>77</v>
      </c>
      <c r="E1397" s="28">
        <v>2020</v>
      </c>
      <c r="F1397" s="28">
        <f>MATCH(DaybyDay[[#This Row],[RowMonth]],Table3[SummaryMonth],0)</f>
        <v>10</v>
      </c>
      <c r="G1397" s="29">
        <f>MATCH(DaybyDay[[#This Row],[LY-Date]],DaybyDay[Date],0)</f>
        <v>1027</v>
      </c>
      <c r="H1397" s="30">
        <f>WEEKDAY(DaybyDay[[#This Row],[Date]])</f>
        <v>5</v>
      </c>
      <c r="I1397" s="31">
        <v>44126</v>
      </c>
      <c r="J1397" s="74"/>
      <c r="K1397" s="32">
        <f>SUMIFS(BudgetSeasonality[365 Seasonality],BudgetSeasonality[MonthAdjustment],DaybyDay[[#This Row],[Date]])*SUMIFS(Budgets[Service-Budget],Budgets[BudgetMonth],DaybyDay[[#This Row],[RowMonth]],Budgets[BudgetYear],DaybyDay[[#This Row],[RowYear]])</f>
        <v>5016.3972657147842</v>
      </c>
      <c r="L1397" s="75"/>
      <c r="M1397" s="32">
        <f>INDEX(BudgetSeasonality[365 Seasonality],MATCH(DaybyDay[[#This Row],[Date]],BudgetSeasonality[MonthAdjustment],0))*SUMIFS(Budgets[Retail-Budget],Budgets[BudgetMonth],DaybyDay[[#This Row],[RowMonth]],Budgets[BudgetYear],DaybyDay[[#This Row],[RowYear]])</f>
        <v>1283.1227244094657</v>
      </c>
      <c r="N1397" s="75"/>
      <c r="O1397" s="33">
        <f>SUMIFS(DaybyDay[Service-Budgets],DaybyDay[Date],"&gt;="&amp;$C$5,DaybyDay[RowYear],"&gt;="&amp;$C$4,DaybyDay[Date],"&lt;="&amp;DaybyDay[[#This Row],[Date]])</f>
        <v>1559676.8076033234</v>
      </c>
      <c r="P1397" s="33">
        <f>SUMIFS(DaybyDay[Retail-Budgets],DaybyDay[Date],"&gt;="&amp;$C$5,DaybyDay[RowYear],"&gt;="&amp;$C$4,DaybyDay[Date],"&lt;="&amp;DaybyDay[[#This Row],[Date]])</f>
        <v>402239.70785914606</v>
      </c>
      <c r="Q1397" s="34">
        <f>SUMIFS(DaybyDay[Service-Actuals],DaybyDay[Date],"&gt;="&amp;$C$5,DaybyDay[RowYear],"&gt;="&amp;$C$4,DaybyDay[Date],"&lt;="&amp;DaybyDay[[#This Row],[Date]])</f>
        <v>385554.23</v>
      </c>
      <c r="R1397" s="34">
        <f>SUMIFS(DaybyDay[Retail-Actuals],DaybyDay[Date],"&gt;="&amp;$C$5,DaybyDay[RowYear],"&gt;="&amp;$C$4,DaybyDay[Date],"&lt;="&amp;DaybyDay[[#This Row],[Date]])</f>
        <v>88360.030000000028</v>
      </c>
      <c r="S1397" s="35">
        <f>SUMIFS(DaybyDay[Service-LY],DaybyDay[Date],"&gt;="&amp;$C$5,DaybyDay[RowYear],"&gt;="&amp;$C$4,DaybyDay[Date],"&lt;="&amp;DaybyDay[[#This Row],[Date]])</f>
        <v>1412120.6209999982</v>
      </c>
      <c r="T1397" s="35">
        <f>SUMIFS(DaybyDay[Retail-LY],DaybyDay[Date],"&gt;="&amp;$C$5,DaybyDay[RowYear],"&gt;="&amp;$C$4,DaybyDay[Date],"&lt;="&amp;DaybyDay[[#This Row],[Date]])</f>
        <v>340297.65999999992</v>
      </c>
      <c r="U1397" s="32">
        <f>DaybyDay[[#This Row],[Serv-Bud-RU]]+DaybyDay[[#This Row],[Ret-Bud-RU]]</f>
        <v>1961916.5154624693</v>
      </c>
      <c r="V1397" s="32">
        <f>DaybyDay[[#This Row],[Serv-Act-RU]]+DaybyDay[[#This Row],[Ret-Act-RU]]</f>
        <v>473914.26</v>
      </c>
      <c r="W1397" s="36" t="str">
        <f>IF(DaybyDay[[#This Row],[_Space]],IFERROR(
((DaybyDay[[#This Row],[Actual-Rollup]]-DaybyDay[[#This Row],[Budget-Rollup]])/DaybyDay[[#This Row],[Budget-Rollup]]),0),"")</f>
        <v/>
      </c>
      <c r="X1397" t="b">
        <f>NOT(AND(ISBLANK(DaybyDay[[#This Row],[Appts]]),ISBLANK(DaybyDay[[#This Row],[Service-Actuals]]),ISBLANK(DaybyDay[[#This Row],[Retail-Actuals]])))</f>
        <v>0</v>
      </c>
      <c r="Y1397" s="36" t="str">
        <f>IF(DaybyDay[[#This Row],[_Space]],IFERROR(
((DaybyDay[[#This Row],[Actual-Rollup]]-DaybyDay[[#This Row],[LY-Rollup]])/DaybyDay[[#This Row],[LY-Rollup]]),0),"")</f>
        <v/>
      </c>
      <c r="Z1397"/>
      <c r="AA1397" s="37" t="str">
        <f>IF(DaybyDay[[#This Row],[_Space]],DaybyDay[[#This Row],[Ret-Act-RU]]/DaybyDay[[#This Row],[Serv-Act-RU]],"")</f>
        <v/>
      </c>
      <c r="AB1397" s="50" t="str">
        <f>IF(DaybyDay[[#This Row],[_Space]],DaybyDay[[#This Row],[RETPEN-Act]]/DaybyDay[[#This Row],[RETPEN-Bud]],"")</f>
        <v/>
      </c>
      <c r="AC1397" s="37" t="str">
        <f>IF(DaybyDay[[#This Row],[_Space]],DaybyDay[[#This Row],[Ret-Bud-RU]]/DaybyDay[[#This Row],[Serv-Bud-RU]],"")</f>
        <v/>
      </c>
      <c r="AD1397" s="37" t="str">
        <f>IF(DaybyDay[[#This Row],[_Space]],DaybyDay[[#This Row],[Ret-LY-RU]]/DaybyDay[[#This Row],[Serv-LY-RU]],"")</f>
        <v/>
      </c>
      <c r="AE1397" s="30">
        <f>WEEKDAY(DaybyDay[[#This Row],[LY-Date]])</f>
        <v>5</v>
      </c>
      <c r="AF1397" s="38">
        <f>$E$2+_xlfn.DAYS(DaybyDay[[#This Row],[Date]],minDate)</f>
        <v>43762</v>
      </c>
      <c r="AG1397" s="39" cm="1">
        <f t="array" ref="AG1397">IFERROR(INDEX(DaybyDay[],DaybyDay[[#This Row],[FORM_MATCH_HELPER]],8),"")</f>
        <v>22</v>
      </c>
      <c r="AH1397" s="39" cm="1">
        <f t="array" ref="AH1397">IFERROR(INDEX(DaybyDay[],DaybyDay[[#This Row],[FORM_MATCH_HELPER]],10),"")</f>
        <v>4119.7</v>
      </c>
      <c r="AI1397" s="39" cm="1">
        <f t="array" ref="AI1397">IFERROR(INDEX(DaybyDay[],DaybyDay[[#This Row],[FORM_MATCH_HELPER]],12),"")</f>
        <v>1532.8</v>
      </c>
      <c r="AJ1397" s="32">
        <f>IFERROR(DaybyDay[[#This Row],[Serv-LY-RU]]+DaybyDay[[#This Row],[Ret-LY-RU]],"")</f>
        <v>1752418.2809999981</v>
      </c>
      <c r="AK139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1738207.3654960608</v>
      </c>
      <c r="AL1397" s="77"/>
      <c r="AM1397" s="40" t="str">
        <f>IF(DaybyDay[[#This Row],[Admin Hours]]&gt;0,DaybyDay[[#This Row],[Admin Hours]]*$AM$2+$AM$3,"")</f>
        <v/>
      </c>
      <c r="AN1397" s="40">
        <f>SUMIFS(DaybyDay[Est-Admin-Payroll],DaybyDay[Date],"&gt;="&amp;$C$5,DaybyDay[RowYear],"&gt;="&amp;$C$4,DaybyDay[Date],"&lt;="&amp;DaybyDay[[#This Row],[Date]])</f>
        <v>13941.779999999997</v>
      </c>
      <c r="AO1397" s="41" t="str">
        <f>IF(AND(DaybyDay[[#This Row],[_Space]],ISNUMBER(DaybyDay[[#This Row],[Admin Hours]])),DaybyDay[[#This Row],[Est-Admin-Payroll]]/(DaybyDay[[#This Row],[Service-Actuals]]+DaybyDay[[#This Row],[Retail-Actuals]]),"")</f>
        <v/>
      </c>
      <c r="AP1397" s="41">
        <f>DaybyDay[[#This Row],[Estimated-Payroll-Rollup]]/DaybyDay[[#This Row],[Simple-Forecast]]</f>
        <v>8.0207806483556139E-3</v>
      </c>
      <c r="AQ139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343454.88501323818</v>
      </c>
      <c r="AR1397" s="77"/>
      <c r="AS1397" s="40" t="str">
        <f>IF(DaybyDay[[#This Row],[Retail Hours]]&gt;0,DaybyDay[[#This Row],[Retail Hours]]*$AS$2,"")</f>
        <v/>
      </c>
      <c r="AT1397" s="40">
        <f>SUMIFS(DaybyDay[Est-Retail-Payroll],DaybyDay[Date],"&gt;="&amp;$C$5,DaybyDay[RowYear],"&gt;="&amp;$C$4,DaybyDay[Date],"&lt;="&amp;DaybyDay[[#This Row],[Date]])</f>
        <v>2627.1</v>
      </c>
      <c r="AU1397" s="82" t="str">
        <f>IF(AND(DaybyDay[[#This Row],[_Space]],ISNUMBER(DaybyDay[[#This Row],[Retail Hours]])),DaybyDay[[#This Row],[Est-Retail-Payroll]]/(DaybyDay[[#This Row],[Retail-Actuals]]),"")</f>
        <v/>
      </c>
      <c r="AV1397" s="82">
        <f>DaybyDay[[#This Row],[Est-Retail-PayrollRU]]/DaybyDay[[#This Row],[Simple-Forecast-Retail]]</f>
        <v>7.6490395526001634E-3</v>
      </c>
      <c r="AW1397" s="8"/>
      <c r="AX1397" s="15"/>
      <c r="AY1397" s="8"/>
    </row>
    <row r="1398" spans="3:51" hidden="1" x14ac:dyDescent="0.25">
      <c r="C1398" s="26" t="str">
        <f>Tools!$C$1</f>
        <v>Example</v>
      </c>
      <c r="D1398" s="27" t="s">
        <v>77</v>
      </c>
      <c r="E1398" s="28">
        <v>2020</v>
      </c>
      <c r="F1398" s="28">
        <f>MATCH(DaybyDay[[#This Row],[RowMonth]],Table3[SummaryMonth],0)</f>
        <v>10</v>
      </c>
      <c r="G1398" s="29">
        <f>MATCH(DaybyDay[[#This Row],[LY-Date]],DaybyDay[Date],0)</f>
        <v>1028</v>
      </c>
      <c r="H1398" s="30">
        <f>WEEKDAY(DaybyDay[[#This Row],[Date]])</f>
        <v>6</v>
      </c>
      <c r="I1398" s="31">
        <v>44127</v>
      </c>
      <c r="J1398" s="74"/>
      <c r="K1398" s="32">
        <f>SUMIFS(BudgetSeasonality[365 Seasonality],BudgetSeasonality[MonthAdjustment],DaybyDay[[#This Row],[Date]])*SUMIFS(Budgets[Service-Budget],Budgets[BudgetMonth],DaybyDay[[#This Row],[RowMonth]],Budgets[BudgetYear],DaybyDay[[#This Row],[RowYear]])</f>
        <v>6142.0645499045186</v>
      </c>
      <c r="L1398" s="75"/>
      <c r="M1398" s="32">
        <f>INDEX(BudgetSeasonality[365 Seasonality],MATCH(DaybyDay[[#This Row],[Date]],BudgetSeasonality[MonthAdjustment],0))*SUMIFS(Budgets[Retail-Budget],Budgets[BudgetMonth],DaybyDay[[#This Row],[RowMonth]],Budgets[BudgetYear],DaybyDay[[#This Row],[RowYear]])</f>
        <v>1571.0523272620676</v>
      </c>
      <c r="N1398" s="75"/>
      <c r="O1398" s="33">
        <f>SUMIFS(DaybyDay[Service-Budgets],DaybyDay[Date],"&gt;="&amp;$C$5,DaybyDay[RowYear],"&gt;="&amp;$C$4,DaybyDay[Date],"&lt;="&amp;DaybyDay[[#This Row],[Date]])</f>
        <v>1565818.8721532279</v>
      </c>
      <c r="P1398" s="33">
        <f>SUMIFS(DaybyDay[Retail-Budgets],DaybyDay[Date],"&gt;="&amp;$C$5,DaybyDay[RowYear],"&gt;="&amp;$C$4,DaybyDay[Date],"&lt;="&amp;DaybyDay[[#This Row],[Date]])</f>
        <v>403810.76018640812</v>
      </c>
      <c r="Q1398" s="34">
        <f>SUMIFS(DaybyDay[Service-Actuals],DaybyDay[Date],"&gt;="&amp;$C$5,DaybyDay[RowYear],"&gt;="&amp;$C$4,DaybyDay[Date],"&lt;="&amp;DaybyDay[[#This Row],[Date]])</f>
        <v>385554.23</v>
      </c>
      <c r="R1398" s="34">
        <f>SUMIFS(DaybyDay[Retail-Actuals],DaybyDay[Date],"&gt;="&amp;$C$5,DaybyDay[RowYear],"&gt;="&amp;$C$4,DaybyDay[Date],"&lt;="&amp;DaybyDay[[#This Row],[Date]])</f>
        <v>88360.030000000028</v>
      </c>
      <c r="S1398" s="35">
        <f>SUMIFS(DaybyDay[Service-LY],DaybyDay[Date],"&gt;="&amp;$C$5,DaybyDay[RowYear],"&gt;="&amp;$C$4,DaybyDay[Date],"&lt;="&amp;DaybyDay[[#This Row],[Date]])</f>
        <v>1417004.8209999981</v>
      </c>
      <c r="T1398" s="35">
        <f>SUMIFS(DaybyDay[Retail-LY],DaybyDay[Date],"&gt;="&amp;$C$5,DaybyDay[RowYear],"&gt;="&amp;$C$4,DaybyDay[Date],"&lt;="&amp;DaybyDay[[#This Row],[Date]])</f>
        <v>341333.65999999992</v>
      </c>
      <c r="U1398" s="32">
        <f>DaybyDay[[#This Row],[Serv-Bud-RU]]+DaybyDay[[#This Row],[Ret-Bud-RU]]</f>
        <v>1969629.6323396361</v>
      </c>
      <c r="V1398" s="32">
        <f>DaybyDay[[#This Row],[Serv-Act-RU]]+DaybyDay[[#This Row],[Ret-Act-RU]]</f>
        <v>473914.26</v>
      </c>
      <c r="W1398" s="36" t="str">
        <f>IF(DaybyDay[[#This Row],[_Space]],IFERROR(
((DaybyDay[[#This Row],[Actual-Rollup]]-DaybyDay[[#This Row],[Budget-Rollup]])/DaybyDay[[#This Row],[Budget-Rollup]]),0),"")</f>
        <v/>
      </c>
      <c r="X1398" t="b">
        <f>NOT(AND(ISBLANK(DaybyDay[[#This Row],[Appts]]),ISBLANK(DaybyDay[[#This Row],[Service-Actuals]]),ISBLANK(DaybyDay[[#This Row],[Retail-Actuals]])))</f>
        <v>0</v>
      </c>
      <c r="Y1398" s="36" t="str">
        <f>IF(DaybyDay[[#This Row],[_Space]],IFERROR(
((DaybyDay[[#This Row],[Actual-Rollup]]-DaybyDay[[#This Row],[LY-Rollup]])/DaybyDay[[#This Row],[LY-Rollup]]),0),"")</f>
        <v/>
      </c>
      <c r="Z1398"/>
      <c r="AA1398" s="37" t="str">
        <f>IF(DaybyDay[[#This Row],[_Space]],DaybyDay[[#This Row],[Ret-Act-RU]]/DaybyDay[[#This Row],[Serv-Act-RU]],"")</f>
        <v/>
      </c>
      <c r="AB1398" s="50" t="str">
        <f>IF(DaybyDay[[#This Row],[_Space]],DaybyDay[[#This Row],[RETPEN-Act]]/DaybyDay[[#This Row],[RETPEN-Bud]],"")</f>
        <v/>
      </c>
      <c r="AC1398" s="37" t="str">
        <f>IF(DaybyDay[[#This Row],[_Space]],DaybyDay[[#This Row],[Ret-Bud-RU]]/DaybyDay[[#This Row],[Serv-Bud-RU]],"")</f>
        <v/>
      </c>
      <c r="AD1398" s="37" t="str">
        <f>IF(DaybyDay[[#This Row],[_Space]],DaybyDay[[#This Row],[Ret-LY-RU]]/DaybyDay[[#This Row],[Serv-LY-RU]],"")</f>
        <v/>
      </c>
      <c r="AE1398" s="30">
        <f>WEEKDAY(DaybyDay[[#This Row],[LY-Date]])</f>
        <v>6</v>
      </c>
      <c r="AF1398" s="38">
        <f>$E$2+_xlfn.DAYS(DaybyDay[[#This Row],[Date]],minDate)</f>
        <v>43763</v>
      </c>
      <c r="AG1398" s="39" cm="1">
        <f t="array" ref="AG1398">IFERROR(INDEX(DaybyDay[],DaybyDay[[#This Row],[FORM_MATCH_HELPER]],8),"")</f>
        <v>21</v>
      </c>
      <c r="AH1398" s="39" cm="1">
        <f t="array" ref="AH1398">IFERROR(INDEX(DaybyDay[],DaybyDay[[#This Row],[FORM_MATCH_HELPER]],10),"")</f>
        <v>4884.2</v>
      </c>
      <c r="AI1398" s="39" cm="1">
        <f t="array" ref="AI1398">IFERROR(INDEX(DaybyDay[],DaybyDay[[#This Row],[FORM_MATCH_HELPER]],12),"")</f>
        <v>1036</v>
      </c>
      <c r="AJ1398" s="32">
        <f>IFERROR(DaybyDay[[#This Row],[Serv-LY-RU]]+DaybyDay[[#This Row],[Ret-LY-RU]],"")</f>
        <v>1758338.480999998</v>
      </c>
      <c r="AK139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1744407.091372998</v>
      </c>
      <c r="AL1398" s="77"/>
      <c r="AM1398" s="40" t="str">
        <f>IF(DaybyDay[[#This Row],[Admin Hours]]&gt;0,DaybyDay[[#This Row],[Admin Hours]]*$AM$2+$AM$3,"")</f>
        <v/>
      </c>
      <c r="AN1398" s="40">
        <f>SUMIFS(DaybyDay[Est-Admin-Payroll],DaybyDay[Date],"&gt;="&amp;$C$5,DaybyDay[RowYear],"&gt;="&amp;$C$4,DaybyDay[Date],"&lt;="&amp;DaybyDay[[#This Row],[Date]])</f>
        <v>13941.779999999997</v>
      </c>
      <c r="AO1398" s="41" t="str">
        <f>IF(AND(DaybyDay[[#This Row],[_Space]],ISNUMBER(DaybyDay[[#This Row],[Admin Hours]])),DaybyDay[[#This Row],[Est-Admin-Payroll]]/(DaybyDay[[#This Row],[Service-Actuals]]+DaybyDay[[#This Row],[Retail-Actuals]]),"")</f>
        <v/>
      </c>
      <c r="AP1398" s="41">
        <f>DaybyDay[[#This Row],[Estimated-Payroll-Rollup]]/DaybyDay[[#This Row],[Simple-Forecast]]</f>
        <v>7.9922743199963842E-3</v>
      </c>
      <c r="AQ139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344633.93246192997</v>
      </c>
      <c r="AR1398" s="77"/>
      <c r="AS1398" s="40" t="str">
        <f>IF(DaybyDay[[#This Row],[Retail Hours]]&gt;0,DaybyDay[[#This Row],[Retail Hours]]*$AS$2,"")</f>
        <v/>
      </c>
      <c r="AT1398" s="40">
        <f>SUMIFS(DaybyDay[Est-Retail-Payroll],DaybyDay[Date],"&gt;="&amp;$C$5,DaybyDay[RowYear],"&gt;="&amp;$C$4,DaybyDay[Date],"&lt;="&amp;DaybyDay[[#This Row],[Date]])</f>
        <v>2627.1</v>
      </c>
      <c r="AU1398" s="82" t="str">
        <f>IF(AND(DaybyDay[[#This Row],[_Space]],ISNUMBER(DaybyDay[[#This Row],[Retail Hours]])),DaybyDay[[#This Row],[Est-Retail-Payroll]]/(DaybyDay[[#This Row],[Retail-Actuals]]),"")</f>
        <v/>
      </c>
      <c r="AV1398" s="82">
        <f>DaybyDay[[#This Row],[Est-Retail-PayrollRU]]/DaybyDay[[#This Row],[Simple-Forecast-Retail]]</f>
        <v>7.6228709727827011E-3</v>
      </c>
      <c r="AW1398" s="8"/>
      <c r="AX1398" s="15"/>
      <c r="AY1398" s="8"/>
    </row>
    <row r="1399" spans="3:51" hidden="1" x14ac:dyDescent="0.25">
      <c r="C1399" s="26" t="str">
        <f>Tools!$C$1</f>
        <v>Example</v>
      </c>
      <c r="D1399" s="27" t="s">
        <v>77</v>
      </c>
      <c r="E1399" s="28">
        <v>2020</v>
      </c>
      <c r="F1399" s="28">
        <f>MATCH(DaybyDay[[#This Row],[RowMonth]],Table3[SummaryMonth],0)</f>
        <v>10</v>
      </c>
      <c r="G1399" s="29">
        <f>MATCH(DaybyDay[[#This Row],[LY-Date]],DaybyDay[Date],0)</f>
        <v>1029</v>
      </c>
      <c r="H1399" s="30">
        <f>WEEKDAY(DaybyDay[[#This Row],[Date]])</f>
        <v>7</v>
      </c>
      <c r="I1399" s="31">
        <v>44128</v>
      </c>
      <c r="J1399" s="74"/>
      <c r="K1399" s="32">
        <f>SUMIFS(BudgetSeasonality[365 Seasonality],BudgetSeasonality[MonthAdjustment],DaybyDay[[#This Row],[Date]])*SUMIFS(Budgets[Service-Budget],Budgets[BudgetMonth],DaybyDay[[#This Row],[RowMonth]],Budgets[BudgetYear],DaybyDay[[#This Row],[RowYear]])</f>
        <v>8507.5553381282589</v>
      </c>
      <c r="L1399" s="75"/>
      <c r="M1399" s="32">
        <f>INDEX(BudgetSeasonality[365 Seasonality],MATCH(DaybyDay[[#This Row],[Date]],BudgetSeasonality[MonthAdjustment],0))*SUMIFS(Budgets[Retail-Budget],Budgets[BudgetMonth],DaybyDay[[#This Row],[RowMonth]],Budgets[BudgetYear],DaybyDay[[#This Row],[RowYear]])</f>
        <v>2176.1110624415373</v>
      </c>
      <c r="N1399" s="75"/>
      <c r="O1399" s="33">
        <f>SUMIFS(DaybyDay[Service-Budgets],DaybyDay[Date],"&gt;="&amp;$C$5,DaybyDay[RowYear],"&gt;="&amp;$C$4,DaybyDay[Date],"&lt;="&amp;DaybyDay[[#This Row],[Date]])</f>
        <v>1574326.4274913562</v>
      </c>
      <c r="P1399" s="33">
        <f>SUMIFS(DaybyDay[Retail-Budgets],DaybyDay[Date],"&gt;="&amp;$C$5,DaybyDay[RowYear],"&gt;="&amp;$C$4,DaybyDay[Date],"&lt;="&amp;DaybyDay[[#This Row],[Date]])</f>
        <v>405986.87124884967</v>
      </c>
      <c r="Q1399" s="34">
        <f>SUMIFS(DaybyDay[Service-Actuals],DaybyDay[Date],"&gt;="&amp;$C$5,DaybyDay[RowYear],"&gt;="&amp;$C$4,DaybyDay[Date],"&lt;="&amp;DaybyDay[[#This Row],[Date]])</f>
        <v>385554.23</v>
      </c>
      <c r="R1399" s="34">
        <f>SUMIFS(DaybyDay[Retail-Actuals],DaybyDay[Date],"&gt;="&amp;$C$5,DaybyDay[RowYear],"&gt;="&amp;$C$4,DaybyDay[Date],"&lt;="&amp;DaybyDay[[#This Row],[Date]])</f>
        <v>88360.030000000028</v>
      </c>
      <c r="S1399" s="35">
        <f>SUMIFS(DaybyDay[Service-LY],DaybyDay[Date],"&gt;="&amp;$C$5,DaybyDay[RowYear],"&gt;="&amp;$C$4,DaybyDay[Date],"&lt;="&amp;DaybyDay[[#This Row],[Date]])</f>
        <v>1425982.0209999981</v>
      </c>
      <c r="T1399" s="35">
        <f>SUMIFS(DaybyDay[Retail-LY],DaybyDay[Date],"&gt;="&amp;$C$5,DaybyDay[RowYear],"&gt;="&amp;$C$4,DaybyDay[Date],"&lt;="&amp;DaybyDay[[#This Row],[Date]])</f>
        <v>342993.15999999992</v>
      </c>
      <c r="U1399" s="32">
        <f>DaybyDay[[#This Row],[Serv-Bud-RU]]+DaybyDay[[#This Row],[Ret-Bud-RU]]</f>
        <v>1980313.2987402058</v>
      </c>
      <c r="V1399" s="32">
        <f>DaybyDay[[#This Row],[Serv-Act-RU]]+DaybyDay[[#This Row],[Ret-Act-RU]]</f>
        <v>473914.26</v>
      </c>
      <c r="W1399" s="36" t="str">
        <f>IF(DaybyDay[[#This Row],[_Space]],IFERROR(
((DaybyDay[[#This Row],[Actual-Rollup]]-DaybyDay[[#This Row],[Budget-Rollup]])/DaybyDay[[#This Row],[Budget-Rollup]]),0),"")</f>
        <v/>
      </c>
      <c r="X1399" t="b">
        <f>NOT(AND(ISBLANK(DaybyDay[[#This Row],[Appts]]),ISBLANK(DaybyDay[[#This Row],[Service-Actuals]]),ISBLANK(DaybyDay[[#This Row],[Retail-Actuals]])))</f>
        <v>0</v>
      </c>
      <c r="Y1399" s="36" t="str">
        <f>IF(DaybyDay[[#This Row],[_Space]],IFERROR(
((DaybyDay[[#This Row],[Actual-Rollup]]-DaybyDay[[#This Row],[LY-Rollup]])/DaybyDay[[#This Row],[LY-Rollup]]),0),"")</f>
        <v/>
      </c>
      <c r="Z1399"/>
      <c r="AA1399" s="37" t="str">
        <f>IF(DaybyDay[[#This Row],[_Space]],DaybyDay[[#This Row],[Ret-Act-RU]]/DaybyDay[[#This Row],[Serv-Act-RU]],"")</f>
        <v/>
      </c>
      <c r="AB1399" s="50" t="str">
        <f>IF(DaybyDay[[#This Row],[_Space]],DaybyDay[[#This Row],[RETPEN-Act]]/DaybyDay[[#This Row],[RETPEN-Bud]],"")</f>
        <v/>
      </c>
      <c r="AC1399" s="37" t="str">
        <f>IF(DaybyDay[[#This Row],[_Space]],DaybyDay[[#This Row],[Ret-Bud-RU]]/DaybyDay[[#This Row],[Serv-Bud-RU]],"")</f>
        <v/>
      </c>
      <c r="AD1399" s="37" t="str">
        <f>IF(DaybyDay[[#This Row],[_Space]],DaybyDay[[#This Row],[Ret-LY-RU]]/DaybyDay[[#This Row],[Serv-LY-RU]],"")</f>
        <v/>
      </c>
      <c r="AE1399" s="30">
        <f>WEEKDAY(DaybyDay[[#This Row],[LY-Date]])</f>
        <v>7</v>
      </c>
      <c r="AF1399" s="38">
        <f>$E$2+_xlfn.DAYS(DaybyDay[[#This Row],[Date]],minDate)</f>
        <v>43764</v>
      </c>
      <c r="AG1399" s="39" cm="1">
        <f t="array" ref="AG1399">IFERROR(INDEX(DaybyDay[],DaybyDay[[#This Row],[FORM_MATCH_HELPER]],8),"")</f>
        <v>36</v>
      </c>
      <c r="AH1399" s="39" cm="1">
        <f t="array" ref="AH1399">IFERROR(INDEX(DaybyDay[],DaybyDay[[#This Row],[FORM_MATCH_HELPER]],10),"")</f>
        <v>8977.2000000000007</v>
      </c>
      <c r="AI1399" s="39" cm="1">
        <f t="array" ref="AI1399">IFERROR(INDEX(DaybyDay[],DaybyDay[[#This Row],[FORM_MATCH_HELPER]],12),"")</f>
        <v>1659.5</v>
      </c>
      <c r="AJ1399" s="32">
        <f>IFERROR(DaybyDay[[#This Row],[Serv-LY-RU]]+DaybyDay[[#This Row],[Ret-LY-RU]],"")</f>
        <v>1768975.180999998</v>
      </c>
      <c r="AK139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1754195.7931409078</v>
      </c>
      <c r="AL1399" s="77"/>
      <c r="AM1399" s="40" t="str">
        <f>IF(DaybyDay[[#This Row],[Admin Hours]]&gt;0,DaybyDay[[#This Row],[Admin Hours]]*$AM$2+$AM$3,"")</f>
        <v/>
      </c>
      <c r="AN1399" s="40">
        <f>SUMIFS(DaybyDay[Est-Admin-Payroll],DaybyDay[Date],"&gt;="&amp;$C$5,DaybyDay[RowYear],"&gt;="&amp;$C$4,DaybyDay[Date],"&lt;="&amp;DaybyDay[[#This Row],[Date]])</f>
        <v>13941.779999999997</v>
      </c>
      <c r="AO1399" s="41" t="str">
        <f>IF(AND(DaybyDay[[#This Row],[_Space]],ISNUMBER(DaybyDay[[#This Row],[Admin Hours]])),DaybyDay[[#This Row],[Est-Admin-Payroll]]/(DaybyDay[[#This Row],[Service-Actuals]]+DaybyDay[[#This Row],[Retail-Actuals]]),"")</f>
        <v/>
      </c>
      <c r="AP1399" s="41">
        <f>DaybyDay[[#This Row],[Estimated-Payroll-Rollup]]/DaybyDay[[#This Row],[Simple-Forecast]]</f>
        <v>7.947676111477316E-3</v>
      </c>
      <c r="AQ139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346377.75700490305</v>
      </c>
      <c r="AR1399" s="77"/>
      <c r="AS1399" s="40" t="str">
        <f>IF(DaybyDay[[#This Row],[Retail Hours]]&gt;0,DaybyDay[[#This Row],[Retail Hours]]*$AS$2,"")</f>
        <v/>
      </c>
      <c r="AT1399" s="40">
        <f>SUMIFS(DaybyDay[Est-Retail-Payroll],DaybyDay[Date],"&gt;="&amp;$C$5,DaybyDay[RowYear],"&gt;="&amp;$C$4,DaybyDay[Date],"&lt;="&amp;DaybyDay[[#This Row],[Date]])</f>
        <v>2627.1</v>
      </c>
      <c r="AU1399" s="82" t="str">
        <f>IF(AND(DaybyDay[[#This Row],[_Space]],ISNUMBER(DaybyDay[[#This Row],[Retail Hours]])),DaybyDay[[#This Row],[Est-Retail-Payroll]]/(DaybyDay[[#This Row],[Retail-Actuals]]),"")</f>
        <v/>
      </c>
      <c r="AV1399" s="82">
        <f>DaybyDay[[#This Row],[Est-Retail-PayrollRU]]/DaybyDay[[#This Row],[Simple-Forecast-Retail]]</f>
        <v>7.5844939430184388E-3</v>
      </c>
      <c r="AW1399" s="8"/>
      <c r="AX1399" s="15"/>
      <c r="AY1399" s="8"/>
    </row>
    <row r="1400" spans="3:51" hidden="1" x14ac:dyDescent="0.25">
      <c r="C1400" s="26" t="str">
        <f>Tools!$C$1</f>
        <v>Example</v>
      </c>
      <c r="D1400" s="27" t="s">
        <v>77</v>
      </c>
      <c r="E1400" s="28">
        <v>2020</v>
      </c>
      <c r="F1400" s="28">
        <f>MATCH(DaybyDay[[#This Row],[RowMonth]],Table3[SummaryMonth],0)</f>
        <v>10</v>
      </c>
      <c r="G1400" s="29">
        <f>MATCH(DaybyDay[[#This Row],[LY-Date]],DaybyDay[Date],0)</f>
        <v>1030</v>
      </c>
      <c r="H1400" s="30">
        <f>WEEKDAY(DaybyDay[[#This Row],[Date]])</f>
        <v>1</v>
      </c>
      <c r="I1400" s="31">
        <v>44129</v>
      </c>
      <c r="J1400" s="74"/>
      <c r="K1400" s="32">
        <f>SUMIFS(BudgetSeasonality[365 Seasonality],BudgetSeasonality[MonthAdjustment],DaybyDay[[#This Row],[Date]])*SUMIFS(Budgets[Service-Budget],Budgets[BudgetMonth],DaybyDay[[#This Row],[RowMonth]],Budgets[BudgetYear],DaybyDay[[#This Row],[RowYear]])</f>
        <v>6783.3376019122179</v>
      </c>
      <c r="L1400" s="75"/>
      <c r="M1400" s="32">
        <f>INDEX(BudgetSeasonality[365 Seasonality],MATCH(DaybyDay[[#This Row],[Date]],BudgetSeasonality[MonthAdjustment],0))*SUMIFS(Budgets[Retail-Budget],Budgets[BudgetMonth],DaybyDay[[#This Row],[RowMonth]],Budgets[BudgetYear],DaybyDay[[#This Row],[RowYear]])</f>
        <v>1735.0808086597119</v>
      </c>
      <c r="N1400" s="75"/>
      <c r="O1400" s="33">
        <f>SUMIFS(DaybyDay[Service-Budgets],DaybyDay[Date],"&gt;="&amp;$C$5,DaybyDay[RowYear],"&gt;="&amp;$C$4,DaybyDay[Date],"&lt;="&amp;DaybyDay[[#This Row],[Date]])</f>
        <v>1581109.7650932684</v>
      </c>
      <c r="P1400" s="33">
        <f>SUMIFS(DaybyDay[Retail-Budgets],DaybyDay[Date],"&gt;="&amp;$C$5,DaybyDay[RowYear],"&gt;="&amp;$C$4,DaybyDay[Date],"&lt;="&amp;DaybyDay[[#This Row],[Date]])</f>
        <v>407721.95205750939</v>
      </c>
      <c r="Q1400" s="34">
        <f>SUMIFS(DaybyDay[Service-Actuals],DaybyDay[Date],"&gt;="&amp;$C$5,DaybyDay[RowYear],"&gt;="&amp;$C$4,DaybyDay[Date],"&lt;="&amp;DaybyDay[[#This Row],[Date]])</f>
        <v>385554.23</v>
      </c>
      <c r="R1400" s="34">
        <f>SUMIFS(DaybyDay[Retail-Actuals],DaybyDay[Date],"&gt;="&amp;$C$5,DaybyDay[RowYear],"&gt;="&amp;$C$4,DaybyDay[Date],"&lt;="&amp;DaybyDay[[#This Row],[Date]])</f>
        <v>88360.030000000028</v>
      </c>
      <c r="S1400" s="35">
        <f>SUMIFS(DaybyDay[Service-LY],DaybyDay[Date],"&gt;="&amp;$C$5,DaybyDay[RowYear],"&gt;="&amp;$C$4,DaybyDay[Date],"&lt;="&amp;DaybyDay[[#This Row],[Date]])</f>
        <v>1430876.220999998</v>
      </c>
      <c r="T1400" s="35">
        <f>SUMIFS(DaybyDay[Retail-LY],DaybyDay[Date],"&gt;="&amp;$C$5,DaybyDay[RowYear],"&gt;="&amp;$C$4,DaybyDay[Date],"&lt;="&amp;DaybyDay[[#This Row],[Date]])</f>
        <v>344729.65999999992</v>
      </c>
      <c r="U1400" s="32">
        <f>DaybyDay[[#This Row],[Serv-Bud-RU]]+DaybyDay[[#This Row],[Ret-Bud-RU]]</f>
        <v>1988831.7171507778</v>
      </c>
      <c r="V1400" s="32">
        <f>DaybyDay[[#This Row],[Serv-Act-RU]]+DaybyDay[[#This Row],[Ret-Act-RU]]</f>
        <v>473914.26</v>
      </c>
      <c r="W1400" s="36" t="str">
        <f>IF(DaybyDay[[#This Row],[_Space]],IFERROR(
((DaybyDay[[#This Row],[Actual-Rollup]]-DaybyDay[[#This Row],[Budget-Rollup]])/DaybyDay[[#This Row],[Budget-Rollup]]),0),"")</f>
        <v/>
      </c>
      <c r="X1400" t="b">
        <f>NOT(AND(ISBLANK(DaybyDay[[#This Row],[Appts]]),ISBLANK(DaybyDay[[#This Row],[Service-Actuals]]),ISBLANK(DaybyDay[[#This Row],[Retail-Actuals]])))</f>
        <v>0</v>
      </c>
      <c r="Y1400" s="36" t="str">
        <f>IF(DaybyDay[[#This Row],[_Space]],IFERROR(
((DaybyDay[[#This Row],[Actual-Rollup]]-DaybyDay[[#This Row],[LY-Rollup]])/DaybyDay[[#This Row],[LY-Rollup]]),0),"")</f>
        <v/>
      </c>
      <c r="Z1400"/>
      <c r="AA1400" s="37" t="str">
        <f>IF(DaybyDay[[#This Row],[_Space]],DaybyDay[[#This Row],[Ret-Act-RU]]/DaybyDay[[#This Row],[Serv-Act-RU]],"")</f>
        <v/>
      </c>
      <c r="AB1400" s="50" t="str">
        <f>IF(DaybyDay[[#This Row],[_Space]],DaybyDay[[#This Row],[RETPEN-Act]]/DaybyDay[[#This Row],[RETPEN-Bud]],"")</f>
        <v/>
      </c>
      <c r="AC1400" s="37" t="str">
        <f>IF(DaybyDay[[#This Row],[_Space]],DaybyDay[[#This Row],[Ret-Bud-RU]]/DaybyDay[[#This Row],[Serv-Bud-RU]],"")</f>
        <v/>
      </c>
      <c r="AD1400" s="37" t="str">
        <f>IF(DaybyDay[[#This Row],[_Space]],DaybyDay[[#This Row],[Ret-LY-RU]]/DaybyDay[[#This Row],[Serv-LY-RU]],"")</f>
        <v/>
      </c>
      <c r="AE1400" s="30">
        <f>WEEKDAY(DaybyDay[[#This Row],[LY-Date]])</f>
        <v>1</v>
      </c>
      <c r="AF1400" s="38">
        <f>$E$2+_xlfn.DAYS(DaybyDay[[#This Row],[Date]],minDate)</f>
        <v>43765</v>
      </c>
      <c r="AG1400" s="39" cm="1">
        <f t="array" ref="AG1400">IFERROR(INDEX(DaybyDay[],DaybyDay[[#This Row],[FORM_MATCH_HELPER]],8),"")</f>
        <v>36</v>
      </c>
      <c r="AH1400" s="39" cm="1">
        <f t="array" ref="AH1400">IFERROR(INDEX(DaybyDay[],DaybyDay[[#This Row],[FORM_MATCH_HELPER]],10),"")</f>
        <v>4894.2</v>
      </c>
      <c r="AI1400" s="39" cm="1">
        <f t="array" ref="AI1400">IFERROR(INDEX(DaybyDay[],DaybyDay[[#This Row],[FORM_MATCH_HELPER]],12),"")</f>
        <v>1736.5</v>
      </c>
      <c r="AJ1400" s="32">
        <f>IFERROR(DaybyDay[[#This Row],[Serv-LY-RU]]+DaybyDay[[#This Row],[Ret-LY-RU]],"")</f>
        <v>1775605.880999998</v>
      </c>
      <c r="AK140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1761088.3651107659</v>
      </c>
      <c r="AL1400" s="77"/>
      <c r="AM1400" s="40" t="str">
        <f>IF(DaybyDay[[#This Row],[Admin Hours]]&gt;0,DaybyDay[[#This Row],[Admin Hours]]*$AM$2+$AM$3,"")</f>
        <v/>
      </c>
      <c r="AN1400" s="40">
        <f>SUMIFS(DaybyDay[Est-Admin-Payroll],DaybyDay[Date],"&gt;="&amp;$C$5,DaybyDay[RowYear],"&gt;="&amp;$C$4,DaybyDay[Date],"&lt;="&amp;DaybyDay[[#This Row],[Date]])</f>
        <v>13941.779999999997</v>
      </c>
      <c r="AO1400" s="41" t="str">
        <f>IF(AND(DaybyDay[[#This Row],[_Space]],ISNUMBER(DaybyDay[[#This Row],[Admin Hours]])),DaybyDay[[#This Row],[Est-Admin-Payroll]]/(DaybyDay[[#This Row],[Service-Actuals]]+DaybyDay[[#This Row],[Retail-Actuals]]),"")</f>
        <v/>
      </c>
      <c r="AP1400" s="41">
        <f>DaybyDay[[#This Row],[Estimated-Payroll-Rollup]]/DaybyDay[[#This Row],[Simple-Forecast]]</f>
        <v>7.916570386928376E-3</v>
      </c>
      <c r="AQ140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347971.95153352327</v>
      </c>
      <c r="AR1400" s="77"/>
      <c r="AS1400" s="40" t="str">
        <f>IF(DaybyDay[[#This Row],[Retail Hours]]&gt;0,DaybyDay[[#This Row],[Retail Hours]]*$AS$2,"")</f>
        <v/>
      </c>
      <c r="AT1400" s="40">
        <f>SUMIFS(DaybyDay[Est-Retail-Payroll],DaybyDay[Date],"&gt;="&amp;$C$5,DaybyDay[RowYear],"&gt;="&amp;$C$4,DaybyDay[Date],"&lt;="&amp;DaybyDay[[#This Row],[Date]])</f>
        <v>2627.1</v>
      </c>
      <c r="AU1400" s="82" t="str">
        <f>IF(AND(DaybyDay[[#This Row],[_Space]],ISNUMBER(DaybyDay[[#This Row],[Retail Hours]])),DaybyDay[[#This Row],[Est-Retail-Payroll]]/(DaybyDay[[#This Row],[Retail-Actuals]]),"")</f>
        <v/>
      </c>
      <c r="AV1400" s="82">
        <f>DaybyDay[[#This Row],[Est-Retail-PayrollRU]]/DaybyDay[[#This Row],[Simple-Forecast-Retail]]</f>
        <v>7.5497464333613325E-3</v>
      </c>
      <c r="AW1400" s="8"/>
      <c r="AX1400" s="15"/>
      <c r="AY1400" s="8"/>
    </row>
    <row r="1401" spans="3:51" hidden="1" x14ac:dyDescent="0.25">
      <c r="C1401" s="26" t="str">
        <f>Tools!$C$1</f>
        <v>Example</v>
      </c>
      <c r="D1401" s="27" t="s">
        <v>77</v>
      </c>
      <c r="E1401" s="28">
        <v>2020</v>
      </c>
      <c r="F1401" s="28">
        <f>MATCH(DaybyDay[[#This Row],[RowMonth]],Table3[SummaryMonth],0)</f>
        <v>10</v>
      </c>
      <c r="G1401" s="29">
        <f>MATCH(DaybyDay[[#This Row],[LY-Date]],DaybyDay[Date],0)</f>
        <v>1031</v>
      </c>
      <c r="H1401" s="30">
        <f>WEEKDAY(DaybyDay[[#This Row],[Date]])</f>
        <v>2</v>
      </c>
      <c r="I1401" s="31">
        <v>44130</v>
      </c>
      <c r="J1401" s="74"/>
      <c r="K1401" s="32">
        <f>SUMIFS(BudgetSeasonality[365 Seasonality],BudgetSeasonality[MonthAdjustment],DaybyDay[[#This Row],[Date]])*SUMIFS(Budgets[Service-Budget],Budgets[BudgetMonth],DaybyDay[[#This Row],[RowMonth]],Budgets[BudgetYear],DaybyDay[[#This Row],[RowYear]])</f>
        <v>4261.3755990159807</v>
      </c>
      <c r="L1401" s="75"/>
      <c r="M1401" s="32">
        <f>INDEX(BudgetSeasonality[365 Seasonality],MATCH(DaybyDay[[#This Row],[Date]],BudgetSeasonality[MonthAdjustment],0))*SUMIFS(Budgets[Retail-Budget],Budgets[BudgetMonth],DaybyDay[[#This Row],[RowMonth]],Budgets[BudgetYear],DaybyDay[[#This Row],[RowYear]])</f>
        <v>1089.9989731100952</v>
      </c>
      <c r="N1401" s="75"/>
      <c r="O1401" s="33">
        <f>SUMIFS(DaybyDay[Service-Budgets],DaybyDay[Date],"&gt;="&amp;$C$5,DaybyDay[RowYear],"&gt;="&amp;$C$4,DaybyDay[Date],"&lt;="&amp;DaybyDay[[#This Row],[Date]])</f>
        <v>1585371.1406922843</v>
      </c>
      <c r="P1401" s="33">
        <f>SUMIFS(DaybyDay[Retail-Budgets],DaybyDay[Date],"&gt;="&amp;$C$5,DaybyDay[RowYear],"&gt;="&amp;$C$4,DaybyDay[Date],"&lt;="&amp;DaybyDay[[#This Row],[Date]])</f>
        <v>408811.9510306195</v>
      </c>
      <c r="Q1401" s="34">
        <f>SUMIFS(DaybyDay[Service-Actuals],DaybyDay[Date],"&gt;="&amp;$C$5,DaybyDay[RowYear],"&gt;="&amp;$C$4,DaybyDay[Date],"&lt;="&amp;DaybyDay[[#This Row],[Date]])</f>
        <v>385554.23</v>
      </c>
      <c r="R1401" s="34">
        <f>SUMIFS(DaybyDay[Retail-Actuals],DaybyDay[Date],"&gt;="&amp;$C$5,DaybyDay[RowYear],"&gt;="&amp;$C$4,DaybyDay[Date],"&lt;="&amp;DaybyDay[[#This Row],[Date]])</f>
        <v>88360.030000000028</v>
      </c>
      <c r="S1401" s="35">
        <f>SUMIFS(DaybyDay[Service-LY],DaybyDay[Date],"&gt;="&amp;$C$5,DaybyDay[RowYear],"&gt;="&amp;$C$4,DaybyDay[Date],"&lt;="&amp;DaybyDay[[#This Row],[Date]])</f>
        <v>1434741.7909999981</v>
      </c>
      <c r="T1401" s="35">
        <f>SUMIFS(DaybyDay[Retail-LY],DaybyDay[Date],"&gt;="&amp;$C$5,DaybyDay[RowYear],"&gt;="&amp;$C$4,DaybyDay[Date],"&lt;="&amp;DaybyDay[[#This Row],[Date]])</f>
        <v>345537.65999999992</v>
      </c>
      <c r="U1401" s="32">
        <f>DaybyDay[[#This Row],[Serv-Bud-RU]]+DaybyDay[[#This Row],[Ret-Bud-RU]]</f>
        <v>1994183.0917229038</v>
      </c>
      <c r="V1401" s="32">
        <f>DaybyDay[[#This Row],[Serv-Act-RU]]+DaybyDay[[#This Row],[Ret-Act-RU]]</f>
        <v>473914.26</v>
      </c>
      <c r="W1401" s="36" t="str">
        <f>IF(DaybyDay[[#This Row],[_Space]],IFERROR(
((DaybyDay[[#This Row],[Actual-Rollup]]-DaybyDay[[#This Row],[Budget-Rollup]])/DaybyDay[[#This Row],[Budget-Rollup]]),0),"")</f>
        <v/>
      </c>
      <c r="X1401" t="b">
        <f>NOT(AND(ISBLANK(DaybyDay[[#This Row],[Appts]]),ISBLANK(DaybyDay[[#This Row],[Service-Actuals]]),ISBLANK(DaybyDay[[#This Row],[Retail-Actuals]])))</f>
        <v>0</v>
      </c>
      <c r="Y1401" s="36" t="str">
        <f>IF(DaybyDay[[#This Row],[_Space]],IFERROR(
((DaybyDay[[#This Row],[Actual-Rollup]]-DaybyDay[[#This Row],[LY-Rollup]])/DaybyDay[[#This Row],[LY-Rollup]]),0),"")</f>
        <v/>
      </c>
      <c r="Z1401"/>
      <c r="AA1401" s="37" t="str">
        <f>IF(DaybyDay[[#This Row],[_Space]],DaybyDay[[#This Row],[Ret-Act-RU]]/DaybyDay[[#This Row],[Serv-Act-RU]],"")</f>
        <v/>
      </c>
      <c r="AB1401" s="50" t="str">
        <f>IF(DaybyDay[[#This Row],[_Space]],DaybyDay[[#This Row],[RETPEN-Act]]/DaybyDay[[#This Row],[RETPEN-Bud]],"")</f>
        <v/>
      </c>
      <c r="AC1401" s="37" t="str">
        <f>IF(DaybyDay[[#This Row],[_Space]],DaybyDay[[#This Row],[Ret-Bud-RU]]/DaybyDay[[#This Row],[Serv-Bud-RU]],"")</f>
        <v/>
      </c>
      <c r="AD1401" s="37" t="str">
        <f>IF(DaybyDay[[#This Row],[_Space]],DaybyDay[[#This Row],[Ret-LY-RU]]/DaybyDay[[#This Row],[Serv-LY-RU]],"")</f>
        <v/>
      </c>
      <c r="AE1401" s="30">
        <f>WEEKDAY(DaybyDay[[#This Row],[LY-Date]])</f>
        <v>2</v>
      </c>
      <c r="AF1401" s="38">
        <f>$E$2+_xlfn.DAYS(DaybyDay[[#This Row],[Date]],minDate)</f>
        <v>43766</v>
      </c>
      <c r="AG1401" s="39" cm="1">
        <f t="array" ref="AG1401">IFERROR(INDEX(DaybyDay[],DaybyDay[[#This Row],[FORM_MATCH_HELPER]],8),"")</f>
        <v>20</v>
      </c>
      <c r="AH1401" s="39" cm="1">
        <f t="array" ref="AH1401">IFERROR(INDEX(DaybyDay[],DaybyDay[[#This Row],[FORM_MATCH_HELPER]],10),"")</f>
        <v>3865.5699999999997</v>
      </c>
      <c r="AI1401" s="39" cm="1">
        <f t="array" ref="AI1401">IFERROR(INDEX(DaybyDay[],DaybyDay[[#This Row],[FORM_MATCH_HELPER]],12),"")</f>
        <v>808</v>
      </c>
      <c r="AJ1401" s="32">
        <f>IFERROR(DaybyDay[[#This Row],[Serv-LY-RU]]+DaybyDay[[#This Row],[Ret-LY-RU]],"")</f>
        <v>1780279.450999998</v>
      </c>
      <c r="AK140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1765668.87005592</v>
      </c>
      <c r="AL1401" s="77"/>
      <c r="AM1401" s="40" t="str">
        <f>IF(DaybyDay[[#This Row],[Admin Hours]]&gt;0,DaybyDay[[#This Row],[Admin Hours]]*$AM$2+$AM$3,"")</f>
        <v/>
      </c>
      <c r="AN1401" s="40">
        <f>SUMIFS(DaybyDay[Est-Admin-Payroll],DaybyDay[Date],"&gt;="&amp;$C$5,DaybyDay[RowYear],"&gt;="&amp;$C$4,DaybyDay[Date],"&lt;="&amp;DaybyDay[[#This Row],[Date]])</f>
        <v>13941.779999999997</v>
      </c>
      <c r="AO1401" s="41" t="str">
        <f>IF(AND(DaybyDay[[#This Row],[_Space]],ISNUMBER(DaybyDay[[#This Row],[Admin Hours]])),DaybyDay[[#This Row],[Est-Admin-Payroll]]/(DaybyDay[[#This Row],[Service-Actuals]]+DaybyDay[[#This Row],[Retail-Actuals]]),"")</f>
        <v/>
      </c>
      <c r="AP1401" s="41">
        <f>DaybyDay[[#This Row],[Estimated-Payroll-Rollup]]/DaybyDay[[#This Row],[Simple-Forecast]]</f>
        <v>7.8960331897103969E-3</v>
      </c>
      <c r="AQ140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348833.96676734573</v>
      </c>
      <c r="AR1401" s="77"/>
      <c r="AS1401" s="40" t="str">
        <f>IF(DaybyDay[[#This Row],[Retail Hours]]&gt;0,DaybyDay[[#This Row],[Retail Hours]]*$AS$2,"")</f>
        <v/>
      </c>
      <c r="AT1401" s="40">
        <f>SUMIFS(DaybyDay[Est-Retail-Payroll],DaybyDay[Date],"&gt;="&amp;$C$5,DaybyDay[RowYear],"&gt;="&amp;$C$4,DaybyDay[Date],"&lt;="&amp;DaybyDay[[#This Row],[Date]])</f>
        <v>2627.1</v>
      </c>
      <c r="AU1401" s="82" t="str">
        <f>IF(AND(DaybyDay[[#This Row],[_Space]],ISNUMBER(DaybyDay[[#This Row],[Retail Hours]])),DaybyDay[[#This Row],[Est-Retail-Payroll]]/(DaybyDay[[#This Row],[Retail-Actuals]]),"")</f>
        <v/>
      </c>
      <c r="AV1401" s="82">
        <f>DaybyDay[[#This Row],[Est-Retail-PayrollRU]]/DaybyDay[[#This Row],[Simple-Forecast-Retail]]</f>
        <v>7.5310900034919479E-3</v>
      </c>
      <c r="AW1401" s="8"/>
      <c r="AX1401" s="15"/>
      <c r="AY1401" s="8"/>
    </row>
    <row r="1402" spans="3:51" hidden="1" x14ac:dyDescent="0.25">
      <c r="C1402" s="26" t="str">
        <f>Tools!$C$1</f>
        <v>Example</v>
      </c>
      <c r="D1402" s="27" t="s">
        <v>77</v>
      </c>
      <c r="E1402" s="28">
        <v>2020</v>
      </c>
      <c r="F1402" s="28">
        <f>MATCH(DaybyDay[[#This Row],[RowMonth]],Table3[SummaryMonth],0)</f>
        <v>10</v>
      </c>
      <c r="G1402" s="29">
        <f>MATCH(DaybyDay[[#This Row],[LY-Date]],DaybyDay[Date],0)</f>
        <v>1032</v>
      </c>
      <c r="H1402" s="30">
        <f>WEEKDAY(DaybyDay[[#This Row],[Date]])</f>
        <v>3</v>
      </c>
      <c r="I1402" s="31">
        <v>44131</v>
      </c>
      <c r="J1402" s="74"/>
      <c r="K1402" s="32">
        <f>SUMIFS(BudgetSeasonality[365 Seasonality],BudgetSeasonality[MonthAdjustment],DaybyDay[[#This Row],[Date]])*SUMIFS(Budgets[Service-Budget],Budgets[BudgetMonth],DaybyDay[[#This Row],[RowMonth]],Budgets[BudgetYear],DaybyDay[[#This Row],[RowYear]])</f>
        <v>4409.5740982879151</v>
      </c>
      <c r="L1402" s="75"/>
      <c r="M1402" s="32">
        <f>INDEX(BudgetSeasonality[365 Seasonality],MATCH(DaybyDay[[#This Row],[Date]],BudgetSeasonality[MonthAdjustment],0))*SUMIFS(Budgets[Retail-Budget],Budgets[BudgetMonth],DaybyDay[[#This Row],[RowMonth]],Budgets[BudgetYear],DaybyDay[[#This Row],[RowYear]])</f>
        <v>1127.9060311174123</v>
      </c>
      <c r="N1402" s="75"/>
      <c r="O1402" s="33">
        <f>SUMIFS(DaybyDay[Service-Budgets],DaybyDay[Date],"&gt;="&amp;$C$5,DaybyDay[RowYear],"&gt;="&amp;$C$4,DaybyDay[Date],"&lt;="&amp;DaybyDay[[#This Row],[Date]])</f>
        <v>1589780.7147905722</v>
      </c>
      <c r="P1402" s="33">
        <f>SUMIFS(DaybyDay[Retail-Budgets],DaybyDay[Date],"&gt;="&amp;$C$5,DaybyDay[RowYear],"&gt;="&amp;$C$4,DaybyDay[Date],"&lt;="&amp;DaybyDay[[#This Row],[Date]])</f>
        <v>409939.85706173693</v>
      </c>
      <c r="Q1402" s="34">
        <f>SUMIFS(DaybyDay[Service-Actuals],DaybyDay[Date],"&gt;="&amp;$C$5,DaybyDay[RowYear],"&gt;="&amp;$C$4,DaybyDay[Date],"&lt;="&amp;DaybyDay[[#This Row],[Date]])</f>
        <v>385554.23</v>
      </c>
      <c r="R1402" s="34">
        <f>SUMIFS(DaybyDay[Retail-Actuals],DaybyDay[Date],"&gt;="&amp;$C$5,DaybyDay[RowYear],"&gt;="&amp;$C$4,DaybyDay[Date],"&lt;="&amp;DaybyDay[[#This Row],[Date]])</f>
        <v>88360.030000000028</v>
      </c>
      <c r="S1402" s="35">
        <f>SUMIFS(DaybyDay[Service-LY],DaybyDay[Date],"&gt;="&amp;$C$5,DaybyDay[RowYear],"&gt;="&amp;$C$4,DaybyDay[Date],"&lt;="&amp;DaybyDay[[#This Row],[Date]])</f>
        <v>1437780.7909999981</v>
      </c>
      <c r="T1402" s="35">
        <f>SUMIFS(DaybyDay[Retail-LY],DaybyDay[Date],"&gt;="&amp;$C$5,DaybyDay[RowYear],"&gt;="&amp;$C$4,DaybyDay[Date],"&lt;="&amp;DaybyDay[[#This Row],[Date]])</f>
        <v>346519.65999999992</v>
      </c>
      <c r="U1402" s="32">
        <f>DaybyDay[[#This Row],[Serv-Bud-RU]]+DaybyDay[[#This Row],[Ret-Bud-RU]]</f>
        <v>1999720.5718523092</v>
      </c>
      <c r="V1402" s="32">
        <f>DaybyDay[[#This Row],[Serv-Act-RU]]+DaybyDay[[#This Row],[Ret-Act-RU]]</f>
        <v>473914.26</v>
      </c>
      <c r="W1402" s="36" t="str">
        <f>IF(DaybyDay[[#This Row],[_Space]],IFERROR(
((DaybyDay[[#This Row],[Actual-Rollup]]-DaybyDay[[#This Row],[Budget-Rollup]])/DaybyDay[[#This Row],[Budget-Rollup]]),0),"")</f>
        <v/>
      </c>
      <c r="X1402" t="b">
        <f>NOT(AND(ISBLANK(DaybyDay[[#This Row],[Appts]]),ISBLANK(DaybyDay[[#This Row],[Service-Actuals]]),ISBLANK(DaybyDay[[#This Row],[Retail-Actuals]])))</f>
        <v>0</v>
      </c>
      <c r="Y1402" s="36" t="str">
        <f>IF(DaybyDay[[#This Row],[_Space]],IFERROR(
((DaybyDay[[#This Row],[Actual-Rollup]]-DaybyDay[[#This Row],[LY-Rollup]])/DaybyDay[[#This Row],[LY-Rollup]]),0),"")</f>
        <v/>
      </c>
      <c r="Z1402"/>
      <c r="AA1402" s="37" t="str">
        <f>IF(DaybyDay[[#This Row],[_Space]],DaybyDay[[#This Row],[Ret-Act-RU]]/DaybyDay[[#This Row],[Serv-Act-RU]],"")</f>
        <v/>
      </c>
      <c r="AB1402" s="50" t="str">
        <f>IF(DaybyDay[[#This Row],[_Space]],DaybyDay[[#This Row],[RETPEN-Act]]/DaybyDay[[#This Row],[RETPEN-Bud]],"")</f>
        <v/>
      </c>
      <c r="AC1402" s="37" t="str">
        <f>IF(DaybyDay[[#This Row],[_Space]],DaybyDay[[#This Row],[Ret-Bud-RU]]/DaybyDay[[#This Row],[Serv-Bud-RU]],"")</f>
        <v/>
      </c>
      <c r="AD1402" s="37" t="str">
        <f>IF(DaybyDay[[#This Row],[_Space]],DaybyDay[[#This Row],[Ret-LY-RU]]/DaybyDay[[#This Row],[Serv-LY-RU]],"")</f>
        <v/>
      </c>
      <c r="AE1402" s="30">
        <f>WEEKDAY(DaybyDay[[#This Row],[LY-Date]])</f>
        <v>3</v>
      </c>
      <c r="AF1402" s="38">
        <f>$E$2+_xlfn.DAYS(DaybyDay[[#This Row],[Date]],minDate)</f>
        <v>43767</v>
      </c>
      <c r="AG1402" s="39" cm="1">
        <f t="array" ref="AG1402">IFERROR(INDEX(DaybyDay[],DaybyDay[[#This Row],[FORM_MATCH_HELPER]],8),"")</f>
        <v>12</v>
      </c>
      <c r="AH1402" s="39" cm="1">
        <f t="array" ref="AH1402">IFERROR(INDEX(DaybyDay[],DaybyDay[[#This Row],[FORM_MATCH_HELPER]],10),"")</f>
        <v>3039</v>
      </c>
      <c r="AI1402" s="39" cm="1">
        <f t="array" ref="AI1402">IFERROR(INDEX(DaybyDay[],DaybyDay[[#This Row],[FORM_MATCH_HELPER]],12),"")</f>
        <v>982</v>
      </c>
      <c r="AJ1402" s="32">
        <f>IFERROR(DaybyDay[[#This Row],[Serv-LY-RU]]+DaybyDay[[#This Row],[Ret-LY-RU]],"")</f>
        <v>1784300.450999998</v>
      </c>
      <c r="AK140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1770006.7906821319</v>
      </c>
      <c r="AL1402" s="77"/>
      <c r="AM1402" s="40" t="str">
        <f>IF(DaybyDay[[#This Row],[Admin Hours]]&gt;0,DaybyDay[[#This Row],[Admin Hours]]*$AM$2+$AM$3,"")</f>
        <v/>
      </c>
      <c r="AN1402" s="40">
        <f>SUMIFS(DaybyDay[Est-Admin-Payroll],DaybyDay[Date],"&gt;="&amp;$C$5,DaybyDay[RowYear],"&gt;="&amp;$C$4,DaybyDay[Date],"&lt;="&amp;DaybyDay[[#This Row],[Date]])</f>
        <v>13941.779999999997</v>
      </c>
      <c r="AO1402" s="41" t="str">
        <f>IF(AND(DaybyDay[[#This Row],[_Space]],ISNUMBER(DaybyDay[[#This Row],[Admin Hours]])),DaybyDay[[#This Row],[Est-Admin-Payroll]]/(DaybyDay[[#This Row],[Service-Actuals]]+DaybyDay[[#This Row],[Retail-Actuals]]),"")</f>
        <v/>
      </c>
      <c r="AP1402" s="41">
        <f>DaybyDay[[#This Row],[Estimated-Payroll-Rollup]]/DaybyDay[[#This Row],[Simple-Forecast]]</f>
        <v>7.8766816451744017E-3</v>
      </c>
      <c r="AQ140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349797.89547108207</v>
      </c>
      <c r="AR1402" s="77"/>
      <c r="AS1402" s="40" t="str">
        <f>IF(DaybyDay[[#This Row],[Retail Hours]]&gt;0,DaybyDay[[#This Row],[Retail Hours]]*$AS$2,"")</f>
        <v/>
      </c>
      <c r="AT1402" s="40">
        <f>SUMIFS(DaybyDay[Est-Retail-Payroll],DaybyDay[Date],"&gt;="&amp;$C$5,DaybyDay[RowYear],"&gt;="&amp;$C$4,DaybyDay[Date],"&lt;="&amp;DaybyDay[[#This Row],[Date]])</f>
        <v>2627.1</v>
      </c>
      <c r="AU1402" s="82" t="str">
        <f>IF(AND(DaybyDay[[#This Row],[_Space]],ISNUMBER(DaybyDay[[#This Row],[Retail Hours]])),DaybyDay[[#This Row],[Est-Retail-Payroll]]/(DaybyDay[[#This Row],[Retail-Actuals]]),"")</f>
        <v/>
      </c>
      <c r="AV1402" s="82">
        <f>DaybyDay[[#This Row],[Est-Retail-PayrollRU]]/DaybyDay[[#This Row],[Simple-Forecast-Retail]]</f>
        <v>7.5103367802199462E-3</v>
      </c>
      <c r="AW1402" s="8"/>
      <c r="AX1402" s="15"/>
      <c r="AY1402" s="8"/>
    </row>
    <row r="1403" spans="3:51" hidden="1" x14ac:dyDescent="0.25">
      <c r="C1403" s="26" t="str">
        <f>Tools!$C$1</f>
        <v>Example</v>
      </c>
      <c r="D1403" s="27" t="s">
        <v>77</v>
      </c>
      <c r="E1403" s="28">
        <v>2020</v>
      </c>
      <c r="F1403" s="28">
        <f>MATCH(DaybyDay[[#This Row],[RowMonth]],Table3[SummaryMonth],0)</f>
        <v>10</v>
      </c>
      <c r="G1403" s="29">
        <f>MATCH(DaybyDay[[#This Row],[LY-Date]],DaybyDay[Date],0)</f>
        <v>1033</v>
      </c>
      <c r="H1403" s="30">
        <f>WEEKDAY(DaybyDay[[#This Row],[Date]])</f>
        <v>4</v>
      </c>
      <c r="I1403" s="31">
        <v>44132</v>
      </c>
      <c r="J1403" s="74"/>
      <c r="K1403" s="32">
        <f>SUMIFS(BudgetSeasonality[365 Seasonality],BudgetSeasonality[MonthAdjustment],DaybyDay[[#This Row],[Date]])*SUMIFS(Budgets[Service-Budget],Budgets[BudgetMonth],DaybyDay[[#This Row],[RowMonth]],Budgets[BudgetYear],DaybyDay[[#This Row],[RowYear]])</f>
        <v>5025.1728258163876</v>
      </c>
      <c r="L1403" s="75"/>
      <c r="M1403" s="32">
        <f>INDEX(BudgetSeasonality[365 Seasonality],MATCH(DaybyDay[[#This Row],[Date]],BudgetSeasonality[MonthAdjustment],0))*SUMIFS(Budgets[Retail-Budget],Budgets[BudgetMonth],DaybyDay[[#This Row],[RowMonth]],Budgets[BudgetYear],DaybyDay[[#This Row],[RowYear]])</f>
        <v>1285.3673872599834</v>
      </c>
      <c r="N1403" s="75"/>
      <c r="O1403" s="33">
        <f>SUMIFS(DaybyDay[Service-Budgets],DaybyDay[Date],"&gt;="&amp;$C$5,DaybyDay[RowYear],"&gt;="&amp;$C$4,DaybyDay[Date],"&lt;="&amp;DaybyDay[[#This Row],[Date]])</f>
        <v>1594805.8876163885</v>
      </c>
      <c r="P1403" s="33">
        <f>SUMIFS(DaybyDay[Retail-Budgets],DaybyDay[Date],"&gt;="&amp;$C$5,DaybyDay[RowYear],"&gt;="&amp;$C$4,DaybyDay[Date],"&lt;="&amp;DaybyDay[[#This Row],[Date]])</f>
        <v>411225.22444899689</v>
      </c>
      <c r="Q1403" s="34">
        <f>SUMIFS(DaybyDay[Service-Actuals],DaybyDay[Date],"&gt;="&amp;$C$5,DaybyDay[RowYear],"&gt;="&amp;$C$4,DaybyDay[Date],"&lt;="&amp;DaybyDay[[#This Row],[Date]])</f>
        <v>385554.23</v>
      </c>
      <c r="R1403" s="34">
        <f>SUMIFS(DaybyDay[Retail-Actuals],DaybyDay[Date],"&gt;="&amp;$C$5,DaybyDay[RowYear],"&gt;="&amp;$C$4,DaybyDay[Date],"&lt;="&amp;DaybyDay[[#This Row],[Date]])</f>
        <v>88360.030000000028</v>
      </c>
      <c r="S1403" s="35">
        <f>SUMIFS(DaybyDay[Service-LY],DaybyDay[Date],"&gt;="&amp;$C$5,DaybyDay[RowYear],"&gt;="&amp;$C$4,DaybyDay[Date],"&lt;="&amp;DaybyDay[[#This Row],[Date]])</f>
        <v>1441698.190999998</v>
      </c>
      <c r="T1403" s="35">
        <f>SUMIFS(DaybyDay[Retail-LY],DaybyDay[Date],"&gt;="&amp;$C$5,DaybyDay[RowYear],"&gt;="&amp;$C$4,DaybyDay[Date],"&lt;="&amp;DaybyDay[[#This Row],[Date]])</f>
        <v>346760.75999999989</v>
      </c>
      <c r="U1403" s="32">
        <f>DaybyDay[[#This Row],[Serv-Bud-RU]]+DaybyDay[[#This Row],[Ret-Bud-RU]]</f>
        <v>2006031.1120653853</v>
      </c>
      <c r="V1403" s="32">
        <f>DaybyDay[[#This Row],[Serv-Act-RU]]+DaybyDay[[#This Row],[Ret-Act-RU]]</f>
        <v>473914.26</v>
      </c>
      <c r="W1403" s="36" t="str">
        <f>IF(DaybyDay[[#This Row],[_Space]],IFERROR(
((DaybyDay[[#This Row],[Actual-Rollup]]-DaybyDay[[#This Row],[Budget-Rollup]])/DaybyDay[[#This Row],[Budget-Rollup]]),0),"")</f>
        <v/>
      </c>
      <c r="X1403" t="b">
        <f>NOT(AND(ISBLANK(DaybyDay[[#This Row],[Appts]]),ISBLANK(DaybyDay[[#This Row],[Service-Actuals]]),ISBLANK(DaybyDay[[#This Row],[Retail-Actuals]])))</f>
        <v>0</v>
      </c>
      <c r="Y1403" s="36" t="str">
        <f>IF(DaybyDay[[#This Row],[_Space]],IFERROR(
((DaybyDay[[#This Row],[Actual-Rollup]]-DaybyDay[[#This Row],[LY-Rollup]])/DaybyDay[[#This Row],[LY-Rollup]]),0),"")</f>
        <v/>
      </c>
      <c r="Z1403"/>
      <c r="AA1403" s="37" t="str">
        <f>IF(DaybyDay[[#This Row],[_Space]],DaybyDay[[#This Row],[Ret-Act-RU]]/DaybyDay[[#This Row],[Serv-Act-RU]],"")</f>
        <v/>
      </c>
      <c r="AB1403" s="50" t="str">
        <f>IF(DaybyDay[[#This Row],[_Space]],DaybyDay[[#This Row],[RETPEN-Act]]/DaybyDay[[#This Row],[RETPEN-Bud]],"")</f>
        <v/>
      </c>
      <c r="AC1403" s="37" t="str">
        <f>IF(DaybyDay[[#This Row],[_Space]],DaybyDay[[#This Row],[Ret-Bud-RU]]/DaybyDay[[#This Row],[Serv-Bud-RU]],"")</f>
        <v/>
      </c>
      <c r="AD1403" s="37" t="str">
        <f>IF(DaybyDay[[#This Row],[_Space]],DaybyDay[[#This Row],[Ret-LY-RU]]/DaybyDay[[#This Row],[Serv-LY-RU]],"")</f>
        <v/>
      </c>
      <c r="AE1403" s="30">
        <f>WEEKDAY(DaybyDay[[#This Row],[LY-Date]])</f>
        <v>4</v>
      </c>
      <c r="AF1403" s="38">
        <f>$E$2+_xlfn.DAYS(DaybyDay[[#This Row],[Date]],minDate)</f>
        <v>43768</v>
      </c>
      <c r="AG1403" s="39" cm="1">
        <f t="array" ref="AG1403">IFERROR(INDEX(DaybyDay[],DaybyDay[[#This Row],[FORM_MATCH_HELPER]],8),"")</f>
        <v>18</v>
      </c>
      <c r="AH1403" s="39" cm="1">
        <f t="array" ref="AH1403">IFERROR(INDEX(DaybyDay[],DaybyDay[[#This Row],[FORM_MATCH_HELPER]],10),"")</f>
        <v>3917.4</v>
      </c>
      <c r="AI1403" s="39" cm="1">
        <f t="array" ref="AI1403">IFERROR(INDEX(DaybyDay[],DaybyDay[[#This Row],[FORM_MATCH_HELPER]],12),"")</f>
        <v>241.1</v>
      </c>
      <c r="AJ1403" s="32">
        <f>IFERROR(DaybyDay[[#This Row],[Serv-LY-RU]]+DaybyDay[[#This Row],[Ret-LY-RU]],"")</f>
        <v>1788458.950999998</v>
      </c>
      <c r="AK140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1774741.3295804139</v>
      </c>
      <c r="AL1403" s="77"/>
      <c r="AM1403" s="40" t="str">
        <f>IF(DaybyDay[[#This Row],[Admin Hours]]&gt;0,DaybyDay[[#This Row],[Admin Hours]]*$AM$2+$AM$3,"")</f>
        <v/>
      </c>
      <c r="AN1403" s="40">
        <f>SUMIFS(DaybyDay[Est-Admin-Payroll],DaybyDay[Date],"&gt;="&amp;$C$5,DaybyDay[RowYear],"&gt;="&amp;$C$4,DaybyDay[Date],"&lt;="&amp;DaybyDay[[#This Row],[Date]])</f>
        <v>13941.779999999997</v>
      </c>
      <c r="AO1403" s="41" t="str">
        <f>IF(AND(DaybyDay[[#This Row],[_Space]],ISNUMBER(DaybyDay[[#This Row],[Admin Hours]])),DaybyDay[[#This Row],[Est-Admin-Payroll]]/(DaybyDay[[#This Row],[Service-Actuals]]+DaybyDay[[#This Row],[Retail-Actuals]]),"")</f>
        <v/>
      </c>
      <c r="AP1403" s="41">
        <f>DaybyDay[[#This Row],[Estimated-Payroll-Rollup]]/DaybyDay[[#This Row],[Simple-Forecast]]</f>
        <v>7.8556687488064107E-3</v>
      </c>
      <c r="AQ140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350463.5053993786</v>
      </c>
      <c r="AR1403" s="77"/>
      <c r="AS1403" s="40" t="str">
        <f>IF(DaybyDay[[#This Row],[Retail Hours]]&gt;0,DaybyDay[[#This Row],[Retail Hours]]*$AS$2,"")</f>
        <v/>
      </c>
      <c r="AT1403" s="40">
        <f>SUMIFS(DaybyDay[Est-Retail-Payroll],DaybyDay[Date],"&gt;="&amp;$C$5,DaybyDay[RowYear],"&gt;="&amp;$C$4,DaybyDay[Date],"&lt;="&amp;DaybyDay[[#This Row],[Date]])</f>
        <v>2627.1</v>
      </c>
      <c r="AU1403" s="82" t="str">
        <f>IF(AND(DaybyDay[[#This Row],[_Space]],ISNUMBER(DaybyDay[[#This Row],[Retail Hours]])),DaybyDay[[#This Row],[Est-Retail-Payroll]]/(DaybyDay[[#This Row],[Retail-Actuals]]),"")</f>
        <v/>
      </c>
      <c r="AV1403" s="82">
        <f>DaybyDay[[#This Row],[Est-Retail-PayrollRU]]/DaybyDay[[#This Row],[Simple-Forecast-Retail]]</f>
        <v>7.4960729420492124E-3</v>
      </c>
      <c r="AW1403" s="8"/>
      <c r="AX1403" s="15"/>
      <c r="AY1403" s="8"/>
    </row>
    <row r="1404" spans="3:51" hidden="1" x14ac:dyDescent="0.25">
      <c r="C1404" s="26" t="str">
        <f>Tools!$C$1</f>
        <v>Example</v>
      </c>
      <c r="D1404" s="27" t="s">
        <v>77</v>
      </c>
      <c r="E1404" s="28">
        <v>2020</v>
      </c>
      <c r="F1404" s="28">
        <f>MATCH(DaybyDay[[#This Row],[RowMonth]],Table3[SummaryMonth],0)</f>
        <v>10</v>
      </c>
      <c r="G1404" s="29">
        <f>MATCH(DaybyDay[[#This Row],[LY-Date]],DaybyDay[Date],0)</f>
        <v>1034</v>
      </c>
      <c r="H1404" s="30">
        <f>WEEKDAY(DaybyDay[[#This Row],[Date]])</f>
        <v>5</v>
      </c>
      <c r="I1404" s="31">
        <v>44133</v>
      </c>
      <c r="J1404" s="74"/>
      <c r="K1404" s="32">
        <f>SUMIFS(BudgetSeasonality[365 Seasonality],BudgetSeasonality[MonthAdjustment],DaybyDay[[#This Row],[Date]])*SUMIFS(Budgets[Service-Budget],Budgets[BudgetMonth],DaybyDay[[#This Row],[RowMonth]],Budgets[BudgetYear],DaybyDay[[#This Row],[RowYear]])</f>
        <v>5164.358881737613</v>
      </c>
      <c r="L1404" s="75"/>
      <c r="M1404" s="32">
        <f>INDEX(BudgetSeasonality[365 Seasonality],MATCH(DaybyDay[[#This Row],[Date]],BudgetSeasonality[MonthAdjustment],0))*SUMIFS(Budgets[Retail-Budget],Budgets[BudgetMonth],DaybyDay[[#This Row],[RowMonth]],Budgets[BudgetYear],DaybyDay[[#This Row],[RowYear]])</f>
        <v>1320.9691910672827</v>
      </c>
      <c r="N1404" s="75"/>
      <c r="O1404" s="33">
        <f>SUMIFS(DaybyDay[Service-Budgets],DaybyDay[Date],"&gt;="&amp;$C$5,DaybyDay[RowYear],"&gt;="&amp;$C$4,DaybyDay[Date],"&lt;="&amp;DaybyDay[[#This Row],[Date]])</f>
        <v>1599970.2464981261</v>
      </c>
      <c r="P1404" s="33">
        <f>SUMIFS(DaybyDay[Retail-Budgets],DaybyDay[Date],"&gt;="&amp;$C$5,DaybyDay[RowYear],"&gt;="&amp;$C$4,DaybyDay[Date],"&lt;="&amp;DaybyDay[[#This Row],[Date]])</f>
        <v>412546.19364006416</v>
      </c>
      <c r="Q1404" s="34">
        <f>SUMIFS(DaybyDay[Service-Actuals],DaybyDay[Date],"&gt;="&amp;$C$5,DaybyDay[RowYear],"&gt;="&amp;$C$4,DaybyDay[Date],"&lt;="&amp;DaybyDay[[#This Row],[Date]])</f>
        <v>385554.23</v>
      </c>
      <c r="R1404" s="34">
        <f>SUMIFS(DaybyDay[Retail-Actuals],DaybyDay[Date],"&gt;="&amp;$C$5,DaybyDay[RowYear],"&gt;="&amp;$C$4,DaybyDay[Date],"&lt;="&amp;DaybyDay[[#This Row],[Date]])</f>
        <v>88360.030000000028</v>
      </c>
      <c r="S1404" s="35">
        <f>SUMIFS(DaybyDay[Service-LY],DaybyDay[Date],"&gt;="&amp;$C$5,DaybyDay[RowYear],"&gt;="&amp;$C$4,DaybyDay[Date],"&lt;="&amp;DaybyDay[[#This Row],[Date]])</f>
        <v>1445775.0209999981</v>
      </c>
      <c r="T1404" s="35">
        <f>SUMIFS(DaybyDay[Retail-LY],DaybyDay[Date],"&gt;="&amp;$C$5,DaybyDay[RowYear],"&gt;="&amp;$C$4,DaybyDay[Date],"&lt;="&amp;DaybyDay[[#This Row],[Date]])</f>
        <v>347143.25999999989</v>
      </c>
      <c r="U1404" s="32">
        <f>DaybyDay[[#This Row],[Serv-Bud-RU]]+DaybyDay[[#This Row],[Ret-Bud-RU]]</f>
        <v>2012516.4401381903</v>
      </c>
      <c r="V1404" s="32">
        <f>DaybyDay[[#This Row],[Serv-Act-RU]]+DaybyDay[[#This Row],[Ret-Act-RU]]</f>
        <v>473914.26</v>
      </c>
      <c r="W1404" s="36" t="str">
        <f>IF(DaybyDay[[#This Row],[_Space]],IFERROR(
((DaybyDay[[#This Row],[Actual-Rollup]]-DaybyDay[[#This Row],[Budget-Rollup]])/DaybyDay[[#This Row],[Budget-Rollup]]),0),"")</f>
        <v/>
      </c>
      <c r="X1404" t="b">
        <f>NOT(AND(ISBLANK(DaybyDay[[#This Row],[Appts]]),ISBLANK(DaybyDay[[#This Row],[Service-Actuals]]),ISBLANK(DaybyDay[[#This Row],[Retail-Actuals]])))</f>
        <v>0</v>
      </c>
      <c r="Y1404" s="36" t="str">
        <f>IF(DaybyDay[[#This Row],[_Space]],IFERROR(
((DaybyDay[[#This Row],[Actual-Rollup]]-DaybyDay[[#This Row],[LY-Rollup]])/DaybyDay[[#This Row],[LY-Rollup]]),0),"")</f>
        <v/>
      </c>
      <c r="Z1404"/>
      <c r="AA1404" s="37" t="str">
        <f>IF(DaybyDay[[#This Row],[_Space]],DaybyDay[[#This Row],[Ret-Act-RU]]/DaybyDay[[#This Row],[Serv-Act-RU]],"")</f>
        <v/>
      </c>
      <c r="AB1404" s="50" t="str">
        <f>IF(DaybyDay[[#This Row],[_Space]],DaybyDay[[#This Row],[RETPEN-Act]]/DaybyDay[[#This Row],[RETPEN-Bud]],"")</f>
        <v/>
      </c>
      <c r="AC1404" s="37" t="str">
        <f>IF(DaybyDay[[#This Row],[_Space]],DaybyDay[[#This Row],[Ret-Bud-RU]]/DaybyDay[[#This Row],[Serv-Bud-RU]],"")</f>
        <v/>
      </c>
      <c r="AD1404" s="37" t="str">
        <f>IF(DaybyDay[[#This Row],[_Space]],DaybyDay[[#This Row],[Ret-LY-RU]]/DaybyDay[[#This Row],[Serv-LY-RU]],"")</f>
        <v/>
      </c>
      <c r="AE1404" s="30">
        <f>WEEKDAY(DaybyDay[[#This Row],[LY-Date]])</f>
        <v>5</v>
      </c>
      <c r="AF1404" s="38">
        <f>$E$2+_xlfn.DAYS(DaybyDay[[#This Row],[Date]],minDate)</f>
        <v>43769</v>
      </c>
      <c r="AG1404" s="39" cm="1">
        <f t="array" ref="AG1404">IFERROR(INDEX(DaybyDay[],DaybyDay[[#This Row],[FORM_MATCH_HELPER]],8),"")</f>
        <v>16</v>
      </c>
      <c r="AH1404" s="39" cm="1">
        <f t="array" ref="AH1404">IFERROR(INDEX(DaybyDay[],DaybyDay[[#This Row],[FORM_MATCH_HELPER]],10),"")</f>
        <v>4076.83</v>
      </c>
      <c r="AI1404" s="39" cm="1">
        <f t="array" ref="AI1404">IFERROR(INDEX(DaybyDay[],DaybyDay[[#This Row],[FORM_MATCH_HELPER]],12),"")</f>
        <v>382.5</v>
      </c>
      <c r="AJ1404" s="32">
        <f>IFERROR(DaybyDay[[#This Row],[Serv-LY-RU]]+DaybyDay[[#This Row],[Ret-LY-RU]],"")</f>
        <v>1792918.2809999981</v>
      </c>
      <c r="AK140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1779698.5375283537</v>
      </c>
      <c r="AL1404" s="77"/>
      <c r="AM1404" s="40" t="str">
        <f>IF(DaybyDay[[#This Row],[Admin Hours]]&gt;0,DaybyDay[[#This Row],[Admin Hours]]*$AM$2+$AM$3,"")</f>
        <v/>
      </c>
      <c r="AN1404" s="40">
        <f>SUMIFS(DaybyDay[Est-Admin-Payroll],DaybyDay[Date],"&gt;="&amp;$C$5,DaybyDay[RowYear],"&gt;="&amp;$C$4,DaybyDay[Date],"&lt;="&amp;DaybyDay[[#This Row],[Date]])</f>
        <v>13941.779999999997</v>
      </c>
      <c r="AO1404" s="41" t="str">
        <f>IF(AND(DaybyDay[[#This Row],[_Space]],ISNUMBER(DaybyDay[[#This Row],[Admin Hours]])),DaybyDay[[#This Row],[Est-Admin-Payroll]]/(DaybyDay[[#This Row],[Service-Actuals]]+DaybyDay[[#This Row],[Retail-Actuals]]),"")</f>
        <v/>
      </c>
      <c r="AP1404" s="41">
        <f>DaybyDay[[#This Row],[Estimated-Payroll-Rollup]]/DaybyDay[[#This Row],[Simple-Forecast]]</f>
        <v>7.833787411750278E-3</v>
      </c>
      <c r="AQ140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351213.97503764852</v>
      </c>
      <c r="AR1404" s="77"/>
      <c r="AS1404" s="40" t="str">
        <f>IF(DaybyDay[[#This Row],[Retail Hours]]&gt;0,DaybyDay[[#This Row],[Retail Hours]]*$AS$2,"")</f>
        <v/>
      </c>
      <c r="AT1404" s="40">
        <f>SUMIFS(DaybyDay[Est-Retail-Payroll],DaybyDay[Date],"&gt;="&amp;$C$5,DaybyDay[RowYear],"&gt;="&amp;$C$4,DaybyDay[Date],"&lt;="&amp;DaybyDay[[#This Row],[Date]])</f>
        <v>2627.1</v>
      </c>
      <c r="AU1404" s="82" t="str">
        <f>IF(AND(DaybyDay[[#This Row],[_Space]],ISNUMBER(DaybyDay[[#This Row],[Retail Hours]])),DaybyDay[[#This Row],[Est-Retail-Payroll]]/(DaybyDay[[#This Row],[Retail-Actuals]]),"")</f>
        <v/>
      </c>
      <c r="AV1404" s="82">
        <f>DaybyDay[[#This Row],[Est-Retail-PayrollRU]]/DaybyDay[[#This Row],[Simple-Forecast-Retail]]</f>
        <v>7.4800554269470257E-3</v>
      </c>
      <c r="AW1404" s="8"/>
      <c r="AX1404" s="15"/>
      <c r="AY1404" s="8"/>
    </row>
    <row r="1405" spans="3:51" hidden="1" x14ac:dyDescent="0.25">
      <c r="C1405" s="26" t="str">
        <f>Tools!$C$1</f>
        <v>Example</v>
      </c>
      <c r="D1405" s="27" t="s">
        <v>77</v>
      </c>
      <c r="E1405" s="28">
        <v>2020</v>
      </c>
      <c r="F1405" s="28">
        <f>MATCH(DaybyDay[[#This Row],[RowMonth]],Table3[SummaryMonth],0)</f>
        <v>10</v>
      </c>
      <c r="G1405" s="29">
        <f>MATCH(DaybyDay[[#This Row],[LY-Date]],DaybyDay[Date],0)</f>
        <v>1035</v>
      </c>
      <c r="H1405" s="30">
        <f>WEEKDAY(DaybyDay[[#This Row],[Date]])</f>
        <v>6</v>
      </c>
      <c r="I1405" s="31">
        <v>44134</v>
      </c>
      <c r="J1405" s="74"/>
      <c r="K1405" s="32">
        <f>SUMIFS(BudgetSeasonality[365 Seasonality],BudgetSeasonality[MonthAdjustment],DaybyDay[[#This Row],[Date]])*SUMIFS(Budgets[Service-Budget],Budgets[BudgetMonth],DaybyDay[[#This Row],[RowMonth]],Budgets[BudgetYear],DaybyDay[[#This Row],[RowYear]])</f>
        <v>6288.7838264088768</v>
      </c>
      <c r="L1405" s="75"/>
      <c r="M1405" s="32">
        <f>INDEX(BudgetSeasonality[365 Seasonality],MATCH(DaybyDay[[#This Row],[Date]],BudgetSeasonality[MonthAdjustment],0))*SUMIFS(Budgets[Retail-Budget],Budgets[BudgetMonth],DaybyDay[[#This Row],[RowMonth]],Budgets[BudgetYear],DaybyDay[[#This Row],[RowYear]])</f>
        <v>1608.5810212270246</v>
      </c>
      <c r="N1405" s="75"/>
      <c r="O1405" s="33">
        <f>SUMIFS(DaybyDay[Service-Budgets],DaybyDay[Date],"&gt;="&amp;$C$5,DaybyDay[RowYear],"&gt;="&amp;$C$4,DaybyDay[Date],"&lt;="&amp;DaybyDay[[#This Row],[Date]])</f>
        <v>1606259.030324535</v>
      </c>
      <c r="P1405" s="33">
        <f>SUMIFS(DaybyDay[Retail-Budgets],DaybyDay[Date],"&gt;="&amp;$C$5,DaybyDay[RowYear],"&gt;="&amp;$C$4,DaybyDay[Date],"&lt;="&amp;DaybyDay[[#This Row],[Date]])</f>
        <v>414154.77466129116</v>
      </c>
      <c r="Q1405" s="34">
        <f>SUMIFS(DaybyDay[Service-Actuals],DaybyDay[Date],"&gt;="&amp;$C$5,DaybyDay[RowYear],"&gt;="&amp;$C$4,DaybyDay[Date],"&lt;="&amp;DaybyDay[[#This Row],[Date]])</f>
        <v>385554.23</v>
      </c>
      <c r="R1405" s="34">
        <f>SUMIFS(DaybyDay[Retail-Actuals],DaybyDay[Date],"&gt;="&amp;$C$5,DaybyDay[RowYear],"&gt;="&amp;$C$4,DaybyDay[Date],"&lt;="&amp;DaybyDay[[#This Row],[Date]])</f>
        <v>88360.030000000028</v>
      </c>
      <c r="S1405" s="35">
        <f>SUMIFS(DaybyDay[Service-LY],DaybyDay[Date],"&gt;="&amp;$C$5,DaybyDay[RowYear],"&gt;="&amp;$C$4,DaybyDay[Date],"&lt;="&amp;DaybyDay[[#This Row],[Date]])</f>
        <v>1449015.220999998</v>
      </c>
      <c r="T1405" s="35">
        <f>SUMIFS(DaybyDay[Retail-LY],DaybyDay[Date],"&gt;="&amp;$C$5,DaybyDay[RowYear],"&gt;="&amp;$C$4,DaybyDay[Date],"&lt;="&amp;DaybyDay[[#This Row],[Date]])</f>
        <v>347248.25999999989</v>
      </c>
      <c r="U1405" s="32">
        <f>DaybyDay[[#This Row],[Serv-Bud-RU]]+DaybyDay[[#This Row],[Ret-Bud-RU]]</f>
        <v>2020413.8049858261</v>
      </c>
      <c r="V1405" s="32">
        <f>DaybyDay[[#This Row],[Serv-Act-RU]]+DaybyDay[[#This Row],[Ret-Act-RU]]</f>
        <v>473914.26</v>
      </c>
      <c r="W1405" s="36" t="str">
        <f>IF(DaybyDay[[#This Row],[_Space]],IFERROR(
((DaybyDay[[#This Row],[Actual-Rollup]]-DaybyDay[[#This Row],[Budget-Rollup]])/DaybyDay[[#This Row],[Budget-Rollup]]),0),"")</f>
        <v/>
      </c>
      <c r="X1405" t="b">
        <f>NOT(AND(ISBLANK(DaybyDay[[#This Row],[Appts]]),ISBLANK(DaybyDay[[#This Row],[Service-Actuals]]),ISBLANK(DaybyDay[[#This Row],[Retail-Actuals]])))</f>
        <v>0</v>
      </c>
      <c r="Y1405" s="36" t="str">
        <f>IF(DaybyDay[[#This Row],[_Space]],IFERROR(
((DaybyDay[[#This Row],[Actual-Rollup]]-DaybyDay[[#This Row],[LY-Rollup]])/DaybyDay[[#This Row],[LY-Rollup]]),0),"")</f>
        <v/>
      </c>
      <c r="Z1405"/>
      <c r="AA1405" s="37" t="str">
        <f>IF(DaybyDay[[#This Row],[_Space]],DaybyDay[[#This Row],[Ret-Act-RU]]/DaybyDay[[#This Row],[Serv-Act-RU]],"")</f>
        <v/>
      </c>
      <c r="AB1405" s="50" t="str">
        <f>IF(DaybyDay[[#This Row],[_Space]],DaybyDay[[#This Row],[RETPEN-Act]]/DaybyDay[[#This Row],[RETPEN-Bud]],"")</f>
        <v/>
      </c>
      <c r="AC1405" s="37" t="str">
        <f>IF(DaybyDay[[#This Row],[_Space]],DaybyDay[[#This Row],[Ret-Bud-RU]]/DaybyDay[[#This Row],[Serv-Bud-RU]],"")</f>
        <v/>
      </c>
      <c r="AD1405" s="37" t="str">
        <f>IF(DaybyDay[[#This Row],[_Space]],DaybyDay[[#This Row],[Ret-LY-RU]]/DaybyDay[[#This Row],[Serv-LY-RU]],"")</f>
        <v/>
      </c>
      <c r="AE1405" s="30">
        <f>WEEKDAY(DaybyDay[[#This Row],[LY-Date]])</f>
        <v>6</v>
      </c>
      <c r="AF1405" s="38">
        <f>$E$2+_xlfn.DAYS(DaybyDay[[#This Row],[Date]],minDate)</f>
        <v>43770</v>
      </c>
      <c r="AG1405" s="39" cm="1">
        <f t="array" ref="AG1405">IFERROR(INDEX(DaybyDay[],DaybyDay[[#This Row],[FORM_MATCH_HELPER]],8),"")</f>
        <v>21</v>
      </c>
      <c r="AH1405" s="39" cm="1">
        <f t="array" ref="AH1405">IFERROR(INDEX(DaybyDay[],DaybyDay[[#This Row],[FORM_MATCH_HELPER]],10),"")</f>
        <v>3240.2</v>
      </c>
      <c r="AI1405" s="39" cm="1">
        <f t="array" ref="AI1405">IFERROR(INDEX(DaybyDay[],DaybyDay[[#This Row],[FORM_MATCH_HELPER]],12),"")</f>
        <v>105</v>
      </c>
      <c r="AJ1405" s="32">
        <f>IFERROR(DaybyDay[[#This Row],[Serv-LY-RU]]+DaybyDay[[#This Row],[Ret-LY-RU]],"")</f>
        <v>1796263.4809999978</v>
      </c>
      <c r="AK140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1784707.0478758181</v>
      </c>
      <c r="AL1405" s="77"/>
      <c r="AM1405" s="40" t="str">
        <f>IF(DaybyDay[[#This Row],[Admin Hours]]&gt;0,DaybyDay[[#This Row],[Admin Hours]]*$AM$2+$AM$3,"")</f>
        <v/>
      </c>
      <c r="AN1405" s="40">
        <f>SUMIFS(DaybyDay[Est-Admin-Payroll],DaybyDay[Date],"&gt;="&amp;$C$5,DaybyDay[RowYear],"&gt;="&amp;$C$4,DaybyDay[Date],"&lt;="&amp;DaybyDay[[#This Row],[Date]])</f>
        <v>13941.779999999997</v>
      </c>
      <c r="AO1405" s="41" t="str">
        <f>IF(AND(DaybyDay[[#This Row],[_Space]],ISNUMBER(DaybyDay[[#This Row],[Admin Hours]])),DaybyDay[[#This Row],[Est-Admin-Payroll]]/(DaybyDay[[#This Row],[Service-Actuals]]+DaybyDay[[#This Row],[Retail-Actuals]]),"")</f>
        <v/>
      </c>
      <c r="AP1405" s="41">
        <f>DaybyDay[[#This Row],[Estimated-Payroll-Rollup]]/DaybyDay[[#This Row],[Simple-Forecast]]</f>
        <v>7.8118030724390808E-3</v>
      </c>
      <c r="AQ140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351949.96225941041</v>
      </c>
      <c r="AR1405" s="77"/>
      <c r="AS1405" s="40" t="str">
        <f>IF(DaybyDay[[#This Row],[Retail Hours]]&gt;0,DaybyDay[[#This Row],[Retail Hours]]*$AS$2,"")</f>
        <v/>
      </c>
      <c r="AT1405" s="40">
        <f>SUMIFS(DaybyDay[Est-Retail-Payroll],DaybyDay[Date],"&gt;="&amp;$C$5,DaybyDay[RowYear],"&gt;="&amp;$C$4,DaybyDay[Date],"&lt;="&amp;DaybyDay[[#This Row],[Date]])</f>
        <v>2627.1</v>
      </c>
      <c r="AU1405" s="82" t="str">
        <f>IF(AND(DaybyDay[[#This Row],[_Space]],ISNUMBER(DaybyDay[[#This Row],[Retail Hours]])),DaybyDay[[#This Row],[Est-Retail-Payroll]]/(DaybyDay[[#This Row],[Retail-Actuals]]),"")</f>
        <v/>
      </c>
      <c r="AV1405" s="82">
        <f>DaybyDay[[#This Row],[Est-Retail-PayrollRU]]/DaybyDay[[#This Row],[Simple-Forecast-Retail]]</f>
        <v>7.4644133590321378E-3</v>
      </c>
      <c r="AW1405" s="8"/>
      <c r="AX1405" s="15"/>
      <c r="AY1405" s="8"/>
    </row>
    <row r="1406" spans="3:51" hidden="1" x14ac:dyDescent="0.25">
      <c r="C1406" s="26" t="str">
        <f>Tools!$C$1</f>
        <v>Example</v>
      </c>
      <c r="D1406" s="27" t="s">
        <v>77</v>
      </c>
      <c r="E1406" s="28">
        <v>2020</v>
      </c>
      <c r="F1406" s="28">
        <f>MATCH(DaybyDay[[#This Row],[RowMonth]],Table3[SummaryMonth],0)</f>
        <v>10</v>
      </c>
      <c r="G1406" s="29">
        <f>MATCH(DaybyDay[[#This Row],[LY-Date]],DaybyDay[Date],0)</f>
        <v>1036</v>
      </c>
      <c r="H1406" s="30">
        <f>WEEKDAY(DaybyDay[[#This Row],[Date]])</f>
        <v>7</v>
      </c>
      <c r="I1406" s="31">
        <v>44135</v>
      </c>
      <c r="J1406" s="74"/>
      <c r="K1406" s="32">
        <f>SUMIFS(BudgetSeasonality[365 Seasonality],BudgetSeasonality[MonthAdjustment],DaybyDay[[#This Row],[Date]])*SUMIFS(Budgets[Service-Budget],Budgets[BudgetMonth],DaybyDay[[#This Row],[RowMonth]],Budgets[BudgetYear],DaybyDay[[#This Row],[RowYear]])</f>
        <v>8652.0232541703899</v>
      </c>
      <c r="L1406" s="75"/>
      <c r="M1406" s="32">
        <f>INDEX(BudgetSeasonality[365 Seasonality],MATCH(DaybyDay[[#This Row],[Date]],BudgetSeasonality[MonthAdjustment],0))*SUMIFS(Budgets[Retail-Budget],Budgets[BudgetMonth],DaybyDay[[#This Row],[RowMonth]],Budgets[BudgetYear],DaybyDay[[#This Row],[RowYear]])</f>
        <v>2213.0638905775136</v>
      </c>
      <c r="N1406" s="75"/>
      <c r="O1406" s="33">
        <f>SUMIFS(DaybyDay[Service-Budgets],DaybyDay[Date],"&gt;="&amp;$C$5,DaybyDay[RowYear],"&gt;="&amp;$C$4,DaybyDay[Date],"&lt;="&amp;DaybyDay[[#This Row],[Date]])</f>
        <v>1614911.0535787053</v>
      </c>
      <c r="P1406" s="33">
        <f>SUMIFS(DaybyDay[Retail-Budgets],DaybyDay[Date],"&gt;="&amp;$C$5,DaybyDay[RowYear],"&gt;="&amp;$C$4,DaybyDay[Date],"&lt;="&amp;DaybyDay[[#This Row],[Date]])</f>
        <v>416367.83855186868</v>
      </c>
      <c r="Q1406" s="34">
        <f>SUMIFS(DaybyDay[Service-Actuals],DaybyDay[Date],"&gt;="&amp;$C$5,DaybyDay[RowYear],"&gt;="&amp;$C$4,DaybyDay[Date],"&lt;="&amp;DaybyDay[[#This Row],[Date]])</f>
        <v>385554.23</v>
      </c>
      <c r="R1406" s="34">
        <f>SUMIFS(DaybyDay[Retail-Actuals],DaybyDay[Date],"&gt;="&amp;$C$5,DaybyDay[RowYear],"&gt;="&amp;$C$4,DaybyDay[Date],"&lt;="&amp;DaybyDay[[#This Row],[Date]])</f>
        <v>88360.030000000028</v>
      </c>
      <c r="S1406" s="35">
        <f>SUMIFS(DaybyDay[Service-LY],DaybyDay[Date],"&gt;="&amp;$C$5,DaybyDay[RowYear],"&gt;="&amp;$C$4,DaybyDay[Date],"&lt;="&amp;DaybyDay[[#This Row],[Date]])</f>
        <v>1458749.8209999981</v>
      </c>
      <c r="T1406" s="35">
        <f>SUMIFS(DaybyDay[Retail-LY],DaybyDay[Date],"&gt;="&amp;$C$5,DaybyDay[RowYear],"&gt;="&amp;$C$4,DaybyDay[Date],"&lt;="&amp;DaybyDay[[#This Row],[Date]])</f>
        <v>348649.75999999989</v>
      </c>
      <c r="U1406" s="32">
        <f>DaybyDay[[#This Row],[Serv-Bud-RU]]+DaybyDay[[#This Row],[Ret-Bud-RU]]</f>
        <v>2031278.892130574</v>
      </c>
      <c r="V1406" s="32">
        <f>DaybyDay[[#This Row],[Serv-Act-RU]]+DaybyDay[[#This Row],[Ret-Act-RU]]</f>
        <v>473914.26</v>
      </c>
      <c r="W1406" s="36" t="str">
        <f>IF(DaybyDay[[#This Row],[_Space]],IFERROR(
((DaybyDay[[#This Row],[Actual-Rollup]]-DaybyDay[[#This Row],[Budget-Rollup]])/DaybyDay[[#This Row],[Budget-Rollup]]),0),"")</f>
        <v/>
      </c>
      <c r="X1406" t="b">
        <f>NOT(AND(ISBLANK(DaybyDay[[#This Row],[Appts]]),ISBLANK(DaybyDay[[#This Row],[Service-Actuals]]),ISBLANK(DaybyDay[[#This Row],[Retail-Actuals]])))</f>
        <v>0</v>
      </c>
      <c r="Y1406" s="36" t="str">
        <f>IF(DaybyDay[[#This Row],[_Space]],IFERROR(
((DaybyDay[[#This Row],[Actual-Rollup]]-DaybyDay[[#This Row],[LY-Rollup]])/DaybyDay[[#This Row],[LY-Rollup]]),0),"")</f>
        <v/>
      </c>
      <c r="Z1406"/>
      <c r="AA1406" s="37" t="str">
        <f>IF(DaybyDay[[#This Row],[_Space]],DaybyDay[[#This Row],[Ret-Act-RU]]/DaybyDay[[#This Row],[Serv-Act-RU]],"")</f>
        <v/>
      </c>
      <c r="AB1406" s="50" t="str">
        <f>IF(DaybyDay[[#This Row],[_Space]],DaybyDay[[#This Row],[RETPEN-Act]]/DaybyDay[[#This Row],[RETPEN-Bud]],"")</f>
        <v/>
      </c>
      <c r="AC1406" s="37" t="str">
        <f>IF(DaybyDay[[#This Row],[_Space]],DaybyDay[[#This Row],[Ret-Bud-RU]]/DaybyDay[[#This Row],[Serv-Bud-RU]],"")</f>
        <v/>
      </c>
      <c r="AD1406" s="37" t="str">
        <f>IF(DaybyDay[[#This Row],[_Space]],DaybyDay[[#This Row],[Ret-LY-RU]]/DaybyDay[[#This Row],[Serv-LY-RU]],"")</f>
        <v/>
      </c>
      <c r="AE1406" s="30">
        <f>WEEKDAY(DaybyDay[[#This Row],[LY-Date]])</f>
        <v>7</v>
      </c>
      <c r="AF1406" s="38">
        <f>$E$2+_xlfn.DAYS(DaybyDay[[#This Row],[Date]],minDate)</f>
        <v>43771</v>
      </c>
      <c r="AG1406" s="39" cm="1">
        <f t="array" ref="AG1406">IFERROR(INDEX(DaybyDay[],DaybyDay[[#This Row],[FORM_MATCH_HELPER]],8),"")</f>
        <v>43</v>
      </c>
      <c r="AH1406" s="39" cm="1">
        <f t="array" ref="AH1406">IFERROR(INDEX(DaybyDay[],DaybyDay[[#This Row],[FORM_MATCH_HELPER]],10),"")</f>
        <v>9734.6</v>
      </c>
      <c r="AI1406" s="39" cm="1">
        <f t="array" ref="AI1406">IFERROR(INDEX(DaybyDay[],DaybyDay[[#This Row],[FORM_MATCH_HELPER]],12),"")</f>
        <v>1401.5</v>
      </c>
      <c r="AJ1406" s="32">
        <f>IFERROR(DaybyDay[[#This Row],[Serv-LY-RU]]+DaybyDay[[#This Row],[Ret-LY-RU]],"")</f>
        <v>1807399.5809999979</v>
      </c>
      <c r="AK140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1794819.1436148833</v>
      </c>
      <c r="AL1406" s="77"/>
      <c r="AM1406" s="40" t="str">
        <f>IF(DaybyDay[[#This Row],[Admin Hours]]&gt;0,DaybyDay[[#This Row],[Admin Hours]]*$AM$2+$AM$3,"")</f>
        <v/>
      </c>
      <c r="AN1406" s="40">
        <f>SUMIFS(DaybyDay[Est-Admin-Payroll],DaybyDay[Date],"&gt;="&amp;$C$5,DaybyDay[RowYear],"&gt;="&amp;$C$4,DaybyDay[Date],"&lt;="&amp;DaybyDay[[#This Row],[Date]])</f>
        <v>13941.779999999997</v>
      </c>
      <c r="AO1406" s="41" t="str">
        <f>IF(AND(DaybyDay[[#This Row],[_Space]],ISNUMBER(DaybyDay[[#This Row],[Admin Hours]])),DaybyDay[[#This Row],[Est-Admin-Payroll]]/(DaybyDay[[#This Row],[Service-Actuals]]+DaybyDay[[#This Row],[Retail-Actuals]]),"")</f>
        <v/>
      </c>
      <c r="AP1406" s="41">
        <f>DaybyDay[[#This Row],[Estimated-Payroll-Rollup]]/DaybyDay[[#This Row],[Simple-Forecast]]</f>
        <v>7.7677910053490619E-3</v>
      </c>
      <c r="AQ140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353582.2997150739</v>
      </c>
      <c r="AR1406" s="77"/>
      <c r="AS1406" s="40" t="str">
        <f>IF(DaybyDay[[#This Row],[Retail Hours]]&gt;0,DaybyDay[[#This Row],[Retail Hours]]*$AS$2,"")</f>
        <v/>
      </c>
      <c r="AT1406" s="40">
        <f>SUMIFS(DaybyDay[Est-Retail-Payroll],DaybyDay[Date],"&gt;="&amp;$C$5,DaybyDay[RowYear],"&gt;="&amp;$C$4,DaybyDay[Date],"&lt;="&amp;DaybyDay[[#This Row],[Date]])</f>
        <v>2627.1</v>
      </c>
      <c r="AU1406" s="82" t="str">
        <f>IF(AND(DaybyDay[[#This Row],[_Space]],ISNUMBER(DaybyDay[[#This Row],[Retail Hours]])),DaybyDay[[#This Row],[Est-Retail-Payroll]]/(DaybyDay[[#This Row],[Retail-Actuals]]),"")</f>
        <v/>
      </c>
      <c r="AV1406" s="82">
        <f>DaybyDay[[#This Row],[Est-Retail-PayrollRU]]/DaybyDay[[#This Row],[Simple-Forecast-Retail]]</f>
        <v>7.4299533718655813E-3</v>
      </c>
      <c r="AW1406" s="8"/>
      <c r="AX1406" s="15"/>
      <c r="AY1406" s="8"/>
    </row>
    <row r="1407" spans="3:51" hidden="1" x14ac:dyDescent="0.25">
      <c r="C1407" s="26" t="str">
        <f>Tools!$C$1</f>
        <v>Example</v>
      </c>
      <c r="D1407" s="27" t="s">
        <v>78</v>
      </c>
      <c r="E1407" s="28">
        <v>2020</v>
      </c>
      <c r="F1407" s="28">
        <f>MATCH(DaybyDay[[#This Row],[RowMonth]],Table3[SummaryMonth],0)</f>
        <v>11</v>
      </c>
      <c r="G1407" s="29">
        <f>MATCH(DaybyDay[[#This Row],[LY-Date]],DaybyDay[Date],0)</f>
        <v>1037</v>
      </c>
      <c r="H1407" s="30">
        <f>WEEKDAY(DaybyDay[[#This Row],[Date]])</f>
        <v>1</v>
      </c>
      <c r="I1407" s="31">
        <v>44136</v>
      </c>
      <c r="J1407" s="74"/>
      <c r="K1407" s="32">
        <f>SUMIFS(BudgetSeasonality[365 Seasonality],BudgetSeasonality[MonthAdjustment],DaybyDay[[#This Row],[Date]])*SUMIFS(Budgets[Service-Budget],Budgets[BudgetMonth],DaybyDay[[#This Row],[RowMonth]],Budgets[BudgetYear],DaybyDay[[#This Row],[RowYear]])</f>
        <v>6940.9171912038182</v>
      </c>
      <c r="L1407" s="75"/>
      <c r="M1407" s="32">
        <f>INDEX(BudgetSeasonality[365 Seasonality],MATCH(DaybyDay[[#This Row],[Date]],BudgetSeasonality[MonthAdjustment],0))*SUMIFS(Budgets[Retail-Budget],Budgets[BudgetMonth],DaybyDay[[#This Row],[RowMonth]],Budgets[BudgetYear],DaybyDay[[#This Row],[RowYear]])</f>
        <v>2542.0664901344944</v>
      </c>
      <c r="N1407" s="75"/>
      <c r="O1407" s="33">
        <f>SUMIFS(DaybyDay[Service-Budgets],DaybyDay[Date],"&gt;="&amp;$C$5,DaybyDay[RowYear],"&gt;="&amp;$C$4,DaybyDay[Date],"&lt;="&amp;DaybyDay[[#This Row],[Date]])</f>
        <v>1621851.9707699092</v>
      </c>
      <c r="P1407" s="33">
        <f>SUMIFS(DaybyDay[Retail-Budgets],DaybyDay[Date],"&gt;="&amp;$C$5,DaybyDay[RowYear],"&gt;="&amp;$C$4,DaybyDay[Date],"&lt;="&amp;DaybyDay[[#This Row],[Date]])</f>
        <v>418909.9050420032</v>
      </c>
      <c r="Q1407" s="34">
        <f>SUMIFS(DaybyDay[Service-Actuals],DaybyDay[Date],"&gt;="&amp;$C$5,DaybyDay[RowYear],"&gt;="&amp;$C$4,DaybyDay[Date],"&lt;="&amp;DaybyDay[[#This Row],[Date]])</f>
        <v>385554.23</v>
      </c>
      <c r="R1407" s="34">
        <f>SUMIFS(DaybyDay[Retail-Actuals],DaybyDay[Date],"&gt;="&amp;$C$5,DaybyDay[RowYear],"&gt;="&amp;$C$4,DaybyDay[Date],"&lt;="&amp;DaybyDay[[#This Row],[Date]])</f>
        <v>88360.030000000028</v>
      </c>
      <c r="S1407" s="35">
        <f>SUMIFS(DaybyDay[Service-LY],DaybyDay[Date],"&gt;="&amp;$C$5,DaybyDay[RowYear],"&gt;="&amp;$C$4,DaybyDay[Date],"&lt;="&amp;DaybyDay[[#This Row],[Date]])</f>
        <v>1466223.0209999981</v>
      </c>
      <c r="T1407" s="35">
        <f>SUMIFS(DaybyDay[Retail-LY],DaybyDay[Date],"&gt;="&amp;$C$5,DaybyDay[RowYear],"&gt;="&amp;$C$4,DaybyDay[Date],"&lt;="&amp;DaybyDay[[#This Row],[Date]])</f>
        <v>349868.75999999989</v>
      </c>
      <c r="U1407" s="32">
        <f>DaybyDay[[#This Row],[Serv-Bud-RU]]+DaybyDay[[#This Row],[Ret-Bud-RU]]</f>
        <v>2040761.8758119124</v>
      </c>
      <c r="V1407" s="32">
        <f>DaybyDay[[#This Row],[Serv-Act-RU]]+DaybyDay[[#This Row],[Ret-Act-RU]]</f>
        <v>473914.26</v>
      </c>
      <c r="W1407" s="36" t="str">
        <f>IF(DaybyDay[[#This Row],[_Space]],IFERROR(
((DaybyDay[[#This Row],[Actual-Rollup]]-DaybyDay[[#This Row],[Budget-Rollup]])/DaybyDay[[#This Row],[Budget-Rollup]]),0),"")</f>
        <v/>
      </c>
      <c r="X1407" t="b">
        <f>NOT(AND(ISBLANK(DaybyDay[[#This Row],[Appts]]),ISBLANK(DaybyDay[[#This Row],[Service-Actuals]]),ISBLANK(DaybyDay[[#This Row],[Retail-Actuals]])))</f>
        <v>0</v>
      </c>
      <c r="Y1407" s="36" t="str">
        <f>IF(DaybyDay[[#This Row],[_Space]],IFERROR(
((DaybyDay[[#This Row],[Actual-Rollup]]-DaybyDay[[#This Row],[LY-Rollup]])/DaybyDay[[#This Row],[LY-Rollup]]),0),"")</f>
        <v/>
      </c>
      <c r="Z1407"/>
      <c r="AA1407" s="37" t="str">
        <f>IF(DaybyDay[[#This Row],[_Space]],DaybyDay[[#This Row],[Ret-Act-RU]]/DaybyDay[[#This Row],[Serv-Act-RU]],"")</f>
        <v/>
      </c>
      <c r="AB1407" s="50" t="str">
        <f>IF(DaybyDay[[#This Row],[_Space]],DaybyDay[[#This Row],[RETPEN-Act]]/DaybyDay[[#This Row],[RETPEN-Bud]],"")</f>
        <v/>
      </c>
      <c r="AC1407" s="37" t="str">
        <f>IF(DaybyDay[[#This Row],[_Space]],DaybyDay[[#This Row],[Ret-Bud-RU]]/DaybyDay[[#This Row],[Serv-Bud-RU]],"")</f>
        <v/>
      </c>
      <c r="AD1407" s="37" t="str">
        <f>IF(DaybyDay[[#This Row],[_Space]],DaybyDay[[#This Row],[Ret-LY-RU]]/DaybyDay[[#This Row],[Serv-LY-RU]],"")</f>
        <v/>
      </c>
      <c r="AE1407" s="30">
        <f>WEEKDAY(DaybyDay[[#This Row],[LY-Date]])</f>
        <v>1</v>
      </c>
      <c r="AF1407" s="38">
        <f>$E$2+_xlfn.DAYS(DaybyDay[[#This Row],[Date]],minDate)</f>
        <v>43772</v>
      </c>
      <c r="AG1407" s="39" cm="1">
        <f t="array" ref="AG1407">IFERROR(INDEX(DaybyDay[],DaybyDay[[#This Row],[FORM_MATCH_HELPER]],8),"")</f>
        <v>32</v>
      </c>
      <c r="AH1407" s="39" cm="1">
        <f t="array" ref="AH1407">IFERROR(INDEX(DaybyDay[],DaybyDay[[#This Row],[FORM_MATCH_HELPER]],10),"")</f>
        <v>7473.2000000000007</v>
      </c>
      <c r="AI1407" s="39" cm="1">
        <f t="array" ref="AI1407">IFERROR(INDEX(DaybyDay[],DaybyDay[[#This Row],[FORM_MATCH_HELPER]],12),"")</f>
        <v>1219</v>
      </c>
      <c r="AJ1407" s="32">
        <f>IFERROR(DaybyDay[[#This Row],[Serv-LY-RU]]+DaybyDay[[#This Row],[Ret-LY-RU]],"")</f>
        <v>1816091.7809999981</v>
      </c>
      <c r="AK140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1803138.4066652479</v>
      </c>
      <c r="AL1407" s="77"/>
      <c r="AM1407" s="40" t="str">
        <f>IF(DaybyDay[[#This Row],[Admin Hours]]&gt;0,DaybyDay[[#This Row],[Admin Hours]]*$AM$2+$AM$3,"")</f>
        <v/>
      </c>
      <c r="AN1407" s="40">
        <f>SUMIFS(DaybyDay[Est-Admin-Payroll],DaybyDay[Date],"&gt;="&amp;$C$5,DaybyDay[RowYear],"&gt;="&amp;$C$4,DaybyDay[Date],"&lt;="&amp;DaybyDay[[#This Row],[Date]])</f>
        <v>13941.779999999997</v>
      </c>
      <c r="AO1407" s="41" t="str">
        <f>IF(AND(DaybyDay[[#This Row],[_Space]],ISNUMBER(DaybyDay[[#This Row],[Admin Hours]])),DaybyDay[[#This Row],[Est-Admin-Payroll]]/(DaybyDay[[#This Row],[Service-Actuals]]+DaybyDay[[#This Row],[Retail-Actuals]]),"")</f>
        <v/>
      </c>
      <c r="AP1407" s="41">
        <f>DaybyDay[[#This Row],[Estimated-Payroll-Rollup]]/DaybyDay[[#This Row],[Simple-Forecast]]</f>
        <v>7.7319522164602666E-3</v>
      </c>
      <c r="AQ140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355264.59962319513</v>
      </c>
      <c r="AR1407" s="77"/>
      <c r="AS1407" s="40" t="str">
        <f>IF(DaybyDay[[#This Row],[Retail Hours]]&gt;0,DaybyDay[[#This Row],[Retail Hours]]*$AS$2,"")</f>
        <v/>
      </c>
      <c r="AT1407" s="40">
        <f>SUMIFS(DaybyDay[Est-Retail-Payroll],DaybyDay[Date],"&gt;="&amp;$C$5,DaybyDay[RowYear],"&gt;="&amp;$C$4,DaybyDay[Date],"&lt;="&amp;DaybyDay[[#This Row],[Date]])</f>
        <v>2627.1</v>
      </c>
      <c r="AU1407" s="82" t="str">
        <f>IF(AND(DaybyDay[[#This Row],[_Space]],ISNUMBER(DaybyDay[[#This Row],[Retail Hours]])),DaybyDay[[#This Row],[Est-Retail-Payroll]]/(DaybyDay[[#This Row],[Retail-Actuals]]),"")</f>
        <v/>
      </c>
      <c r="AV1407" s="82">
        <f>DaybyDay[[#This Row],[Est-Retail-PayrollRU]]/DaybyDay[[#This Row],[Simple-Forecast-Retail]]</f>
        <v>7.3947699905546043E-3</v>
      </c>
      <c r="AW1407" s="8"/>
      <c r="AX1407" s="15"/>
      <c r="AY1407" s="8"/>
    </row>
    <row r="1408" spans="3:51" hidden="1" x14ac:dyDescent="0.25">
      <c r="C1408" s="26" t="str">
        <f>Tools!$C$1</f>
        <v>Example</v>
      </c>
      <c r="D1408" s="27" t="s">
        <v>78</v>
      </c>
      <c r="E1408" s="28">
        <v>2020</v>
      </c>
      <c r="F1408" s="28">
        <f>MATCH(DaybyDay[[#This Row],[RowMonth]],Table3[SummaryMonth],0)</f>
        <v>11</v>
      </c>
      <c r="G1408" s="29">
        <f>MATCH(DaybyDay[[#This Row],[LY-Date]],DaybyDay[Date],0)</f>
        <v>1038</v>
      </c>
      <c r="H1408" s="30">
        <f>WEEKDAY(DaybyDay[[#This Row],[Date]])</f>
        <v>2</v>
      </c>
      <c r="I1408" s="31">
        <v>44137</v>
      </c>
      <c r="J1408" s="74"/>
      <c r="K1408" s="32">
        <f>SUMIFS(BudgetSeasonality[365 Seasonality],BudgetSeasonality[MonthAdjustment],DaybyDay[[#This Row],[Date]])*SUMIFS(Budgets[Service-Budget],Budgets[BudgetMonth],DaybyDay[[#This Row],[RowMonth]],Budgets[BudgetYear],DaybyDay[[#This Row],[RowYear]])</f>
        <v>4407.3506871647787</v>
      </c>
      <c r="L1408" s="75"/>
      <c r="M1408" s="32">
        <f>INDEX(BudgetSeasonality[365 Seasonality],MATCH(DaybyDay[[#This Row],[Date]],BudgetSeasonality[MonthAdjustment],0))*SUMIFS(Budgets[Retail-Budget],Budgets[BudgetMonth],DaybyDay[[#This Row],[RowMonth]],Budgets[BudgetYear],DaybyDay[[#This Row],[RowYear]])</f>
        <v>1614.1639762409645</v>
      </c>
      <c r="N1408" s="75"/>
      <c r="O1408" s="33">
        <f>SUMIFS(DaybyDay[Service-Budgets],DaybyDay[Date],"&gt;="&amp;$C$5,DaybyDay[RowYear],"&gt;="&amp;$C$4,DaybyDay[Date],"&lt;="&amp;DaybyDay[[#This Row],[Date]])</f>
        <v>1626259.321457074</v>
      </c>
      <c r="P1408" s="33">
        <f>SUMIFS(DaybyDay[Retail-Budgets],DaybyDay[Date],"&gt;="&amp;$C$5,DaybyDay[RowYear],"&gt;="&amp;$C$4,DaybyDay[Date],"&lt;="&amp;DaybyDay[[#This Row],[Date]])</f>
        <v>420524.06901824416</v>
      </c>
      <c r="Q1408" s="34">
        <f>SUMIFS(DaybyDay[Service-Actuals],DaybyDay[Date],"&gt;="&amp;$C$5,DaybyDay[RowYear],"&gt;="&amp;$C$4,DaybyDay[Date],"&lt;="&amp;DaybyDay[[#This Row],[Date]])</f>
        <v>385554.23</v>
      </c>
      <c r="R1408" s="34">
        <f>SUMIFS(DaybyDay[Retail-Actuals],DaybyDay[Date],"&gt;="&amp;$C$5,DaybyDay[RowYear],"&gt;="&amp;$C$4,DaybyDay[Date],"&lt;="&amp;DaybyDay[[#This Row],[Date]])</f>
        <v>88360.030000000028</v>
      </c>
      <c r="S1408" s="35">
        <f>SUMIFS(DaybyDay[Service-LY],DaybyDay[Date],"&gt;="&amp;$C$5,DaybyDay[RowYear],"&gt;="&amp;$C$4,DaybyDay[Date],"&lt;="&amp;DaybyDay[[#This Row],[Date]])</f>
        <v>1470653.9909999981</v>
      </c>
      <c r="T1408" s="35">
        <f>SUMIFS(DaybyDay[Retail-LY],DaybyDay[Date],"&gt;="&amp;$C$5,DaybyDay[RowYear],"&gt;="&amp;$C$4,DaybyDay[Date],"&lt;="&amp;DaybyDay[[#This Row],[Date]])</f>
        <v>350125.75999999989</v>
      </c>
      <c r="U1408" s="32">
        <f>DaybyDay[[#This Row],[Serv-Bud-RU]]+DaybyDay[[#This Row],[Ret-Bud-RU]]</f>
        <v>2046783.3904753183</v>
      </c>
      <c r="V1408" s="32">
        <f>DaybyDay[[#This Row],[Serv-Act-RU]]+DaybyDay[[#This Row],[Ret-Act-RU]]</f>
        <v>473914.26</v>
      </c>
      <c r="W1408" s="36" t="str">
        <f>IF(DaybyDay[[#This Row],[_Space]],IFERROR(
((DaybyDay[[#This Row],[Actual-Rollup]]-DaybyDay[[#This Row],[Budget-Rollup]])/DaybyDay[[#This Row],[Budget-Rollup]]),0),"")</f>
        <v/>
      </c>
      <c r="X1408" t="b">
        <f>NOT(AND(ISBLANK(DaybyDay[[#This Row],[Appts]]),ISBLANK(DaybyDay[[#This Row],[Service-Actuals]]),ISBLANK(DaybyDay[[#This Row],[Retail-Actuals]])))</f>
        <v>0</v>
      </c>
      <c r="Y1408" s="36" t="str">
        <f>IF(DaybyDay[[#This Row],[_Space]],IFERROR(
((DaybyDay[[#This Row],[Actual-Rollup]]-DaybyDay[[#This Row],[LY-Rollup]])/DaybyDay[[#This Row],[LY-Rollup]]),0),"")</f>
        <v/>
      </c>
      <c r="Z1408"/>
      <c r="AA1408" s="37" t="str">
        <f>IF(DaybyDay[[#This Row],[_Space]],DaybyDay[[#This Row],[Ret-Act-RU]]/DaybyDay[[#This Row],[Serv-Act-RU]],"")</f>
        <v/>
      </c>
      <c r="AB1408" s="50" t="str">
        <f>IF(DaybyDay[[#This Row],[_Space]],DaybyDay[[#This Row],[RETPEN-Act]]/DaybyDay[[#This Row],[RETPEN-Bud]],"")</f>
        <v/>
      </c>
      <c r="AC1408" s="37" t="str">
        <f>IF(DaybyDay[[#This Row],[_Space]],DaybyDay[[#This Row],[Ret-Bud-RU]]/DaybyDay[[#This Row],[Serv-Bud-RU]],"")</f>
        <v/>
      </c>
      <c r="AD1408" s="37" t="str">
        <f>IF(DaybyDay[[#This Row],[_Space]],DaybyDay[[#This Row],[Ret-LY-RU]]/DaybyDay[[#This Row],[Serv-LY-RU]],"")</f>
        <v/>
      </c>
      <c r="AE1408" s="30">
        <f>WEEKDAY(DaybyDay[[#This Row],[LY-Date]])</f>
        <v>2</v>
      </c>
      <c r="AF1408" s="38">
        <f>$E$2+_xlfn.DAYS(DaybyDay[[#This Row],[Date]],minDate)</f>
        <v>43773</v>
      </c>
      <c r="AG1408" s="39" cm="1">
        <f t="array" ref="AG1408">IFERROR(INDEX(DaybyDay[],DaybyDay[[#This Row],[FORM_MATCH_HELPER]],8),"")</f>
        <v>24</v>
      </c>
      <c r="AH1408" s="39" cm="1">
        <f t="array" ref="AH1408">IFERROR(INDEX(DaybyDay[],DaybyDay[[#This Row],[FORM_MATCH_HELPER]],10),"")</f>
        <v>4430.97</v>
      </c>
      <c r="AI1408" s="39" cm="1">
        <f t="array" ref="AI1408">IFERROR(INDEX(DaybyDay[],DaybyDay[[#This Row],[FORM_MATCH_HELPER]],12),"")</f>
        <v>257</v>
      </c>
      <c r="AJ1408" s="32">
        <f>IFERROR(DaybyDay[[#This Row],[Serv-LY-RU]]+DaybyDay[[#This Row],[Ret-LY-RU]],"")</f>
        <v>1820779.7509999978</v>
      </c>
      <c r="AK140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1808011.0587477284</v>
      </c>
      <c r="AL1408" s="77"/>
      <c r="AM1408" s="40" t="str">
        <f>IF(DaybyDay[[#This Row],[Admin Hours]]&gt;0,DaybyDay[[#This Row],[Admin Hours]]*$AM$2+$AM$3,"")</f>
        <v/>
      </c>
      <c r="AN1408" s="40">
        <f>SUMIFS(DaybyDay[Est-Admin-Payroll],DaybyDay[Date],"&gt;="&amp;$C$5,DaybyDay[RowYear],"&gt;="&amp;$C$4,DaybyDay[Date],"&lt;="&amp;DaybyDay[[#This Row],[Date]])</f>
        <v>13941.779999999997</v>
      </c>
      <c r="AO1408" s="41" t="str">
        <f>IF(AND(DaybyDay[[#This Row],[_Space]],ISNUMBER(DaybyDay[[#This Row],[Admin Hours]])),DaybyDay[[#This Row],[Est-Admin-Payroll]]/(DaybyDay[[#This Row],[Service-Actuals]]+DaybyDay[[#This Row],[Retail-Actuals]]),"")</f>
        <v/>
      </c>
      <c r="AP1408" s="41">
        <f>DaybyDay[[#This Row],[Estimated-Payroll-Rollup]]/DaybyDay[[#This Row],[Simple-Forecast]]</f>
        <v>7.7111143389003425E-3</v>
      </c>
      <c r="AQ140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356077.90415116679</v>
      </c>
      <c r="AR1408" s="77"/>
      <c r="AS1408" s="40" t="str">
        <f>IF(DaybyDay[[#This Row],[Retail Hours]]&gt;0,DaybyDay[[#This Row],[Retail Hours]]*$AS$2,"")</f>
        <v/>
      </c>
      <c r="AT1408" s="40">
        <f>SUMIFS(DaybyDay[Est-Retail-Payroll],DaybyDay[Date],"&gt;="&amp;$C$5,DaybyDay[RowYear],"&gt;="&amp;$C$4,DaybyDay[Date],"&lt;="&amp;DaybyDay[[#This Row],[Date]])</f>
        <v>2627.1</v>
      </c>
      <c r="AU1408" s="82" t="str">
        <f>IF(AND(DaybyDay[[#This Row],[_Space]],ISNUMBER(DaybyDay[[#This Row],[Retail Hours]])),DaybyDay[[#This Row],[Est-Retail-Payroll]]/(DaybyDay[[#This Row],[Retail-Actuals]]),"")</f>
        <v/>
      </c>
      <c r="AV1408" s="82">
        <f>DaybyDay[[#This Row],[Est-Retail-PayrollRU]]/DaybyDay[[#This Row],[Simple-Forecast-Retail]]</f>
        <v>7.3778798666617332E-3</v>
      </c>
      <c r="AW1408" s="8"/>
      <c r="AX1408" s="15"/>
      <c r="AY1408" s="8"/>
    </row>
    <row r="1409" spans="3:51" hidden="1" x14ac:dyDescent="0.25">
      <c r="C1409" s="26" t="str">
        <f>Tools!$C$1</f>
        <v>Example</v>
      </c>
      <c r="D1409" s="27" t="s">
        <v>78</v>
      </c>
      <c r="E1409" s="28">
        <v>2020</v>
      </c>
      <c r="F1409" s="28">
        <f>MATCH(DaybyDay[[#This Row],[RowMonth]],Table3[SummaryMonth],0)</f>
        <v>11</v>
      </c>
      <c r="G1409" s="29">
        <f>MATCH(DaybyDay[[#This Row],[LY-Date]],DaybyDay[Date],0)</f>
        <v>1039</v>
      </c>
      <c r="H1409" s="30">
        <f>WEEKDAY(DaybyDay[[#This Row],[Date]])</f>
        <v>3</v>
      </c>
      <c r="I1409" s="31">
        <v>44138</v>
      </c>
      <c r="J1409" s="74"/>
      <c r="K1409" s="32">
        <f>SUMIFS(BudgetSeasonality[365 Seasonality],BudgetSeasonality[MonthAdjustment],DaybyDay[[#This Row],[Date]])*SUMIFS(Budgets[Service-Budget],Budgets[BudgetMonth],DaybyDay[[#This Row],[RowMonth]],Budgets[BudgetYear],DaybyDay[[#This Row],[RowYear]])</f>
        <v>4548.3011090502268</v>
      </c>
      <c r="L1409" s="75"/>
      <c r="M1409" s="32">
        <f>INDEX(BudgetSeasonality[365 Seasonality],MATCH(DaybyDay[[#This Row],[Date]],BudgetSeasonality[MonthAdjustment],0))*SUMIFS(Budgets[Retail-Budget],Budgets[BudgetMonth],DaybyDay[[#This Row],[RowMonth]],Budgets[BudgetYear],DaybyDay[[#This Row],[RowYear]])</f>
        <v>1665.7861659854836</v>
      </c>
      <c r="N1409" s="75"/>
      <c r="O1409" s="33">
        <f>SUMIFS(DaybyDay[Service-Budgets],DaybyDay[Date],"&gt;="&amp;$C$5,DaybyDay[RowYear],"&gt;="&amp;$C$4,DaybyDay[Date],"&lt;="&amp;DaybyDay[[#This Row],[Date]])</f>
        <v>1630807.6225661242</v>
      </c>
      <c r="P1409" s="33">
        <f>SUMIFS(DaybyDay[Retail-Budgets],DaybyDay[Date],"&gt;="&amp;$C$5,DaybyDay[RowYear],"&gt;="&amp;$C$4,DaybyDay[Date],"&lt;="&amp;DaybyDay[[#This Row],[Date]])</f>
        <v>422189.85518422967</v>
      </c>
      <c r="Q1409" s="34">
        <f>SUMIFS(DaybyDay[Service-Actuals],DaybyDay[Date],"&gt;="&amp;$C$5,DaybyDay[RowYear],"&gt;="&amp;$C$4,DaybyDay[Date],"&lt;="&amp;DaybyDay[[#This Row],[Date]])</f>
        <v>385554.23</v>
      </c>
      <c r="R1409" s="34">
        <f>SUMIFS(DaybyDay[Retail-Actuals],DaybyDay[Date],"&gt;="&amp;$C$5,DaybyDay[RowYear],"&gt;="&amp;$C$4,DaybyDay[Date],"&lt;="&amp;DaybyDay[[#This Row],[Date]])</f>
        <v>88360.030000000028</v>
      </c>
      <c r="S1409" s="35">
        <f>SUMIFS(DaybyDay[Service-LY],DaybyDay[Date],"&gt;="&amp;$C$5,DaybyDay[RowYear],"&gt;="&amp;$C$4,DaybyDay[Date],"&lt;="&amp;DaybyDay[[#This Row],[Date]])</f>
        <v>1473719.7809999981</v>
      </c>
      <c r="T1409" s="35">
        <f>SUMIFS(DaybyDay[Retail-LY],DaybyDay[Date],"&gt;="&amp;$C$5,DaybyDay[RowYear],"&gt;="&amp;$C$4,DaybyDay[Date],"&lt;="&amp;DaybyDay[[#This Row],[Date]])</f>
        <v>350865.53999999992</v>
      </c>
      <c r="U1409" s="32">
        <f>DaybyDay[[#This Row],[Serv-Bud-RU]]+DaybyDay[[#This Row],[Ret-Bud-RU]]</f>
        <v>2052997.477750354</v>
      </c>
      <c r="V1409" s="32">
        <f>DaybyDay[[#This Row],[Serv-Act-RU]]+DaybyDay[[#This Row],[Ret-Act-RU]]</f>
        <v>473914.26</v>
      </c>
      <c r="W1409" s="36" t="str">
        <f>IF(DaybyDay[[#This Row],[_Space]],IFERROR(
((DaybyDay[[#This Row],[Actual-Rollup]]-DaybyDay[[#This Row],[Budget-Rollup]])/DaybyDay[[#This Row],[Budget-Rollup]]),0),"")</f>
        <v/>
      </c>
      <c r="X1409" t="b">
        <f>NOT(AND(ISBLANK(DaybyDay[[#This Row],[Appts]]),ISBLANK(DaybyDay[[#This Row],[Service-Actuals]]),ISBLANK(DaybyDay[[#This Row],[Retail-Actuals]])))</f>
        <v>0</v>
      </c>
      <c r="Y1409" s="36" t="str">
        <f>IF(DaybyDay[[#This Row],[_Space]],IFERROR(
((DaybyDay[[#This Row],[Actual-Rollup]]-DaybyDay[[#This Row],[LY-Rollup]])/DaybyDay[[#This Row],[LY-Rollup]]),0),"")</f>
        <v/>
      </c>
      <c r="Z1409"/>
      <c r="AA1409" s="37" t="str">
        <f>IF(DaybyDay[[#This Row],[_Space]],DaybyDay[[#This Row],[Ret-Act-RU]]/DaybyDay[[#This Row],[Serv-Act-RU]],"")</f>
        <v/>
      </c>
      <c r="AB1409" s="50" t="str">
        <f>IF(DaybyDay[[#This Row],[_Space]],DaybyDay[[#This Row],[RETPEN-Act]]/DaybyDay[[#This Row],[RETPEN-Bud]],"")</f>
        <v/>
      </c>
      <c r="AC1409" s="37" t="str">
        <f>IF(DaybyDay[[#This Row],[_Space]],DaybyDay[[#This Row],[Ret-Bud-RU]]/DaybyDay[[#This Row],[Serv-Bud-RU]],"")</f>
        <v/>
      </c>
      <c r="AD1409" s="37" t="str">
        <f>IF(DaybyDay[[#This Row],[_Space]],DaybyDay[[#This Row],[Ret-LY-RU]]/DaybyDay[[#This Row],[Serv-LY-RU]],"")</f>
        <v/>
      </c>
      <c r="AE1409" s="30">
        <f>WEEKDAY(DaybyDay[[#This Row],[LY-Date]])</f>
        <v>3</v>
      </c>
      <c r="AF1409" s="38">
        <f>$E$2+_xlfn.DAYS(DaybyDay[[#This Row],[Date]],minDate)</f>
        <v>43774</v>
      </c>
      <c r="AG1409" s="39" cm="1">
        <f t="array" ref="AG1409">IFERROR(INDEX(DaybyDay[],DaybyDay[[#This Row],[FORM_MATCH_HELPER]],8),"")</f>
        <v>16</v>
      </c>
      <c r="AH1409" s="39" cm="1">
        <f t="array" ref="AH1409">IFERROR(INDEX(DaybyDay[],DaybyDay[[#This Row],[FORM_MATCH_HELPER]],10),"")</f>
        <v>3065.79</v>
      </c>
      <c r="AI1409" s="39" cm="1">
        <f t="array" ref="AI1409">IFERROR(INDEX(DaybyDay[],DaybyDay[[#This Row],[FORM_MATCH_HELPER]],12),"")</f>
        <v>739.78</v>
      </c>
      <c r="AJ1409" s="32">
        <f>IFERROR(DaybyDay[[#This Row],[Serv-LY-RU]]+DaybyDay[[#This Row],[Ret-LY-RU]],"")</f>
        <v>1824585.3209999981</v>
      </c>
      <c r="AK140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1812530.5611807716</v>
      </c>
      <c r="AL1409" s="77"/>
      <c r="AM1409" s="40" t="str">
        <f>IF(DaybyDay[[#This Row],[Admin Hours]]&gt;0,DaybyDay[[#This Row],[Admin Hours]]*$AM$2+$AM$3,"")</f>
        <v/>
      </c>
      <c r="AN1409" s="40">
        <f>SUMIFS(DaybyDay[Est-Admin-Payroll],DaybyDay[Date],"&gt;="&amp;$C$5,DaybyDay[RowYear],"&gt;="&amp;$C$4,DaybyDay[Date],"&lt;="&amp;DaybyDay[[#This Row],[Date]])</f>
        <v>13941.779999999997</v>
      </c>
      <c r="AO1409" s="41" t="str">
        <f>IF(AND(DaybyDay[[#This Row],[_Space]],ISNUMBER(DaybyDay[[#This Row],[Admin Hours]])),DaybyDay[[#This Row],[Est-Admin-Payroll]]/(DaybyDay[[#This Row],[Service-Actuals]]+DaybyDay[[#This Row],[Retail-Actuals]]),"")</f>
        <v/>
      </c>
      <c r="AP1409" s="41">
        <f>DaybyDay[[#This Row],[Estimated-Payroll-Rollup]]/DaybyDay[[#This Row],[Simple-Forecast]]</f>
        <v>7.6918868561960336E-3</v>
      </c>
      <c r="AQ140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357151.19783179264</v>
      </c>
      <c r="AR1409" s="77"/>
      <c r="AS1409" s="40" t="str">
        <f>IF(DaybyDay[[#This Row],[Retail Hours]]&gt;0,DaybyDay[[#This Row],[Retail Hours]]*$AS$2,"")</f>
        <v/>
      </c>
      <c r="AT1409" s="40">
        <f>SUMIFS(DaybyDay[Est-Retail-Payroll],DaybyDay[Date],"&gt;="&amp;$C$5,DaybyDay[RowYear],"&gt;="&amp;$C$4,DaybyDay[Date],"&lt;="&amp;DaybyDay[[#This Row],[Date]])</f>
        <v>2627.1</v>
      </c>
      <c r="AU1409" s="82" t="str">
        <f>IF(AND(DaybyDay[[#This Row],[_Space]],ISNUMBER(DaybyDay[[#This Row],[Retail Hours]])),DaybyDay[[#This Row],[Est-Retail-Payroll]]/(DaybyDay[[#This Row],[Retail-Actuals]]),"")</f>
        <v/>
      </c>
      <c r="AV1409" s="82">
        <f>DaybyDay[[#This Row],[Est-Retail-PayrollRU]]/DaybyDay[[#This Row],[Simple-Forecast-Retail]]</f>
        <v>7.3557082153124518E-3</v>
      </c>
      <c r="AW1409" s="8"/>
      <c r="AX1409" s="15"/>
      <c r="AY1409" s="8"/>
    </row>
    <row r="1410" spans="3:51" hidden="1" x14ac:dyDescent="0.25">
      <c r="C1410" s="26" t="str">
        <f>Tools!$C$1</f>
        <v>Example</v>
      </c>
      <c r="D1410" s="27" t="s">
        <v>78</v>
      </c>
      <c r="E1410" s="28">
        <v>2020</v>
      </c>
      <c r="F1410" s="28">
        <f>MATCH(DaybyDay[[#This Row],[RowMonth]],Table3[SummaryMonth],0)</f>
        <v>11</v>
      </c>
      <c r="G1410" s="29">
        <f>MATCH(DaybyDay[[#This Row],[LY-Date]],DaybyDay[Date],0)</f>
        <v>1040</v>
      </c>
      <c r="H1410" s="30">
        <f>WEEKDAY(DaybyDay[[#This Row],[Date]])</f>
        <v>4</v>
      </c>
      <c r="I1410" s="31">
        <v>44139</v>
      </c>
      <c r="J1410" s="74"/>
      <c r="K1410" s="32">
        <f>SUMIFS(BudgetSeasonality[365 Seasonality],BudgetSeasonality[MonthAdjustment],DaybyDay[[#This Row],[Date]])*SUMIFS(Budgets[Service-Budget],Budgets[BudgetMonth],DaybyDay[[#This Row],[RowMonth]],Budgets[BudgetYear],DaybyDay[[#This Row],[RowYear]])</f>
        <v>5155.4267988036208</v>
      </c>
      <c r="L1410" s="75"/>
      <c r="M1410" s="32">
        <f>INDEX(BudgetSeasonality[365 Seasonality],MATCH(DaybyDay[[#This Row],[Date]],BudgetSeasonality[MonthAdjustment],0))*SUMIFS(Budgets[Retail-Budget],Budgets[BudgetMonth],DaybyDay[[#This Row],[RowMonth]],Budgets[BudgetYear],DaybyDay[[#This Row],[RowYear]])</f>
        <v>1888.1420634420583</v>
      </c>
      <c r="N1410" s="75"/>
      <c r="O1410" s="33">
        <f>SUMIFS(DaybyDay[Service-Budgets],DaybyDay[Date],"&gt;="&amp;$C$5,DaybyDay[RowYear],"&gt;="&amp;$C$4,DaybyDay[Date],"&lt;="&amp;DaybyDay[[#This Row],[Date]])</f>
        <v>1635963.0493649279</v>
      </c>
      <c r="P1410" s="33">
        <f>SUMIFS(DaybyDay[Retail-Budgets],DaybyDay[Date],"&gt;="&amp;$C$5,DaybyDay[RowYear],"&gt;="&amp;$C$4,DaybyDay[Date],"&lt;="&amp;DaybyDay[[#This Row],[Date]])</f>
        <v>424077.99724767171</v>
      </c>
      <c r="Q1410" s="34">
        <f>SUMIFS(DaybyDay[Service-Actuals],DaybyDay[Date],"&gt;="&amp;$C$5,DaybyDay[RowYear],"&gt;="&amp;$C$4,DaybyDay[Date],"&lt;="&amp;DaybyDay[[#This Row],[Date]])</f>
        <v>385554.23</v>
      </c>
      <c r="R1410" s="34">
        <f>SUMIFS(DaybyDay[Retail-Actuals],DaybyDay[Date],"&gt;="&amp;$C$5,DaybyDay[RowYear],"&gt;="&amp;$C$4,DaybyDay[Date],"&lt;="&amp;DaybyDay[[#This Row],[Date]])</f>
        <v>88360.030000000028</v>
      </c>
      <c r="S1410" s="35">
        <f>SUMIFS(DaybyDay[Service-LY],DaybyDay[Date],"&gt;="&amp;$C$5,DaybyDay[RowYear],"&gt;="&amp;$C$4,DaybyDay[Date],"&lt;="&amp;DaybyDay[[#This Row],[Date]])</f>
        <v>1476619.5709999981</v>
      </c>
      <c r="T1410" s="35">
        <f>SUMIFS(DaybyDay[Retail-LY],DaybyDay[Date],"&gt;="&amp;$C$5,DaybyDay[RowYear],"&gt;="&amp;$C$4,DaybyDay[Date],"&lt;="&amp;DaybyDay[[#This Row],[Date]])</f>
        <v>351127.28999999992</v>
      </c>
      <c r="U1410" s="32">
        <f>DaybyDay[[#This Row],[Serv-Bud-RU]]+DaybyDay[[#This Row],[Ret-Bud-RU]]</f>
        <v>2060041.0466125996</v>
      </c>
      <c r="V1410" s="32">
        <f>DaybyDay[[#This Row],[Serv-Act-RU]]+DaybyDay[[#This Row],[Ret-Act-RU]]</f>
        <v>473914.26</v>
      </c>
      <c r="W1410" s="36" t="str">
        <f>IF(DaybyDay[[#This Row],[_Space]],IFERROR(
((DaybyDay[[#This Row],[Actual-Rollup]]-DaybyDay[[#This Row],[Budget-Rollup]])/DaybyDay[[#This Row],[Budget-Rollup]]),0),"")</f>
        <v/>
      </c>
      <c r="X1410" t="b">
        <f>NOT(AND(ISBLANK(DaybyDay[[#This Row],[Appts]]),ISBLANK(DaybyDay[[#This Row],[Service-Actuals]]),ISBLANK(DaybyDay[[#This Row],[Retail-Actuals]])))</f>
        <v>0</v>
      </c>
      <c r="Y1410" s="36" t="str">
        <f>IF(DaybyDay[[#This Row],[_Space]],IFERROR(
((DaybyDay[[#This Row],[Actual-Rollup]]-DaybyDay[[#This Row],[LY-Rollup]])/DaybyDay[[#This Row],[LY-Rollup]]),0),"")</f>
        <v/>
      </c>
      <c r="Z1410"/>
      <c r="AA1410" s="37" t="str">
        <f>IF(DaybyDay[[#This Row],[_Space]],DaybyDay[[#This Row],[Ret-Act-RU]]/DaybyDay[[#This Row],[Serv-Act-RU]],"")</f>
        <v/>
      </c>
      <c r="AB1410" s="50" t="str">
        <f>IF(DaybyDay[[#This Row],[_Space]],DaybyDay[[#This Row],[RETPEN-Act]]/DaybyDay[[#This Row],[RETPEN-Bud]],"")</f>
        <v/>
      </c>
      <c r="AC1410" s="37" t="str">
        <f>IF(DaybyDay[[#This Row],[_Space]],DaybyDay[[#This Row],[Ret-Bud-RU]]/DaybyDay[[#This Row],[Serv-Bud-RU]],"")</f>
        <v/>
      </c>
      <c r="AD1410" s="37" t="str">
        <f>IF(DaybyDay[[#This Row],[_Space]],DaybyDay[[#This Row],[Ret-LY-RU]]/DaybyDay[[#This Row],[Serv-LY-RU]],"")</f>
        <v/>
      </c>
      <c r="AE1410" s="30">
        <f>WEEKDAY(DaybyDay[[#This Row],[LY-Date]])</f>
        <v>4</v>
      </c>
      <c r="AF1410" s="38">
        <f>$E$2+_xlfn.DAYS(DaybyDay[[#This Row],[Date]],minDate)</f>
        <v>43775</v>
      </c>
      <c r="AG1410" s="39" cm="1">
        <f t="array" ref="AG1410">IFERROR(INDEX(DaybyDay[],DaybyDay[[#This Row],[FORM_MATCH_HELPER]],8),"")</f>
        <v>14</v>
      </c>
      <c r="AH1410" s="39" cm="1">
        <f t="array" ref="AH1410">IFERROR(INDEX(DaybyDay[],DaybyDay[[#This Row],[FORM_MATCH_HELPER]],10),"")</f>
        <v>2899.79</v>
      </c>
      <c r="AI1410" s="39" cm="1">
        <f t="array" ref="AI1410">IFERROR(INDEX(DaybyDay[],DaybyDay[[#This Row],[FORM_MATCH_HELPER]],12),"")</f>
        <v>261.75</v>
      </c>
      <c r="AJ1410" s="32">
        <f>IFERROR(DaybyDay[[#This Row],[Serv-LY-RU]]+DaybyDay[[#This Row],[Ret-LY-RU]],"")</f>
        <v>1827746.8609999982</v>
      </c>
      <c r="AK141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1817085.3529765508</v>
      </c>
      <c r="AL1410" s="77"/>
      <c r="AM1410" s="40" t="str">
        <f>IF(DaybyDay[[#This Row],[Admin Hours]]&gt;0,DaybyDay[[#This Row],[Admin Hours]]*$AM$2+$AM$3,"")</f>
        <v/>
      </c>
      <c r="AN1410" s="40">
        <f>SUMIFS(DaybyDay[Est-Admin-Payroll],DaybyDay[Date],"&gt;="&amp;$C$5,DaybyDay[RowYear],"&gt;="&amp;$C$4,DaybyDay[Date],"&lt;="&amp;DaybyDay[[#This Row],[Date]])</f>
        <v>13941.779999999997</v>
      </c>
      <c r="AO1410" s="41" t="str">
        <f>IF(AND(DaybyDay[[#This Row],[_Space]],ISNUMBER(DaybyDay[[#This Row],[Admin Hours]])),DaybyDay[[#This Row],[Est-Admin-Payroll]]/(DaybyDay[[#This Row],[Service-Actuals]]+DaybyDay[[#This Row],[Retail-Actuals]]),"")</f>
        <v/>
      </c>
      <c r="AP1410" s="41">
        <f>DaybyDay[[#This Row],[Estimated-Payroll-Rollup]]/DaybyDay[[#This Row],[Simple-Forecast]]</f>
        <v>7.6726060100380513E-3</v>
      </c>
      <c r="AQ141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358083.38221382187</v>
      </c>
      <c r="AR1410" s="77"/>
      <c r="AS1410" s="40" t="str">
        <f>IF(DaybyDay[[#This Row],[Retail Hours]]&gt;0,DaybyDay[[#This Row],[Retail Hours]]*$AS$2,"")</f>
        <v/>
      </c>
      <c r="AT1410" s="40">
        <f>SUMIFS(DaybyDay[Est-Retail-Payroll],DaybyDay[Date],"&gt;="&amp;$C$5,DaybyDay[RowYear],"&gt;="&amp;$C$4,DaybyDay[Date],"&lt;="&amp;DaybyDay[[#This Row],[Date]])</f>
        <v>2627.1</v>
      </c>
      <c r="AU1410" s="82" t="str">
        <f>IF(AND(DaybyDay[[#This Row],[_Space]],ISNUMBER(DaybyDay[[#This Row],[Retail Hours]])),DaybyDay[[#This Row],[Est-Retail-Payroll]]/(DaybyDay[[#This Row],[Retail-Actuals]]),"")</f>
        <v/>
      </c>
      <c r="AV1410" s="82">
        <f>DaybyDay[[#This Row],[Est-Retail-PayrollRU]]/DaybyDay[[#This Row],[Simple-Forecast-Retail]]</f>
        <v>7.3365593894867843E-3</v>
      </c>
      <c r="AW1410" s="8"/>
      <c r="AX1410" s="15"/>
      <c r="AY1410" s="8"/>
    </row>
    <row r="1411" spans="3:51" hidden="1" x14ac:dyDescent="0.25">
      <c r="C1411" s="26" t="str">
        <f>Tools!$C$1</f>
        <v>Example</v>
      </c>
      <c r="D1411" s="27" t="s">
        <v>78</v>
      </c>
      <c r="E1411" s="28">
        <v>2020</v>
      </c>
      <c r="F1411" s="28">
        <f>MATCH(DaybyDay[[#This Row],[RowMonth]],Table3[SummaryMonth],0)</f>
        <v>11</v>
      </c>
      <c r="G1411" s="29">
        <f>MATCH(DaybyDay[[#This Row],[LY-Date]],DaybyDay[Date],0)</f>
        <v>1041</v>
      </c>
      <c r="H1411" s="30">
        <f>WEEKDAY(DaybyDay[[#This Row],[Date]])</f>
        <v>5</v>
      </c>
      <c r="I1411" s="31">
        <v>44140</v>
      </c>
      <c r="J1411" s="74"/>
      <c r="K1411" s="32">
        <f>SUMIFS(BudgetSeasonality[365 Seasonality],BudgetSeasonality[MonthAdjustment],DaybyDay[[#This Row],[Date]])*SUMIFS(Budgets[Service-Budget],Budgets[BudgetMonth],DaybyDay[[#This Row],[RowMonth]],Budgets[BudgetYear],DaybyDay[[#This Row],[RowYear]])</f>
        <v>5282.4720063135765</v>
      </c>
      <c r="L1411" s="75"/>
      <c r="M1411" s="32">
        <f>INDEX(BudgetSeasonality[365 Seasonality],MATCH(DaybyDay[[#This Row],[Date]],BudgetSeasonality[MonthAdjustment],0))*SUMIFS(Budgets[Retail-Budget],Budgets[BudgetMonth],DaybyDay[[#This Row],[RowMonth]],Budgets[BudgetYear],DaybyDay[[#This Row],[RowYear]])</f>
        <v>1934.6715574335042</v>
      </c>
      <c r="N1411" s="75"/>
      <c r="O1411" s="33">
        <f>SUMIFS(DaybyDay[Service-Budgets],DaybyDay[Date],"&gt;="&amp;$C$5,DaybyDay[RowYear],"&gt;="&amp;$C$4,DaybyDay[Date],"&lt;="&amp;DaybyDay[[#This Row],[Date]])</f>
        <v>1641245.5213712414</v>
      </c>
      <c r="P1411" s="33">
        <f>SUMIFS(DaybyDay[Retail-Budgets],DaybyDay[Date],"&gt;="&amp;$C$5,DaybyDay[RowYear],"&gt;="&amp;$C$4,DaybyDay[Date],"&lt;="&amp;DaybyDay[[#This Row],[Date]])</f>
        <v>426012.6688051052</v>
      </c>
      <c r="Q1411" s="34">
        <f>SUMIFS(DaybyDay[Service-Actuals],DaybyDay[Date],"&gt;="&amp;$C$5,DaybyDay[RowYear],"&gt;="&amp;$C$4,DaybyDay[Date],"&lt;="&amp;DaybyDay[[#This Row],[Date]])</f>
        <v>385554.23</v>
      </c>
      <c r="R1411" s="34">
        <f>SUMIFS(DaybyDay[Retail-Actuals],DaybyDay[Date],"&gt;="&amp;$C$5,DaybyDay[RowYear],"&gt;="&amp;$C$4,DaybyDay[Date],"&lt;="&amp;DaybyDay[[#This Row],[Date]])</f>
        <v>88360.030000000028</v>
      </c>
      <c r="S1411" s="35">
        <f>SUMIFS(DaybyDay[Service-LY],DaybyDay[Date],"&gt;="&amp;$C$5,DaybyDay[RowYear],"&gt;="&amp;$C$4,DaybyDay[Date],"&lt;="&amp;DaybyDay[[#This Row],[Date]])</f>
        <v>1479135.5709999981</v>
      </c>
      <c r="T1411" s="35">
        <f>SUMIFS(DaybyDay[Retail-LY],DaybyDay[Date],"&gt;="&amp;$C$5,DaybyDay[RowYear],"&gt;="&amp;$C$4,DaybyDay[Date],"&lt;="&amp;DaybyDay[[#This Row],[Date]])</f>
        <v>351712.28999999992</v>
      </c>
      <c r="U1411" s="32">
        <f>DaybyDay[[#This Row],[Serv-Bud-RU]]+DaybyDay[[#This Row],[Ret-Bud-RU]]</f>
        <v>2067258.1901763466</v>
      </c>
      <c r="V1411" s="32">
        <f>DaybyDay[[#This Row],[Serv-Act-RU]]+DaybyDay[[#This Row],[Ret-Act-RU]]</f>
        <v>473914.26</v>
      </c>
      <c r="W1411" s="36" t="str">
        <f>IF(DaybyDay[[#This Row],[_Space]],IFERROR(
((DaybyDay[[#This Row],[Actual-Rollup]]-DaybyDay[[#This Row],[Budget-Rollup]])/DaybyDay[[#This Row],[Budget-Rollup]]),0),"")</f>
        <v/>
      </c>
      <c r="X1411" t="b">
        <f>NOT(AND(ISBLANK(DaybyDay[[#This Row],[Appts]]),ISBLANK(DaybyDay[[#This Row],[Service-Actuals]]),ISBLANK(DaybyDay[[#This Row],[Retail-Actuals]])))</f>
        <v>0</v>
      </c>
      <c r="Y1411" s="36" t="str">
        <f>IF(DaybyDay[[#This Row],[_Space]],IFERROR(
((DaybyDay[[#This Row],[Actual-Rollup]]-DaybyDay[[#This Row],[LY-Rollup]])/DaybyDay[[#This Row],[LY-Rollup]]),0),"")</f>
        <v/>
      </c>
      <c r="Z1411"/>
      <c r="AA1411" s="37" t="str">
        <f>IF(DaybyDay[[#This Row],[_Space]],DaybyDay[[#This Row],[Ret-Act-RU]]/DaybyDay[[#This Row],[Serv-Act-RU]],"")</f>
        <v/>
      </c>
      <c r="AB1411" s="50" t="str">
        <f>IF(DaybyDay[[#This Row],[_Space]],DaybyDay[[#This Row],[RETPEN-Act]]/DaybyDay[[#This Row],[RETPEN-Bud]],"")</f>
        <v/>
      </c>
      <c r="AC1411" s="37" t="str">
        <f>IF(DaybyDay[[#This Row],[_Space]],DaybyDay[[#This Row],[Ret-Bud-RU]]/DaybyDay[[#This Row],[Serv-Bud-RU]],"")</f>
        <v/>
      </c>
      <c r="AD1411" s="37" t="str">
        <f>IF(DaybyDay[[#This Row],[_Space]],DaybyDay[[#This Row],[Ret-LY-RU]]/DaybyDay[[#This Row],[Serv-LY-RU]],"")</f>
        <v/>
      </c>
      <c r="AE1411" s="30">
        <f>WEEKDAY(DaybyDay[[#This Row],[LY-Date]])</f>
        <v>5</v>
      </c>
      <c r="AF1411" s="38">
        <f>$E$2+_xlfn.DAYS(DaybyDay[[#This Row],[Date]],minDate)</f>
        <v>43776</v>
      </c>
      <c r="AG1411" s="39" cm="1">
        <f t="array" ref="AG1411">IFERROR(INDEX(DaybyDay[],DaybyDay[[#This Row],[FORM_MATCH_HELPER]],8),"")</f>
        <v>16</v>
      </c>
      <c r="AH1411" s="39" cm="1">
        <f t="array" ref="AH1411">IFERROR(INDEX(DaybyDay[],DaybyDay[[#This Row],[FORM_MATCH_HELPER]],10),"")</f>
        <v>2516</v>
      </c>
      <c r="AI1411" s="39" cm="1">
        <f t="array" ref="AI1411">IFERROR(INDEX(DaybyDay[],DaybyDay[[#This Row],[FORM_MATCH_HELPER]],12),"")</f>
        <v>585</v>
      </c>
      <c r="AJ1411" s="32">
        <f>IFERROR(DaybyDay[[#This Row],[Serv-LY-RU]]+DaybyDay[[#This Row],[Ret-LY-RU]],"")</f>
        <v>1830847.8609999982</v>
      </c>
      <c r="AK141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1821684.126770956</v>
      </c>
      <c r="AL1411" s="77"/>
      <c r="AM1411" s="40" t="str">
        <f>IF(DaybyDay[[#This Row],[Admin Hours]]&gt;0,DaybyDay[[#This Row],[Admin Hours]]*$AM$2+$AM$3,"")</f>
        <v/>
      </c>
      <c r="AN1411" s="40">
        <f>SUMIFS(DaybyDay[Est-Admin-Payroll],DaybyDay[Date],"&gt;="&amp;$C$5,DaybyDay[RowYear],"&gt;="&amp;$C$4,DaybyDay[Date],"&lt;="&amp;DaybyDay[[#This Row],[Date]])</f>
        <v>13941.779999999997</v>
      </c>
      <c r="AO1411" s="41" t="str">
        <f>IF(AND(DaybyDay[[#This Row],[_Space]],ISNUMBER(DaybyDay[[#This Row],[Admin Hours]])),DaybyDay[[#This Row],[Est-Admin-Payroll]]/(DaybyDay[[#This Row],[Service-Actuals]]+DaybyDay[[#This Row],[Retail-Actuals]]),"")</f>
        <v/>
      </c>
      <c r="AP1411" s="41">
        <f>DaybyDay[[#This Row],[Estimated-Payroll-Rollup]]/DaybyDay[[#This Row],[Simple-Forecast]]</f>
        <v>7.6532368016581642E-3</v>
      </c>
      <c r="AQ141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359194.73436098796</v>
      </c>
      <c r="AR1411" s="77"/>
      <c r="AS1411" s="40" t="str">
        <f>IF(DaybyDay[[#This Row],[Retail Hours]]&gt;0,DaybyDay[[#This Row],[Retail Hours]]*$AS$2,"")</f>
        <v/>
      </c>
      <c r="AT1411" s="40">
        <f>SUMIFS(DaybyDay[Est-Retail-Payroll],DaybyDay[Date],"&gt;="&amp;$C$5,DaybyDay[RowYear],"&gt;="&amp;$C$4,DaybyDay[Date],"&lt;="&amp;DaybyDay[[#This Row],[Date]])</f>
        <v>2627.1</v>
      </c>
      <c r="AU1411" s="82" t="str">
        <f>IF(AND(DaybyDay[[#This Row],[_Space]],ISNUMBER(DaybyDay[[#This Row],[Retail Hours]])),DaybyDay[[#This Row],[Est-Retail-Payroll]]/(DaybyDay[[#This Row],[Retail-Actuals]]),"")</f>
        <v/>
      </c>
      <c r="AV1411" s="82">
        <f>DaybyDay[[#This Row],[Est-Retail-PayrollRU]]/DaybyDay[[#This Row],[Simple-Forecast-Retail]]</f>
        <v>7.3138600004079802E-3</v>
      </c>
      <c r="AW1411" s="8"/>
      <c r="AX1411" s="15"/>
      <c r="AY1411" s="8"/>
    </row>
    <row r="1412" spans="3:51" hidden="1" x14ac:dyDescent="0.25">
      <c r="C1412" s="26" t="str">
        <f>Tools!$C$1</f>
        <v>Example</v>
      </c>
      <c r="D1412" s="27" t="s">
        <v>78</v>
      </c>
      <c r="E1412" s="28">
        <v>2020</v>
      </c>
      <c r="F1412" s="28">
        <f>MATCH(DaybyDay[[#This Row],[RowMonth]],Table3[SummaryMonth],0)</f>
        <v>11</v>
      </c>
      <c r="G1412" s="29">
        <f>MATCH(DaybyDay[[#This Row],[LY-Date]],DaybyDay[Date],0)</f>
        <v>1042</v>
      </c>
      <c r="H1412" s="30">
        <f>WEEKDAY(DaybyDay[[#This Row],[Date]])</f>
        <v>6</v>
      </c>
      <c r="I1412" s="31">
        <v>44141</v>
      </c>
      <c r="J1412" s="74"/>
      <c r="K1412" s="32">
        <f>SUMIFS(BudgetSeasonality[365 Seasonality],BudgetSeasonality[MonthAdjustment],DaybyDay[[#This Row],[Date]])*SUMIFS(Budgets[Service-Budget],Budgets[BudgetMonth],DaybyDay[[#This Row],[RowMonth]],Budgets[BudgetYear],DaybyDay[[#This Row],[RowYear]])</f>
        <v>6394.5731159036541</v>
      </c>
      <c r="L1412" s="75"/>
      <c r="M1412" s="32">
        <f>INDEX(BudgetSeasonality[365 Seasonality],MATCH(DaybyDay[[#This Row],[Date]],BudgetSeasonality[MonthAdjustment],0))*SUMIFS(Budgets[Retail-Budget],Budgets[BudgetMonth],DaybyDay[[#This Row],[RowMonth]],Budgets[BudgetYear],DaybyDay[[#This Row],[RowYear]])</f>
        <v>2341.9714698878711</v>
      </c>
      <c r="N1412" s="75"/>
      <c r="O1412" s="33">
        <f>SUMIFS(DaybyDay[Service-Budgets],DaybyDay[Date],"&gt;="&amp;$C$5,DaybyDay[RowYear],"&gt;="&amp;$C$4,DaybyDay[Date],"&lt;="&amp;DaybyDay[[#This Row],[Date]])</f>
        <v>1647640.0944871451</v>
      </c>
      <c r="P1412" s="33">
        <f>SUMIFS(DaybyDay[Retail-Budgets],DaybyDay[Date],"&gt;="&amp;$C$5,DaybyDay[RowYear],"&gt;="&amp;$C$4,DaybyDay[Date],"&lt;="&amp;DaybyDay[[#This Row],[Date]])</f>
        <v>428354.64027499309</v>
      </c>
      <c r="Q1412" s="34">
        <f>SUMIFS(DaybyDay[Service-Actuals],DaybyDay[Date],"&gt;="&amp;$C$5,DaybyDay[RowYear],"&gt;="&amp;$C$4,DaybyDay[Date],"&lt;="&amp;DaybyDay[[#This Row],[Date]])</f>
        <v>385554.23</v>
      </c>
      <c r="R1412" s="34">
        <f>SUMIFS(DaybyDay[Retail-Actuals],DaybyDay[Date],"&gt;="&amp;$C$5,DaybyDay[RowYear],"&gt;="&amp;$C$4,DaybyDay[Date],"&lt;="&amp;DaybyDay[[#This Row],[Date]])</f>
        <v>88360.030000000028</v>
      </c>
      <c r="S1412" s="35">
        <f>SUMIFS(DaybyDay[Service-LY],DaybyDay[Date],"&gt;="&amp;$C$5,DaybyDay[RowYear],"&gt;="&amp;$C$4,DaybyDay[Date],"&lt;="&amp;DaybyDay[[#This Row],[Date]])</f>
        <v>1485658.5709999981</v>
      </c>
      <c r="T1412" s="35">
        <f>SUMIFS(DaybyDay[Retail-LY],DaybyDay[Date],"&gt;="&amp;$C$5,DaybyDay[RowYear],"&gt;="&amp;$C$4,DaybyDay[Date],"&lt;="&amp;DaybyDay[[#This Row],[Date]])</f>
        <v>352380.28999999992</v>
      </c>
      <c r="U1412" s="32">
        <f>DaybyDay[[#This Row],[Serv-Bud-RU]]+DaybyDay[[#This Row],[Ret-Bud-RU]]</f>
        <v>2075994.7347621382</v>
      </c>
      <c r="V1412" s="32">
        <f>DaybyDay[[#This Row],[Serv-Act-RU]]+DaybyDay[[#This Row],[Ret-Act-RU]]</f>
        <v>473914.26</v>
      </c>
      <c r="W1412" s="36" t="str">
        <f>IF(DaybyDay[[#This Row],[_Space]],IFERROR(
((DaybyDay[[#This Row],[Actual-Rollup]]-DaybyDay[[#This Row],[Budget-Rollup]])/DaybyDay[[#This Row],[Budget-Rollup]]),0),"")</f>
        <v/>
      </c>
      <c r="X1412" t="b">
        <f>NOT(AND(ISBLANK(DaybyDay[[#This Row],[Appts]]),ISBLANK(DaybyDay[[#This Row],[Service-Actuals]]),ISBLANK(DaybyDay[[#This Row],[Retail-Actuals]])))</f>
        <v>0</v>
      </c>
      <c r="Y1412" s="36" t="str">
        <f>IF(DaybyDay[[#This Row],[_Space]],IFERROR(
((DaybyDay[[#This Row],[Actual-Rollup]]-DaybyDay[[#This Row],[LY-Rollup]])/DaybyDay[[#This Row],[LY-Rollup]]),0),"")</f>
        <v/>
      </c>
      <c r="Z1412"/>
      <c r="AA1412" s="37" t="str">
        <f>IF(DaybyDay[[#This Row],[_Space]],DaybyDay[[#This Row],[Ret-Act-RU]]/DaybyDay[[#This Row],[Serv-Act-RU]],"")</f>
        <v/>
      </c>
      <c r="AB1412" s="50" t="str">
        <f>IF(DaybyDay[[#This Row],[_Space]],DaybyDay[[#This Row],[RETPEN-Act]]/DaybyDay[[#This Row],[RETPEN-Bud]],"")</f>
        <v/>
      </c>
      <c r="AC1412" s="37" t="str">
        <f>IF(DaybyDay[[#This Row],[_Space]],DaybyDay[[#This Row],[Ret-Bud-RU]]/DaybyDay[[#This Row],[Serv-Bud-RU]],"")</f>
        <v/>
      </c>
      <c r="AD1412" s="37" t="str">
        <f>IF(DaybyDay[[#This Row],[_Space]],DaybyDay[[#This Row],[Ret-LY-RU]]/DaybyDay[[#This Row],[Serv-LY-RU]],"")</f>
        <v/>
      </c>
      <c r="AE1412" s="30">
        <f>WEEKDAY(DaybyDay[[#This Row],[LY-Date]])</f>
        <v>6</v>
      </c>
      <c r="AF1412" s="38">
        <f>$E$2+_xlfn.DAYS(DaybyDay[[#This Row],[Date]],minDate)</f>
        <v>43777</v>
      </c>
      <c r="AG1412" s="39" cm="1">
        <f t="array" ref="AG1412">IFERROR(INDEX(DaybyDay[],DaybyDay[[#This Row],[FORM_MATCH_HELPER]],8),"")</f>
        <v>28</v>
      </c>
      <c r="AH1412" s="39" cm="1">
        <f t="array" ref="AH1412">IFERROR(INDEX(DaybyDay[],DaybyDay[[#This Row],[FORM_MATCH_HELPER]],10),"")</f>
        <v>6523</v>
      </c>
      <c r="AI1412" s="39" cm="1">
        <f t="array" ref="AI1412">IFERROR(INDEX(DaybyDay[],DaybyDay[[#This Row],[FORM_MATCH_HELPER]],12),"")</f>
        <v>668</v>
      </c>
      <c r="AJ1412" s="32">
        <f>IFERROR(DaybyDay[[#This Row],[Serv-LY-RU]]+DaybyDay[[#This Row],[Ret-LY-RU]],"")</f>
        <v>1838038.8609999982</v>
      </c>
      <c r="AK141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1828945.7318759076</v>
      </c>
      <c r="AL1412" s="77"/>
      <c r="AM1412" s="40" t="str">
        <f>IF(DaybyDay[[#This Row],[Admin Hours]]&gt;0,DaybyDay[[#This Row],[Admin Hours]]*$AM$2+$AM$3,"")</f>
        <v/>
      </c>
      <c r="AN1412" s="40">
        <f>SUMIFS(DaybyDay[Est-Admin-Payroll],DaybyDay[Date],"&gt;="&amp;$C$5,DaybyDay[RowYear],"&gt;="&amp;$C$4,DaybyDay[Date],"&lt;="&amp;DaybyDay[[#This Row],[Date]])</f>
        <v>13941.779999999997</v>
      </c>
      <c r="AO1412" s="41" t="str">
        <f>IF(AND(DaybyDay[[#This Row],[_Space]],ISNUMBER(DaybyDay[[#This Row],[Admin Hours]])),DaybyDay[[#This Row],[Est-Admin-Payroll]]/(DaybyDay[[#This Row],[Service-Actuals]]+DaybyDay[[#This Row],[Retail-Actuals]]),"")</f>
        <v/>
      </c>
      <c r="AP1412" s="41">
        <f>DaybyDay[[#This Row],[Estimated-Payroll-Rollup]]/DaybyDay[[#This Row],[Simple-Forecast]]</f>
        <v>7.6228505619465444E-3</v>
      </c>
      <c r="AQ141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360520.25607455859</v>
      </c>
      <c r="AR1412" s="77"/>
      <c r="AS1412" s="40" t="str">
        <f>IF(DaybyDay[[#This Row],[Retail Hours]]&gt;0,DaybyDay[[#This Row],[Retail Hours]]*$AS$2,"")</f>
        <v/>
      </c>
      <c r="AT1412" s="40">
        <f>SUMIFS(DaybyDay[Est-Retail-Payroll],DaybyDay[Date],"&gt;="&amp;$C$5,DaybyDay[RowYear],"&gt;="&amp;$C$4,DaybyDay[Date],"&lt;="&amp;DaybyDay[[#This Row],[Date]])</f>
        <v>2627.1</v>
      </c>
      <c r="AU1412" s="82" t="str">
        <f>IF(AND(DaybyDay[[#This Row],[_Space]],ISNUMBER(DaybyDay[[#This Row],[Retail Hours]])),DaybyDay[[#This Row],[Est-Retail-Payroll]]/(DaybyDay[[#This Row],[Retail-Actuals]]),"")</f>
        <v/>
      </c>
      <c r="AV1412" s="82">
        <f>DaybyDay[[#This Row],[Est-Retail-PayrollRU]]/DaybyDay[[#This Row],[Simple-Forecast-Retail]]</f>
        <v>7.2869691944762562E-3</v>
      </c>
      <c r="AW1412" s="8"/>
      <c r="AX1412" s="15"/>
      <c r="AY1412" s="8"/>
    </row>
    <row r="1413" spans="3:51" hidden="1" x14ac:dyDescent="0.25">
      <c r="C1413" s="26" t="str">
        <f>Tools!$C$1</f>
        <v>Example</v>
      </c>
      <c r="D1413" s="27" t="s">
        <v>78</v>
      </c>
      <c r="E1413" s="28">
        <v>2020</v>
      </c>
      <c r="F1413" s="28">
        <f>MATCH(DaybyDay[[#This Row],[RowMonth]],Table3[SummaryMonth],0)</f>
        <v>11</v>
      </c>
      <c r="G1413" s="29">
        <f>MATCH(DaybyDay[[#This Row],[LY-Date]],DaybyDay[Date],0)</f>
        <v>1043</v>
      </c>
      <c r="H1413" s="30">
        <f>WEEKDAY(DaybyDay[[#This Row],[Date]])</f>
        <v>7</v>
      </c>
      <c r="I1413" s="31">
        <v>44142</v>
      </c>
      <c r="J1413" s="74"/>
      <c r="K1413" s="32">
        <f>SUMIFS(BudgetSeasonality[365 Seasonality],BudgetSeasonality[MonthAdjustment],DaybyDay[[#This Row],[Date]])*SUMIFS(Budgets[Service-Budget],Budgets[BudgetMonth],DaybyDay[[#This Row],[RowMonth]],Budgets[BudgetYear],DaybyDay[[#This Row],[RowYear]])</f>
        <v>8745.9626568165459</v>
      </c>
      <c r="L1413" s="75"/>
      <c r="M1413" s="32">
        <f>INDEX(BudgetSeasonality[365 Seasonality],MATCH(DaybyDay[[#This Row],[Date]],BudgetSeasonality[MonthAdjustment],0))*SUMIFS(Budgets[Retail-Budget],Budgets[BudgetMonth],DaybyDay[[#This Row],[RowMonth]],Budgets[BudgetYear],DaybyDay[[#This Row],[RowYear]])</f>
        <v>3203.1528372124235</v>
      </c>
      <c r="N1413" s="75"/>
      <c r="O1413" s="33">
        <f>SUMIFS(DaybyDay[Service-Budgets],DaybyDay[Date],"&gt;="&amp;$C$5,DaybyDay[RowYear],"&gt;="&amp;$C$4,DaybyDay[Date],"&lt;="&amp;DaybyDay[[#This Row],[Date]])</f>
        <v>1656386.0571439615</v>
      </c>
      <c r="P1413" s="33">
        <f>SUMIFS(DaybyDay[Retail-Budgets],DaybyDay[Date],"&gt;="&amp;$C$5,DaybyDay[RowYear],"&gt;="&amp;$C$4,DaybyDay[Date],"&lt;="&amp;DaybyDay[[#This Row],[Date]])</f>
        <v>431557.79311220552</v>
      </c>
      <c r="Q1413" s="34">
        <f>SUMIFS(DaybyDay[Service-Actuals],DaybyDay[Date],"&gt;="&amp;$C$5,DaybyDay[RowYear],"&gt;="&amp;$C$4,DaybyDay[Date],"&lt;="&amp;DaybyDay[[#This Row],[Date]])</f>
        <v>385554.23</v>
      </c>
      <c r="R1413" s="34">
        <f>SUMIFS(DaybyDay[Retail-Actuals],DaybyDay[Date],"&gt;="&amp;$C$5,DaybyDay[RowYear],"&gt;="&amp;$C$4,DaybyDay[Date],"&lt;="&amp;DaybyDay[[#This Row],[Date]])</f>
        <v>88360.030000000028</v>
      </c>
      <c r="S1413" s="35">
        <f>SUMIFS(DaybyDay[Service-LY],DaybyDay[Date],"&gt;="&amp;$C$5,DaybyDay[RowYear],"&gt;="&amp;$C$4,DaybyDay[Date],"&lt;="&amp;DaybyDay[[#This Row],[Date]])</f>
        <v>1494385.220999998</v>
      </c>
      <c r="T1413" s="35">
        <f>SUMIFS(DaybyDay[Retail-LY],DaybyDay[Date],"&gt;="&amp;$C$5,DaybyDay[RowYear],"&gt;="&amp;$C$4,DaybyDay[Date],"&lt;="&amp;DaybyDay[[#This Row],[Date]])</f>
        <v>355939.7699999999</v>
      </c>
      <c r="U1413" s="32">
        <f>DaybyDay[[#This Row],[Serv-Bud-RU]]+DaybyDay[[#This Row],[Ret-Bud-RU]]</f>
        <v>2087943.8502561671</v>
      </c>
      <c r="V1413" s="32">
        <f>DaybyDay[[#This Row],[Serv-Act-RU]]+DaybyDay[[#This Row],[Ret-Act-RU]]</f>
        <v>473914.26</v>
      </c>
      <c r="W1413" s="36" t="str">
        <f>IF(DaybyDay[[#This Row],[_Space]],IFERROR(
((DaybyDay[[#This Row],[Actual-Rollup]]-DaybyDay[[#This Row],[Budget-Rollup]])/DaybyDay[[#This Row],[Budget-Rollup]]),0),"")</f>
        <v/>
      </c>
      <c r="X1413" t="b">
        <f>NOT(AND(ISBLANK(DaybyDay[[#This Row],[Appts]]),ISBLANK(DaybyDay[[#This Row],[Service-Actuals]]),ISBLANK(DaybyDay[[#This Row],[Retail-Actuals]])))</f>
        <v>0</v>
      </c>
      <c r="Y1413" s="36" t="str">
        <f>IF(DaybyDay[[#This Row],[_Space]],IFERROR(
((DaybyDay[[#This Row],[Actual-Rollup]]-DaybyDay[[#This Row],[LY-Rollup]])/DaybyDay[[#This Row],[LY-Rollup]]),0),"")</f>
        <v/>
      </c>
      <c r="Z1413"/>
      <c r="AA1413" s="37" t="str">
        <f>IF(DaybyDay[[#This Row],[_Space]],DaybyDay[[#This Row],[Ret-Act-RU]]/DaybyDay[[#This Row],[Serv-Act-RU]],"")</f>
        <v/>
      </c>
      <c r="AB1413" s="50" t="str">
        <f>IF(DaybyDay[[#This Row],[_Space]],DaybyDay[[#This Row],[RETPEN-Act]]/DaybyDay[[#This Row],[RETPEN-Bud]],"")</f>
        <v/>
      </c>
      <c r="AC1413" s="37" t="str">
        <f>IF(DaybyDay[[#This Row],[_Space]],DaybyDay[[#This Row],[Ret-Bud-RU]]/DaybyDay[[#This Row],[Serv-Bud-RU]],"")</f>
        <v/>
      </c>
      <c r="AD1413" s="37" t="str">
        <f>IF(DaybyDay[[#This Row],[_Space]],DaybyDay[[#This Row],[Ret-LY-RU]]/DaybyDay[[#This Row],[Serv-LY-RU]],"")</f>
        <v/>
      </c>
      <c r="AE1413" s="30">
        <f>WEEKDAY(DaybyDay[[#This Row],[LY-Date]])</f>
        <v>7</v>
      </c>
      <c r="AF1413" s="38">
        <f>$E$2+_xlfn.DAYS(DaybyDay[[#This Row],[Date]],minDate)</f>
        <v>43778</v>
      </c>
      <c r="AG1413" s="39" cm="1">
        <f t="array" ref="AG1413">IFERROR(INDEX(DaybyDay[],DaybyDay[[#This Row],[FORM_MATCH_HELPER]],8),"")</f>
        <v>37</v>
      </c>
      <c r="AH1413" s="39" cm="1">
        <f t="array" ref="AH1413">IFERROR(INDEX(DaybyDay[],DaybyDay[[#This Row],[FORM_MATCH_HELPER]],10),"")</f>
        <v>8726.65</v>
      </c>
      <c r="AI1413" s="39" cm="1">
        <f t="array" ref="AI1413">IFERROR(INDEX(DaybyDay[],DaybyDay[[#This Row],[FORM_MATCH_HELPER]],12),"")</f>
        <v>3559.48</v>
      </c>
      <c r="AJ1413" s="32">
        <f>IFERROR(DaybyDay[[#This Row],[Serv-LY-RU]]+DaybyDay[[#This Row],[Ret-LY-RU]],"")</f>
        <v>1850324.9909999981</v>
      </c>
      <c r="AK141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1840085.9387876648</v>
      </c>
      <c r="AL1413" s="77"/>
      <c r="AM1413" s="40" t="str">
        <f>IF(DaybyDay[[#This Row],[Admin Hours]]&gt;0,DaybyDay[[#This Row],[Admin Hours]]*$AM$2+$AM$3,"")</f>
        <v/>
      </c>
      <c r="AN1413" s="40">
        <f>SUMIFS(DaybyDay[Est-Admin-Payroll],DaybyDay[Date],"&gt;="&amp;$C$5,DaybyDay[RowYear],"&gt;="&amp;$C$4,DaybyDay[Date],"&lt;="&amp;DaybyDay[[#This Row],[Date]])</f>
        <v>13941.779999999997</v>
      </c>
      <c r="AO1413" s="41" t="str">
        <f>IF(AND(DaybyDay[[#This Row],[_Space]],ISNUMBER(DaybyDay[[#This Row],[Admin Hours]])),DaybyDay[[#This Row],[Est-Admin-Payroll]]/(DaybyDay[[#This Row],[Service-Actuals]]+DaybyDay[[#This Row],[Retail-Actuals]]),"")</f>
        <v/>
      </c>
      <c r="AP1413" s="41">
        <f>DaybyDay[[#This Row],[Estimated-Payroll-Rollup]]/DaybyDay[[#This Row],[Simple-Forecast]]</f>
        <v>7.5767004714929224E-3</v>
      </c>
      <c r="AQ141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363637.71003901761</v>
      </c>
      <c r="AR1413" s="77"/>
      <c r="AS1413" s="40" t="str">
        <f>IF(DaybyDay[[#This Row],[Retail Hours]]&gt;0,DaybyDay[[#This Row],[Retail Hours]]*$AS$2,"")</f>
        <v/>
      </c>
      <c r="AT1413" s="40">
        <f>SUMIFS(DaybyDay[Est-Retail-Payroll],DaybyDay[Date],"&gt;="&amp;$C$5,DaybyDay[RowYear],"&gt;="&amp;$C$4,DaybyDay[Date],"&lt;="&amp;DaybyDay[[#This Row],[Date]])</f>
        <v>2627.1</v>
      </c>
      <c r="AU1413" s="82" t="str">
        <f>IF(AND(DaybyDay[[#This Row],[_Space]],ISNUMBER(DaybyDay[[#This Row],[Retail Hours]])),DaybyDay[[#This Row],[Est-Retail-Payroll]]/(DaybyDay[[#This Row],[Retail-Actuals]]),"")</f>
        <v/>
      </c>
      <c r="AV1413" s="82">
        <f>DaybyDay[[#This Row],[Est-Retail-PayrollRU]]/DaybyDay[[#This Row],[Simple-Forecast-Retail]]</f>
        <v>7.2244982505200502E-3</v>
      </c>
      <c r="AW1413" s="8"/>
      <c r="AX1413" s="15"/>
      <c r="AY1413" s="8"/>
    </row>
    <row r="1414" spans="3:51" hidden="1" x14ac:dyDescent="0.25">
      <c r="C1414" s="26" t="str">
        <f>Tools!$C$1</f>
        <v>Example</v>
      </c>
      <c r="D1414" s="27" t="s">
        <v>78</v>
      </c>
      <c r="E1414" s="28">
        <v>2020</v>
      </c>
      <c r="F1414" s="28">
        <f>MATCH(DaybyDay[[#This Row],[RowMonth]],Table3[SummaryMonth],0)</f>
        <v>11</v>
      </c>
      <c r="G1414" s="29">
        <f>MATCH(DaybyDay[[#This Row],[LY-Date]],DaybyDay[Date],0)</f>
        <v>1044</v>
      </c>
      <c r="H1414" s="30">
        <f>WEEKDAY(DaybyDay[[#This Row],[Date]])</f>
        <v>1</v>
      </c>
      <c r="I1414" s="31">
        <v>44143</v>
      </c>
      <c r="J1414" s="74"/>
      <c r="K1414" s="32">
        <f>SUMIFS(BudgetSeasonality[365 Seasonality],BudgetSeasonality[MonthAdjustment],DaybyDay[[#This Row],[Date]])*SUMIFS(Budgets[Service-Budget],Budgets[BudgetMonth],DaybyDay[[#This Row],[RowMonth]],Budgets[BudgetYear],DaybyDay[[#This Row],[RowYear]])</f>
        <v>6993.9146434153281</v>
      </c>
      <c r="L1414" s="75"/>
      <c r="M1414" s="32">
        <f>INDEX(BudgetSeasonality[365 Seasonality],MATCH(DaybyDay[[#This Row],[Date]],BudgetSeasonality[MonthAdjustment],0))*SUMIFS(Budgets[Retail-Budget],Budgets[BudgetMonth],DaybyDay[[#This Row],[RowMonth]],Budgets[BudgetYear],DaybyDay[[#This Row],[RowYear]])</f>
        <v>2561.4764677524549</v>
      </c>
      <c r="N1414" s="75"/>
      <c r="O1414" s="33">
        <f>SUMIFS(DaybyDay[Service-Budgets],DaybyDay[Date],"&gt;="&amp;$C$5,DaybyDay[RowYear],"&gt;="&amp;$C$4,DaybyDay[Date],"&lt;="&amp;DaybyDay[[#This Row],[Date]])</f>
        <v>1663379.9717873768</v>
      </c>
      <c r="P1414" s="33">
        <f>SUMIFS(DaybyDay[Retail-Budgets],DaybyDay[Date],"&gt;="&amp;$C$5,DaybyDay[RowYear],"&gt;="&amp;$C$4,DaybyDay[Date],"&lt;="&amp;DaybyDay[[#This Row],[Date]])</f>
        <v>434119.269579958</v>
      </c>
      <c r="Q1414" s="34">
        <f>SUMIFS(DaybyDay[Service-Actuals],DaybyDay[Date],"&gt;="&amp;$C$5,DaybyDay[RowYear],"&gt;="&amp;$C$4,DaybyDay[Date],"&lt;="&amp;DaybyDay[[#This Row],[Date]])</f>
        <v>385554.23</v>
      </c>
      <c r="R1414" s="34">
        <f>SUMIFS(DaybyDay[Retail-Actuals],DaybyDay[Date],"&gt;="&amp;$C$5,DaybyDay[RowYear],"&gt;="&amp;$C$4,DaybyDay[Date],"&lt;="&amp;DaybyDay[[#This Row],[Date]])</f>
        <v>88360.030000000028</v>
      </c>
      <c r="S1414" s="35">
        <f>SUMIFS(DaybyDay[Service-LY],DaybyDay[Date],"&gt;="&amp;$C$5,DaybyDay[RowYear],"&gt;="&amp;$C$4,DaybyDay[Date],"&lt;="&amp;DaybyDay[[#This Row],[Date]])</f>
        <v>1501821.6209999979</v>
      </c>
      <c r="T1414" s="35">
        <f>SUMIFS(DaybyDay[Retail-LY],DaybyDay[Date],"&gt;="&amp;$C$5,DaybyDay[RowYear],"&gt;="&amp;$C$4,DaybyDay[Date],"&lt;="&amp;DaybyDay[[#This Row],[Date]])</f>
        <v>357388.7699999999</v>
      </c>
      <c r="U1414" s="32">
        <f>DaybyDay[[#This Row],[Serv-Bud-RU]]+DaybyDay[[#This Row],[Ret-Bud-RU]]</f>
        <v>2097499.241367335</v>
      </c>
      <c r="V1414" s="32">
        <f>DaybyDay[[#This Row],[Serv-Act-RU]]+DaybyDay[[#This Row],[Ret-Act-RU]]</f>
        <v>473914.26</v>
      </c>
      <c r="W1414" s="36" t="str">
        <f>IF(DaybyDay[[#This Row],[_Space]],IFERROR(
((DaybyDay[[#This Row],[Actual-Rollup]]-DaybyDay[[#This Row],[Budget-Rollup]])/DaybyDay[[#This Row],[Budget-Rollup]]),0),"")</f>
        <v/>
      </c>
      <c r="X1414" t="b">
        <f>NOT(AND(ISBLANK(DaybyDay[[#This Row],[Appts]]),ISBLANK(DaybyDay[[#This Row],[Service-Actuals]]),ISBLANK(DaybyDay[[#This Row],[Retail-Actuals]])))</f>
        <v>0</v>
      </c>
      <c r="Y1414" s="36" t="str">
        <f>IF(DaybyDay[[#This Row],[_Space]],IFERROR(
((DaybyDay[[#This Row],[Actual-Rollup]]-DaybyDay[[#This Row],[LY-Rollup]])/DaybyDay[[#This Row],[LY-Rollup]]),0),"")</f>
        <v/>
      </c>
      <c r="Z1414"/>
      <c r="AA1414" s="37" t="str">
        <f>IF(DaybyDay[[#This Row],[_Space]],DaybyDay[[#This Row],[Ret-Act-RU]]/DaybyDay[[#This Row],[Serv-Act-RU]],"")</f>
        <v/>
      </c>
      <c r="AB1414" s="50" t="str">
        <f>IF(DaybyDay[[#This Row],[_Space]],DaybyDay[[#This Row],[RETPEN-Act]]/DaybyDay[[#This Row],[RETPEN-Bud]],"")</f>
        <v/>
      </c>
      <c r="AC1414" s="37" t="str">
        <f>IF(DaybyDay[[#This Row],[_Space]],DaybyDay[[#This Row],[Ret-Bud-RU]]/DaybyDay[[#This Row],[Serv-Bud-RU]],"")</f>
        <v/>
      </c>
      <c r="AD1414" s="37" t="str">
        <f>IF(DaybyDay[[#This Row],[_Space]],DaybyDay[[#This Row],[Ret-LY-RU]]/DaybyDay[[#This Row],[Serv-LY-RU]],"")</f>
        <v/>
      </c>
      <c r="AE1414" s="30">
        <f>WEEKDAY(DaybyDay[[#This Row],[LY-Date]])</f>
        <v>1</v>
      </c>
      <c r="AF1414" s="38">
        <f>$E$2+_xlfn.DAYS(DaybyDay[[#This Row],[Date]],minDate)</f>
        <v>43779</v>
      </c>
      <c r="AG1414" s="39" cm="1">
        <f t="array" ref="AG1414">IFERROR(INDEX(DaybyDay[],DaybyDay[[#This Row],[FORM_MATCH_HELPER]],8),"")</f>
        <v>37</v>
      </c>
      <c r="AH1414" s="39" cm="1">
        <f t="array" ref="AH1414">IFERROR(INDEX(DaybyDay[],DaybyDay[[#This Row],[FORM_MATCH_HELPER]],10),"")</f>
        <v>7436.4</v>
      </c>
      <c r="AI1414" s="39" cm="1">
        <f t="array" ref="AI1414">IFERROR(INDEX(DaybyDay[],DaybyDay[[#This Row],[FORM_MATCH_HELPER]],12),"")</f>
        <v>1449</v>
      </c>
      <c r="AJ1414" s="32">
        <f>IFERROR(DaybyDay[[#This Row],[Serv-LY-RU]]+DaybyDay[[#This Row],[Ret-LY-RU]],"")</f>
        <v>1859210.390999998</v>
      </c>
      <c r="AK141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1848531.2566370585</v>
      </c>
      <c r="AL1414" s="77"/>
      <c r="AM1414" s="40" t="str">
        <f>IF(DaybyDay[[#This Row],[Admin Hours]]&gt;0,DaybyDay[[#This Row],[Admin Hours]]*$AM$2+$AM$3,"")</f>
        <v/>
      </c>
      <c r="AN1414" s="40">
        <f>SUMIFS(DaybyDay[Est-Admin-Payroll],DaybyDay[Date],"&gt;="&amp;$C$5,DaybyDay[RowYear],"&gt;="&amp;$C$4,DaybyDay[Date],"&lt;="&amp;DaybyDay[[#This Row],[Date]])</f>
        <v>13941.779999999997</v>
      </c>
      <c r="AO1414" s="41" t="str">
        <f>IF(AND(DaybyDay[[#This Row],[_Space]],ISNUMBER(DaybyDay[[#This Row],[Admin Hours]])),DaybyDay[[#This Row],[Est-Admin-Payroll]]/(DaybyDay[[#This Row],[Service-Actuals]]+DaybyDay[[#This Row],[Retail-Actuals]]),"")</f>
        <v/>
      </c>
      <c r="AP1414" s="41">
        <f>DaybyDay[[#This Row],[Estimated-Payroll-Rollup]]/DaybyDay[[#This Row],[Simple-Forecast]]</f>
        <v>7.5420850742678744E-3</v>
      </c>
      <c r="AQ141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365441.66601514304</v>
      </c>
      <c r="AR1414" s="77"/>
      <c r="AS1414" s="40" t="str">
        <f>IF(DaybyDay[[#This Row],[Retail Hours]]&gt;0,DaybyDay[[#This Row],[Retail Hours]]*$AS$2,"")</f>
        <v/>
      </c>
      <c r="AT1414" s="40">
        <f>SUMIFS(DaybyDay[Est-Retail-Payroll],DaybyDay[Date],"&gt;="&amp;$C$5,DaybyDay[RowYear],"&gt;="&amp;$C$4,DaybyDay[Date],"&lt;="&amp;DaybyDay[[#This Row],[Date]])</f>
        <v>2627.1</v>
      </c>
      <c r="AU1414" s="82" t="str">
        <f>IF(AND(DaybyDay[[#This Row],[_Space]],ISNUMBER(DaybyDay[[#This Row],[Retail Hours]])),DaybyDay[[#This Row],[Est-Retail-Payroll]]/(DaybyDay[[#This Row],[Retail-Actuals]]),"")</f>
        <v/>
      </c>
      <c r="AV1414" s="82">
        <f>DaybyDay[[#This Row],[Est-Retail-PayrollRU]]/DaybyDay[[#This Row],[Simple-Forecast-Retail]]</f>
        <v>7.1888354402673367E-3</v>
      </c>
      <c r="AW1414" s="8"/>
      <c r="AX1414" s="15"/>
      <c r="AY1414" s="8"/>
    </row>
    <row r="1415" spans="3:51" hidden="1" x14ac:dyDescent="0.25">
      <c r="C1415" s="26" t="str">
        <f>Tools!$C$1</f>
        <v>Example</v>
      </c>
      <c r="D1415" s="27" t="s">
        <v>78</v>
      </c>
      <c r="E1415" s="28">
        <v>2020</v>
      </c>
      <c r="F1415" s="28">
        <f>MATCH(DaybyDay[[#This Row],[RowMonth]],Table3[SummaryMonth],0)</f>
        <v>11</v>
      </c>
      <c r="G1415" s="29">
        <f>MATCH(DaybyDay[[#This Row],[LY-Date]],DaybyDay[Date],0)</f>
        <v>1045</v>
      </c>
      <c r="H1415" s="30">
        <f>WEEKDAY(DaybyDay[[#This Row],[Date]])</f>
        <v>2</v>
      </c>
      <c r="I1415" s="31">
        <v>44144</v>
      </c>
      <c r="J1415" s="74"/>
      <c r="K1415" s="32">
        <f>SUMIFS(BudgetSeasonality[365 Seasonality],BudgetSeasonality[MonthAdjustment],DaybyDay[[#This Row],[Date]])*SUMIFS(Budgets[Service-Budget],Budgets[BudgetMonth],DaybyDay[[#This Row],[RowMonth]],Budgets[BudgetYear],DaybyDay[[#This Row],[RowYear]])</f>
        <v>4438.2510825442487</v>
      </c>
      <c r="L1415" s="75"/>
      <c r="M1415" s="32">
        <f>INDEX(BudgetSeasonality[365 Seasonality],MATCH(DaybyDay[[#This Row],[Date]],BudgetSeasonality[MonthAdjustment],0))*SUMIFS(Budgets[Retail-Budget],Budgets[BudgetMonth],DaybyDay[[#This Row],[RowMonth]],Budgets[BudgetYear],DaybyDay[[#This Row],[RowYear]])</f>
        <v>1625.4810482448781</v>
      </c>
      <c r="N1415" s="75"/>
      <c r="O1415" s="33">
        <f>SUMIFS(DaybyDay[Service-Budgets],DaybyDay[Date],"&gt;="&amp;$C$5,DaybyDay[RowYear],"&gt;="&amp;$C$4,DaybyDay[Date],"&lt;="&amp;DaybyDay[[#This Row],[Date]])</f>
        <v>1667818.222869921</v>
      </c>
      <c r="P1415" s="33">
        <f>SUMIFS(DaybyDay[Retail-Budgets],DaybyDay[Date],"&gt;="&amp;$C$5,DaybyDay[RowYear],"&gt;="&amp;$C$4,DaybyDay[Date],"&lt;="&amp;DaybyDay[[#This Row],[Date]])</f>
        <v>435744.75062820286</v>
      </c>
      <c r="Q1415" s="34">
        <f>SUMIFS(DaybyDay[Service-Actuals],DaybyDay[Date],"&gt;="&amp;$C$5,DaybyDay[RowYear],"&gt;="&amp;$C$4,DaybyDay[Date],"&lt;="&amp;DaybyDay[[#This Row],[Date]])</f>
        <v>385554.23</v>
      </c>
      <c r="R1415" s="34">
        <f>SUMIFS(DaybyDay[Retail-Actuals],DaybyDay[Date],"&gt;="&amp;$C$5,DaybyDay[RowYear],"&gt;="&amp;$C$4,DaybyDay[Date],"&lt;="&amp;DaybyDay[[#This Row],[Date]])</f>
        <v>88360.030000000028</v>
      </c>
      <c r="S1415" s="35">
        <f>SUMIFS(DaybyDay[Service-LY],DaybyDay[Date],"&gt;="&amp;$C$5,DaybyDay[RowYear],"&gt;="&amp;$C$4,DaybyDay[Date],"&lt;="&amp;DaybyDay[[#This Row],[Date]])</f>
        <v>1504743.8209999979</v>
      </c>
      <c r="T1415" s="35">
        <f>SUMIFS(DaybyDay[Retail-LY],DaybyDay[Date],"&gt;="&amp;$C$5,DaybyDay[RowYear],"&gt;="&amp;$C$4,DaybyDay[Date],"&lt;="&amp;DaybyDay[[#This Row],[Date]])</f>
        <v>358035.7699999999</v>
      </c>
      <c r="U1415" s="32">
        <f>DaybyDay[[#This Row],[Serv-Bud-RU]]+DaybyDay[[#This Row],[Ret-Bud-RU]]</f>
        <v>2103562.9734981237</v>
      </c>
      <c r="V1415" s="32">
        <f>DaybyDay[[#This Row],[Serv-Act-RU]]+DaybyDay[[#This Row],[Ret-Act-RU]]</f>
        <v>473914.26</v>
      </c>
      <c r="W1415" s="36" t="str">
        <f>IF(DaybyDay[[#This Row],[_Space]],IFERROR(
((DaybyDay[[#This Row],[Actual-Rollup]]-DaybyDay[[#This Row],[Budget-Rollup]])/DaybyDay[[#This Row],[Budget-Rollup]]),0),"")</f>
        <v/>
      </c>
      <c r="X1415" t="b">
        <f>NOT(AND(ISBLANK(DaybyDay[[#This Row],[Appts]]),ISBLANK(DaybyDay[[#This Row],[Service-Actuals]]),ISBLANK(DaybyDay[[#This Row],[Retail-Actuals]])))</f>
        <v>0</v>
      </c>
      <c r="Y1415" s="36" t="str">
        <f>IF(DaybyDay[[#This Row],[_Space]],IFERROR(
((DaybyDay[[#This Row],[Actual-Rollup]]-DaybyDay[[#This Row],[LY-Rollup]])/DaybyDay[[#This Row],[LY-Rollup]]),0),"")</f>
        <v/>
      </c>
      <c r="Z1415"/>
      <c r="AA1415" s="37" t="str">
        <f>IF(DaybyDay[[#This Row],[_Space]],DaybyDay[[#This Row],[Ret-Act-RU]]/DaybyDay[[#This Row],[Serv-Act-RU]],"")</f>
        <v/>
      </c>
      <c r="AB1415" s="50" t="str">
        <f>IF(DaybyDay[[#This Row],[_Space]],DaybyDay[[#This Row],[RETPEN-Act]]/DaybyDay[[#This Row],[RETPEN-Bud]],"")</f>
        <v/>
      </c>
      <c r="AC1415" s="37" t="str">
        <f>IF(DaybyDay[[#This Row],[_Space]],DaybyDay[[#This Row],[Ret-Bud-RU]]/DaybyDay[[#This Row],[Serv-Bud-RU]],"")</f>
        <v/>
      </c>
      <c r="AD1415" s="37" t="str">
        <f>IF(DaybyDay[[#This Row],[_Space]],DaybyDay[[#This Row],[Ret-LY-RU]]/DaybyDay[[#This Row],[Serv-LY-RU]],"")</f>
        <v/>
      </c>
      <c r="AE1415" s="30">
        <f>WEEKDAY(DaybyDay[[#This Row],[LY-Date]])</f>
        <v>2</v>
      </c>
      <c r="AF1415" s="38">
        <f>$E$2+_xlfn.DAYS(DaybyDay[[#This Row],[Date]],minDate)</f>
        <v>43780</v>
      </c>
      <c r="AG1415" s="39" cm="1">
        <f t="array" ref="AG1415">IFERROR(INDEX(DaybyDay[],DaybyDay[[#This Row],[FORM_MATCH_HELPER]],8),"")</f>
        <v>13</v>
      </c>
      <c r="AH1415" s="39" cm="1">
        <f t="array" ref="AH1415">IFERROR(INDEX(DaybyDay[],DaybyDay[[#This Row],[FORM_MATCH_HELPER]],10),"")</f>
        <v>2922.2</v>
      </c>
      <c r="AI1415" s="39" cm="1">
        <f t="array" ref="AI1415">IFERROR(INDEX(DaybyDay[],DaybyDay[[#This Row],[FORM_MATCH_HELPER]],12),"")</f>
        <v>647</v>
      </c>
      <c r="AJ1415" s="32">
        <f>IFERROR(DaybyDay[[#This Row],[Serv-LY-RU]]+DaybyDay[[#This Row],[Ret-LY-RU]],"")</f>
        <v>1862779.5909999977</v>
      </c>
      <c r="AK141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1852870.2641595807</v>
      </c>
      <c r="AL1415" s="77"/>
      <c r="AM1415" s="40" t="str">
        <f>IF(DaybyDay[[#This Row],[Admin Hours]]&gt;0,DaybyDay[[#This Row],[Admin Hours]]*$AM$2+$AM$3,"")</f>
        <v/>
      </c>
      <c r="AN1415" s="40">
        <f>SUMIFS(DaybyDay[Est-Admin-Payroll],DaybyDay[Date],"&gt;="&amp;$C$5,DaybyDay[RowYear],"&gt;="&amp;$C$4,DaybyDay[Date],"&lt;="&amp;DaybyDay[[#This Row],[Date]])</f>
        <v>13941.779999999997</v>
      </c>
      <c r="AO1415" s="41" t="str">
        <f>IF(AND(DaybyDay[[#This Row],[_Space]],ISNUMBER(DaybyDay[[#This Row],[Admin Hours]])),DaybyDay[[#This Row],[Est-Admin-Payroll]]/(DaybyDay[[#This Row],[Service-Actuals]]+DaybyDay[[#This Row],[Retail-Actuals]]),"")</f>
        <v/>
      </c>
      <c r="AP1415" s="41">
        <f>DaybyDay[[#This Row],[Estimated-Payroll-Rollup]]/DaybyDay[[#This Row],[Simple-Forecast]]</f>
        <v>7.5244231987951233E-3</v>
      </c>
      <c r="AQ141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366452.07116991124</v>
      </c>
      <c r="AR1415" s="77"/>
      <c r="AS1415" s="40" t="str">
        <f>IF(DaybyDay[[#This Row],[Retail Hours]]&gt;0,DaybyDay[[#This Row],[Retail Hours]]*$AS$2,"")</f>
        <v/>
      </c>
      <c r="AT1415" s="40">
        <f>SUMIFS(DaybyDay[Est-Retail-Payroll],DaybyDay[Date],"&gt;="&amp;$C$5,DaybyDay[RowYear],"&gt;="&amp;$C$4,DaybyDay[Date],"&lt;="&amp;DaybyDay[[#This Row],[Date]])</f>
        <v>2627.1</v>
      </c>
      <c r="AU1415" s="82" t="str">
        <f>IF(AND(DaybyDay[[#This Row],[_Space]],ISNUMBER(DaybyDay[[#This Row],[Retail Hours]])),DaybyDay[[#This Row],[Est-Retail-Payroll]]/(DaybyDay[[#This Row],[Retail-Actuals]]),"")</f>
        <v/>
      </c>
      <c r="AV1415" s="82">
        <f>DaybyDay[[#This Row],[Est-Retail-PayrollRU]]/DaybyDay[[#This Row],[Simple-Forecast-Retail]]</f>
        <v>7.1690139221014361E-3</v>
      </c>
      <c r="AW1415" s="8"/>
      <c r="AX1415" s="15"/>
      <c r="AY1415" s="8"/>
    </row>
    <row r="1416" spans="3:51" hidden="1" x14ac:dyDescent="0.25">
      <c r="C1416" s="26" t="str">
        <f>Tools!$C$1</f>
        <v>Example</v>
      </c>
      <c r="D1416" s="27" t="s">
        <v>78</v>
      </c>
      <c r="E1416" s="28">
        <v>2020</v>
      </c>
      <c r="F1416" s="28">
        <f>MATCH(DaybyDay[[#This Row],[RowMonth]],Table3[SummaryMonth],0)</f>
        <v>11</v>
      </c>
      <c r="G1416" s="29">
        <f>MATCH(DaybyDay[[#This Row],[LY-Date]],DaybyDay[Date],0)</f>
        <v>1046</v>
      </c>
      <c r="H1416" s="30">
        <f>WEEKDAY(DaybyDay[[#This Row],[Date]])</f>
        <v>3</v>
      </c>
      <c r="I1416" s="31">
        <v>44145</v>
      </c>
      <c r="J1416" s="74"/>
      <c r="K1416" s="32">
        <f>SUMIFS(BudgetSeasonality[365 Seasonality],BudgetSeasonality[MonthAdjustment],DaybyDay[[#This Row],[Date]])*SUMIFS(Budgets[Service-Budget],Budgets[BudgetMonth],DaybyDay[[#This Row],[RowMonth]],Budgets[BudgetYear],DaybyDay[[#This Row],[RowYear]])</f>
        <v>4555.3206157867935</v>
      </c>
      <c r="L1416" s="75"/>
      <c r="M1416" s="32">
        <f>INDEX(BudgetSeasonality[365 Seasonality],MATCH(DaybyDay[[#This Row],[Date]],BudgetSeasonality[MonthAdjustment],0))*SUMIFS(Budgets[Retail-Budget],Budgets[BudgetMonth],DaybyDay[[#This Row],[RowMonth]],Budgets[BudgetYear],DaybyDay[[#This Row],[RowYear]])</f>
        <v>1668.3570153935289</v>
      </c>
      <c r="N1416" s="75"/>
      <c r="O1416" s="33">
        <f>SUMIFS(DaybyDay[Service-Budgets],DaybyDay[Date],"&gt;="&amp;$C$5,DaybyDay[RowYear],"&gt;="&amp;$C$4,DaybyDay[Date],"&lt;="&amp;DaybyDay[[#This Row],[Date]])</f>
        <v>1672373.5434857078</v>
      </c>
      <c r="P1416" s="33">
        <f>SUMIFS(DaybyDay[Retail-Budgets],DaybyDay[Date],"&gt;="&amp;$C$5,DaybyDay[RowYear],"&gt;="&amp;$C$4,DaybyDay[Date],"&lt;="&amp;DaybyDay[[#This Row],[Date]])</f>
        <v>437413.10764359636</v>
      </c>
      <c r="Q1416" s="34">
        <f>SUMIFS(DaybyDay[Service-Actuals],DaybyDay[Date],"&gt;="&amp;$C$5,DaybyDay[RowYear],"&gt;="&amp;$C$4,DaybyDay[Date],"&lt;="&amp;DaybyDay[[#This Row],[Date]])</f>
        <v>385554.23</v>
      </c>
      <c r="R1416" s="34">
        <f>SUMIFS(DaybyDay[Retail-Actuals],DaybyDay[Date],"&gt;="&amp;$C$5,DaybyDay[RowYear],"&gt;="&amp;$C$4,DaybyDay[Date],"&lt;="&amp;DaybyDay[[#This Row],[Date]])</f>
        <v>88360.030000000028</v>
      </c>
      <c r="S1416" s="35">
        <f>SUMIFS(DaybyDay[Service-LY],DaybyDay[Date],"&gt;="&amp;$C$5,DaybyDay[RowYear],"&gt;="&amp;$C$4,DaybyDay[Date],"&lt;="&amp;DaybyDay[[#This Row],[Date]])</f>
        <v>1508627.2209999978</v>
      </c>
      <c r="T1416" s="35">
        <f>SUMIFS(DaybyDay[Retail-LY],DaybyDay[Date],"&gt;="&amp;$C$5,DaybyDay[RowYear],"&gt;="&amp;$C$4,DaybyDay[Date],"&lt;="&amp;DaybyDay[[#This Row],[Date]])</f>
        <v>358614.7699999999</v>
      </c>
      <c r="U1416" s="32">
        <f>DaybyDay[[#This Row],[Serv-Bud-RU]]+DaybyDay[[#This Row],[Ret-Bud-RU]]</f>
        <v>2109786.6511293044</v>
      </c>
      <c r="V1416" s="32">
        <f>DaybyDay[[#This Row],[Serv-Act-RU]]+DaybyDay[[#This Row],[Ret-Act-RU]]</f>
        <v>473914.26</v>
      </c>
      <c r="W1416" s="36" t="str">
        <f>IF(DaybyDay[[#This Row],[_Space]],IFERROR(
((DaybyDay[[#This Row],[Actual-Rollup]]-DaybyDay[[#This Row],[Budget-Rollup]])/DaybyDay[[#This Row],[Budget-Rollup]]),0),"")</f>
        <v/>
      </c>
      <c r="X1416" t="b">
        <f>NOT(AND(ISBLANK(DaybyDay[[#This Row],[Appts]]),ISBLANK(DaybyDay[[#This Row],[Service-Actuals]]),ISBLANK(DaybyDay[[#This Row],[Retail-Actuals]])))</f>
        <v>0</v>
      </c>
      <c r="Y1416" s="36" t="str">
        <f>IF(DaybyDay[[#This Row],[_Space]],IFERROR(
((DaybyDay[[#This Row],[Actual-Rollup]]-DaybyDay[[#This Row],[LY-Rollup]])/DaybyDay[[#This Row],[LY-Rollup]]),0),"")</f>
        <v/>
      </c>
      <c r="Z1416"/>
      <c r="AA1416" s="37" t="str">
        <f>IF(DaybyDay[[#This Row],[_Space]],DaybyDay[[#This Row],[Ret-Act-RU]]/DaybyDay[[#This Row],[Serv-Act-RU]],"")</f>
        <v/>
      </c>
      <c r="AB1416" s="50" t="str">
        <f>IF(DaybyDay[[#This Row],[_Space]],DaybyDay[[#This Row],[RETPEN-Act]]/DaybyDay[[#This Row],[RETPEN-Bud]],"")</f>
        <v/>
      </c>
      <c r="AC1416" s="37" t="str">
        <f>IF(DaybyDay[[#This Row],[_Space]],DaybyDay[[#This Row],[Ret-Bud-RU]]/DaybyDay[[#This Row],[Serv-Bud-RU]],"")</f>
        <v/>
      </c>
      <c r="AD1416" s="37" t="str">
        <f>IF(DaybyDay[[#This Row],[_Space]],DaybyDay[[#This Row],[Ret-LY-RU]]/DaybyDay[[#This Row],[Serv-LY-RU]],"")</f>
        <v/>
      </c>
      <c r="AE1416" s="30">
        <f>WEEKDAY(DaybyDay[[#This Row],[LY-Date]])</f>
        <v>3</v>
      </c>
      <c r="AF1416" s="38">
        <f>$E$2+_xlfn.DAYS(DaybyDay[[#This Row],[Date]],minDate)</f>
        <v>43781</v>
      </c>
      <c r="AG1416" s="39" cm="1">
        <f t="array" ref="AG1416">IFERROR(INDEX(DaybyDay[],DaybyDay[[#This Row],[FORM_MATCH_HELPER]],8),"")</f>
        <v>18</v>
      </c>
      <c r="AH1416" s="39" cm="1">
        <f t="array" ref="AH1416">IFERROR(INDEX(DaybyDay[],DaybyDay[[#This Row],[FORM_MATCH_HELPER]],10),"")</f>
        <v>3883.3999999999996</v>
      </c>
      <c r="AI1416" s="39" cm="1">
        <f t="array" ref="AI1416">IFERROR(INDEX(DaybyDay[],DaybyDay[[#This Row],[FORM_MATCH_HELPER]],12),"")</f>
        <v>579</v>
      </c>
      <c r="AJ1416" s="32">
        <f>IFERROR(DaybyDay[[#This Row],[Serv-LY-RU]]+DaybyDay[[#This Row],[Ret-LY-RU]],"")</f>
        <v>1867241.9909999976</v>
      </c>
      <c r="AK141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1857717.6914748531</v>
      </c>
      <c r="AL1416" s="77"/>
      <c r="AM1416" s="40" t="str">
        <f>IF(DaybyDay[[#This Row],[Admin Hours]]&gt;0,DaybyDay[[#This Row],[Admin Hours]]*$AM$2+$AM$3,"")</f>
        <v/>
      </c>
      <c r="AN1416" s="40">
        <f>SUMIFS(DaybyDay[Est-Admin-Payroll],DaybyDay[Date],"&gt;="&amp;$C$5,DaybyDay[RowYear],"&gt;="&amp;$C$4,DaybyDay[Date],"&lt;="&amp;DaybyDay[[#This Row],[Date]])</f>
        <v>13941.779999999997</v>
      </c>
      <c r="AO1416" s="41" t="str">
        <f>IF(AND(DaybyDay[[#This Row],[_Space]],ISNUMBER(DaybyDay[[#This Row],[Admin Hours]])),DaybyDay[[#This Row],[Est-Admin-Payroll]]/(DaybyDay[[#This Row],[Service-Actuals]]+DaybyDay[[#This Row],[Retail-Actuals]]),"")</f>
        <v/>
      </c>
      <c r="AP1416" s="41">
        <f>DaybyDay[[#This Row],[Estimated-Payroll-Rollup]]/DaybyDay[[#This Row],[Simple-Forecast]]</f>
        <v>7.5047893789133993E-3</v>
      </c>
      <c r="AQ141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367447.18688483397</v>
      </c>
      <c r="AR1416" s="77"/>
      <c r="AS1416" s="40" t="str">
        <f>IF(DaybyDay[[#This Row],[Retail Hours]]&gt;0,DaybyDay[[#This Row],[Retail Hours]]*$AS$2,"")</f>
        <v/>
      </c>
      <c r="AT1416" s="40">
        <f>SUMIFS(DaybyDay[Est-Retail-Payroll],DaybyDay[Date],"&gt;="&amp;$C$5,DaybyDay[RowYear],"&gt;="&amp;$C$4,DaybyDay[Date],"&lt;="&amp;DaybyDay[[#This Row],[Date]])</f>
        <v>2627.1</v>
      </c>
      <c r="AU1416" s="82" t="str">
        <f>IF(AND(DaybyDay[[#This Row],[_Space]],ISNUMBER(DaybyDay[[#This Row],[Retail Hours]])),DaybyDay[[#This Row],[Est-Retail-Payroll]]/(DaybyDay[[#This Row],[Retail-Actuals]]),"")</f>
        <v/>
      </c>
      <c r="AV1416" s="82">
        <f>DaybyDay[[#This Row],[Est-Retail-PayrollRU]]/DaybyDay[[#This Row],[Simple-Forecast-Retail]]</f>
        <v>7.1495988914003876E-3</v>
      </c>
      <c r="AW1416" s="8"/>
      <c r="AX1416" s="15"/>
      <c r="AY1416" s="8"/>
    </row>
    <row r="1417" spans="3:51" hidden="1" x14ac:dyDescent="0.25">
      <c r="C1417" s="26" t="str">
        <f>Tools!$C$1</f>
        <v>Example</v>
      </c>
      <c r="D1417" s="27" t="s">
        <v>78</v>
      </c>
      <c r="E1417" s="28">
        <v>2020</v>
      </c>
      <c r="F1417" s="28">
        <f>MATCH(DaybyDay[[#This Row],[RowMonth]],Table3[SummaryMonth],0)</f>
        <v>11</v>
      </c>
      <c r="G1417" s="29">
        <f>MATCH(DaybyDay[[#This Row],[LY-Date]],DaybyDay[Date],0)</f>
        <v>1047</v>
      </c>
      <c r="H1417" s="30">
        <f>WEEKDAY(DaybyDay[[#This Row],[Date]])</f>
        <v>4</v>
      </c>
      <c r="I1417" s="31">
        <v>44146</v>
      </c>
      <c r="J1417" s="74"/>
      <c r="K1417" s="32">
        <f>SUMIFS(BudgetSeasonality[365 Seasonality],BudgetSeasonality[MonthAdjustment],DaybyDay[[#This Row],[Date]])*SUMIFS(Budgets[Service-Budget],Budgets[BudgetMonth],DaybyDay[[#This Row],[RowMonth]],Budgets[BudgetYear],DaybyDay[[#This Row],[RowYear]])</f>
        <v>5137.2238407568575</v>
      </c>
      <c r="L1417" s="75"/>
      <c r="M1417" s="32">
        <f>INDEX(BudgetSeasonality[365 Seasonality],MATCH(DaybyDay[[#This Row],[Date]],BudgetSeasonality[MonthAdjustment],0))*SUMIFS(Budgets[Retail-Budget],Budgets[BudgetMonth],DaybyDay[[#This Row],[RowMonth]],Budgets[BudgetYear],DaybyDay[[#This Row],[RowYear]])</f>
        <v>1881.4753465806839</v>
      </c>
      <c r="N1417" s="75"/>
      <c r="O1417" s="33">
        <f>SUMIFS(DaybyDay[Service-Budgets],DaybyDay[Date],"&gt;="&amp;$C$5,DaybyDay[RowYear],"&gt;="&amp;$C$4,DaybyDay[Date],"&lt;="&amp;DaybyDay[[#This Row],[Date]])</f>
        <v>1677510.7673264646</v>
      </c>
      <c r="P1417" s="33">
        <f>SUMIFS(DaybyDay[Retail-Budgets],DaybyDay[Date],"&gt;="&amp;$C$5,DaybyDay[RowYear],"&gt;="&amp;$C$4,DaybyDay[Date],"&lt;="&amp;DaybyDay[[#This Row],[Date]])</f>
        <v>439294.58299017703</v>
      </c>
      <c r="Q1417" s="34">
        <f>SUMIFS(DaybyDay[Service-Actuals],DaybyDay[Date],"&gt;="&amp;$C$5,DaybyDay[RowYear],"&gt;="&amp;$C$4,DaybyDay[Date],"&lt;="&amp;DaybyDay[[#This Row],[Date]])</f>
        <v>385554.23</v>
      </c>
      <c r="R1417" s="34">
        <f>SUMIFS(DaybyDay[Retail-Actuals],DaybyDay[Date],"&gt;="&amp;$C$5,DaybyDay[RowYear],"&gt;="&amp;$C$4,DaybyDay[Date],"&lt;="&amp;DaybyDay[[#This Row],[Date]])</f>
        <v>88360.030000000028</v>
      </c>
      <c r="S1417" s="35">
        <f>SUMIFS(DaybyDay[Service-LY],DaybyDay[Date],"&gt;="&amp;$C$5,DaybyDay[RowYear],"&gt;="&amp;$C$4,DaybyDay[Date],"&lt;="&amp;DaybyDay[[#This Row],[Date]])</f>
        <v>1511845.4209999978</v>
      </c>
      <c r="T1417" s="35">
        <f>SUMIFS(DaybyDay[Retail-LY],DaybyDay[Date],"&gt;="&amp;$C$5,DaybyDay[RowYear],"&gt;="&amp;$C$4,DaybyDay[Date],"&lt;="&amp;DaybyDay[[#This Row],[Date]])</f>
        <v>360126.2699999999</v>
      </c>
      <c r="U1417" s="32">
        <f>DaybyDay[[#This Row],[Serv-Bud-RU]]+DaybyDay[[#This Row],[Ret-Bud-RU]]</f>
        <v>2116805.3503166419</v>
      </c>
      <c r="V1417" s="32">
        <f>DaybyDay[[#This Row],[Serv-Act-RU]]+DaybyDay[[#This Row],[Ret-Act-RU]]</f>
        <v>473914.26</v>
      </c>
      <c r="W1417" s="36" t="str">
        <f>IF(DaybyDay[[#This Row],[_Space]],IFERROR(
((DaybyDay[[#This Row],[Actual-Rollup]]-DaybyDay[[#This Row],[Budget-Rollup]])/DaybyDay[[#This Row],[Budget-Rollup]]),0),"")</f>
        <v/>
      </c>
      <c r="X1417" t="b">
        <f>NOT(AND(ISBLANK(DaybyDay[[#This Row],[Appts]]),ISBLANK(DaybyDay[[#This Row],[Service-Actuals]]),ISBLANK(DaybyDay[[#This Row],[Retail-Actuals]])))</f>
        <v>0</v>
      </c>
      <c r="Y1417" s="36" t="str">
        <f>IF(DaybyDay[[#This Row],[_Space]],IFERROR(
((DaybyDay[[#This Row],[Actual-Rollup]]-DaybyDay[[#This Row],[LY-Rollup]])/DaybyDay[[#This Row],[LY-Rollup]]),0),"")</f>
        <v/>
      </c>
      <c r="Z1417"/>
      <c r="AA1417" s="37" t="str">
        <f>IF(DaybyDay[[#This Row],[_Space]],DaybyDay[[#This Row],[Ret-Act-RU]]/DaybyDay[[#This Row],[Serv-Act-RU]],"")</f>
        <v/>
      </c>
      <c r="AB1417" s="50" t="str">
        <f>IF(DaybyDay[[#This Row],[_Space]],DaybyDay[[#This Row],[RETPEN-Act]]/DaybyDay[[#This Row],[RETPEN-Bud]],"")</f>
        <v/>
      </c>
      <c r="AC1417" s="37" t="str">
        <f>IF(DaybyDay[[#This Row],[_Space]],DaybyDay[[#This Row],[Ret-Bud-RU]]/DaybyDay[[#This Row],[Serv-Bud-RU]],"")</f>
        <v/>
      </c>
      <c r="AD1417" s="37" t="str">
        <f>IF(DaybyDay[[#This Row],[_Space]],DaybyDay[[#This Row],[Ret-LY-RU]]/DaybyDay[[#This Row],[Serv-LY-RU]],"")</f>
        <v/>
      </c>
      <c r="AE1417" s="30">
        <f>WEEKDAY(DaybyDay[[#This Row],[LY-Date]])</f>
        <v>4</v>
      </c>
      <c r="AF1417" s="38">
        <f>$E$2+_xlfn.DAYS(DaybyDay[[#This Row],[Date]],minDate)</f>
        <v>43782</v>
      </c>
      <c r="AG1417" s="39" cm="1">
        <f t="array" ref="AG1417">IFERROR(INDEX(DaybyDay[],DaybyDay[[#This Row],[FORM_MATCH_HELPER]],8),"")</f>
        <v>13</v>
      </c>
      <c r="AH1417" s="39" cm="1">
        <f t="array" ref="AH1417">IFERROR(INDEX(DaybyDay[],DaybyDay[[#This Row],[FORM_MATCH_HELPER]],10),"")</f>
        <v>3218.2</v>
      </c>
      <c r="AI1417" s="39" cm="1">
        <f t="array" ref="AI1417">IFERROR(INDEX(DaybyDay[],DaybyDay[[#This Row],[FORM_MATCH_HELPER]],12),"")</f>
        <v>1511.5</v>
      </c>
      <c r="AJ1417" s="32">
        <f>IFERROR(DaybyDay[[#This Row],[Serv-LY-RU]]+DaybyDay[[#This Row],[Ret-LY-RU]],"")</f>
        <v>1871971.6909999978</v>
      </c>
      <c r="AK141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1863035.0754902051</v>
      </c>
      <c r="AL1417" s="77"/>
      <c r="AM1417" s="40" t="str">
        <f>IF(DaybyDay[[#This Row],[Admin Hours]]&gt;0,DaybyDay[[#This Row],[Admin Hours]]*$AM$2+$AM$3,"")</f>
        <v/>
      </c>
      <c r="AN1417" s="40">
        <f>SUMIFS(DaybyDay[Est-Admin-Payroll],DaybyDay[Date],"&gt;="&amp;$C$5,DaybyDay[RowYear],"&gt;="&amp;$C$4,DaybyDay[Date],"&lt;="&amp;DaybyDay[[#This Row],[Date]])</f>
        <v>13941.779999999997</v>
      </c>
      <c r="AO1417" s="41" t="str">
        <f>IF(AND(DaybyDay[[#This Row],[_Space]],ISNUMBER(DaybyDay[[#This Row],[Admin Hours]])),DaybyDay[[#This Row],[Est-Admin-Payroll]]/(DaybyDay[[#This Row],[Service-Actuals]]+DaybyDay[[#This Row],[Retail-Actuals]]),"")</f>
        <v/>
      </c>
      <c r="AP1417" s="41">
        <f>DaybyDay[[#This Row],[Estimated-Payroll-Rollup]]/DaybyDay[[#This Row],[Simple-Forecast]]</f>
        <v>7.4833695744196396E-3</v>
      </c>
      <c r="AQ141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368992.71631068387</v>
      </c>
      <c r="AR1417" s="77"/>
      <c r="AS1417" s="40" t="str">
        <f>IF(DaybyDay[[#This Row],[Retail Hours]]&gt;0,DaybyDay[[#This Row],[Retail Hours]]*$AS$2,"")</f>
        <v/>
      </c>
      <c r="AT1417" s="40">
        <f>SUMIFS(DaybyDay[Est-Retail-Payroll],DaybyDay[Date],"&gt;="&amp;$C$5,DaybyDay[RowYear],"&gt;="&amp;$C$4,DaybyDay[Date],"&lt;="&amp;DaybyDay[[#This Row],[Date]])</f>
        <v>2627.1</v>
      </c>
      <c r="AU1417" s="82" t="str">
        <f>IF(AND(DaybyDay[[#This Row],[_Space]],ISNUMBER(DaybyDay[[#This Row],[Retail Hours]])),DaybyDay[[#This Row],[Est-Retail-Payroll]]/(DaybyDay[[#This Row],[Retail-Actuals]]),"")</f>
        <v/>
      </c>
      <c r="AV1417" s="82">
        <f>DaybyDay[[#This Row],[Est-Retail-PayrollRU]]/DaybyDay[[#This Row],[Simple-Forecast-Retail]]</f>
        <v>7.119652729914697E-3</v>
      </c>
      <c r="AW1417" s="8"/>
      <c r="AX1417" s="15"/>
      <c r="AY1417" s="8"/>
    </row>
    <row r="1418" spans="3:51" hidden="1" x14ac:dyDescent="0.25">
      <c r="C1418" s="26" t="str">
        <f>Tools!$C$1</f>
        <v>Example</v>
      </c>
      <c r="D1418" s="27" t="s">
        <v>78</v>
      </c>
      <c r="E1418" s="28">
        <v>2020</v>
      </c>
      <c r="F1418" s="28">
        <f>MATCH(DaybyDay[[#This Row],[RowMonth]],Table3[SummaryMonth],0)</f>
        <v>11</v>
      </c>
      <c r="G1418" s="29">
        <f>MATCH(DaybyDay[[#This Row],[LY-Date]],DaybyDay[Date],0)</f>
        <v>1048</v>
      </c>
      <c r="H1418" s="30">
        <f>WEEKDAY(DaybyDay[[#This Row],[Date]])</f>
        <v>5</v>
      </c>
      <c r="I1418" s="31">
        <v>44147</v>
      </c>
      <c r="J1418" s="74"/>
      <c r="K1418" s="32">
        <f>SUMIFS(BudgetSeasonality[365 Seasonality],BudgetSeasonality[MonthAdjustment],DaybyDay[[#This Row],[Date]])*SUMIFS(Budgets[Service-Budget],Budgets[BudgetMonth],DaybyDay[[#This Row],[RowMonth]],Budgets[BudgetYear],DaybyDay[[#This Row],[RowYear]])</f>
        <v>5238.2294493184163</v>
      </c>
      <c r="L1418" s="75"/>
      <c r="M1418" s="32">
        <f>INDEX(BudgetSeasonality[365 Seasonality],MATCH(DaybyDay[[#This Row],[Date]],BudgetSeasonality[MonthAdjustment],0))*SUMIFS(Budgets[Retail-Budget],Budgets[BudgetMonth],DaybyDay[[#This Row],[RowMonth]],Budgets[BudgetYear],DaybyDay[[#This Row],[RowYear]])</f>
        <v>1918.4680041455049</v>
      </c>
      <c r="N1418" s="75"/>
      <c r="O1418" s="33">
        <f>SUMIFS(DaybyDay[Service-Budgets],DaybyDay[Date],"&gt;="&amp;$C$5,DaybyDay[RowYear],"&gt;="&amp;$C$4,DaybyDay[Date],"&lt;="&amp;DaybyDay[[#This Row],[Date]])</f>
        <v>1682748.9967757831</v>
      </c>
      <c r="P1418" s="33">
        <f>SUMIFS(DaybyDay[Retail-Budgets],DaybyDay[Date],"&gt;="&amp;$C$5,DaybyDay[RowYear],"&gt;="&amp;$C$4,DaybyDay[Date],"&lt;="&amp;DaybyDay[[#This Row],[Date]])</f>
        <v>441213.05099432252</v>
      </c>
      <c r="Q1418" s="34">
        <f>SUMIFS(DaybyDay[Service-Actuals],DaybyDay[Date],"&gt;="&amp;$C$5,DaybyDay[RowYear],"&gt;="&amp;$C$4,DaybyDay[Date],"&lt;="&amp;DaybyDay[[#This Row],[Date]])</f>
        <v>385554.23</v>
      </c>
      <c r="R1418" s="34">
        <f>SUMIFS(DaybyDay[Retail-Actuals],DaybyDay[Date],"&gt;="&amp;$C$5,DaybyDay[RowYear],"&gt;="&amp;$C$4,DaybyDay[Date],"&lt;="&amp;DaybyDay[[#This Row],[Date]])</f>
        <v>88360.030000000028</v>
      </c>
      <c r="S1418" s="35">
        <f>SUMIFS(DaybyDay[Service-LY],DaybyDay[Date],"&gt;="&amp;$C$5,DaybyDay[RowYear],"&gt;="&amp;$C$4,DaybyDay[Date],"&lt;="&amp;DaybyDay[[#This Row],[Date]])</f>
        <v>1515966.5909999977</v>
      </c>
      <c r="T1418" s="35">
        <f>SUMIFS(DaybyDay[Retail-LY],DaybyDay[Date],"&gt;="&amp;$C$5,DaybyDay[RowYear],"&gt;="&amp;$C$4,DaybyDay[Date],"&lt;="&amp;DaybyDay[[#This Row],[Date]])</f>
        <v>361068.2699999999</v>
      </c>
      <c r="U1418" s="32">
        <f>DaybyDay[[#This Row],[Serv-Bud-RU]]+DaybyDay[[#This Row],[Ret-Bud-RU]]</f>
        <v>2123962.0477701058</v>
      </c>
      <c r="V1418" s="32">
        <f>DaybyDay[[#This Row],[Serv-Act-RU]]+DaybyDay[[#This Row],[Ret-Act-RU]]</f>
        <v>473914.26</v>
      </c>
      <c r="W1418" s="36" t="str">
        <f>IF(DaybyDay[[#This Row],[_Space]],IFERROR(
((DaybyDay[[#This Row],[Actual-Rollup]]-DaybyDay[[#This Row],[Budget-Rollup]])/DaybyDay[[#This Row],[Budget-Rollup]]),0),"")</f>
        <v/>
      </c>
      <c r="X1418" t="b">
        <f>NOT(AND(ISBLANK(DaybyDay[[#This Row],[Appts]]),ISBLANK(DaybyDay[[#This Row],[Service-Actuals]]),ISBLANK(DaybyDay[[#This Row],[Retail-Actuals]])))</f>
        <v>0</v>
      </c>
      <c r="Y1418" s="36" t="str">
        <f>IF(DaybyDay[[#This Row],[_Space]],IFERROR(
((DaybyDay[[#This Row],[Actual-Rollup]]-DaybyDay[[#This Row],[LY-Rollup]])/DaybyDay[[#This Row],[LY-Rollup]]),0),"")</f>
        <v/>
      </c>
      <c r="Z1418"/>
      <c r="AA1418" s="37" t="str">
        <f>IF(DaybyDay[[#This Row],[_Space]],DaybyDay[[#This Row],[Ret-Act-RU]]/DaybyDay[[#This Row],[Serv-Act-RU]],"")</f>
        <v/>
      </c>
      <c r="AB1418" s="50" t="str">
        <f>IF(DaybyDay[[#This Row],[_Space]],DaybyDay[[#This Row],[RETPEN-Act]]/DaybyDay[[#This Row],[RETPEN-Bud]],"")</f>
        <v/>
      </c>
      <c r="AC1418" s="37" t="str">
        <f>IF(DaybyDay[[#This Row],[_Space]],DaybyDay[[#This Row],[Ret-Bud-RU]]/DaybyDay[[#This Row],[Serv-Bud-RU]],"")</f>
        <v/>
      </c>
      <c r="AD1418" s="37" t="str">
        <f>IF(DaybyDay[[#This Row],[_Space]],DaybyDay[[#This Row],[Ret-LY-RU]]/DaybyDay[[#This Row],[Serv-LY-RU]],"")</f>
        <v/>
      </c>
      <c r="AE1418" s="30">
        <f>WEEKDAY(DaybyDay[[#This Row],[LY-Date]])</f>
        <v>5</v>
      </c>
      <c r="AF1418" s="38">
        <f>$E$2+_xlfn.DAYS(DaybyDay[[#This Row],[Date]],minDate)</f>
        <v>43783</v>
      </c>
      <c r="AG1418" s="39" cm="1">
        <f t="array" ref="AG1418">IFERROR(INDEX(DaybyDay[],DaybyDay[[#This Row],[FORM_MATCH_HELPER]],8),"")</f>
        <v>17</v>
      </c>
      <c r="AH1418" s="39" cm="1">
        <f t="array" ref="AH1418">IFERROR(INDEX(DaybyDay[],DaybyDay[[#This Row],[FORM_MATCH_HELPER]],10),"")</f>
        <v>4121.17</v>
      </c>
      <c r="AI1418" s="39" cm="1">
        <f t="array" ref="AI1418">IFERROR(INDEX(DaybyDay[],DaybyDay[[#This Row],[FORM_MATCH_HELPER]],12),"")</f>
        <v>942</v>
      </c>
      <c r="AJ1418" s="32">
        <f>IFERROR(DaybyDay[[#This Row],[Serv-LY-RU]]+DaybyDay[[#This Row],[Ret-LY-RU]],"")</f>
        <v>1877034.8609999977</v>
      </c>
      <c r="AK141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1868575.5728551063</v>
      </c>
      <c r="AL1418" s="77"/>
      <c r="AM1418" s="40" t="str">
        <f>IF(DaybyDay[[#This Row],[Admin Hours]]&gt;0,DaybyDay[[#This Row],[Admin Hours]]*$AM$2+$AM$3,"")</f>
        <v/>
      </c>
      <c r="AN1418" s="40">
        <f>SUMIFS(DaybyDay[Est-Admin-Payroll],DaybyDay[Date],"&gt;="&amp;$C$5,DaybyDay[RowYear],"&gt;="&amp;$C$4,DaybyDay[Date],"&lt;="&amp;DaybyDay[[#This Row],[Date]])</f>
        <v>13941.779999999997</v>
      </c>
      <c r="AO1418" s="41" t="str">
        <f>IF(AND(DaybyDay[[#This Row],[_Space]],ISNUMBER(DaybyDay[[#This Row],[Admin Hours]])),DaybyDay[[#This Row],[Est-Admin-Payroll]]/(DaybyDay[[#This Row],[Service-Actuals]]+DaybyDay[[#This Row],[Retail-Actuals]]),"")</f>
        <v/>
      </c>
      <c r="AP1418" s="41">
        <f>DaybyDay[[#This Row],[Estimated-Payroll-Rollup]]/DaybyDay[[#This Row],[Simple-Forecast]]</f>
        <v>7.461180699637175E-3</v>
      </c>
      <c r="AQ141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370273.19262789661</v>
      </c>
      <c r="AR1418" s="77"/>
      <c r="AS1418" s="40" t="str">
        <f>IF(DaybyDay[[#This Row],[Retail Hours]]&gt;0,DaybyDay[[#This Row],[Retail Hours]]*$AS$2,"")</f>
        <v/>
      </c>
      <c r="AT1418" s="40">
        <f>SUMIFS(DaybyDay[Est-Retail-Payroll],DaybyDay[Date],"&gt;="&amp;$C$5,DaybyDay[RowYear],"&gt;="&amp;$C$4,DaybyDay[Date],"&lt;="&amp;DaybyDay[[#This Row],[Date]])</f>
        <v>2627.1</v>
      </c>
      <c r="AU1418" s="82" t="str">
        <f>IF(AND(DaybyDay[[#This Row],[_Space]],ISNUMBER(DaybyDay[[#This Row],[Retail Hours]])),DaybyDay[[#This Row],[Est-Retail-Payroll]]/(DaybyDay[[#This Row],[Retail-Actuals]]),"")</f>
        <v/>
      </c>
      <c r="AV1418" s="82">
        <f>DaybyDay[[#This Row],[Est-Retail-PayrollRU]]/DaybyDay[[#This Row],[Simple-Forecast-Retail]]</f>
        <v>7.0950315937132538E-3</v>
      </c>
      <c r="AW1418" s="8"/>
      <c r="AX1418" s="15"/>
      <c r="AY1418" s="8"/>
    </row>
    <row r="1419" spans="3:51" hidden="1" x14ac:dyDescent="0.25">
      <c r="C1419" s="26" t="str">
        <f>Tools!$C$1</f>
        <v>Example</v>
      </c>
      <c r="D1419" s="27" t="s">
        <v>78</v>
      </c>
      <c r="E1419" s="28">
        <v>2020</v>
      </c>
      <c r="F1419" s="28">
        <f>MATCH(DaybyDay[[#This Row],[RowMonth]],Table3[SummaryMonth],0)</f>
        <v>11</v>
      </c>
      <c r="G1419" s="29">
        <f>MATCH(DaybyDay[[#This Row],[LY-Date]],DaybyDay[Date],0)</f>
        <v>1049</v>
      </c>
      <c r="H1419" s="30">
        <f>WEEKDAY(DaybyDay[[#This Row],[Date]])</f>
        <v>6</v>
      </c>
      <c r="I1419" s="31">
        <v>44148</v>
      </c>
      <c r="J1419" s="74"/>
      <c r="K1419" s="32">
        <f>SUMIFS(BudgetSeasonality[365 Seasonality],BudgetSeasonality[MonthAdjustment],DaybyDay[[#This Row],[Date]])*SUMIFS(Budgets[Service-Budget],Budgets[BudgetMonth],DaybyDay[[#This Row],[RowMonth]],Budgets[BudgetYear],DaybyDay[[#This Row],[RowYear]])</f>
        <v>6324.0672808321096</v>
      </c>
      <c r="L1419" s="75"/>
      <c r="M1419" s="32">
        <f>INDEX(BudgetSeasonality[365 Seasonality],MATCH(DaybyDay[[#This Row],[Date]],BudgetSeasonality[MonthAdjustment],0))*SUMIFS(Budgets[Retail-Budget],Budgets[BudgetMonth],DaybyDay[[#This Row],[RowMonth]],Budgets[BudgetYear],DaybyDay[[#This Row],[RowYear]])</f>
        <v>2316.1491591244667</v>
      </c>
      <c r="N1419" s="75"/>
      <c r="O1419" s="33">
        <f>SUMIFS(DaybyDay[Service-Budgets],DaybyDay[Date],"&gt;="&amp;$C$5,DaybyDay[RowYear],"&gt;="&amp;$C$4,DaybyDay[Date],"&lt;="&amp;DaybyDay[[#This Row],[Date]])</f>
        <v>1689073.0640566153</v>
      </c>
      <c r="P1419" s="33">
        <f>SUMIFS(DaybyDay[Retail-Budgets],DaybyDay[Date],"&gt;="&amp;$C$5,DaybyDay[RowYear],"&gt;="&amp;$C$4,DaybyDay[Date],"&lt;="&amp;DaybyDay[[#This Row],[Date]])</f>
        <v>443529.20015344699</v>
      </c>
      <c r="Q1419" s="34">
        <f>SUMIFS(DaybyDay[Service-Actuals],DaybyDay[Date],"&gt;="&amp;$C$5,DaybyDay[RowYear],"&gt;="&amp;$C$4,DaybyDay[Date],"&lt;="&amp;DaybyDay[[#This Row],[Date]])</f>
        <v>385554.23</v>
      </c>
      <c r="R1419" s="34">
        <f>SUMIFS(DaybyDay[Retail-Actuals],DaybyDay[Date],"&gt;="&amp;$C$5,DaybyDay[RowYear],"&gt;="&amp;$C$4,DaybyDay[Date],"&lt;="&amp;DaybyDay[[#This Row],[Date]])</f>
        <v>88360.030000000028</v>
      </c>
      <c r="S1419" s="35">
        <f>SUMIFS(DaybyDay[Service-LY],DaybyDay[Date],"&gt;="&amp;$C$5,DaybyDay[RowYear],"&gt;="&amp;$C$4,DaybyDay[Date],"&lt;="&amp;DaybyDay[[#This Row],[Date]])</f>
        <v>1522969.1609999978</v>
      </c>
      <c r="T1419" s="35">
        <f>SUMIFS(DaybyDay[Retail-LY],DaybyDay[Date],"&gt;="&amp;$C$5,DaybyDay[RowYear],"&gt;="&amp;$C$4,DaybyDay[Date],"&lt;="&amp;DaybyDay[[#This Row],[Date]])</f>
        <v>363840.5199999999</v>
      </c>
      <c r="U1419" s="32">
        <f>DaybyDay[[#This Row],[Serv-Bud-RU]]+DaybyDay[[#This Row],[Ret-Bud-RU]]</f>
        <v>2132602.2642100621</v>
      </c>
      <c r="V1419" s="32">
        <f>DaybyDay[[#This Row],[Serv-Act-RU]]+DaybyDay[[#This Row],[Ret-Act-RU]]</f>
        <v>473914.26</v>
      </c>
      <c r="W1419" s="36" t="str">
        <f>IF(DaybyDay[[#This Row],[_Space]],IFERROR(
((DaybyDay[[#This Row],[Actual-Rollup]]-DaybyDay[[#This Row],[Budget-Rollup]])/DaybyDay[[#This Row],[Budget-Rollup]]),0),"")</f>
        <v/>
      </c>
      <c r="X1419" t="b">
        <f>NOT(AND(ISBLANK(DaybyDay[[#This Row],[Appts]]),ISBLANK(DaybyDay[[#This Row],[Service-Actuals]]),ISBLANK(DaybyDay[[#This Row],[Retail-Actuals]])))</f>
        <v>0</v>
      </c>
      <c r="Y1419" s="36" t="str">
        <f>IF(DaybyDay[[#This Row],[_Space]],IFERROR(
((DaybyDay[[#This Row],[Actual-Rollup]]-DaybyDay[[#This Row],[LY-Rollup]])/DaybyDay[[#This Row],[LY-Rollup]]),0),"")</f>
        <v/>
      </c>
      <c r="Z1419"/>
      <c r="AA1419" s="37" t="str">
        <f>IF(DaybyDay[[#This Row],[_Space]],DaybyDay[[#This Row],[Ret-Act-RU]]/DaybyDay[[#This Row],[Serv-Act-RU]],"")</f>
        <v/>
      </c>
      <c r="AB1419" s="50" t="str">
        <f>IF(DaybyDay[[#This Row],[_Space]],DaybyDay[[#This Row],[RETPEN-Act]]/DaybyDay[[#This Row],[RETPEN-Bud]],"")</f>
        <v/>
      </c>
      <c r="AC1419" s="37" t="str">
        <f>IF(DaybyDay[[#This Row],[_Space]],DaybyDay[[#This Row],[Ret-Bud-RU]]/DaybyDay[[#This Row],[Serv-Bud-RU]],"")</f>
        <v/>
      </c>
      <c r="AD1419" s="37" t="str">
        <f>IF(DaybyDay[[#This Row],[_Space]],DaybyDay[[#This Row],[Ret-LY-RU]]/DaybyDay[[#This Row],[Serv-LY-RU]],"")</f>
        <v/>
      </c>
      <c r="AE1419" s="30">
        <f>WEEKDAY(DaybyDay[[#This Row],[LY-Date]])</f>
        <v>6</v>
      </c>
      <c r="AF1419" s="38">
        <f>$E$2+_xlfn.DAYS(DaybyDay[[#This Row],[Date]],minDate)</f>
        <v>43784</v>
      </c>
      <c r="AG1419" s="39" cm="1">
        <f t="array" ref="AG1419">IFERROR(INDEX(DaybyDay[],DaybyDay[[#This Row],[FORM_MATCH_HELPER]],8),"")</f>
        <v>38</v>
      </c>
      <c r="AH1419" s="39" cm="1">
        <f t="array" ref="AH1419">IFERROR(INDEX(DaybyDay[],DaybyDay[[#This Row],[FORM_MATCH_HELPER]],10),"")</f>
        <v>7002.57</v>
      </c>
      <c r="AI1419" s="39" cm="1">
        <f t="array" ref="AI1419">IFERROR(INDEX(DaybyDay[],DaybyDay[[#This Row],[FORM_MATCH_HELPER]],12),"")</f>
        <v>2772.25</v>
      </c>
      <c r="AJ1419" s="32">
        <f>IFERROR(DaybyDay[[#This Row],[Serv-LY-RU]]+DaybyDay[[#This Row],[Ret-LY-RU]],"")</f>
        <v>1886809.6809999975</v>
      </c>
      <c r="AK141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1877070.1392515255</v>
      </c>
      <c r="AL1419" s="77"/>
      <c r="AM1419" s="40" t="str">
        <f>IF(DaybyDay[[#This Row],[Admin Hours]]&gt;0,DaybyDay[[#This Row],[Admin Hours]]*$AM$2+$AM$3,"")</f>
        <v/>
      </c>
      <c r="AN1419" s="40">
        <f>SUMIFS(DaybyDay[Est-Admin-Payroll],DaybyDay[Date],"&gt;="&amp;$C$5,DaybyDay[RowYear],"&gt;="&amp;$C$4,DaybyDay[Date],"&lt;="&amp;DaybyDay[[#This Row],[Date]])</f>
        <v>13941.779999999997</v>
      </c>
      <c r="AO1419" s="41" t="str">
        <f>IF(AND(DaybyDay[[#This Row],[_Space]],ISNUMBER(DaybyDay[[#This Row],[Admin Hours]])),DaybyDay[[#This Row],[Est-Admin-Payroll]]/(DaybyDay[[#This Row],[Service-Actuals]]+DaybyDay[[#This Row],[Retail-Actuals]]),"")</f>
        <v/>
      </c>
      <c r="AP1419" s="41">
        <f>DaybyDay[[#This Row],[Estimated-Payroll-Rollup]]/DaybyDay[[#This Row],[Simple-Forecast]]</f>
        <v>7.4274155815824911E-3</v>
      </c>
      <c r="AQ141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372625.2168924929</v>
      </c>
      <c r="AR1419" s="77"/>
      <c r="AS1419" s="40" t="str">
        <f>IF(DaybyDay[[#This Row],[Retail Hours]]&gt;0,DaybyDay[[#This Row],[Retail Hours]]*$AS$2,"")</f>
        <v/>
      </c>
      <c r="AT1419" s="40">
        <f>SUMIFS(DaybyDay[Est-Retail-Payroll],DaybyDay[Date],"&gt;="&amp;$C$5,DaybyDay[RowYear],"&gt;="&amp;$C$4,DaybyDay[Date],"&lt;="&amp;DaybyDay[[#This Row],[Date]])</f>
        <v>2627.1</v>
      </c>
      <c r="AU1419" s="82" t="str">
        <f>IF(AND(DaybyDay[[#This Row],[_Space]],ISNUMBER(DaybyDay[[#This Row],[Retail Hours]])),DaybyDay[[#This Row],[Est-Retail-Payroll]]/(DaybyDay[[#This Row],[Retail-Actuals]]),"")</f>
        <v/>
      </c>
      <c r="AV1419" s="82">
        <f>DaybyDay[[#This Row],[Est-Retail-PayrollRU]]/DaybyDay[[#This Row],[Simple-Forecast-Retail]]</f>
        <v>7.0502474897128379E-3</v>
      </c>
      <c r="AW1419" s="8"/>
      <c r="AX1419" s="15"/>
      <c r="AY1419" s="8"/>
    </row>
    <row r="1420" spans="3:51" hidden="1" x14ac:dyDescent="0.25">
      <c r="C1420" s="26" t="str">
        <f>Tools!$C$1</f>
        <v>Example</v>
      </c>
      <c r="D1420" s="27" t="s">
        <v>78</v>
      </c>
      <c r="E1420" s="28">
        <v>2020</v>
      </c>
      <c r="F1420" s="28">
        <f>MATCH(DaybyDay[[#This Row],[RowMonth]],Table3[SummaryMonth],0)</f>
        <v>11</v>
      </c>
      <c r="G1420" s="29">
        <f>MATCH(DaybyDay[[#This Row],[LY-Date]],DaybyDay[Date],0)</f>
        <v>1050</v>
      </c>
      <c r="H1420" s="30">
        <f>WEEKDAY(DaybyDay[[#This Row],[Date]])</f>
        <v>7</v>
      </c>
      <c r="I1420" s="31">
        <v>44149</v>
      </c>
      <c r="J1420" s="74"/>
      <c r="K1420" s="32">
        <f>SUMIFS(BudgetSeasonality[365 Seasonality],BudgetSeasonality[MonthAdjustment],DaybyDay[[#This Row],[Date]])*SUMIFS(Budgets[Service-Budget],Budgets[BudgetMonth],DaybyDay[[#This Row],[RowMonth]],Budgets[BudgetYear],DaybyDay[[#This Row],[RowYear]])</f>
        <v>8649.6166770282071</v>
      </c>
      <c r="L1420" s="75"/>
      <c r="M1420" s="32">
        <f>INDEX(BudgetSeasonality[365 Seasonality],MATCH(DaybyDay[[#This Row],[Date]],BudgetSeasonality[MonthAdjustment],0))*SUMIFS(Budgets[Retail-Budget],Budgets[BudgetMonth],DaybyDay[[#This Row],[RowMonth]],Budgets[BudgetYear],DaybyDay[[#This Row],[RowYear]])</f>
        <v>3167.8667388579447</v>
      </c>
      <c r="N1420" s="75"/>
      <c r="O1420" s="33">
        <f>SUMIFS(DaybyDay[Service-Budgets],DaybyDay[Date],"&gt;="&amp;$C$5,DaybyDay[RowYear],"&gt;="&amp;$C$4,DaybyDay[Date],"&lt;="&amp;DaybyDay[[#This Row],[Date]])</f>
        <v>1697722.6807336435</v>
      </c>
      <c r="P1420" s="33">
        <f>SUMIFS(DaybyDay[Retail-Budgets],DaybyDay[Date],"&gt;="&amp;$C$5,DaybyDay[RowYear],"&gt;="&amp;$C$4,DaybyDay[Date],"&lt;="&amp;DaybyDay[[#This Row],[Date]])</f>
        <v>446697.06689230492</v>
      </c>
      <c r="Q1420" s="34">
        <f>SUMIFS(DaybyDay[Service-Actuals],DaybyDay[Date],"&gt;="&amp;$C$5,DaybyDay[RowYear],"&gt;="&amp;$C$4,DaybyDay[Date],"&lt;="&amp;DaybyDay[[#This Row],[Date]])</f>
        <v>385554.23</v>
      </c>
      <c r="R1420" s="34">
        <f>SUMIFS(DaybyDay[Retail-Actuals],DaybyDay[Date],"&gt;="&amp;$C$5,DaybyDay[RowYear],"&gt;="&amp;$C$4,DaybyDay[Date],"&lt;="&amp;DaybyDay[[#This Row],[Date]])</f>
        <v>88360.030000000028</v>
      </c>
      <c r="S1420" s="35">
        <f>SUMIFS(DaybyDay[Service-LY],DaybyDay[Date],"&gt;="&amp;$C$5,DaybyDay[RowYear],"&gt;="&amp;$C$4,DaybyDay[Date],"&lt;="&amp;DaybyDay[[#This Row],[Date]])</f>
        <v>1532922.5609999977</v>
      </c>
      <c r="T1420" s="35">
        <f>SUMIFS(DaybyDay[Retail-LY],DaybyDay[Date],"&gt;="&amp;$C$5,DaybyDay[RowYear],"&gt;="&amp;$C$4,DaybyDay[Date],"&lt;="&amp;DaybyDay[[#This Row],[Date]])</f>
        <v>365263.5199999999</v>
      </c>
      <c r="U1420" s="32">
        <f>DaybyDay[[#This Row],[Serv-Bud-RU]]+DaybyDay[[#This Row],[Ret-Bud-RU]]</f>
        <v>2144419.7476259484</v>
      </c>
      <c r="V1420" s="32">
        <f>DaybyDay[[#This Row],[Serv-Act-RU]]+DaybyDay[[#This Row],[Ret-Act-RU]]</f>
        <v>473914.26</v>
      </c>
      <c r="W1420" s="36" t="str">
        <f>IF(DaybyDay[[#This Row],[_Space]],IFERROR(
((DaybyDay[[#This Row],[Actual-Rollup]]-DaybyDay[[#This Row],[Budget-Rollup]])/DaybyDay[[#This Row],[Budget-Rollup]]),0),"")</f>
        <v/>
      </c>
      <c r="X1420" t="b">
        <f>NOT(AND(ISBLANK(DaybyDay[[#This Row],[Appts]]),ISBLANK(DaybyDay[[#This Row],[Service-Actuals]]),ISBLANK(DaybyDay[[#This Row],[Retail-Actuals]])))</f>
        <v>0</v>
      </c>
      <c r="Y1420" s="36" t="str">
        <f>IF(DaybyDay[[#This Row],[_Space]],IFERROR(
((DaybyDay[[#This Row],[Actual-Rollup]]-DaybyDay[[#This Row],[LY-Rollup]])/DaybyDay[[#This Row],[LY-Rollup]]),0),"")</f>
        <v/>
      </c>
      <c r="Z1420"/>
      <c r="AA1420" s="37" t="str">
        <f>IF(DaybyDay[[#This Row],[_Space]],DaybyDay[[#This Row],[Ret-Act-RU]]/DaybyDay[[#This Row],[Serv-Act-RU]],"")</f>
        <v/>
      </c>
      <c r="AB1420" s="50" t="str">
        <f>IF(DaybyDay[[#This Row],[_Space]],DaybyDay[[#This Row],[RETPEN-Act]]/DaybyDay[[#This Row],[RETPEN-Bud]],"")</f>
        <v/>
      </c>
      <c r="AC1420" s="37" t="str">
        <f>IF(DaybyDay[[#This Row],[_Space]],DaybyDay[[#This Row],[Ret-Bud-RU]]/DaybyDay[[#This Row],[Serv-Bud-RU]],"")</f>
        <v/>
      </c>
      <c r="AD1420" s="37" t="str">
        <f>IF(DaybyDay[[#This Row],[_Space]],DaybyDay[[#This Row],[Ret-LY-RU]]/DaybyDay[[#This Row],[Serv-LY-RU]],"")</f>
        <v/>
      </c>
      <c r="AE1420" s="30">
        <f>WEEKDAY(DaybyDay[[#This Row],[LY-Date]])</f>
        <v>7</v>
      </c>
      <c r="AF1420" s="38">
        <f>$E$2+_xlfn.DAYS(DaybyDay[[#This Row],[Date]],minDate)</f>
        <v>43785</v>
      </c>
      <c r="AG1420" s="39" cm="1">
        <f t="array" ref="AG1420">IFERROR(INDEX(DaybyDay[],DaybyDay[[#This Row],[FORM_MATCH_HELPER]],8),"")</f>
        <v>36</v>
      </c>
      <c r="AH1420" s="39" cm="1">
        <f t="array" ref="AH1420">IFERROR(INDEX(DaybyDay[],DaybyDay[[#This Row],[FORM_MATCH_HELPER]],10),"")</f>
        <v>9953.4</v>
      </c>
      <c r="AI1420" s="39" cm="1">
        <f t="array" ref="AI1420">IFERROR(INDEX(DaybyDay[],DaybyDay[[#This Row],[FORM_MATCH_HELPER]],12),"")</f>
        <v>1423</v>
      </c>
      <c r="AJ1420" s="32">
        <f>IFERROR(DaybyDay[[#This Row],[Serv-LY-RU]]+DaybyDay[[#This Row],[Ret-LY-RU]],"")</f>
        <v>1898186.0809999974</v>
      </c>
      <c r="AK142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1887705.8196166088</v>
      </c>
      <c r="AL1420" s="77"/>
      <c r="AM1420" s="40" t="str">
        <f>IF(DaybyDay[[#This Row],[Admin Hours]]&gt;0,DaybyDay[[#This Row],[Admin Hours]]*$AM$2+$AM$3,"")</f>
        <v/>
      </c>
      <c r="AN1420" s="40">
        <f>SUMIFS(DaybyDay[Est-Admin-Payroll],DaybyDay[Date],"&gt;="&amp;$C$5,DaybyDay[RowYear],"&gt;="&amp;$C$4,DaybyDay[Date],"&lt;="&amp;DaybyDay[[#This Row],[Date]])</f>
        <v>13941.779999999997</v>
      </c>
      <c r="AO1420" s="41" t="str">
        <f>IF(AND(DaybyDay[[#This Row],[_Space]],ISNUMBER(DaybyDay[[#This Row],[Admin Hours]])),DaybyDay[[#This Row],[Est-Admin-Payroll]]/(DaybyDay[[#This Row],[Service-Actuals]]+DaybyDay[[#This Row],[Retail-Actuals]]),"")</f>
        <v/>
      </c>
      <c r="AP1420" s="41">
        <f>DaybyDay[[#This Row],[Estimated-Payroll-Rollup]]/DaybyDay[[#This Row],[Simple-Forecast]]</f>
        <v>7.3855681616914011E-3</v>
      </c>
      <c r="AQ142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374674.28476685937</v>
      </c>
      <c r="AR1420" s="77"/>
      <c r="AS1420" s="40" t="str">
        <f>IF(DaybyDay[[#This Row],[Retail Hours]]&gt;0,DaybyDay[[#This Row],[Retail Hours]]*$AS$2,"")</f>
        <v/>
      </c>
      <c r="AT1420" s="40">
        <f>SUMIFS(DaybyDay[Est-Retail-Payroll],DaybyDay[Date],"&gt;="&amp;$C$5,DaybyDay[RowYear],"&gt;="&amp;$C$4,DaybyDay[Date],"&lt;="&amp;DaybyDay[[#This Row],[Date]])</f>
        <v>2627.1</v>
      </c>
      <c r="AU1420" s="82" t="str">
        <f>IF(AND(DaybyDay[[#This Row],[_Space]],ISNUMBER(DaybyDay[[#This Row],[Retail Hours]])),DaybyDay[[#This Row],[Est-Retail-Payroll]]/(DaybyDay[[#This Row],[Retail-Actuals]]),"")</f>
        <v/>
      </c>
      <c r="AV1420" s="82">
        <f>DaybyDay[[#This Row],[Est-Retail-PayrollRU]]/DaybyDay[[#This Row],[Simple-Forecast-Retail]]</f>
        <v>7.0116901714637548E-3</v>
      </c>
      <c r="AW1420" s="8"/>
      <c r="AX1420" s="15"/>
      <c r="AY1420" s="8"/>
    </row>
    <row r="1421" spans="3:51" hidden="1" x14ac:dyDescent="0.25">
      <c r="C1421" s="26" t="str">
        <f>Tools!$C$1</f>
        <v>Example</v>
      </c>
      <c r="D1421" s="27" t="s">
        <v>78</v>
      </c>
      <c r="E1421" s="28">
        <v>2020</v>
      </c>
      <c r="F1421" s="28">
        <f>MATCH(DaybyDay[[#This Row],[RowMonth]],Table3[SummaryMonth],0)</f>
        <v>11</v>
      </c>
      <c r="G1421" s="29">
        <f>MATCH(DaybyDay[[#This Row],[LY-Date]],DaybyDay[Date],0)</f>
        <v>1051</v>
      </c>
      <c r="H1421" s="30">
        <f>WEEKDAY(DaybyDay[[#This Row],[Date]])</f>
        <v>1</v>
      </c>
      <c r="I1421" s="31">
        <v>44150</v>
      </c>
      <c r="J1421" s="74"/>
      <c r="K1421" s="32">
        <f>SUMIFS(BudgetSeasonality[365 Seasonality],BudgetSeasonality[MonthAdjustment],DaybyDay[[#This Row],[Date]])*SUMIFS(Budgets[Service-Budget],Budgets[BudgetMonth],DaybyDay[[#This Row],[RowMonth]],Budgets[BudgetYear],DaybyDay[[#This Row],[RowYear]])</f>
        <v>6872.8341710096802</v>
      </c>
      <c r="L1421" s="75"/>
      <c r="M1421" s="32">
        <f>INDEX(BudgetSeasonality[365 Seasonality],MATCH(DaybyDay[[#This Row],[Date]],BudgetSeasonality[MonthAdjustment],0))*SUMIFS(Budgets[Retail-Budget],Budgets[BudgetMonth],DaybyDay[[#This Row],[RowMonth]],Budgets[BudgetYear],DaybyDay[[#This Row],[RowYear]])</f>
        <v>2517.1315198106877</v>
      </c>
      <c r="N1421" s="75"/>
      <c r="O1421" s="33">
        <f>SUMIFS(DaybyDay[Service-Budgets],DaybyDay[Date],"&gt;="&amp;$C$5,DaybyDay[RowYear],"&gt;="&amp;$C$4,DaybyDay[Date],"&lt;="&amp;DaybyDay[[#This Row],[Date]])</f>
        <v>1704595.5149046532</v>
      </c>
      <c r="P1421" s="33">
        <f>SUMIFS(DaybyDay[Retail-Budgets],DaybyDay[Date],"&gt;="&amp;$C$5,DaybyDay[RowYear],"&gt;="&amp;$C$4,DaybyDay[Date],"&lt;="&amp;DaybyDay[[#This Row],[Date]])</f>
        <v>449214.19841211563</v>
      </c>
      <c r="Q1421" s="34">
        <f>SUMIFS(DaybyDay[Service-Actuals],DaybyDay[Date],"&gt;="&amp;$C$5,DaybyDay[RowYear],"&gt;="&amp;$C$4,DaybyDay[Date],"&lt;="&amp;DaybyDay[[#This Row],[Date]])</f>
        <v>385554.23</v>
      </c>
      <c r="R1421" s="34">
        <f>SUMIFS(DaybyDay[Retail-Actuals],DaybyDay[Date],"&gt;="&amp;$C$5,DaybyDay[RowYear],"&gt;="&amp;$C$4,DaybyDay[Date],"&lt;="&amp;DaybyDay[[#This Row],[Date]])</f>
        <v>88360.030000000028</v>
      </c>
      <c r="S1421" s="35">
        <f>SUMIFS(DaybyDay[Service-LY],DaybyDay[Date],"&gt;="&amp;$C$5,DaybyDay[RowYear],"&gt;="&amp;$C$4,DaybyDay[Date],"&lt;="&amp;DaybyDay[[#This Row],[Date]])</f>
        <v>1539813.3609999977</v>
      </c>
      <c r="T1421" s="35">
        <f>SUMIFS(DaybyDay[Retail-LY],DaybyDay[Date],"&gt;="&amp;$C$5,DaybyDay[RowYear],"&gt;="&amp;$C$4,DaybyDay[Date],"&lt;="&amp;DaybyDay[[#This Row],[Date]])</f>
        <v>370765.0199999999</v>
      </c>
      <c r="U1421" s="32">
        <f>DaybyDay[[#This Row],[Serv-Bud-RU]]+DaybyDay[[#This Row],[Ret-Bud-RU]]</f>
        <v>2153809.7133167689</v>
      </c>
      <c r="V1421" s="32">
        <f>DaybyDay[[#This Row],[Serv-Act-RU]]+DaybyDay[[#This Row],[Ret-Act-RU]]</f>
        <v>473914.26</v>
      </c>
      <c r="W1421" s="36" t="str">
        <f>IF(DaybyDay[[#This Row],[_Space]],IFERROR(
((DaybyDay[[#This Row],[Actual-Rollup]]-DaybyDay[[#This Row],[Budget-Rollup]])/DaybyDay[[#This Row],[Budget-Rollup]]),0),"")</f>
        <v/>
      </c>
      <c r="X1421" t="b">
        <f>NOT(AND(ISBLANK(DaybyDay[[#This Row],[Appts]]),ISBLANK(DaybyDay[[#This Row],[Service-Actuals]]),ISBLANK(DaybyDay[[#This Row],[Retail-Actuals]])))</f>
        <v>0</v>
      </c>
      <c r="Y1421" s="36" t="str">
        <f>IF(DaybyDay[[#This Row],[_Space]],IFERROR(
((DaybyDay[[#This Row],[Actual-Rollup]]-DaybyDay[[#This Row],[LY-Rollup]])/DaybyDay[[#This Row],[LY-Rollup]]),0),"")</f>
        <v/>
      </c>
      <c r="Z1421"/>
      <c r="AA1421" s="37" t="str">
        <f>IF(DaybyDay[[#This Row],[_Space]],DaybyDay[[#This Row],[Ret-Act-RU]]/DaybyDay[[#This Row],[Serv-Act-RU]],"")</f>
        <v/>
      </c>
      <c r="AB1421" s="50" t="str">
        <f>IF(DaybyDay[[#This Row],[_Space]],DaybyDay[[#This Row],[RETPEN-Act]]/DaybyDay[[#This Row],[RETPEN-Bud]],"")</f>
        <v/>
      </c>
      <c r="AC1421" s="37" t="str">
        <f>IF(DaybyDay[[#This Row],[_Space]],DaybyDay[[#This Row],[Ret-Bud-RU]]/DaybyDay[[#This Row],[Serv-Bud-RU]],"")</f>
        <v/>
      </c>
      <c r="AD1421" s="37" t="str">
        <f>IF(DaybyDay[[#This Row],[_Space]],DaybyDay[[#This Row],[Ret-LY-RU]]/DaybyDay[[#This Row],[Serv-LY-RU]],"")</f>
        <v/>
      </c>
      <c r="AE1421" s="30">
        <f>WEEKDAY(DaybyDay[[#This Row],[LY-Date]])</f>
        <v>1</v>
      </c>
      <c r="AF1421" s="38">
        <f>$E$2+_xlfn.DAYS(DaybyDay[[#This Row],[Date]],minDate)</f>
        <v>43786</v>
      </c>
      <c r="AG1421" s="39" cm="1">
        <f t="array" ref="AG1421">IFERROR(INDEX(DaybyDay[],DaybyDay[[#This Row],[FORM_MATCH_HELPER]],8),"")</f>
        <v>31</v>
      </c>
      <c r="AH1421" s="39" cm="1">
        <f t="array" ref="AH1421">IFERROR(INDEX(DaybyDay[],DaybyDay[[#This Row],[FORM_MATCH_HELPER]],10),"")</f>
        <v>6890.7999999999993</v>
      </c>
      <c r="AI1421" s="39" cm="1">
        <f t="array" ref="AI1421">IFERROR(INDEX(DaybyDay[],DaybyDay[[#This Row],[FORM_MATCH_HELPER]],12),"")</f>
        <v>5501.5</v>
      </c>
      <c r="AJ1421" s="32">
        <f>IFERROR(DaybyDay[[#This Row],[Serv-LY-RU]]+DaybyDay[[#This Row],[Ret-LY-RU]],"")</f>
        <v>1910578.3809999977</v>
      </c>
      <c r="AK142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1897809.8262343411</v>
      </c>
      <c r="AL1421" s="77"/>
      <c r="AM1421" s="40" t="str">
        <f>IF(DaybyDay[[#This Row],[Admin Hours]]&gt;0,DaybyDay[[#This Row],[Admin Hours]]*$AM$2+$AM$3,"")</f>
        <v/>
      </c>
      <c r="AN1421" s="40">
        <f>SUMIFS(DaybyDay[Est-Admin-Payroll],DaybyDay[Date],"&gt;="&amp;$C$5,DaybyDay[RowYear],"&gt;="&amp;$C$4,DaybyDay[Date],"&lt;="&amp;DaybyDay[[#This Row],[Date]])</f>
        <v>13941.779999999997</v>
      </c>
      <c r="AO1421" s="41" t="str">
        <f>IF(AND(DaybyDay[[#This Row],[_Space]],ISNUMBER(DaybyDay[[#This Row],[Admin Hours]])),DaybyDay[[#This Row],[Est-Admin-Payroll]]/(DaybyDay[[#This Row],[Service-Actuals]]+DaybyDay[[#This Row],[Retail-Actuals]]),"")</f>
        <v/>
      </c>
      <c r="AP1421" s="41">
        <f>DaybyDay[[#This Row],[Estimated-Payroll-Rollup]]/DaybyDay[[#This Row],[Simple-Forecast]]</f>
        <v>7.3462471356592444E-3</v>
      </c>
      <c r="AQ142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378457.43605405948</v>
      </c>
      <c r="AR1421" s="77"/>
      <c r="AS1421" s="40" t="str">
        <f>IF(DaybyDay[[#This Row],[Retail Hours]]&gt;0,DaybyDay[[#This Row],[Retail Hours]]*$AS$2,"")</f>
        <v/>
      </c>
      <c r="AT1421" s="40">
        <f>SUMIFS(DaybyDay[Est-Retail-Payroll],DaybyDay[Date],"&gt;="&amp;$C$5,DaybyDay[RowYear],"&gt;="&amp;$C$4,DaybyDay[Date],"&lt;="&amp;DaybyDay[[#This Row],[Date]])</f>
        <v>2627.1</v>
      </c>
      <c r="AU1421" s="82" t="str">
        <f>IF(AND(DaybyDay[[#This Row],[_Space]],ISNUMBER(DaybyDay[[#This Row],[Retail Hours]])),DaybyDay[[#This Row],[Est-Retail-Payroll]]/(DaybyDay[[#This Row],[Retail-Actuals]]),"")</f>
        <v/>
      </c>
      <c r="AV1421" s="82">
        <f>DaybyDay[[#This Row],[Est-Retail-PayrollRU]]/DaybyDay[[#This Row],[Simple-Forecast-Retail]]</f>
        <v>6.9415996350636923E-3</v>
      </c>
      <c r="AW1421" s="8"/>
      <c r="AX1421" s="15"/>
      <c r="AY1421" s="8"/>
    </row>
    <row r="1422" spans="3:51" hidden="1" x14ac:dyDescent="0.25">
      <c r="C1422" s="26" t="str">
        <f>Tools!$C$1</f>
        <v>Example</v>
      </c>
      <c r="D1422" s="27" t="s">
        <v>78</v>
      </c>
      <c r="E1422" s="28">
        <v>2020</v>
      </c>
      <c r="F1422" s="28">
        <f>MATCH(DaybyDay[[#This Row],[RowMonth]],Table3[SummaryMonth],0)</f>
        <v>11</v>
      </c>
      <c r="G1422" s="29">
        <f>MATCH(DaybyDay[[#This Row],[LY-Date]],DaybyDay[Date],0)</f>
        <v>1052</v>
      </c>
      <c r="H1422" s="30">
        <f>WEEKDAY(DaybyDay[[#This Row],[Date]])</f>
        <v>2</v>
      </c>
      <c r="I1422" s="31">
        <v>44151</v>
      </c>
      <c r="J1422" s="74"/>
      <c r="K1422" s="32">
        <f>SUMIFS(BudgetSeasonality[365 Seasonality],BudgetSeasonality[MonthAdjustment],DaybyDay[[#This Row],[Date]])*SUMIFS(Budgets[Service-Budget],Budgets[BudgetMonth],DaybyDay[[#This Row],[RowMonth]],Budgets[BudgetYear],DaybyDay[[#This Row],[RowYear]])</f>
        <v>4294.2408066082453</v>
      </c>
      <c r="L1422" s="75"/>
      <c r="M1422" s="32">
        <f>INDEX(BudgetSeasonality[365 Seasonality],MATCH(DaybyDay[[#This Row],[Date]],BudgetSeasonality[MonthAdjustment],0))*SUMIFS(Budgets[Retail-Budget],Budgets[BudgetMonth],DaybyDay[[#This Row],[RowMonth]],Budgets[BudgetYear],DaybyDay[[#This Row],[RowYear]])</f>
        <v>1572.7382065414974</v>
      </c>
      <c r="N1422" s="75"/>
      <c r="O1422" s="33">
        <f>SUMIFS(DaybyDay[Service-Budgets],DaybyDay[Date],"&gt;="&amp;$C$5,DaybyDay[RowYear],"&gt;="&amp;$C$4,DaybyDay[Date],"&lt;="&amp;DaybyDay[[#This Row],[Date]])</f>
        <v>1708889.7557112614</v>
      </c>
      <c r="P1422" s="33">
        <f>SUMIFS(DaybyDay[Retail-Budgets],DaybyDay[Date],"&gt;="&amp;$C$5,DaybyDay[RowYear],"&gt;="&amp;$C$4,DaybyDay[Date],"&lt;="&amp;DaybyDay[[#This Row],[Date]])</f>
        <v>450786.93661865714</v>
      </c>
      <c r="Q1422" s="34">
        <f>SUMIFS(DaybyDay[Service-Actuals],DaybyDay[Date],"&gt;="&amp;$C$5,DaybyDay[RowYear],"&gt;="&amp;$C$4,DaybyDay[Date],"&lt;="&amp;DaybyDay[[#This Row],[Date]])</f>
        <v>385554.23</v>
      </c>
      <c r="R1422" s="34">
        <f>SUMIFS(DaybyDay[Retail-Actuals],DaybyDay[Date],"&gt;="&amp;$C$5,DaybyDay[RowYear],"&gt;="&amp;$C$4,DaybyDay[Date],"&lt;="&amp;DaybyDay[[#This Row],[Date]])</f>
        <v>88360.030000000028</v>
      </c>
      <c r="S1422" s="35">
        <f>SUMIFS(DaybyDay[Service-LY],DaybyDay[Date],"&gt;="&amp;$C$5,DaybyDay[RowYear],"&gt;="&amp;$C$4,DaybyDay[Date],"&lt;="&amp;DaybyDay[[#This Row],[Date]])</f>
        <v>1543452.3609999977</v>
      </c>
      <c r="T1422" s="35">
        <f>SUMIFS(DaybyDay[Retail-LY],DaybyDay[Date],"&gt;="&amp;$C$5,DaybyDay[RowYear],"&gt;="&amp;$C$4,DaybyDay[Date],"&lt;="&amp;DaybyDay[[#This Row],[Date]])</f>
        <v>371451.36999999988</v>
      </c>
      <c r="U1422" s="32">
        <f>DaybyDay[[#This Row],[Serv-Bud-RU]]+DaybyDay[[#This Row],[Ret-Bud-RU]]</f>
        <v>2159676.6923299185</v>
      </c>
      <c r="V1422" s="32">
        <f>DaybyDay[[#This Row],[Serv-Act-RU]]+DaybyDay[[#This Row],[Ret-Act-RU]]</f>
        <v>473914.26</v>
      </c>
      <c r="W1422" s="36" t="str">
        <f>IF(DaybyDay[[#This Row],[_Space]],IFERROR(
((DaybyDay[[#This Row],[Actual-Rollup]]-DaybyDay[[#This Row],[Budget-Rollup]])/DaybyDay[[#This Row],[Budget-Rollup]]),0),"")</f>
        <v/>
      </c>
      <c r="X1422" t="b">
        <f>NOT(AND(ISBLANK(DaybyDay[[#This Row],[Appts]]),ISBLANK(DaybyDay[[#This Row],[Service-Actuals]]),ISBLANK(DaybyDay[[#This Row],[Retail-Actuals]])))</f>
        <v>0</v>
      </c>
      <c r="Y1422" s="36" t="str">
        <f>IF(DaybyDay[[#This Row],[_Space]],IFERROR(
((DaybyDay[[#This Row],[Actual-Rollup]]-DaybyDay[[#This Row],[LY-Rollup]])/DaybyDay[[#This Row],[LY-Rollup]]),0),"")</f>
        <v/>
      </c>
      <c r="Z1422"/>
      <c r="AA1422" s="37" t="str">
        <f>IF(DaybyDay[[#This Row],[_Space]],DaybyDay[[#This Row],[Ret-Act-RU]]/DaybyDay[[#This Row],[Serv-Act-RU]],"")</f>
        <v/>
      </c>
      <c r="AB1422" s="50" t="str">
        <f>IF(DaybyDay[[#This Row],[_Space]],DaybyDay[[#This Row],[RETPEN-Act]]/DaybyDay[[#This Row],[RETPEN-Bud]],"")</f>
        <v/>
      </c>
      <c r="AC1422" s="37" t="str">
        <f>IF(DaybyDay[[#This Row],[_Space]],DaybyDay[[#This Row],[Ret-Bud-RU]]/DaybyDay[[#This Row],[Serv-Bud-RU]],"")</f>
        <v/>
      </c>
      <c r="AD1422" s="37" t="str">
        <f>IF(DaybyDay[[#This Row],[_Space]],DaybyDay[[#This Row],[Ret-LY-RU]]/DaybyDay[[#This Row],[Serv-LY-RU]],"")</f>
        <v/>
      </c>
      <c r="AE1422" s="30">
        <f>WEEKDAY(DaybyDay[[#This Row],[LY-Date]])</f>
        <v>2</v>
      </c>
      <c r="AF1422" s="38">
        <f>$E$2+_xlfn.DAYS(DaybyDay[[#This Row],[Date]],minDate)</f>
        <v>43787</v>
      </c>
      <c r="AG1422" s="39" cm="1">
        <f t="array" ref="AG1422">IFERROR(INDEX(DaybyDay[],DaybyDay[[#This Row],[FORM_MATCH_HELPER]],8),"")</f>
        <v>15</v>
      </c>
      <c r="AH1422" s="39" cm="1">
        <f t="array" ref="AH1422">IFERROR(INDEX(DaybyDay[],DaybyDay[[#This Row],[FORM_MATCH_HELPER]],10),"")</f>
        <v>3639.0000000000005</v>
      </c>
      <c r="AI1422" s="39" cm="1">
        <f t="array" ref="AI1422">IFERROR(INDEX(DaybyDay[],DaybyDay[[#This Row],[FORM_MATCH_HELPER]],12),"")</f>
        <v>686.35</v>
      </c>
      <c r="AJ1422" s="32">
        <f>IFERROR(DaybyDay[[#This Row],[Serv-LY-RU]]+DaybyDay[[#This Row],[Ret-LY-RU]],"")</f>
        <v>1914903.7309999976</v>
      </c>
      <c r="AK142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1902437.9585014384</v>
      </c>
      <c r="AL1422" s="77"/>
      <c r="AM1422" s="40" t="str">
        <f>IF(DaybyDay[[#This Row],[Admin Hours]]&gt;0,DaybyDay[[#This Row],[Admin Hours]]*$AM$2+$AM$3,"")</f>
        <v/>
      </c>
      <c r="AN1422" s="40">
        <f>SUMIFS(DaybyDay[Est-Admin-Payroll],DaybyDay[Date],"&gt;="&amp;$C$5,DaybyDay[RowYear],"&gt;="&amp;$C$4,DaybyDay[Date],"&lt;="&amp;DaybyDay[[#This Row],[Date]])</f>
        <v>13941.779999999997</v>
      </c>
      <c r="AO1422" s="41" t="str">
        <f>IF(AND(DaybyDay[[#This Row],[_Space]],ISNUMBER(DaybyDay[[#This Row],[Admin Hours]])),DaybyDay[[#This Row],[Est-Admin-Payroll]]/(DaybyDay[[#This Row],[Service-Actuals]]+DaybyDay[[#This Row],[Retail-Actuals]]),"")</f>
        <v/>
      </c>
      <c r="AP1422" s="41">
        <f>DaybyDay[[#This Row],[Estimated-Payroll-Rollup]]/DaybyDay[[#This Row],[Simple-Forecast]]</f>
        <v>7.3283756443663578E-3</v>
      </c>
      <c r="AQ142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379464.80803781911</v>
      </c>
      <c r="AR1422" s="77"/>
      <c r="AS1422" s="40" t="str">
        <f>IF(DaybyDay[[#This Row],[Retail Hours]]&gt;0,DaybyDay[[#This Row],[Retail Hours]]*$AS$2,"")</f>
        <v/>
      </c>
      <c r="AT1422" s="40">
        <f>SUMIFS(DaybyDay[Est-Retail-Payroll],DaybyDay[Date],"&gt;="&amp;$C$5,DaybyDay[RowYear],"&gt;="&amp;$C$4,DaybyDay[Date],"&lt;="&amp;DaybyDay[[#This Row],[Date]])</f>
        <v>2627.1</v>
      </c>
      <c r="AU1422" s="82" t="str">
        <f>IF(AND(DaybyDay[[#This Row],[_Space]],ISNUMBER(DaybyDay[[#This Row],[Retail Hours]])),DaybyDay[[#This Row],[Est-Retail-Payroll]]/(DaybyDay[[#This Row],[Retail-Actuals]]),"")</f>
        <v/>
      </c>
      <c r="AV1422" s="82">
        <f>DaybyDay[[#This Row],[Est-Retail-PayrollRU]]/DaybyDay[[#This Row],[Simple-Forecast-Retail]]</f>
        <v>6.9231716468900369E-3</v>
      </c>
      <c r="AW1422" s="8"/>
      <c r="AX1422" s="15"/>
      <c r="AY1422" s="8"/>
    </row>
    <row r="1423" spans="3:51" hidden="1" x14ac:dyDescent="0.25">
      <c r="C1423" s="26" t="str">
        <f>Tools!$C$1</f>
        <v>Example</v>
      </c>
      <c r="D1423" s="27" t="s">
        <v>78</v>
      </c>
      <c r="E1423" s="28">
        <v>2020</v>
      </c>
      <c r="F1423" s="28">
        <f>MATCH(DaybyDay[[#This Row],[RowMonth]],Table3[SummaryMonth],0)</f>
        <v>11</v>
      </c>
      <c r="G1423" s="29">
        <f>MATCH(DaybyDay[[#This Row],[LY-Date]],DaybyDay[Date],0)</f>
        <v>1053</v>
      </c>
      <c r="H1423" s="30">
        <f>WEEKDAY(DaybyDay[[#This Row],[Date]])</f>
        <v>3</v>
      </c>
      <c r="I1423" s="31">
        <v>44152</v>
      </c>
      <c r="J1423" s="74"/>
      <c r="K1423" s="32">
        <f>SUMIFS(BudgetSeasonality[365 Seasonality],BudgetSeasonality[MonthAdjustment],DaybyDay[[#This Row],[Date]])*SUMIFS(Budgets[Service-Budget],Budgets[BudgetMonth],DaybyDay[[#This Row],[RowMonth]],Budgets[BudgetYear],DaybyDay[[#This Row],[RowYear]])</f>
        <v>4390.8806589226651</v>
      </c>
      <c r="L1423" s="75"/>
      <c r="M1423" s="32">
        <f>INDEX(BudgetSeasonality[365 Seasonality],MATCH(DaybyDay[[#This Row],[Date]],BudgetSeasonality[MonthAdjustment],0))*SUMIFS(Budgets[Retail-Budget],Budgets[BudgetMonth],DaybyDay[[#This Row],[RowMonth]],Budgets[BudgetYear],DaybyDay[[#This Row],[RowYear]])</f>
        <v>1608.131933827477</v>
      </c>
      <c r="N1423" s="75"/>
      <c r="O1423" s="33">
        <f>SUMIFS(DaybyDay[Service-Budgets],DaybyDay[Date],"&gt;="&amp;$C$5,DaybyDay[RowYear],"&gt;="&amp;$C$4,DaybyDay[Date],"&lt;="&amp;DaybyDay[[#This Row],[Date]])</f>
        <v>1713280.6363701841</v>
      </c>
      <c r="P1423" s="33">
        <f>SUMIFS(DaybyDay[Retail-Budgets],DaybyDay[Date],"&gt;="&amp;$C$5,DaybyDay[RowYear],"&gt;="&amp;$C$4,DaybyDay[Date],"&lt;="&amp;DaybyDay[[#This Row],[Date]])</f>
        <v>452395.06855248462</v>
      </c>
      <c r="Q1423" s="34">
        <f>SUMIFS(DaybyDay[Service-Actuals],DaybyDay[Date],"&gt;="&amp;$C$5,DaybyDay[RowYear],"&gt;="&amp;$C$4,DaybyDay[Date],"&lt;="&amp;DaybyDay[[#This Row],[Date]])</f>
        <v>385554.23</v>
      </c>
      <c r="R1423" s="34">
        <f>SUMIFS(DaybyDay[Retail-Actuals],DaybyDay[Date],"&gt;="&amp;$C$5,DaybyDay[RowYear],"&gt;="&amp;$C$4,DaybyDay[Date],"&lt;="&amp;DaybyDay[[#This Row],[Date]])</f>
        <v>88360.030000000028</v>
      </c>
      <c r="S1423" s="35">
        <f>SUMIFS(DaybyDay[Service-LY],DaybyDay[Date],"&gt;="&amp;$C$5,DaybyDay[RowYear],"&gt;="&amp;$C$4,DaybyDay[Date],"&lt;="&amp;DaybyDay[[#This Row],[Date]])</f>
        <v>1546711.3609999977</v>
      </c>
      <c r="T1423" s="35">
        <f>SUMIFS(DaybyDay[Retail-LY],DaybyDay[Date],"&gt;="&amp;$C$5,DaybyDay[RowYear],"&gt;="&amp;$C$4,DaybyDay[Date],"&lt;="&amp;DaybyDay[[#This Row],[Date]])</f>
        <v>373262.86999999988</v>
      </c>
      <c r="U1423" s="32">
        <f>DaybyDay[[#This Row],[Serv-Bud-RU]]+DaybyDay[[#This Row],[Ret-Bud-RU]]</f>
        <v>2165675.7049226686</v>
      </c>
      <c r="V1423" s="32">
        <f>DaybyDay[[#This Row],[Serv-Act-RU]]+DaybyDay[[#This Row],[Ret-Act-RU]]</f>
        <v>473914.26</v>
      </c>
      <c r="W1423" s="36" t="str">
        <f>IF(DaybyDay[[#This Row],[_Space]],IFERROR(
((DaybyDay[[#This Row],[Actual-Rollup]]-DaybyDay[[#This Row],[Budget-Rollup]])/DaybyDay[[#This Row],[Budget-Rollup]]),0),"")</f>
        <v/>
      </c>
      <c r="X1423" t="b">
        <f>NOT(AND(ISBLANK(DaybyDay[[#This Row],[Appts]]),ISBLANK(DaybyDay[[#This Row],[Service-Actuals]]),ISBLANK(DaybyDay[[#This Row],[Retail-Actuals]])))</f>
        <v>0</v>
      </c>
      <c r="Y1423" s="36" t="str">
        <f>IF(DaybyDay[[#This Row],[_Space]],IFERROR(
((DaybyDay[[#This Row],[Actual-Rollup]]-DaybyDay[[#This Row],[LY-Rollup]])/DaybyDay[[#This Row],[LY-Rollup]]),0),"")</f>
        <v/>
      </c>
      <c r="Z1423"/>
      <c r="AA1423" s="37" t="str">
        <f>IF(DaybyDay[[#This Row],[_Space]],DaybyDay[[#This Row],[Ret-Act-RU]]/DaybyDay[[#This Row],[Serv-Act-RU]],"")</f>
        <v/>
      </c>
      <c r="AB1423" s="50" t="str">
        <f>IF(DaybyDay[[#This Row],[_Space]],DaybyDay[[#This Row],[RETPEN-Act]]/DaybyDay[[#This Row],[RETPEN-Bud]],"")</f>
        <v/>
      </c>
      <c r="AC1423" s="37" t="str">
        <f>IF(DaybyDay[[#This Row],[_Space]],DaybyDay[[#This Row],[Ret-Bud-RU]]/DaybyDay[[#This Row],[Serv-Bud-RU]],"")</f>
        <v/>
      </c>
      <c r="AD1423" s="37" t="str">
        <f>IF(DaybyDay[[#This Row],[_Space]],DaybyDay[[#This Row],[Ret-LY-RU]]/DaybyDay[[#This Row],[Serv-LY-RU]],"")</f>
        <v/>
      </c>
      <c r="AE1423" s="30">
        <f>WEEKDAY(DaybyDay[[#This Row],[LY-Date]])</f>
        <v>3</v>
      </c>
      <c r="AF1423" s="38">
        <f>$E$2+_xlfn.DAYS(DaybyDay[[#This Row],[Date]],minDate)</f>
        <v>43788</v>
      </c>
      <c r="AG1423" s="39" cm="1">
        <f t="array" ref="AG1423">IFERROR(INDEX(DaybyDay[],DaybyDay[[#This Row],[FORM_MATCH_HELPER]],8),"")</f>
        <v>11</v>
      </c>
      <c r="AH1423" s="39" cm="1">
        <f t="array" ref="AH1423">IFERROR(INDEX(DaybyDay[],DaybyDay[[#This Row],[FORM_MATCH_HELPER]],10),"")</f>
        <v>3259</v>
      </c>
      <c r="AI1423" s="39" cm="1">
        <f t="array" ref="AI1423">IFERROR(INDEX(DaybyDay[],DaybyDay[[#This Row],[FORM_MATCH_HELPER]],12),"")</f>
        <v>1811.5</v>
      </c>
      <c r="AJ1423" s="32">
        <f>IFERROR(DaybyDay[[#This Row],[Serv-LY-RU]]+DaybyDay[[#This Row],[Ret-LY-RU]],"")</f>
        <v>1919974.2309999976</v>
      </c>
      <c r="AK142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1907489.6430426734</v>
      </c>
      <c r="AL1423" s="77"/>
      <c r="AM1423" s="40" t="str">
        <f>IF(DaybyDay[[#This Row],[Admin Hours]]&gt;0,DaybyDay[[#This Row],[Admin Hours]]*$AM$2+$AM$3,"")</f>
        <v/>
      </c>
      <c r="AN1423" s="40">
        <f>SUMIFS(DaybyDay[Est-Admin-Payroll],DaybyDay[Date],"&gt;="&amp;$C$5,DaybyDay[RowYear],"&gt;="&amp;$C$4,DaybyDay[Date],"&lt;="&amp;DaybyDay[[#This Row],[Date]])</f>
        <v>13941.779999999997</v>
      </c>
      <c r="AO1423" s="41" t="str">
        <f>IF(AND(DaybyDay[[#This Row],[_Space]],ISNUMBER(DaybyDay[[#This Row],[Admin Hours]])),DaybyDay[[#This Row],[Est-Admin-Payroll]]/(DaybyDay[[#This Row],[Service-Actuals]]+DaybyDay[[#This Row],[Retail-Actuals]]),"")</f>
        <v/>
      </c>
      <c r="AP1423" s="41">
        <f>DaybyDay[[#This Row],[Estimated-Payroll-Rollup]]/DaybyDay[[#This Row],[Simple-Forecast]]</f>
        <v>7.3089676008731537E-3</v>
      </c>
      <c r="AQ142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381041.98249267758</v>
      </c>
      <c r="AR1423" s="77"/>
      <c r="AS1423" s="40" t="str">
        <f>IF(DaybyDay[[#This Row],[Retail Hours]]&gt;0,DaybyDay[[#This Row],[Retail Hours]]*$AS$2,"")</f>
        <v/>
      </c>
      <c r="AT1423" s="40">
        <f>SUMIFS(DaybyDay[Est-Retail-Payroll],DaybyDay[Date],"&gt;="&amp;$C$5,DaybyDay[RowYear],"&gt;="&amp;$C$4,DaybyDay[Date],"&lt;="&amp;DaybyDay[[#This Row],[Date]])</f>
        <v>2627.1</v>
      </c>
      <c r="AU1423" s="82" t="str">
        <f>IF(AND(DaybyDay[[#This Row],[_Space]],ISNUMBER(DaybyDay[[#This Row],[Retail Hours]])),DaybyDay[[#This Row],[Est-Retail-Payroll]]/(DaybyDay[[#This Row],[Retail-Actuals]]),"")</f>
        <v/>
      </c>
      <c r="AV1423" s="82">
        <f>DaybyDay[[#This Row],[Est-Retail-PayrollRU]]/DaybyDay[[#This Row],[Simple-Forecast-Retail]]</f>
        <v>6.894515881988107E-3</v>
      </c>
      <c r="AW1423" s="8"/>
      <c r="AX1423" s="15"/>
      <c r="AY1423" s="8"/>
    </row>
    <row r="1424" spans="3:51" hidden="1" x14ac:dyDescent="0.25">
      <c r="C1424" s="26" t="str">
        <f>Tools!$C$1</f>
        <v>Example</v>
      </c>
      <c r="D1424" s="27" t="s">
        <v>78</v>
      </c>
      <c r="E1424" s="28">
        <v>2020</v>
      </c>
      <c r="F1424" s="28">
        <f>MATCH(DaybyDay[[#This Row],[RowMonth]],Table3[SummaryMonth],0)</f>
        <v>11</v>
      </c>
      <c r="G1424" s="29">
        <f>MATCH(DaybyDay[[#This Row],[LY-Date]],DaybyDay[Date],0)</f>
        <v>1054</v>
      </c>
      <c r="H1424" s="30">
        <f>WEEKDAY(DaybyDay[[#This Row],[Date]])</f>
        <v>4</v>
      </c>
      <c r="I1424" s="31">
        <v>44153</v>
      </c>
      <c r="J1424" s="74"/>
      <c r="K1424" s="32">
        <f>SUMIFS(BudgetSeasonality[365 Seasonality],BudgetSeasonality[MonthAdjustment],DaybyDay[[#This Row],[Date]])*SUMIFS(Budgets[Service-Budget],Budgets[BudgetMonth],DaybyDay[[#This Row],[RowMonth]],Budgets[BudgetYear],DaybyDay[[#This Row],[RowYear]])</f>
        <v>4955.5256408037103</v>
      </c>
      <c r="L1424" s="75"/>
      <c r="M1424" s="32">
        <f>INDEX(BudgetSeasonality[365 Seasonality],MATCH(DaybyDay[[#This Row],[Date]],BudgetSeasonality[MonthAdjustment],0))*SUMIFS(Budgets[Retail-Budget],Budgets[BudgetMonth],DaybyDay[[#This Row],[RowMonth]],Budgets[BudgetYear],DaybyDay[[#This Row],[RowYear]])</f>
        <v>1814.9295439590937</v>
      </c>
      <c r="N1424" s="75"/>
      <c r="O1424" s="33">
        <f>SUMIFS(DaybyDay[Service-Budgets],DaybyDay[Date],"&gt;="&amp;$C$5,DaybyDay[RowYear],"&gt;="&amp;$C$4,DaybyDay[Date],"&lt;="&amp;DaybyDay[[#This Row],[Date]])</f>
        <v>1718236.1620109878</v>
      </c>
      <c r="P1424" s="33">
        <f>SUMIFS(DaybyDay[Retail-Budgets],DaybyDay[Date],"&gt;="&amp;$C$5,DaybyDay[RowYear],"&gt;="&amp;$C$4,DaybyDay[Date],"&lt;="&amp;DaybyDay[[#This Row],[Date]])</f>
        <v>454209.99809644371</v>
      </c>
      <c r="Q1424" s="34">
        <f>SUMIFS(DaybyDay[Service-Actuals],DaybyDay[Date],"&gt;="&amp;$C$5,DaybyDay[RowYear],"&gt;="&amp;$C$4,DaybyDay[Date],"&lt;="&amp;DaybyDay[[#This Row],[Date]])</f>
        <v>385554.23</v>
      </c>
      <c r="R1424" s="34">
        <f>SUMIFS(DaybyDay[Retail-Actuals],DaybyDay[Date],"&gt;="&amp;$C$5,DaybyDay[RowYear],"&gt;="&amp;$C$4,DaybyDay[Date],"&lt;="&amp;DaybyDay[[#This Row],[Date]])</f>
        <v>88360.030000000028</v>
      </c>
      <c r="S1424" s="35">
        <f>SUMIFS(DaybyDay[Service-LY],DaybyDay[Date],"&gt;="&amp;$C$5,DaybyDay[RowYear],"&gt;="&amp;$C$4,DaybyDay[Date],"&lt;="&amp;DaybyDay[[#This Row],[Date]])</f>
        <v>1550249.5609999977</v>
      </c>
      <c r="T1424" s="35">
        <f>SUMIFS(DaybyDay[Retail-LY],DaybyDay[Date],"&gt;="&amp;$C$5,DaybyDay[RowYear],"&gt;="&amp;$C$4,DaybyDay[Date],"&lt;="&amp;DaybyDay[[#This Row],[Date]])</f>
        <v>373946.86999999988</v>
      </c>
      <c r="U1424" s="32">
        <f>DaybyDay[[#This Row],[Serv-Bud-RU]]+DaybyDay[[#This Row],[Ret-Bud-RU]]</f>
        <v>2172446.1601074315</v>
      </c>
      <c r="V1424" s="32">
        <f>DaybyDay[[#This Row],[Serv-Act-RU]]+DaybyDay[[#This Row],[Ret-Act-RU]]</f>
        <v>473914.26</v>
      </c>
      <c r="W1424" s="36" t="str">
        <f>IF(DaybyDay[[#This Row],[_Space]],IFERROR(
((DaybyDay[[#This Row],[Actual-Rollup]]-DaybyDay[[#This Row],[Budget-Rollup]])/DaybyDay[[#This Row],[Budget-Rollup]]),0),"")</f>
        <v/>
      </c>
      <c r="X1424" t="b">
        <f>NOT(AND(ISBLANK(DaybyDay[[#This Row],[Appts]]),ISBLANK(DaybyDay[[#This Row],[Service-Actuals]]),ISBLANK(DaybyDay[[#This Row],[Retail-Actuals]])))</f>
        <v>0</v>
      </c>
      <c r="Y1424" s="36" t="str">
        <f>IF(DaybyDay[[#This Row],[_Space]],IFERROR(
((DaybyDay[[#This Row],[Actual-Rollup]]-DaybyDay[[#This Row],[LY-Rollup]])/DaybyDay[[#This Row],[LY-Rollup]]),0),"")</f>
        <v/>
      </c>
      <c r="Z1424"/>
      <c r="AA1424" s="37" t="str">
        <f>IF(DaybyDay[[#This Row],[_Space]],DaybyDay[[#This Row],[Ret-Act-RU]]/DaybyDay[[#This Row],[Serv-Act-RU]],"")</f>
        <v/>
      </c>
      <c r="AB1424" s="50" t="str">
        <f>IF(DaybyDay[[#This Row],[_Space]],DaybyDay[[#This Row],[RETPEN-Act]]/DaybyDay[[#This Row],[RETPEN-Bud]],"")</f>
        <v/>
      </c>
      <c r="AC1424" s="37" t="str">
        <f>IF(DaybyDay[[#This Row],[_Space]],DaybyDay[[#This Row],[Ret-Bud-RU]]/DaybyDay[[#This Row],[Serv-Bud-RU]],"")</f>
        <v/>
      </c>
      <c r="AD1424" s="37" t="str">
        <f>IF(DaybyDay[[#This Row],[_Space]],DaybyDay[[#This Row],[Ret-LY-RU]]/DaybyDay[[#This Row],[Serv-LY-RU]],"")</f>
        <v/>
      </c>
      <c r="AE1424" s="30">
        <f>WEEKDAY(DaybyDay[[#This Row],[LY-Date]])</f>
        <v>4</v>
      </c>
      <c r="AF1424" s="38">
        <f>$E$2+_xlfn.DAYS(DaybyDay[[#This Row],[Date]],minDate)</f>
        <v>43789</v>
      </c>
      <c r="AG1424" s="39" cm="1">
        <f t="array" ref="AG1424">IFERROR(INDEX(DaybyDay[],DaybyDay[[#This Row],[FORM_MATCH_HELPER]],8),"")</f>
        <v>17</v>
      </c>
      <c r="AH1424" s="39" cm="1">
        <f t="array" ref="AH1424">IFERROR(INDEX(DaybyDay[],DaybyDay[[#This Row],[FORM_MATCH_HELPER]],10),"")</f>
        <v>3538.2</v>
      </c>
      <c r="AI1424" s="39" cm="1">
        <f t="array" ref="AI1424">IFERROR(INDEX(DaybyDay[],DaybyDay[[#This Row],[FORM_MATCH_HELPER]],12),"")</f>
        <v>684</v>
      </c>
      <c r="AJ1424" s="32">
        <f>IFERROR(DaybyDay[[#This Row],[Serv-LY-RU]]+DaybyDay[[#This Row],[Ret-LY-RU]],"")</f>
        <v>1924196.4309999975</v>
      </c>
      <c r="AK142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1912451.2158420361</v>
      </c>
      <c r="AL1424" s="77"/>
      <c r="AM1424" s="40" t="str">
        <f>IF(DaybyDay[[#This Row],[Admin Hours]]&gt;0,DaybyDay[[#This Row],[Admin Hours]]*$AM$2+$AM$3,"")</f>
        <v/>
      </c>
      <c r="AN1424" s="40">
        <f>SUMIFS(DaybyDay[Est-Admin-Payroll],DaybyDay[Date],"&gt;="&amp;$C$5,DaybyDay[RowYear],"&gt;="&amp;$C$4,DaybyDay[Date],"&lt;="&amp;DaybyDay[[#This Row],[Date]])</f>
        <v>13941.779999999997</v>
      </c>
      <c r="AO1424" s="41" t="str">
        <f>IF(AND(DaybyDay[[#This Row],[_Space]],ISNUMBER(DaybyDay[[#This Row],[Admin Hours]])),DaybyDay[[#This Row],[Est-Admin-Payroll]]/(DaybyDay[[#This Row],[Service-Actuals]]+DaybyDay[[#This Row],[Retail-Actuals]]),"")</f>
        <v/>
      </c>
      <c r="AP1424" s="41">
        <f>DaybyDay[[#This Row],[Estimated-Payroll-Rollup]]/DaybyDay[[#This Row],[Simple-Forecast]]</f>
        <v>7.2900055617165374E-3</v>
      </c>
      <c r="AQ142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382151.21307654108</v>
      </c>
      <c r="AR1424" s="77"/>
      <c r="AS1424" s="40" t="str">
        <f>IF(DaybyDay[[#This Row],[Retail Hours]]&gt;0,DaybyDay[[#This Row],[Retail Hours]]*$AS$2,"")</f>
        <v/>
      </c>
      <c r="AT1424" s="40">
        <f>SUMIFS(DaybyDay[Est-Retail-Payroll],DaybyDay[Date],"&gt;="&amp;$C$5,DaybyDay[RowYear],"&gt;="&amp;$C$4,DaybyDay[Date],"&lt;="&amp;DaybyDay[[#This Row],[Date]])</f>
        <v>2627.1</v>
      </c>
      <c r="AU1424" s="82" t="str">
        <f>IF(AND(DaybyDay[[#This Row],[_Space]],ISNUMBER(DaybyDay[[#This Row],[Retail Hours]])),DaybyDay[[#This Row],[Est-Retail-Payroll]]/(DaybyDay[[#This Row],[Retail-Actuals]]),"")</f>
        <v/>
      </c>
      <c r="AV1424" s="82">
        <f>DaybyDay[[#This Row],[Est-Retail-PayrollRU]]/DaybyDay[[#This Row],[Simple-Forecast-Retail]]</f>
        <v>6.8745038877419916E-3</v>
      </c>
      <c r="AW1424" s="8"/>
      <c r="AX1424" s="15"/>
      <c r="AY1424" s="8"/>
    </row>
    <row r="1425" spans="3:51" hidden="1" x14ac:dyDescent="0.25">
      <c r="C1425" s="26" t="str">
        <f>Tools!$C$1</f>
        <v>Example</v>
      </c>
      <c r="D1425" s="27" t="s">
        <v>78</v>
      </c>
      <c r="E1425" s="28">
        <v>2020</v>
      </c>
      <c r="F1425" s="28">
        <f>MATCH(DaybyDay[[#This Row],[RowMonth]],Table3[SummaryMonth],0)</f>
        <v>11</v>
      </c>
      <c r="G1425" s="29">
        <f>MATCH(DaybyDay[[#This Row],[LY-Date]],DaybyDay[Date],0)</f>
        <v>1055</v>
      </c>
      <c r="H1425" s="30">
        <f>WEEKDAY(DaybyDay[[#This Row],[Date]])</f>
        <v>5</v>
      </c>
      <c r="I1425" s="31">
        <v>44154</v>
      </c>
      <c r="J1425" s="74"/>
      <c r="K1425" s="32">
        <f>SUMIFS(BudgetSeasonality[365 Seasonality],BudgetSeasonality[MonthAdjustment],DaybyDay[[#This Row],[Date]])*SUMIFS(Budgets[Service-Budget],Budgets[BudgetMonth],DaybyDay[[#This Row],[RowMonth]],Budgets[BudgetYear],DaybyDay[[#This Row],[RowYear]])</f>
        <v>5043.0713685811652</v>
      </c>
      <c r="L1425" s="75"/>
      <c r="M1425" s="32">
        <f>INDEX(BudgetSeasonality[365 Seasonality],MATCH(DaybyDay[[#This Row],[Date]],BudgetSeasonality[MonthAdjustment],0))*SUMIFS(Budgets[Retail-Budget],Budgets[BudgetMonth],DaybyDay[[#This Row],[RowMonth]],Budgets[BudgetYear],DaybyDay[[#This Row],[RowYear]])</f>
        <v>1846.9926063479575</v>
      </c>
      <c r="N1425" s="75"/>
      <c r="O1425" s="33">
        <f>SUMIFS(DaybyDay[Service-Budgets],DaybyDay[Date],"&gt;="&amp;$C$5,DaybyDay[RowYear],"&gt;="&amp;$C$4,DaybyDay[Date],"&lt;="&amp;DaybyDay[[#This Row],[Date]])</f>
        <v>1723279.2333795689</v>
      </c>
      <c r="P1425" s="33">
        <f>SUMIFS(DaybyDay[Retail-Budgets],DaybyDay[Date],"&gt;="&amp;$C$5,DaybyDay[RowYear],"&gt;="&amp;$C$4,DaybyDay[Date],"&lt;="&amp;DaybyDay[[#This Row],[Date]])</f>
        <v>456056.99070279166</v>
      </c>
      <c r="Q1425" s="34">
        <f>SUMIFS(DaybyDay[Service-Actuals],DaybyDay[Date],"&gt;="&amp;$C$5,DaybyDay[RowYear],"&gt;="&amp;$C$4,DaybyDay[Date],"&lt;="&amp;DaybyDay[[#This Row],[Date]])</f>
        <v>385554.23</v>
      </c>
      <c r="R1425" s="34">
        <f>SUMIFS(DaybyDay[Retail-Actuals],DaybyDay[Date],"&gt;="&amp;$C$5,DaybyDay[RowYear],"&gt;="&amp;$C$4,DaybyDay[Date],"&lt;="&amp;DaybyDay[[#This Row],[Date]])</f>
        <v>88360.030000000028</v>
      </c>
      <c r="S1425" s="35">
        <f>SUMIFS(DaybyDay[Service-LY],DaybyDay[Date],"&gt;="&amp;$C$5,DaybyDay[RowYear],"&gt;="&amp;$C$4,DaybyDay[Date],"&lt;="&amp;DaybyDay[[#This Row],[Date]])</f>
        <v>1553994.0609999977</v>
      </c>
      <c r="T1425" s="35">
        <f>SUMIFS(DaybyDay[Retail-LY],DaybyDay[Date],"&gt;="&amp;$C$5,DaybyDay[RowYear],"&gt;="&amp;$C$4,DaybyDay[Date],"&lt;="&amp;DaybyDay[[#This Row],[Date]])</f>
        <v>374488.86999999988</v>
      </c>
      <c r="U1425" s="32">
        <f>DaybyDay[[#This Row],[Serv-Bud-RU]]+DaybyDay[[#This Row],[Ret-Bud-RU]]</f>
        <v>2179336.2240823605</v>
      </c>
      <c r="V1425" s="32">
        <f>DaybyDay[[#This Row],[Serv-Act-RU]]+DaybyDay[[#This Row],[Ret-Act-RU]]</f>
        <v>473914.26</v>
      </c>
      <c r="W1425" s="36" t="str">
        <f>IF(DaybyDay[[#This Row],[_Space]],IFERROR(
((DaybyDay[[#This Row],[Actual-Rollup]]-DaybyDay[[#This Row],[Budget-Rollup]])/DaybyDay[[#This Row],[Budget-Rollup]]),0),"")</f>
        <v/>
      </c>
      <c r="X1425" t="b">
        <f>NOT(AND(ISBLANK(DaybyDay[[#This Row],[Appts]]),ISBLANK(DaybyDay[[#This Row],[Service-Actuals]]),ISBLANK(DaybyDay[[#This Row],[Retail-Actuals]])))</f>
        <v>0</v>
      </c>
      <c r="Y1425" s="36" t="str">
        <f>IF(DaybyDay[[#This Row],[_Space]],IFERROR(
((DaybyDay[[#This Row],[Actual-Rollup]]-DaybyDay[[#This Row],[LY-Rollup]])/DaybyDay[[#This Row],[LY-Rollup]]),0),"")</f>
        <v/>
      </c>
      <c r="Z1425"/>
      <c r="AA1425" s="37" t="str">
        <f>IF(DaybyDay[[#This Row],[_Space]],DaybyDay[[#This Row],[Ret-Act-RU]]/DaybyDay[[#This Row],[Serv-Act-RU]],"")</f>
        <v/>
      </c>
      <c r="AB1425" s="50" t="str">
        <f>IF(DaybyDay[[#This Row],[_Space]],DaybyDay[[#This Row],[RETPEN-Act]]/DaybyDay[[#This Row],[RETPEN-Bud]],"")</f>
        <v/>
      </c>
      <c r="AC1425" s="37" t="str">
        <f>IF(DaybyDay[[#This Row],[_Space]],DaybyDay[[#This Row],[Ret-Bud-RU]]/DaybyDay[[#This Row],[Serv-Bud-RU]],"")</f>
        <v/>
      </c>
      <c r="AD1425" s="37" t="str">
        <f>IF(DaybyDay[[#This Row],[_Space]],DaybyDay[[#This Row],[Ret-LY-RU]]/DaybyDay[[#This Row],[Serv-LY-RU]],"")</f>
        <v/>
      </c>
      <c r="AE1425" s="30">
        <f>WEEKDAY(DaybyDay[[#This Row],[LY-Date]])</f>
        <v>5</v>
      </c>
      <c r="AF1425" s="38">
        <f>$E$2+_xlfn.DAYS(DaybyDay[[#This Row],[Date]],minDate)</f>
        <v>43790</v>
      </c>
      <c r="AG1425" s="39" cm="1">
        <f t="array" ref="AG1425">IFERROR(INDEX(DaybyDay[],DaybyDay[[#This Row],[FORM_MATCH_HELPER]],8),"")</f>
        <v>13</v>
      </c>
      <c r="AH1425" s="39" cm="1">
        <f t="array" ref="AH1425">IFERROR(INDEX(DaybyDay[],DaybyDay[[#This Row],[FORM_MATCH_HELPER]],10),"")</f>
        <v>3744.5</v>
      </c>
      <c r="AI1425" s="39" cm="1">
        <f t="array" ref="AI1425">IFERROR(INDEX(DaybyDay[],DaybyDay[[#This Row],[FORM_MATCH_HELPER]],12),"")</f>
        <v>542</v>
      </c>
      <c r="AJ1425" s="32">
        <f>IFERROR(DaybyDay[[#This Row],[Serv-LY-RU]]+DaybyDay[[#This Row],[Ret-LY-RU]],"")</f>
        <v>1928482.9309999975</v>
      </c>
      <c r="AK142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1917495.3674953186</v>
      </c>
      <c r="AL1425" s="77"/>
      <c r="AM1425" s="40" t="str">
        <f>IF(DaybyDay[[#This Row],[Admin Hours]]&gt;0,DaybyDay[[#This Row],[Admin Hours]]*$AM$2+$AM$3,"")</f>
        <v/>
      </c>
      <c r="AN1425" s="40">
        <f>SUMIFS(DaybyDay[Est-Admin-Payroll],DaybyDay[Date],"&gt;="&amp;$C$5,DaybyDay[RowYear],"&gt;="&amp;$C$4,DaybyDay[Date],"&lt;="&amp;DaybyDay[[#This Row],[Date]])</f>
        <v>13941.779999999997</v>
      </c>
      <c r="AO1425" s="41" t="str">
        <f>IF(AND(DaybyDay[[#This Row],[_Space]],ISNUMBER(DaybyDay[[#This Row],[Admin Hours]])),DaybyDay[[#This Row],[Est-Admin-Payroll]]/(DaybyDay[[#This Row],[Service-Actuals]]+DaybyDay[[#This Row],[Retail-Actuals]]),"")</f>
        <v/>
      </c>
      <c r="AP1425" s="41">
        <f>DaybyDay[[#This Row],[Estimated-Payroll-Rollup]]/DaybyDay[[#This Row],[Simple-Forecast]]</f>
        <v>7.2708285174170224E-3</v>
      </c>
      <c r="AQ142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383204.0697011837</v>
      </c>
      <c r="AR1425" s="77"/>
      <c r="AS1425" s="40" t="str">
        <f>IF(DaybyDay[[#This Row],[Retail Hours]]&gt;0,DaybyDay[[#This Row],[Retail Hours]]*$AS$2,"")</f>
        <v/>
      </c>
      <c r="AT1425" s="40">
        <f>SUMIFS(DaybyDay[Est-Retail-Payroll],DaybyDay[Date],"&gt;="&amp;$C$5,DaybyDay[RowYear],"&gt;="&amp;$C$4,DaybyDay[Date],"&lt;="&amp;DaybyDay[[#This Row],[Date]])</f>
        <v>2627.1</v>
      </c>
      <c r="AU1425" s="82" t="str">
        <f>IF(AND(DaybyDay[[#This Row],[_Space]],ISNUMBER(DaybyDay[[#This Row],[Retail Hours]])),DaybyDay[[#This Row],[Est-Retail-Payroll]]/(DaybyDay[[#This Row],[Retail-Actuals]]),"")</f>
        <v/>
      </c>
      <c r="AV1425" s="82">
        <f>DaybyDay[[#This Row],[Est-Retail-PayrollRU]]/DaybyDay[[#This Row],[Simple-Forecast-Retail]]</f>
        <v>6.8556161265421051E-3</v>
      </c>
      <c r="AW1425" s="8"/>
      <c r="AX1425" s="15"/>
      <c r="AY1425" s="8"/>
    </row>
    <row r="1426" spans="3:51" hidden="1" x14ac:dyDescent="0.25">
      <c r="C1426" s="26" t="str">
        <f>Tools!$C$1</f>
        <v>Example</v>
      </c>
      <c r="D1426" s="27" t="s">
        <v>78</v>
      </c>
      <c r="E1426" s="28">
        <v>2020</v>
      </c>
      <c r="F1426" s="28">
        <f>MATCH(DaybyDay[[#This Row],[RowMonth]],Table3[SummaryMonth],0)</f>
        <v>11</v>
      </c>
      <c r="G1426" s="29">
        <f>MATCH(DaybyDay[[#This Row],[LY-Date]],DaybyDay[Date],0)</f>
        <v>1056</v>
      </c>
      <c r="H1426" s="30">
        <f>WEEKDAY(DaybyDay[[#This Row],[Date]])</f>
        <v>6</v>
      </c>
      <c r="I1426" s="31">
        <v>44155</v>
      </c>
      <c r="J1426" s="74"/>
      <c r="K1426" s="32">
        <f>SUMIFS(BudgetSeasonality[365 Seasonality],BudgetSeasonality[MonthAdjustment],DaybyDay[[#This Row],[Date]])*SUMIFS(Budgets[Service-Budget],Budgets[BudgetMonth],DaybyDay[[#This Row],[RowMonth]],Budgets[BudgetYear],DaybyDay[[#This Row],[RowYear]])</f>
        <v>6119.810744068016</v>
      </c>
      <c r="L1426" s="75"/>
      <c r="M1426" s="32">
        <f>INDEX(BudgetSeasonality[365 Seasonality],MATCH(DaybyDay[[#This Row],[Date]],BudgetSeasonality[MonthAdjustment],0))*SUMIFS(Budgets[Retail-Budget],Budgets[BudgetMonth],DaybyDay[[#This Row],[RowMonth]],Budgets[BudgetYear],DaybyDay[[#This Row],[RowYear]])</f>
        <v>2241.3415100493635</v>
      </c>
      <c r="N1426" s="75"/>
      <c r="O1426" s="33">
        <f>SUMIFS(DaybyDay[Service-Budgets],DaybyDay[Date],"&gt;="&amp;$C$5,DaybyDay[RowYear],"&gt;="&amp;$C$4,DaybyDay[Date],"&lt;="&amp;DaybyDay[[#This Row],[Date]])</f>
        <v>1729399.044123637</v>
      </c>
      <c r="P1426" s="33">
        <f>SUMIFS(DaybyDay[Retail-Budgets],DaybyDay[Date],"&gt;="&amp;$C$5,DaybyDay[RowYear],"&gt;="&amp;$C$4,DaybyDay[Date],"&lt;="&amp;DaybyDay[[#This Row],[Date]])</f>
        <v>458298.33221284102</v>
      </c>
      <c r="Q1426" s="34">
        <f>SUMIFS(DaybyDay[Service-Actuals],DaybyDay[Date],"&gt;="&amp;$C$5,DaybyDay[RowYear],"&gt;="&amp;$C$4,DaybyDay[Date],"&lt;="&amp;DaybyDay[[#This Row],[Date]])</f>
        <v>385554.23</v>
      </c>
      <c r="R1426" s="34">
        <f>SUMIFS(DaybyDay[Retail-Actuals],DaybyDay[Date],"&gt;="&amp;$C$5,DaybyDay[RowYear],"&gt;="&amp;$C$4,DaybyDay[Date],"&lt;="&amp;DaybyDay[[#This Row],[Date]])</f>
        <v>88360.030000000028</v>
      </c>
      <c r="S1426" s="35">
        <f>SUMIFS(DaybyDay[Service-LY],DaybyDay[Date],"&gt;="&amp;$C$5,DaybyDay[RowYear],"&gt;="&amp;$C$4,DaybyDay[Date],"&lt;="&amp;DaybyDay[[#This Row],[Date]])</f>
        <v>1559106.6609999978</v>
      </c>
      <c r="T1426" s="35">
        <f>SUMIFS(DaybyDay[Retail-LY],DaybyDay[Date],"&gt;="&amp;$C$5,DaybyDay[RowYear],"&gt;="&amp;$C$4,DaybyDay[Date],"&lt;="&amp;DaybyDay[[#This Row],[Date]])</f>
        <v>378383.86999999988</v>
      </c>
      <c r="U1426" s="32">
        <f>DaybyDay[[#This Row],[Serv-Bud-RU]]+DaybyDay[[#This Row],[Ret-Bud-RU]]</f>
        <v>2187697.3763364782</v>
      </c>
      <c r="V1426" s="32">
        <f>DaybyDay[[#This Row],[Serv-Act-RU]]+DaybyDay[[#This Row],[Ret-Act-RU]]</f>
        <v>473914.26</v>
      </c>
      <c r="W1426" s="36" t="str">
        <f>IF(DaybyDay[[#This Row],[_Space]],IFERROR(
((DaybyDay[[#This Row],[Actual-Rollup]]-DaybyDay[[#This Row],[Budget-Rollup]])/DaybyDay[[#This Row],[Budget-Rollup]]),0),"")</f>
        <v/>
      </c>
      <c r="X1426" t="b">
        <f>NOT(AND(ISBLANK(DaybyDay[[#This Row],[Appts]]),ISBLANK(DaybyDay[[#This Row],[Service-Actuals]]),ISBLANK(DaybyDay[[#This Row],[Retail-Actuals]])))</f>
        <v>0</v>
      </c>
      <c r="Y1426" s="36" t="str">
        <f>IF(DaybyDay[[#This Row],[_Space]],IFERROR(
((DaybyDay[[#This Row],[Actual-Rollup]]-DaybyDay[[#This Row],[LY-Rollup]])/DaybyDay[[#This Row],[LY-Rollup]]),0),"")</f>
        <v/>
      </c>
      <c r="Z1426"/>
      <c r="AA1426" s="37" t="str">
        <f>IF(DaybyDay[[#This Row],[_Space]],DaybyDay[[#This Row],[Ret-Act-RU]]/DaybyDay[[#This Row],[Serv-Act-RU]],"")</f>
        <v/>
      </c>
      <c r="AB1426" s="50" t="str">
        <f>IF(DaybyDay[[#This Row],[_Space]],DaybyDay[[#This Row],[RETPEN-Act]]/DaybyDay[[#This Row],[RETPEN-Bud]],"")</f>
        <v/>
      </c>
      <c r="AC1426" s="37" t="str">
        <f>IF(DaybyDay[[#This Row],[_Space]],DaybyDay[[#This Row],[Ret-Bud-RU]]/DaybyDay[[#This Row],[Serv-Bud-RU]],"")</f>
        <v/>
      </c>
      <c r="AD1426" s="37" t="str">
        <f>IF(DaybyDay[[#This Row],[_Space]],DaybyDay[[#This Row],[Ret-LY-RU]]/DaybyDay[[#This Row],[Serv-LY-RU]],"")</f>
        <v/>
      </c>
      <c r="AE1426" s="30">
        <f>WEEKDAY(DaybyDay[[#This Row],[LY-Date]])</f>
        <v>6</v>
      </c>
      <c r="AF1426" s="38">
        <f>$E$2+_xlfn.DAYS(DaybyDay[[#This Row],[Date]],minDate)</f>
        <v>43791</v>
      </c>
      <c r="AG1426" s="39" cm="1">
        <f t="array" ref="AG1426">IFERROR(INDEX(DaybyDay[],DaybyDay[[#This Row],[FORM_MATCH_HELPER]],8),"")</f>
        <v>18</v>
      </c>
      <c r="AH1426" s="39" cm="1">
        <f t="array" ref="AH1426">IFERROR(INDEX(DaybyDay[],DaybyDay[[#This Row],[FORM_MATCH_HELPER]],10),"")</f>
        <v>5112.6000000000004</v>
      </c>
      <c r="AI1426" s="39" cm="1">
        <f t="array" ref="AI1426">IFERROR(INDEX(DaybyDay[],DaybyDay[[#This Row],[FORM_MATCH_HELPER]],12),"")</f>
        <v>3895</v>
      </c>
      <c r="AJ1426" s="32">
        <f>IFERROR(DaybyDay[[#This Row],[Serv-LY-RU]]+DaybyDay[[#This Row],[Ret-LY-RU]],"")</f>
        <v>1937490.5309999976</v>
      </c>
      <c r="AK142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1925492.9599773327</v>
      </c>
      <c r="AL1426" s="77"/>
      <c r="AM1426" s="40" t="str">
        <f>IF(DaybyDay[[#This Row],[Admin Hours]]&gt;0,DaybyDay[[#This Row],[Admin Hours]]*$AM$2+$AM$3,"")</f>
        <v/>
      </c>
      <c r="AN1426" s="40">
        <f>SUMIFS(DaybyDay[Est-Admin-Payroll],DaybyDay[Date],"&gt;="&amp;$C$5,DaybyDay[RowYear],"&gt;="&amp;$C$4,DaybyDay[Date],"&lt;="&amp;DaybyDay[[#This Row],[Date]])</f>
        <v>13941.779999999997</v>
      </c>
      <c r="AO1426" s="41" t="str">
        <f>IF(AND(DaybyDay[[#This Row],[_Space]],ISNUMBER(DaybyDay[[#This Row],[Admin Hours]])),DaybyDay[[#This Row],[Est-Admin-Payroll]]/(DaybyDay[[#This Row],[Service-Actuals]]+DaybyDay[[#This Row],[Retail-Actuals]]),"")</f>
        <v/>
      </c>
      <c r="AP1426" s="41">
        <f>DaybyDay[[#This Row],[Estimated-Payroll-Rollup]]/DaybyDay[[#This Row],[Simple-Forecast]]</f>
        <v>7.2406289141478458E-3</v>
      </c>
      <c r="AQ142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386077.83844702889</v>
      </c>
      <c r="AR1426" s="77"/>
      <c r="AS1426" s="40" t="str">
        <f>IF(DaybyDay[[#This Row],[Retail Hours]]&gt;0,DaybyDay[[#This Row],[Retail Hours]]*$AS$2,"")</f>
        <v/>
      </c>
      <c r="AT1426" s="40">
        <f>SUMIFS(DaybyDay[Est-Retail-Payroll],DaybyDay[Date],"&gt;="&amp;$C$5,DaybyDay[RowYear],"&gt;="&amp;$C$4,DaybyDay[Date],"&lt;="&amp;DaybyDay[[#This Row],[Date]])</f>
        <v>2627.1</v>
      </c>
      <c r="AU1426" s="82" t="str">
        <f>IF(AND(DaybyDay[[#This Row],[_Space]],ISNUMBER(DaybyDay[[#This Row],[Retail Hours]])),DaybyDay[[#This Row],[Est-Retail-Payroll]]/(DaybyDay[[#This Row],[Retail-Actuals]]),"")</f>
        <v/>
      </c>
      <c r="AV1426" s="82">
        <f>DaybyDay[[#This Row],[Est-Retail-PayrollRU]]/DaybyDay[[#This Row],[Simple-Forecast-Retail]]</f>
        <v>6.8045863771081135E-3</v>
      </c>
      <c r="AW1426" s="8"/>
      <c r="AX1426" s="15"/>
      <c r="AY1426" s="8"/>
    </row>
    <row r="1427" spans="3:51" hidden="1" x14ac:dyDescent="0.25">
      <c r="C1427" s="26" t="str">
        <f>Tools!$C$1</f>
        <v>Example</v>
      </c>
      <c r="D1427" s="27" t="s">
        <v>78</v>
      </c>
      <c r="E1427" s="28">
        <v>2020</v>
      </c>
      <c r="F1427" s="28">
        <f>MATCH(DaybyDay[[#This Row],[RowMonth]],Table3[SummaryMonth],0)</f>
        <v>11</v>
      </c>
      <c r="G1427" s="29">
        <f>MATCH(DaybyDay[[#This Row],[LY-Date]],DaybyDay[Date],0)</f>
        <v>1057</v>
      </c>
      <c r="H1427" s="30">
        <f>WEEKDAY(DaybyDay[[#This Row],[Date]])</f>
        <v>7</v>
      </c>
      <c r="I1427" s="31">
        <v>44156</v>
      </c>
      <c r="J1427" s="74"/>
      <c r="K1427" s="32">
        <f>SUMIFS(BudgetSeasonality[365 Seasonality],BudgetSeasonality[MonthAdjustment],DaybyDay[[#This Row],[Date]])*SUMIFS(Budgets[Service-Budget],Budgets[BudgetMonth],DaybyDay[[#This Row],[RowMonth]],Budgets[BudgetYear],DaybyDay[[#This Row],[RowYear]])</f>
        <v>8441.1042371480835</v>
      </c>
      <c r="L1427" s="75"/>
      <c r="M1427" s="32">
        <f>INDEX(BudgetSeasonality[365 Seasonality],MATCH(DaybyDay[[#This Row],[Date]],BudgetSeasonality[MonthAdjustment],0))*SUMIFS(Budgets[Retail-Budget],Budgets[BudgetMonth],DaybyDay[[#This Row],[RowMonth]],Budgets[BudgetYear],DaybyDay[[#This Row],[RowYear]])</f>
        <v>3091.5003925100618</v>
      </c>
      <c r="N1427" s="75"/>
      <c r="O1427" s="33">
        <f>SUMIFS(DaybyDay[Service-Budgets],DaybyDay[Date],"&gt;="&amp;$C$5,DaybyDay[RowYear],"&gt;="&amp;$C$4,DaybyDay[Date],"&lt;="&amp;DaybyDay[[#This Row],[Date]])</f>
        <v>1737840.1483607851</v>
      </c>
      <c r="P1427" s="33">
        <f>SUMIFS(DaybyDay[Retail-Budgets],DaybyDay[Date],"&gt;="&amp;$C$5,DaybyDay[RowYear],"&gt;="&amp;$C$4,DaybyDay[Date],"&lt;="&amp;DaybyDay[[#This Row],[Date]])</f>
        <v>461389.83260535111</v>
      </c>
      <c r="Q1427" s="34">
        <f>SUMIFS(DaybyDay[Service-Actuals],DaybyDay[Date],"&gt;="&amp;$C$5,DaybyDay[RowYear],"&gt;="&amp;$C$4,DaybyDay[Date],"&lt;="&amp;DaybyDay[[#This Row],[Date]])</f>
        <v>385554.23</v>
      </c>
      <c r="R1427" s="34">
        <f>SUMIFS(DaybyDay[Retail-Actuals],DaybyDay[Date],"&gt;="&amp;$C$5,DaybyDay[RowYear],"&gt;="&amp;$C$4,DaybyDay[Date],"&lt;="&amp;DaybyDay[[#This Row],[Date]])</f>
        <v>88360.030000000028</v>
      </c>
      <c r="S1427" s="35">
        <f>SUMIFS(DaybyDay[Service-LY],DaybyDay[Date],"&gt;="&amp;$C$5,DaybyDay[RowYear],"&gt;="&amp;$C$4,DaybyDay[Date],"&lt;="&amp;DaybyDay[[#This Row],[Date]])</f>
        <v>1568783.2609999978</v>
      </c>
      <c r="T1427" s="35">
        <f>SUMIFS(DaybyDay[Retail-LY],DaybyDay[Date],"&gt;="&amp;$C$5,DaybyDay[RowYear],"&gt;="&amp;$C$4,DaybyDay[Date],"&lt;="&amp;DaybyDay[[#This Row],[Date]])</f>
        <v>379814.41999999987</v>
      </c>
      <c r="U1427" s="32">
        <f>DaybyDay[[#This Row],[Serv-Bud-RU]]+DaybyDay[[#This Row],[Ret-Bud-RU]]</f>
        <v>2199229.9809661363</v>
      </c>
      <c r="V1427" s="32">
        <f>DaybyDay[[#This Row],[Serv-Act-RU]]+DaybyDay[[#This Row],[Ret-Act-RU]]</f>
        <v>473914.26</v>
      </c>
      <c r="W1427" s="36" t="str">
        <f>IF(DaybyDay[[#This Row],[_Space]],IFERROR(
((DaybyDay[[#This Row],[Actual-Rollup]]-DaybyDay[[#This Row],[Budget-Rollup]])/DaybyDay[[#This Row],[Budget-Rollup]]),0),"")</f>
        <v/>
      </c>
      <c r="X1427" t="b">
        <f>NOT(AND(ISBLANK(DaybyDay[[#This Row],[Appts]]),ISBLANK(DaybyDay[[#This Row],[Service-Actuals]]),ISBLANK(DaybyDay[[#This Row],[Retail-Actuals]])))</f>
        <v>0</v>
      </c>
      <c r="Y1427" s="36" t="str">
        <f>IF(DaybyDay[[#This Row],[_Space]],IFERROR(
((DaybyDay[[#This Row],[Actual-Rollup]]-DaybyDay[[#This Row],[LY-Rollup]])/DaybyDay[[#This Row],[LY-Rollup]]),0),"")</f>
        <v/>
      </c>
      <c r="Z1427"/>
      <c r="AA1427" s="37" t="str">
        <f>IF(DaybyDay[[#This Row],[_Space]],DaybyDay[[#This Row],[Ret-Act-RU]]/DaybyDay[[#This Row],[Serv-Act-RU]],"")</f>
        <v/>
      </c>
      <c r="AB1427" s="50" t="str">
        <f>IF(DaybyDay[[#This Row],[_Space]],DaybyDay[[#This Row],[RETPEN-Act]]/DaybyDay[[#This Row],[RETPEN-Bud]],"")</f>
        <v/>
      </c>
      <c r="AC1427" s="37" t="str">
        <f>IF(DaybyDay[[#This Row],[_Space]],DaybyDay[[#This Row],[Ret-Bud-RU]]/DaybyDay[[#This Row],[Serv-Bud-RU]],"")</f>
        <v/>
      </c>
      <c r="AD1427" s="37" t="str">
        <f>IF(DaybyDay[[#This Row],[_Space]],DaybyDay[[#This Row],[Ret-LY-RU]]/DaybyDay[[#This Row],[Serv-LY-RU]],"")</f>
        <v/>
      </c>
      <c r="AE1427" s="30">
        <f>WEEKDAY(DaybyDay[[#This Row],[LY-Date]])</f>
        <v>7</v>
      </c>
      <c r="AF1427" s="38">
        <f>$E$2+_xlfn.DAYS(DaybyDay[[#This Row],[Date]],minDate)</f>
        <v>43792</v>
      </c>
      <c r="AG1427" s="39" cm="1">
        <f t="array" ref="AG1427">IFERROR(INDEX(DaybyDay[],DaybyDay[[#This Row],[FORM_MATCH_HELPER]],8),"")</f>
        <v>35</v>
      </c>
      <c r="AH1427" s="39" cm="1">
        <f t="array" ref="AH1427">IFERROR(INDEX(DaybyDay[],DaybyDay[[#This Row],[FORM_MATCH_HELPER]],10),"")</f>
        <v>9676.6</v>
      </c>
      <c r="AI1427" s="39" cm="1">
        <f t="array" ref="AI1427">IFERROR(INDEX(DaybyDay[],DaybyDay[[#This Row],[FORM_MATCH_HELPER]],12),"")</f>
        <v>1430.55</v>
      </c>
      <c r="AJ1427" s="32">
        <f>IFERROR(DaybyDay[[#This Row],[Serv-LY-RU]]+DaybyDay[[#This Row],[Ret-LY-RU]],"")</f>
        <v>1948597.6809999978</v>
      </c>
      <c r="AK142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1935874.7138918974</v>
      </c>
      <c r="AL1427" s="77"/>
      <c r="AM1427" s="40" t="str">
        <f>IF(DaybyDay[[#This Row],[Admin Hours]]&gt;0,DaybyDay[[#This Row],[Admin Hours]]*$AM$2+$AM$3,"")</f>
        <v/>
      </c>
      <c r="AN1427" s="40">
        <f>SUMIFS(DaybyDay[Est-Admin-Payroll],DaybyDay[Date],"&gt;="&amp;$C$5,DaybyDay[RowYear],"&gt;="&amp;$C$4,DaybyDay[Date],"&lt;="&amp;DaybyDay[[#This Row],[Date]])</f>
        <v>13941.779999999997</v>
      </c>
      <c r="AO1427" s="41" t="str">
        <f>IF(AND(DaybyDay[[#This Row],[_Space]],ISNUMBER(DaybyDay[[#This Row],[Admin Hours]])),DaybyDay[[#This Row],[Est-Admin-Payroll]]/(DaybyDay[[#This Row],[Service-Actuals]]+DaybyDay[[#This Row],[Retail-Actuals]]),"")</f>
        <v/>
      </c>
      <c r="AP1427" s="41">
        <f>DaybyDay[[#This Row],[Estimated-Payroll-Rollup]]/DaybyDay[[#This Row],[Simple-Forecast]]</f>
        <v>7.201798701100515E-3</v>
      </c>
      <c r="AQ142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388098.14600453502</v>
      </c>
      <c r="AR1427" s="77"/>
      <c r="AS1427" s="40" t="str">
        <f>IF(DaybyDay[[#This Row],[Retail Hours]]&gt;0,DaybyDay[[#This Row],[Retail Hours]]*$AS$2,"")</f>
        <v/>
      </c>
      <c r="AT1427" s="40">
        <f>SUMIFS(DaybyDay[Est-Retail-Payroll],DaybyDay[Date],"&gt;="&amp;$C$5,DaybyDay[RowYear],"&gt;="&amp;$C$4,DaybyDay[Date],"&lt;="&amp;DaybyDay[[#This Row],[Date]])</f>
        <v>2627.1</v>
      </c>
      <c r="AU1427" s="82" t="str">
        <f>IF(AND(DaybyDay[[#This Row],[_Space]],ISNUMBER(DaybyDay[[#This Row],[Retail Hours]])),DaybyDay[[#This Row],[Est-Retail-Payroll]]/(DaybyDay[[#This Row],[Retail-Actuals]]),"")</f>
        <v/>
      </c>
      <c r="AV1427" s="82">
        <f>DaybyDay[[#This Row],[Est-Retail-PayrollRU]]/DaybyDay[[#This Row],[Simple-Forecast-Retail]]</f>
        <v>6.7691640041210128E-3</v>
      </c>
      <c r="AW1427" s="8"/>
      <c r="AX1427" s="15"/>
      <c r="AY1427" s="8"/>
    </row>
    <row r="1428" spans="3:51" hidden="1" x14ac:dyDescent="0.25">
      <c r="C1428" s="26" t="str">
        <f>Tools!$C$1</f>
        <v>Example</v>
      </c>
      <c r="D1428" s="27" t="s">
        <v>78</v>
      </c>
      <c r="E1428" s="28">
        <v>2020</v>
      </c>
      <c r="F1428" s="28">
        <f>MATCH(DaybyDay[[#This Row],[RowMonth]],Table3[SummaryMonth],0)</f>
        <v>11</v>
      </c>
      <c r="G1428" s="29">
        <f>MATCH(DaybyDay[[#This Row],[LY-Date]],DaybyDay[Date],0)</f>
        <v>1058</v>
      </c>
      <c r="H1428" s="30">
        <f>WEEKDAY(DaybyDay[[#This Row],[Date]])</f>
        <v>1</v>
      </c>
      <c r="I1428" s="31">
        <v>44157</v>
      </c>
      <c r="J1428" s="74"/>
      <c r="K1428" s="32">
        <f>SUMIFS(BudgetSeasonality[365 Seasonality],BudgetSeasonality[MonthAdjustment],DaybyDay[[#This Row],[Date]])*SUMIFS(Budgets[Service-Budget],Budgets[BudgetMonth],DaybyDay[[#This Row],[RowMonth]],Budgets[BudgetYear],DaybyDay[[#This Row],[RowYear]])</f>
        <v>6665.2914151556188</v>
      </c>
      <c r="L1428" s="75"/>
      <c r="M1428" s="32">
        <f>INDEX(BudgetSeasonality[365 Seasonality],MATCH(DaybyDay[[#This Row],[Date]],BudgetSeasonality[MonthAdjustment],0))*SUMIFS(Budgets[Retail-Budget],Budgets[BudgetMonth],DaybyDay[[#This Row],[RowMonth]],Budgets[BudgetYear],DaybyDay[[#This Row],[RowYear]])</f>
        <v>2441.1203140300768</v>
      </c>
      <c r="N1428" s="75"/>
      <c r="O1428" s="33">
        <f>SUMIFS(DaybyDay[Service-Budgets],DaybyDay[Date],"&gt;="&amp;$C$5,DaybyDay[RowYear],"&gt;="&amp;$C$4,DaybyDay[Date],"&lt;="&amp;DaybyDay[[#This Row],[Date]])</f>
        <v>1744505.4397759407</v>
      </c>
      <c r="P1428" s="33">
        <f>SUMIFS(DaybyDay[Retail-Budgets],DaybyDay[Date],"&gt;="&amp;$C$5,DaybyDay[RowYear],"&gt;="&amp;$C$4,DaybyDay[Date],"&lt;="&amp;DaybyDay[[#This Row],[Date]])</f>
        <v>463830.9529193812</v>
      </c>
      <c r="Q1428" s="34">
        <f>SUMIFS(DaybyDay[Service-Actuals],DaybyDay[Date],"&gt;="&amp;$C$5,DaybyDay[RowYear],"&gt;="&amp;$C$4,DaybyDay[Date],"&lt;="&amp;DaybyDay[[#This Row],[Date]])</f>
        <v>385554.23</v>
      </c>
      <c r="R1428" s="34">
        <f>SUMIFS(DaybyDay[Retail-Actuals],DaybyDay[Date],"&gt;="&amp;$C$5,DaybyDay[RowYear],"&gt;="&amp;$C$4,DaybyDay[Date],"&lt;="&amp;DaybyDay[[#This Row],[Date]])</f>
        <v>88360.030000000028</v>
      </c>
      <c r="S1428" s="35">
        <f>SUMIFS(DaybyDay[Service-LY],DaybyDay[Date],"&gt;="&amp;$C$5,DaybyDay[RowYear],"&gt;="&amp;$C$4,DaybyDay[Date],"&lt;="&amp;DaybyDay[[#This Row],[Date]])</f>
        <v>1574021.0609999979</v>
      </c>
      <c r="T1428" s="35">
        <f>SUMIFS(DaybyDay[Retail-LY],DaybyDay[Date],"&gt;="&amp;$C$5,DaybyDay[RowYear],"&gt;="&amp;$C$4,DaybyDay[Date],"&lt;="&amp;DaybyDay[[#This Row],[Date]])</f>
        <v>380832.41999999987</v>
      </c>
      <c r="U1428" s="32">
        <f>DaybyDay[[#This Row],[Serv-Bud-RU]]+DaybyDay[[#This Row],[Ret-Bud-RU]]</f>
        <v>2208336.3926953217</v>
      </c>
      <c r="V1428" s="32">
        <f>DaybyDay[[#This Row],[Serv-Act-RU]]+DaybyDay[[#This Row],[Ret-Act-RU]]</f>
        <v>473914.26</v>
      </c>
      <c r="W1428" s="36" t="str">
        <f>IF(DaybyDay[[#This Row],[_Space]],IFERROR(
((DaybyDay[[#This Row],[Actual-Rollup]]-DaybyDay[[#This Row],[Budget-Rollup]])/DaybyDay[[#This Row],[Budget-Rollup]]),0),"")</f>
        <v/>
      </c>
      <c r="X1428" t="b">
        <f>NOT(AND(ISBLANK(DaybyDay[[#This Row],[Appts]]),ISBLANK(DaybyDay[[#This Row],[Service-Actuals]]),ISBLANK(DaybyDay[[#This Row],[Retail-Actuals]])))</f>
        <v>0</v>
      </c>
      <c r="Y1428" s="36" t="str">
        <f>IF(DaybyDay[[#This Row],[_Space]],IFERROR(
((DaybyDay[[#This Row],[Actual-Rollup]]-DaybyDay[[#This Row],[LY-Rollup]])/DaybyDay[[#This Row],[LY-Rollup]]),0),"")</f>
        <v/>
      </c>
      <c r="Z1428"/>
      <c r="AA1428" s="37" t="str">
        <f>IF(DaybyDay[[#This Row],[_Space]],DaybyDay[[#This Row],[Ret-Act-RU]]/DaybyDay[[#This Row],[Serv-Act-RU]],"")</f>
        <v/>
      </c>
      <c r="AB1428" s="50" t="str">
        <f>IF(DaybyDay[[#This Row],[_Space]],DaybyDay[[#This Row],[RETPEN-Act]]/DaybyDay[[#This Row],[RETPEN-Bud]],"")</f>
        <v/>
      </c>
      <c r="AC1428" s="37" t="str">
        <f>IF(DaybyDay[[#This Row],[_Space]],DaybyDay[[#This Row],[Ret-Bud-RU]]/DaybyDay[[#This Row],[Serv-Bud-RU]],"")</f>
        <v/>
      </c>
      <c r="AD1428" s="37" t="str">
        <f>IF(DaybyDay[[#This Row],[_Space]],DaybyDay[[#This Row],[Ret-LY-RU]]/DaybyDay[[#This Row],[Serv-LY-RU]],"")</f>
        <v/>
      </c>
      <c r="AE1428" s="30">
        <f>WEEKDAY(DaybyDay[[#This Row],[LY-Date]])</f>
        <v>1</v>
      </c>
      <c r="AF1428" s="38">
        <f>$E$2+_xlfn.DAYS(DaybyDay[[#This Row],[Date]],minDate)</f>
        <v>43793</v>
      </c>
      <c r="AG1428" s="39" cm="1">
        <f t="array" ref="AG1428">IFERROR(INDEX(DaybyDay[],DaybyDay[[#This Row],[FORM_MATCH_HELPER]],8),"")</f>
        <v>23</v>
      </c>
      <c r="AH1428" s="39" cm="1">
        <f t="array" ref="AH1428">IFERROR(INDEX(DaybyDay[],DaybyDay[[#This Row],[FORM_MATCH_HELPER]],10),"")</f>
        <v>5237.8</v>
      </c>
      <c r="AI1428" s="39" cm="1">
        <f t="array" ref="AI1428">IFERROR(INDEX(DaybyDay[],DaybyDay[[#This Row],[FORM_MATCH_HELPER]],12),"")</f>
        <v>1018</v>
      </c>
      <c r="AJ1428" s="32">
        <f>IFERROR(DaybyDay[[#This Row],[Serv-LY-RU]]+DaybyDay[[#This Row],[Ret-LY-RU]],"")</f>
        <v>1954853.4809999978</v>
      </c>
      <c r="AK142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1942832.549748274</v>
      </c>
      <c r="AL1428" s="77"/>
      <c r="AM1428" s="40" t="str">
        <f>IF(DaybyDay[[#This Row],[Admin Hours]]&gt;0,DaybyDay[[#This Row],[Admin Hours]]*$AM$2+$AM$3,"")</f>
        <v/>
      </c>
      <c r="AN1428" s="40">
        <f>SUMIFS(DaybyDay[Est-Admin-Payroll],DaybyDay[Date],"&gt;="&amp;$C$5,DaybyDay[RowYear],"&gt;="&amp;$C$4,DaybyDay[Date],"&lt;="&amp;DaybyDay[[#This Row],[Date]])</f>
        <v>13941.779999999997</v>
      </c>
      <c r="AO1428" s="41" t="str">
        <f>IF(AND(DaybyDay[[#This Row],[_Space]],ISNUMBER(DaybyDay[[#This Row],[Admin Hours]])),DaybyDay[[#This Row],[Est-Admin-Payroll]]/(DaybyDay[[#This Row],[Service-Actuals]]+DaybyDay[[#This Row],[Retail-Actuals]]),"")</f>
        <v/>
      </c>
      <c r="AP1428" s="41">
        <f>DaybyDay[[#This Row],[Estimated-Payroll-Rollup]]/DaybyDay[[#This Row],[Simple-Forecast]]</f>
        <v>7.1760070119302787E-3</v>
      </c>
      <c r="AQ142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389638.40628335322</v>
      </c>
      <c r="AR1428" s="77"/>
      <c r="AS1428" s="40" t="str">
        <f>IF(DaybyDay[[#This Row],[Retail Hours]]&gt;0,DaybyDay[[#This Row],[Retail Hours]]*$AS$2,"")</f>
        <v/>
      </c>
      <c r="AT1428" s="40">
        <f>SUMIFS(DaybyDay[Est-Retail-Payroll],DaybyDay[Date],"&gt;="&amp;$C$5,DaybyDay[RowYear],"&gt;="&amp;$C$4,DaybyDay[Date],"&lt;="&amp;DaybyDay[[#This Row],[Date]])</f>
        <v>2627.1</v>
      </c>
      <c r="AU1428" s="82" t="str">
        <f>IF(AND(DaybyDay[[#This Row],[_Space]],ISNUMBER(DaybyDay[[#This Row],[Retail Hours]])),DaybyDay[[#This Row],[Est-Retail-Payroll]]/(DaybyDay[[#This Row],[Retail-Actuals]]),"")</f>
        <v/>
      </c>
      <c r="AV1428" s="82">
        <f>DaybyDay[[#This Row],[Est-Retail-PayrollRU]]/DaybyDay[[#This Row],[Simple-Forecast-Retail]]</f>
        <v>6.7424051572819487E-3</v>
      </c>
      <c r="AW1428" s="8"/>
      <c r="AX1428" s="15"/>
      <c r="AY1428" s="8"/>
    </row>
    <row r="1429" spans="3:51" hidden="1" x14ac:dyDescent="0.25">
      <c r="C1429" s="26" t="str">
        <f>Tools!$C$1</f>
        <v>Example</v>
      </c>
      <c r="D1429" s="27" t="s">
        <v>78</v>
      </c>
      <c r="E1429" s="28">
        <v>2020</v>
      </c>
      <c r="F1429" s="28">
        <f>MATCH(DaybyDay[[#This Row],[RowMonth]],Table3[SummaryMonth],0)</f>
        <v>11</v>
      </c>
      <c r="G1429" s="29">
        <f>MATCH(DaybyDay[[#This Row],[LY-Date]],DaybyDay[Date],0)</f>
        <v>1059</v>
      </c>
      <c r="H1429" s="30">
        <f>WEEKDAY(DaybyDay[[#This Row],[Date]])</f>
        <v>2</v>
      </c>
      <c r="I1429" s="31">
        <v>44158</v>
      </c>
      <c r="J1429" s="74"/>
      <c r="K1429" s="32">
        <f>SUMIFS(BudgetSeasonality[365 Seasonality],BudgetSeasonality[MonthAdjustment],DaybyDay[[#This Row],[Date]])*SUMIFS(Budgets[Service-Budget],Budgets[BudgetMonth],DaybyDay[[#This Row],[RowMonth]],Budgets[BudgetYear],DaybyDay[[#This Row],[RowYear]])</f>
        <v>4093.1645095894596</v>
      </c>
      <c r="L1429" s="75"/>
      <c r="M1429" s="32">
        <f>INDEX(BudgetSeasonality[365 Seasonality],MATCH(DaybyDay[[#This Row],[Date]],BudgetSeasonality[MonthAdjustment],0))*SUMIFS(Budgets[Retail-Budget],Budgets[BudgetMonth],DaybyDay[[#This Row],[RowMonth]],Budgets[BudgetYear],DaybyDay[[#This Row],[RowYear]])</f>
        <v>1499.0952999153299</v>
      </c>
      <c r="N1429" s="75"/>
      <c r="O1429" s="33">
        <f>SUMIFS(DaybyDay[Service-Budgets],DaybyDay[Date],"&gt;="&amp;$C$5,DaybyDay[RowYear],"&gt;="&amp;$C$4,DaybyDay[Date],"&lt;="&amp;DaybyDay[[#This Row],[Date]])</f>
        <v>1748598.6042855303</v>
      </c>
      <c r="P1429" s="33">
        <f>SUMIFS(DaybyDay[Retail-Budgets],DaybyDay[Date],"&gt;="&amp;$C$5,DaybyDay[RowYear],"&gt;="&amp;$C$4,DaybyDay[Date],"&lt;="&amp;DaybyDay[[#This Row],[Date]])</f>
        <v>465330.04821929656</v>
      </c>
      <c r="Q1429" s="34">
        <f>SUMIFS(DaybyDay[Service-Actuals],DaybyDay[Date],"&gt;="&amp;$C$5,DaybyDay[RowYear],"&gt;="&amp;$C$4,DaybyDay[Date],"&lt;="&amp;DaybyDay[[#This Row],[Date]])</f>
        <v>385554.23</v>
      </c>
      <c r="R1429" s="34">
        <f>SUMIFS(DaybyDay[Retail-Actuals],DaybyDay[Date],"&gt;="&amp;$C$5,DaybyDay[RowYear],"&gt;="&amp;$C$4,DaybyDay[Date],"&lt;="&amp;DaybyDay[[#This Row],[Date]])</f>
        <v>88360.030000000028</v>
      </c>
      <c r="S1429" s="35">
        <f>SUMIFS(DaybyDay[Service-LY],DaybyDay[Date],"&gt;="&amp;$C$5,DaybyDay[RowYear],"&gt;="&amp;$C$4,DaybyDay[Date],"&lt;="&amp;DaybyDay[[#This Row],[Date]])</f>
        <v>1576267.0609999979</v>
      </c>
      <c r="T1429" s="35">
        <f>SUMIFS(DaybyDay[Retail-LY],DaybyDay[Date],"&gt;="&amp;$C$5,DaybyDay[RowYear],"&gt;="&amp;$C$4,DaybyDay[Date],"&lt;="&amp;DaybyDay[[#This Row],[Date]])</f>
        <v>382585.41999999987</v>
      </c>
      <c r="U1429" s="32">
        <f>DaybyDay[[#This Row],[Serv-Bud-RU]]+DaybyDay[[#This Row],[Ret-Bud-RU]]</f>
        <v>2213928.6525048269</v>
      </c>
      <c r="V1429" s="32">
        <f>DaybyDay[[#This Row],[Serv-Act-RU]]+DaybyDay[[#This Row],[Ret-Act-RU]]</f>
        <v>473914.26</v>
      </c>
      <c r="W1429" s="36" t="str">
        <f>IF(DaybyDay[[#This Row],[_Space]],IFERROR(
((DaybyDay[[#This Row],[Actual-Rollup]]-DaybyDay[[#This Row],[Budget-Rollup]])/DaybyDay[[#This Row],[Budget-Rollup]]),0),"")</f>
        <v/>
      </c>
      <c r="X1429" t="b">
        <f>NOT(AND(ISBLANK(DaybyDay[[#This Row],[Appts]]),ISBLANK(DaybyDay[[#This Row],[Service-Actuals]]),ISBLANK(DaybyDay[[#This Row],[Retail-Actuals]])))</f>
        <v>0</v>
      </c>
      <c r="Y1429" s="36" t="str">
        <f>IF(DaybyDay[[#This Row],[_Space]],IFERROR(
((DaybyDay[[#This Row],[Actual-Rollup]]-DaybyDay[[#This Row],[LY-Rollup]])/DaybyDay[[#This Row],[LY-Rollup]]),0),"")</f>
        <v/>
      </c>
      <c r="Z1429"/>
      <c r="AA1429" s="37" t="str">
        <f>IF(DaybyDay[[#This Row],[_Space]],DaybyDay[[#This Row],[Ret-Act-RU]]/DaybyDay[[#This Row],[Serv-Act-RU]],"")</f>
        <v/>
      </c>
      <c r="AB1429" s="50" t="str">
        <f>IF(DaybyDay[[#This Row],[_Space]],DaybyDay[[#This Row],[RETPEN-Act]]/DaybyDay[[#This Row],[RETPEN-Bud]],"")</f>
        <v/>
      </c>
      <c r="AC1429" s="37" t="str">
        <f>IF(DaybyDay[[#This Row],[_Space]],DaybyDay[[#This Row],[Ret-Bud-RU]]/DaybyDay[[#This Row],[Serv-Bud-RU]],"")</f>
        <v/>
      </c>
      <c r="AD1429" s="37" t="str">
        <f>IF(DaybyDay[[#This Row],[_Space]],DaybyDay[[#This Row],[Ret-LY-RU]]/DaybyDay[[#This Row],[Serv-LY-RU]],"")</f>
        <v/>
      </c>
      <c r="AE1429" s="30">
        <f>WEEKDAY(DaybyDay[[#This Row],[LY-Date]])</f>
        <v>2</v>
      </c>
      <c r="AF1429" s="38">
        <f>$E$2+_xlfn.DAYS(DaybyDay[[#This Row],[Date]],minDate)</f>
        <v>43794</v>
      </c>
      <c r="AG1429" s="39" cm="1">
        <f t="array" ref="AG1429">IFERROR(INDEX(DaybyDay[],DaybyDay[[#This Row],[FORM_MATCH_HELPER]],8),"")</f>
        <v>9</v>
      </c>
      <c r="AH1429" s="39" cm="1">
        <f t="array" ref="AH1429">IFERROR(INDEX(DaybyDay[],DaybyDay[[#This Row],[FORM_MATCH_HELPER]],10),"")</f>
        <v>2246</v>
      </c>
      <c r="AI1429" s="39" cm="1">
        <f t="array" ref="AI1429">IFERROR(INDEX(DaybyDay[],DaybyDay[[#This Row],[FORM_MATCH_HELPER]],12),"")</f>
        <v>1753</v>
      </c>
      <c r="AJ1429" s="32">
        <f>IFERROR(DaybyDay[[#This Row],[Serv-LY-RU]]+DaybyDay[[#This Row],[Ret-LY-RU]],"")</f>
        <v>1958852.4809999978</v>
      </c>
      <c r="AK142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1947182.9242243785</v>
      </c>
      <c r="AL1429" s="77"/>
      <c r="AM1429" s="40" t="str">
        <f>IF(DaybyDay[[#This Row],[Admin Hours]]&gt;0,DaybyDay[[#This Row],[Admin Hours]]*$AM$2+$AM$3,"")</f>
        <v/>
      </c>
      <c r="AN1429" s="40">
        <f>SUMIFS(DaybyDay[Est-Admin-Payroll],DaybyDay[Date],"&gt;="&amp;$C$5,DaybyDay[RowYear],"&gt;="&amp;$C$4,DaybyDay[Date],"&lt;="&amp;DaybyDay[[#This Row],[Date]])</f>
        <v>13941.779999999997</v>
      </c>
      <c r="AO1429" s="41" t="str">
        <f>IF(AND(DaybyDay[[#This Row],[_Space]],ISNUMBER(DaybyDay[[#This Row],[Admin Hours]])),DaybyDay[[#This Row],[Est-Admin-Payroll]]/(DaybyDay[[#This Row],[Service-Actuals]]+DaybyDay[[#This Row],[Retail-Actuals]]),"")</f>
        <v/>
      </c>
      <c r="AP1429" s="41">
        <f>DaybyDay[[#This Row],[Estimated-Payroll-Rollup]]/DaybyDay[[#This Row],[Simple-Forecast]]</f>
        <v>7.159974456715938E-3</v>
      </c>
      <c r="AQ142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391140.35845254071</v>
      </c>
      <c r="AR1429" s="77"/>
      <c r="AS1429" s="40" t="str">
        <f>IF(DaybyDay[[#This Row],[Retail Hours]]&gt;0,DaybyDay[[#This Row],[Retail Hours]]*$AS$2,"")</f>
        <v/>
      </c>
      <c r="AT1429" s="40">
        <f>SUMIFS(DaybyDay[Est-Retail-Payroll],DaybyDay[Date],"&gt;="&amp;$C$5,DaybyDay[RowYear],"&gt;="&amp;$C$4,DaybyDay[Date],"&lt;="&amp;DaybyDay[[#This Row],[Date]])</f>
        <v>2627.1</v>
      </c>
      <c r="AU1429" s="82" t="str">
        <f>IF(AND(DaybyDay[[#This Row],[_Space]],ISNUMBER(DaybyDay[[#This Row],[Retail Hours]])),DaybyDay[[#This Row],[Est-Retail-Payroll]]/(DaybyDay[[#This Row],[Retail-Actuals]]),"")</f>
        <v/>
      </c>
      <c r="AV1429" s="82">
        <f>DaybyDay[[#This Row],[Est-Retail-PayrollRU]]/DaybyDay[[#This Row],[Simple-Forecast-Retail]]</f>
        <v>6.7165147835767528E-3</v>
      </c>
      <c r="AW1429" s="8"/>
      <c r="AX1429" s="15"/>
      <c r="AY1429" s="8"/>
    </row>
    <row r="1430" spans="3:51" hidden="1" x14ac:dyDescent="0.25">
      <c r="C1430" s="26" t="str">
        <f>Tools!$C$1</f>
        <v>Example</v>
      </c>
      <c r="D1430" s="27" t="s">
        <v>78</v>
      </c>
      <c r="E1430" s="28">
        <v>2020</v>
      </c>
      <c r="F1430" s="28">
        <f>MATCH(DaybyDay[[#This Row],[RowMonth]],Table3[SummaryMonth],0)</f>
        <v>11</v>
      </c>
      <c r="G1430" s="29">
        <f>MATCH(DaybyDay[[#This Row],[LY-Date]],DaybyDay[Date],0)</f>
        <v>1060</v>
      </c>
      <c r="H1430" s="30">
        <f>WEEKDAY(DaybyDay[[#This Row],[Date]])</f>
        <v>3</v>
      </c>
      <c r="I1430" s="31">
        <v>44159</v>
      </c>
      <c r="J1430" s="74"/>
      <c r="K1430" s="32">
        <f>SUMIFS(BudgetSeasonality[365 Seasonality],BudgetSeasonality[MonthAdjustment],DaybyDay[[#This Row],[Date]])*SUMIFS(Budgets[Service-Budget],Budgets[BudgetMonth],DaybyDay[[#This Row],[RowMonth]],Budgets[BudgetYear],DaybyDay[[#This Row],[RowYear]])</f>
        <v>4201.9159894622217</v>
      </c>
      <c r="L1430" s="75"/>
      <c r="M1430" s="32">
        <f>INDEX(BudgetSeasonality[365 Seasonality],MATCH(DaybyDay[[#This Row],[Date]],BudgetSeasonality[MonthAdjustment],0))*SUMIFS(Budgets[Retail-Budget],Budgets[BudgetMonth],DaybyDay[[#This Row],[RowMonth]],Budgets[BudgetYear],DaybyDay[[#This Row],[RowYear]])</f>
        <v>1538.9248332639531</v>
      </c>
      <c r="N1430" s="75"/>
      <c r="O1430" s="33">
        <f>SUMIFS(DaybyDay[Service-Budgets],DaybyDay[Date],"&gt;="&amp;$C$5,DaybyDay[RowYear],"&gt;="&amp;$C$4,DaybyDay[Date],"&lt;="&amp;DaybyDay[[#This Row],[Date]])</f>
        <v>1752800.5202749926</v>
      </c>
      <c r="P1430" s="33">
        <f>SUMIFS(DaybyDay[Retail-Budgets],DaybyDay[Date],"&gt;="&amp;$C$5,DaybyDay[RowYear],"&gt;="&amp;$C$4,DaybyDay[Date],"&lt;="&amp;DaybyDay[[#This Row],[Date]])</f>
        <v>466868.97305256053</v>
      </c>
      <c r="Q1430" s="34">
        <f>SUMIFS(DaybyDay[Service-Actuals],DaybyDay[Date],"&gt;="&amp;$C$5,DaybyDay[RowYear],"&gt;="&amp;$C$4,DaybyDay[Date],"&lt;="&amp;DaybyDay[[#This Row],[Date]])</f>
        <v>385554.23</v>
      </c>
      <c r="R1430" s="34">
        <f>SUMIFS(DaybyDay[Retail-Actuals],DaybyDay[Date],"&gt;="&amp;$C$5,DaybyDay[RowYear],"&gt;="&amp;$C$4,DaybyDay[Date],"&lt;="&amp;DaybyDay[[#This Row],[Date]])</f>
        <v>88360.030000000028</v>
      </c>
      <c r="S1430" s="35">
        <f>SUMIFS(DaybyDay[Service-LY],DaybyDay[Date],"&gt;="&amp;$C$5,DaybyDay[RowYear],"&gt;="&amp;$C$4,DaybyDay[Date],"&lt;="&amp;DaybyDay[[#This Row],[Date]])</f>
        <v>1579041.0509999979</v>
      </c>
      <c r="T1430" s="35">
        <f>SUMIFS(DaybyDay[Retail-LY],DaybyDay[Date],"&gt;="&amp;$C$5,DaybyDay[RowYear],"&gt;="&amp;$C$4,DaybyDay[Date],"&lt;="&amp;DaybyDay[[#This Row],[Date]])</f>
        <v>385208.91999999987</v>
      </c>
      <c r="U1430" s="32">
        <f>DaybyDay[[#This Row],[Serv-Bud-RU]]+DaybyDay[[#This Row],[Ret-Bud-RU]]</f>
        <v>2219669.4933275529</v>
      </c>
      <c r="V1430" s="32">
        <f>DaybyDay[[#This Row],[Serv-Act-RU]]+DaybyDay[[#This Row],[Ret-Act-RU]]</f>
        <v>473914.26</v>
      </c>
      <c r="W1430" s="36" t="str">
        <f>IF(DaybyDay[[#This Row],[_Space]],IFERROR(
((DaybyDay[[#This Row],[Actual-Rollup]]-DaybyDay[[#This Row],[Budget-Rollup]])/DaybyDay[[#This Row],[Budget-Rollup]]),0),"")</f>
        <v/>
      </c>
      <c r="X1430" t="b">
        <f>NOT(AND(ISBLANK(DaybyDay[[#This Row],[Appts]]),ISBLANK(DaybyDay[[#This Row],[Service-Actuals]]),ISBLANK(DaybyDay[[#This Row],[Retail-Actuals]])))</f>
        <v>0</v>
      </c>
      <c r="Y1430" s="36" t="str">
        <f>IF(DaybyDay[[#This Row],[_Space]],IFERROR(
((DaybyDay[[#This Row],[Actual-Rollup]]-DaybyDay[[#This Row],[LY-Rollup]])/DaybyDay[[#This Row],[LY-Rollup]]),0),"")</f>
        <v/>
      </c>
      <c r="Z1430"/>
      <c r="AA1430" s="37" t="str">
        <f>IF(DaybyDay[[#This Row],[_Space]],DaybyDay[[#This Row],[Ret-Act-RU]]/DaybyDay[[#This Row],[Serv-Act-RU]],"")</f>
        <v/>
      </c>
      <c r="AB1430" s="50" t="str">
        <f>IF(DaybyDay[[#This Row],[_Space]],DaybyDay[[#This Row],[RETPEN-Act]]/DaybyDay[[#This Row],[RETPEN-Bud]],"")</f>
        <v/>
      </c>
      <c r="AC1430" s="37" t="str">
        <f>IF(DaybyDay[[#This Row],[_Space]],DaybyDay[[#This Row],[Ret-Bud-RU]]/DaybyDay[[#This Row],[Serv-Bud-RU]],"")</f>
        <v/>
      </c>
      <c r="AD1430" s="37" t="str">
        <f>IF(DaybyDay[[#This Row],[_Space]],DaybyDay[[#This Row],[Ret-LY-RU]]/DaybyDay[[#This Row],[Serv-LY-RU]],"")</f>
        <v/>
      </c>
      <c r="AE1430" s="30">
        <f>WEEKDAY(DaybyDay[[#This Row],[LY-Date]])</f>
        <v>3</v>
      </c>
      <c r="AF1430" s="38">
        <f>$E$2+_xlfn.DAYS(DaybyDay[[#This Row],[Date]],minDate)</f>
        <v>43795</v>
      </c>
      <c r="AG1430" s="39" cm="1">
        <f t="array" ref="AG1430">IFERROR(INDEX(DaybyDay[],DaybyDay[[#This Row],[FORM_MATCH_HELPER]],8),"")</f>
        <v>14</v>
      </c>
      <c r="AH1430" s="39" cm="1">
        <f t="array" ref="AH1430">IFERROR(INDEX(DaybyDay[],DaybyDay[[#This Row],[FORM_MATCH_HELPER]],10),"")</f>
        <v>2773.99</v>
      </c>
      <c r="AI1430" s="39" cm="1">
        <f t="array" ref="AI1430">IFERROR(INDEX(DaybyDay[],DaybyDay[[#This Row],[FORM_MATCH_HELPER]],12),"")</f>
        <v>2623.5</v>
      </c>
      <c r="AJ1430" s="32">
        <f>IFERROR(DaybyDay[[#This Row],[Serv-LY-RU]]+DaybyDay[[#This Row],[Ret-LY-RU]],"")</f>
        <v>1964249.9709999978</v>
      </c>
      <c r="AK143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1952286.01436242</v>
      </c>
      <c r="AL1430" s="77"/>
      <c r="AM1430" s="40" t="str">
        <f>IF(DaybyDay[[#This Row],[Admin Hours]]&gt;0,DaybyDay[[#This Row],[Admin Hours]]*$AM$2+$AM$3,"")</f>
        <v/>
      </c>
      <c r="AN1430" s="40">
        <f>SUMIFS(DaybyDay[Est-Admin-Payroll],DaybyDay[Date],"&gt;="&amp;$C$5,DaybyDay[RowYear],"&gt;="&amp;$C$4,DaybyDay[Date],"&lt;="&amp;DaybyDay[[#This Row],[Date]])</f>
        <v>13941.779999999997</v>
      </c>
      <c r="AO1430" s="41" t="str">
        <f>IF(AND(DaybyDay[[#This Row],[_Space]],ISNUMBER(DaybyDay[[#This Row],[Admin Hours]])),DaybyDay[[#This Row],[Est-Admin-Payroll]]/(DaybyDay[[#This Row],[Service-Actuals]]+DaybyDay[[#This Row],[Retail-Actuals]]),"")</f>
        <v/>
      </c>
      <c r="AP1430" s="41">
        <f>DaybyDay[[#This Row],[Estimated-Payroll-Rollup]]/DaybyDay[[#This Row],[Simple-Forecast]]</f>
        <v>7.141258963816898E-3</v>
      </c>
      <c r="AQ143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393088.44642837549</v>
      </c>
      <c r="AR1430" s="77"/>
      <c r="AS1430" s="40" t="str">
        <f>IF(DaybyDay[[#This Row],[Retail Hours]]&gt;0,DaybyDay[[#This Row],[Retail Hours]]*$AS$2,"")</f>
        <v/>
      </c>
      <c r="AT1430" s="40">
        <f>SUMIFS(DaybyDay[Est-Retail-Payroll],DaybyDay[Date],"&gt;="&amp;$C$5,DaybyDay[RowYear],"&gt;="&amp;$C$4,DaybyDay[Date],"&lt;="&amp;DaybyDay[[#This Row],[Date]])</f>
        <v>2627.1</v>
      </c>
      <c r="AU1430" s="82" t="str">
        <f>IF(AND(DaybyDay[[#This Row],[_Space]],ISNUMBER(DaybyDay[[#This Row],[Retail Hours]])),DaybyDay[[#This Row],[Est-Retail-Payroll]]/(DaybyDay[[#This Row],[Retail-Actuals]]),"")</f>
        <v/>
      </c>
      <c r="AV1430" s="82">
        <f>DaybyDay[[#This Row],[Est-Retail-PayrollRU]]/DaybyDay[[#This Row],[Simple-Forecast-Retail]]</f>
        <v>6.6832287335585249E-3</v>
      </c>
      <c r="AW1430" s="8"/>
      <c r="AX1430" s="15"/>
      <c r="AY1430" s="8"/>
    </row>
    <row r="1431" spans="3:51" hidden="1" x14ac:dyDescent="0.25">
      <c r="C1431" s="26" t="str">
        <f>Tools!$C$1</f>
        <v>Example</v>
      </c>
      <c r="D1431" s="27" t="s">
        <v>78</v>
      </c>
      <c r="E1431" s="28">
        <v>2020</v>
      </c>
      <c r="F1431" s="28">
        <f>MATCH(DaybyDay[[#This Row],[RowMonth]],Table3[SummaryMonth],0)</f>
        <v>11</v>
      </c>
      <c r="G1431" s="29">
        <f>MATCH(DaybyDay[[#This Row],[LY-Date]],DaybyDay[Date],0)</f>
        <v>1061</v>
      </c>
      <c r="H1431" s="30">
        <f>WEEKDAY(DaybyDay[[#This Row],[Date]])</f>
        <v>4</v>
      </c>
      <c r="I1431" s="31">
        <v>44160</v>
      </c>
      <c r="J1431" s="74"/>
      <c r="K1431" s="32">
        <f>SUMIFS(BudgetSeasonality[365 Seasonality],BudgetSeasonality[MonthAdjustment],DaybyDay[[#This Row],[Date]])*SUMIFS(Budgets[Service-Budget],Budgets[BudgetMonth],DaybyDay[[#This Row],[RowMonth]],Budgets[BudgetYear],DaybyDay[[#This Row],[RowYear]])</f>
        <v>4784.3355749804878</v>
      </c>
      <c r="L1431" s="75"/>
      <c r="M1431" s="32">
        <f>INDEX(BudgetSeasonality[365 Seasonality],MATCH(DaybyDay[[#This Row],[Date]],BudgetSeasonality[MonthAdjustment],0))*SUMIFS(Budgets[Retail-Budget],Budgets[BudgetMonth],DaybyDay[[#This Row],[RowMonth]],Budgets[BudgetYear],DaybyDay[[#This Row],[RowYear]])</f>
        <v>1752.2322781964899</v>
      </c>
      <c r="N1431" s="75"/>
      <c r="O1431" s="33">
        <f>SUMIFS(DaybyDay[Service-Budgets],DaybyDay[Date],"&gt;="&amp;$C$5,DaybyDay[RowYear],"&gt;="&amp;$C$4,DaybyDay[Date],"&lt;="&amp;DaybyDay[[#This Row],[Date]])</f>
        <v>1757584.8558499732</v>
      </c>
      <c r="P1431" s="33">
        <f>SUMIFS(DaybyDay[Retail-Budgets],DaybyDay[Date],"&gt;="&amp;$C$5,DaybyDay[RowYear],"&gt;="&amp;$C$4,DaybyDay[Date],"&lt;="&amp;DaybyDay[[#This Row],[Date]])</f>
        <v>468621.20533075702</v>
      </c>
      <c r="Q1431" s="34">
        <f>SUMIFS(DaybyDay[Service-Actuals],DaybyDay[Date],"&gt;="&amp;$C$5,DaybyDay[RowYear],"&gt;="&amp;$C$4,DaybyDay[Date],"&lt;="&amp;DaybyDay[[#This Row],[Date]])</f>
        <v>385554.23</v>
      </c>
      <c r="R1431" s="34">
        <f>SUMIFS(DaybyDay[Retail-Actuals],DaybyDay[Date],"&gt;="&amp;$C$5,DaybyDay[RowYear],"&gt;="&amp;$C$4,DaybyDay[Date],"&lt;="&amp;DaybyDay[[#This Row],[Date]])</f>
        <v>88360.030000000028</v>
      </c>
      <c r="S1431" s="35">
        <f>SUMIFS(DaybyDay[Service-LY],DaybyDay[Date],"&gt;="&amp;$C$5,DaybyDay[RowYear],"&gt;="&amp;$C$4,DaybyDay[Date],"&lt;="&amp;DaybyDay[[#This Row],[Date]])</f>
        <v>1582758.900999998</v>
      </c>
      <c r="T1431" s="35">
        <f>SUMIFS(DaybyDay[Retail-LY],DaybyDay[Date],"&gt;="&amp;$C$5,DaybyDay[RowYear],"&gt;="&amp;$C$4,DaybyDay[Date],"&lt;="&amp;DaybyDay[[#This Row],[Date]])</f>
        <v>388524.56999999989</v>
      </c>
      <c r="U1431" s="32">
        <f>DaybyDay[[#This Row],[Serv-Bud-RU]]+DaybyDay[[#This Row],[Ret-Bud-RU]]</f>
        <v>2226206.0611807304</v>
      </c>
      <c r="V1431" s="32">
        <f>DaybyDay[[#This Row],[Serv-Act-RU]]+DaybyDay[[#This Row],[Ret-Act-RU]]</f>
        <v>473914.26</v>
      </c>
      <c r="W1431" s="36" t="str">
        <f>IF(DaybyDay[[#This Row],[_Space]],IFERROR(
((DaybyDay[[#This Row],[Actual-Rollup]]-DaybyDay[[#This Row],[Budget-Rollup]])/DaybyDay[[#This Row],[Budget-Rollup]]),0),"")</f>
        <v/>
      </c>
      <c r="X1431" t="b">
        <f>NOT(AND(ISBLANK(DaybyDay[[#This Row],[Appts]]),ISBLANK(DaybyDay[[#This Row],[Service-Actuals]]),ISBLANK(DaybyDay[[#This Row],[Retail-Actuals]])))</f>
        <v>0</v>
      </c>
      <c r="Y1431" s="36" t="str">
        <f>IF(DaybyDay[[#This Row],[_Space]],IFERROR(
((DaybyDay[[#This Row],[Actual-Rollup]]-DaybyDay[[#This Row],[LY-Rollup]])/DaybyDay[[#This Row],[LY-Rollup]]),0),"")</f>
        <v/>
      </c>
      <c r="Z1431"/>
      <c r="AA1431" s="37" t="str">
        <f>IF(DaybyDay[[#This Row],[_Space]],DaybyDay[[#This Row],[Ret-Act-RU]]/DaybyDay[[#This Row],[Serv-Act-RU]],"")</f>
        <v/>
      </c>
      <c r="AB1431" s="50" t="str">
        <f>IF(DaybyDay[[#This Row],[_Space]],DaybyDay[[#This Row],[RETPEN-Act]]/DaybyDay[[#This Row],[RETPEN-Bud]],"")</f>
        <v/>
      </c>
      <c r="AC1431" s="37" t="str">
        <f>IF(DaybyDay[[#This Row],[_Space]],DaybyDay[[#This Row],[Ret-Bud-RU]]/DaybyDay[[#This Row],[Serv-Bud-RU]],"")</f>
        <v/>
      </c>
      <c r="AD1431" s="37" t="str">
        <f>IF(DaybyDay[[#This Row],[_Space]],DaybyDay[[#This Row],[Ret-LY-RU]]/DaybyDay[[#This Row],[Serv-LY-RU]],"")</f>
        <v/>
      </c>
      <c r="AE1431" s="30">
        <f>WEEKDAY(DaybyDay[[#This Row],[LY-Date]])</f>
        <v>4</v>
      </c>
      <c r="AF1431" s="38">
        <f>$E$2+_xlfn.DAYS(DaybyDay[[#This Row],[Date]],minDate)</f>
        <v>43796</v>
      </c>
      <c r="AG1431" s="39" cm="1">
        <f t="array" ref="AG1431">IFERROR(INDEX(DaybyDay[],DaybyDay[[#This Row],[FORM_MATCH_HELPER]],8),"")</f>
        <v>18</v>
      </c>
      <c r="AH1431" s="39" cm="1">
        <f t="array" ref="AH1431">IFERROR(INDEX(DaybyDay[],DaybyDay[[#This Row],[FORM_MATCH_HELPER]],10),"")</f>
        <v>3717.85</v>
      </c>
      <c r="AI1431" s="39" cm="1">
        <f t="array" ref="AI1431">IFERROR(INDEX(DaybyDay[],DaybyDay[[#This Row],[FORM_MATCH_HELPER]],12),"")</f>
        <v>3315.65</v>
      </c>
      <c r="AJ1431" s="32">
        <f>IFERROR(DaybyDay[[#This Row],[Serv-LY-RU]]+DaybyDay[[#This Row],[Ret-LY-RU]],"")</f>
        <v>1971283.4709999978</v>
      </c>
      <c r="AK143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1958534.1944627985</v>
      </c>
      <c r="AL1431" s="77"/>
      <c r="AM1431" s="40" t="str">
        <f>IF(DaybyDay[[#This Row],[Admin Hours]]&gt;0,DaybyDay[[#This Row],[Admin Hours]]*$AM$2+$AM$3,"")</f>
        <v/>
      </c>
      <c r="AN1431" s="40">
        <f>SUMIFS(DaybyDay[Est-Admin-Payroll],DaybyDay[Date],"&gt;="&amp;$C$5,DaybyDay[RowYear],"&gt;="&amp;$C$4,DaybyDay[Date],"&lt;="&amp;DaybyDay[[#This Row],[Date]])</f>
        <v>13941.779999999997</v>
      </c>
      <c r="AO1431" s="41" t="str">
        <f>IF(AND(DaybyDay[[#This Row],[_Space]],ISNUMBER(DaybyDay[[#This Row],[Admin Hours]])),DaybyDay[[#This Row],[Est-Admin-Payroll]]/(DaybyDay[[#This Row],[Service-Actuals]]+DaybyDay[[#This Row],[Retail-Actuals]]),"")</f>
        <v/>
      </c>
      <c r="AP1431" s="41">
        <f>DaybyDay[[#This Row],[Estimated-Payroll-Rollup]]/DaybyDay[[#This Row],[Simple-Forecast]]</f>
        <v>7.1184766849700333E-3</v>
      </c>
      <c r="AQ143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395468.52561770147</v>
      </c>
      <c r="AR1431" s="77"/>
      <c r="AS1431" s="40" t="str">
        <f>IF(DaybyDay[[#This Row],[Retail Hours]]&gt;0,DaybyDay[[#This Row],[Retail Hours]]*$AS$2,"")</f>
        <v/>
      </c>
      <c r="AT1431" s="40">
        <f>SUMIFS(DaybyDay[Est-Retail-Payroll],DaybyDay[Date],"&gt;="&amp;$C$5,DaybyDay[RowYear],"&gt;="&amp;$C$4,DaybyDay[Date],"&lt;="&amp;DaybyDay[[#This Row],[Date]])</f>
        <v>2627.1</v>
      </c>
      <c r="AU1431" s="82" t="str">
        <f>IF(AND(DaybyDay[[#This Row],[_Space]],ISNUMBER(DaybyDay[[#This Row],[Retail Hours]])),DaybyDay[[#This Row],[Est-Retail-Payroll]]/(DaybyDay[[#This Row],[Retail-Actuals]]),"")</f>
        <v/>
      </c>
      <c r="AV1431" s="82">
        <f>DaybyDay[[#This Row],[Est-Retail-PayrollRU]]/DaybyDay[[#This Row],[Simple-Forecast-Retail]]</f>
        <v>6.6430065348351171E-3</v>
      </c>
      <c r="AW1431" s="8"/>
      <c r="AX1431" s="15"/>
      <c r="AY1431" s="8"/>
    </row>
    <row r="1432" spans="3:51" hidden="1" x14ac:dyDescent="0.25">
      <c r="C1432" s="26" t="str">
        <f>Tools!$C$1</f>
        <v>Example</v>
      </c>
      <c r="D1432" s="27" t="s">
        <v>78</v>
      </c>
      <c r="E1432" s="28">
        <v>2020</v>
      </c>
      <c r="F1432" s="28">
        <f>MATCH(DaybyDay[[#This Row],[RowMonth]],Table3[SummaryMonth],0)</f>
        <v>11</v>
      </c>
      <c r="G1432" s="29">
        <f>MATCH(DaybyDay[[#This Row],[LY-Date]],DaybyDay[Date],0)</f>
        <v>1062</v>
      </c>
      <c r="H1432" s="30">
        <f>WEEKDAY(DaybyDay[[#This Row],[Date]])</f>
        <v>5</v>
      </c>
      <c r="I1432" s="31">
        <v>44161</v>
      </c>
      <c r="J1432" s="74"/>
      <c r="K1432" s="32">
        <f>SUMIFS(BudgetSeasonality[365 Seasonality],BudgetSeasonality[MonthAdjustment],DaybyDay[[#This Row],[Date]])*SUMIFS(Budgets[Service-Budget],Budgets[BudgetMonth],DaybyDay[[#This Row],[RowMonth]],Budgets[BudgetYear],DaybyDay[[#This Row],[RowYear]])</f>
        <v>4895.2016856260152</v>
      </c>
      <c r="L1432" s="75"/>
      <c r="M1432" s="32">
        <f>INDEX(BudgetSeasonality[365 Seasonality],MATCH(DaybyDay[[#This Row],[Date]],BudgetSeasonality[MonthAdjustment],0))*SUMIFS(Budgets[Retail-Budget],Budgets[BudgetMonth],DaybyDay[[#This Row],[RowMonth]],Budgets[BudgetYear],DaybyDay[[#This Row],[RowYear]])</f>
        <v>1792.8362815291759</v>
      </c>
      <c r="N1432" s="75"/>
      <c r="O1432" s="33">
        <f>SUMIFS(DaybyDay[Service-Budgets],DaybyDay[Date],"&gt;="&amp;$C$5,DaybyDay[RowYear],"&gt;="&amp;$C$4,DaybyDay[Date],"&lt;="&amp;DaybyDay[[#This Row],[Date]])</f>
        <v>1762480.0575355992</v>
      </c>
      <c r="P1432" s="33">
        <f>SUMIFS(DaybyDay[Retail-Budgets],DaybyDay[Date],"&gt;="&amp;$C$5,DaybyDay[RowYear],"&gt;="&amp;$C$4,DaybyDay[Date],"&lt;="&amp;DaybyDay[[#This Row],[Date]])</f>
        <v>470414.04161228618</v>
      </c>
      <c r="Q1432" s="34">
        <f>SUMIFS(DaybyDay[Service-Actuals],DaybyDay[Date],"&gt;="&amp;$C$5,DaybyDay[RowYear],"&gt;="&amp;$C$4,DaybyDay[Date],"&lt;="&amp;DaybyDay[[#This Row],[Date]])</f>
        <v>385554.23</v>
      </c>
      <c r="R1432" s="34">
        <f>SUMIFS(DaybyDay[Retail-Actuals],DaybyDay[Date],"&gt;="&amp;$C$5,DaybyDay[RowYear],"&gt;="&amp;$C$4,DaybyDay[Date],"&lt;="&amp;DaybyDay[[#This Row],[Date]])</f>
        <v>88360.030000000028</v>
      </c>
      <c r="S1432" s="35">
        <f>SUMIFS(DaybyDay[Service-LY],DaybyDay[Date],"&gt;="&amp;$C$5,DaybyDay[RowYear],"&gt;="&amp;$C$4,DaybyDay[Date],"&lt;="&amp;DaybyDay[[#This Row],[Date]])</f>
        <v>1585629.900999998</v>
      </c>
      <c r="T1432" s="35">
        <f>SUMIFS(DaybyDay[Retail-LY],DaybyDay[Date],"&gt;="&amp;$C$5,DaybyDay[RowYear],"&gt;="&amp;$C$4,DaybyDay[Date],"&lt;="&amp;DaybyDay[[#This Row],[Date]])</f>
        <v>389738.56999999989</v>
      </c>
      <c r="U1432" s="32">
        <f>DaybyDay[[#This Row],[Serv-Bud-RU]]+DaybyDay[[#This Row],[Ret-Bud-RU]]</f>
        <v>2232894.0991478856</v>
      </c>
      <c r="V1432" s="32">
        <f>DaybyDay[[#This Row],[Serv-Act-RU]]+DaybyDay[[#This Row],[Ret-Act-RU]]</f>
        <v>473914.26</v>
      </c>
      <c r="W1432" s="36" t="str">
        <f>IF(DaybyDay[[#This Row],[_Space]],IFERROR(
((DaybyDay[[#This Row],[Actual-Rollup]]-DaybyDay[[#This Row],[Budget-Rollup]])/DaybyDay[[#This Row],[Budget-Rollup]]),0),"")</f>
        <v/>
      </c>
      <c r="X1432" t="b">
        <f>NOT(AND(ISBLANK(DaybyDay[[#This Row],[Appts]]),ISBLANK(DaybyDay[[#This Row],[Service-Actuals]]),ISBLANK(DaybyDay[[#This Row],[Retail-Actuals]])))</f>
        <v>0</v>
      </c>
      <c r="Y1432" s="36" t="str">
        <f>IF(DaybyDay[[#This Row],[_Space]],IFERROR(
((DaybyDay[[#This Row],[Actual-Rollup]]-DaybyDay[[#This Row],[LY-Rollup]])/DaybyDay[[#This Row],[LY-Rollup]]),0),"")</f>
        <v/>
      </c>
      <c r="Z1432"/>
      <c r="AA1432" s="37" t="str">
        <f>IF(DaybyDay[[#This Row],[_Space]],DaybyDay[[#This Row],[Ret-Act-RU]]/DaybyDay[[#This Row],[Serv-Act-RU]],"")</f>
        <v/>
      </c>
      <c r="AB1432" s="50" t="str">
        <f>IF(DaybyDay[[#This Row],[_Space]],DaybyDay[[#This Row],[RETPEN-Act]]/DaybyDay[[#This Row],[RETPEN-Bud]],"")</f>
        <v/>
      </c>
      <c r="AC1432" s="37" t="str">
        <f>IF(DaybyDay[[#This Row],[_Space]],DaybyDay[[#This Row],[Ret-Bud-RU]]/DaybyDay[[#This Row],[Serv-Bud-RU]],"")</f>
        <v/>
      </c>
      <c r="AD1432" s="37" t="str">
        <f>IF(DaybyDay[[#This Row],[_Space]],DaybyDay[[#This Row],[Ret-LY-RU]]/DaybyDay[[#This Row],[Serv-LY-RU]],"")</f>
        <v/>
      </c>
      <c r="AE1432" s="30">
        <f>WEEKDAY(DaybyDay[[#This Row],[LY-Date]])</f>
        <v>5</v>
      </c>
      <c r="AF1432" s="38">
        <f>$E$2+_xlfn.DAYS(DaybyDay[[#This Row],[Date]],minDate)</f>
        <v>43797</v>
      </c>
      <c r="AG1432" s="39" cm="1">
        <f t="array" ref="AG1432">IFERROR(INDEX(DaybyDay[],DaybyDay[[#This Row],[FORM_MATCH_HELPER]],8),"")</f>
        <v>11</v>
      </c>
      <c r="AH1432" s="39" cm="1">
        <f t="array" ref="AH1432">IFERROR(INDEX(DaybyDay[],DaybyDay[[#This Row],[FORM_MATCH_HELPER]],10),"")</f>
        <v>2871</v>
      </c>
      <c r="AI1432" s="39" cm="1">
        <f t="array" ref="AI1432">IFERROR(INDEX(DaybyDay[],DaybyDay[[#This Row],[FORM_MATCH_HELPER]],12),"")</f>
        <v>1214</v>
      </c>
      <c r="AJ1432" s="32">
        <f>IFERROR(DaybyDay[[#This Row],[Serv-LY-RU]]+DaybyDay[[#This Row],[Ret-LY-RU]],"")</f>
        <v>1975368.4709999978</v>
      </c>
      <c r="AK143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1963393.0651720059</v>
      </c>
      <c r="AL1432" s="77"/>
      <c r="AM1432" s="40" t="str">
        <f>IF(DaybyDay[[#This Row],[Admin Hours]]&gt;0,DaybyDay[[#This Row],[Admin Hours]]*$AM$2+$AM$3,"")</f>
        <v/>
      </c>
      <c r="AN1432" s="40">
        <f>SUMIFS(DaybyDay[Est-Admin-Payroll],DaybyDay[Date],"&gt;="&amp;$C$5,DaybyDay[RowYear],"&gt;="&amp;$C$4,DaybyDay[Date],"&lt;="&amp;DaybyDay[[#This Row],[Date]])</f>
        <v>13941.779999999997</v>
      </c>
      <c r="AO1432" s="41" t="str">
        <f>IF(AND(DaybyDay[[#This Row],[_Space]],ISNUMBER(DaybyDay[[#This Row],[Admin Hours]])),DaybyDay[[#This Row],[Est-Admin-Payroll]]/(DaybyDay[[#This Row],[Service-Actuals]]+DaybyDay[[#This Row],[Retail-Actuals]]),"")</f>
        <v/>
      </c>
      <c r="AP1432" s="41">
        <f>DaybyDay[[#This Row],[Estimated-Payroll-Rollup]]/DaybyDay[[#This Row],[Simple-Forecast]]</f>
        <v>7.1008603663263968E-3</v>
      </c>
      <c r="AQ143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396829.67163249047</v>
      </c>
      <c r="AR1432" s="77"/>
      <c r="AS1432" s="40" t="str">
        <f>IF(DaybyDay[[#This Row],[Retail Hours]]&gt;0,DaybyDay[[#This Row],[Retail Hours]]*$AS$2,"")</f>
        <v/>
      </c>
      <c r="AT1432" s="40">
        <f>SUMIFS(DaybyDay[Est-Retail-Payroll],DaybyDay[Date],"&gt;="&amp;$C$5,DaybyDay[RowYear],"&gt;="&amp;$C$4,DaybyDay[Date],"&lt;="&amp;DaybyDay[[#This Row],[Date]])</f>
        <v>2627.1</v>
      </c>
      <c r="AU1432" s="82" t="str">
        <f>IF(AND(DaybyDay[[#This Row],[_Space]],ISNUMBER(DaybyDay[[#This Row],[Retail Hours]])),DaybyDay[[#This Row],[Est-Retail-Payroll]]/(DaybyDay[[#This Row],[Retail-Actuals]]),"")</f>
        <v/>
      </c>
      <c r="AV1432" s="82">
        <f>DaybyDay[[#This Row],[Est-Retail-PayrollRU]]/DaybyDay[[#This Row],[Simple-Forecast-Retail]]</f>
        <v>6.6202206835808235E-3</v>
      </c>
      <c r="AW1432" s="8"/>
      <c r="AX1432" s="15"/>
      <c r="AY1432" s="8"/>
    </row>
    <row r="1433" spans="3:51" hidden="1" x14ac:dyDescent="0.25">
      <c r="C1433" s="26" t="str">
        <f>Tools!$C$1</f>
        <v>Example</v>
      </c>
      <c r="D1433" s="27" t="s">
        <v>78</v>
      </c>
      <c r="E1433" s="28">
        <v>2020</v>
      </c>
      <c r="F1433" s="28">
        <f>MATCH(DaybyDay[[#This Row],[RowMonth]],Table3[SummaryMonth],0)</f>
        <v>11</v>
      </c>
      <c r="G1433" s="29">
        <f>MATCH(DaybyDay[[#This Row],[LY-Date]],DaybyDay[Date],0)</f>
        <v>1063</v>
      </c>
      <c r="H1433" s="30">
        <f>WEEKDAY(DaybyDay[[#This Row],[Date]])</f>
        <v>6</v>
      </c>
      <c r="I1433" s="31">
        <v>44162</v>
      </c>
      <c r="J1433" s="74"/>
      <c r="K1433" s="32">
        <f>SUMIFS(BudgetSeasonality[365 Seasonality],BudgetSeasonality[MonthAdjustment],DaybyDay[[#This Row],[Date]])*SUMIFS(Budgets[Service-Budget],Budgets[BudgetMonth],DaybyDay[[#This Row],[RowMonth]],Budgets[BudgetYear],DaybyDay[[#This Row],[RowYear]])</f>
        <v>6000.5541616774663</v>
      </c>
      <c r="L1433" s="75"/>
      <c r="M1433" s="32">
        <f>INDEX(BudgetSeasonality[365 Seasonality],MATCH(DaybyDay[[#This Row],[Date]],BudgetSeasonality[MonthAdjustment],0))*SUMIFS(Budgets[Retail-Budget],Budgets[BudgetMonth],DaybyDay[[#This Row],[RowMonth]],Budgets[BudgetYear],DaybyDay[[#This Row],[RowYear]])</f>
        <v>2197.6645501502921</v>
      </c>
      <c r="N1433" s="75"/>
      <c r="O1433" s="33">
        <f>SUMIFS(DaybyDay[Service-Budgets],DaybyDay[Date],"&gt;="&amp;$C$5,DaybyDay[RowYear],"&gt;="&amp;$C$4,DaybyDay[Date],"&lt;="&amp;DaybyDay[[#This Row],[Date]])</f>
        <v>1768480.6116972766</v>
      </c>
      <c r="P1433" s="33">
        <f>SUMIFS(DaybyDay[Retail-Budgets],DaybyDay[Date],"&gt;="&amp;$C$5,DaybyDay[RowYear],"&gt;="&amp;$C$4,DaybyDay[Date],"&lt;="&amp;DaybyDay[[#This Row],[Date]])</f>
        <v>472611.70616243646</v>
      </c>
      <c r="Q1433" s="34">
        <f>SUMIFS(DaybyDay[Service-Actuals],DaybyDay[Date],"&gt;="&amp;$C$5,DaybyDay[RowYear],"&gt;="&amp;$C$4,DaybyDay[Date],"&lt;="&amp;DaybyDay[[#This Row],[Date]])</f>
        <v>385554.23</v>
      </c>
      <c r="R1433" s="34">
        <f>SUMIFS(DaybyDay[Retail-Actuals],DaybyDay[Date],"&gt;="&amp;$C$5,DaybyDay[RowYear],"&gt;="&amp;$C$4,DaybyDay[Date],"&lt;="&amp;DaybyDay[[#This Row],[Date]])</f>
        <v>88360.030000000028</v>
      </c>
      <c r="S1433" s="35">
        <f>SUMIFS(DaybyDay[Service-LY],DaybyDay[Date],"&gt;="&amp;$C$5,DaybyDay[RowYear],"&gt;="&amp;$C$4,DaybyDay[Date],"&lt;="&amp;DaybyDay[[#This Row],[Date]])</f>
        <v>1592325.1009999979</v>
      </c>
      <c r="T1433" s="35">
        <f>SUMIFS(DaybyDay[Retail-LY],DaybyDay[Date],"&gt;="&amp;$C$5,DaybyDay[RowYear],"&gt;="&amp;$C$4,DaybyDay[Date],"&lt;="&amp;DaybyDay[[#This Row],[Date]])</f>
        <v>394732.56999999989</v>
      </c>
      <c r="U1433" s="32">
        <f>DaybyDay[[#This Row],[Serv-Bud-RU]]+DaybyDay[[#This Row],[Ret-Bud-RU]]</f>
        <v>2241092.317859713</v>
      </c>
      <c r="V1433" s="32">
        <f>DaybyDay[[#This Row],[Serv-Act-RU]]+DaybyDay[[#This Row],[Ret-Act-RU]]</f>
        <v>473914.26</v>
      </c>
      <c r="W1433" s="36" t="str">
        <f>IF(DaybyDay[[#This Row],[_Space]],IFERROR(
((DaybyDay[[#This Row],[Actual-Rollup]]-DaybyDay[[#This Row],[Budget-Rollup]])/DaybyDay[[#This Row],[Budget-Rollup]]),0),"")</f>
        <v/>
      </c>
      <c r="X1433" t="b">
        <f>NOT(AND(ISBLANK(DaybyDay[[#This Row],[Appts]]),ISBLANK(DaybyDay[[#This Row],[Service-Actuals]]),ISBLANK(DaybyDay[[#This Row],[Retail-Actuals]])))</f>
        <v>0</v>
      </c>
      <c r="Y1433" s="36" t="str">
        <f>IF(DaybyDay[[#This Row],[_Space]],IFERROR(
((DaybyDay[[#This Row],[Actual-Rollup]]-DaybyDay[[#This Row],[LY-Rollup]])/DaybyDay[[#This Row],[LY-Rollup]]),0),"")</f>
        <v/>
      </c>
      <c r="Z1433"/>
      <c r="AA1433" s="37" t="str">
        <f>IF(DaybyDay[[#This Row],[_Space]],DaybyDay[[#This Row],[Ret-Act-RU]]/DaybyDay[[#This Row],[Serv-Act-RU]],"")</f>
        <v/>
      </c>
      <c r="AB1433" s="50" t="str">
        <f>IF(DaybyDay[[#This Row],[_Space]],DaybyDay[[#This Row],[RETPEN-Act]]/DaybyDay[[#This Row],[RETPEN-Bud]],"")</f>
        <v/>
      </c>
      <c r="AC1433" s="37" t="str">
        <f>IF(DaybyDay[[#This Row],[_Space]],DaybyDay[[#This Row],[Ret-Bud-RU]]/DaybyDay[[#This Row],[Serv-Bud-RU]],"")</f>
        <v/>
      </c>
      <c r="AD1433" s="37" t="str">
        <f>IF(DaybyDay[[#This Row],[_Space]],DaybyDay[[#This Row],[Ret-LY-RU]]/DaybyDay[[#This Row],[Serv-LY-RU]],"")</f>
        <v/>
      </c>
      <c r="AE1433" s="30">
        <f>WEEKDAY(DaybyDay[[#This Row],[LY-Date]])</f>
        <v>6</v>
      </c>
      <c r="AF1433" s="38">
        <f>$E$2+_xlfn.DAYS(DaybyDay[[#This Row],[Date]],minDate)</f>
        <v>43798</v>
      </c>
      <c r="AG1433" s="39" cm="1">
        <f t="array" ref="AG1433">IFERROR(INDEX(DaybyDay[],DaybyDay[[#This Row],[FORM_MATCH_HELPER]],8),"")</f>
        <v>27</v>
      </c>
      <c r="AH1433" s="39" cm="1">
        <f t="array" ref="AH1433">IFERROR(INDEX(DaybyDay[],DaybyDay[[#This Row],[FORM_MATCH_HELPER]],10),"")</f>
        <v>6695.2000000000007</v>
      </c>
      <c r="AI1433" s="39" cm="1">
        <f t="array" ref="AI1433">IFERROR(INDEX(DaybyDay[],DaybyDay[[#This Row],[FORM_MATCH_HELPER]],12),"")</f>
        <v>4994</v>
      </c>
      <c r="AJ1433" s="32">
        <f>IFERROR(DaybyDay[[#This Row],[Serv-LY-RU]]+DaybyDay[[#This Row],[Ret-LY-RU]],"")</f>
        <v>1987057.6709999978</v>
      </c>
      <c r="AK143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1972643.4977853913</v>
      </c>
      <c r="AL1433" s="77"/>
      <c r="AM1433" s="40" t="str">
        <f>IF(DaybyDay[[#This Row],[Admin Hours]]&gt;0,DaybyDay[[#This Row],[Admin Hours]]*$AM$2+$AM$3,"")</f>
        <v/>
      </c>
      <c r="AN1433" s="40">
        <f>SUMIFS(DaybyDay[Est-Admin-Payroll],DaybyDay[Date],"&gt;="&amp;$C$5,DaybyDay[RowYear],"&gt;="&amp;$C$4,DaybyDay[Date],"&lt;="&amp;DaybyDay[[#This Row],[Date]])</f>
        <v>13941.779999999997</v>
      </c>
      <c r="AO1433" s="41" t="str">
        <f>IF(AND(DaybyDay[[#This Row],[_Space]],ISNUMBER(DaybyDay[[#This Row],[Admin Hours]])),DaybyDay[[#This Row],[Est-Admin-Payroll]]/(DaybyDay[[#This Row],[Service-Actuals]]+DaybyDay[[#This Row],[Retail-Actuals]]),"")</f>
        <v/>
      </c>
      <c r="AP1433" s="41">
        <f>DaybyDay[[#This Row],[Estimated-Payroll-Rollup]]/DaybyDay[[#This Row],[Simple-Forecast]]</f>
        <v>7.0675618861957982E-3</v>
      </c>
      <c r="AQ143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400226.71667166881</v>
      </c>
      <c r="AR1433" s="77"/>
      <c r="AS1433" s="40" t="str">
        <f>IF(DaybyDay[[#This Row],[Retail Hours]]&gt;0,DaybyDay[[#This Row],[Retail Hours]]*$AS$2,"")</f>
        <v/>
      </c>
      <c r="AT1433" s="40">
        <f>SUMIFS(DaybyDay[Est-Retail-Payroll],DaybyDay[Date],"&gt;="&amp;$C$5,DaybyDay[RowYear],"&gt;="&amp;$C$4,DaybyDay[Date],"&lt;="&amp;DaybyDay[[#This Row],[Date]])</f>
        <v>2627.1</v>
      </c>
      <c r="AU1433" s="82" t="str">
        <f>IF(AND(DaybyDay[[#This Row],[_Space]],ISNUMBER(DaybyDay[[#This Row],[Retail Hours]])),DaybyDay[[#This Row],[Est-Retail-Payroll]]/(DaybyDay[[#This Row],[Retail-Actuals]]),"")</f>
        <v/>
      </c>
      <c r="AV1433" s="82">
        <f>DaybyDay[[#This Row],[Est-Retail-PayrollRU]]/DaybyDay[[#This Row],[Simple-Forecast-Retail]]</f>
        <v>6.5640295626620436E-3</v>
      </c>
      <c r="AW1433" s="8"/>
      <c r="AX1433" s="15"/>
      <c r="AY1433" s="8"/>
    </row>
    <row r="1434" spans="3:51" hidden="1" x14ac:dyDescent="0.25">
      <c r="C1434" s="26" t="str">
        <f>Tools!$C$1</f>
        <v>Example</v>
      </c>
      <c r="D1434" s="27" t="s">
        <v>78</v>
      </c>
      <c r="E1434" s="28">
        <v>2020</v>
      </c>
      <c r="F1434" s="28">
        <f>MATCH(DaybyDay[[#This Row],[RowMonth]],Table3[SummaryMonth],0)</f>
        <v>11</v>
      </c>
      <c r="G1434" s="29">
        <f>MATCH(DaybyDay[[#This Row],[LY-Date]],DaybyDay[Date],0)</f>
        <v>1064</v>
      </c>
      <c r="H1434" s="30">
        <f>WEEKDAY(DaybyDay[[#This Row],[Date]])</f>
        <v>7</v>
      </c>
      <c r="I1434" s="31">
        <v>44163</v>
      </c>
      <c r="J1434" s="74"/>
      <c r="K1434" s="32">
        <f>SUMIFS(BudgetSeasonality[365 Seasonality],BudgetSeasonality[MonthAdjustment],DaybyDay[[#This Row],[Date]])*SUMIFS(Budgets[Service-Budget],Budgets[BudgetMonth],DaybyDay[[#This Row],[RowMonth]],Budgets[BudgetYear],DaybyDay[[#This Row],[RowYear]])</f>
        <v>8355.3672725565866</v>
      </c>
      <c r="L1434" s="75"/>
      <c r="M1434" s="32">
        <f>INDEX(BudgetSeasonality[365 Seasonality],MATCH(DaybyDay[[#This Row],[Date]],BudgetSeasonality[MonthAdjustment],0))*SUMIFS(Budgets[Retail-Budget],Budgets[BudgetMonth],DaybyDay[[#This Row],[RowMonth]],Budgets[BudgetYear],DaybyDay[[#This Row],[RowYear]])</f>
        <v>3060.099778059554</v>
      </c>
      <c r="N1434" s="75"/>
      <c r="O1434" s="33">
        <f>SUMIFS(DaybyDay[Service-Budgets],DaybyDay[Date],"&gt;="&amp;$C$5,DaybyDay[RowYear],"&gt;="&amp;$C$4,DaybyDay[Date],"&lt;="&amp;DaybyDay[[#This Row],[Date]])</f>
        <v>1776835.9789698331</v>
      </c>
      <c r="P1434" s="33">
        <f>SUMIFS(DaybyDay[Retail-Budgets],DaybyDay[Date],"&gt;="&amp;$C$5,DaybyDay[RowYear],"&gt;="&amp;$C$4,DaybyDay[Date],"&lt;="&amp;DaybyDay[[#This Row],[Date]])</f>
        <v>475671.80594049604</v>
      </c>
      <c r="Q1434" s="34">
        <f>SUMIFS(DaybyDay[Service-Actuals],DaybyDay[Date],"&gt;="&amp;$C$5,DaybyDay[RowYear],"&gt;="&amp;$C$4,DaybyDay[Date],"&lt;="&amp;DaybyDay[[#This Row],[Date]])</f>
        <v>385554.23</v>
      </c>
      <c r="R1434" s="34">
        <f>SUMIFS(DaybyDay[Retail-Actuals],DaybyDay[Date],"&gt;="&amp;$C$5,DaybyDay[RowYear],"&gt;="&amp;$C$4,DaybyDay[Date],"&lt;="&amp;DaybyDay[[#This Row],[Date]])</f>
        <v>88360.030000000028</v>
      </c>
      <c r="S1434" s="35">
        <f>SUMIFS(DaybyDay[Service-LY],DaybyDay[Date],"&gt;="&amp;$C$5,DaybyDay[RowYear],"&gt;="&amp;$C$4,DaybyDay[Date],"&lt;="&amp;DaybyDay[[#This Row],[Date]])</f>
        <v>1600697.700999998</v>
      </c>
      <c r="T1434" s="35">
        <f>SUMIFS(DaybyDay[Retail-LY],DaybyDay[Date],"&gt;="&amp;$C$5,DaybyDay[RowYear],"&gt;="&amp;$C$4,DaybyDay[Date],"&lt;="&amp;DaybyDay[[#This Row],[Date]])</f>
        <v>395556.06999999989</v>
      </c>
      <c r="U1434" s="32">
        <f>DaybyDay[[#This Row],[Serv-Bud-RU]]+DaybyDay[[#This Row],[Ret-Bud-RU]]</f>
        <v>2252507.7849103292</v>
      </c>
      <c r="V1434" s="32">
        <f>DaybyDay[[#This Row],[Serv-Act-RU]]+DaybyDay[[#This Row],[Ret-Act-RU]]</f>
        <v>473914.26</v>
      </c>
      <c r="W1434" s="36" t="str">
        <f>IF(DaybyDay[[#This Row],[_Space]],IFERROR(
((DaybyDay[[#This Row],[Actual-Rollup]]-DaybyDay[[#This Row],[Budget-Rollup]])/DaybyDay[[#This Row],[Budget-Rollup]]),0),"")</f>
        <v/>
      </c>
      <c r="X1434" t="b">
        <f>NOT(AND(ISBLANK(DaybyDay[[#This Row],[Appts]]),ISBLANK(DaybyDay[[#This Row],[Service-Actuals]]),ISBLANK(DaybyDay[[#This Row],[Retail-Actuals]])))</f>
        <v>0</v>
      </c>
      <c r="Y1434" s="36" t="str">
        <f>IF(DaybyDay[[#This Row],[_Space]],IFERROR(
((DaybyDay[[#This Row],[Actual-Rollup]]-DaybyDay[[#This Row],[LY-Rollup]])/DaybyDay[[#This Row],[LY-Rollup]]),0),"")</f>
        <v/>
      </c>
      <c r="Z1434"/>
      <c r="AA1434" s="37" t="str">
        <f>IF(DaybyDay[[#This Row],[_Space]],DaybyDay[[#This Row],[Ret-Act-RU]]/DaybyDay[[#This Row],[Serv-Act-RU]],"")</f>
        <v/>
      </c>
      <c r="AB1434" s="50" t="str">
        <f>IF(DaybyDay[[#This Row],[_Space]],DaybyDay[[#This Row],[RETPEN-Act]]/DaybyDay[[#This Row],[RETPEN-Bud]],"")</f>
        <v/>
      </c>
      <c r="AC1434" s="37" t="str">
        <f>IF(DaybyDay[[#This Row],[_Space]],DaybyDay[[#This Row],[Ret-Bud-RU]]/DaybyDay[[#This Row],[Serv-Bud-RU]],"")</f>
        <v/>
      </c>
      <c r="AD1434" s="37" t="str">
        <f>IF(DaybyDay[[#This Row],[_Space]],DaybyDay[[#This Row],[Ret-LY-RU]]/DaybyDay[[#This Row],[Serv-LY-RU]],"")</f>
        <v/>
      </c>
      <c r="AE1434" s="30">
        <f>WEEKDAY(DaybyDay[[#This Row],[LY-Date]])</f>
        <v>7</v>
      </c>
      <c r="AF1434" s="38">
        <f>$E$2+_xlfn.DAYS(DaybyDay[[#This Row],[Date]],minDate)</f>
        <v>43799</v>
      </c>
      <c r="AG1434" s="39" cm="1">
        <f t="array" ref="AG1434">IFERROR(INDEX(DaybyDay[],DaybyDay[[#This Row],[FORM_MATCH_HELPER]],8),"")</f>
        <v>30</v>
      </c>
      <c r="AH1434" s="39" cm="1">
        <f t="array" ref="AH1434">IFERROR(INDEX(DaybyDay[],DaybyDay[[#This Row],[FORM_MATCH_HELPER]],10),"")</f>
        <v>8372.6</v>
      </c>
      <c r="AI1434" s="39" cm="1">
        <f t="array" ref="AI1434">IFERROR(INDEX(DaybyDay[],DaybyDay[[#This Row],[FORM_MATCH_HELPER]],12),"")</f>
        <v>823.5</v>
      </c>
      <c r="AJ1434" s="32">
        <f>IFERROR(DaybyDay[[#This Row],[Serv-LY-RU]]+DaybyDay[[#This Row],[Ret-LY-RU]],"")</f>
        <v>1996253.7709999979</v>
      </c>
      <c r="AK143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1982033.196421427</v>
      </c>
      <c r="AL1434" s="77"/>
      <c r="AM1434" s="40" t="str">
        <f>IF(DaybyDay[[#This Row],[Admin Hours]]&gt;0,DaybyDay[[#This Row],[Admin Hours]]*$AM$2+$AM$3,"")</f>
        <v/>
      </c>
      <c r="AN1434" s="40">
        <f>SUMIFS(DaybyDay[Est-Admin-Payroll],DaybyDay[Date],"&gt;="&amp;$C$5,DaybyDay[RowYear],"&gt;="&amp;$C$4,DaybyDay[Date],"&lt;="&amp;DaybyDay[[#This Row],[Date]])</f>
        <v>13941.779999999997</v>
      </c>
      <c r="AO1434" s="41" t="str">
        <f>IF(AND(DaybyDay[[#This Row],[_Space]],ISNUMBER(DaybyDay[[#This Row],[Admin Hours]])),DaybyDay[[#This Row],[Est-Admin-Payroll]]/(DaybyDay[[#This Row],[Service-Actuals]]+DaybyDay[[#This Row],[Retail-Actuals]]),"")</f>
        <v/>
      </c>
      <c r="AP1434" s="41">
        <f>DaybyDay[[#This Row],[Estimated-Payroll-Rollup]]/DaybyDay[[#This Row],[Simple-Forecast]]</f>
        <v>7.0340799665575557E-3</v>
      </c>
      <c r="AQ143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401934.36594002706</v>
      </c>
      <c r="AR1434" s="77"/>
      <c r="AS1434" s="40" t="str">
        <f>IF(DaybyDay[[#This Row],[Retail Hours]]&gt;0,DaybyDay[[#This Row],[Retail Hours]]*$AS$2,"")</f>
        <v/>
      </c>
      <c r="AT1434" s="40">
        <f>SUMIFS(DaybyDay[Est-Retail-Payroll],DaybyDay[Date],"&gt;="&amp;$C$5,DaybyDay[RowYear],"&gt;="&amp;$C$4,DaybyDay[Date],"&lt;="&amp;DaybyDay[[#This Row],[Date]])</f>
        <v>2627.1</v>
      </c>
      <c r="AU1434" s="82" t="str">
        <f>IF(AND(DaybyDay[[#This Row],[_Space]],ISNUMBER(DaybyDay[[#This Row],[Retail Hours]])),DaybyDay[[#This Row],[Est-Retail-Payroll]]/(DaybyDay[[#This Row],[Retail-Actuals]]),"")</f>
        <v/>
      </c>
      <c r="AV1434" s="82">
        <f>DaybyDay[[#This Row],[Est-Retail-PayrollRU]]/DaybyDay[[#This Row],[Simple-Forecast-Retail]]</f>
        <v>6.5361417749284761E-3</v>
      </c>
      <c r="AW1434" s="8"/>
      <c r="AX1434" s="15"/>
      <c r="AY1434" s="8"/>
    </row>
    <row r="1435" spans="3:51" hidden="1" x14ac:dyDescent="0.25">
      <c r="C1435" s="26" t="str">
        <f>Tools!$C$1</f>
        <v>Example</v>
      </c>
      <c r="D1435" s="27" t="s">
        <v>79</v>
      </c>
      <c r="E1435" s="28">
        <v>2020</v>
      </c>
      <c r="F1435" s="28">
        <f>MATCH(DaybyDay[[#This Row],[RowMonth]],Table3[SummaryMonth],0)</f>
        <v>12</v>
      </c>
      <c r="G1435" s="29">
        <f>MATCH(DaybyDay[[#This Row],[LY-Date]],DaybyDay[Date],0)</f>
        <v>1065</v>
      </c>
      <c r="H1435" s="30">
        <f>WEEKDAY(DaybyDay[[#This Row],[Date]])</f>
        <v>1</v>
      </c>
      <c r="I1435" s="31">
        <v>44164</v>
      </c>
      <c r="J1435" s="74"/>
      <c r="K1435" s="32">
        <f>SUMIFS(BudgetSeasonality[365 Seasonality],BudgetSeasonality[MonthAdjustment],DaybyDay[[#This Row],[Date]])*SUMIFS(Budgets[Service-Budget],Budgets[BudgetMonth],DaybyDay[[#This Row],[RowMonth]],Budgets[BudgetYear],DaybyDay[[#This Row],[RowYear]])</f>
        <v>5976.0328655612911</v>
      </c>
      <c r="L1435" s="75"/>
      <c r="M1435" s="32">
        <f>INDEX(BudgetSeasonality[365 Seasonality],MATCH(DaybyDay[[#This Row],[Date]],BudgetSeasonality[MonthAdjustment],0))*SUMIFS(Budgets[Retail-Budget],Budgets[BudgetMonth],DaybyDay[[#This Row],[RowMonth]],Budgets[BudgetYear],DaybyDay[[#This Row],[RowYear]])</f>
        <v>1744.7309577776059</v>
      </c>
      <c r="N1435" s="75"/>
      <c r="O1435" s="33">
        <f>SUMIFS(DaybyDay[Service-Budgets],DaybyDay[Date],"&gt;="&amp;$C$5,DaybyDay[RowYear],"&gt;="&amp;$C$4,DaybyDay[Date],"&lt;="&amp;DaybyDay[[#This Row],[Date]])</f>
        <v>1782812.0118353944</v>
      </c>
      <c r="P1435" s="33">
        <f>SUMIFS(DaybyDay[Retail-Budgets],DaybyDay[Date],"&gt;="&amp;$C$5,DaybyDay[RowYear],"&gt;="&amp;$C$4,DaybyDay[Date],"&lt;="&amp;DaybyDay[[#This Row],[Date]])</f>
        <v>477416.53689827363</v>
      </c>
      <c r="Q1435" s="34">
        <f>SUMIFS(DaybyDay[Service-Actuals],DaybyDay[Date],"&gt;="&amp;$C$5,DaybyDay[RowYear],"&gt;="&amp;$C$4,DaybyDay[Date],"&lt;="&amp;DaybyDay[[#This Row],[Date]])</f>
        <v>385554.23</v>
      </c>
      <c r="R1435" s="34">
        <f>SUMIFS(DaybyDay[Retail-Actuals],DaybyDay[Date],"&gt;="&amp;$C$5,DaybyDay[RowYear],"&gt;="&amp;$C$4,DaybyDay[Date],"&lt;="&amp;DaybyDay[[#This Row],[Date]])</f>
        <v>88360.030000000028</v>
      </c>
      <c r="S1435" s="35">
        <f>SUMIFS(DaybyDay[Service-LY],DaybyDay[Date],"&gt;="&amp;$C$5,DaybyDay[RowYear],"&gt;="&amp;$C$4,DaybyDay[Date],"&lt;="&amp;DaybyDay[[#This Row],[Date]])</f>
        <v>1607587.1009999979</v>
      </c>
      <c r="T1435" s="35">
        <f>SUMIFS(DaybyDay[Retail-LY],DaybyDay[Date],"&gt;="&amp;$C$5,DaybyDay[RowYear],"&gt;="&amp;$C$4,DaybyDay[Date],"&lt;="&amp;DaybyDay[[#This Row],[Date]])</f>
        <v>396555.06999999989</v>
      </c>
      <c r="U1435" s="32">
        <f>DaybyDay[[#This Row],[Serv-Bud-RU]]+DaybyDay[[#This Row],[Ret-Bud-RU]]</f>
        <v>2260228.5487336679</v>
      </c>
      <c r="V1435" s="32">
        <f>DaybyDay[[#This Row],[Serv-Act-RU]]+DaybyDay[[#This Row],[Ret-Act-RU]]</f>
        <v>473914.26</v>
      </c>
      <c r="W1435" s="36" t="str">
        <f>IF(DaybyDay[[#This Row],[_Space]],IFERROR(
((DaybyDay[[#This Row],[Actual-Rollup]]-DaybyDay[[#This Row],[Budget-Rollup]])/DaybyDay[[#This Row],[Budget-Rollup]]),0),"")</f>
        <v/>
      </c>
      <c r="X1435" t="b">
        <f>NOT(AND(ISBLANK(DaybyDay[[#This Row],[Appts]]),ISBLANK(DaybyDay[[#This Row],[Service-Actuals]]),ISBLANK(DaybyDay[[#This Row],[Retail-Actuals]])))</f>
        <v>0</v>
      </c>
      <c r="Y1435" s="36" t="str">
        <f>IF(DaybyDay[[#This Row],[_Space]],IFERROR(
((DaybyDay[[#This Row],[Actual-Rollup]]-DaybyDay[[#This Row],[LY-Rollup]])/DaybyDay[[#This Row],[LY-Rollup]]),0),"")</f>
        <v/>
      </c>
      <c r="Z1435"/>
      <c r="AA1435" s="37" t="str">
        <f>IF(DaybyDay[[#This Row],[_Space]],DaybyDay[[#This Row],[Ret-Act-RU]]/DaybyDay[[#This Row],[Serv-Act-RU]],"")</f>
        <v/>
      </c>
      <c r="AB1435" s="50" t="str">
        <f>IF(DaybyDay[[#This Row],[_Space]],DaybyDay[[#This Row],[RETPEN-Act]]/DaybyDay[[#This Row],[RETPEN-Bud]],"")</f>
        <v/>
      </c>
      <c r="AC1435" s="37" t="str">
        <f>IF(DaybyDay[[#This Row],[_Space]],DaybyDay[[#This Row],[Ret-Bud-RU]]/DaybyDay[[#This Row],[Serv-Bud-RU]],"")</f>
        <v/>
      </c>
      <c r="AD1435" s="37" t="str">
        <f>IF(DaybyDay[[#This Row],[_Space]],DaybyDay[[#This Row],[Ret-LY-RU]]/DaybyDay[[#This Row],[Serv-LY-RU]],"")</f>
        <v/>
      </c>
      <c r="AE1435" s="30">
        <f>WEEKDAY(DaybyDay[[#This Row],[LY-Date]])</f>
        <v>1</v>
      </c>
      <c r="AF1435" s="38">
        <f>$E$2+_xlfn.DAYS(DaybyDay[[#This Row],[Date]],minDate)</f>
        <v>43800</v>
      </c>
      <c r="AG1435" s="39" cm="1">
        <f t="array" ref="AG1435">IFERROR(INDEX(DaybyDay[],DaybyDay[[#This Row],[FORM_MATCH_HELPER]],8),"")</f>
        <v>23</v>
      </c>
      <c r="AH1435" s="39" cm="1">
        <f t="array" ref="AH1435">IFERROR(INDEX(DaybyDay[],DaybyDay[[#This Row],[FORM_MATCH_HELPER]],10),"")</f>
        <v>6889.4</v>
      </c>
      <c r="AI1435" s="39" cm="1">
        <f t="array" ref="AI1435">IFERROR(INDEX(DaybyDay[],DaybyDay[[#This Row],[FORM_MATCH_HELPER]],12),"")</f>
        <v>999</v>
      </c>
      <c r="AJ1435" s="32">
        <f>IFERROR(DaybyDay[[#This Row],[Serv-LY-RU]]+DaybyDay[[#This Row],[Ret-LY-RU]],"")</f>
        <v>2004142.1709999978</v>
      </c>
      <c r="AK143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1989206.5826289488</v>
      </c>
      <c r="AL1435" s="77"/>
      <c r="AM1435" s="40" t="str">
        <f>IF(DaybyDay[[#This Row],[Admin Hours]]&gt;0,DaybyDay[[#This Row],[Admin Hours]]*$AM$2+$AM$3,"")</f>
        <v/>
      </c>
      <c r="AN1435" s="40">
        <f>SUMIFS(DaybyDay[Est-Admin-Payroll],DaybyDay[Date],"&gt;="&amp;$C$5,DaybyDay[RowYear],"&gt;="&amp;$C$4,DaybyDay[Date],"&lt;="&amp;DaybyDay[[#This Row],[Date]])</f>
        <v>13941.779999999997</v>
      </c>
      <c r="AO1435" s="41" t="str">
        <f>IF(AND(DaybyDay[[#This Row],[_Space]],ISNUMBER(DaybyDay[[#This Row],[Admin Hours]])),DaybyDay[[#This Row],[Est-Admin-Payroll]]/(DaybyDay[[#This Row],[Service-Actuals]]+DaybyDay[[#This Row],[Retail-Actuals]]),"")</f>
        <v/>
      </c>
      <c r="AP1435" s="41">
        <f>DaybyDay[[#This Row],[Estimated-Payroll-Rollup]]/DaybyDay[[#This Row],[Simple-Forecast]]</f>
        <v>7.0087139876515219E-3</v>
      </c>
      <c r="AQ143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403169.04583144526</v>
      </c>
      <c r="AR1435" s="77"/>
      <c r="AS1435" s="40" t="str">
        <f>IF(DaybyDay[[#This Row],[Retail Hours]]&gt;0,DaybyDay[[#This Row],[Retail Hours]]*$AS$2,"")</f>
        <v/>
      </c>
      <c r="AT1435" s="40">
        <f>SUMIFS(DaybyDay[Est-Retail-Payroll],DaybyDay[Date],"&gt;="&amp;$C$5,DaybyDay[RowYear],"&gt;="&amp;$C$4,DaybyDay[Date],"&lt;="&amp;DaybyDay[[#This Row],[Date]])</f>
        <v>2627.1</v>
      </c>
      <c r="AU1435" s="82" t="str">
        <f>IF(AND(DaybyDay[[#This Row],[_Space]],ISNUMBER(DaybyDay[[#This Row],[Retail Hours]])),DaybyDay[[#This Row],[Est-Retail-Payroll]]/(DaybyDay[[#This Row],[Retail-Actuals]]),"")</f>
        <v/>
      </c>
      <c r="AV1435" s="82">
        <f>DaybyDay[[#This Row],[Est-Retail-PayrollRU]]/DaybyDay[[#This Row],[Simple-Forecast-Retail]]</f>
        <v>6.5161252510896476E-3</v>
      </c>
      <c r="AW1435" s="8"/>
      <c r="AX1435" s="15"/>
      <c r="AY1435" s="8"/>
    </row>
    <row r="1436" spans="3:51" hidden="1" x14ac:dyDescent="0.25">
      <c r="C1436" s="26" t="str">
        <f>Tools!$C$1</f>
        <v>Example</v>
      </c>
      <c r="D1436" s="27" t="s">
        <v>79</v>
      </c>
      <c r="E1436" s="28">
        <v>2020</v>
      </c>
      <c r="F1436" s="28">
        <f>MATCH(DaybyDay[[#This Row],[RowMonth]],Table3[SummaryMonth],0)</f>
        <v>12</v>
      </c>
      <c r="G1436" s="29">
        <f>MATCH(DaybyDay[[#This Row],[LY-Date]],DaybyDay[Date],0)</f>
        <v>1066</v>
      </c>
      <c r="H1436" s="30">
        <f>WEEKDAY(DaybyDay[[#This Row],[Date]])</f>
        <v>2</v>
      </c>
      <c r="I1436" s="31">
        <v>44165</v>
      </c>
      <c r="J1436" s="74"/>
      <c r="K1436" s="32">
        <f>SUMIFS(BudgetSeasonality[365 Seasonality],BudgetSeasonality[MonthAdjustment],DaybyDay[[#This Row],[Date]])*SUMIFS(Budgets[Service-Budget],Budgets[BudgetMonth],DaybyDay[[#This Row],[RowMonth]],Budgets[BudgetYear],DaybyDay[[#This Row],[RowYear]])</f>
        <v>3690.8601162686441</v>
      </c>
      <c r="L1436" s="75"/>
      <c r="M1436" s="32">
        <f>INDEX(BudgetSeasonality[365 Seasonality],MATCH(DaybyDay[[#This Row],[Date]],BudgetSeasonality[MonthAdjustment],0))*SUMIFS(Budgets[Retail-Budget],Budgets[BudgetMonth],DaybyDay[[#This Row],[RowMonth]],Budgets[BudgetYear],DaybyDay[[#This Row],[RowYear]])</f>
        <v>1077.5640045071489</v>
      </c>
      <c r="N1436" s="75"/>
      <c r="O1436" s="33">
        <f>SUMIFS(DaybyDay[Service-Budgets],DaybyDay[Date],"&gt;="&amp;$C$5,DaybyDay[RowYear],"&gt;="&amp;$C$4,DaybyDay[Date],"&lt;="&amp;DaybyDay[[#This Row],[Date]])</f>
        <v>1786502.8719516632</v>
      </c>
      <c r="P1436" s="33">
        <f>SUMIFS(DaybyDay[Retail-Budgets],DaybyDay[Date],"&gt;="&amp;$C$5,DaybyDay[RowYear],"&gt;="&amp;$C$4,DaybyDay[Date],"&lt;="&amp;DaybyDay[[#This Row],[Date]])</f>
        <v>478494.10090278077</v>
      </c>
      <c r="Q1436" s="34">
        <f>SUMIFS(DaybyDay[Service-Actuals],DaybyDay[Date],"&gt;="&amp;$C$5,DaybyDay[RowYear],"&gt;="&amp;$C$4,DaybyDay[Date],"&lt;="&amp;DaybyDay[[#This Row],[Date]])</f>
        <v>385554.23</v>
      </c>
      <c r="R1436" s="34">
        <f>SUMIFS(DaybyDay[Retail-Actuals],DaybyDay[Date],"&gt;="&amp;$C$5,DaybyDay[RowYear],"&gt;="&amp;$C$4,DaybyDay[Date],"&lt;="&amp;DaybyDay[[#This Row],[Date]])</f>
        <v>88360.030000000028</v>
      </c>
      <c r="S1436" s="35">
        <f>SUMIFS(DaybyDay[Service-LY],DaybyDay[Date],"&gt;="&amp;$C$5,DaybyDay[RowYear],"&gt;="&amp;$C$4,DaybyDay[Date],"&lt;="&amp;DaybyDay[[#This Row],[Date]])</f>
        <v>1610245.7509999978</v>
      </c>
      <c r="T1436" s="35">
        <f>SUMIFS(DaybyDay[Retail-LY],DaybyDay[Date],"&gt;="&amp;$C$5,DaybyDay[RowYear],"&gt;="&amp;$C$4,DaybyDay[Date],"&lt;="&amp;DaybyDay[[#This Row],[Date]])</f>
        <v>396685.06999999989</v>
      </c>
      <c r="U1436" s="32">
        <f>DaybyDay[[#This Row],[Serv-Bud-RU]]+DaybyDay[[#This Row],[Ret-Bud-RU]]</f>
        <v>2264996.9728544438</v>
      </c>
      <c r="V1436" s="32">
        <f>DaybyDay[[#This Row],[Serv-Act-RU]]+DaybyDay[[#This Row],[Ret-Act-RU]]</f>
        <v>473914.26</v>
      </c>
      <c r="W1436" s="36" t="str">
        <f>IF(DaybyDay[[#This Row],[_Space]],IFERROR(
((DaybyDay[[#This Row],[Actual-Rollup]]-DaybyDay[[#This Row],[Budget-Rollup]])/DaybyDay[[#This Row],[Budget-Rollup]]),0),"")</f>
        <v/>
      </c>
      <c r="X1436" t="b">
        <f>NOT(AND(ISBLANK(DaybyDay[[#This Row],[Appts]]),ISBLANK(DaybyDay[[#This Row],[Service-Actuals]]),ISBLANK(DaybyDay[[#This Row],[Retail-Actuals]])))</f>
        <v>0</v>
      </c>
      <c r="Y1436" s="36" t="str">
        <f>IF(DaybyDay[[#This Row],[_Space]],IFERROR(
((DaybyDay[[#This Row],[Actual-Rollup]]-DaybyDay[[#This Row],[LY-Rollup]])/DaybyDay[[#This Row],[LY-Rollup]]),0),"")</f>
        <v/>
      </c>
      <c r="Z1436"/>
      <c r="AA1436" s="37" t="str">
        <f>IF(DaybyDay[[#This Row],[_Space]],DaybyDay[[#This Row],[Ret-Act-RU]]/DaybyDay[[#This Row],[Serv-Act-RU]],"")</f>
        <v/>
      </c>
      <c r="AB1436" s="50" t="str">
        <f>IF(DaybyDay[[#This Row],[_Space]],DaybyDay[[#This Row],[RETPEN-Act]]/DaybyDay[[#This Row],[RETPEN-Bud]],"")</f>
        <v/>
      </c>
      <c r="AC1436" s="37" t="str">
        <f>IF(DaybyDay[[#This Row],[_Space]],DaybyDay[[#This Row],[Ret-Bud-RU]]/DaybyDay[[#This Row],[Serv-Bud-RU]],"")</f>
        <v/>
      </c>
      <c r="AD1436" s="37" t="str">
        <f>IF(DaybyDay[[#This Row],[_Space]],DaybyDay[[#This Row],[Ret-LY-RU]]/DaybyDay[[#This Row],[Serv-LY-RU]],"")</f>
        <v/>
      </c>
      <c r="AE1436" s="30">
        <f>WEEKDAY(DaybyDay[[#This Row],[LY-Date]])</f>
        <v>2</v>
      </c>
      <c r="AF1436" s="38">
        <f>$E$2+_xlfn.DAYS(DaybyDay[[#This Row],[Date]],minDate)</f>
        <v>43801</v>
      </c>
      <c r="AG1436" s="39" cm="1">
        <f t="array" ref="AG1436">IFERROR(INDEX(DaybyDay[],DaybyDay[[#This Row],[FORM_MATCH_HELPER]],8),"")</f>
        <v>13</v>
      </c>
      <c r="AH1436" s="39" cm="1">
        <f t="array" ref="AH1436">IFERROR(INDEX(DaybyDay[],DaybyDay[[#This Row],[FORM_MATCH_HELPER]],10),"")</f>
        <v>2658.65</v>
      </c>
      <c r="AI1436" s="39" cm="1">
        <f t="array" ref="AI1436">IFERROR(INDEX(DaybyDay[],DaybyDay[[#This Row],[FORM_MATCH_HELPER]],12),"")</f>
        <v>130</v>
      </c>
      <c r="AJ1436" s="32">
        <f>IFERROR(DaybyDay[[#This Row],[Serv-LY-RU]]+DaybyDay[[#This Row],[Ret-LY-RU]],"")</f>
        <v>2006930.8209999977</v>
      </c>
      <c r="AK143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1992609.7797664963</v>
      </c>
      <c r="AL1436" s="77"/>
      <c r="AM1436" s="40" t="str">
        <f>IF(DaybyDay[[#This Row],[Admin Hours]]&gt;0,DaybyDay[[#This Row],[Admin Hours]]*$AM$2+$AM$3,"")</f>
        <v/>
      </c>
      <c r="AN1436" s="40">
        <f>SUMIFS(DaybyDay[Est-Admin-Payroll],DaybyDay[Date],"&gt;="&amp;$C$5,DaybyDay[RowYear],"&gt;="&amp;$C$4,DaybyDay[Date],"&lt;="&amp;DaybyDay[[#This Row],[Date]])</f>
        <v>13941.779999999997</v>
      </c>
      <c r="AO1436" s="41" t="str">
        <f>IF(AND(DaybyDay[[#This Row],[_Space]],ISNUMBER(DaybyDay[[#This Row],[Admin Hours]])),DaybyDay[[#This Row],[Est-Admin-Payroll]]/(DaybyDay[[#This Row],[Service-Actuals]]+DaybyDay[[#This Row],[Retail-Actuals]]),"")</f>
        <v/>
      </c>
      <c r="AP1436" s="41">
        <f>DaybyDay[[#This Row],[Estimated-Payroll-Rollup]]/DaybyDay[[#This Row],[Simple-Forecast]]</f>
        <v>6.9967437385727192E-3</v>
      </c>
      <c r="AQ143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403691.48848846764</v>
      </c>
      <c r="AR1436" s="77"/>
      <c r="AS1436" s="40" t="str">
        <f>IF(DaybyDay[[#This Row],[Retail Hours]]&gt;0,DaybyDay[[#This Row],[Retail Hours]]*$AS$2,"")</f>
        <v/>
      </c>
      <c r="AT1436" s="40">
        <f>SUMIFS(DaybyDay[Est-Retail-Payroll],DaybyDay[Date],"&gt;="&amp;$C$5,DaybyDay[RowYear],"&gt;="&amp;$C$4,DaybyDay[Date],"&lt;="&amp;DaybyDay[[#This Row],[Date]])</f>
        <v>2627.1</v>
      </c>
      <c r="AU1436" s="82" t="str">
        <f>IF(AND(DaybyDay[[#This Row],[_Space]],ISNUMBER(DaybyDay[[#This Row],[Retail Hours]])),DaybyDay[[#This Row],[Est-Retail-Payroll]]/(DaybyDay[[#This Row],[Retail-Actuals]]),"")</f>
        <v/>
      </c>
      <c r="AV1436" s="82">
        <f>DaybyDay[[#This Row],[Est-Retail-PayrollRU]]/DaybyDay[[#This Row],[Simple-Forecast-Retail]]</f>
        <v>6.5076923217692482E-3</v>
      </c>
      <c r="AW1436" s="8"/>
      <c r="AX1436" s="15"/>
      <c r="AY1436" s="8"/>
    </row>
    <row r="1437" spans="3:51" hidden="1" x14ac:dyDescent="0.25">
      <c r="C1437" s="26" t="str">
        <f>Tools!$C$1</f>
        <v>Example</v>
      </c>
      <c r="D1437" s="27" t="s">
        <v>79</v>
      </c>
      <c r="E1437" s="28">
        <v>2020</v>
      </c>
      <c r="F1437" s="28">
        <f>MATCH(DaybyDay[[#This Row],[RowMonth]],Table3[SummaryMonth],0)</f>
        <v>12</v>
      </c>
      <c r="G1437" s="29">
        <f>MATCH(DaybyDay[[#This Row],[LY-Date]],DaybyDay[Date],0)</f>
        <v>1067</v>
      </c>
      <c r="H1437" s="30">
        <f>WEEKDAY(DaybyDay[[#This Row],[Date]])</f>
        <v>3</v>
      </c>
      <c r="I1437" s="31">
        <v>44166</v>
      </c>
      <c r="J1437" s="74"/>
      <c r="K1437" s="32">
        <f>SUMIFS(BudgetSeasonality[365 Seasonality],BudgetSeasonality[MonthAdjustment],DaybyDay[[#This Row],[Date]])*SUMIFS(Budgets[Service-Budget],Budgets[BudgetMonth],DaybyDay[[#This Row],[RowMonth]],Budgets[BudgetYear],DaybyDay[[#This Row],[RowYear]])</f>
        <v>3829.4417367871306</v>
      </c>
      <c r="L1437" s="75"/>
      <c r="M1437" s="32">
        <f>INDEX(BudgetSeasonality[365 Seasonality],MATCH(DaybyDay[[#This Row],[Date]],BudgetSeasonality[MonthAdjustment],0))*SUMIFS(Budgets[Retail-Budget],Budgets[BudgetMonth],DaybyDay[[#This Row],[RowMonth]],Budgets[BudgetYear],DaybyDay[[#This Row],[RowYear]])</f>
        <v>1118.0235616978341</v>
      </c>
      <c r="N1437" s="75"/>
      <c r="O1437" s="33">
        <f>SUMIFS(DaybyDay[Service-Budgets],DaybyDay[Date],"&gt;="&amp;$C$5,DaybyDay[RowYear],"&gt;="&amp;$C$4,DaybyDay[Date],"&lt;="&amp;DaybyDay[[#This Row],[Date]])</f>
        <v>1790332.3136884503</v>
      </c>
      <c r="P1437" s="33">
        <f>SUMIFS(DaybyDay[Retail-Budgets],DaybyDay[Date],"&gt;="&amp;$C$5,DaybyDay[RowYear],"&gt;="&amp;$C$4,DaybyDay[Date],"&lt;="&amp;DaybyDay[[#This Row],[Date]])</f>
        <v>479612.12446447863</v>
      </c>
      <c r="Q1437" s="34">
        <f>SUMIFS(DaybyDay[Service-Actuals],DaybyDay[Date],"&gt;="&amp;$C$5,DaybyDay[RowYear],"&gt;="&amp;$C$4,DaybyDay[Date],"&lt;="&amp;DaybyDay[[#This Row],[Date]])</f>
        <v>385554.23</v>
      </c>
      <c r="R1437" s="34">
        <f>SUMIFS(DaybyDay[Retail-Actuals],DaybyDay[Date],"&gt;="&amp;$C$5,DaybyDay[RowYear],"&gt;="&amp;$C$4,DaybyDay[Date],"&lt;="&amp;DaybyDay[[#This Row],[Date]])</f>
        <v>88360.030000000028</v>
      </c>
      <c r="S1437" s="35">
        <f>SUMIFS(DaybyDay[Service-LY],DaybyDay[Date],"&gt;="&amp;$C$5,DaybyDay[RowYear],"&gt;="&amp;$C$4,DaybyDay[Date],"&lt;="&amp;DaybyDay[[#This Row],[Date]])</f>
        <v>1615312.6509999977</v>
      </c>
      <c r="T1437" s="35">
        <f>SUMIFS(DaybyDay[Retail-LY],DaybyDay[Date],"&gt;="&amp;$C$5,DaybyDay[RowYear],"&gt;="&amp;$C$4,DaybyDay[Date],"&lt;="&amp;DaybyDay[[#This Row],[Date]])</f>
        <v>396715.06999999989</v>
      </c>
      <c r="U1437" s="32">
        <f>DaybyDay[[#This Row],[Serv-Bud-RU]]+DaybyDay[[#This Row],[Ret-Bud-RU]]</f>
        <v>2269944.4381529288</v>
      </c>
      <c r="V1437" s="32">
        <f>DaybyDay[[#This Row],[Serv-Act-RU]]+DaybyDay[[#This Row],[Ret-Act-RU]]</f>
        <v>473914.26</v>
      </c>
      <c r="W1437" s="36" t="str">
        <f>IF(DaybyDay[[#This Row],[_Space]],IFERROR(
((DaybyDay[[#This Row],[Actual-Rollup]]-DaybyDay[[#This Row],[Budget-Rollup]])/DaybyDay[[#This Row],[Budget-Rollup]]),0),"")</f>
        <v/>
      </c>
      <c r="X1437" t="b">
        <f>NOT(AND(ISBLANK(DaybyDay[[#This Row],[Appts]]),ISBLANK(DaybyDay[[#This Row],[Service-Actuals]]),ISBLANK(DaybyDay[[#This Row],[Retail-Actuals]])))</f>
        <v>0</v>
      </c>
      <c r="Y1437" s="36" t="str">
        <f>IF(DaybyDay[[#This Row],[_Space]],IFERROR(
((DaybyDay[[#This Row],[Actual-Rollup]]-DaybyDay[[#This Row],[LY-Rollup]])/DaybyDay[[#This Row],[LY-Rollup]]),0),"")</f>
        <v/>
      </c>
      <c r="Z1437"/>
      <c r="AA1437" s="37" t="str">
        <f>IF(DaybyDay[[#This Row],[_Space]],DaybyDay[[#This Row],[Ret-Act-RU]]/DaybyDay[[#This Row],[Serv-Act-RU]],"")</f>
        <v/>
      </c>
      <c r="AB1437" s="50" t="str">
        <f>IF(DaybyDay[[#This Row],[_Space]],DaybyDay[[#This Row],[RETPEN-Act]]/DaybyDay[[#This Row],[RETPEN-Bud]],"")</f>
        <v/>
      </c>
      <c r="AC1437" s="37" t="str">
        <f>IF(DaybyDay[[#This Row],[_Space]],DaybyDay[[#This Row],[Ret-Bud-RU]]/DaybyDay[[#This Row],[Serv-Bud-RU]],"")</f>
        <v/>
      </c>
      <c r="AD1437" s="37" t="str">
        <f>IF(DaybyDay[[#This Row],[_Space]],DaybyDay[[#This Row],[Ret-LY-RU]]/DaybyDay[[#This Row],[Serv-LY-RU]],"")</f>
        <v/>
      </c>
      <c r="AE1437" s="30">
        <f>WEEKDAY(DaybyDay[[#This Row],[LY-Date]])</f>
        <v>3</v>
      </c>
      <c r="AF1437" s="38">
        <f>$E$2+_xlfn.DAYS(DaybyDay[[#This Row],[Date]],minDate)</f>
        <v>43802</v>
      </c>
      <c r="AG1437" s="39" cm="1">
        <f t="array" ref="AG1437">IFERROR(INDEX(DaybyDay[],DaybyDay[[#This Row],[FORM_MATCH_HELPER]],8),"")</f>
        <v>21</v>
      </c>
      <c r="AH1437" s="39" cm="1">
        <f t="array" ref="AH1437">IFERROR(INDEX(DaybyDay[],DaybyDay[[#This Row],[FORM_MATCH_HELPER]],10),"")</f>
        <v>5066.8999999999996</v>
      </c>
      <c r="AI1437" s="39" cm="1">
        <f t="array" ref="AI1437">IFERROR(INDEX(DaybyDay[],DaybyDay[[#This Row],[FORM_MATCH_HELPER]],12),"")</f>
        <v>30</v>
      </c>
      <c r="AJ1437" s="32">
        <f>IFERROR(DaybyDay[[#This Row],[Serv-LY-RU]]+DaybyDay[[#This Row],[Ret-LY-RU]],"")</f>
        <v>2012027.7209999976</v>
      </c>
      <c r="AK143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1997227.1999432733</v>
      </c>
      <c r="AL1437" s="77"/>
      <c r="AM1437" s="40" t="str">
        <f>IF(DaybyDay[[#This Row],[Admin Hours]]&gt;0,DaybyDay[[#This Row],[Admin Hours]]*$AM$2+$AM$3,"")</f>
        <v/>
      </c>
      <c r="AN1437" s="40">
        <f>SUMIFS(DaybyDay[Est-Admin-Payroll],DaybyDay[Date],"&gt;="&amp;$C$5,DaybyDay[RowYear],"&gt;="&amp;$C$4,DaybyDay[Date],"&lt;="&amp;DaybyDay[[#This Row],[Date]])</f>
        <v>13941.779999999997</v>
      </c>
      <c r="AO1437" s="41" t="str">
        <f>IF(AND(DaybyDay[[#This Row],[_Space]],ISNUMBER(DaybyDay[[#This Row],[Admin Hours]])),DaybyDay[[#This Row],[Est-Admin-Payroll]]/(DaybyDay[[#This Row],[Service-Actuals]]+DaybyDay[[#This Row],[Retail-Actuals]]),"")</f>
        <v/>
      </c>
      <c r="AP1437" s="41">
        <f>DaybyDay[[#This Row],[Estimated-Payroll-Rollup]]/DaybyDay[[#This Row],[Simple-Forecast]]</f>
        <v>6.9805678594783713E-3</v>
      </c>
      <c r="AQ143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404181.83649099892</v>
      </c>
      <c r="AR1437" s="77"/>
      <c r="AS1437" s="40" t="str">
        <f>IF(DaybyDay[[#This Row],[Retail Hours]]&gt;0,DaybyDay[[#This Row],[Retail Hours]]*$AS$2,"")</f>
        <v/>
      </c>
      <c r="AT1437" s="40">
        <f>SUMIFS(DaybyDay[Est-Retail-Payroll],DaybyDay[Date],"&gt;="&amp;$C$5,DaybyDay[RowYear],"&gt;="&amp;$C$4,DaybyDay[Date],"&lt;="&amp;DaybyDay[[#This Row],[Date]])</f>
        <v>2627.1</v>
      </c>
      <c r="AU1437" s="82" t="str">
        <f>IF(AND(DaybyDay[[#This Row],[_Space]],ISNUMBER(DaybyDay[[#This Row],[Retail Hours]])),DaybyDay[[#This Row],[Est-Retail-Payroll]]/(DaybyDay[[#This Row],[Retail-Actuals]]),"")</f>
        <v/>
      </c>
      <c r="AV1437" s="82">
        <f>DaybyDay[[#This Row],[Est-Retail-PayrollRU]]/DaybyDay[[#This Row],[Simple-Forecast-Retail]]</f>
        <v>6.4997972764134961E-3</v>
      </c>
      <c r="AW1437" s="8"/>
      <c r="AX1437" s="15"/>
      <c r="AY1437" s="8"/>
    </row>
    <row r="1438" spans="3:51" hidden="1" x14ac:dyDescent="0.25">
      <c r="C1438" s="26" t="str">
        <f>Tools!$C$1</f>
        <v>Example</v>
      </c>
      <c r="D1438" s="27" t="s">
        <v>79</v>
      </c>
      <c r="E1438" s="28">
        <v>2020</v>
      </c>
      <c r="F1438" s="28">
        <f>MATCH(DaybyDay[[#This Row],[RowMonth]],Table3[SummaryMonth],0)</f>
        <v>12</v>
      </c>
      <c r="G1438" s="29">
        <f>MATCH(DaybyDay[[#This Row],[LY-Date]],DaybyDay[Date],0)</f>
        <v>1068</v>
      </c>
      <c r="H1438" s="30">
        <f>WEEKDAY(DaybyDay[[#This Row],[Date]])</f>
        <v>4</v>
      </c>
      <c r="I1438" s="31">
        <v>44167</v>
      </c>
      <c r="J1438" s="74"/>
      <c r="K1438" s="32">
        <f>SUMIFS(BudgetSeasonality[365 Seasonality],BudgetSeasonality[MonthAdjustment],DaybyDay[[#This Row],[Date]])*SUMIFS(Budgets[Service-Budget],Budgets[BudgetMonth],DaybyDay[[#This Row],[RowMonth]],Budgets[BudgetYear],DaybyDay[[#This Row],[RowYear]])</f>
        <v>4397.7699461330985</v>
      </c>
      <c r="L1438" s="75"/>
      <c r="M1438" s="32">
        <f>INDEX(BudgetSeasonality[365 Seasonality],MATCH(DaybyDay[[#This Row],[Date]],BudgetSeasonality[MonthAdjustment],0))*SUMIFS(Budgets[Retail-Budget],Budgets[BudgetMonth],DaybyDay[[#This Row],[RowMonth]],Budgets[BudgetYear],DaybyDay[[#This Row],[RowYear]])</f>
        <v>1283.9496607222393</v>
      </c>
      <c r="N1438" s="75"/>
      <c r="O1438" s="33">
        <f>SUMIFS(DaybyDay[Service-Budgets],DaybyDay[Date],"&gt;="&amp;$C$5,DaybyDay[RowYear],"&gt;="&amp;$C$4,DaybyDay[Date],"&lt;="&amp;DaybyDay[[#This Row],[Date]])</f>
        <v>1794730.0836345833</v>
      </c>
      <c r="P1438" s="33">
        <f>SUMIFS(DaybyDay[Retail-Budgets],DaybyDay[Date],"&gt;="&amp;$C$5,DaybyDay[RowYear],"&gt;="&amp;$C$4,DaybyDay[Date],"&lt;="&amp;DaybyDay[[#This Row],[Date]])</f>
        <v>480896.07412520086</v>
      </c>
      <c r="Q1438" s="34">
        <f>SUMIFS(DaybyDay[Service-Actuals],DaybyDay[Date],"&gt;="&amp;$C$5,DaybyDay[RowYear],"&gt;="&amp;$C$4,DaybyDay[Date],"&lt;="&amp;DaybyDay[[#This Row],[Date]])</f>
        <v>385554.23</v>
      </c>
      <c r="R1438" s="34">
        <f>SUMIFS(DaybyDay[Retail-Actuals],DaybyDay[Date],"&gt;="&amp;$C$5,DaybyDay[RowYear],"&gt;="&amp;$C$4,DaybyDay[Date],"&lt;="&amp;DaybyDay[[#This Row],[Date]])</f>
        <v>88360.030000000028</v>
      </c>
      <c r="S1438" s="35">
        <f>SUMIFS(DaybyDay[Service-LY],DaybyDay[Date],"&gt;="&amp;$C$5,DaybyDay[RowYear],"&gt;="&amp;$C$4,DaybyDay[Date],"&lt;="&amp;DaybyDay[[#This Row],[Date]])</f>
        <v>1618763.4509999978</v>
      </c>
      <c r="T1438" s="35">
        <f>SUMIFS(DaybyDay[Retail-LY],DaybyDay[Date],"&gt;="&amp;$C$5,DaybyDay[RowYear],"&gt;="&amp;$C$4,DaybyDay[Date],"&lt;="&amp;DaybyDay[[#This Row],[Date]])</f>
        <v>398243.7699999999</v>
      </c>
      <c r="U1438" s="32">
        <f>DaybyDay[[#This Row],[Serv-Bud-RU]]+DaybyDay[[#This Row],[Ret-Bud-RU]]</f>
        <v>2275626.1577597843</v>
      </c>
      <c r="V1438" s="32">
        <f>DaybyDay[[#This Row],[Serv-Act-RU]]+DaybyDay[[#This Row],[Ret-Act-RU]]</f>
        <v>473914.26</v>
      </c>
      <c r="W1438" s="36" t="str">
        <f>IF(DaybyDay[[#This Row],[_Space]],IFERROR(
((DaybyDay[[#This Row],[Actual-Rollup]]-DaybyDay[[#This Row],[Budget-Rollup]])/DaybyDay[[#This Row],[Budget-Rollup]]),0),"")</f>
        <v/>
      </c>
      <c r="X1438" t="b">
        <f>NOT(AND(ISBLANK(DaybyDay[[#This Row],[Appts]]),ISBLANK(DaybyDay[[#This Row],[Service-Actuals]]),ISBLANK(DaybyDay[[#This Row],[Retail-Actuals]])))</f>
        <v>0</v>
      </c>
      <c r="Y1438" s="36" t="str">
        <f>IF(DaybyDay[[#This Row],[_Space]],IFERROR(
((DaybyDay[[#This Row],[Actual-Rollup]]-DaybyDay[[#This Row],[LY-Rollup]])/DaybyDay[[#This Row],[LY-Rollup]]),0),"")</f>
        <v/>
      </c>
      <c r="Z1438"/>
      <c r="AA1438" s="37" t="str">
        <f>IF(DaybyDay[[#This Row],[_Space]],DaybyDay[[#This Row],[Ret-Act-RU]]/DaybyDay[[#This Row],[Serv-Act-RU]],"")</f>
        <v/>
      </c>
      <c r="AB1438" s="50" t="str">
        <f>IF(DaybyDay[[#This Row],[_Space]],DaybyDay[[#This Row],[RETPEN-Act]]/DaybyDay[[#This Row],[RETPEN-Bud]],"")</f>
        <v/>
      </c>
      <c r="AC1438" s="37" t="str">
        <f>IF(DaybyDay[[#This Row],[_Space]],DaybyDay[[#This Row],[Ret-Bud-RU]]/DaybyDay[[#This Row],[Serv-Bud-RU]],"")</f>
        <v/>
      </c>
      <c r="AD1438" s="37" t="str">
        <f>IF(DaybyDay[[#This Row],[_Space]],DaybyDay[[#This Row],[Ret-LY-RU]]/DaybyDay[[#This Row],[Serv-LY-RU]],"")</f>
        <v/>
      </c>
      <c r="AE1438" s="30">
        <f>WEEKDAY(DaybyDay[[#This Row],[LY-Date]])</f>
        <v>4</v>
      </c>
      <c r="AF1438" s="38">
        <f>$E$2+_xlfn.DAYS(DaybyDay[[#This Row],[Date]],minDate)</f>
        <v>43803</v>
      </c>
      <c r="AG1438" s="39" cm="1">
        <f t="array" ref="AG1438">IFERROR(INDEX(DaybyDay[],DaybyDay[[#This Row],[FORM_MATCH_HELPER]],8),"")</f>
        <v>19</v>
      </c>
      <c r="AH1438" s="39" cm="1">
        <f t="array" ref="AH1438">IFERROR(INDEX(DaybyDay[],DaybyDay[[#This Row],[FORM_MATCH_HELPER]],10),"")</f>
        <v>3450.8</v>
      </c>
      <c r="AI1438" s="39" cm="1">
        <f t="array" ref="AI1438">IFERROR(INDEX(DaybyDay[],DaybyDay[[#This Row],[FORM_MATCH_HELPER]],12),"")</f>
        <v>1528.7</v>
      </c>
      <c r="AJ1438" s="32">
        <f>IFERROR(DaybyDay[[#This Row],[Serv-LY-RU]]+DaybyDay[[#This Row],[Ret-LY-RU]],"")</f>
        <v>2017007.2209999976</v>
      </c>
      <c r="AK143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2002099.0554519962</v>
      </c>
      <c r="AL1438" s="77"/>
      <c r="AM1438" s="40" t="str">
        <f>IF(DaybyDay[[#This Row],[Admin Hours]]&gt;0,DaybyDay[[#This Row],[Admin Hours]]*$AM$2+$AM$3,"")</f>
        <v/>
      </c>
      <c r="AN1438" s="40">
        <f>SUMIFS(DaybyDay[Est-Admin-Payroll],DaybyDay[Date],"&gt;="&amp;$C$5,DaybyDay[RowYear],"&gt;="&amp;$C$4,DaybyDay[Date],"&lt;="&amp;DaybyDay[[#This Row],[Date]])</f>
        <v>13941.779999999997</v>
      </c>
      <c r="AO1438" s="41" t="str">
        <f>IF(AND(DaybyDay[[#This Row],[_Space]],ISNUMBER(DaybyDay[[#This Row],[Admin Hours]])),DaybyDay[[#This Row],[Est-Admin-Payroll]]/(DaybyDay[[#This Row],[Service-Actuals]]+DaybyDay[[#This Row],[Retail-Actuals]]),"")</f>
        <v/>
      </c>
      <c r="AP1438" s="41">
        <f>DaybyDay[[#This Row],[Estimated-Payroll-Rollup]]/DaybyDay[[#This Row],[Simple-Forecast]]</f>
        <v>6.9635815281139952E-3</v>
      </c>
      <c r="AQ143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405481.68583229685</v>
      </c>
      <c r="AR1438" s="77"/>
      <c r="AS1438" s="40" t="str">
        <f>IF(DaybyDay[[#This Row],[Retail Hours]]&gt;0,DaybyDay[[#This Row],[Retail Hours]]*$AS$2,"")</f>
        <v/>
      </c>
      <c r="AT1438" s="40">
        <f>SUMIFS(DaybyDay[Est-Retail-Payroll],DaybyDay[Date],"&gt;="&amp;$C$5,DaybyDay[RowYear],"&gt;="&amp;$C$4,DaybyDay[Date],"&lt;="&amp;DaybyDay[[#This Row],[Date]])</f>
        <v>2627.1</v>
      </c>
      <c r="AU1438" s="82" t="str">
        <f>IF(AND(DaybyDay[[#This Row],[_Space]],ISNUMBER(DaybyDay[[#This Row],[Retail Hours]])),DaybyDay[[#This Row],[Est-Retail-Payroll]]/(DaybyDay[[#This Row],[Retail-Actuals]]),"")</f>
        <v/>
      </c>
      <c r="AV1438" s="82">
        <f>DaybyDay[[#This Row],[Est-Retail-PayrollRU]]/DaybyDay[[#This Row],[Simple-Forecast-Retail]]</f>
        <v>6.4789609291664579E-3</v>
      </c>
      <c r="AW1438" s="8"/>
      <c r="AX1438" s="15"/>
      <c r="AY1438" s="8"/>
    </row>
    <row r="1439" spans="3:51" hidden="1" x14ac:dyDescent="0.25">
      <c r="C1439" s="26" t="str">
        <f>Tools!$C$1</f>
        <v>Example</v>
      </c>
      <c r="D1439" s="27" t="s">
        <v>79</v>
      </c>
      <c r="E1439" s="28">
        <v>2020</v>
      </c>
      <c r="F1439" s="28">
        <f>MATCH(DaybyDay[[#This Row],[RowMonth]],Table3[SummaryMonth],0)</f>
        <v>12</v>
      </c>
      <c r="G1439" s="29">
        <f>MATCH(DaybyDay[[#This Row],[LY-Date]],DaybyDay[Date],0)</f>
        <v>1069</v>
      </c>
      <c r="H1439" s="30">
        <f>WEEKDAY(DaybyDay[[#This Row],[Date]])</f>
        <v>5</v>
      </c>
      <c r="I1439" s="31">
        <v>44168</v>
      </c>
      <c r="J1439" s="74"/>
      <c r="K1439" s="32">
        <f>SUMIFS(BudgetSeasonality[365 Seasonality],BudgetSeasonality[MonthAdjustment],DaybyDay[[#This Row],[Date]])*SUMIFS(Budgets[Service-Budget],Budgets[BudgetMonth],DaybyDay[[#This Row],[RowMonth]],Budgets[BudgetYear],DaybyDay[[#This Row],[RowYear]])</f>
        <v>4541.4366373784878</v>
      </c>
      <c r="L1439" s="75"/>
      <c r="M1439" s="32">
        <f>INDEX(BudgetSeasonality[365 Seasonality],MATCH(DaybyDay[[#This Row],[Date]],BudgetSeasonality[MonthAdjustment],0))*SUMIFS(Budgets[Retail-Budget],Budgets[BudgetMonth],DaybyDay[[#This Row],[RowMonth]],Budgets[BudgetYear],DaybyDay[[#This Row],[RowYear]])</f>
        <v>1325.8938282755689</v>
      </c>
      <c r="N1439" s="75"/>
      <c r="O1439" s="33">
        <f>SUMIFS(DaybyDay[Service-Budgets],DaybyDay[Date],"&gt;="&amp;$C$5,DaybyDay[RowYear],"&gt;="&amp;$C$4,DaybyDay[Date],"&lt;="&amp;DaybyDay[[#This Row],[Date]])</f>
        <v>1799271.5202719618</v>
      </c>
      <c r="P1439" s="33">
        <f>SUMIFS(DaybyDay[Retail-Budgets],DaybyDay[Date],"&gt;="&amp;$C$5,DaybyDay[RowYear],"&gt;="&amp;$C$4,DaybyDay[Date],"&lt;="&amp;DaybyDay[[#This Row],[Date]])</f>
        <v>482221.96795347641</v>
      </c>
      <c r="Q1439" s="34">
        <f>SUMIFS(DaybyDay[Service-Actuals],DaybyDay[Date],"&gt;="&amp;$C$5,DaybyDay[RowYear],"&gt;="&amp;$C$4,DaybyDay[Date],"&lt;="&amp;DaybyDay[[#This Row],[Date]])</f>
        <v>385554.23</v>
      </c>
      <c r="R1439" s="34">
        <f>SUMIFS(DaybyDay[Retail-Actuals],DaybyDay[Date],"&gt;="&amp;$C$5,DaybyDay[RowYear],"&gt;="&amp;$C$4,DaybyDay[Date],"&lt;="&amp;DaybyDay[[#This Row],[Date]])</f>
        <v>88360.030000000028</v>
      </c>
      <c r="S1439" s="35">
        <f>SUMIFS(DaybyDay[Service-LY],DaybyDay[Date],"&gt;="&amp;$C$5,DaybyDay[RowYear],"&gt;="&amp;$C$4,DaybyDay[Date],"&lt;="&amp;DaybyDay[[#This Row],[Date]])</f>
        <v>1621584.1509999977</v>
      </c>
      <c r="T1439" s="35">
        <f>SUMIFS(DaybyDay[Retail-LY],DaybyDay[Date],"&gt;="&amp;$C$5,DaybyDay[RowYear],"&gt;="&amp;$C$4,DaybyDay[Date],"&lt;="&amp;DaybyDay[[#This Row],[Date]])</f>
        <v>398954.31999999989</v>
      </c>
      <c r="U1439" s="32">
        <f>DaybyDay[[#This Row],[Serv-Bud-RU]]+DaybyDay[[#This Row],[Ret-Bud-RU]]</f>
        <v>2281493.4882254382</v>
      </c>
      <c r="V1439" s="32">
        <f>DaybyDay[[#This Row],[Serv-Act-RU]]+DaybyDay[[#This Row],[Ret-Act-RU]]</f>
        <v>473914.26</v>
      </c>
      <c r="W1439" s="36" t="str">
        <f>IF(DaybyDay[[#This Row],[_Space]],IFERROR(
((DaybyDay[[#This Row],[Actual-Rollup]]-DaybyDay[[#This Row],[Budget-Rollup]])/DaybyDay[[#This Row],[Budget-Rollup]]),0),"")</f>
        <v/>
      </c>
      <c r="X1439" t="b">
        <f>NOT(AND(ISBLANK(DaybyDay[[#This Row],[Appts]]),ISBLANK(DaybyDay[[#This Row],[Service-Actuals]]),ISBLANK(DaybyDay[[#This Row],[Retail-Actuals]])))</f>
        <v>0</v>
      </c>
      <c r="Y1439" s="36" t="str">
        <f>IF(DaybyDay[[#This Row],[_Space]],IFERROR(
((DaybyDay[[#This Row],[Actual-Rollup]]-DaybyDay[[#This Row],[LY-Rollup]])/DaybyDay[[#This Row],[LY-Rollup]]),0),"")</f>
        <v/>
      </c>
      <c r="Z1439"/>
      <c r="AA1439" s="37" t="str">
        <f>IF(DaybyDay[[#This Row],[_Space]],DaybyDay[[#This Row],[Ret-Act-RU]]/DaybyDay[[#This Row],[Serv-Act-RU]],"")</f>
        <v/>
      </c>
      <c r="AB1439" s="50" t="str">
        <f>IF(DaybyDay[[#This Row],[_Space]],DaybyDay[[#This Row],[RETPEN-Act]]/DaybyDay[[#This Row],[RETPEN-Bud]],"")</f>
        <v/>
      </c>
      <c r="AC1439" s="37" t="str">
        <f>IF(DaybyDay[[#This Row],[_Space]],DaybyDay[[#This Row],[Ret-Bud-RU]]/DaybyDay[[#This Row],[Serv-Bud-RU]],"")</f>
        <v/>
      </c>
      <c r="AD1439" s="37" t="str">
        <f>IF(DaybyDay[[#This Row],[_Space]],DaybyDay[[#This Row],[Ret-LY-RU]]/DaybyDay[[#This Row],[Serv-LY-RU]],"")</f>
        <v/>
      </c>
      <c r="AE1439" s="30">
        <f>WEEKDAY(DaybyDay[[#This Row],[LY-Date]])</f>
        <v>5</v>
      </c>
      <c r="AF1439" s="38">
        <f>$E$2+_xlfn.DAYS(DaybyDay[[#This Row],[Date]],minDate)</f>
        <v>43804</v>
      </c>
      <c r="AG1439" s="39" cm="1">
        <f t="array" ref="AG1439">IFERROR(INDEX(DaybyDay[],DaybyDay[[#This Row],[FORM_MATCH_HELPER]],8),"")</f>
        <v>9</v>
      </c>
      <c r="AH1439" s="39" cm="1">
        <f t="array" ref="AH1439">IFERROR(INDEX(DaybyDay[],DaybyDay[[#This Row],[FORM_MATCH_HELPER]],10),"")</f>
        <v>2820.7</v>
      </c>
      <c r="AI1439" s="39" cm="1">
        <f t="array" ref="AI1439">IFERROR(INDEX(DaybyDay[],DaybyDay[[#This Row],[FORM_MATCH_HELPER]],12),"")</f>
        <v>710.55</v>
      </c>
      <c r="AJ1439" s="32">
        <f>IFERROR(DaybyDay[[#This Row],[Serv-LY-RU]]+DaybyDay[[#This Row],[Ret-LY-RU]],"")</f>
        <v>2020538.4709999976</v>
      </c>
      <c r="AK143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2006335.8115902673</v>
      </c>
      <c r="AL1439" s="77"/>
      <c r="AM1439" s="40" t="str">
        <f>IF(DaybyDay[[#This Row],[Admin Hours]]&gt;0,DaybyDay[[#This Row],[Admin Hours]]*$AM$2+$AM$3,"")</f>
        <v/>
      </c>
      <c r="AN1439" s="40">
        <f>SUMIFS(DaybyDay[Est-Admin-Payroll],DaybyDay[Date],"&gt;="&amp;$C$5,DaybyDay[RowYear],"&gt;="&amp;$C$4,DaybyDay[Date],"&lt;="&amp;DaybyDay[[#This Row],[Date]])</f>
        <v>13941.779999999997</v>
      </c>
      <c r="AO1439" s="41" t="str">
        <f>IF(AND(DaybyDay[[#This Row],[_Space]],ISNUMBER(DaybyDay[[#This Row],[Admin Hours]])),DaybyDay[[#This Row],[Est-Admin-Payroll]]/(DaybyDay[[#This Row],[Service-Actuals]]+DaybyDay[[#This Row],[Retail-Actuals]]),"")</f>
        <v/>
      </c>
      <c r="AP1439" s="41">
        <f>DaybyDay[[#This Row],[Estimated-Payroll-Rollup]]/DaybyDay[[#This Row],[Simple-Forecast]]</f>
        <v>6.9488766135064025E-3</v>
      </c>
      <c r="AQ143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406395.99301697302</v>
      </c>
      <c r="AR1439" s="77"/>
      <c r="AS1439" s="40" t="str">
        <f>IF(DaybyDay[[#This Row],[Retail Hours]]&gt;0,DaybyDay[[#This Row],[Retail Hours]]*$AS$2,"")</f>
        <v/>
      </c>
      <c r="AT1439" s="40">
        <f>SUMIFS(DaybyDay[Est-Retail-Payroll],DaybyDay[Date],"&gt;="&amp;$C$5,DaybyDay[RowYear],"&gt;="&amp;$C$4,DaybyDay[Date],"&lt;="&amp;DaybyDay[[#This Row],[Date]])</f>
        <v>2627.1</v>
      </c>
      <c r="AU1439" s="82" t="str">
        <f>IF(AND(DaybyDay[[#This Row],[_Space]],ISNUMBER(DaybyDay[[#This Row],[Retail Hours]])),DaybyDay[[#This Row],[Est-Retail-Payroll]]/(DaybyDay[[#This Row],[Retail-Actuals]]),"")</f>
        <v/>
      </c>
      <c r="AV1439" s="82">
        <f>DaybyDay[[#This Row],[Est-Retail-PayrollRU]]/DaybyDay[[#This Row],[Simple-Forecast-Retail]]</f>
        <v>6.4643846030496659E-3</v>
      </c>
      <c r="AW1439" s="8"/>
      <c r="AX1439" s="15"/>
      <c r="AY1439" s="8"/>
    </row>
    <row r="1440" spans="3:51" hidden="1" x14ac:dyDescent="0.25">
      <c r="C1440" s="26" t="str">
        <f>Tools!$C$1</f>
        <v>Example</v>
      </c>
      <c r="D1440" s="27" t="s">
        <v>79</v>
      </c>
      <c r="E1440" s="28">
        <v>2020</v>
      </c>
      <c r="F1440" s="28">
        <f>MATCH(DaybyDay[[#This Row],[RowMonth]],Table3[SummaryMonth],0)</f>
        <v>12</v>
      </c>
      <c r="G1440" s="29">
        <f>MATCH(DaybyDay[[#This Row],[LY-Date]],DaybyDay[Date],0)</f>
        <v>1070</v>
      </c>
      <c r="H1440" s="30">
        <f>WEEKDAY(DaybyDay[[#This Row],[Date]])</f>
        <v>6</v>
      </c>
      <c r="I1440" s="31">
        <v>44169</v>
      </c>
      <c r="J1440" s="74"/>
      <c r="K1440" s="32">
        <f>SUMIFS(BudgetSeasonality[365 Seasonality],BudgetSeasonality[MonthAdjustment],DaybyDay[[#This Row],[Date]])*SUMIFS(Budgets[Service-Budget],Budgets[BudgetMonth],DaybyDay[[#This Row],[RowMonth]],Budgets[BudgetYear],DaybyDay[[#This Row],[RowYear]])</f>
        <v>5583.5245899987249</v>
      </c>
      <c r="L1440" s="75"/>
      <c r="M1440" s="32">
        <f>INDEX(BudgetSeasonality[365 Seasonality],MATCH(DaybyDay[[#This Row],[Date]],BudgetSeasonality[MonthAdjustment],0))*SUMIFS(Budgets[Retail-Budget],Budgets[BudgetMonth],DaybyDay[[#This Row],[RowMonth]],Budgets[BudgetYear],DaybyDay[[#This Row],[RowYear]])</f>
        <v>1630.136316991006</v>
      </c>
      <c r="N1440" s="75"/>
      <c r="O1440" s="33">
        <f>SUMIFS(DaybyDay[Service-Budgets],DaybyDay[Date],"&gt;="&amp;$C$5,DaybyDay[RowYear],"&gt;="&amp;$C$4,DaybyDay[Date],"&lt;="&amp;DaybyDay[[#This Row],[Date]])</f>
        <v>1804855.0448619605</v>
      </c>
      <c r="P1440" s="33">
        <f>SUMIFS(DaybyDay[Retail-Budgets],DaybyDay[Date],"&gt;="&amp;$C$5,DaybyDay[RowYear],"&gt;="&amp;$C$4,DaybyDay[Date],"&lt;="&amp;DaybyDay[[#This Row],[Date]])</f>
        <v>483852.10427046742</v>
      </c>
      <c r="Q1440" s="34">
        <f>SUMIFS(DaybyDay[Service-Actuals],DaybyDay[Date],"&gt;="&amp;$C$5,DaybyDay[RowYear],"&gt;="&amp;$C$4,DaybyDay[Date],"&lt;="&amp;DaybyDay[[#This Row],[Date]])</f>
        <v>385554.23</v>
      </c>
      <c r="R1440" s="34">
        <f>SUMIFS(DaybyDay[Retail-Actuals],DaybyDay[Date],"&gt;="&amp;$C$5,DaybyDay[RowYear],"&gt;="&amp;$C$4,DaybyDay[Date],"&lt;="&amp;DaybyDay[[#This Row],[Date]])</f>
        <v>88360.030000000028</v>
      </c>
      <c r="S1440" s="35">
        <f>SUMIFS(DaybyDay[Service-LY],DaybyDay[Date],"&gt;="&amp;$C$5,DaybyDay[RowYear],"&gt;="&amp;$C$4,DaybyDay[Date],"&lt;="&amp;DaybyDay[[#This Row],[Date]])</f>
        <v>1629181.5509999976</v>
      </c>
      <c r="T1440" s="35">
        <f>SUMIFS(DaybyDay[Retail-LY],DaybyDay[Date],"&gt;="&amp;$C$5,DaybyDay[RowYear],"&gt;="&amp;$C$4,DaybyDay[Date],"&lt;="&amp;DaybyDay[[#This Row],[Date]])</f>
        <v>399518.31999999989</v>
      </c>
      <c r="U1440" s="32">
        <f>DaybyDay[[#This Row],[Serv-Bud-RU]]+DaybyDay[[#This Row],[Ret-Bud-RU]]</f>
        <v>2288707.1491324278</v>
      </c>
      <c r="V1440" s="32">
        <f>DaybyDay[[#This Row],[Serv-Act-RU]]+DaybyDay[[#This Row],[Ret-Act-RU]]</f>
        <v>473914.26</v>
      </c>
      <c r="W1440" s="36" t="str">
        <f>IF(DaybyDay[[#This Row],[_Space]],IFERROR(
((DaybyDay[[#This Row],[Actual-Rollup]]-DaybyDay[[#This Row],[Budget-Rollup]])/DaybyDay[[#This Row],[Budget-Rollup]]),0),"")</f>
        <v/>
      </c>
      <c r="X1440" t="b">
        <f>NOT(AND(ISBLANK(DaybyDay[[#This Row],[Appts]]),ISBLANK(DaybyDay[[#This Row],[Service-Actuals]]),ISBLANK(DaybyDay[[#This Row],[Retail-Actuals]])))</f>
        <v>0</v>
      </c>
      <c r="Y1440" s="36" t="str">
        <f>IF(DaybyDay[[#This Row],[_Space]],IFERROR(
((DaybyDay[[#This Row],[Actual-Rollup]]-DaybyDay[[#This Row],[LY-Rollup]])/DaybyDay[[#This Row],[LY-Rollup]]),0),"")</f>
        <v/>
      </c>
      <c r="Z1440"/>
      <c r="AA1440" s="37" t="str">
        <f>IF(DaybyDay[[#This Row],[_Space]],DaybyDay[[#This Row],[Ret-Act-RU]]/DaybyDay[[#This Row],[Serv-Act-RU]],"")</f>
        <v/>
      </c>
      <c r="AB1440" s="50" t="str">
        <f>IF(DaybyDay[[#This Row],[_Space]],DaybyDay[[#This Row],[RETPEN-Act]]/DaybyDay[[#This Row],[RETPEN-Bud]],"")</f>
        <v/>
      </c>
      <c r="AC1440" s="37" t="str">
        <f>IF(DaybyDay[[#This Row],[_Space]],DaybyDay[[#This Row],[Ret-Bud-RU]]/DaybyDay[[#This Row],[Serv-Bud-RU]],"")</f>
        <v/>
      </c>
      <c r="AD1440" s="37" t="str">
        <f>IF(DaybyDay[[#This Row],[_Space]],DaybyDay[[#This Row],[Ret-LY-RU]]/DaybyDay[[#This Row],[Serv-LY-RU]],"")</f>
        <v/>
      </c>
      <c r="AE1440" s="30">
        <f>WEEKDAY(DaybyDay[[#This Row],[LY-Date]])</f>
        <v>6</v>
      </c>
      <c r="AF1440" s="38">
        <f>$E$2+_xlfn.DAYS(DaybyDay[[#This Row],[Date]],minDate)</f>
        <v>43805</v>
      </c>
      <c r="AG1440" s="39" cm="1">
        <f t="array" ref="AG1440">IFERROR(INDEX(DaybyDay[],DaybyDay[[#This Row],[FORM_MATCH_HELPER]],8),"")</f>
        <v>37</v>
      </c>
      <c r="AH1440" s="39" cm="1">
        <f t="array" ref="AH1440">IFERROR(INDEX(DaybyDay[],DaybyDay[[#This Row],[FORM_MATCH_HELPER]],10),"")</f>
        <v>7597.4</v>
      </c>
      <c r="AI1440" s="39" cm="1">
        <f t="array" ref="AI1440">IFERROR(INDEX(DaybyDay[],DaybyDay[[#This Row],[FORM_MATCH_HELPER]],12),"")</f>
        <v>564</v>
      </c>
      <c r="AJ1440" s="32">
        <f>IFERROR(DaybyDay[[#This Row],[Serv-LY-RU]]+DaybyDay[[#This Row],[Ret-LY-RU]],"")</f>
        <v>2028699.8709999975</v>
      </c>
      <c r="AK144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2013428.0999293132</v>
      </c>
      <c r="AL1440" s="77"/>
      <c r="AM1440" s="40" t="str">
        <f>IF(DaybyDay[[#This Row],[Admin Hours]]&gt;0,DaybyDay[[#This Row],[Admin Hours]]*$AM$2+$AM$3,"")</f>
        <v/>
      </c>
      <c r="AN1440" s="40">
        <f>SUMIFS(DaybyDay[Est-Admin-Payroll],DaybyDay[Date],"&gt;="&amp;$C$5,DaybyDay[RowYear],"&gt;="&amp;$C$4,DaybyDay[Date],"&lt;="&amp;DaybyDay[[#This Row],[Date]])</f>
        <v>13941.779999999997</v>
      </c>
      <c r="AO1440" s="41" t="str">
        <f>IF(AND(DaybyDay[[#This Row],[_Space]],ISNUMBER(DaybyDay[[#This Row],[Admin Hours]])),DaybyDay[[#This Row],[Est-Admin-Payroll]]/(DaybyDay[[#This Row],[Service-Actuals]]+DaybyDay[[#This Row],[Retail-Actuals]]),"")</f>
        <v/>
      </c>
      <c r="AP1440" s="41">
        <f>DaybyDay[[#This Row],[Estimated-Payroll-Rollup]]/DaybyDay[[#This Row],[Simple-Forecast]]</f>
        <v>6.924399237543899E-3</v>
      </c>
      <c r="AQ144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407367.45572547719</v>
      </c>
      <c r="AR1440" s="77"/>
      <c r="AS1440" s="40" t="str">
        <f>IF(DaybyDay[[#This Row],[Retail Hours]]&gt;0,DaybyDay[[#This Row],[Retail Hours]]*$AS$2,"")</f>
        <v/>
      </c>
      <c r="AT1440" s="40">
        <f>SUMIFS(DaybyDay[Est-Retail-Payroll],DaybyDay[Date],"&gt;="&amp;$C$5,DaybyDay[RowYear],"&gt;="&amp;$C$4,DaybyDay[Date],"&lt;="&amp;DaybyDay[[#This Row],[Date]])</f>
        <v>2627.1</v>
      </c>
      <c r="AU1440" s="82" t="str">
        <f>IF(AND(DaybyDay[[#This Row],[_Space]],ISNUMBER(DaybyDay[[#This Row],[Retail Hours]])),DaybyDay[[#This Row],[Est-Retail-Payroll]]/(DaybyDay[[#This Row],[Retail-Actuals]]),"")</f>
        <v/>
      </c>
      <c r="AV1440" s="82">
        <f>DaybyDay[[#This Row],[Est-Retail-PayrollRU]]/DaybyDay[[#This Row],[Simple-Forecast-Retail]]</f>
        <v>6.4489687702750341E-3</v>
      </c>
      <c r="AW1440" s="8"/>
      <c r="AX1440" s="15"/>
      <c r="AY1440" s="8"/>
    </row>
    <row r="1441" spans="3:51" hidden="1" x14ac:dyDescent="0.25">
      <c r="C1441" s="26" t="str">
        <f>Tools!$C$1</f>
        <v>Example</v>
      </c>
      <c r="D1441" s="27" t="s">
        <v>79</v>
      </c>
      <c r="E1441" s="28">
        <v>2020</v>
      </c>
      <c r="F1441" s="28">
        <f>MATCH(DaybyDay[[#This Row],[RowMonth]],Table3[SummaryMonth],0)</f>
        <v>12</v>
      </c>
      <c r="G1441" s="29">
        <f>MATCH(DaybyDay[[#This Row],[LY-Date]],DaybyDay[Date],0)</f>
        <v>1071</v>
      </c>
      <c r="H1441" s="30">
        <f>WEEKDAY(DaybyDay[[#This Row],[Date]])</f>
        <v>7</v>
      </c>
      <c r="I1441" s="31">
        <v>44170</v>
      </c>
      <c r="J1441" s="74"/>
      <c r="K1441" s="32">
        <f>SUMIFS(BudgetSeasonality[365 Seasonality],BudgetSeasonality[MonthAdjustment],DaybyDay[[#This Row],[Date]])*SUMIFS(Budgets[Service-Budget],Budgets[BudgetMonth],DaybyDay[[#This Row],[RowMonth]],Budgets[BudgetYear],DaybyDay[[#This Row],[RowYear]])</f>
        <v>7753.413967986482</v>
      </c>
      <c r="L1441" s="75"/>
      <c r="M1441" s="32">
        <f>INDEX(BudgetSeasonality[365 Seasonality],MATCH(DaybyDay[[#This Row],[Date]],BudgetSeasonality[MonthAdjustment],0))*SUMIFS(Budgets[Retail-Budget],Budgets[BudgetMonth],DaybyDay[[#This Row],[RowMonth]],Budgets[BudgetYear],DaybyDay[[#This Row],[RowYear]])</f>
        <v>2263.6457467241121</v>
      </c>
      <c r="N1441" s="75"/>
      <c r="O1441" s="33">
        <f>SUMIFS(DaybyDay[Service-Budgets],DaybyDay[Date],"&gt;="&amp;$C$5,DaybyDay[RowYear],"&gt;="&amp;$C$4,DaybyDay[Date],"&lt;="&amp;DaybyDay[[#This Row],[Date]])</f>
        <v>1812608.458829947</v>
      </c>
      <c r="P1441" s="33">
        <f>SUMIFS(DaybyDay[Retail-Budgets],DaybyDay[Date],"&gt;="&amp;$C$5,DaybyDay[RowYear],"&gt;="&amp;$C$4,DaybyDay[Date],"&lt;="&amp;DaybyDay[[#This Row],[Date]])</f>
        <v>486115.75001719152</v>
      </c>
      <c r="Q1441" s="34">
        <f>SUMIFS(DaybyDay[Service-Actuals],DaybyDay[Date],"&gt;="&amp;$C$5,DaybyDay[RowYear],"&gt;="&amp;$C$4,DaybyDay[Date],"&lt;="&amp;DaybyDay[[#This Row],[Date]])</f>
        <v>385554.23</v>
      </c>
      <c r="R1441" s="34">
        <f>SUMIFS(DaybyDay[Retail-Actuals],DaybyDay[Date],"&gt;="&amp;$C$5,DaybyDay[RowYear],"&gt;="&amp;$C$4,DaybyDay[Date],"&lt;="&amp;DaybyDay[[#This Row],[Date]])</f>
        <v>88360.030000000028</v>
      </c>
      <c r="S1441" s="35">
        <f>SUMIFS(DaybyDay[Service-LY],DaybyDay[Date],"&gt;="&amp;$C$5,DaybyDay[RowYear],"&gt;="&amp;$C$4,DaybyDay[Date],"&lt;="&amp;DaybyDay[[#This Row],[Date]])</f>
        <v>1637319.1509999977</v>
      </c>
      <c r="T1441" s="35">
        <f>SUMIFS(DaybyDay[Retail-LY],DaybyDay[Date],"&gt;="&amp;$C$5,DaybyDay[RowYear],"&gt;="&amp;$C$4,DaybyDay[Date],"&lt;="&amp;DaybyDay[[#This Row],[Date]])</f>
        <v>402743.31999999989</v>
      </c>
      <c r="U1441" s="32">
        <f>DaybyDay[[#This Row],[Serv-Bud-RU]]+DaybyDay[[#This Row],[Ret-Bud-RU]]</f>
        <v>2298724.2088471386</v>
      </c>
      <c r="V1441" s="32">
        <f>DaybyDay[[#This Row],[Serv-Act-RU]]+DaybyDay[[#This Row],[Ret-Act-RU]]</f>
        <v>473914.26</v>
      </c>
      <c r="W1441" s="36" t="str">
        <f>IF(DaybyDay[[#This Row],[_Space]],IFERROR(
((DaybyDay[[#This Row],[Actual-Rollup]]-DaybyDay[[#This Row],[Budget-Rollup]])/DaybyDay[[#This Row],[Budget-Rollup]]),0),"")</f>
        <v/>
      </c>
      <c r="X1441" t="b">
        <f>NOT(AND(ISBLANK(DaybyDay[[#This Row],[Appts]]),ISBLANK(DaybyDay[[#This Row],[Service-Actuals]]),ISBLANK(DaybyDay[[#This Row],[Retail-Actuals]])))</f>
        <v>0</v>
      </c>
      <c r="Y1441" s="36" t="str">
        <f>IF(DaybyDay[[#This Row],[_Space]],IFERROR(
((DaybyDay[[#This Row],[Actual-Rollup]]-DaybyDay[[#This Row],[LY-Rollup]])/DaybyDay[[#This Row],[LY-Rollup]]),0),"")</f>
        <v/>
      </c>
      <c r="Z1441"/>
      <c r="AA1441" s="37" t="str">
        <f>IF(DaybyDay[[#This Row],[_Space]],DaybyDay[[#This Row],[Ret-Act-RU]]/DaybyDay[[#This Row],[Serv-Act-RU]],"")</f>
        <v/>
      </c>
      <c r="AB1441" s="50" t="str">
        <f>IF(DaybyDay[[#This Row],[_Space]],DaybyDay[[#This Row],[RETPEN-Act]]/DaybyDay[[#This Row],[RETPEN-Bud]],"")</f>
        <v/>
      </c>
      <c r="AC1441" s="37" t="str">
        <f>IF(DaybyDay[[#This Row],[_Space]],DaybyDay[[#This Row],[Ret-Bud-RU]]/DaybyDay[[#This Row],[Serv-Bud-RU]],"")</f>
        <v/>
      </c>
      <c r="AD1441" s="37" t="str">
        <f>IF(DaybyDay[[#This Row],[_Space]],DaybyDay[[#This Row],[Ret-LY-RU]]/DaybyDay[[#This Row],[Serv-LY-RU]],"")</f>
        <v/>
      </c>
      <c r="AE1441" s="30">
        <f>WEEKDAY(DaybyDay[[#This Row],[LY-Date]])</f>
        <v>7</v>
      </c>
      <c r="AF1441" s="38">
        <f>$E$2+_xlfn.DAYS(DaybyDay[[#This Row],[Date]],minDate)</f>
        <v>43806</v>
      </c>
      <c r="AG1441" s="39" cm="1">
        <f t="array" ref="AG1441">IFERROR(INDEX(DaybyDay[],DaybyDay[[#This Row],[FORM_MATCH_HELPER]],8),"")</f>
        <v>34</v>
      </c>
      <c r="AH1441" s="39" cm="1">
        <f t="array" ref="AH1441">IFERROR(INDEX(DaybyDay[],DaybyDay[[#This Row],[FORM_MATCH_HELPER]],10),"")</f>
        <v>8137.6</v>
      </c>
      <c r="AI1441" s="39" cm="1">
        <f t="array" ref="AI1441">IFERROR(INDEX(DaybyDay[],DaybyDay[[#This Row],[FORM_MATCH_HELPER]],12),"")</f>
        <v>3225</v>
      </c>
      <c r="AJ1441" s="32">
        <f>IFERROR(DaybyDay[[#This Row],[Serv-LY-RU]]+DaybyDay[[#This Row],[Ret-LY-RU]],"")</f>
        <v>2040062.4709999976</v>
      </c>
      <c r="AK144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2023291.1574065238</v>
      </c>
      <c r="AL1441" s="77"/>
      <c r="AM1441" s="40" t="str">
        <f>IF(DaybyDay[[#This Row],[Admin Hours]]&gt;0,DaybyDay[[#This Row],[Admin Hours]]*$AM$2+$AM$3,"")</f>
        <v/>
      </c>
      <c r="AN1441" s="40">
        <f>SUMIFS(DaybyDay[Est-Admin-Payroll],DaybyDay[Date],"&gt;="&amp;$C$5,DaybyDay[RowYear],"&gt;="&amp;$C$4,DaybyDay[Date],"&lt;="&amp;DaybyDay[[#This Row],[Date]])</f>
        <v>13941.779999999997</v>
      </c>
      <c r="AO1441" s="41" t="str">
        <f>IF(AND(DaybyDay[[#This Row],[_Space]],ISNUMBER(DaybyDay[[#This Row],[Admin Hours]])),DaybyDay[[#This Row],[Est-Admin-Payroll]]/(DaybyDay[[#This Row],[Service-Actuals]]+DaybyDay[[#This Row],[Retail-Actuals]]),"")</f>
        <v/>
      </c>
      <c r="AP1441" s="41">
        <f>DaybyDay[[#This Row],[Estimated-Payroll-Rollup]]/DaybyDay[[#This Row],[Simple-Forecast]]</f>
        <v>6.8906444576522143E-3</v>
      </c>
      <c r="AQ144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409920.37272853625</v>
      </c>
      <c r="AR1441" s="77"/>
      <c r="AS1441" s="40" t="str">
        <f>IF(DaybyDay[[#This Row],[Retail Hours]]&gt;0,DaybyDay[[#This Row],[Retail Hours]]*$AS$2,"")</f>
        <v/>
      </c>
      <c r="AT1441" s="40">
        <f>SUMIFS(DaybyDay[Est-Retail-Payroll],DaybyDay[Date],"&gt;="&amp;$C$5,DaybyDay[RowYear],"&gt;="&amp;$C$4,DaybyDay[Date],"&lt;="&amp;DaybyDay[[#This Row],[Date]])</f>
        <v>2627.1</v>
      </c>
      <c r="AU1441" s="82" t="str">
        <f>IF(AND(DaybyDay[[#This Row],[_Space]],ISNUMBER(DaybyDay[[#This Row],[Retail Hours]])),DaybyDay[[#This Row],[Est-Retail-Payroll]]/(DaybyDay[[#This Row],[Retail-Actuals]]),"")</f>
        <v/>
      </c>
      <c r="AV1441" s="82">
        <f>DaybyDay[[#This Row],[Est-Retail-PayrollRU]]/DaybyDay[[#This Row],[Simple-Forecast-Retail]]</f>
        <v>6.4088056480660896E-3</v>
      </c>
      <c r="AW1441" s="8"/>
      <c r="AX1441" s="15"/>
      <c r="AY1441" s="8"/>
    </row>
    <row r="1442" spans="3:51" hidden="1" x14ac:dyDescent="0.25">
      <c r="C1442" s="26" t="str">
        <f>Tools!$C$1</f>
        <v>Example</v>
      </c>
      <c r="D1442" s="27" t="s">
        <v>79</v>
      </c>
      <c r="E1442" s="28">
        <v>2020</v>
      </c>
      <c r="F1442" s="28">
        <f>MATCH(DaybyDay[[#This Row],[RowMonth]],Table3[SummaryMonth],0)</f>
        <v>12</v>
      </c>
      <c r="G1442" s="29">
        <f>MATCH(DaybyDay[[#This Row],[LY-Date]],DaybyDay[Date],0)</f>
        <v>1072</v>
      </c>
      <c r="H1442" s="30">
        <f>WEEKDAY(DaybyDay[[#This Row],[Date]])</f>
        <v>1</v>
      </c>
      <c r="I1442" s="31">
        <v>44171</v>
      </c>
      <c r="J1442" s="74"/>
      <c r="K1442" s="32">
        <f>SUMIFS(BudgetSeasonality[365 Seasonality],BudgetSeasonality[MonthAdjustment],DaybyDay[[#This Row],[Date]])*SUMIFS(Budgets[Service-Budget],Budgets[BudgetMonth],DaybyDay[[#This Row],[RowMonth]],Budgets[BudgetYear],DaybyDay[[#This Row],[RowYear]])</f>
        <v>6225.8656100727549</v>
      </c>
      <c r="L1442" s="75"/>
      <c r="M1442" s="32">
        <f>INDEX(BudgetSeasonality[365 Seasonality],MATCH(DaybyDay[[#This Row],[Date]],BudgetSeasonality[MonthAdjustment],0))*SUMIFS(Budgets[Retail-Budget],Budgets[BudgetMonth],DaybyDay[[#This Row],[RowMonth]],Budgets[BudgetYear],DaybyDay[[#This Row],[RowYear]])</f>
        <v>1817.6708049005442</v>
      </c>
      <c r="N1442" s="75"/>
      <c r="O1442" s="33">
        <f>SUMIFS(DaybyDay[Service-Budgets],DaybyDay[Date],"&gt;="&amp;$C$5,DaybyDay[RowYear],"&gt;="&amp;$C$4,DaybyDay[Date],"&lt;="&amp;DaybyDay[[#This Row],[Date]])</f>
        <v>1818834.3244400199</v>
      </c>
      <c r="P1442" s="33">
        <f>SUMIFS(DaybyDay[Retail-Budgets],DaybyDay[Date],"&gt;="&amp;$C$5,DaybyDay[RowYear],"&gt;="&amp;$C$4,DaybyDay[Date],"&lt;="&amp;DaybyDay[[#This Row],[Date]])</f>
        <v>487933.42082209204</v>
      </c>
      <c r="Q1442" s="34">
        <f>SUMIFS(DaybyDay[Service-Actuals],DaybyDay[Date],"&gt;="&amp;$C$5,DaybyDay[RowYear],"&gt;="&amp;$C$4,DaybyDay[Date],"&lt;="&amp;DaybyDay[[#This Row],[Date]])</f>
        <v>385554.23</v>
      </c>
      <c r="R1442" s="34">
        <f>SUMIFS(DaybyDay[Retail-Actuals],DaybyDay[Date],"&gt;="&amp;$C$5,DaybyDay[RowYear],"&gt;="&amp;$C$4,DaybyDay[Date],"&lt;="&amp;DaybyDay[[#This Row],[Date]])</f>
        <v>88360.030000000028</v>
      </c>
      <c r="S1442" s="35">
        <f>SUMIFS(DaybyDay[Service-LY],DaybyDay[Date],"&gt;="&amp;$C$5,DaybyDay[RowYear],"&gt;="&amp;$C$4,DaybyDay[Date],"&lt;="&amp;DaybyDay[[#This Row],[Date]])</f>
        <v>1641778.3509999977</v>
      </c>
      <c r="T1442" s="35">
        <f>SUMIFS(DaybyDay[Retail-LY],DaybyDay[Date],"&gt;="&amp;$C$5,DaybyDay[RowYear],"&gt;="&amp;$C$4,DaybyDay[Date],"&lt;="&amp;DaybyDay[[#This Row],[Date]])</f>
        <v>403259.52999999991</v>
      </c>
      <c r="U1442" s="32">
        <f>DaybyDay[[#This Row],[Serv-Bud-RU]]+DaybyDay[[#This Row],[Ret-Bud-RU]]</f>
        <v>2306767.745262112</v>
      </c>
      <c r="V1442" s="32">
        <f>DaybyDay[[#This Row],[Serv-Act-RU]]+DaybyDay[[#This Row],[Ret-Act-RU]]</f>
        <v>473914.26</v>
      </c>
      <c r="W1442" s="36" t="str">
        <f>IF(DaybyDay[[#This Row],[_Space]],IFERROR(
((DaybyDay[[#This Row],[Actual-Rollup]]-DaybyDay[[#This Row],[Budget-Rollup]])/DaybyDay[[#This Row],[Budget-Rollup]]),0),"")</f>
        <v/>
      </c>
      <c r="X1442" t="b">
        <f>NOT(AND(ISBLANK(DaybyDay[[#This Row],[Appts]]),ISBLANK(DaybyDay[[#This Row],[Service-Actuals]]),ISBLANK(DaybyDay[[#This Row],[Retail-Actuals]])))</f>
        <v>0</v>
      </c>
      <c r="Y1442" s="36" t="str">
        <f>IF(DaybyDay[[#This Row],[_Space]],IFERROR(
((DaybyDay[[#This Row],[Actual-Rollup]]-DaybyDay[[#This Row],[LY-Rollup]])/DaybyDay[[#This Row],[LY-Rollup]]),0),"")</f>
        <v/>
      </c>
      <c r="Z1442"/>
      <c r="AA1442" s="37" t="str">
        <f>IF(DaybyDay[[#This Row],[_Space]],DaybyDay[[#This Row],[Ret-Act-RU]]/DaybyDay[[#This Row],[Serv-Act-RU]],"")</f>
        <v/>
      </c>
      <c r="AB1442" s="50" t="str">
        <f>IF(DaybyDay[[#This Row],[_Space]],DaybyDay[[#This Row],[RETPEN-Act]]/DaybyDay[[#This Row],[RETPEN-Bud]],"")</f>
        <v/>
      </c>
      <c r="AC1442" s="37" t="str">
        <f>IF(DaybyDay[[#This Row],[_Space]],DaybyDay[[#This Row],[Ret-Bud-RU]]/DaybyDay[[#This Row],[Serv-Bud-RU]],"")</f>
        <v/>
      </c>
      <c r="AD1442" s="37" t="str">
        <f>IF(DaybyDay[[#This Row],[_Space]],DaybyDay[[#This Row],[Ret-LY-RU]]/DaybyDay[[#This Row],[Serv-LY-RU]],"")</f>
        <v/>
      </c>
      <c r="AE1442" s="30">
        <f>WEEKDAY(DaybyDay[[#This Row],[LY-Date]])</f>
        <v>1</v>
      </c>
      <c r="AF1442" s="38">
        <f>$E$2+_xlfn.DAYS(DaybyDay[[#This Row],[Date]],minDate)</f>
        <v>43807</v>
      </c>
      <c r="AG1442" s="39" cm="1">
        <f t="array" ref="AG1442">IFERROR(INDEX(DaybyDay[],DaybyDay[[#This Row],[FORM_MATCH_HELPER]],8),"")</f>
        <v>17</v>
      </c>
      <c r="AH1442" s="39" cm="1">
        <f t="array" ref="AH1442">IFERROR(INDEX(DaybyDay[],DaybyDay[[#This Row],[FORM_MATCH_HELPER]],10),"")</f>
        <v>4459.2</v>
      </c>
      <c r="AI1442" s="39" cm="1">
        <f t="array" ref="AI1442">IFERROR(INDEX(DaybyDay[],DaybyDay[[#This Row],[FORM_MATCH_HELPER]],12),"")</f>
        <v>516.21</v>
      </c>
      <c r="AJ1442" s="32">
        <f>IFERROR(DaybyDay[[#This Row],[Serv-LY-RU]]+DaybyDay[[#This Row],[Ret-LY-RU]],"")</f>
        <v>2045037.8809999977</v>
      </c>
      <c r="AK144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2029165.6065214071</v>
      </c>
      <c r="AL1442" s="77"/>
      <c r="AM1442" s="40" t="str">
        <f>IF(DaybyDay[[#This Row],[Admin Hours]]&gt;0,DaybyDay[[#This Row],[Admin Hours]]*$AM$2+$AM$3,"")</f>
        <v/>
      </c>
      <c r="AN1442" s="40">
        <f>SUMIFS(DaybyDay[Est-Admin-Payroll],DaybyDay[Date],"&gt;="&amp;$C$5,DaybyDay[RowYear],"&gt;="&amp;$C$4,DaybyDay[Date],"&lt;="&amp;DaybyDay[[#This Row],[Date]])</f>
        <v>13941.779999999997</v>
      </c>
      <c r="AO1442" s="41" t="str">
        <f>IF(AND(DaybyDay[[#This Row],[_Space]],ISNUMBER(DaybyDay[[#This Row],[Admin Hours]])),DaybyDay[[#This Row],[Est-Admin-Payroll]]/(DaybyDay[[#This Row],[Service-Actuals]]+DaybyDay[[#This Row],[Retail-Actuals]]),"")</f>
        <v/>
      </c>
      <c r="AP1442" s="41">
        <f>DaybyDay[[#This Row],[Estimated-Payroll-Rollup]]/DaybyDay[[#This Row],[Simple-Forecast]]</f>
        <v>6.870695992083343E-3</v>
      </c>
      <c r="AQ144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410948.04159909219</v>
      </c>
      <c r="AR1442" s="77"/>
      <c r="AS1442" s="40" t="str">
        <f>IF(DaybyDay[[#This Row],[Retail Hours]]&gt;0,DaybyDay[[#This Row],[Retail Hours]]*$AS$2,"")</f>
        <v/>
      </c>
      <c r="AT1442" s="40">
        <f>SUMIFS(DaybyDay[Est-Retail-Payroll],DaybyDay[Date],"&gt;="&amp;$C$5,DaybyDay[RowYear],"&gt;="&amp;$C$4,DaybyDay[Date],"&lt;="&amp;DaybyDay[[#This Row],[Date]])</f>
        <v>2627.1</v>
      </c>
      <c r="AU1442" s="82" t="str">
        <f>IF(AND(DaybyDay[[#This Row],[_Space]],ISNUMBER(DaybyDay[[#This Row],[Retail Hours]])),DaybyDay[[#This Row],[Est-Retail-Payroll]]/(DaybyDay[[#This Row],[Retail-Actuals]]),"")</f>
        <v/>
      </c>
      <c r="AV1442" s="82">
        <f>DaybyDay[[#This Row],[Est-Retail-PayrollRU]]/DaybyDay[[#This Row],[Simple-Forecast-Retail]]</f>
        <v>6.3927789746298751E-3</v>
      </c>
      <c r="AW1442" s="8"/>
      <c r="AX1442" s="15"/>
      <c r="AY1442" s="8"/>
    </row>
    <row r="1443" spans="3:51" hidden="1" x14ac:dyDescent="0.25">
      <c r="C1443" s="26" t="str">
        <f>Tools!$C$1</f>
        <v>Example</v>
      </c>
      <c r="D1443" s="27" t="s">
        <v>79</v>
      </c>
      <c r="E1443" s="28">
        <v>2020</v>
      </c>
      <c r="F1443" s="28">
        <f>MATCH(DaybyDay[[#This Row],[RowMonth]],Table3[SummaryMonth],0)</f>
        <v>12</v>
      </c>
      <c r="G1443" s="29">
        <f>MATCH(DaybyDay[[#This Row],[LY-Date]],DaybyDay[Date],0)</f>
        <v>1073</v>
      </c>
      <c r="H1443" s="30">
        <f>WEEKDAY(DaybyDay[[#This Row],[Date]])</f>
        <v>2</v>
      </c>
      <c r="I1443" s="31">
        <v>44172</v>
      </c>
      <c r="J1443" s="74"/>
      <c r="K1443" s="32">
        <f>SUMIFS(BudgetSeasonality[365 Seasonality],BudgetSeasonality[MonthAdjustment],DaybyDay[[#This Row],[Date]])*SUMIFS(Budgets[Service-Budget],Budgets[BudgetMonth],DaybyDay[[#This Row],[RowMonth]],Budgets[BudgetYear],DaybyDay[[#This Row],[RowYear]])</f>
        <v>3980.2840621566002</v>
      </c>
      <c r="L1443" s="75"/>
      <c r="M1443" s="32">
        <f>INDEX(BudgetSeasonality[365 Seasonality],MATCH(DaybyDay[[#This Row],[Date]],BudgetSeasonality[MonthAdjustment],0))*SUMIFS(Budgets[Retail-Budget],Budgets[BudgetMonth],DaybyDay[[#This Row],[RowMonth]],Budgets[BudgetYear],DaybyDay[[#This Row],[RowYear]])</f>
        <v>1162.062689449612</v>
      </c>
      <c r="N1443" s="75"/>
      <c r="O1443" s="33">
        <f>SUMIFS(DaybyDay[Service-Budgets],DaybyDay[Date],"&gt;="&amp;$C$5,DaybyDay[RowYear],"&gt;="&amp;$C$4,DaybyDay[Date],"&lt;="&amp;DaybyDay[[#This Row],[Date]])</f>
        <v>1822814.6085021766</v>
      </c>
      <c r="P1443" s="33">
        <f>SUMIFS(DaybyDay[Retail-Budgets],DaybyDay[Date],"&gt;="&amp;$C$5,DaybyDay[RowYear],"&gt;="&amp;$C$4,DaybyDay[Date],"&lt;="&amp;DaybyDay[[#This Row],[Date]])</f>
        <v>489095.48351154168</v>
      </c>
      <c r="Q1443" s="34">
        <f>SUMIFS(DaybyDay[Service-Actuals],DaybyDay[Date],"&gt;="&amp;$C$5,DaybyDay[RowYear],"&gt;="&amp;$C$4,DaybyDay[Date],"&lt;="&amp;DaybyDay[[#This Row],[Date]])</f>
        <v>385554.23</v>
      </c>
      <c r="R1443" s="34">
        <f>SUMIFS(DaybyDay[Retail-Actuals],DaybyDay[Date],"&gt;="&amp;$C$5,DaybyDay[RowYear],"&gt;="&amp;$C$4,DaybyDay[Date],"&lt;="&amp;DaybyDay[[#This Row],[Date]])</f>
        <v>88360.030000000028</v>
      </c>
      <c r="S1443" s="35">
        <f>SUMIFS(DaybyDay[Service-LY],DaybyDay[Date],"&gt;="&amp;$C$5,DaybyDay[RowYear],"&gt;="&amp;$C$4,DaybyDay[Date],"&lt;="&amp;DaybyDay[[#This Row],[Date]])</f>
        <v>1643762.7509999976</v>
      </c>
      <c r="T1443" s="35">
        <f>SUMIFS(DaybyDay[Retail-LY],DaybyDay[Date],"&gt;="&amp;$C$5,DaybyDay[RowYear],"&gt;="&amp;$C$4,DaybyDay[Date],"&lt;="&amp;DaybyDay[[#This Row],[Date]])</f>
        <v>405290.3299999999</v>
      </c>
      <c r="U1443" s="32">
        <f>DaybyDay[[#This Row],[Serv-Bud-RU]]+DaybyDay[[#This Row],[Ret-Bud-RU]]</f>
        <v>2311910.0920137181</v>
      </c>
      <c r="V1443" s="32">
        <f>DaybyDay[[#This Row],[Serv-Act-RU]]+DaybyDay[[#This Row],[Ret-Act-RU]]</f>
        <v>473914.26</v>
      </c>
      <c r="W1443" s="36" t="str">
        <f>IF(DaybyDay[[#This Row],[_Space]],IFERROR(
((DaybyDay[[#This Row],[Actual-Rollup]]-DaybyDay[[#This Row],[Budget-Rollup]])/DaybyDay[[#This Row],[Budget-Rollup]]),0),"")</f>
        <v/>
      </c>
      <c r="X1443" t="b">
        <f>NOT(AND(ISBLANK(DaybyDay[[#This Row],[Appts]]),ISBLANK(DaybyDay[[#This Row],[Service-Actuals]]),ISBLANK(DaybyDay[[#This Row],[Retail-Actuals]])))</f>
        <v>0</v>
      </c>
      <c r="Y1443" s="36" t="str">
        <f>IF(DaybyDay[[#This Row],[_Space]],IFERROR(
((DaybyDay[[#This Row],[Actual-Rollup]]-DaybyDay[[#This Row],[LY-Rollup]])/DaybyDay[[#This Row],[LY-Rollup]]),0),"")</f>
        <v/>
      </c>
      <c r="Z1443"/>
      <c r="AA1443" s="37" t="str">
        <f>IF(DaybyDay[[#This Row],[_Space]],DaybyDay[[#This Row],[Ret-Act-RU]]/DaybyDay[[#This Row],[Serv-Act-RU]],"")</f>
        <v/>
      </c>
      <c r="AB1443" s="50" t="str">
        <f>IF(DaybyDay[[#This Row],[_Space]],DaybyDay[[#This Row],[RETPEN-Act]]/DaybyDay[[#This Row],[RETPEN-Bud]],"")</f>
        <v/>
      </c>
      <c r="AC1443" s="37" t="str">
        <f>IF(DaybyDay[[#This Row],[_Space]],DaybyDay[[#This Row],[Ret-Bud-RU]]/DaybyDay[[#This Row],[Serv-Bud-RU]],"")</f>
        <v/>
      </c>
      <c r="AD1443" s="37" t="str">
        <f>IF(DaybyDay[[#This Row],[_Space]],DaybyDay[[#This Row],[Ret-LY-RU]]/DaybyDay[[#This Row],[Serv-LY-RU]],"")</f>
        <v/>
      </c>
      <c r="AE1443" s="30">
        <f>WEEKDAY(DaybyDay[[#This Row],[LY-Date]])</f>
        <v>2</v>
      </c>
      <c r="AF1443" s="38">
        <f>$E$2+_xlfn.DAYS(DaybyDay[[#This Row],[Date]],minDate)</f>
        <v>43808</v>
      </c>
      <c r="AG1443" s="39" cm="1">
        <f t="array" ref="AG1443">IFERROR(INDEX(DaybyDay[],DaybyDay[[#This Row],[FORM_MATCH_HELPER]],8),"")</f>
        <v>8</v>
      </c>
      <c r="AH1443" s="39" cm="1">
        <f t="array" ref="AH1443">IFERROR(INDEX(DaybyDay[],DaybyDay[[#This Row],[FORM_MATCH_HELPER]],10),"")</f>
        <v>1984.3999999999999</v>
      </c>
      <c r="AI1443" s="39" cm="1">
        <f t="array" ref="AI1443">IFERROR(INDEX(DaybyDay[],DaybyDay[[#This Row],[FORM_MATCH_HELPER]],12),"")</f>
        <v>2030.8</v>
      </c>
      <c r="AJ1443" s="32">
        <f>IFERROR(DaybyDay[[#This Row],[Serv-LY-RU]]+DaybyDay[[#This Row],[Ret-LY-RU]],"")</f>
        <v>2049053.0809999974</v>
      </c>
      <c r="AK144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2033332.5956118878</v>
      </c>
      <c r="AL1443" s="77"/>
      <c r="AM1443" s="40" t="str">
        <f>IF(DaybyDay[[#This Row],[Admin Hours]]&gt;0,DaybyDay[[#This Row],[Admin Hours]]*$AM$2+$AM$3,"")</f>
        <v/>
      </c>
      <c r="AN1443" s="40">
        <f>SUMIFS(DaybyDay[Est-Admin-Payroll],DaybyDay[Date],"&gt;="&amp;$C$5,DaybyDay[RowYear],"&gt;="&amp;$C$4,DaybyDay[Date],"&lt;="&amp;DaybyDay[[#This Row],[Date]])</f>
        <v>13941.779999999997</v>
      </c>
      <c r="AO1443" s="41" t="str">
        <f>IF(AND(DaybyDay[[#This Row],[_Space]],ISNUMBER(DaybyDay[[#This Row],[Admin Hours]])),DaybyDay[[#This Row],[Est-Admin-Payroll]]/(DaybyDay[[#This Row],[Service-Actuals]]+DaybyDay[[#This Row],[Retail-Actuals]]),"")</f>
        <v/>
      </c>
      <c r="AP1443" s="41">
        <f>DaybyDay[[#This Row],[Estimated-Payroll-Rollup]]/DaybyDay[[#This Row],[Simple-Forecast]]</f>
        <v>6.8566156024290345E-3</v>
      </c>
      <c r="AQ144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412443.60273085913</v>
      </c>
      <c r="AR1443" s="77"/>
      <c r="AS1443" s="40" t="str">
        <f>IF(DaybyDay[[#This Row],[Retail Hours]]&gt;0,DaybyDay[[#This Row],[Retail Hours]]*$AS$2,"")</f>
        <v/>
      </c>
      <c r="AT1443" s="40">
        <f>SUMIFS(DaybyDay[Est-Retail-Payroll],DaybyDay[Date],"&gt;="&amp;$C$5,DaybyDay[RowYear],"&gt;="&amp;$C$4,DaybyDay[Date],"&lt;="&amp;DaybyDay[[#This Row],[Date]])</f>
        <v>2627.1</v>
      </c>
      <c r="AU1443" s="82" t="str">
        <f>IF(AND(DaybyDay[[#This Row],[_Space]],ISNUMBER(DaybyDay[[#This Row],[Retail Hours]])),DaybyDay[[#This Row],[Est-Retail-Payroll]]/(DaybyDay[[#This Row],[Retail-Actuals]]),"")</f>
        <v/>
      </c>
      <c r="AV1443" s="82">
        <f>DaybyDay[[#This Row],[Est-Retail-PayrollRU]]/DaybyDay[[#This Row],[Simple-Forecast-Retail]]</f>
        <v>6.3695981283393042E-3</v>
      </c>
      <c r="AW1443" s="8"/>
      <c r="AX1443" s="15"/>
      <c r="AY1443" s="8"/>
    </row>
    <row r="1444" spans="3:51" hidden="1" x14ac:dyDescent="0.25">
      <c r="C1444" s="26" t="str">
        <f>Tools!$C$1</f>
        <v>Example</v>
      </c>
      <c r="D1444" s="27" t="s">
        <v>79</v>
      </c>
      <c r="E1444" s="28">
        <v>2020</v>
      </c>
      <c r="F1444" s="28">
        <f>MATCH(DaybyDay[[#This Row],[RowMonth]],Table3[SummaryMonth],0)</f>
        <v>12</v>
      </c>
      <c r="G1444" s="29">
        <f>MATCH(DaybyDay[[#This Row],[LY-Date]],DaybyDay[Date],0)</f>
        <v>1074</v>
      </c>
      <c r="H1444" s="30">
        <f>WEEKDAY(DaybyDay[[#This Row],[Date]])</f>
        <v>3</v>
      </c>
      <c r="I1444" s="31">
        <v>44173</v>
      </c>
      <c r="J1444" s="74"/>
      <c r="K1444" s="32">
        <f>SUMIFS(BudgetSeasonality[365 Seasonality],BudgetSeasonality[MonthAdjustment],DaybyDay[[#This Row],[Date]])*SUMIFS(Budgets[Service-Budget],Budgets[BudgetMonth],DaybyDay[[#This Row],[RowMonth]],Budgets[BudgetYear],DaybyDay[[#This Row],[RowYear]])</f>
        <v>4155.3159510082542</v>
      </c>
      <c r="L1444" s="75"/>
      <c r="M1444" s="32">
        <f>INDEX(BudgetSeasonality[365 Seasonality],MATCH(DaybyDay[[#This Row],[Date]],BudgetSeasonality[MonthAdjustment],0))*SUMIFS(Budgets[Retail-Budget],Budgets[BudgetMonth],DaybyDay[[#This Row],[RowMonth]],Budgets[BudgetYear],DaybyDay[[#This Row],[RowYear]])</f>
        <v>1213.1640742558495</v>
      </c>
      <c r="N1444" s="75"/>
      <c r="O1444" s="33">
        <f>SUMIFS(DaybyDay[Service-Budgets],DaybyDay[Date],"&gt;="&amp;$C$5,DaybyDay[RowYear],"&gt;="&amp;$C$4,DaybyDay[Date],"&lt;="&amp;DaybyDay[[#This Row],[Date]])</f>
        <v>1826969.9244531849</v>
      </c>
      <c r="P1444" s="33">
        <f>SUMIFS(DaybyDay[Retail-Budgets],DaybyDay[Date],"&gt;="&amp;$C$5,DaybyDay[RowYear],"&gt;="&amp;$C$4,DaybyDay[Date],"&lt;="&amp;DaybyDay[[#This Row],[Date]])</f>
        <v>490308.64758579753</v>
      </c>
      <c r="Q1444" s="34">
        <f>SUMIFS(DaybyDay[Service-Actuals],DaybyDay[Date],"&gt;="&amp;$C$5,DaybyDay[RowYear],"&gt;="&amp;$C$4,DaybyDay[Date],"&lt;="&amp;DaybyDay[[#This Row],[Date]])</f>
        <v>385554.23</v>
      </c>
      <c r="R1444" s="34">
        <f>SUMIFS(DaybyDay[Retail-Actuals],DaybyDay[Date],"&gt;="&amp;$C$5,DaybyDay[RowYear],"&gt;="&amp;$C$4,DaybyDay[Date],"&lt;="&amp;DaybyDay[[#This Row],[Date]])</f>
        <v>88360.030000000028</v>
      </c>
      <c r="S1444" s="35">
        <f>SUMIFS(DaybyDay[Service-LY],DaybyDay[Date],"&gt;="&amp;$C$5,DaybyDay[RowYear],"&gt;="&amp;$C$4,DaybyDay[Date],"&lt;="&amp;DaybyDay[[#This Row],[Date]])</f>
        <v>1648831.9509999976</v>
      </c>
      <c r="T1444" s="35">
        <f>SUMIFS(DaybyDay[Retail-LY],DaybyDay[Date],"&gt;="&amp;$C$5,DaybyDay[RowYear],"&gt;="&amp;$C$4,DaybyDay[Date],"&lt;="&amp;DaybyDay[[#This Row],[Date]])</f>
        <v>407092.40999999992</v>
      </c>
      <c r="U1444" s="32">
        <f>DaybyDay[[#This Row],[Serv-Bud-RU]]+DaybyDay[[#This Row],[Ret-Bud-RU]]</f>
        <v>2317278.5720389825</v>
      </c>
      <c r="V1444" s="32">
        <f>DaybyDay[[#This Row],[Serv-Act-RU]]+DaybyDay[[#This Row],[Ret-Act-RU]]</f>
        <v>473914.26</v>
      </c>
      <c r="W1444" s="36" t="str">
        <f>IF(DaybyDay[[#This Row],[_Space]],IFERROR(
((DaybyDay[[#This Row],[Actual-Rollup]]-DaybyDay[[#This Row],[Budget-Rollup]])/DaybyDay[[#This Row],[Budget-Rollup]]),0),"")</f>
        <v/>
      </c>
      <c r="X1444" t="b">
        <f>NOT(AND(ISBLANK(DaybyDay[[#This Row],[Appts]]),ISBLANK(DaybyDay[[#This Row],[Service-Actuals]]),ISBLANK(DaybyDay[[#This Row],[Retail-Actuals]])))</f>
        <v>0</v>
      </c>
      <c r="Y1444" s="36" t="str">
        <f>IF(DaybyDay[[#This Row],[_Space]],IFERROR(
((DaybyDay[[#This Row],[Actual-Rollup]]-DaybyDay[[#This Row],[LY-Rollup]])/DaybyDay[[#This Row],[LY-Rollup]]),0),"")</f>
        <v/>
      </c>
      <c r="Z1444"/>
      <c r="AA1444" s="37" t="str">
        <f>IF(DaybyDay[[#This Row],[_Space]],DaybyDay[[#This Row],[Ret-Act-RU]]/DaybyDay[[#This Row],[Serv-Act-RU]],"")</f>
        <v/>
      </c>
      <c r="AB1444" s="50" t="str">
        <f>IF(DaybyDay[[#This Row],[_Space]],DaybyDay[[#This Row],[RETPEN-Act]]/DaybyDay[[#This Row],[RETPEN-Bud]],"")</f>
        <v/>
      </c>
      <c r="AC1444" s="37" t="str">
        <f>IF(DaybyDay[[#This Row],[_Space]],DaybyDay[[#This Row],[Ret-Bud-RU]]/DaybyDay[[#This Row],[Serv-Bud-RU]],"")</f>
        <v/>
      </c>
      <c r="AD1444" s="37" t="str">
        <f>IF(DaybyDay[[#This Row],[_Space]],DaybyDay[[#This Row],[Ret-LY-RU]]/DaybyDay[[#This Row],[Serv-LY-RU]],"")</f>
        <v/>
      </c>
      <c r="AE1444" s="30">
        <f>WEEKDAY(DaybyDay[[#This Row],[LY-Date]])</f>
        <v>3</v>
      </c>
      <c r="AF1444" s="38">
        <f>$E$2+_xlfn.DAYS(DaybyDay[[#This Row],[Date]],minDate)</f>
        <v>43809</v>
      </c>
      <c r="AG1444" s="39" cm="1">
        <f t="array" ref="AG1444">IFERROR(INDEX(DaybyDay[],DaybyDay[[#This Row],[FORM_MATCH_HELPER]],8),"")</f>
        <v>19</v>
      </c>
      <c r="AH1444" s="39" cm="1">
        <f t="array" ref="AH1444">IFERROR(INDEX(DaybyDay[],DaybyDay[[#This Row],[FORM_MATCH_HELPER]],10),"")</f>
        <v>5069.2</v>
      </c>
      <c r="AI1444" s="39" cm="1">
        <f t="array" ref="AI1444">IFERROR(INDEX(DaybyDay[],DaybyDay[[#This Row],[FORM_MATCH_HELPER]],12),"")</f>
        <v>1802.08</v>
      </c>
      <c r="AJ1444" s="32">
        <f>IFERROR(DaybyDay[[#This Row],[Serv-LY-RU]]+DaybyDay[[#This Row],[Ret-LY-RU]],"")</f>
        <v>2055924.3609999975</v>
      </c>
      <c r="AK144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2039003.9424584887</v>
      </c>
      <c r="AL1444" s="77"/>
      <c r="AM1444" s="40" t="str">
        <f>IF(DaybyDay[[#This Row],[Admin Hours]]&gt;0,DaybyDay[[#This Row],[Admin Hours]]*$AM$2+$AM$3,"")</f>
        <v/>
      </c>
      <c r="AN1444" s="40">
        <f>SUMIFS(DaybyDay[Est-Admin-Payroll],DaybyDay[Date],"&gt;="&amp;$C$5,DaybyDay[RowYear],"&gt;="&amp;$C$4,DaybyDay[Date],"&lt;="&amp;DaybyDay[[#This Row],[Date]])</f>
        <v>13941.779999999997</v>
      </c>
      <c r="AO1444" s="41" t="str">
        <f>IF(AND(DaybyDay[[#This Row],[_Space]],ISNUMBER(DaybyDay[[#This Row],[Admin Hours]])),DaybyDay[[#This Row],[Est-Admin-Payroll]]/(DaybyDay[[#This Row],[Service-Actuals]]+DaybyDay[[#This Row],[Retail-Actuals]]),"")</f>
        <v/>
      </c>
      <c r="AP1444" s="41">
        <f>DaybyDay[[#This Row],[Estimated-Payroll-Rollup]]/DaybyDay[[#This Row],[Simple-Forecast]]</f>
        <v>6.8375444057209474E-3</v>
      </c>
      <c r="AQ144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413848.13123750582</v>
      </c>
      <c r="AR1444" s="77"/>
      <c r="AS1444" s="40" t="str">
        <f>IF(DaybyDay[[#This Row],[Retail Hours]]&gt;0,DaybyDay[[#This Row],[Retail Hours]]*$AS$2,"")</f>
        <v/>
      </c>
      <c r="AT1444" s="40">
        <f>SUMIFS(DaybyDay[Est-Retail-Payroll],DaybyDay[Date],"&gt;="&amp;$C$5,DaybyDay[RowYear],"&gt;="&amp;$C$4,DaybyDay[Date],"&lt;="&amp;DaybyDay[[#This Row],[Date]])</f>
        <v>2627.1</v>
      </c>
      <c r="AU1444" s="82" t="str">
        <f>IF(AND(DaybyDay[[#This Row],[_Space]],ISNUMBER(DaybyDay[[#This Row],[Retail Hours]])),DaybyDay[[#This Row],[Est-Retail-Payroll]]/(DaybyDay[[#This Row],[Retail-Actuals]]),"")</f>
        <v/>
      </c>
      <c r="AV1444" s="82">
        <f>DaybyDay[[#This Row],[Est-Retail-PayrollRU]]/DaybyDay[[#This Row],[Simple-Forecast-Retail]]</f>
        <v>6.3479808212358888E-3</v>
      </c>
      <c r="AW1444" s="8"/>
      <c r="AX1444" s="15"/>
      <c r="AY1444" s="8"/>
    </row>
    <row r="1445" spans="3:51" hidden="1" x14ac:dyDescent="0.25">
      <c r="C1445" s="26" t="str">
        <f>Tools!$C$1</f>
        <v>Example</v>
      </c>
      <c r="D1445" s="27" t="s">
        <v>79</v>
      </c>
      <c r="E1445" s="28">
        <v>2020</v>
      </c>
      <c r="F1445" s="28">
        <f>MATCH(DaybyDay[[#This Row],[RowMonth]],Table3[SummaryMonth],0)</f>
        <v>12</v>
      </c>
      <c r="G1445" s="29">
        <f>MATCH(DaybyDay[[#This Row],[LY-Date]],DaybyDay[Date],0)</f>
        <v>1075</v>
      </c>
      <c r="H1445" s="30">
        <f>WEEKDAY(DaybyDay[[#This Row],[Date]])</f>
        <v>4</v>
      </c>
      <c r="I1445" s="31">
        <v>44174</v>
      </c>
      <c r="J1445" s="74"/>
      <c r="K1445" s="32">
        <f>SUMIFS(BudgetSeasonality[365 Seasonality],BudgetSeasonality[MonthAdjustment],DaybyDay[[#This Row],[Date]])*SUMIFS(Budgets[Service-Budget],Budgets[BudgetMonth],DaybyDay[[#This Row],[RowMonth]],Budgets[BudgetYear],DaybyDay[[#This Row],[RowYear]])</f>
        <v>4756.1713658221461</v>
      </c>
      <c r="L1445" s="75"/>
      <c r="M1445" s="32">
        <f>INDEX(BudgetSeasonality[365 Seasonality],MATCH(DaybyDay[[#This Row],[Date]],BudgetSeasonality[MonthAdjustment],0))*SUMIFS(Budgets[Retail-Budget],Budgets[BudgetMonth],DaybyDay[[#This Row],[RowMonth]],Budgets[BudgetYear],DaybyDay[[#This Row],[RowYear]])</f>
        <v>1388.5866442044567</v>
      </c>
      <c r="N1445" s="75"/>
      <c r="O1445" s="33">
        <f>SUMIFS(DaybyDay[Service-Budgets],DaybyDay[Date],"&gt;="&amp;$C$5,DaybyDay[RowYear],"&gt;="&amp;$C$4,DaybyDay[Date],"&lt;="&amp;DaybyDay[[#This Row],[Date]])</f>
        <v>1831726.0958190071</v>
      </c>
      <c r="P1445" s="33">
        <f>SUMIFS(DaybyDay[Retail-Budgets],DaybyDay[Date],"&gt;="&amp;$C$5,DaybyDay[RowYear],"&gt;="&amp;$C$4,DaybyDay[Date],"&lt;="&amp;DaybyDay[[#This Row],[Date]])</f>
        <v>491697.23423000198</v>
      </c>
      <c r="Q1445" s="34">
        <f>SUMIFS(DaybyDay[Service-Actuals],DaybyDay[Date],"&gt;="&amp;$C$5,DaybyDay[RowYear],"&gt;="&amp;$C$4,DaybyDay[Date],"&lt;="&amp;DaybyDay[[#This Row],[Date]])</f>
        <v>385554.23</v>
      </c>
      <c r="R1445" s="34">
        <f>SUMIFS(DaybyDay[Retail-Actuals],DaybyDay[Date],"&gt;="&amp;$C$5,DaybyDay[RowYear],"&gt;="&amp;$C$4,DaybyDay[Date],"&lt;="&amp;DaybyDay[[#This Row],[Date]])</f>
        <v>88360.030000000028</v>
      </c>
      <c r="S1445" s="35">
        <f>SUMIFS(DaybyDay[Service-LY],DaybyDay[Date],"&gt;="&amp;$C$5,DaybyDay[RowYear],"&gt;="&amp;$C$4,DaybyDay[Date],"&lt;="&amp;DaybyDay[[#This Row],[Date]])</f>
        <v>1655798.8609999975</v>
      </c>
      <c r="T1445" s="35">
        <f>SUMIFS(DaybyDay[Retail-LY],DaybyDay[Date],"&gt;="&amp;$C$5,DaybyDay[RowYear],"&gt;="&amp;$C$4,DaybyDay[Date],"&lt;="&amp;DaybyDay[[#This Row],[Date]])</f>
        <v>410709.40999999992</v>
      </c>
      <c r="U1445" s="32">
        <f>DaybyDay[[#This Row],[Serv-Bud-RU]]+DaybyDay[[#This Row],[Ret-Bud-RU]]</f>
        <v>2323423.3300490091</v>
      </c>
      <c r="V1445" s="32">
        <f>DaybyDay[[#This Row],[Serv-Act-RU]]+DaybyDay[[#This Row],[Ret-Act-RU]]</f>
        <v>473914.26</v>
      </c>
      <c r="W1445" s="36" t="str">
        <f>IF(DaybyDay[[#This Row],[_Space]],IFERROR(
((DaybyDay[[#This Row],[Actual-Rollup]]-DaybyDay[[#This Row],[Budget-Rollup]])/DaybyDay[[#This Row],[Budget-Rollup]]),0),"")</f>
        <v/>
      </c>
      <c r="X1445" t="b">
        <f>NOT(AND(ISBLANK(DaybyDay[[#This Row],[Appts]]),ISBLANK(DaybyDay[[#This Row],[Service-Actuals]]),ISBLANK(DaybyDay[[#This Row],[Retail-Actuals]])))</f>
        <v>0</v>
      </c>
      <c r="Y1445" s="36" t="str">
        <f>IF(DaybyDay[[#This Row],[_Space]],IFERROR(
((DaybyDay[[#This Row],[Actual-Rollup]]-DaybyDay[[#This Row],[LY-Rollup]])/DaybyDay[[#This Row],[LY-Rollup]]),0),"")</f>
        <v/>
      </c>
      <c r="Z1445"/>
      <c r="AA1445" s="37" t="str">
        <f>IF(DaybyDay[[#This Row],[_Space]],DaybyDay[[#This Row],[Ret-Act-RU]]/DaybyDay[[#This Row],[Serv-Act-RU]],"")</f>
        <v/>
      </c>
      <c r="AB1445" s="50" t="str">
        <f>IF(DaybyDay[[#This Row],[_Space]],DaybyDay[[#This Row],[RETPEN-Act]]/DaybyDay[[#This Row],[RETPEN-Bud]],"")</f>
        <v/>
      </c>
      <c r="AC1445" s="37" t="str">
        <f>IF(DaybyDay[[#This Row],[_Space]],DaybyDay[[#This Row],[Ret-Bud-RU]]/DaybyDay[[#This Row],[Serv-Bud-RU]],"")</f>
        <v/>
      </c>
      <c r="AD1445" s="37" t="str">
        <f>IF(DaybyDay[[#This Row],[_Space]],DaybyDay[[#This Row],[Ret-LY-RU]]/DaybyDay[[#This Row],[Serv-LY-RU]],"")</f>
        <v/>
      </c>
      <c r="AE1445" s="30">
        <f>WEEKDAY(DaybyDay[[#This Row],[LY-Date]])</f>
        <v>4</v>
      </c>
      <c r="AF1445" s="38">
        <f>$E$2+_xlfn.DAYS(DaybyDay[[#This Row],[Date]],minDate)</f>
        <v>43810</v>
      </c>
      <c r="AG1445" s="39" cm="1">
        <f t="array" ref="AG1445">IFERROR(INDEX(DaybyDay[],DaybyDay[[#This Row],[FORM_MATCH_HELPER]],8),"")</f>
        <v>32</v>
      </c>
      <c r="AH1445" s="39" cm="1">
        <f t="array" ref="AH1445">IFERROR(INDEX(DaybyDay[],DaybyDay[[#This Row],[FORM_MATCH_HELPER]],10),"")</f>
        <v>6966.91</v>
      </c>
      <c r="AI1445" s="39" cm="1">
        <f t="array" ref="AI1445">IFERROR(INDEX(DaybyDay[],DaybyDay[[#This Row],[FORM_MATCH_HELPER]],12),"")</f>
        <v>3617</v>
      </c>
      <c r="AJ1445" s="32">
        <f>IFERROR(DaybyDay[[#This Row],[Serv-LY-RU]]+DaybyDay[[#This Row],[Ret-LY-RU]],"")</f>
        <v>2066508.2709999974</v>
      </c>
      <c r="AK144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2046835.9699332803</v>
      </c>
      <c r="AL1445" s="77"/>
      <c r="AM1445" s="40" t="str">
        <f>IF(DaybyDay[[#This Row],[Admin Hours]]&gt;0,DaybyDay[[#This Row],[Admin Hours]]*$AM$2+$AM$3,"")</f>
        <v/>
      </c>
      <c r="AN1445" s="40">
        <f>SUMIFS(DaybyDay[Est-Admin-Payroll],DaybyDay[Date],"&gt;="&amp;$C$5,DaybyDay[RowYear],"&gt;="&amp;$C$4,DaybyDay[Date],"&lt;="&amp;DaybyDay[[#This Row],[Date]])</f>
        <v>13941.779999999997</v>
      </c>
      <c r="AO1445" s="41" t="str">
        <f>IF(AND(DaybyDay[[#This Row],[_Space]],ISNUMBER(DaybyDay[[#This Row],[Admin Hours]])),DaybyDay[[#This Row],[Est-Admin-Payroll]]/(DaybyDay[[#This Row],[Service-Actuals]]+DaybyDay[[#This Row],[Retail-Actuals]]),"")</f>
        <v/>
      </c>
      <c r="AP1445" s="41">
        <f>DaybyDay[[#This Row],[Estimated-Payroll-Rollup]]/DaybyDay[[#This Row],[Simple-Forecast]]</f>
        <v>6.81138117797219E-3</v>
      </c>
      <c r="AQ144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416222.1105795225</v>
      </c>
      <c r="AR1445" s="77"/>
      <c r="AS1445" s="40" t="str">
        <f>IF(DaybyDay[[#This Row],[Retail Hours]]&gt;0,DaybyDay[[#This Row],[Retail Hours]]*$AS$2,"")</f>
        <v/>
      </c>
      <c r="AT1445" s="40">
        <f>SUMIFS(DaybyDay[Est-Retail-Payroll],DaybyDay[Date],"&gt;="&amp;$C$5,DaybyDay[RowYear],"&gt;="&amp;$C$4,DaybyDay[Date],"&lt;="&amp;DaybyDay[[#This Row],[Date]])</f>
        <v>2627.1</v>
      </c>
      <c r="AU1445" s="82" t="str">
        <f>IF(AND(DaybyDay[[#This Row],[_Space]],ISNUMBER(DaybyDay[[#This Row],[Retail Hours]])),DaybyDay[[#This Row],[Est-Retail-Payroll]]/(DaybyDay[[#This Row],[Retail-Actuals]]),"")</f>
        <v/>
      </c>
      <c r="AV1445" s="82">
        <f>DaybyDay[[#This Row],[Est-Retail-PayrollRU]]/DaybyDay[[#This Row],[Simple-Forecast-Retail]]</f>
        <v>6.3117742503928601E-3</v>
      </c>
      <c r="AW1445" s="8"/>
      <c r="AX1445" s="15"/>
      <c r="AY1445" s="8"/>
    </row>
    <row r="1446" spans="3:51" hidden="1" x14ac:dyDescent="0.25">
      <c r="C1446" s="26" t="str">
        <f>Tools!$C$1</f>
        <v>Example</v>
      </c>
      <c r="D1446" s="27" t="s">
        <v>79</v>
      </c>
      <c r="E1446" s="28">
        <v>2020</v>
      </c>
      <c r="F1446" s="28">
        <f>MATCH(DaybyDay[[#This Row],[RowMonth]],Table3[SummaryMonth],0)</f>
        <v>12</v>
      </c>
      <c r="G1446" s="29">
        <f>MATCH(DaybyDay[[#This Row],[LY-Date]],DaybyDay[Date],0)</f>
        <v>1076</v>
      </c>
      <c r="H1446" s="30">
        <f>WEEKDAY(DaybyDay[[#This Row],[Date]])</f>
        <v>5</v>
      </c>
      <c r="I1446" s="31">
        <v>44175</v>
      </c>
      <c r="J1446" s="74"/>
      <c r="K1446" s="32">
        <f>SUMIFS(BudgetSeasonality[365 Seasonality],BudgetSeasonality[MonthAdjustment],DaybyDay[[#This Row],[Date]])*SUMIFS(Budgets[Service-Budget],Budgets[BudgetMonth],DaybyDay[[#This Row],[RowMonth]],Budgets[BudgetYear],DaybyDay[[#This Row],[RowYear]])</f>
        <v>4927.7324535977059</v>
      </c>
      <c r="L1446" s="75"/>
      <c r="M1446" s="32">
        <f>INDEX(BudgetSeasonality[365 Seasonality],MATCH(DaybyDay[[#This Row],[Date]],BudgetSeasonality[MonthAdjustment],0))*SUMIFS(Budgets[Retail-Budget],Budgets[BudgetMonth],DaybyDay[[#This Row],[RowMonth]],Budgets[BudgetYear],DaybyDay[[#This Row],[RowYear]])</f>
        <v>1438.674712280017</v>
      </c>
      <c r="N1446" s="75"/>
      <c r="O1446" s="33">
        <f>SUMIFS(DaybyDay[Service-Budgets],DaybyDay[Date],"&gt;="&amp;$C$5,DaybyDay[RowYear],"&gt;="&amp;$C$4,DaybyDay[Date],"&lt;="&amp;DaybyDay[[#This Row],[Date]])</f>
        <v>1836653.8282726048</v>
      </c>
      <c r="P1446" s="33">
        <f>SUMIFS(DaybyDay[Retail-Budgets],DaybyDay[Date],"&gt;="&amp;$C$5,DaybyDay[RowYear],"&gt;="&amp;$C$4,DaybyDay[Date],"&lt;="&amp;DaybyDay[[#This Row],[Date]])</f>
        <v>493135.90894228203</v>
      </c>
      <c r="Q1446" s="34">
        <f>SUMIFS(DaybyDay[Service-Actuals],DaybyDay[Date],"&gt;="&amp;$C$5,DaybyDay[RowYear],"&gt;="&amp;$C$4,DaybyDay[Date],"&lt;="&amp;DaybyDay[[#This Row],[Date]])</f>
        <v>385554.23</v>
      </c>
      <c r="R1446" s="34">
        <f>SUMIFS(DaybyDay[Retail-Actuals],DaybyDay[Date],"&gt;="&amp;$C$5,DaybyDay[RowYear],"&gt;="&amp;$C$4,DaybyDay[Date],"&lt;="&amp;DaybyDay[[#This Row],[Date]])</f>
        <v>88360.030000000028</v>
      </c>
      <c r="S1446" s="35">
        <f>SUMIFS(DaybyDay[Service-LY],DaybyDay[Date],"&gt;="&amp;$C$5,DaybyDay[RowYear],"&gt;="&amp;$C$4,DaybyDay[Date],"&lt;="&amp;DaybyDay[[#This Row],[Date]])</f>
        <v>1660577.8609999975</v>
      </c>
      <c r="T1446" s="35">
        <f>SUMIFS(DaybyDay[Retail-LY],DaybyDay[Date],"&gt;="&amp;$C$5,DaybyDay[RowYear],"&gt;="&amp;$C$4,DaybyDay[Date],"&lt;="&amp;DaybyDay[[#This Row],[Date]])</f>
        <v>411239.40999999992</v>
      </c>
      <c r="U1446" s="32">
        <f>DaybyDay[[#This Row],[Serv-Bud-RU]]+DaybyDay[[#This Row],[Ret-Bud-RU]]</f>
        <v>2329789.737214887</v>
      </c>
      <c r="V1446" s="32">
        <f>DaybyDay[[#This Row],[Serv-Act-RU]]+DaybyDay[[#This Row],[Ret-Act-RU]]</f>
        <v>473914.26</v>
      </c>
      <c r="W1446" s="36" t="str">
        <f>IF(DaybyDay[[#This Row],[_Space]],IFERROR(
((DaybyDay[[#This Row],[Actual-Rollup]]-DaybyDay[[#This Row],[Budget-Rollup]])/DaybyDay[[#This Row],[Budget-Rollup]]),0),"")</f>
        <v/>
      </c>
      <c r="X1446" t="b">
        <f>NOT(AND(ISBLANK(DaybyDay[[#This Row],[Appts]]),ISBLANK(DaybyDay[[#This Row],[Service-Actuals]]),ISBLANK(DaybyDay[[#This Row],[Retail-Actuals]])))</f>
        <v>0</v>
      </c>
      <c r="Y1446" s="36" t="str">
        <f>IF(DaybyDay[[#This Row],[_Space]],IFERROR(
((DaybyDay[[#This Row],[Actual-Rollup]]-DaybyDay[[#This Row],[LY-Rollup]])/DaybyDay[[#This Row],[LY-Rollup]]),0),"")</f>
        <v/>
      </c>
      <c r="Z1446"/>
      <c r="AA1446" s="37" t="str">
        <f>IF(DaybyDay[[#This Row],[_Space]],DaybyDay[[#This Row],[Ret-Act-RU]]/DaybyDay[[#This Row],[Serv-Act-RU]],"")</f>
        <v/>
      </c>
      <c r="AB1446" s="50" t="str">
        <f>IF(DaybyDay[[#This Row],[_Space]],DaybyDay[[#This Row],[RETPEN-Act]]/DaybyDay[[#This Row],[RETPEN-Bud]],"")</f>
        <v/>
      </c>
      <c r="AC1446" s="37" t="str">
        <f>IF(DaybyDay[[#This Row],[_Space]],DaybyDay[[#This Row],[Ret-Bud-RU]]/DaybyDay[[#This Row],[Serv-Bud-RU]],"")</f>
        <v/>
      </c>
      <c r="AD1446" s="37" t="str">
        <f>IF(DaybyDay[[#This Row],[_Space]],DaybyDay[[#This Row],[Ret-LY-RU]]/DaybyDay[[#This Row],[Serv-LY-RU]],"")</f>
        <v/>
      </c>
      <c r="AE1446" s="30">
        <f>WEEKDAY(DaybyDay[[#This Row],[LY-Date]])</f>
        <v>5</v>
      </c>
      <c r="AF1446" s="38">
        <f>$E$2+_xlfn.DAYS(DaybyDay[[#This Row],[Date]],minDate)</f>
        <v>43811</v>
      </c>
      <c r="AG1446" s="39" cm="1">
        <f t="array" ref="AG1446">IFERROR(INDEX(DaybyDay[],DaybyDay[[#This Row],[FORM_MATCH_HELPER]],8),"")</f>
        <v>24</v>
      </c>
      <c r="AH1446" s="39" cm="1">
        <f t="array" ref="AH1446">IFERROR(INDEX(DaybyDay[],DaybyDay[[#This Row],[FORM_MATCH_HELPER]],10),"")</f>
        <v>4779</v>
      </c>
      <c r="AI1446" s="39" cm="1">
        <f t="array" ref="AI1446">IFERROR(INDEX(DaybyDay[],DaybyDay[[#This Row],[FORM_MATCH_HELPER]],12),"")</f>
        <v>530</v>
      </c>
      <c r="AJ1446" s="32">
        <f>IFERROR(DaybyDay[[#This Row],[Serv-LY-RU]]+DaybyDay[[#This Row],[Ret-LY-RU]],"")</f>
        <v>2071817.2709999974</v>
      </c>
      <c r="AK144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2052161.518333347</v>
      </c>
      <c r="AL1446" s="77"/>
      <c r="AM1446" s="40" t="str">
        <f>IF(DaybyDay[[#This Row],[Admin Hours]]&gt;0,DaybyDay[[#This Row],[Admin Hours]]*$AM$2+$AM$3,"")</f>
        <v/>
      </c>
      <c r="AN1446" s="40">
        <f>SUMIFS(DaybyDay[Est-Admin-Payroll],DaybyDay[Date],"&gt;="&amp;$C$5,DaybyDay[RowYear],"&gt;="&amp;$C$4,DaybyDay[Date],"&lt;="&amp;DaybyDay[[#This Row],[Date]])</f>
        <v>13941.779999999997</v>
      </c>
      <c r="AO1446" s="41" t="str">
        <f>IF(AND(DaybyDay[[#This Row],[_Space]],ISNUMBER(DaybyDay[[#This Row],[Admin Hours]])),DaybyDay[[#This Row],[Est-Admin-Payroll]]/(DaybyDay[[#This Row],[Service-Actuals]]+DaybyDay[[#This Row],[Retail-Actuals]]),"")</f>
        <v/>
      </c>
      <c r="AP1446" s="41">
        <f>DaybyDay[[#This Row],[Estimated-Payroll-Rollup]]/DaybyDay[[#This Row],[Simple-Forecast]]</f>
        <v>6.7937050156377287E-3</v>
      </c>
      <c r="AQ144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417095.37070298463</v>
      </c>
      <c r="AR1446" s="77"/>
      <c r="AS1446" s="40" t="str">
        <f>IF(DaybyDay[[#This Row],[Retail Hours]]&gt;0,DaybyDay[[#This Row],[Retail Hours]]*$AS$2,"")</f>
        <v/>
      </c>
      <c r="AT1446" s="40">
        <f>SUMIFS(DaybyDay[Est-Retail-Payroll],DaybyDay[Date],"&gt;="&amp;$C$5,DaybyDay[RowYear],"&gt;="&amp;$C$4,DaybyDay[Date],"&lt;="&amp;DaybyDay[[#This Row],[Date]])</f>
        <v>2627.1</v>
      </c>
      <c r="AU1446" s="82" t="str">
        <f>IF(AND(DaybyDay[[#This Row],[_Space]],ISNUMBER(DaybyDay[[#This Row],[Retail Hours]])),DaybyDay[[#This Row],[Est-Retail-Payroll]]/(DaybyDay[[#This Row],[Retail-Actuals]]),"")</f>
        <v/>
      </c>
      <c r="AV1446" s="82">
        <f>DaybyDay[[#This Row],[Est-Retail-PayrollRU]]/DaybyDay[[#This Row],[Simple-Forecast-Retail]]</f>
        <v>6.2985594771100177E-3</v>
      </c>
      <c r="AW1446" s="8"/>
      <c r="AX1446" s="15"/>
      <c r="AY1446" s="8"/>
    </row>
    <row r="1447" spans="3:51" hidden="1" x14ac:dyDescent="0.25">
      <c r="C1447" s="26" t="str">
        <f>Tools!$C$1</f>
        <v>Example</v>
      </c>
      <c r="D1447" s="27" t="s">
        <v>79</v>
      </c>
      <c r="E1447" s="28">
        <v>2020</v>
      </c>
      <c r="F1447" s="28">
        <f>MATCH(DaybyDay[[#This Row],[RowMonth]],Table3[SummaryMonth],0)</f>
        <v>12</v>
      </c>
      <c r="G1447" s="29">
        <f>MATCH(DaybyDay[[#This Row],[LY-Date]],DaybyDay[Date],0)</f>
        <v>1077</v>
      </c>
      <c r="H1447" s="30">
        <f>WEEKDAY(DaybyDay[[#This Row],[Date]])</f>
        <v>6</v>
      </c>
      <c r="I1447" s="31">
        <v>44176</v>
      </c>
      <c r="J1447" s="74"/>
      <c r="K1447" s="32">
        <f>SUMIFS(BudgetSeasonality[365 Seasonality],BudgetSeasonality[MonthAdjustment],DaybyDay[[#This Row],[Date]])*SUMIFS(Budgets[Service-Budget],Budgets[BudgetMonth],DaybyDay[[#This Row],[RowMonth]],Budgets[BudgetYear],DaybyDay[[#This Row],[RowYear]])</f>
        <v>5992.4611533362813</v>
      </c>
      <c r="L1447" s="75"/>
      <c r="M1447" s="32">
        <f>INDEX(BudgetSeasonality[365 Seasonality],MATCH(DaybyDay[[#This Row],[Date]],BudgetSeasonality[MonthAdjustment],0))*SUMIFS(Budgets[Retail-Budget],Budgets[BudgetMonth],DaybyDay[[#This Row],[RowMonth]],Budgets[BudgetYear],DaybyDay[[#This Row],[RowYear]])</f>
        <v>1749.5272738135309</v>
      </c>
      <c r="N1447" s="75"/>
      <c r="O1447" s="33">
        <f>SUMIFS(DaybyDay[Service-Budgets],DaybyDay[Date],"&gt;="&amp;$C$5,DaybyDay[RowYear],"&gt;="&amp;$C$4,DaybyDay[Date],"&lt;="&amp;DaybyDay[[#This Row],[Date]])</f>
        <v>1842646.2894259412</v>
      </c>
      <c r="P1447" s="33">
        <f>SUMIFS(DaybyDay[Retail-Budgets],DaybyDay[Date],"&gt;="&amp;$C$5,DaybyDay[RowYear],"&gt;="&amp;$C$4,DaybyDay[Date],"&lt;="&amp;DaybyDay[[#This Row],[Date]])</f>
        <v>494885.43621609558</v>
      </c>
      <c r="Q1447" s="34">
        <f>SUMIFS(DaybyDay[Service-Actuals],DaybyDay[Date],"&gt;="&amp;$C$5,DaybyDay[RowYear],"&gt;="&amp;$C$4,DaybyDay[Date],"&lt;="&amp;DaybyDay[[#This Row],[Date]])</f>
        <v>385554.23</v>
      </c>
      <c r="R1447" s="34">
        <f>SUMIFS(DaybyDay[Retail-Actuals],DaybyDay[Date],"&gt;="&amp;$C$5,DaybyDay[RowYear],"&gt;="&amp;$C$4,DaybyDay[Date],"&lt;="&amp;DaybyDay[[#This Row],[Date]])</f>
        <v>88360.030000000028</v>
      </c>
      <c r="S1447" s="35">
        <f>SUMIFS(DaybyDay[Service-LY],DaybyDay[Date],"&gt;="&amp;$C$5,DaybyDay[RowYear],"&gt;="&amp;$C$4,DaybyDay[Date],"&lt;="&amp;DaybyDay[[#This Row],[Date]])</f>
        <v>1665905.1309999975</v>
      </c>
      <c r="T1447" s="35">
        <f>SUMIFS(DaybyDay[Retail-LY],DaybyDay[Date],"&gt;="&amp;$C$5,DaybyDay[RowYear],"&gt;="&amp;$C$4,DaybyDay[Date],"&lt;="&amp;DaybyDay[[#This Row],[Date]])</f>
        <v>412413.90999999992</v>
      </c>
      <c r="U1447" s="32">
        <f>DaybyDay[[#This Row],[Serv-Bud-RU]]+DaybyDay[[#This Row],[Ret-Bud-RU]]</f>
        <v>2337531.7256420366</v>
      </c>
      <c r="V1447" s="32">
        <f>DaybyDay[[#This Row],[Serv-Act-RU]]+DaybyDay[[#This Row],[Ret-Act-RU]]</f>
        <v>473914.26</v>
      </c>
      <c r="W1447" s="36" t="str">
        <f>IF(DaybyDay[[#This Row],[_Space]],IFERROR(
((DaybyDay[[#This Row],[Actual-Rollup]]-DaybyDay[[#This Row],[Budget-Rollup]])/DaybyDay[[#This Row],[Budget-Rollup]]),0),"")</f>
        <v/>
      </c>
      <c r="X1447" t="b">
        <f>NOT(AND(ISBLANK(DaybyDay[[#This Row],[Appts]]),ISBLANK(DaybyDay[[#This Row],[Service-Actuals]]),ISBLANK(DaybyDay[[#This Row],[Retail-Actuals]])))</f>
        <v>0</v>
      </c>
      <c r="Y1447" s="36" t="str">
        <f>IF(DaybyDay[[#This Row],[_Space]],IFERROR(
((DaybyDay[[#This Row],[Actual-Rollup]]-DaybyDay[[#This Row],[LY-Rollup]])/DaybyDay[[#This Row],[LY-Rollup]]),0),"")</f>
        <v/>
      </c>
      <c r="Z1447"/>
      <c r="AA1447" s="37" t="str">
        <f>IF(DaybyDay[[#This Row],[_Space]],DaybyDay[[#This Row],[Ret-Act-RU]]/DaybyDay[[#This Row],[Serv-Act-RU]],"")</f>
        <v/>
      </c>
      <c r="AB1447" s="50" t="str">
        <f>IF(DaybyDay[[#This Row],[_Space]],DaybyDay[[#This Row],[RETPEN-Act]]/DaybyDay[[#This Row],[RETPEN-Bud]],"")</f>
        <v/>
      </c>
      <c r="AC1447" s="37" t="str">
        <f>IF(DaybyDay[[#This Row],[_Space]],DaybyDay[[#This Row],[Ret-Bud-RU]]/DaybyDay[[#This Row],[Serv-Bud-RU]],"")</f>
        <v/>
      </c>
      <c r="AD1447" s="37" t="str">
        <f>IF(DaybyDay[[#This Row],[_Space]],DaybyDay[[#This Row],[Ret-LY-RU]]/DaybyDay[[#This Row],[Serv-LY-RU]],"")</f>
        <v/>
      </c>
      <c r="AE1447" s="30">
        <f>WEEKDAY(DaybyDay[[#This Row],[LY-Date]])</f>
        <v>6</v>
      </c>
      <c r="AF1447" s="38">
        <f>$E$2+_xlfn.DAYS(DaybyDay[[#This Row],[Date]],minDate)</f>
        <v>43812</v>
      </c>
      <c r="AG1447" s="39" cm="1">
        <f t="array" ref="AG1447">IFERROR(INDEX(DaybyDay[],DaybyDay[[#This Row],[FORM_MATCH_HELPER]],8),"")</f>
        <v>31</v>
      </c>
      <c r="AH1447" s="39" cm="1">
        <f t="array" ref="AH1447">IFERROR(INDEX(DaybyDay[],DaybyDay[[#This Row],[FORM_MATCH_HELPER]],10),"")</f>
        <v>5327.27</v>
      </c>
      <c r="AI1447" s="39" cm="1">
        <f t="array" ref="AI1447">IFERROR(INDEX(DaybyDay[],DaybyDay[[#This Row],[FORM_MATCH_HELPER]],12),"")</f>
        <v>1174.5</v>
      </c>
      <c r="AJ1447" s="32">
        <f>IFERROR(DaybyDay[[#This Row],[Serv-LY-RU]]+DaybyDay[[#This Row],[Ret-LY-RU]],"")</f>
        <v>2078319.0409999974</v>
      </c>
      <c r="AK144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2058660.2640084415</v>
      </c>
      <c r="AL1447" s="77"/>
      <c r="AM1447" s="40" t="str">
        <f>IF(DaybyDay[[#This Row],[Admin Hours]]&gt;0,DaybyDay[[#This Row],[Admin Hours]]*$AM$2+$AM$3,"")</f>
        <v/>
      </c>
      <c r="AN1447" s="40">
        <f>SUMIFS(DaybyDay[Est-Admin-Payroll],DaybyDay[Date],"&gt;="&amp;$C$5,DaybyDay[RowYear],"&gt;="&amp;$C$4,DaybyDay[Date],"&lt;="&amp;DaybyDay[[#This Row],[Date]])</f>
        <v>13941.779999999997</v>
      </c>
      <c r="AO1447" s="41" t="str">
        <f>IF(AND(DaybyDay[[#This Row],[_Space]],ISNUMBER(DaybyDay[[#This Row],[Admin Hours]])),DaybyDay[[#This Row],[Est-Admin-Payroll]]/(DaybyDay[[#This Row],[Service-Actuals]]+DaybyDay[[#This Row],[Retail-Actuals]]),"")</f>
        <v/>
      </c>
      <c r="AP1447" s="41">
        <f>DaybyDay[[#This Row],[Estimated-Payroll-Rollup]]/DaybyDay[[#This Row],[Simple-Forecast]]</f>
        <v>6.772258756699269E-3</v>
      </c>
      <c r="AQ144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418418.61981560034</v>
      </c>
      <c r="AR1447" s="77"/>
      <c r="AS1447" s="40" t="str">
        <f>IF(DaybyDay[[#This Row],[Retail Hours]]&gt;0,DaybyDay[[#This Row],[Retail Hours]]*$AS$2,"")</f>
        <v/>
      </c>
      <c r="AT1447" s="40">
        <f>SUMIFS(DaybyDay[Est-Retail-Payroll],DaybyDay[Date],"&gt;="&amp;$C$5,DaybyDay[RowYear],"&gt;="&amp;$C$4,DaybyDay[Date],"&lt;="&amp;DaybyDay[[#This Row],[Date]])</f>
        <v>2627.1</v>
      </c>
      <c r="AU1447" s="82" t="str">
        <f>IF(AND(DaybyDay[[#This Row],[_Space]],ISNUMBER(DaybyDay[[#This Row],[Retail Hours]])),DaybyDay[[#This Row],[Est-Retail-Payroll]]/(DaybyDay[[#This Row],[Retail-Actuals]]),"")</f>
        <v/>
      </c>
      <c r="AV1447" s="82">
        <f>DaybyDay[[#This Row],[Est-Retail-PayrollRU]]/DaybyDay[[#This Row],[Simple-Forecast-Retail]]</f>
        <v>6.2786402793398128E-3</v>
      </c>
      <c r="AW1447" s="8"/>
      <c r="AX1447" s="15"/>
      <c r="AY1447" s="8"/>
    </row>
    <row r="1448" spans="3:51" hidden="1" x14ac:dyDescent="0.25">
      <c r="C1448" s="26" t="str">
        <f>Tools!$C$1</f>
        <v>Example</v>
      </c>
      <c r="D1448" s="27" t="s">
        <v>79</v>
      </c>
      <c r="E1448" s="28">
        <v>2020</v>
      </c>
      <c r="F1448" s="28">
        <f>MATCH(DaybyDay[[#This Row],[RowMonth]],Table3[SummaryMonth],0)</f>
        <v>12</v>
      </c>
      <c r="G1448" s="29">
        <f>MATCH(DaybyDay[[#This Row],[LY-Date]],DaybyDay[Date],0)</f>
        <v>1078</v>
      </c>
      <c r="H1448" s="30">
        <f>WEEKDAY(DaybyDay[[#This Row],[Date]])</f>
        <v>7</v>
      </c>
      <c r="I1448" s="31">
        <v>44177</v>
      </c>
      <c r="J1448" s="74"/>
      <c r="K1448" s="32">
        <f>SUMIFS(BudgetSeasonality[365 Seasonality],BudgetSeasonality[MonthAdjustment],DaybyDay[[#This Row],[Date]])*SUMIFS(Budgets[Service-Budget],Budgets[BudgetMonth],DaybyDay[[#This Row],[RowMonth]],Budgets[BudgetYear],DaybyDay[[#This Row],[RowYear]])</f>
        <v>8179.2200987408332</v>
      </c>
      <c r="L1448" s="75"/>
      <c r="M1448" s="32">
        <f>INDEX(BudgetSeasonality[365 Seasonality],MATCH(DaybyDay[[#This Row],[Date]],BudgetSeasonality[MonthAdjustment],0))*SUMIFS(Budgets[Retail-Budget],Budgets[BudgetMonth],DaybyDay[[#This Row],[RowMonth]],Budgets[BudgetYear],DaybyDay[[#This Row],[RowYear]])</f>
        <v>2387.9618532535628</v>
      </c>
      <c r="N1448" s="75"/>
      <c r="O1448" s="33">
        <f>SUMIFS(DaybyDay[Service-Budgets],DaybyDay[Date],"&gt;="&amp;$C$5,DaybyDay[RowYear],"&gt;="&amp;$C$4,DaybyDay[Date],"&lt;="&amp;DaybyDay[[#This Row],[Date]])</f>
        <v>1850825.5095246821</v>
      </c>
      <c r="P1448" s="33">
        <f>SUMIFS(DaybyDay[Retail-Budgets],DaybyDay[Date],"&gt;="&amp;$C$5,DaybyDay[RowYear],"&gt;="&amp;$C$4,DaybyDay[Date],"&lt;="&amp;DaybyDay[[#This Row],[Date]])</f>
        <v>497273.39806934912</v>
      </c>
      <c r="Q1448" s="34">
        <f>SUMIFS(DaybyDay[Service-Actuals],DaybyDay[Date],"&gt;="&amp;$C$5,DaybyDay[RowYear],"&gt;="&amp;$C$4,DaybyDay[Date],"&lt;="&amp;DaybyDay[[#This Row],[Date]])</f>
        <v>385554.23</v>
      </c>
      <c r="R1448" s="34">
        <f>SUMIFS(DaybyDay[Retail-Actuals],DaybyDay[Date],"&gt;="&amp;$C$5,DaybyDay[RowYear],"&gt;="&amp;$C$4,DaybyDay[Date],"&lt;="&amp;DaybyDay[[#This Row],[Date]])</f>
        <v>88360.030000000028</v>
      </c>
      <c r="S1448" s="35">
        <f>SUMIFS(DaybyDay[Service-LY],DaybyDay[Date],"&gt;="&amp;$C$5,DaybyDay[RowYear],"&gt;="&amp;$C$4,DaybyDay[Date],"&lt;="&amp;DaybyDay[[#This Row],[Date]])</f>
        <v>1676650.5009999976</v>
      </c>
      <c r="T1448" s="35">
        <f>SUMIFS(DaybyDay[Retail-LY],DaybyDay[Date],"&gt;="&amp;$C$5,DaybyDay[RowYear],"&gt;="&amp;$C$4,DaybyDay[Date],"&lt;="&amp;DaybyDay[[#This Row],[Date]])</f>
        <v>416169.09999999992</v>
      </c>
      <c r="U1448" s="32">
        <f>DaybyDay[[#This Row],[Serv-Bud-RU]]+DaybyDay[[#This Row],[Ret-Bud-RU]]</f>
        <v>2348098.9075940312</v>
      </c>
      <c r="V1448" s="32">
        <f>DaybyDay[[#This Row],[Serv-Act-RU]]+DaybyDay[[#This Row],[Ret-Act-RU]]</f>
        <v>473914.26</v>
      </c>
      <c r="W1448" s="36" t="str">
        <f>IF(DaybyDay[[#This Row],[_Space]],IFERROR(
((DaybyDay[[#This Row],[Actual-Rollup]]-DaybyDay[[#This Row],[Budget-Rollup]])/DaybyDay[[#This Row],[Budget-Rollup]]),0),"")</f>
        <v/>
      </c>
      <c r="X1448" t="b">
        <f>NOT(AND(ISBLANK(DaybyDay[[#This Row],[Appts]]),ISBLANK(DaybyDay[[#This Row],[Service-Actuals]]),ISBLANK(DaybyDay[[#This Row],[Retail-Actuals]])))</f>
        <v>0</v>
      </c>
      <c r="Y1448" s="36" t="str">
        <f>IF(DaybyDay[[#This Row],[_Space]],IFERROR(
((DaybyDay[[#This Row],[Actual-Rollup]]-DaybyDay[[#This Row],[LY-Rollup]])/DaybyDay[[#This Row],[LY-Rollup]]),0),"")</f>
        <v/>
      </c>
      <c r="Z1448"/>
      <c r="AA1448" s="37" t="str">
        <f>IF(DaybyDay[[#This Row],[_Space]],DaybyDay[[#This Row],[Ret-Act-RU]]/DaybyDay[[#This Row],[Serv-Act-RU]],"")</f>
        <v/>
      </c>
      <c r="AB1448" s="50" t="str">
        <f>IF(DaybyDay[[#This Row],[_Space]],DaybyDay[[#This Row],[RETPEN-Act]]/DaybyDay[[#This Row],[RETPEN-Bud]],"")</f>
        <v/>
      </c>
      <c r="AC1448" s="37" t="str">
        <f>IF(DaybyDay[[#This Row],[_Space]],DaybyDay[[#This Row],[Ret-Bud-RU]]/DaybyDay[[#This Row],[Serv-Bud-RU]],"")</f>
        <v/>
      </c>
      <c r="AD1448" s="37" t="str">
        <f>IF(DaybyDay[[#This Row],[_Space]],DaybyDay[[#This Row],[Ret-LY-RU]]/DaybyDay[[#This Row],[Serv-LY-RU]],"")</f>
        <v/>
      </c>
      <c r="AE1448" s="30">
        <f>WEEKDAY(DaybyDay[[#This Row],[LY-Date]])</f>
        <v>7</v>
      </c>
      <c r="AF1448" s="38">
        <f>$E$2+_xlfn.DAYS(DaybyDay[[#This Row],[Date]],minDate)</f>
        <v>43813</v>
      </c>
      <c r="AG1448" s="39" cm="1">
        <f t="array" ref="AG1448">IFERROR(INDEX(DaybyDay[],DaybyDay[[#This Row],[FORM_MATCH_HELPER]],8),"")</f>
        <v>48</v>
      </c>
      <c r="AH1448" s="39" cm="1">
        <f t="array" ref="AH1448">IFERROR(INDEX(DaybyDay[],DaybyDay[[#This Row],[FORM_MATCH_HELPER]],10),"")</f>
        <v>10745.369999999999</v>
      </c>
      <c r="AI1448" s="39" cm="1">
        <f t="array" ref="AI1448">IFERROR(INDEX(DaybyDay[],DaybyDay[[#This Row],[FORM_MATCH_HELPER]],12),"")</f>
        <v>3755.19</v>
      </c>
      <c r="AJ1448" s="32">
        <f>IFERROR(DaybyDay[[#This Row],[Serv-LY-RU]]+DaybyDay[[#This Row],[Ret-LY-RU]],"")</f>
        <v>2092819.6009999975</v>
      </c>
      <c r="AK144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2070304.468530453</v>
      </c>
      <c r="AL1448" s="77"/>
      <c r="AM1448" s="40" t="str">
        <f>IF(DaybyDay[[#This Row],[Admin Hours]]&gt;0,DaybyDay[[#This Row],[Admin Hours]]*$AM$2+$AM$3,"")</f>
        <v/>
      </c>
      <c r="AN1448" s="40">
        <f>SUMIFS(DaybyDay[Est-Admin-Payroll],DaybyDay[Date],"&gt;="&amp;$C$5,DaybyDay[RowYear],"&gt;="&amp;$C$4,DaybyDay[Date],"&lt;="&amp;DaybyDay[[#This Row],[Date]])</f>
        <v>13941.779999999997</v>
      </c>
      <c r="AO1448" s="41" t="str">
        <f>IF(AND(DaybyDay[[#This Row],[_Space]],ISNUMBER(DaybyDay[[#This Row],[Admin Hours]])),DaybyDay[[#This Row],[Est-Admin-Payroll]]/(DaybyDay[[#This Row],[Service-Actuals]]+DaybyDay[[#This Row],[Retail-Actuals]]),"")</f>
        <v/>
      </c>
      <c r="AP1448" s="41">
        <f>DaybyDay[[#This Row],[Estimated-Payroll-Rollup]]/DaybyDay[[#This Row],[Simple-Forecast]]</f>
        <v>6.7341689166599611E-3</v>
      </c>
      <c r="AQ144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421285.82185793447</v>
      </c>
      <c r="AR1448" s="77"/>
      <c r="AS1448" s="40" t="str">
        <f>IF(DaybyDay[[#This Row],[Retail Hours]]&gt;0,DaybyDay[[#This Row],[Retail Hours]]*$AS$2,"")</f>
        <v/>
      </c>
      <c r="AT1448" s="40">
        <f>SUMIFS(DaybyDay[Est-Retail-Payroll],DaybyDay[Date],"&gt;="&amp;$C$5,DaybyDay[RowYear],"&gt;="&amp;$C$4,DaybyDay[Date],"&lt;="&amp;DaybyDay[[#This Row],[Date]])</f>
        <v>2627.1</v>
      </c>
      <c r="AU1448" s="82" t="str">
        <f>IF(AND(DaybyDay[[#This Row],[_Space]],ISNUMBER(DaybyDay[[#This Row],[Retail Hours]])),DaybyDay[[#This Row],[Est-Retail-Payroll]]/(DaybyDay[[#This Row],[Retail-Actuals]]),"")</f>
        <v/>
      </c>
      <c r="AV1448" s="82">
        <f>DaybyDay[[#This Row],[Est-Retail-PayrollRU]]/DaybyDay[[#This Row],[Simple-Forecast-Retail]]</f>
        <v>6.2359088858345386E-3</v>
      </c>
      <c r="AW1448" s="8"/>
      <c r="AX1448" s="15"/>
      <c r="AY1448" s="8"/>
    </row>
    <row r="1449" spans="3:51" hidden="1" x14ac:dyDescent="0.25">
      <c r="C1449" s="26" t="str">
        <f>Tools!$C$1</f>
        <v>Example</v>
      </c>
      <c r="D1449" s="27" t="s">
        <v>79</v>
      </c>
      <c r="E1449" s="28">
        <v>2020</v>
      </c>
      <c r="F1449" s="28">
        <f>MATCH(DaybyDay[[#This Row],[RowMonth]],Table3[SummaryMonth],0)</f>
        <v>12</v>
      </c>
      <c r="G1449" s="29">
        <f>MATCH(DaybyDay[[#This Row],[LY-Date]],DaybyDay[Date],0)</f>
        <v>1079</v>
      </c>
      <c r="H1449" s="30">
        <f>WEEKDAY(DaybyDay[[#This Row],[Date]])</f>
        <v>1</v>
      </c>
      <c r="I1449" s="31">
        <v>44178</v>
      </c>
      <c r="J1449" s="74"/>
      <c r="K1449" s="32">
        <f>SUMIFS(BudgetSeasonality[365 Seasonality],BudgetSeasonality[MonthAdjustment],DaybyDay[[#This Row],[Date]])*SUMIFS(Budgets[Service-Budget],Budgets[BudgetMonth],DaybyDay[[#This Row],[RowMonth]],Budgets[BudgetYear],DaybyDay[[#This Row],[RowYear]])</f>
        <v>6662.3678514736139</v>
      </c>
      <c r="L1449" s="75"/>
      <c r="M1449" s="32">
        <f>INDEX(BudgetSeasonality[365 Seasonality],MATCH(DaybyDay[[#This Row],[Date]],BudgetSeasonality[MonthAdjustment],0))*SUMIFS(Budgets[Retail-Budget],Budgets[BudgetMonth],DaybyDay[[#This Row],[RowMonth]],Budgets[BudgetYear],DaybyDay[[#This Row],[RowYear]])</f>
        <v>1945.1096913397776</v>
      </c>
      <c r="N1449" s="75"/>
      <c r="O1449" s="33">
        <f>SUMIFS(DaybyDay[Service-Budgets],DaybyDay[Date],"&gt;="&amp;$C$5,DaybyDay[RowYear],"&gt;="&amp;$C$4,DaybyDay[Date],"&lt;="&amp;DaybyDay[[#This Row],[Date]])</f>
        <v>1857487.8773761557</v>
      </c>
      <c r="P1449" s="33">
        <f>SUMIFS(DaybyDay[Retail-Budgets],DaybyDay[Date],"&gt;="&amp;$C$5,DaybyDay[RowYear],"&gt;="&amp;$C$4,DaybyDay[Date],"&lt;="&amp;DaybyDay[[#This Row],[Date]])</f>
        <v>499218.5077606889</v>
      </c>
      <c r="Q1449" s="34">
        <f>SUMIFS(DaybyDay[Service-Actuals],DaybyDay[Date],"&gt;="&amp;$C$5,DaybyDay[RowYear],"&gt;="&amp;$C$4,DaybyDay[Date],"&lt;="&amp;DaybyDay[[#This Row],[Date]])</f>
        <v>385554.23</v>
      </c>
      <c r="R1449" s="34">
        <f>SUMIFS(DaybyDay[Retail-Actuals],DaybyDay[Date],"&gt;="&amp;$C$5,DaybyDay[RowYear],"&gt;="&amp;$C$4,DaybyDay[Date],"&lt;="&amp;DaybyDay[[#This Row],[Date]])</f>
        <v>88360.030000000028</v>
      </c>
      <c r="S1449" s="35">
        <f>SUMIFS(DaybyDay[Service-LY],DaybyDay[Date],"&gt;="&amp;$C$5,DaybyDay[RowYear],"&gt;="&amp;$C$4,DaybyDay[Date],"&lt;="&amp;DaybyDay[[#This Row],[Date]])</f>
        <v>1683768.3009999976</v>
      </c>
      <c r="T1449" s="35">
        <f>SUMIFS(DaybyDay[Retail-LY],DaybyDay[Date],"&gt;="&amp;$C$5,DaybyDay[RowYear],"&gt;="&amp;$C$4,DaybyDay[Date],"&lt;="&amp;DaybyDay[[#This Row],[Date]])</f>
        <v>420639.54999999993</v>
      </c>
      <c r="U1449" s="32">
        <f>DaybyDay[[#This Row],[Serv-Bud-RU]]+DaybyDay[[#This Row],[Ret-Bud-RU]]</f>
        <v>2356706.3851368446</v>
      </c>
      <c r="V1449" s="32">
        <f>DaybyDay[[#This Row],[Serv-Act-RU]]+DaybyDay[[#This Row],[Ret-Act-RU]]</f>
        <v>473914.26</v>
      </c>
      <c r="W1449" s="36" t="str">
        <f>IF(DaybyDay[[#This Row],[_Space]],IFERROR(
((DaybyDay[[#This Row],[Actual-Rollup]]-DaybyDay[[#This Row],[Budget-Rollup]])/DaybyDay[[#This Row],[Budget-Rollup]]),0),"")</f>
        <v/>
      </c>
      <c r="X1449" t="b">
        <f>NOT(AND(ISBLANK(DaybyDay[[#This Row],[Appts]]),ISBLANK(DaybyDay[[#This Row],[Service-Actuals]]),ISBLANK(DaybyDay[[#This Row],[Retail-Actuals]])))</f>
        <v>0</v>
      </c>
      <c r="Y1449" s="36" t="str">
        <f>IF(DaybyDay[[#This Row],[_Space]],IFERROR(
((DaybyDay[[#This Row],[Actual-Rollup]]-DaybyDay[[#This Row],[LY-Rollup]])/DaybyDay[[#This Row],[LY-Rollup]]),0),"")</f>
        <v/>
      </c>
      <c r="Z1449"/>
      <c r="AA1449" s="37" t="str">
        <f>IF(DaybyDay[[#This Row],[_Space]],DaybyDay[[#This Row],[Ret-Act-RU]]/DaybyDay[[#This Row],[Serv-Act-RU]],"")</f>
        <v/>
      </c>
      <c r="AB1449" s="50" t="str">
        <f>IF(DaybyDay[[#This Row],[_Space]],DaybyDay[[#This Row],[RETPEN-Act]]/DaybyDay[[#This Row],[RETPEN-Bud]],"")</f>
        <v/>
      </c>
      <c r="AC1449" s="37" t="str">
        <f>IF(DaybyDay[[#This Row],[_Space]],DaybyDay[[#This Row],[Ret-Bud-RU]]/DaybyDay[[#This Row],[Serv-Bud-RU]],"")</f>
        <v/>
      </c>
      <c r="AD1449" s="37" t="str">
        <f>IF(DaybyDay[[#This Row],[_Space]],DaybyDay[[#This Row],[Ret-LY-RU]]/DaybyDay[[#This Row],[Serv-LY-RU]],"")</f>
        <v/>
      </c>
      <c r="AE1449" s="30">
        <f>WEEKDAY(DaybyDay[[#This Row],[LY-Date]])</f>
        <v>1</v>
      </c>
      <c r="AF1449" s="38">
        <f>$E$2+_xlfn.DAYS(DaybyDay[[#This Row],[Date]],minDate)</f>
        <v>43814</v>
      </c>
      <c r="AG1449" s="39" cm="1">
        <f t="array" ref="AG1449">IFERROR(INDEX(DaybyDay[],DaybyDay[[#This Row],[FORM_MATCH_HELPER]],8),"")</f>
        <v>39</v>
      </c>
      <c r="AH1449" s="39" cm="1">
        <f t="array" ref="AH1449">IFERROR(INDEX(DaybyDay[],DaybyDay[[#This Row],[FORM_MATCH_HELPER]],10),"")</f>
        <v>7117.8</v>
      </c>
      <c r="AI1449" s="39" cm="1">
        <f t="array" ref="AI1449">IFERROR(INDEX(DaybyDay[],DaybyDay[[#This Row],[FORM_MATCH_HELPER]],12),"")</f>
        <v>4470.45</v>
      </c>
      <c r="AJ1449" s="32">
        <f>IFERROR(DaybyDay[[#This Row],[Serv-LY-RU]]+DaybyDay[[#This Row],[Ret-LY-RU]],"")</f>
        <v>2104407.8509999975</v>
      </c>
      <c r="AK144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2079679.208645392</v>
      </c>
      <c r="AL1449" s="77"/>
      <c r="AM1449" s="40" t="str">
        <f>IF(DaybyDay[[#This Row],[Admin Hours]]&gt;0,DaybyDay[[#This Row],[Admin Hours]]*$AM$2+$AM$3,"")</f>
        <v/>
      </c>
      <c r="AN1449" s="40">
        <f>SUMIFS(DaybyDay[Est-Admin-Payroll],DaybyDay[Date],"&gt;="&amp;$C$5,DaybyDay[RowYear],"&gt;="&amp;$C$4,DaybyDay[Date],"&lt;="&amp;DaybyDay[[#This Row],[Date]])</f>
        <v>13941.779999999997</v>
      </c>
      <c r="AO1449" s="41" t="str">
        <f>IF(AND(DaybyDay[[#This Row],[_Space]],ISNUMBER(DaybyDay[[#This Row],[Admin Hours]])),DaybyDay[[#This Row],[Est-Admin-Payroll]]/(DaybyDay[[#This Row],[Service-Actuals]]+DaybyDay[[#This Row],[Retail-Actuals]]),"")</f>
        <v/>
      </c>
      <c r="AP1449" s="41">
        <f>DaybyDay[[#This Row],[Estimated-Payroll-Rollup]]/DaybyDay[[#This Row],[Simple-Forecast]]</f>
        <v>6.7038127524874551E-3</v>
      </c>
      <c r="AQ144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424317.30869398621</v>
      </c>
      <c r="AR1449" s="77"/>
      <c r="AS1449" s="40" t="str">
        <f>IF(DaybyDay[[#This Row],[Retail Hours]]&gt;0,DaybyDay[[#This Row],[Retail Hours]]*$AS$2,"")</f>
        <v/>
      </c>
      <c r="AT1449" s="40">
        <f>SUMIFS(DaybyDay[Est-Retail-Payroll],DaybyDay[Date],"&gt;="&amp;$C$5,DaybyDay[RowYear],"&gt;="&amp;$C$4,DaybyDay[Date],"&lt;="&amp;DaybyDay[[#This Row],[Date]])</f>
        <v>2627.1</v>
      </c>
      <c r="AU1449" s="82" t="str">
        <f>IF(AND(DaybyDay[[#This Row],[_Space]],ISNUMBER(DaybyDay[[#This Row],[Retail Hours]])),DaybyDay[[#This Row],[Est-Retail-Payroll]]/(DaybyDay[[#This Row],[Retail-Actuals]]),"")</f>
        <v/>
      </c>
      <c r="AV1449" s="82">
        <f>DaybyDay[[#This Row],[Est-Retail-PayrollRU]]/DaybyDay[[#This Row],[Simple-Forecast-Retail]]</f>
        <v>6.1913571428089927E-3</v>
      </c>
      <c r="AW1449" s="8"/>
      <c r="AX1449" s="15"/>
      <c r="AY1449" s="8"/>
    </row>
    <row r="1450" spans="3:51" hidden="1" x14ac:dyDescent="0.25">
      <c r="C1450" s="26" t="str">
        <f>Tools!$C$1</f>
        <v>Example</v>
      </c>
      <c r="D1450" s="27" t="s">
        <v>79</v>
      </c>
      <c r="E1450" s="28">
        <v>2020</v>
      </c>
      <c r="F1450" s="28">
        <f>MATCH(DaybyDay[[#This Row],[RowMonth]],Table3[SummaryMonth],0)</f>
        <v>12</v>
      </c>
      <c r="G1450" s="29">
        <f>MATCH(DaybyDay[[#This Row],[LY-Date]],DaybyDay[Date],0)</f>
        <v>1080</v>
      </c>
      <c r="H1450" s="30">
        <f>WEEKDAY(DaybyDay[[#This Row],[Date]])</f>
        <v>2</v>
      </c>
      <c r="I1450" s="31">
        <v>44179</v>
      </c>
      <c r="J1450" s="74"/>
      <c r="K1450" s="32">
        <f>SUMIFS(BudgetSeasonality[365 Seasonality],BudgetSeasonality[MonthAdjustment],DaybyDay[[#This Row],[Date]])*SUMIFS(Budgets[Service-Budget],Budgets[BudgetMonth],DaybyDay[[#This Row],[RowMonth]],Budgets[BudgetYear],DaybyDay[[#This Row],[RowYear]])</f>
        <v>4421.0311524820027</v>
      </c>
      <c r="L1450" s="75"/>
      <c r="M1450" s="32">
        <f>INDEX(BudgetSeasonality[365 Seasonality],MATCH(DaybyDay[[#This Row],[Date]],BudgetSeasonality[MonthAdjustment],0))*SUMIFS(Budgets[Retail-Budget],Budgets[BudgetMonth],DaybyDay[[#This Row],[RowMonth]],Budgets[BudgetYear],DaybyDay[[#This Row],[RowYear]])</f>
        <v>1290.7408795366582</v>
      </c>
      <c r="N1450" s="75"/>
      <c r="O1450" s="33">
        <f>SUMIFS(DaybyDay[Service-Budgets],DaybyDay[Date],"&gt;="&amp;$C$5,DaybyDay[RowYear],"&gt;="&amp;$C$4,DaybyDay[Date],"&lt;="&amp;DaybyDay[[#This Row],[Date]])</f>
        <v>1861908.9085286376</v>
      </c>
      <c r="P1450" s="33">
        <f>SUMIFS(DaybyDay[Retail-Budgets],DaybyDay[Date],"&gt;="&amp;$C$5,DaybyDay[RowYear],"&gt;="&amp;$C$4,DaybyDay[Date],"&lt;="&amp;DaybyDay[[#This Row],[Date]])</f>
        <v>500509.24864022556</v>
      </c>
      <c r="Q1450" s="34">
        <f>SUMIFS(DaybyDay[Service-Actuals],DaybyDay[Date],"&gt;="&amp;$C$5,DaybyDay[RowYear],"&gt;="&amp;$C$4,DaybyDay[Date],"&lt;="&amp;DaybyDay[[#This Row],[Date]])</f>
        <v>385554.23</v>
      </c>
      <c r="R1450" s="34">
        <f>SUMIFS(DaybyDay[Retail-Actuals],DaybyDay[Date],"&gt;="&amp;$C$5,DaybyDay[RowYear],"&gt;="&amp;$C$4,DaybyDay[Date],"&lt;="&amp;DaybyDay[[#This Row],[Date]])</f>
        <v>88360.030000000028</v>
      </c>
      <c r="S1450" s="35">
        <f>SUMIFS(DaybyDay[Service-LY],DaybyDay[Date],"&gt;="&amp;$C$5,DaybyDay[RowYear],"&gt;="&amp;$C$4,DaybyDay[Date],"&lt;="&amp;DaybyDay[[#This Row],[Date]])</f>
        <v>1688551.4009999977</v>
      </c>
      <c r="T1450" s="35">
        <f>SUMIFS(DaybyDay[Retail-LY],DaybyDay[Date],"&gt;="&amp;$C$5,DaybyDay[RowYear],"&gt;="&amp;$C$4,DaybyDay[Date],"&lt;="&amp;DaybyDay[[#This Row],[Date]])</f>
        <v>420795.84999999992</v>
      </c>
      <c r="U1450" s="32">
        <f>DaybyDay[[#This Row],[Serv-Bud-RU]]+DaybyDay[[#This Row],[Ret-Bud-RU]]</f>
        <v>2362418.1571688633</v>
      </c>
      <c r="V1450" s="32">
        <f>DaybyDay[[#This Row],[Serv-Act-RU]]+DaybyDay[[#This Row],[Ret-Act-RU]]</f>
        <v>473914.26</v>
      </c>
      <c r="W1450" s="36" t="str">
        <f>IF(DaybyDay[[#This Row],[_Space]],IFERROR(
((DaybyDay[[#This Row],[Actual-Rollup]]-DaybyDay[[#This Row],[Budget-Rollup]])/DaybyDay[[#This Row],[Budget-Rollup]]),0),"")</f>
        <v/>
      </c>
      <c r="X1450" t="b">
        <f>NOT(AND(ISBLANK(DaybyDay[[#This Row],[Appts]]),ISBLANK(DaybyDay[[#This Row],[Service-Actuals]]),ISBLANK(DaybyDay[[#This Row],[Retail-Actuals]])))</f>
        <v>0</v>
      </c>
      <c r="Y1450" s="36" t="str">
        <f>IF(DaybyDay[[#This Row],[_Space]],IFERROR(
((DaybyDay[[#This Row],[Actual-Rollup]]-DaybyDay[[#This Row],[LY-Rollup]])/DaybyDay[[#This Row],[LY-Rollup]]),0),"")</f>
        <v/>
      </c>
      <c r="Z1450"/>
      <c r="AA1450" s="37" t="str">
        <f>IF(DaybyDay[[#This Row],[_Space]],DaybyDay[[#This Row],[Ret-Act-RU]]/DaybyDay[[#This Row],[Serv-Act-RU]],"")</f>
        <v/>
      </c>
      <c r="AB1450" s="50" t="str">
        <f>IF(DaybyDay[[#This Row],[_Space]],DaybyDay[[#This Row],[RETPEN-Act]]/DaybyDay[[#This Row],[RETPEN-Bud]],"")</f>
        <v/>
      </c>
      <c r="AC1450" s="37" t="str">
        <f>IF(DaybyDay[[#This Row],[_Space]],DaybyDay[[#This Row],[Ret-Bud-RU]]/DaybyDay[[#This Row],[Serv-Bud-RU]],"")</f>
        <v/>
      </c>
      <c r="AD1450" s="37" t="str">
        <f>IF(DaybyDay[[#This Row],[_Space]],DaybyDay[[#This Row],[Ret-LY-RU]]/DaybyDay[[#This Row],[Serv-LY-RU]],"")</f>
        <v/>
      </c>
      <c r="AE1450" s="30">
        <f>WEEKDAY(DaybyDay[[#This Row],[LY-Date]])</f>
        <v>2</v>
      </c>
      <c r="AF1450" s="38">
        <f>$E$2+_xlfn.DAYS(DaybyDay[[#This Row],[Date]],minDate)</f>
        <v>43815</v>
      </c>
      <c r="AG1450" s="39" cm="1">
        <f t="array" ref="AG1450">IFERROR(INDEX(DaybyDay[],DaybyDay[[#This Row],[FORM_MATCH_HELPER]],8),"")</f>
        <v>23</v>
      </c>
      <c r="AH1450" s="39" cm="1">
        <f t="array" ref="AH1450">IFERROR(INDEX(DaybyDay[],DaybyDay[[#This Row],[FORM_MATCH_HELPER]],10),"")</f>
        <v>4783.0999999999995</v>
      </c>
      <c r="AI1450" s="39" cm="1">
        <f t="array" ref="AI1450">IFERROR(INDEX(DaybyDay[],DaybyDay[[#This Row],[FORM_MATCH_HELPER]],12),"")</f>
        <v>156.30000000000001</v>
      </c>
      <c r="AJ1450" s="32">
        <f>IFERROR(DaybyDay[[#This Row],[Serv-LY-RU]]+DaybyDay[[#This Row],[Ret-LY-RU]],"")</f>
        <v>2109347.2509999978</v>
      </c>
      <c r="AK145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2084544.076064765</v>
      </c>
      <c r="AL1450" s="77"/>
      <c r="AM1450" s="40" t="str">
        <f>IF(DaybyDay[[#This Row],[Admin Hours]]&gt;0,DaybyDay[[#This Row],[Admin Hours]]*$AM$2+$AM$3,"")</f>
        <v/>
      </c>
      <c r="AN1450" s="40">
        <f>SUMIFS(DaybyDay[Est-Admin-Payroll],DaybyDay[Date],"&gt;="&amp;$C$5,DaybyDay[RowYear],"&gt;="&amp;$C$4,DaybyDay[Date],"&lt;="&amp;DaybyDay[[#This Row],[Date]])</f>
        <v>13941.779999999997</v>
      </c>
      <c r="AO1450" s="41" t="str">
        <f>IF(AND(DaybyDay[[#This Row],[_Space]],ISNUMBER(DaybyDay[[#This Row],[Admin Hours]])),DaybyDay[[#This Row],[Est-Admin-Payroll]]/(DaybyDay[[#This Row],[Service-Actuals]]+DaybyDay[[#This Row],[Retail-Actuals]]),"")</f>
        <v/>
      </c>
      <c r="AP1450" s="41">
        <f>DaybyDay[[#This Row],[Estimated-Payroll-Rollup]]/DaybyDay[[#This Row],[Simple-Forecast]]</f>
        <v>6.6881675278939214E-3</v>
      </c>
      <c r="AQ145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424943.3941980605</v>
      </c>
      <c r="AR1450" s="77"/>
      <c r="AS1450" s="40" t="str">
        <f>IF(DaybyDay[[#This Row],[Retail Hours]]&gt;0,DaybyDay[[#This Row],[Retail Hours]]*$AS$2,"")</f>
        <v/>
      </c>
      <c r="AT1450" s="40">
        <f>SUMIFS(DaybyDay[Est-Retail-Payroll],DaybyDay[Date],"&gt;="&amp;$C$5,DaybyDay[RowYear],"&gt;="&amp;$C$4,DaybyDay[Date],"&lt;="&amp;DaybyDay[[#This Row],[Date]])</f>
        <v>2627.1</v>
      </c>
      <c r="AU1450" s="82" t="str">
        <f>IF(AND(DaybyDay[[#This Row],[_Space]],ISNUMBER(DaybyDay[[#This Row],[Retail Hours]])),DaybyDay[[#This Row],[Est-Retail-Payroll]]/(DaybyDay[[#This Row],[Retail-Actuals]]),"")</f>
        <v/>
      </c>
      <c r="AV1450" s="82">
        <f>DaybyDay[[#This Row],[Est-Retail-PayrollRU]]/DaybyDay[[#This Row],[Simple-Forecast-Retail]]</f>
        <v>6.1822351773646901E-3</v>
      </c>
      <c r="AW1450" s="8"/>
      <c r="AX1450" s="15"/>
      <c r="AY1450" s="8"/>
    </row>
    <row r="1451" spans="3:51" hidden="1" x14ac:dyDescent="0.25">
      <c r="C1451" s="26" t="str">
        <f>Tools!$C$1</f>
        <v>Example</v>
      </c>
      <c r="D1451" s="27" t="s">
        <v>79</v>
      </c>
      <c r="E1451" s="28">
        <v>2020</v>
      </c>
      <c r="F1451" s="28">
        <f>MATCH(DaybyDay[[#This Row],[RowMonth]],Table3[SummaryMonth],0)</f>
        <v>12</v>
      </c>
      <c r="G1451" s="29">
        <f>MATCH(DaybyDay[[#This Row],[LY-Date]],DaybyDay[Date],0)</f>
        <v>1081</v>
      </c>
      <c r="H1451" s="30">
        <f>WEEKDAY(DaybyDay[[#This Row],[Date]])</f>
        <v>3</v>
      </c>
      <c r="I1451" s="31">
        <v>44180</v>
      </c>
      <c r="J1451" s="74"/>
      <c r="K1451" s="32">
        <f>SUMIFS(BudgetSeasonality[365 Seasonality],BudgetSeasonality[MonthAdjustment],DaybyDay[[#This Row],[Date]])*SUMIFS(Budgets[Service-Budget],Budgets[BudgetMonth],DaybyDay[[#This Row],[RowMonth]],Budgets[BudgetYear],DaybyDay[[#This Row],[RowYear]])</f>
        <v>4593.7095434269686</v>
      </c>
      <c r="L1451" s="75"/>
      <c r="M1451" s="32">
        <f>INDEX(BudgetSeasonality[365 Seasonality],MATCH(DaybyDay[[#This Row],[Date]],BudgetSeasonality[MonthAdjustment],0))*SUMIFS(Budgets[Retail-Budget],Budgets[BudgetMonth],DaybyDay[[#This Row],[RowMonth]],Budgets[BudgetYear],DaybyDay[[#This Row],[RowYear]])</f>
        <v>1341.1551495379344</v>
      </c>
      <c r="N1451" s="75"/>
      <c r="O1451" s="33">
        <f>SUMIFS(DaybyDay[Service-Budgets],DaybyDay[Date],"&gt;="&amp;$C$5,DaybyDay[RowYear],"&gt;="&amp;$C$4,DaybyDay[Date],"&lt;="&amp;DaybyDay[[#This Row],[Date]])</f>
        <v>1866502.6180720646</v>
      </c>
      <c r="P1451" s="33">
        <f>SUMIFS(DaybyDay[Retail-Budgets],DaybyDay[Date],"&gt;="&amp;$C$5,DaybyDay[RowYear],"&gt;="&amp;$C$4,DaybyDay[Date],"&lt;="&amp;DaybyDay[[#This Row],[Date]])</f>
        <v>501850.40378976351</v>
      </c>
      <c r="Q1451" s="34">
        <f>SUMIFS(DaybyDay[Service-Actuals],DaybyDay[Date],"&gt;="&amp;$C$5,DaybyDay[RowYear],"&gt;="&amp;$C$4,DaybyDay[Date],"&lt;="&amp;DaybyDay[[#This Row],[Date]])</f>
        <v>385554.23</v>
      </c>
      <c r="R1451" s="34">
        <f>SUMIFS(DaybyDay[Retail-Actuals],DaybyDay[Date],"&gt;="&amp;$C$5,DaybyDay[RowYear],"&gt;="&amp;$C$4,DaybyDay[Date],"&lt;="&amp;DaybyDay[[#This Row],[Date]])</f>
        <v>88360.030000000028</v>
      </c>
      <c r="S1451" s="35">
        <f>SUMIFS(DaybyDay[Service-LY],DaybyDay[Date],"&gt;="&amp;$C$5,DaybyDay[RowYear],"&gt;="&amp;$C$4,DaybyDay[Date],"&lt;="&amp;DaybyDay[[#This Row],[Date]])</f>
        <v>1694117.0009999978</v>
      </c>
      <c r="T1451" s="35">
        <f>SUMIFS(DaybyDay[Retail-LY],DaybyDay[Date],"&gt;="&amp;$C$5,DaybyDay[RowYear],"&gt;="&amp;$C$4,DaybyDay[Date],"&lt;="&amp;DaybyDay[[#This Row],[Date]])</f>
        <v>421862.74999999994</v>
      </c>
      <c r="U1451" s="32">
        <f>DaybyDay[[#This Row],[Serv-Bud-RU]]+DaybyDay[[#This Row],[Ret-Bud-RU]]</f>
        <v>2368353.0218618279</v>
      </c>
      <c r="V1451" s="32">
        <f>DaybyDay[[#This Row],[Serv-Act-RU]]+DaybyDay[[#This Row],[Ret-Act-RU]]</f>
        <v>473914.26</v>
      </c>
      <c r="W1451" s="36" t="str">
        <f>IF(DaybyDay[[#This Row],[_Space]],IFERROR(
((DaybyDay[[#This Row],[Actual-Rollup]]-DaybyDay[[#This Row],[Budget-Rollup]])/DaybyDay[[#This Row],[Budget-Rollup]]),0),"")</f>
        <v/>
      </c>
      <c r="X1451" t="b">
        <f>NOT(AND(ISBLANK(DaybyDay[[#This Row],[Appts]]),ISBLANK(DaybyDay[[#This Row],[Service-Actuals]]),ISBLANK(DaybyDay[[#This Row],[Retail-Actuals]])))</f>
        <v>0</v>
      </c>
      <c r="Y1451" s="36" t="str">
        <f>IF(DaybyDay[[#This Row],[_Space]],IFERROR(
((DaybyDay[[#This Row],[Actual-Rollup]]-DaybyDay[[#This Row],[LY-Rollup]])/DaybyDay[[#This Row],[LY-Rollup]]),0),"")</f>
        <v/>
      </c>
      <c r="Z1451"/>
      <c r="AA1451" s="37" t="str">
        <f>IF(DaybyDay[[#This Row],[_Space]],DaybyDay[[#This Row],[Ret-Act-RU]]/DaybyDay[[#This Row],[Serv-Act-RU]],"")</f>
        <v/>
      </c>
      <c r="AB1451" s="50" t="str">
        <f>IF(DaybyDay[[#This Row],[_Space]],DaybyDay[[#This Row],[RETPEN-Act]]/DaybyDay[[#This Row],[RETPEN-Bud]],"")</f>
        <v/>
      </c>
      <c r="AC1451" s="37" t="str">
        <f>IF(DaybyDay[[#This Row],[_Space]],DaybyDay[[#This Row],[Ret-Bud-RU]]/DaybyDay[[#This Row],[Serv-Bud-RU]],"")</f>
        <v/>
      </c>
      <c r="AD1451" s="37" t="str">
        <f>IF(DaybyDay[[#This Row],[_Space]],DaybyDay[[#This Row],[Ret-LY-RU]]/DaybyDay[[#This Row],[Serv-LY-RU]],"")</f>
        <v/>
      </c>
      <c r="AE1451" s="30">
        <f>WEEKDAY(DaybyDay[[#This Row],[LY-Date]])</f>
        <v>3</v>
      </c>
      <c r="AF1451" s="38">
        <f>$E$2+_xlfn.DAYS(DaybyDay[[#This Row],[Date]],minDate)</f>
        <v>43816</v>
      </c>
      <c r="AG1451" s="39" cm="1">
        <f t="array" ref="AG1451">IFERROR(INDEX(DaybyDay[],DaybyDay[[#This Row],[FORM_MATCH_HELPER]],8),"")</f>
        <v>21</v>
      </c>
      <c r="AH1451" s="39" cm="1">
        <f t="array" ref="AH1451">IFERROR(INDEX(DaybyDay[],DaybyDay[[#This Row],[FORM_MATCH_HELPER]],10),"")</f>
        <v>5565.6</v>
      </c>
      <c r="AI1451" s="39" cm="1">
        <f t="array" ref="AI1451">IFERROR(INDEX(DaybyDay[],DaybyDay[[#This Row],[FORM_MATCH_HELPER]],12),"")</f>
        <v>1066.9000000000001</v>
      </c>
      <c r="AJ1451" s="32">
        <f>IFERROR(DaybyDay[[#This Row],[Serv-LY-RU]]+DaybyDay[[#This Row],[Ret-LY-RU]],"")</f>
        <v>2115979.7509999978</v>
      </c>
      <c r="AK145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2090338.6084972387</v>
      </c>
      <c r="AL1451" s="77"/>
      <c r="AM1451" s="40" t="str">
        <f>IF(DaybyDay[[#This Row],[Admin Hours]]&gt;0,DaybyDay[[#This Row],[Admin Hours]]*$AM$2+$AM$3,"")</f>
        <v/>
      </c>
      <c r="AN1451" s="40">
        <f>SUMIFS(DaybyDay[Est-Admin-Payroll],DaybyDay[Date],"&gt;="&amp;$C$5,DaybyDay[RowYear],"&gt;="&amp;$C$4,DaybyDay[Date],"&lt;="&amp;DaybyDay[[#This Row],[Date]])</f>
        <v>13941.779999999997</v>
      </c>
      <c r="AO1451" s="41" t="str">
        <f>IF(AND(DaybyDay[[#This Row],[_Space]],ISNUMBER(DaybyDay[[#This Row],[Admin Hours]])),DaybyDay[[#This Row],[Est-Admin-Payroll]]/(DaybyDay[[#This Row],[Service-Actuals]]+DaybyDay[[#This Row],[Retail-Actuals]]),"")</f>
        <v/>
      </c>
      <c r="AP1451" s="41">
        <f>DaybyDay[[#This Row],[Estimated-Payroll-Rollup]]/DaybyDay[[#This Row],[Simple-Forecast]]</f>
        <v>6.66962756336537E-3</v>
      </c>
      <c r="AQ145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426039.88881060318</v>
      </c>
      <c r="AR1451" s="77"/>
      <c r="AS1451" s="40" t="str">
        <f>IF(DaybyDay[[#This Row],[Retail Hours]]&gt;0,DaybyDay[[#This Row],[Retail Hours]]*$AS$2,"")</f>
        <v/>
      </c>
      <c r="AT1451" s="40">
        <f>SUMIFS(DaybyDay[Est-Retail-Payroll],DaybyDay[Date],"&gt;="&amp;$C$5,DaybyDay[RowYear],"&gt;="&amp;$C$4,DaybyDay[Date],"&lt;="&amp;DaybyDay[[#This Row],[Date]])</f>
        <v>2627.1</v>
      </c>
      <c r="AU1451" s="82" t="str">
        <f>IF(AND(DaybyDay[[#This Row],[_Space]],ISNUMBER(DaybyDay[[#This Row],[Retail Hours]])),DaybyDay[[#This Row],[Est-Retail-Payroll]]/(DaybyDay[[#This Row],[Retail-Actuals]]),"")</f>
        <v/>
      </c>
      <c r="AV1451" s="82">
        <f>DaybyDay[[#This Row],[Est-Retail-PayrollRU]]/DaybyDay[[#This Row],[Simple-Forecast-Retail]]</f>
        <v>6.1663240203498459E-3</v>
      </c>
      <c r="AW1451" s="8"/>
      <c r="AX1451" s="15"/>
      <c r="AY1451" s="8"/>
    </row>
    <row r="1452" spans="3:51" hidden="1" x14ac:dyDescent="0.25">
      <c r="C1452" s="26" t="str">
        <f>Tools!$C$1</f>
        <v>Example</v>
      </c>
      <c r="D1452" s="27" t="s">
        <v>79</v>
      </c>
      <c r="E1452" s="28">
        <v>2020</v>
      </c>
      <c r="F1452" s="28">
        <f>MATCH(DaybyDay[[#This Row],[RowMonth]],Table3[SummaryMonth],0)</f>
        <v>12</v>
      </c>
      <c r="G1452" s="29">
        <f>MATCH(DaybyDay[[#This Row],[LY-Date]],DaybyDay[Date],0)</f>
        <v>1082</v>
      </c>
      <c r="H1452" s="30">
        <f>WEEKDAY(DaybyDay[[#This Row],[Date]])</f>
        <v>4</v>
      </c>
      <c r="I1452" s="31">
        <v>44181</v>
      </c>
      <c r="J1452" s="74"/>
      <c r="K1452" s="32">
        <f>SUMIFS(BudgetSeasonality[365 Seasonality],BudgetSeasonality[MonthAdjustment],DaybyDay[[#This Row],[Date]])*SUMIFS(Budgets[Service-Budget],Budgets[BudgetMonth],DaybyDay[[#This Row],[RowMonth]],Budgets[BudgetYear],DaybyDay[[#This Row],[RowYear]])</f>
        <v>5185.5999508761079</v>
      </c>
      <c r="L1452" s="75"/>
      <c r="M1452" s="32">
        <f>INDEX(BudgetSeasonality[365 Seasonality],MATCH(DaybyDay[[#This Row],[Date]],BudgetSeasonality[MonthAdjustment],0))*SUMIFS(Budgets[Retail-Budget],Budgets[BudgetMonth],DaybyDay[[#This Row],[RowMonth]],Budgets[BudgetYear],DaybyDay[[#This Row],[RowYear]])</f>
        <v>1513.9603433378718</v>
      </c>
      <c r="N1452" s="75"/>
      <c r="O1452" s="33">
        <f>SUMIFS(DaybyDay[Service-Budgets],DaybyDay[Date],"&gt;="&amp;$C$5,DaybyDay[RowYear],"&gt;="&amp;$C$4,DaybyDay[Date],"&lt;="&amp;DaybyDay[[#This Row],[Date]])</f>
        <v>1871688.2180229407</v>
      </c>
      <c r="P1452" s="33">
        <f>SUMIFS(DaybyDay[Retail-Budgets],DaybyDay[Date],"&gt;="&amp;$C$5,DaybyDay[RowYear],"&gt;="&amp;$C$4,DaybyDay[Date],"&lt;="&amp;DaybyDay[[#This Row],[Date]])</f>
        <v>503364.36413310136</v>
      </c>
      <c r="Q1452" s="34">
        <f>SUMIFS(DaybyDay[Service-Actuals],DaybyDay[Date],"&gt;="&amp;$C$5,DaybyDay[RowYear],"&gt;="&amp;$C$4,DaybyDay[Date],"&lt;="&amp;DaybyDay[[#This Row],[Date]])</f>
        <v>385554.23</v>
      </c>
      <c r="R1452" s="34">
        <f>SUMIFS(DaybyDay[Retail-Actuals],DaybyDay[Date],"&gt;="&amp;$C$5,DaybyDay[RowYear],"&gt;="&amp;$C$4,DaybyDay[Date],"&lt;="&amp;DaybyDay[[#This Row],[Date]])</f>
        <v>88360.030000000028</v>
      </c>
      <c r="S1452" s="35">
        <f>SUMIFS(DaybyDay[Service-LY],DaybyDay[Date],"&gt;="&amp;$C$5,DaybyDay[RowYear],"&gt;="&amp;$C$4,DaybyDay[Date],"&lt;="&amp;DaybyDay[[#This Row],[Date]])</f>
        <v>1701113.6709999978</v>
      </c>
      <c r="T1452" s="35">
        <f>SUMIFS(DaybyDay[Retail-LY],DaybyDay[Date],"&gt;="&amp;$C$5,DaybyDay[RowYear],"&gt;="&amp;$C$4,DaybyDay[Date],"&lt;="&amp;DaybyDay[[#This Row],[Date]])</f>
        <v>424829.74999999994</v>
      </c>
      <c r="U1452" s="32">
        <f>DaybyDay[[#This Row],[Serv-Bud-RU]]+DaybyDay[[#This Row],[Ret-Bud-RU]]</f>
        <v>2375052.5821560421</v>
      </c>
      <c r="V1452" s="32">
        <f>DaybyDay[[#This Row],[Serv-Act-RU]]+DaybyDay[[#This Row],[Ret-Act-RU]]</f>
        <v>473914.26</v>
      </c>
      <c r="W1452" s="36" t="str">
        <f>IF(DaybyDay[[#This Row],[_Space]],IFERROR(
((DaybyDay[[#This Row],[Actual-Rollup]]-DaybyDay[[#This Row],[Budget-Rollup]])/DaybyDay[[#This Row],[Budget-Rollup]]),0),"")</f>
        <v/>
      </c>
      <c r="X1452" t="b">
        <f>NOT(AND(ISBLANK(DaybyDay[[#This Row],[Appts]]),ISBLANK(DaybyDay[[#This Row],[Service-Actuals]]),ISBLANK(DaybyDay[[#This Row],[Retail-Actuals]])))</f>
        <v>0</v>
      </c>
      <c r="Y1452" s="36" t="str">
        <f>IF(DaybyDay[[#This Row],[_Space]],IFERROR(
((DaybyDay[[#This Row],[Actual-Rollup]]-DaybyDay[[#This Row],[LY-Rollup]])/DaybyDay[[#This Row],[LY-Rollup]]),0),"")</f>
        <v/>
      </c>
      <c r="Z1452"/>
      <c r="AA1452" s="37" t="str">
        <f>IF(DaybyDay[[#This Row],[_Space]],DaybyDay[[#This Row],[Ret-Act-RU]]/DaybyDay[[#This Row],[Serv-Act-RU]],"")</f>
        <v/>
      </c>
      <c r="AB1452" s="50" t="str">
        <f>IF(DaybyDay[[#This Row],[_Space]],DaybyDay[[#This Row],[RETPEN-Act]]/DaybyDay[[#This Row],[RETPEN-Bud]],"")</f>
        <v/>
      </c>
      <c r="AC1452" s="37" t="str">
        <f>IF(DaybyDay[[#This Row],[_Space]],DaybyDay[[#This Row],[Ret-Bud-RU]]/DaybyDay[[#This Row],[Serv-Bud-RU]],"")</f>
        <v/>
      </c>
      <c r="AD1452" s="37" t="str">
        <f>IF(DaybyDay[[#This Row],[_Space]],DaybyDay[[#This Row],[Ret-LY-RU]]/DaybyDay[[#This Row],[Serv-LY-RU]],"")</f>
        <v/>
      </c>
      <c r="AE1452" s="30">
        <f>WEEKDAY(DaybyDay[[#This Row],[LY-Date]])</f>
        <v>4</v>
      </c>
      <c r="AF1452" s="38">
        <f>$E$2+_xlfn.DAYS(DaybyDay[[#This Row],[Date]],minDate)</f>
        <v>43817</v>
      </c>
      <c r="AG1452" s="39" cm="1">
        <f t="array" ref="AG1452">IFERROR(INDEX(DaybyDay[],DaybyDay[[#This Row],[FORM_MATCH_HELPER]],8),"")</f>
        <v>35</v>
      </c>
      <c r="AH1452" s="39" cm="1">
        <f t="array" ref="AH1452">IFERROR(INDEX(DaybyDay[],DaybyDay[[#This Row],[FORM_MATCH_HELPER]],10),"")</f>
        <v>6996.67</v>
      </c>
      <c r="AI1452" s="39" cm="1">
        <f t="array" ref="AI1452">IFERROR(INDEX(DaybyDay[],DaybyDay[[#This Row],[FORM_MATCH_HELPER]],12),"")</f>
        <v>2967</v>
      </c>
      <c r="AJ1452" s="32">
        <f>IFERROR(DaybyDay[[#This Row],[Serv-LY-RU]]+DaybyDay[[#This Row],[Ret-LY-RU]],"")</f>
        <v>2125943.4209999978</v>
      </c>
      <c r="AK145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2098100.8186686756</v>
      </c>
      <c r="AL1452" s="77"/>
      <c r="AM1452" s="40" t="str">
        <f>IF(DaybyDay[[#This Row],[Admin Hours]]&gt;0,DaybyDay[[#This Row],[Admin Hours]]*$AM$2+$AM$3,"")</f>
        <v/>
      </c>
      <c r="AN1452" s="40">
        <f>SUMIFS(DaybyDay[Est-Admin-Payroll],DaybyDay[Date],"&gt;="&amp;$C$5,DaybyDay[RowYear],"&gt;="&amp;$C$4,DaybyDay[Date],"&lt;="&amp;DaybyDay[[#This Row],[Date]])</f>
        <v>13941.779999999997</v>
      </c>
      <c r="AO1452" s="41" t="str">
        <f>IF(AND(DaybyDay[[#This Row],[_Space]],ISNUMBER(DaybyDay[[#This Row],[Admin Hours]])),DaybyDay[[#This Row],[Est-Admin-Payroll]]/(DaybyDay[[#This Row],[Service-Actuals]]+DaybyDay[[#This Row],[Retail-Actuals]]),"")</f>
        <v/>
      </c>
      <c r="AP1452" s="41">
        <f>DaybyDay[[#This Row],[Estimated-Payroll-Rollup]]/DaybyDay[[#This Row],[Simple-Forecast]]</f>
        <v>6.6449523664199248E-3</v>
      </c>
      <c r="AQ145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428146.71836642904</v>
      </c>
      <c r="AR1452" s="77"/>
      <c r="AS1452" s="40" t="str">
        <f>IF(DaybyDay[[#This Row],[Retail Hours]]&gt;0,DaybyDay[[#This Row],[Retail Hours]]*$AS$2,"")</f>
        <v/>
      </c>
      <c r="AT1452" s="40">
        <f>SUMIFS(DaybyDay[Est-Retail-Payroll],DaybyDay[Date],"&gt;="&amp;$C$5,DaybyDay[RowYear],"&gt;="&amp;$C$4,DaybyDay[Date],"&lt;="&amp;DaybyDay[[#This Row],[Date]])</f>
        <v>2627.1</v>
      </c>
      <c r="AU1452" s="82" t="str">
        <f>IF(AND(DaybyDay[[#This Row],[_Space]],ISNUMBER(DaybyDay[[#This Row],[Retail Hours]])),DaybyDay[[#This Row],[Est-Retail-Payroll]]/(DaybyDay[[#This Row],[Retail-Actuals]]),"")</f>
        <v/>
      </c>
      <c r="AV1452" s="82">
        <f>DaybyDay[[#This Row],[Est-Retail-PayrollRU]]/DaybyDay[[#This Row],[Simple-Forecast-Retail]]</f>
        <v>6.135980698447392E-3</v>
      </c>
      <c r="AW1452" s="8"/>
      <c r="AX1452" s="15"/>
      <c r="AY1452" s="8"/>
    </row>
    <row r="1453" spans="3:51" hidden="1" x14ac:dyDescent="0.25">
      <c r="C1453" s="26" t="str">
        <f>Tools!$C$1</f>
        <v>Example</v>
      </c>
      <c r="D1453" s="27" t="s">
        <v>79</v>
      </c>
      <c r="E1453" s="28">
        <v>2020</v>
      </c>
      <c r="F1453" s="28">
        <f>MATCH(DaybyDay[[#This Row],[RowMonth]],Table3[SummaryMonth],0)</f>
        <v>12</v>
      </c>
      <c r="G1453" s="29">
        <f>MATCH(DaybyDay[[#This Row],[LY-Date]],DaybyDay[Date],0)</f>
        <v>1083</v>
      </c>
      <c r="H1453" s="30">
        <f>WEEKDAY(DaybyDay[[#This Row],[Date]])</f>
        <v>5</v>
      </c>
      <c r="I1453" s="31">
        <v>44182</v>
      </c>
      <c r="J1453" s="74"/>
      <c r="K1453" s="32">
        <f>SUMIFS(BudgetSeasonality[365 Seasonality],BudgetSeasonality[MonthAdjustment],DaybyDay[[#This Row],[Date]])*SUMIFS(Budgets[Service-Budget],Budgets[BudgetMonth],DaybyDay[[#This Row],[RowMonth]],Budgets[BudgetYear],DaybyDay[[#This Row],[RowYear]])</f>
        <v>5341.7053594892568</v>
      </c>
      <c r="L1453" s="75"/>
      <c r="M1453" s="32">
        <f>INDEX(BudgetSeasonality[365 Seasonality],MATCH(DaybyDay[[#This Row],[Date]],BudgetSeasonality[MonthAdjustment],0))*SUMIFS(Budgets[Retail-Budget],Budgets[BudgetMonth],DaybyDay[[#This Row],[RowMonth]],Budgets[BudgetYear],DaybyDay[[#This Row],[RowYear]])</f>
        <v>1559.5360530454695</v>
      </c>
      <c r="N1453" s="75"/>
      <c r="O1453" s="33">
        <f>SUMIFS(DaybyDay[Service-Budgets],DaybyDay[Date],"&gt;="&amp;$C$5,DaybyDay[RowYear],"&gt;="&amp;$C$4,DaybyDay[Date],"&lt;="&amp;DaybyDay[[#This Row],[Date]])</f>
        <v>1877029.9233824299</v>
      </c>
      <c r="P1453" s="33">
        <f>SUMIFS(DaybyDay[Retail-Budgets],DaybyDay[Date],"&gt;="&amp;$C$5,DaybyDay[RowYear],"&gt;="&amp;$C$4,DaybyDay[Date],"&lt;="&amp;DaybyDay[[#This Row],[Date]])</f>
        <v>504923.90018614684</v>
      </c>
      <c r="Q1453" s="34">
        <f>SUMIFS(DaybyDay[Service-Actuals],DaybyDay[Date],"&gt;="&amp;$C$5,DaybyDay[RowYear],"&gt;="&amp;$C$4,DaybyDay[Date],"&lt;="&amp;DaybyDay[[#This Row],[Date]])</f>
        <v>385554.23</v>
      </c>
      <c r="R1453" s="34">
        <f>SUMIFS(DaybyDay[Retail-Actuals],DaybyDay[Date],"&gt;="&amp;$C$5,DaybyDay[RowYear],"&gt;="&amp;$C$4,DaybyDay[Date],"&lt;="&amp;DaybyDay[[#This Row],[Date]])</f>
        <v>88360.030000000028</v>
      </c>
      <c r="S1453" s="35">
        <f>SUMIFS(DaybyDay[Service-LY],DaybyDay[Date],"&gt;="&amp;$C$5,DaybyDay[RowYear],"&gt;="&amp;$C$4,DaybyDay[Date],"&lt;="&amp;DaybyDay[[#This Row],[Date]])</f>
        <v>1706908.6709999978</v>
      </c>
      <c r="T1453" s="35">
        <f>SUMIFS(DaybyDay[Retail-LY],DaybyDay[Date],"&gt;="&amp;$C$5,DaybyDay[RowYear],"&gt;="&amp;$C$4,DaybyDay[Date],"&lt;="&amp;DaybyDay[[#This Row],[Date]])</f>
        <v>434667.99999999994</v>
      </c>
      <c r="U1453" s="32">
        <f>DaybyDay[[#This Row],[Serv-Bud-RU]]+DaybyDay[[#This Row],[Ret-Bud-RU]]</f>
        <v>2381953.8235685769</v>
      </c>
      <c r="V1453" s="32">
        <f>DaybyDay[[#This Row],[Serv-Act-RU]]+DaybyDay[[#This Row],[Ret-Act-RU]]</f>
        <v>473914.26</v>
      </c>
      <c r="W1453" s="36" t="str">
        <f>IF(DaybyDay[[#This Row],[_Space]],IFERROR(
((DaybyDay[[#This Row],[Actual-Rollup]]-DaybyDay[[#This Row],[Budget-Rollup]])/DaybyDay[[#This Row],[Budget-Rollup]]),0),"")</f>
        <v/>
      </c>
      <c r="X1453" t="b">
        <f>NOT(AND(ISBLANK(DaybyDay[[#This Row],[Appts]]),ISBLANK(DaybyDay[[#This Row],[Service-Actuals]]),ISBLANK(DaybyDay[[#This Row],[Retail-Actuals]])))</f>
        <v>0</v>
      </c>
      <c r="Y1453" s="36" t="str">
        <f>IF(DaybyDay[[#This Row],[_Space]],IFERROR(
((DaybyDay[[#This Row],[Actual-Rollup]]-DaybyDay[[#This Row],[LY-Rollup]])/DaybyDay[[#This Row],[LY-Rollup]]),0),"")</f>
        <v/>
      </c>
      <c r="Z1453"/>
      <c r="AA1453" s="37" t="str">
        <f>IF(DaybyDay[[#This Row],[_Space]],DaybyDay[[#This Row],[Ret-Act-RU]]/DaybyDay[[#This Row],[Serv-Act-RU]],"")</f>
        <v/>
      </c>
      <c r="AB1453" s="50" t="str">
        <f>IF(DaybyDay[[#This Row],[_Space]],DaybyDay[[#This Row],[RETPEN-Act]]/DaybyDay[[#This Row],[RETPEN-Bud]],"")</f>
        <v/>
      </c>
      <c r="AC1453" s="37" t="str">
        <f>IF(DaybyDay[[#This Row],[_Space]],DaybyDay[[#This Row],[Ret-Bud-RU]]/DaybyDay[[#This Row],[Serv-Bud-RU]],"")</f>
        <v/>
      </c>
      <c r="AD1453" s="37" t="str">
        <f>IF(DaybyDay[[#This Row],[_Space]],DaybyDay[[#This Row],[Ret-LY-RU]]/DaybyDay[[#This Row],[Serv-LY-RU]],"")</f>
        <v/>
      </c>
      <c r="AE1453" s="30">
        <f>WEEKDAY(DaybyDay[[#This Row],[LY-Date]])</f>
        <v>5</v>
      </c>
      <c r="AF1453" s="38">
        <f>$E$2+_xlfn.DAYS(DaybyDay[[#This Row],[Date]],minDate)</f>
        <v>43818</v>
      </c>
      <c r="AG1453" s="39" cm="1">
        <f t="array" ref="AG1453">IFERROR(INDEX(DaybyDay[],DaybyDay[[#This Row],[FORM_MATCH_HELPER]],8),"")</f>
        <v>25</v>
      </c>
      <c r="AH1453" s="39" cm="1">
        <f t="array" ref="AH1453">IFERROR(INDEX(DaybyDay[],DaybyDay[[#This Row],[FORM_MATCH_HELPER]],10),"")</f>
        <v>5795</v>
      </c>
      <c r="AI1453" s="39" cm="1">
        <f t="array" ref="AI1453">IFERROR(INDEX(DaybyDay[],DaybyDay[[#This Row],[FORM_MATCH_HELPER]],12),"")</f>
        <v>9838.25</v>
      </c>
      <c r="AJ1453" s="32">
        <f>IFERROR(DaybyDay[[#This Row],[Serv-LY-RU]]+DaybyDay[[#This Row],[Ret-LY-RU]],"")</f>
        <v>2141576.6709999978</v>
      </c>
      <c r="AK145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2108744.1628531083</v>
      </c>
      <c r="AL1453" s="77"/>
      <c r="AM1453" s="40" t="str">
        <f>IF(DaybyDay[[#This Row],[Admin Hours]]&gt;0,DaybyDay[[#This Row],[Admin Hours]]*$AM$2+$AM$3,"")</f>
        <v/>
      </c>
      <c r="AN1453" s="40">
        <f>SUMIFS(DaybyDay[Est-Admin-Payroll],DaybyDay[Date],"&gt;="&amp;$C$5,DaybyDay[RowYear],"&gt;="&amp;$C$4,DaybyDay[Date],"&lt;="&amp;DaybyDay[[#This Row],[Date]])</f>
        <v>13941.779999999997</v>
      </c>
      <c r="AO1453" s="41" t="str">
        <f>IF(AND(DaybyDay[[#This Row],[_Space]],ISNUMBER(DaybyDay[[#This Row],[Admin Hours]])),DaybyDay[[#This Row],[Est-Admin-Payroll]]/(DaybyDay[[#This Row],[Service-Actuals]]+DaybyDay[[#This Row],[Retail-Actuals]]),"")</f>
        <v/>
      </c>
      <c r="AP1453" s="41">
        <f>DaybyDay[[#This Row],[Estimated-Payroll-Rollup]]/DaybyDay[[#This Row],[Simple-Forecast]]</f>
        <v>6.6114136771987164E-3</v>
      </c>
      <c r="AQ145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433660.75699388835</v>
      </c>
      <c r="AR1453" s="77"/>
      <c r="AS1453" s="40" t="str">
        <f>IF(DaybyDay[[#This Row],[Retail Hours]]&gt;0,DaybyDay[[#This Row],[Retail Hours]]*$AS$2,"")</f>
        <v/>
      </c>
      <c r="AT1453" s="40">
        <f>SUMIFS(DaybyDay[Est-Retail-Payroll],DaybyDay[Date],"&gt;="&amp;$C$5,DaybyDay[RowYear],"&gt;="&amp;$C$4,DaybyDay[Date],"&lt;="&amp;DaybyDay[[#This Row],[Date]])</f>
        <v>2627.1</v>
      </c>
      <c r="AU1453" s="82" t="str">
        <f>IF(AND(DaybyDay[[#This Row],[_Space]],ISNUMBER(DaybyDay[[#This Row],[Retail Hours]])),DaybyDay[[#This Row],[Est-Retail-Payroll]]/(DaybyDay[[#This Row],[Retail-Actuals]]),"")</f>
        <v/>
      </c>
      <c r="AV1453" s="82">
        <f>DaybyDay[[#This Row],[Est-Retail-PayrollRU]]/DaybyDay[[#This Row],[Simple-Forecast-Retail]]</f>
        <v>6.057961108150314E-3</v>
      </c>
      <c r="AW1453" s="8"/>
      <c r="AX1453" s="15"/>
      <c r="AY1453" s="8"/>
    </row>
    <row r="1454" spans="3:51" hidden="1" x14ac:dyDescent="0.25">
      <c r="C1454" s="26" t="str">
        <f>Tools!$C$1</f>
        <v>Example</v>
      </c>
      <c r="D1454" s="27" t="s">
        <v>79</v>
      </c>
      <c r="E1454" s="28">
        <v>2020</v>
      </c>
      <c r="F1454" s="28">
        <f>MATCH(DaybyDay[[#This Row],[RowMonth]],Table3[SummaryMonth],0)</f>
        <v>12</v>
      </c>
      <c r="G1454" s="29">
        <f>MATCH(DaybyDay[[#This Row],[LY-Date]],DaybyDay[Date],0)</f>
        <v>1084</v>
      </c>
      <c r="H1454" s="30">
        <f>WEEKDAY(DaybyDay[[#This Row],[Date]])</f>
        <v>6</v>
      </c>
      <c r="I1454" s="31">
        <v>44183</v>
      </c>
      <c r="J1454" s="74"/>
      <c r="K1454" s="32">
        <f>SUMIFS(BudgetSeasonality[365 Seasonality],BudgetSeasonality[MonthAdjustment],DaybyDay[[#This Row],[Date]])*SUMIFS(Budgets[Service-Budget],Budgets[BudgetMonth],DaybyDay[[#This Row],[RowMonth]],Budgets[BudgetYear],DaybyDay[[#This Row],[RowYear]])</f>
        <v>6384.7395361422532</v>
      </c>
      <c r="L1454" s="75"/>
      <c r="M1454" s="32">
        <f>INDEX(BudgetSeasonality[365 Seasonality],MATCH(DaybyDay[[#This Row],[Date]],BudgetSeasonality[MonthAdjustment],0))*SUMIFS(Budgets[Retail-Budget],Budgets[BudgetMonth],DaybyDay[[#This Row],[RowMonth]],Budgets[BudgetYear],DaybyDay[[#This Row],[RowYear]])</f>
        <v>1864.0547963264496</v>
      </c>
      <c r="N1454" s="75"/>
      <c r="O1454" s="33">
        <f>SUMIFS(DaybyDay[Service-Budgets],DaybyDay[Date],"&gt;="&amp;$C$5,DaybyDay[RowYear],"&gt;="&amp;$C$4,DaybyDay[Date],"&lt;="&amp;DaybyDay[[#This Row],[Date]])</f>
        <v>1883414.6629185721</v>
      </c>
      <c r="P1454" s="33">
        <f>SUMIFS(DaybyDay[Retail-Budgets],DaybyDay[Date],"&gt;="&amp;$C$5,DaybyDay[RowYear],"&gt;="&amp;$C$4,DaybyDay[Date],"&lt;="&amp;DaybyDay[[#This Row],[Date]])</f>
        <v>506787.95498247328</v>
      </c>
      <c r="Q1454" s="34">
        <f>SUMIFS(DaybyDay[Service-Actuals],DaybyDay[Date],"&gt;="&amp;$C$5,DaybyDay[RowYear],"&gt;="&amp;$C$4,DaybyDay[Date],"&lt;="&amp;DaybyDay[[#This Row],[Date]])</f>
        <v>385554.23</v>
      </c>
      <c r="R1454" s="34">
        <f>SUMIFS(DaybyDay[Retail-Actuals],DaybyDay[Date],"&gt;="&amp;$C$5,DaybyDay[RowYear],"&gt;="&amp;$C$4,DaybyDay[Date],"&lt;="&amp;DaybyDay[[#This Row],[Date]])</f>
        <v>88360.030000000028</v>
      </c>
      <c r="S1454" s="35">
        <f>SUMIFS(DaybyDay[Service-LY],DaybyDay[Date],"&gt;="&amp;$C$5,DaybyDay[RowYear],"&gt;="&amp;$C$4,DaybyDay[Date],"&lt;="&amp;DaybyDay[[#This Row],[Date]])</f>
        <v>1714500.0409999979</v>
      </c>
      <c r="T1454" s="35">
        <f>SUMIFS(DaybyDay[Retail-LY],DaybyDay[Date],"&gt;="&amp;$C$5,DaybyDay[RowYear],"&gt;="&amp;$C$4,DaybyDay[Date],"&lt;="&amp;DaybyDay[[#This Row],[Date]])</f>
        <v>438936.74999999994</v>
      </c>
      <c r="U1454" s="32">
        <f>DaybyDay[[#This Row],[Serv-Bud-RU]]+DaybyDay[[#This Row],[Ret-Bud-RU]]</f>
        <v>2390202.6179010454</v>
      </c>
      <c r="V1454" s="32">
        <f>DaybyDay[[#This Row],[Serv-Act-RU]]+DaybyDay[[#This Row],[Ret-Act-RU]]</f>
        <v>473914.26</v>
      </c>
      <c r="W1454" s="36" t="str">
        <f>IF(DaybyDay[[#This Row],[_Space]],IFERROR(
((DaybyDay[[#This Row],[Actual-Rollup]]-DaybyDay[[#This Row],[Budget-Rollup]])/DaybyDay[[#This Row],[Budget-Rollup]]),0),"")</f>
        <v/>
      </c>
      <c r="X1454" t="b">
        <f>NOT(AND(ISBLANK(DaybyDay[[#This Row],[Appts]]),ISBLANK(DaybyDay[[#This Row],[Service-Actuals]]),ISBLANK(DaybyDay[[#This Row],[Retail-Actuals]])))</f>
        <v>0</v>
      </c>
      <c r="Y1454" s="36" t="str">
        <f>IF(DaybyDay[[#This Row],[_Space]],IFERROR(
((DaybyDay[[#This Row],[Actual-Rollup]]-DaybyDay[[#This Row],[LY-Rollup]])/DaybyDay[[#This Row],[LY-Rollup]]),0),"")</f>
        <v/>
      </c>
      <c r="Z1454"/>
      <c r="AA1454" s="37" t="str">
        <f>IF(DaybyDay[[#This Row],[_Space]],DaybyDay[[#This Row],[Ret-Act-RU]]/DaybyDay[[#This Row],[Serv-Act-RU]],"")</f>
        <v/>
      </c>
      <c r="AB1454" s="50" t="str">
        <f>IF(DaybyDay[[#This Row],[_Space]],DaybyDay[[#This Row],[RETPEN-Act]]/DaybyDay[[#This Row],[RETPEN-Bud]],"")</f>
        <v/>
      </c>
      <c r="AC1454" s="37" t="str">
        <f>IF(DaybyDay[[#This Row],[_Space]],DaybyDay[[#This Row],[Ret-Bud-RU]]/DaybyDay[[#This Row],[Serv-Bud-RU]],"")</f>
        <v/>
      </c>
      <c r="AD1454" s="37" t="str">
        <f>IF(DaybyDay[[#This Row],[_Space]],DaybyDay[[#This Row],[Ret-LY-RU]]/DaybyDay[[#This Row],[Serv-LY-RU]],"")</f>
        <v/>
      </c>
      <c r="AE1454" s="30">
        <f>WEEKDAY(DaybyDay[[#This Row],[LY-Date]])</f>
        <v>6</v>
      </c>
      <c r="AF1454" s="38">
        <f>$E$2+_xlfn.DAYS(DaybyDay[[#This Row],[Date]],minDate)</f>
        <v>43819</v>
      </c>
      <c r="AG1454" s="39" cm="1">
        <f t="array" ref="AG1454">IFERROR(INDEX(DaybyDay[],DaybyDay[[#This Row],[FORM_MATCH_HELPER]],8),"")</f>
        <v>39</v>
      </c>
      <c r="AH1454" s="39" cm="1">
        <f t="array" ref="AH1454">IFERROR(INDEX(DaybyDay[],DaybyDay[[#This Row],[FORM_MATCH_HELPER]],10),"")</f>
        <v>7591.3700000000008</v>
      </c>
      <c r="AI1454" s="39" cm="1">
        <f t="array" ref="AI1454">IFERROR(INDEX(DaybyDay[],DaybyDay[[#This Row],[FORM_MATCH_HELPER]],12),"")</f>
        <v>4268.75</v>
      </c>
      <c r="AJ1454" s="32">
        <f>IFERROR(DaybyDay[[#This Row],[Serv-LY-RU]]+DaybyDay[[#This Row],[Ret-LY-RU]],"")</f>
        <v>2153436.7909999979</v>
      </c>
      <c r="AK145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2118100.3789974134</v>
      </c>
      <c r="AL1454" s="77"/>
      <c r="AM1454" s="40" t="str">
        <f>IF(DaybyDay[[#This Row],[Admin Hours]]&gt;0,DaybyDay[[#This Row],[Admin Hours]]*$AM$2+$AM$3,"")</f>
        <v/>
      </c>
      <c r="AN1454" s="40">
        <f>SUMIFS(DaybyDay[Est-Admin-Payroll],DaybyDay[Date],"&gt;="&amp;$C$5,DaybyDay[RowYear],"&gt;="&amp;$C$4,DaybyDay[Date],"&lt;="&amp;DaybyDay[[#This Row],[Date]])</f>
        <v>13941.779999999997</v>
      </c>
      <c r="AO1454" s="41" t="str">
        <f>IF(AND(DaybyDay[[#This Row],[_Space]],ISNUMBER(DaybyDay[[#This Row],[Admin Hours]])),DaybyDay[[#This Row],[Est-Admin-Payroll]]/(DaybyDay[[#This Row],[Service-Actuals]]+DaybyDay[[#This Row],[Retail-Actuals]]),"")</f>
        <v/>
      </c>
      <c r="AP1454" s="41">
        <f>DaybyDay[[#This Row],[Estimated-Payroll-Rollup]]/DaybyDay[[#This Row],[Simple-Forecast]]</f>
        <v>6.5822092938764461E-3</v>
      </c>
      <c r="AQ145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436558.31992258399</v>
      </c>
      <c r="AR1454" s="77"/>
      <c r="AS1454" s="40" t="str">
        <f>IF(DaybyDay[[#This Row],[Retail Hours]]&gt;0,DaybyDay[[#This Row],[Retail Hours]]*$AS$2,"")</f>
        <v/>
      </c>
      <c r="AT1454" s="40">
        <f>SUMIFS(DaybyDay[Est-Retail-Payroll],DaybyDay[Date],"&gt;="&amp;$C$5,DaybyDay[RowYear],"&gt;="&amp;$C$4,DaybyDay[Date],"&lt;="&amp;DaybyDay[[#This Row],[Date]])</f>
        <v>2627.1</v>
      </c>
      <c r="AU1454" s="82" t="str">
        <f>IF(AND(DaybyDay[[#This Row],[_Space]],ISNUMBER(DaybyDay[[#This Row],[Retail Hours]])),DaybyDay[[#This Row],[Est-Retail-Payroll]]/(DaybyDay[[#This Row],[Retail-Actuals]]),"")</f>
        <v/>
      </c>
      <c r="AV1454" s="82">
        <f>DaybyDay[[#This Row],[Est-Retail-PayrollRU]]/DaybyDay[[#This Row],[Simple-Forecast-Retail]]</f>
        <v>6.0177526807091214E-3</v>
      </c>
      <c r="AW1454" s="8"/>
      <c r="AX1454" s="15"/>
      <c r="AY1454" s="8"/>
    </row>
    <row r="1455" spans="3:51" hidden="1" x14ac:dyDescent="0.25">
      <c r="C1455" s="26" t="str">
        <f>Tools!$C$1</f>
        <v>Example</v>
      </c>
      <c r="D1455" s="27" t="s">
        <v>79</v>
      </c>
      <c r="E1455" s="28">
        <v>2020</v>
      </c>
      <c r="F1455" s="28">
        <f>MATCH(DaybyDay[[#This Row],[RowMonth]],Table3[SummaryMonth],0)</f>
        <v>12</v>
      </c>
      <c r="G1455" s="29">
        <f>MATCH(DaybyDay[[#This Row],[LY-Date]],DaybyDay[Date],0)</f>
        <v>1085</v>
      </c>
      <c r="H1455" s="30">
        <f>WEEKDAY(DaybyDay[[#This Row],[Date]])</f>
        <v>7</v>
      </c>
      <c r="I1455" s="31">
        <v>44184</v>
      </c>
      <c r="J1455" s="74"/>
      <c r="K1455" s="32">
        <f>SUMIFS(BudgetSeasonality[365 Seasonality],BudgetSeasonality[MonthAdjustment],DaybyDay[[#This Row],[Date]])*SUMIFS(Budgets[Service-Budget],Budgets[BudgetMonth],DaybyDay[[#This Row],[RowMonth]],Budgets[BudgetYear],DaybyDay[[#This Row],[RowYear]])</f>
        <v>8543.941979586958</v>
      </c>
      <c r="L1455" s="75"/>
      <c r="M1455" s="32">
        <f>INDEX(BudgetSeasonality[365 Seasonality],MATCH(DaybyDay[[#This Row],[Date]],BudgetSeasonality[MonthAdjustment],0))*SUMIFS(Budgets[Retail-Budget],Budgets[BudgetMonth],DaybyDay[[#This Row],[RowMonth]],Budgets[BudgetYear],DaybyDay[[#This Row],[RowYear]])</f>
        <v>2494.4441251564203</v>
      </c>
      <c r="N1455" s="75"/>
      <c r="O1455" s="33">
        <f>SUMIFS(DaybyDay[Service-Budgets],DaybyDay[Date],"&gt;="&amp;$C$5,DaybyDay[RowYear],"&gt;="&amp;$C$4,DaybyDay[Date],"&lt;="&amp;DaybyDay[[#This Row],[Date]])</f>
        <v>1891958.6048981589</v>
      </c>
      <c r="P1455" s="33">
        <f>SUMIFS(DaybyDay[Retail-Budgets],DaybyDay[Date],"&gt;="&amp;$C$5,DaybyDay[RowYear],"&gt;="&amp;$C$4,DaybyDay[Date],"&lt;="&amp;DaybyDay[[#This Row],[Date]])</f>
        <v>509282.39910762972</v>
      </c>
      <c r="Q1455" s="34">
        <f>SUMIFS(DaybyDay[Service-Actuals],DaybyDay[Date],"&gt;="&amp;$C$5,DaybyDay[RowYear],"&gt;="&amp;$C$4,DaybyDay[Date],"&lt;="&amp;DaybyDay[[#This Row],[Date]])</f>
        <v>385554.23</v>
      </c>
      <c r="R1455" s="34">
        <f>SUMIFS(DaybyDay[Retail-Actuals],DaybyDay[Date],"&gt;="&amp;$C$5,DaybyDay[RowYear],"&gt;="&amp;$C$4,DaybyDay[Date],"&lt;="&amp;DaybyDay[[#This Row],[Date]])</f>
        <v>88360.030000000028</v>
      </c>
      <c r="S1455" s="35">
        <f>SUMIFS(DaybyDay[Service-LY],DaybyDay[Date],"&gt;="&amp;$C$5,DaybyDay[RowYear],"&gt;="&amp;$C$4,DaybyDay[Date],"&lt;="&amp;DaybyDay[[#This Row],[Date]])</f>
        <v>1723731.0409999979</v>
      </c>
      <c r="T1455" s="35">
        <f>SUMIFS(DaybyDay[Retail-LY],DaybyDay[Date],"&gt;="&amp;$C$5,DaybyDay[RowYear],"&gt;="&amp;$C$4,DaybyDay[Date],"&lt;="&amp;DaybyDay[[#This Row],[Date]])</f>
        <v>440580.54999999993</v>
      </c>
      <c r="U1455" s="32">
        <f>DaybyDay[[#This Row],[Serv-Bud-RU]]+DaybyDay[[#This Row],[Ret-Bud-RU]]</f>
        <v>2401241.0040057888</v>
      </c>
      <c r="V1455" s="32">
        <f>DaybyDay[[#This Row],[Serv-Act-RU]]+DaybyDay[[#This Row],[Ret-Act-RU]]</f>
        <v>473914.26</v>
      </c>
      <c r="W1455" s="36" t="str">
        <f>IF(DaybyDay[[#This Row],[_Space]],IFERROR(
((DaybyDay[[#This Row],[Actual-Rollup]]-DaybyDay[[#This Row],[Budget-Rollup]])/DaybyDay[[#This Row],[Budget-Rollup]]),0),"")</f>
        <v/>
      </c>
      <c r="X1455" t="b">
        <f>NOT(AND(ISBLANK(DaybyDay[[#This Row],[Appts]]),ISBLANK(DaybyDay[[#This Row],[Service-Actuals]]),ISBLANK(DaybyDay[[#This Row],[Retail-Actuals]])))</f>
        <v>0</v>
      </c>
      <c r="Y1455" s="36" t="str">
        <f>IF(DaybyDay[[#This Row],[_Space]],IFERROR(
((DaybyDay[[#This Row],[Actual-Rollup]]-DaybyDay[[#This Row],[LY-Rollup]])/DaybyDay[[#This Row],[LY-Rollup]]),0),"")</f>
        <v/>
      </c>
      <c r="Z1455"/>
      <c r="AA1455" s="37" t="str">
        <f>IF(DaybyDay[[#This Row],[_Space]],DaybyDay[[#This Row],[Ret-Act-RU]]/DaybyDay[[#This Row],[Serv-Act-RU]],"")</f>
        <v/>
      </c>
      <c r="AB1455" s="50" t="str">
        <f>IF(DaybyDay[[#This Row],[_Space]],DaybyDay[[#This Row],[RETPEN-Act]]/DaybyDay[[#This Row],[RETPEN-Bud]],"")</f>
        <v/>
      </c>
      <c r="AC1455" s="37" t="str">
        <f>IF(DaybyDay[[#This Row],[_Space]],DaybyDay[[#This Row],[Ret-Bud-RU]]/DaybyDay[[#This Row],[Serv-Bud-RU]],"")</f>
        <v/>
      </c>
      <c r="AD1455" s="37" t="str">
        <f>IF(DaybyDay[[#This Row],[_Space]],DaybyDay[[#This Row],[Ret-LY-RU]]/DaybyDay[[#This Row],[Serv-LY-RU]],"")</f>
        <v/>
      </c>
      <c r="AE1455" s="30">
        <f>WEEKDAY(DaybyDay[[#This Row],[LY-Date]])</f>
        <v>7</v>
      </c>
      <c r="AF1455" s="38">
        <f>$E$2+_xlfn.DAYS(DaybyDay[[#This Row],[Date]],minDate)</f>
        <v>43820</v>
      </c>
      <c r="AG1455" s="39" cm="1">
        <f t="array" ref="AG1455">IFERROR(INDEX(DaybyDay[],DaybyDay[[#This Row],[FORM_MATCH_HELPER]],8),"")</f>
        <v>48</v>
      </c>
      <c r="AH1455" s="39" cm="1">
        <f t="array" ref="AH1455">IFERROR(INDEX(DaybyDay[],DaybyDay[[#This Row],[FORM_MATCH_HELPER]],10),"")</f>
        <v>9231</v>
      </c>
      <c r="AI1455" s="39" cm="1">
        <f t="array" ref="AI1455">IFERROR(INDEX(DaybyDay[],DaybyDay[[#This Row],[FORM_MATCH_HELPER]],12),"")</f>
        <v>1643.8</v>
      </c>
      <c r="AJ1455" s="32">
        <f>IFERROR(DaybyDay[[#This Row],[Serv-LY-RU]]+DaybyDay[[#This Row],[Ret-LY-RU]],"")</f>
        <v>2164311.5909999977</v>
      </c>
      <c r="AK145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2128157.3560903203</v>
      </c>
      <c r="AL1455" s="77"/>
      <c r="AM1455" s="40" t="str">
        <f>IF(DaybyDay[[#This Row],[Admin Hours]]&gt;0,DaybyDay[[#This Row],[Admin Hours]]*$AM$2+$AM$3,"")</f>
        <v/>
      </c>
      <c r="AN1455" s="40">
        <f>SUMIFS(DaybyDay[Est-Admin-Payroll],DaybyDay[Date],"&gt;="&amp;$C$5,DaybyDay[RowYear],"&gt;="&amp;$C$4,DaybyDay[Date],"&lt;="&amp;DaybyDay[[#This Row],[Date]])</f>
        <v>13941.779999999997</v>
      </c>
      <c r="AO1455" s="41" t="str">
        <f>IF(AND(DaybyDay[[#This Row],[_Space]],ISNUMBER(DaybyDay[[#This Row],[Admin Hours]])),DaybyDay[[#This Row],[Est-Admin-Payroll]]/(DaybyDay[[#This Row],[Service-Actuals]]+DaybyDay[[#This Row],[Retail-Actuals]]),"")</f>
        <v/>
      </c>
      <c r="AP1455" s="41">
        <f>DaybyDay[[#This Row],[Estimated-Payroll-Rollup]]/DaybyDay[[#This Row],[Simple-Forecast]]</f>
        <v>6.551103921005501E-3</v>
      </c>
      <c r="AQ145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438429.80818820093</v>
      </c>
      <c r="AR1455" s="77"/>
      <c r="AS1455" s="40" t="str">
        <f>IF(DaybyDay[[#This Row],[Retail Hours]]&gt;0,DaybyDay[[#This Row],[Retail Hours]]*$AS$2,"")</f>
        <v/>
      </c>
      <c r="AT1455" s="40">
        <f>SUMIFS(DaybyDay[Est-Retail-Payroll],DaybyDay[Date],"&gt;="&amp;$C$5,DaybyDay[RowYear],"&gt;="&amp;$C$4,DaybyDay[Date],"&lt;="&amp;DaybyDay[[#This Row],[Date]])</f>
        <v>2627.1</v>
      </c>
      <c r="AU1455" s="82" t="str">
        <f>IF(AND(DaybyDay[[#This Row],[_Space]],ISNUMBER(DaybyDay[[#This Row],[Retail Hours]])),DaybyDay[[#This Row],[Est-Retail-Payroll]]/(DaybyDay[[#This Row],[Retail-Actuals]]),"")</f>
        <v/>
      </c>
      <c r="AV1455" s="82">
        <f>DaybyDay[[#This Row],[Est-Retail-PayrollRU]]/DaybyDay[[#This Row],[Simple-Forecast-Retail]]</f>
        <v>5.9920652084684166E-3</v>
      </c>
      <c r="AW1455" s="8"/>
      <c r="AX1455" s="15"/>
      <c r="AY1455" s="8"/>
    </row>
    <row r="1456" spans="3:51" hidden="1" x14ac:dyDescent="0.25">
      <c r="C1456" s="26" t="str">
        <f>Tools!$C$1</f>
        <v>Example</v>
      </c>
      <c r="D1456" s="27" t="s">
        <v>79</v>
      </c>
      <c r="E1456" s="28">
        <v>2020</v>
      </c>
      <c r="F1456" s="28">
        <f>MATCH(DaybyDay[[#This Row],[RowMonth]],Table3[SummaryMonth],0)</f>
        <v>12</v>
      </c>
      <c r="G1456" s="29">
        <f>MATCH(DaybyDay[[#This Row],[LY-Date]],DaybyDay[Date],0)</f>
        <v>1086</v>
      </c>
      <c r="H1456" s="30">
        <f>WEEKDAY(DaybyDay[[#This Row],[Date]])</f>
        <v>1</v>
      </c>
      <c r="I1456" s="31">
        <v>44185</v>
      </c>
      <c r="J1456" s="74"/>
      <c r="K1456" s="32">
        <f>SUMIFS(BudgetSeasonality[365 Seasonality],BudgetSeasonality[MonthAdjustment],DaybyDay[[#This Row],[Date]])*SUMIFS(Budgets[Service-Budget],Budgets[BudgetMonth],DaybyDay[[#This Row],[RowMonth]],Budgets[BudgetYear],DaybyDay[[#This Row],[RowYear]])</f>
        <v>6994.1644016416467</v>
      </c>
      <c r="L1456" s="75"/>
      <c r="M1456" s="32">
        <f>INDEX(BudgetSeasonality[365 Seasonality],MATCH(DaybyDay[[#This Row],[Date]],BudgetSeasonality[MonthAdjustment],0))*SUMIFS(Budgets[Retail-Budget],Budgets[BudgetMonth],DaybyDay[[#This Row],[RowMonth]],Budgets[BudgetYear],DaybyDay[[#This Row],[RowYear]])</f>
        <v>2041.9792577871176</v>
      </c>
      <c r="N1456" s="75"/>
      <c r="O1456" s="33">
        <f>SUMIFS(DaybyDay[Service-Budgets],DaybyDay[Date],"&gt;="&amp;$C$5,DaybyDay[RowYear],"&gt;="&amp;$C$4,DaybyDay[Date],"&lt;="&amp;DaybyDay[[#This Row],[Date]])</f>
        <v>1898952.7692998005</v>
      </c>
      <c r="P1456" s="33">
        <f>SUMIFS(DaybyDay[Retail-Budgets],DaybyDay[Date],"&gt;="&amp;$C$5,DaybyDay[RowYear],"&gt;="&amp;$C$4,DaybyDay[Date],"&lt;="&amp;DaybyDay[[#This Row],[Date]])</f>
        <v>511324.37836541684</v>
      </c>
      <c r="Q1456" s="34">
        <f>SUMIFS(DaybyDay[Service-Actuals],DaybyDay[Date],"&gt;="&amp;$C$5,DaybyDay[RowYear],"&gt;="&amp;$C$4,DaybyDay[Date],"&lt;="&amp;DaybyDay[[#This Row],[Date]])</f>
        <v>385554.23</v>
      </c>
      <c r="R1456" s="34">
        <f>SUMIFS(DaybyDay[Retail-Actuals],DaybyDay[Date],"&gt;="&amp;$C$5,DaybyDay[RowYear],"&gt;="&amp;$C$4,DaybyDay[Date],"&lt;="&amp;DaybyDay[[#This Row],[Date]])</f>
        <v>88360.030000000028</v>
      </c>
      <c r="S1456" s="35">
        <f>SUMIFS(DaybyDay[Service-LY],DaybyDay[Date],"&gt;="&amp;$C$5,DaybyDay[RowYear],"&gt;="&amp;$C$4,DaybyDay[Date],"&lt;="&amp;DaybyDay[[#This Row],[Date]])</f>
        <v>1731219.8409999979</v>
      </c>
      <c r="T1456" s="35">
        <f>SUMIFS(DaybyDay[Retail-LY],DaybyDay[Date],"&gt;="&amp;$C$5,DaybyDay[RowYear],"&gt;="&amp;$C$4,DaybyDay[Date],"&lt;="&amp;DaybyDay[[#This Row],[Date]])</f>
        <v>441529.64999999991</v>
      </c>
      <c r="U1456" s="32">
        <f>DaybyDay[[#This Row],[Serv-Bud-RU]]+DaybyDay[[#This Row],[Ret-Bud-RU]]</f>
        <v>2410277.1476652175</v>
      </c>
      <c r="V1456" s="32">
        <f>DaybyDay[[#This Row],[Serv-Act-RU]]+DaybyDay[[#This Row],[Ret-Act-RU]]</f>
        <v>473914.26</v>
      </c>
      <c r="W1456" s="36" t="str">
        <f>IF(DaybyDay[[#This Row],[_Space]],IFERROR(
((DaybyDay[[#This Row],[Actual-Rollup]]-DaybyDay[[#This Row],[Budget-Rollup]])/DaybyDay[[#This Row],[Budget-Rollup]]),0),"")</f>
        <v/>
      </c>
      <c r="X1456" t="b">
        <f>NOT(AND(ISBLANK(DaybyDay[[#This Row],[Appts]]),ISBLANK(DaybyDay[[#This Row],[Service-Actuals]]),ISBLANK(DaybyDay[[#This Row],[Retail-Actuals]])))</f>
        <v>0</v>
      </c>
      <c r="Y1456" s="36" t="str">
        <f>IF(DaybyDay[[#This Row],[_Space]],IFERROR(
((DaybyDay[[#This Row],[Actual-Rollup]]-DaybyDay[[#This Row],[LY-Rollup]])/DaybyDay[[#This Row],[LY-Rollup]]),0),"")</f>
        <v/>
      </c>
      <c r="Z1456"/>
      <c r="AA1456" s="37" t="str">
        <f>IF(DaybyDay[[#This Row],[_Space]],DaybyDay[[#This Row],[Ret-Act-RU]]/DaybyDay[[#This Row],[Serv-Act-RU]],"")</f>
        <v/>
      </c>
      <c r="AB1456" s="50" t="str">
        <f>IF(DaybyDay[[#This Row],[_Space]],DaybyDay[[#This Row],[RETPEN-Act]]/DaybyDay[[#This Row],[RETPEN-Bud]],"")</f>
        <v/>
      </c>
      <c r="AC1456" s="37" t="str">
        <f>IF(DaybyDay[[#This Row],[_Space]],DaybyDay[[#This Row],[Ret-Bud-RU]]/DaybyDay[[#This Row],[Serv-Bud-RU]],"")</f>
        <v/>
      </c>
      <c r="AD1456" s="37" t="str">
        <f>IF(DaybyDay[[#This Row],[_Space]],DaybyDay[[#This Row],[Ret-LY-RU]]/DaybyDay[[#This Row],[Serv-LY-RU]],"")</f>
        <v/>
      </c>
      <c r="AE1456" s="30">
        <f>WEEKDAY(DaybyDay[[#This Row],[LY-Date]])</f>
        <v>1</v>
      </c>
      <c r="AF1456" s="38">
        <f>$E$2+_xlfn.DAYS(DaybyDay[[#This Row],[Date]],minDate)</f>
        <v>43821</v>
      </c>
      <c r="AG1456" s="39" cm="1">
        <f t="array" ref="AG1456">IFERROR(INDEX(DaybyDay[],DaybyDay[[#This Row],[FORM_MATCH_HELPER]],8),"")</f>
        <v>38</v>
      </c>
      <c r="AH1456" s="39" cm="1">
        <f t="array" ref="AH1456">IFERROR(INDEX(DaybyDay[],DaybyDay[[#This Row],[FORM_MATCH_HELPER]],10),"")</f>
        <v>7488.7999999999993</v>
      </c>
      <c r="AI1456" s="39" cm="1">
        <f t="array" ref="AI1456">IFERROR(INDEX(DaybyDay[],DaybyDay[[#This Row],[FORM_MATCH_HELPER]],12),"")</f>
        <v>949.1</v>
      </c>
      <c r="AJ1456" s="32">
        <f>IFERROR(DaybyDay[[#This Row],[Serv-LY-RU]]+DaybyDay[[#This Row],[Ret-LY-RU]],"")</f>
        <v>2172749.4909999976</v>
      </c>
      <c r="AK145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2136161.1726947622</v>
      </c>
      <c r="AL1456" s="77"/>
      <c r="AM1456" s="40" t="str">
        <f>IF(DaybyDay[[#This Row],[Admin Hours]]&gt;0,DaybyDay[[#This Row],[Admin Hours]]*$AM$2+$AM$3,"")</f>
        <v/>
      </c>
      <c r="AN1456" s="40">
        <f>SUMIFS(DaybyDay[Est-Admin-Payroll],DaybyDay[Date],"&gt;="&amp;$C$5,DaybyDay[RowYear],"&gt;="&amp;$C$4,DaybyDay[Date],"&lt;="&amp;DaybyDay[[#This Row],[Date]])</f>
        <v>13941.779999999997</v>
      </c>
      <c r="AO1456" s="41" t="str">
        <f>IF(AND(DaybyDay[[#This Row],[_Space]],ISNUMBER(DaybyDay[[#This Row],[Admin Hours]])),DaybyDay[[#This Row],[Est-Admin-Payroll]]/(DaybyDay[[#This Row],[Service-Actuals]]+DaybyDay[[#This Row],[Retail-Actuals]]),"")</f>
        <v/>
      </c>
      <c r="AP1456" s="41">
        <f>DaybyDay[[#This Row],[Estimated-Payroll-Rollup]]/DaybyDay[[#This Row],[Simple-Forecast]]</f>
        <v>6.5265580978669671E-3</v>
      </c>
      <c r="AQ145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439766.32121879311</v>
      </c>
      <c r="AR1456" s="77"/>
      <c r="AS1456" s="40" t="str">
        <f>IF(DaybyDay[[#This Row],[Retail Hours]]&gt;0,DaybyDay[[#This Row],[Retail Hours]]*$AS$2,"")</f>
        <v/>
      </c>
      <c r="AT1456" s="40">
        <f>SUMIFS(DaybyDay[Est-Retail-Payroll],DaybyDay[Date],"&gt;="&amp;$C$5,DaybyDay[RowYear],"&gt;="&amp;$C$4,DaybyDay[Date],"&lt;="&amp;DaybyDay[[#This Row],[Date]])</f>
        <v>2627.1</v>
      </c>
      <c r="AU1456" s="82" t="str">
        <f>IF(AND(DaybyDay[[#This Row],[_Space]],ISNUMBER(DaybyDay[[#This Row],[Retail Hours]])),DaybyDay[[#This Row],[Est-Retail-Payroll]]/(DaybyDay[[#This Row],[Retail-Actuals]]),"")</f>
        <v/>
      </c>
      <c r="AV1456" s="82">
        <f>DaybyDay[[#This Row],[Est-Retail-PayrollRU]]/DaybyDay[[#This Row],[Simple-Forecast-Retail]]</f>
        <v>5.9738544614310329E-3</v>
      </c>
      <c r="AW1456" s="8"/>
      <c r="AX1456" s="15"/>
      <c r="AY1456" s="8"/>
    </row>
    <row r="1457" spans="3:51" hidden="1" x14ac:dyDescent="0.25">
      <c r="C1457" s="26" t="str">
        <f>Tools!$C$1</f>
        <v>Example</v>
      </c>
      <c r="D1457" s="27" t="s">
        <v>79</v>
      </c>
      <c r="E1457" s="28">
        <v>2020</v>
      </c>
      <c r="F1457" s="28">
        <f>MATCH(DaybyDay[[#This Row],[RowMonth]],Table3[SummaryMonth],0)</f>
        <v>12</v>
      </c>
      <c r="G1457" s="29">
        <f>MATCH(DaybyDay[[#This Row],[LY-Date]],DaybyDay[Date],0)</f>
        <v>1087</v>
      </c>
      <c r="H1457" s="30">
        <f>WEEKDAY(DaybyDay[[#This Row],[Date]])</f>
        <v>2</v>
      </c>
      <c r="I1457" s="31">
        <v>44186</v>
      </c>
      <c r="J1457" s="74"/>
      <c r="K1457" s="32">
        <f>SUMIFS(BudgetSeasonality[365 Seasonality],BudgetSeasonality[MonthAdjustment],DaybyDay[[#This Row],[Date]])*SUMIFS(Budgets[Service-Budget],Budgets[BudgetMonth],DaybyDay[[#This Row],[RowMonth]],Budgets[BudgetYear],DaybyDay[[#This Row],[RowYear]])</f>
        <v>4715.1317084917364</v>
      </c>
      <c r="L1457" s="75"/>
      <c r="M1457" s="32">
        <f>INDEX(BudgetSeasonality[365 Seasonality],MATCH(DaybyDay[[#This Row],[Date]],BudgetSeasonality[MonthAdjustment],0))*SUMIFS(Budgets[Retail-Budget],Budgets[BudgetMonth],DaybyDay[[#This Row],[RowMonth]],Budgets[BudgetYear],DaybyDay[[#This Row],[RowYear]])</f>
        <v>1376.6049228431864</v>
      </c>
      <c r="N1457" s="75"/>
      <c r="O1457" s="33">
        <f>SUMIFS(DaybyDay[Service-Budgets],DaybyDay[Date],"&gt;="&amp;$C$5,DaybyDay[RowYear],"&gt;="&amp;$C$4,DaybyDay[Date],"&lt;="&amp;DaybyDay[[#This Row],[Date]])</f>
        <v>1903667.9010082923</v>
      </c>
      <c r="P1457" s="33">
        <f>SUMIFS(DaybyDay[Retail-Budgets],DaybyDay[Date],"&gt;="&amp;$C$5,DaybyDay[RowYear],"&gt;="&amp;$C$4,DaybyDay[Date],"&lt;="&amp;DaybyDay[[#This Row],[Date]])</f>
        <v>512700.98328826</v>
      </c>
      <c r="Q1457" s="34">
        <f>SUMIFS(DaybyDay[Service-Actuals],DaybyDay[Date],"&gt;="&amp;$C$5,DaybyDay[RowYear],"&gt;="&amp;$C$4,DaybyDay[Date],"&lt;="&amp;DaybyDay[[#This Row],[Date]])</f>
        <v>385554.23</v>
      </c>
      <c r="R1457" s="34">
        <f>SUMIFS(DaybyDay[Retail-Actuals],DaybyDay[Date],"&gt;="&amp;$C$5,DaybyDay[RowYear],"&gt;="&amp;$C$4,DaybyDay[Date],"&lt;="&amp;DaybyDay[[#This Row],[Date]])</f>
        <v>88360.030000000028</v>
      </c>
      <c r="S1457" s="35">
        <f>SUMIFS(DaybyDay[Service-LY],DaybyDay[Date],"&gt;="&amp;$C$5,DaybyDay[RowYear],"&gt;="&amp;$C$4,DaybyDay[Date],"&lt;="&amp;DaybyDay[[#This Row],[Date]])</f>
        <v>1737800.160999998</v>
      </c>
      <c r="T1457" s="35">
        <f>SUMIFS(DaybyDay[Retail-LY],DaybyDay[Date],"&gt;="&amp;$C$5,DaybyDay[RowYear],"&gt;="&amp;$C$4,DaybyDay[Date],"&lt;="&amp;DaybyDay[[#This Row],[Date]])</f>
        <v>444875.84999999992</v>
      </c>
      <c r="U1457" s="32">
        <f>DaybyDay[[#This Row],[Serv-Bud-RU]]+DaybyDay[[#This Row],[Ret-Bud-RU]]</f>
        <v>2416368.8842965523</v>
      </c>
      <c r="V1457" s="32">
        <f>DaybyDay[[#This Row],[Serv-Act-RU]]+DaybyDay[[#This Row],[Ret-Act-RU]]</f>
        <v>473914.26</v>
      </c>
      <c r="W1457" s="36" t="str">
        <f>IF(DaybyDay[[#This Row],[_Space]],IFERROR(
((DaybyDay[[#This Row],[Actual-Rollup]]-DaybyDay[[#This Row],[Budget-Rollup]])/DaybyDay[[#This Row],[Budget-Rollup]]),0),"")</f>
        <v/>
      </c>
      <c r="X1457" t="b">
        <f>NOT(AND(ISBLANK(DaybyDay[[#This Row],[Appts]]),ISBLANK(DaybyDay[[#This Row],[Service-Actuals]]),ISBLANK(DaybyDay[[#This Row],[Retail-Actuals]])))</f>
        <v>0</v>
      </c>
      <c r="Y1457" s="36" t="str">
        <f>IF(DaybyDay[[#This Row],[_Space]],IFERROR(
((DaybyDay[[#This Row],[Actual-Rollup]]-DaybyDay[[#This Row],[LY-Rollup]])/DaybyDay[[#This Row],[LY-Rollup]]),0),"")</f>
        <v/>
      </c>
      <c r="Z1457"/>
      <c r="AA1457" s="37" t="str">
        <f>IF(DaybyDay[[#This Row],[_Space]],DaybyDay[[#This Row],[Ret-Act-RU]]/DaybyDay[[#This Row],[Serv-Act-RU]],"")</f>
        <v/>
      </c>
      <c r="AB1457" s="50" t="str">
        <f>IF(DaybyDay[[#This Row],[_Space]],DaybyDay[[#This Row],[RETPEN-Act]]/DaybyDay[[#This Row],[RETPEN-Bud]],"")</f>
        <v/>
      </c>
      <c r="AC1457" s="37" t="str">
        <f>IF(DaybyDay[[#This Row],[_Space]],DaybyDay[[#This Row],[Ret-Bud-RU]]/DaybyDay[[#This Row],[Serv-Bud-RU]],"")</f>
        <v/>
      </c>
      <c r="AD1457" s="37" t="str">
        <f>IF(DaybyDay[[#This Row],[_Space]],DaybyDay[[#This Row],[Ret-LY-RU]]/DaybyDay[[#This Row],[Serv-LY-RU]],"")</f>
        <v/>
      </c>
      <c r="AE1457" s="30">
        <f>WEEKDAY(DaybyDay[[#This Row],[LY-Date]])</f>
        <v>2</v>
      </c>
      <c r="AF1457" s="38">
        <f>$E$2+_xlfn.DAYS(DaybyDay[[#This Row],[Date]],minDate)</f>
        <v>43822</v>
      </c>
      <c r="AG1457" s="39" cm="1">
        <f t="array" ref="AG1457">IFERROR(INDEX(DaybyDay[],DaybyDay[[#This Row],[FORM_MATCH_HELPER]],8),"")</f>
        <v>29</v>
      </c>
      <c r="AH1457" s="39" cm="1">
        <f t="array" ref="AH1457">IFERROR(INDEX(DaybyDay[],DaybyDay[[#This Row],[FORM_MATCH_HELPER]],10),"")</f>
        <v>6580.3200000000006</v>
      </c>
      <c r="AI1457" s="39" cm="1">
        <f t="array" ref="AI1457">IFERROR(INDEX(DaybyDay[],DaybyDay[[#This Row],[FORM_MATCH_HELPER]],12),"")</f>
        <v>3346.2</v>
      </c>
      <c r="AJ1457" s="32">
        <f>IFERROR(DaybyDay[[#This Row],[Serv-LY-RU]]+DaybyDay[[#This Row],[Ret-LY-RU]],"")</f>
        <v>2182676.0109999981</v>
      </c>
      <c r="AK145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2143646.5255885338</v>
      </c>
      <c r="AL1457" s="77"/>
      <c r="AM1457" s="40" t="str">
        <f>IF(DaybyDay[[#This Row],[Admin Hours]]&gt;0,DaybyDay[[#This Row],[Admin Hours]]*$AM$2+$AM$3,"")</f>
        <v/>
      </c>
      <c r="AN1457" s="40">
        <f>SUMIFS(DaybyDay[Est-Admin-Payroll],DaybyDay[Date],"&gt;="&amp;$C$5,DaybyDay[RowYear],"&gt;="&amp;$C$4,DaybyDay[Date],"&lt;="&amp;DaybyDay[[#This Row],[Date]])</f>
        <v>13941.779999999997</v>
      </c>
      <c r="AO1457" s="41" t="str">
        <f>IF(AND(DaybyDay[[#This Row],[_Space]],ISNUMBER(DaybyDay[[#This Row],[Admin Hours]])),DaybyDay[[#This Row],[Est-Admin-Payroll]]/(DaybyDay[[#This Row],[Service-Actuals]]+DaybyDay[[#This Row],[Retail-Actuals]]),"")</f>
        <v/>
      </c>
      <c r="AP1457" s="41">
        <f>DaybyDay[[#This Row],[Estimated-Payroll-Rollup]]/DaybyDay[[#This Row],[Simple-Forecast]]</f>
        <v>6.5037681509419144E-3</v>
      </c>
      <c r="AQ145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442001.68797400827</v>
      </c>
      <c r="AR1457" s="77"/>
      <c r="AS1457" s="40" t="str">
        <f>IF(DaybyDay[[#This Row],[Retail Hours]]&gt;0,DaybyDay[[#This Row],[Retail Hours]]*$AS$2,"")</f>
        <v/>
      </c>
      <c r="AT1457" s="40">
        <f>SUMIFS(DaybyDay[Est-Retail-Payroll],DaybyDay[Date],"&gt;="&amp;$C$5,DaybyDay[RowYear],"&gt;="&amp;$C$4,DaybyDay[Date],"&lt;="&amp;DaybyDay[[#This Row],[Date]])</f>
        <v>2627.1</v>
      </c>
      <c r="AU1457" s="82" t="str">
        <f>IF(AND(DaybyDay[[#This Row],[_Space]],ISNUMBER(DaybyDay[[#This Row],[Retail Hours]])),DaybyDay[[#This Row],[Est-Retail-Payroll]]/(DaybyDay[[#This Row],[Retail-Actuals]]),"")</f>
        <v/>
      </c>
      <c r="AV1457" s="82">
        <f>DaybyDay[[#This Row],[Est-Retail-PayrollRU]]/DaybyDay[[#This Row],[Simple-Forecast-Retail]]</f>
        <v>5.9436424599231064E-3</v>
      </c>
      <c r="AW1457" s="8"/>
      <c r="AX1457" s="15"/>
      <c r="AY1457" s="8"/>
    </row>
    <row r="1458" spans="3:51" hidden="1" x14ac:dyDescent="0.25">
      <c r="C1458" s="26" t="str">
        <f>Tools!$C$1</f>
        <v>Example</v>
      </c>
      <c r="D1458" s="27" t="s">
        <v>79</v>
      </c>
      <c r="E1458" s="28">
        <v>2020</v>
      </c>
      <c r="F1458" s="28">
        <f>MATCH(DaybyDay[[#This Row],[RowMonth]],Table3[SummaryMonth],0)</f>
        <v>12</v>
      </c>
      <c r="G1458" s="29">
        <f>MATCH(DaybyDay[[#This Row],[LY-Date]],DaybyDay[Date],0)</f>
        <v>1088</v>
      </c>
      <c r="H1458" s="30">
        <f>WEEKDAY(DaybyDay[[#This Row],[Date]])</f>
        <v>3</v>
      </c>
      <c r="I1458" s="31">
        <v>44187</v>
      </c>
      <c r="J1458" s="74"/>
      <c r="K1458" s="32">
        <f>SUMIFS(BudgetSeasonality[365 Seasonality],BudgetSeasonality[MonthAdjustment],DaybyDay[[#This Row],[Date]])*SUMIFS(Budgets[Service-Budget],Budgets[BudgetMonth],DaybyDay[[#This Row],[RowMonth]],Budgets[BudgetYear],DaybyDay[[#This Row],[RowYear]])</f>
        <v>4846.0331502173431</v>
      </c>
      <c r="L1458" s="75"/>
      <c r="M1458" s="32">
        <f>INDEX(BudgetSeasonality[365 Seasonality],MATCH(DaybyDay[[#This Row],[Date]],BudgetSeasonality[MonthAdjustment],0))*SUMIFS(Budgets[Retail-Budget],Budgets[BudgetMonth],DaybyDay[[#This Row],[RowMonth]],Budgets[BudgetYear],DaybyDay[[#This Row],[RowYear]])</f>
        <v>1414.8222156416482</v>
      </c>
      <c r="N1458" s="75"/>
      <c r="O1458" s="33">
        <f>SUMIFS(DaybyDay[Service-Budgets],DaybyDay[Date],"&gt;="&amp;$C$5,DaybyDay[RowYear],"&gt;="&amp;$C$4,DaybyDay[Date],"&lt;="&amp;DaybyDay[[#This Row],[Date]])</f>
        <v>1908513.9341585096</v>
      </c>
      <c r="P1458" s="33">
        <f>SUMIFS(DaybyDay[Retail-Budgets],DaybyDay[Date],"&gt;="&amp;$C$5,DaybyDay[RowYear],"&gt;="&amp;$C$4,DaybyDay[Date],"&lt;="&amp;DaybyDay[[#This Row],[Date]])</f>
        <v>514115.80550390168</v>
      </c>
      <c r="Q1458" s="34">
        <f>SUMIFS(DaybyDay[Service-Actuals],DaybyDay[Date],"&gt;="&amp;$C$5,DaybyDay[RowYear],"&gt;="&amp;$C$4,DaybyDay[Date],"&lt;="&amp;DaybyDay[[#This Row],[Date]])</f>
        <v>385554.23</v>
      </c>
      <c r="R1458" s="34">
        <f>SUMIFS(DaybyDay[Retail-Actuals],DaybyDay[Date],"&gt;="&amp;$C$5,DaybyDay[RowYear],"&gt;="&amp;$C$4,DaybyDay[Date],"&lt;="&amp;DaybyDay[[#This Row],[Date]])</f>
        <v>88360.030000000028</v>
      </c>
      <c r="S1458" s="35">
        <f>SUMIFS(DaybyDay[Service-LY],DaybyDay[Date],"&gt;="&amp;$C$5,DaybyDay[RowYear],"&gt;="&amp;$C$4,DaybyDay[Date],"&lt;="&amp;DaybyDay[[#This Row],[Date]])</f>
        <v>1742136.7609999981</v>
      </c>
      <c r="T1458" s="35">
        <f>SUMIFS(DaybyDay[Retail-LY],DaybyDay[Date],"&gt;="&amp;$C$5,DaybyDay[RowYear],"&gt;="&amp;$C$4,DaybyDay[Date],"&lt;="&amp;DaybyDay[[#This Row],[Date]])</f>
        <v>447121.99999999994</v>
      </c>
      <c r="U1458" s="32">
        <f>DaybyDay[[#This Row],[Serv-Bud-RU]]+DaybyDay[[#This Row],[Ret-Bud-RU]]</f>
        <v>2422629.7396624112</v>
      </c>
      <c r="V1458" s="32">
        <f>DaybyDay[[#This Row],[Serv-Act-RU]]+DaybyDay[[#This Row],[Ret-Act-RU]]</f>
        <v>473914.26</v>
      </c>
      <c r="W1458" s="36" t="str">
        <f>IF(DaybyDay[[#This Row],[_Space]],IFERROR(
((DaybyDay[[#This Row],[Actual-Rollup]]-DaybyDay[[#This Row],[Budget-Rollup]])/DaybyDay[[#This Row],[Budget-Rollup]]),0),"")</f>
        <v/>
      </c>
      <c r="X1458" t="b">
        <f>NOT(AND(ISBLANK(DaybyDay[[#This Row],[Appts]]),ISBLANK(DaybyDay[[#This Row],[Service-Actuals]]),ISBLANK(DaybyDay[[#This Row],[Retail-Actuals]])))</f>
        <v>0</v>
      </c>
      <c r="Y1458" s="36" t="str">
        <f>IF(DaybyDay[[#This Row],[_Space]],IFERROR(
((DaybyDay[[#This Row],[Actual-Rollup]]-DaybyDay[[#This Row],[LY-Rollup]])/DaybyDay[[#This Row],[LY-Rollup]]),0),"")</f>
        <v/>
      </c>
      <c r="Z1458"/>
      <c r="AA1458" s="37" t="str">
        <f>IF(DaybyDay[[#This Row],[_Space]],DaybyDay[[#This Row],[Ret-Act-RU]]/DaybyDay[[#This Row],[Serv-Act-RU]],"")</f>
        <v/>
      </c>
      <c r="AB1458" s="50" t="str">
        <f>IF(DaybyDay[[#This Row],[_Space]],DaybyDay[[#This Row],[RETPEN-Act]]/DaybyDay[[#This Row],[RETPEN-Bud]],"")</f>
        <v/>
      </c>
      <c r="AC1458" s="37" t="str">
        <f>IF(DaybyDay[[#This Row],[_Space]],DaybyDay[[#This Row],[Ret-Bud-RU]]/DaybyDay[[#This Row],[Serv-Bud-RU]],"")</f>
        <v/>
      </c>
      <c r="AD1458" s="37" t="str">
        <f>IF(DaybyDay[[#This Row],[_Space]],DaybyDay[[#This Row],[Ret-LY-RU]]/DaybyDay[[#This Row],[Serv-LY-RU]],"")</f>
        <v/>
      </c>
      <c r="AE1458" s="30">
        <f>WEEKDAY(DaybyDay[[#This Row],[LY-Date]])</f>
        <v>3</v>
      </c>
      <c r="AF1458" s="38">
        <f>$E$2+_xlfn.DAYS(DaybyDay[[#This Row],[Date]],minDate)</f>
        <v>43823</v>
      </c>
      <c r="AG1458" s="39" cm="1">
        <f t="array" ref="AG1458">IFERROR(INDEX(DaybyDay[],DaybyDay[[#This Row],[FORM_MATCH_HELPER]],8),"")</f>
        <v>21</v>
      </c>
      <c r="AH1458" s="39" cm="1">
        <f t="array" ref="AH1458">IFERROR(INDEX(DaybyDay[],DaybyDay[[#This Row],[FORM_MATCH_HELPER]],10),"")</f>
        <v>4336.6000000000004</v>
      </c>
      <c r="AI1458" s="39" cm="1">
        <f t="array" ref="AI1458">IFERROR(INDEX(DaybyDay[],DaybyDay[[#This Row],[FORM_MATCH_HELPER]],12),"")</f>
        <v>2246.15</v>
      </c>
      <c r="AJ1458" s="32">
        <f>IFERROR(DaybyDay[[#This Row],[Serv-LY-RU]]+DaybyDay[[#This Row],[Ret-LY-RU]],"")</f>
        <v>2189258.7609999981</v>
      </c>
      <c r="AK145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2149555.1908233832</v>
      </c>
      <c r="AL1458" s="77"/>
      <c r="AM1458" s="40" t="str">
        <f>IF(DaybyDay[[#This Row],[Admin Hours]]&gt;0,DaybyDay[[#This Row],[Admin Hours]]*$AM$2+$AM$3,"")</f>
        <v/>
      </c>
      <c r="AN1458" s="40">
        <f>SUMIFS(DaybyDay[Est-Admin-Payroll],DaybyDay[Date],"&gt;="&amp;$C$5,DaybyDay[RowYear],"&gt;="&amp;$C$4,DaybyDay[Date],"&lt;="&amp;DaybyDay[[#This Row],[Date]])</f>
        <v>13941.779999999997</v>
      </c>
      <c r="AO1458" s="41" t="str">
        <f>IF(AND(DaybyDay[[#This Row],[_Space]],ISNUMBER(DaybyDay[[#This Row],[Admin Hours]])),DaybyDay[[#This Row],[Est-Admin-Payroll]]/(DaybyDay[[#This Row],[Service-Actuals]]+DaybyDay[[#This Row],[Retail-Actuals]]),"")</f>
        <v/>
      </c>
      <c r="AP1458" s="41">
        <f>DaybyDay[[#This Row],[Estimated-Payroll-Rollup]]/DaybyDay[[#This Row],[Simple-Forecast]]</f>
        <v>6.4858906900918528E-3</v>
      </c>
      <c r="AQ145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443710.93844481657</v>
      </c>
      <c r="AR1458" s="77"/>
      <c r="AS1458" s="40" t="str">
        <f>IF(DaybyDay[[#This Row],[Retail Hours]]&gt;0,DaybyDay[[#This Row],[Retail Hours]]*$AS$2,"")</f>
        <v/>
      </c>
      <c r="AT1458" s="40">
        <f>SUMIFS(DaybyDay[Est-Retail-Payroll],DaybyDay[Date],"&gt;="&amp;$C$5,DaybyDay[RowYear],"&gt;="&amp;$C$4,DaybyDay[Date],"&lt;="&amp;DaybyDay[[#This Row],[Date]])</f>
        <v>2627.1</v>
      </c>
      <c r="AU1458" s="82" t="str">
        <f>IF(AND(DaybyDay[[#This Row],[_Space]],ISNUMBER(DaybyDay[[#This Row],[Retail Hours]])),DaybyDay[[#This Row],[Est-Retail-Payroll]]/(DaybyDay[[#This Row],[Retail-Actuals]]),"")</f>
        <v/>
      </c>
      <c r="AV1458" s="82">
        <f>DaybyDay[[#This Row],[Est-Retail-PayrollRU]]/DaybyDay[[#This Row],[Simple-Forecast-Retail]]</f>
        <v>5.9207465319828416E-3</v>
      </c>
      <c r="AW1458" s="8"/>
      <c r="AX1458" s="15"/>
      <c r="AY1458" s="8"/>
    </row>
    <row r="1459" spans="3:51" hidden="1" x14ac:dyDescent="0.25">
      <c r="C1459" s="26" t="str">
        <f>Tools!$C$1</f>
        <v>Example</v>
      </c>
      <c r="D1459" s="27" t="s">
        <v>79</v>
      </c>
      <c r="E1459" s="28">
        <v>2020</v>
      </c>
      <c r="F1459" s="28">
        <f>MATCH(DaybyDay[[#This Row],[RowMonth]],Table3[SummaryMonth],0)</f>
        <v>12</v>
      </c>
      <c r="G1459" s="29">
        <f>MATCH(DaybyDay[[#This Row],[LY-Date]],DaybyDay[Date],0)</f>
        <v>1089</v>
      </c>
      <c r="H1459" s="30">
        <f>WEEKDAY(DaybyDay[[#This Row],[Date]])</f>
        <v>4</v>
      </c>
      <c r="I1459" s="31">
        <v>44188</v>
      </c>
      <c r="J1459" s="74"/>
      <c r="K1459" s="32">
        <f>SUMIFS(BudgetSeasonality[365 Seasonality],BudgetSeasonality[MonthAdjustment],DaybyDay[[#This Row],[Date]])*SUMIFS(Budgets[Service-Budget],Budgets[BudgetMonth],DaybyDay[[#This Row],[RowMonth]],Budgets[BudgetYear],DaybyDay[[#This Row],[RowYear]])</f>
        <v>5392.8315706330377</v>
      </c>
      <c r="L1459" s="75"/>
      <c r="M1459" s="32">
        <f>INDEX(BudgetSeasonality[365 Seasonality],MATCH(DaybyDay[[#This Row],[Date]],BudgetSeasonality[MonthAdjustment],0))*SUMIFS(Budgets[Retail-Budget],Budgets[BudgetMonth],DaybyDay[[#This Row],[RowMonth]],Budgets[BudgetYear],DaybyDay[[#This Row],[RowYear]])</f>
        <v>1574.4625913264883</v>
      </c>
      <c r="N1459" s="75"/>
      <c r="O1459" s="33">
        <f>SUMIFS(DaybyDay[Service-Budgets],DaybyDay[Date],"&gt;="&amp;$C$5,DaybyDay[RowYear],"&gt;="&amp;$C$4,DaybyDay[Date],"&lt;="&amp;DaybyDay[[#This Row],[Date]])</f>
        <v>1913906.7657291426</v>
      </c>
      <c r="P1459" s="33">
        <f>SUMIFS(DaybyDay[Retail-Budgets],DaybyDay[Date],"&gt;="&amp;$C$5,DaybyDay[RowYear],"&gt;="&amp;$C$4,DaybyDay[Date],"&lt;="&amp;DaybyDay[[#This Row],[Date]])</f>
        <v>515690.26809522818</v>
      </c>
      <c r="Q1459" s="34">
        <f>SUMIFS(DaybyDay[Service-Actuals],DaybyDay[Date],"&gt;="&amp;$C$5,DaybyDay[RowYear],"&gt;="&amp;$C$4,DaybyDay[Date],"&lt;="&amp;DaybyDay[[#This Row],[Date]])</f>
        <v>385554.23</v>
      </c>
      <c r="R1459" s="34">
        <f>SUMIFS(DaybyDay[Retail-Actuals],DaybyDay[Date],"&gt;="&amp;$C$5,DaybyDay[RowYear],"&gt;="&amp;$C$4,DaybyDay[Date],"&lt;="&amp;DaybyDay[[#This Row],[Date]])</f>
        <v>88360.030000000028</v>
      </c>
      <c r="S1459" s="35">
        <f>SUMIFS(DaybyDay[Service-LY],DaybyDay[Date],"&gt;="&amp;$C$5,DaybyDay[RowYear],"&gt;="&amp;$C$4,DaybyDay[Date],"&lt;="&amp;DaybyDay[[#This Row],[Date]])</f>
        <v>1745910.7609999981</v>
      </c>
      <c r="T1459" s="35">
        <f>SUMIFS(DaybyDay[Retail-LY],DaybyDay[Date],"&gt;="&amp;$C$5,DaybyDay[RowYear],"&gt;="&amp;$C$4,DaybyDay[Date],"&lt;="&amp;DaybyDay[[#This Row],[Date]])</f>
        <v>447482.99999999994</v>
      </c>
      <c r="U1459" s="32">
        <f>DaybyDay[[#This Row],[Serv-Bud-RU]]+DaybyDay[[#This Row],[Ret-Bud-RU]]</f>
        <v>2429597.0338243707</v>
      </c>
      <c r="V1459" s="32">
        <f>DaybyDay[[#This Row],[Serv-Act-RU]]+DaybyDay[[#This Row],[Ret-Act-RU]]</f>
        <v>473914.26</v>
      </c>
      <c r="W1459" s="36" t="str">
        <f>IF(DaybyDay[[#This Row],[_Space]],IFERROR(
((DaybyDay[[#This Row],[Actual-Rollup]]-DaybyDay[[#This Row],[Budget-Rollup]])/DaybyDay[[#This Row],[Budget-Rollup]]),0),"")</f>
        <v/>
      </c>
      <c r="X1459" t="b">
        <f>NOT(AND(ISBLANK(DaybyDay[[#This Row],[Appts]]),ISBLANK(DaybyDay[[#This Row],[Service-Actuals]]),ISBLANK(DaybyDay[[#This Row],[Retail-Actuals]])))</f>
        <v>0</v>
      </c>
      <c r="Y1459" s="36" t="str">
        <f>IF(DaybyDay[[#This Row],[_Space]],IFERROR(
((DaybyDay[[#This Row],[Actual-Rollup]]-DaybyDay[[#This Row],[LY-Rollup]])/DaybyDay[[#This Row],[LY-Rollup]]),0),"")</f>
        <v/>
      </c>
      <c r="Z1459"/>
      <c r="AA1459" s="37" t="str">
        <f>IF(DaybyDay[[#This Row],[_Space]],DaybyDay[[#This Row],[Ret-Act-RU]]/DaybyDay[[#This Row],[Serv-Act-RU]],"")</f>
        <v/>
      </c>
      <c r="AB1459" s="50" t="str">
        <f>IF(DaybyDay[[#This Row],[_Space]],DaybyDay[[#This Row],[RETPEN-Act]]/DaybyDay[[#This Row],[RETPEN-Bud]],"")</f>
        <v/>
      </c>
      <c r="AC1459" s="37" t="str">
        <f>IF(DaybyDay[[#This Row],[_Space]],DaybyDay[[#This Row],[Ret-Bud-RU]]/DaybyDay[[#This Row],[Serv-Bud-RU]],"")</f>
        <v/>
      </c>
      <c r="AD1459" s="37" t="str">
        <f>IF(DaybyDay[[#This Row],[_Space]],DaybyDay[[#This Row],[Ret-LY-RU]]/DaybyDay[[#This Row],[Serv-LY-RU]],"")</f>
        <v/>
      </c>
      <c r="AE1459" s="30">
        <f>WEEKDAY(DaybyDay[[#This Row],[LY-Date]])</f>
        <v>4</v>
      </c>
      <c r="AF1459" s="38">
        <f>$E$2+_xlfn.DAYS(DaybyDay[[#This Row],[Date]],minDate)</f>
        <v>43824</v>
      </c>
      <c r="AG1459" s="39" cm="1">
        <f t="array" ref="AG1459">IFERROR(INDEX(DaybyDay[],DaybyDay[[#This Row],[FORM_MATCH_HELPER]],8),"")</f>
        <v>15</v>
      </c>
      <c r="AH1459" s="39" cm="1">
        <f t="array" ref="AH1459">IFERROR(INDEX(DaybyDay[],DaybyDay[[#This Row],[FORM_MATCH_HELPER]],10),"")</f>
        <v>3774</v>
      </c>
      <c r="AI1459" s="39" cm="1">
        <f t="array" ref="AI1459">IFERROR(INDEX(DaybyDay[],DaybyDay[[#This Row],[FORM_MATCH_HELPER]],12),"")</f>
        <v>361</v>
      </c>
      <c r="AJ1459" s="32">
        <f>IFERROR(DaybyDay[[#This Row],[Serv-LY-RU]]+DaybyDay[[#This Row],[Ret-LY-RU]],"")</f>
        <v>2193393.7609999981</v>
      </c>
      <c r="AK145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2154557.4966608305</v>
      </c>
      <c r="AL1459" s="77"/>
      <c r="AM1459" s="40" t="str">
        <f>IF(DaybyDay[[#This Row],[Admin Hours]]&gt;0,DaybyDay[[#This Row],[Admin Hours]]*$AM$2+$AM$3,"")</f>
        <v/>
      </c>
      <c r="AN1459" s="40">
        <f>SUMIFS(DaybyDay[Est-Admin-Payroll],DaybyDay[Date],"&gt;="&amp;$C$5,DaybyDay[RowYear],"&gt;="&amp;$C$4,DaybyDay[Date],"&lt;="&amp;DaybyDay[[#This Row],[Date]])</f>
        <v>13941.779999999997</v>
      </c>
      <c r="AO1459" s="41" t="str">
        <f>IF(AND(DaybyDay[[#This Row],[_Space]],ISNUMBER(DaybyDay[[#This Row],[Admin Hours]])),DaybyDay[[#This Row],[Est-Admin-Payroll]]/(DaybyDay[[#This Row],[Service-Actuals]]+DaybyDay[[#This Row],[Retail-Actuals]]),"")</f>
        <v/>
      </c>
      <c r="AP1459" s="41">
        <f>DaybyDay[[#This Row],[Estimated-Payroll-Rollup]]/DaybyDay[[#This Row],[Simple-Forecast]]</f>
        <v>6.4708321878655835E-3</v>
      </c>
      <c r="AQ145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444558.63229238731</v>
      </c>
      <c r="AR1459" s="77"/>
      <c r="AS1459" s="40" t="str">
        <f>IF(DaybyDay[[#This Row],[Retail Hours]]&gt;0,DaybyDay[[#This Row],[Retail Hours]]*$AS$2,"")</f>
        <v/>
      </c>
      <c r="AT1459" s="40">
        <f>SUMIFS(DaybyDay[Est-Retail-Payroll],DaybyDay[Date],"&gt;="&amp;$C$5,DaybyDay[RowYear],"&gt;="&amp;$C$4,DaybyDay[Date],"&lt;="&amp;DaybyDay[[#This Row],[Date]])</f>
        <v>2627.1</v>
      </c>
      <c r="AU1459" s="82" t="str">
        <f>IF(AND(DaybyDay[[#This Row],[_Space]],ISNUMBER(DaybyDay[[#This Row],[Retail Hours]])),DaybyDay[[#This Row],[Est-Retail-Payroll]]/(DaybyDay[[#This Row],[Retail-Actuals]]),"")</f>
        <v/>
      </c>
      <c r="AV1459" s="82">
        <f>DaybyDay[[#This Row],[Est-Retail-PayrollRU]]/DaybyDay[[#This Row],[Simple-Forecast-Retail]]</f>
        <v>5.9094567266712071E-3</v>
      </c>
      <c r="AW1459" s="8"/>
      <c r="AX1459" s="15"/>
      <c r="AY1459" s="8"/>
    </row>
    <row r="1460" spans="3:51" hidden="1" x14ac:dyDescent="0.25">
      <c r="C1460" s="26" t="str">
        <f>Tools!$C$1</f>
        <v>Example</v>
      </c>
      <c r="D1460" s="27" t="s">
        <v>79</v>
      </c>
      <c r="E1460" s="28">
        <v>2020</v>
      </c>
      <c r="F1460" s="28">
        <f>MATCH(DaybyDay[[#This Row],[RowMonth]],Table3[SummaryMonth],0)</f>
        <v>12</v>
      </c>
      <c r="G1460" s="29">
        <f>MATCH(DaybyDay[[#This Row],[LY-Date]],DaybyDay[Date],0)</f>
        <v>1090</v>
      </c>
      <c r="H1460" s="30">
        <f>WEEKDAY(DaybyDay[[#This Row],[Date]])</f>
        <v>5</v>
      </c>
      <c r="I1460" s="31">
        <v>44189</v>
      </c>
      <c r="J1460" s="74"/>
      <c r="K1460" s="32">
        <f>SUMIFS(BudgetSeasonality[365 Seasonality],BudgetSeasonality[MonthAdjustment],DaybyDay[[#This Row],[Date]])*SUMIFS(Budgets[Service-Budget],Budgets[BudgetMonth],DaybyDay[[#This Row],[RowMonth]],Budgets[BudgetYear],DaybyDay[[#This Row],[RowYear]])</f>
        <v>5501.3552999234935</v>
      </c>
      <c r="L1460" s="75"/>
      <c r="M1460" s="32">
        <f>INDEX(BudgetSeasonality[365 Seasonality],MATCH(DaybyDay[[#This Row],[Date]],BudgetSeasonality[MonthAdjustment],0))*SUMIFS(Budgets[Retail-Budget],Budgets[BudgetMonth],DaybyDay[[#This Row],[RowMonth]],Budgets[BudgetYear],DaybyDay[[#This Row],[RowYear]])</f>
        <v>1606.1466055222086</v>
      </c>
      <c r="N1460" s="75"/>
      <c r="O1460" s="33">
        <f>SUMIFS(DaybyDay[Service-Budgets],DaybyDay[Date],"&gt;="&amp;$C$5,DaybyDay[RowYear],"&gt;="&amp;$C$4,DaybyDay[Date],"&lt;="&amp;DaybyDay[[#This Row],[Date]])</f>
        <v>1919408.1210290662</v>
      </c>
      <c r="P1460" s="33">
        <f>SUMIFS(DaybyDay[Retail-Budgets],DaybyDay[Date],"&gt;="&amp;$C$5,DaybyDay[RowYear],"&gt;="&amp;$C$4,DaybyDay[Date],"&lt;="&amp;DaybyDay[[#This Row],[Date]])</f>
        <v>517296.41470075038</v>
      </c>
      <c r="Q1460" s="34">
        <f>SUMIFS(DaybyDay[Service-Actuals],DaybyDay[Date],"&gt;="&amp;$C$5,DaybyDay[RowYear],"&gt;="&amp;$C$4,DaybyDay[Date],"&lt;="&amp;DaybyDay[[#This Row],[Date]])</f>
        <v>385554.23</v>
      </c>
      <c r="R1460" s="34">
        <f>SUMIFS(DaybyDay[Retail-Actuals],DaybyDay[Date],"&gt;="&amp;$C$5,DaybyDay[RowYear],"&gt;="&amp;$C$4,DaybyDay[Date],"&lt;="&amp;DaybyDay[[#This Row],[Date]])</f>
        <v>88360.030000000028</v>
      </c>
      <c r="S1460" s="35">
        <f>SUMIFS(DaybyDay[Service-LY],DaybyDay[Date],"&gt;="&amp;$C$5,DaybyDay[RowYear],"&gt;="&amp;$C$4,DaybyDay[Date],"&lt;="&amp;DaybyDay[[#This Row],[Date]])</f>
        <v>1751153.5609999981</v>
      </c>
      <c r="T1460" s="35">
        <f>SUMIFS(DaybyDay[Retail-LY],DaybyDay[Date],"&gt;="&amp;$C$5,DaybyDay[RowYear],"&gt;="&amp;$C$4,DaybyDay[Date],"&lt;="&amp;DaybyDay[[#This Row],[Date]])</f>
        <v>447639.29999999993</v>
      </c>
      <c r="U1460" s="32">
        <f>DaybyDay[[#This Row],[Serv-Bud-RU]]+DaybyDay[[#This Row],[Ret-Bud-RU]]</f>
        <v>2436704.5357298166</v>
      </c>
      <c r="V1460" s="32">
        <f>DaybyDay[[#This Row],[Serv-Act-RU]]+DaybyDay[[#This Row],[Ret-Act-RU]]</f>
        <v>473914.26</v>
      </c>
      <c r="W1460" s="36" t="str">
        <f>IF(DaybyDay[[#This Row],[_Space]],IFERROR(
((DaybyDay[[#This Row],[Actual-Rollup]]-DaybyDay[[#This Row],[Budget-Rollup]])/DaybyDay[[#This Row],[Budget-Rollup]]),0),"")</f>
        <v/>
      </c>
      <c r="X1460" t="b">
        <f>NOT(AND(ISBLANK(DaybyDay[[#This Row],[Appts]]),ISBLANK(DaybyDay[[#This Row],[Service-Actuals]]),ISBLANK(DaybyDay[[#This Row],[Retail-Actuals]])))</f>
        <v>0</v>
      </c>
      <c r="Y1460" s="36" t="str">
        <f>IF(DaybyDay[[#This Row],[_Space]],IFERROR(
((DaybyDay[[#This Row],[Actual-Rollup]]-DaybyDay[[#This Row],[LY-Rollup]])/DaybyDay[[#This Row],[LY-Rollup]]),0),"")</f>
        <v/>
      </c>
      <c r="Z1460"/>
      <c r="AA1460" s="37" t="str">
        <f>IF(DaybyDay[[#This Row],[_Space]],DaybyDay[[#This Row],[Ret-Act-RU]]/DaybyDay[[#This Row],[Serv-Act-RU]],"")</f>
        <v/>
      </c>
      <c r="AB1460" s="50" t="str">
        <f>IF(DaybyDay[[#This Row],[_Space]],DaybyDay[[#This Row],[RETPEN-Act]]/DaybyDay[[#This Row],[RETPEN-Bud]],"")</f>
        <v/>
      </c>
      <c r="AC1460" s="37" t="str">
        <f>IF(DaybyDay[[#This Row],[_Space]],DaybyDay[[#This Row],[Ret-Bud-RU]]/DaybyDay[[#This Row],[Serv-Bud-RU]],"")</f>
        <v/>
      </c>
      <c r="AD1460" s="37" t="str">
        <f>IF(DaybyDay[[#This Row],[_Space]],DaybyDay[[#This Row],[Ret-LY-RU]]/DaybyDay[[#This Row],[Serv-LY-RU]],"")</f>
        <v/>
      </c>
      <c r="AE1460" s="30">
        <f>WEEKDAY(DaybyDay[[#This Row],[LY-Date]])</f>
        <v>5</v>
      </c>
      <c r="AF1460" s="38">
        <f>$E$2+_xlfn.DAYS(DaybyDay[[#This Row],[Date]],minDate)</f>
        <v>43825</v>
      </c>
      <c r="AG1460" s="39" cm="1">
        <f t="array" ref="AG1460">IFERROR(INDEX(DaybyDay[],DaybyDay[[#This Row],[FORM_MATCH_HELPER]],8),"")</f>
        <v>24</v>
      </c>
      <c r="AH1460" s="39" cm="1">
        <f t="array" ref="AH1460">IFERROR(INDEX(DaybyDay[],DaybyDay[[#This Row],[FORM_MATCH_HELPER]],10),"")</f>
        <v>5242.8</v>
      </c>
      <c r="AI1460" s="39" cm="1">
        <f t="array" ref="AI1460">IFERROR(INDEX(DaybyDay[],DaybyDay[[#This Row],[FORM_MATCH_HELPER]],12),"")</f>
        <v>156.30000000000001</v>
      </c>
      <c r="AJ1460" s="32">
        <f>IFERROR(DaybyDay[[#This Row],[Serv-LY-RU]]+DaybyDay[[#This Row],[Ret-LY-RU]],"")</f>
        <v>2198792.8609999982</v>
      </c>
      <c r="AK1460"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2160242.6964713018</v>
      </c>
      <c r="AL1460" s="77"/>
      <c r="AM1460" s="40" t="str">
        <f>IF(DaybyDay[[#This Row],[Admin Hours]]&gt;0,DaybyDay[[#This Row],[Admin Hours]]*$AM$2+$AM$3,"")</f>
        <v/>
      </c>
      <c r="AN1460" s="40">
        <f>SUMIFS(DaybyDay[Est-Admin-Payroll],DaybyDay[Date],"&gt;="&amp;$C$5,DaybyDay[RowYear],"&gt;="&amp;$C$4,DaybyDay[Date],"&lt;="&amp;DaybyDay[[#This Row],[Date]])</f>
        <v>13941.779999999997</v>
      </c>
      <c r="AO1460" s="41" t="str">
        <f>IF(AND(DaybyDay[[#This Row],[_Space]],ISNUMBER(DaybyDay[[#This Row],[Admin Hours]])),DaybyDay[[#This Row],[Est-Admin-Payroll]]/(DaybyDay[[#This Row],[Service-Actuals]]+DaybyDay[[#This Row],[Retail-Actuals]]),"")</f>
        <v/>
      </c>
      <c r="AP1460" s="41">
        <f>DaybyDay[[#This Row],[Estimated-Payroll-Rollup]]/DaybyDay[[#This Row],[Simple-Forecast]]</f>
        <v>6.4538026318864631E-3</v>
      </c>
      <c r="AQ1460"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445318.87714088155</v>
      </c>
      <c r="AR1460" s="77"/>
      <c r="AS1460" s="40" t="str">
        <f>IF(DaybyDay[[#This Row],[Retail Hours]]&gt;0,DaybyDay[[#This Row],[Retail Hours]]*$AS$2,"")</f>
        <v/>
      </c>
      <c r="AT1460" s="40">
        <f>SUMIFS(DaybyDay[Est-Retail-Payroll],DaybyDay[Date],"&gt;="&amp;$C$5,DaybyDay[RowYear],"&gt;="&amp;$C$4,DaybyDay[Date],"&lt;="&amp;DaybyDay[[#This Row],[Date]])</f>
        <v>2627.1</v>
      </c>
      <c r="AU1460" s="82" t="str">
        <f>IF(AND(DaybyDay[[#This Row],[_Space]],ISNUMBER(DaybyDay[[#This Row],[Retail Hours]])),DaybyDay[[#This Row],[Est-Retail-Payroll]]/(DaybyDay[[#This Row],[Retail-Actuals]]),"")</f>
        <v/>
      </c>
      <c r="AV1460" s="82">
        <f>DaybyDay[[#This Row],[Est-Retail-PayrollRU]]/DaybyDay[[#This Row],[Simple-Forecast-Retail]]</f>
        <v>5.8993681491047315E-3</v>
      </c>
      <c r="AW1460" s="8"/>
      <c r="AX1460" s="15"/>
      <c r="AY1460" s="8"/>
    </row>
    <row r="1461" spans="3:51" hidden="1" x14ac:dyDescent="0.25">
      <c r="C1461" s="26" t="str">
        <f>Tools!$C$1</f>
        <v>Example</v>
      </c>
      <c r="D1461" s="27" t="s">
        <v>79</v>
      </c>
      <c r="E1461" s="28">
        <v>2020</v>
      </c>
      <c r="F1461" s="28">
        <f>MATCH(DaybyDay[[#This Row],[RowMonth]],Table3[SummaryMonth],0)</f>
        <v>12</v>
      </c>
      <c r="G1461" s="29">
        <f>MATCH(DaybyDay[[#This Row],[LY-Date]],DaybyDay[Date],0)</f>
        <v>1091</v>
      </c>
      <c r="H1461" s="30">
        <f>WEEKDAY(DaybyDay[[#This Row],[Date]])</f>
        <v>6</v>
      </c>
      <c r="I1461" s="31">
        <v>44190</v>
      </c>
      <c r="J1461" s="74"/>
      <c r="K1461" s="32">
        <f>SUMIFS(BudgetSeasonality[365 Seasonality],BudgetSeasonality[MonthAdjustment],DaybyDay[[#This Row],[Date]])*SUMIFS(Budgets[Service-Budget],Budgets[BudgetMonth],DaybyDay[[#This Row],[RowMonth]],Budgets[BudgetYear],DaybyDay[[#This Row],[RowYear]])</f>
        <v>5641.1910034750572</v>
      </c>
      <c r="L1461" s="75"/>
      <c r="M1461" s="32">
        <f>INDEX(BudgetSeasonality[365 Seasonality],MATCH(DaybyDay[[#This Row],[Date]],BudgetSeasonality[MonthAdjustment],0))*SUMIFS(Budgets[Retail-Budget],Budgets[BudgetMonth],DaybyDay[[#This Row],[RowMonth]],Budgets[BudgetYear],DaybyDay[[#This Row],[RowYear]])</f>
        <v>1646.9722981643979</v>
      </c>
      <c r="N1461" s="75"/>
      <c r="O1461" s="33">
        <f>SUMIFS(DaybyDay[Service-Budgets],DaybyDay[Date],"&gt;="&amp;$C$5,DaybyDay[RowYear],"&gt;="&amp;$C$4,DaybyDay[Date],"&lt;="&amp;DaybyDay[[#This Row],[Date]])</f>
        <v>1925049.3120325413</v>
      </c>
      <c r="P1461" s="33">
        <f>SUMIFS(DaybyDay[Retail-Budgets],DaybyDay[Date],"&gt;="&amp;$C$5,DaybyDay[RowYear],"&gt;="&amp;$C$4,DaybyDay[Date],"&lt;="&amp;DaybyDay[[#This Row],[Date]])</f>
        <v>518943.38699891476</v>
      </c>
      <c r="Q1461" s="34">
        <f>SUMIFS(DaybyDay[Service-Actuals],DaybyDay[Date],"&gt;="&amp;$C$5,DaybyDay[RowYear],"&gt;="&amp;$C$4,DaybyDay[Date],"&lt;="&amp;DaybyDay[[#This Row],[Date]])</f>
        <v>385554.23</v>
      </c>
      <c r="R1461" s="34">
        <f>SUMIFS(DaybyDay[Retail-Actuals],DaybyDay[Date],"&gt;="&amp;$C$5,DaybyDay[RowYear],"&gt;="&amp;$C$4,DaybyDay[Date],"&lt;="&amp;DaybyDay[[#This Row],[Date]])</f>
        <v>88360.030000000028</v>
      </c>
      <c r="S1461" s="35">
        <f>SUMIFS(DaybyDay[Service-LY],DaybyDay[Date],"&gt;="&amp;$C$5,DaybyDay[RowYear],"&gt;="&amp;$C$4,DaybyDay[Date],"&lt;="&amp;DaybyDay[[#This Row],[Date]])</f>
        <v>1757799.6609999982</v>
      </c>
      <c r="T1461" s="35">
        <f>SUMIFS(DaybyDay[Retail-LY],DaybyDay[Date],"&gt;="&amp;$C$5,DaybyDay[RowYear],"&gt;="&amp;$C$4,DaybyDay[Date],"&lt;="&amp;DaybyDay[[#This Row],[Date]])</f>
        <v>450486.09999999992</v>
      </c>
      <c r="U1461" s="32">
        <f>DaybyDay[[#This Row],[Serv-Bud-RU]]+DaybyDay[[#This Row],[Ret-Bud-RU]]</f>
        <v>2443992.6990314559</v>
      </c>
      <c r="V1461" s="32">
        <f>DaybyDay[[#This Row],[Serv-Act-RU]]+DaybyDay[[#This Row],[Ret-Act-RU]]</f>
        <v>473914.26</v>
      </c>
      <c r="W1461" s="36" t="str">
        <f>IF(DaybyDay[[#This Row],[_Space]],IFERROR(
((DaybyDay[[#This Row],[Actual-Rollup]]-DaybyDay[[#This Row],[Budget-Rollup]])/DaybyDay[[#This Row],[Budget-Rollup]]),0),"")</f>
        <v/>
      </c>
      <c r="X1461" t="b">
        <f>NOT(AND(ISBLANK(DaybyDay[[#This Row],[Appts]]),ISBLANK(DaybyDay[[#This Row],[Service-Actuals]]),ISBLANK(DaybyDay[[#This Row],[Retail-Actuals]])))</f>
        <v>0</v>
      </c>
      <c r="Y1461" s="36" t="str">
        <f>IF(DaybyDay[[#This Row],[_Space]],IFERROR(
((DaybyDay[[#This Row],[Actual-Rollup]]-DaybyDay[[#This Row],[LY-Rollup]])/DaybyDay[[#This Row],[LY-Rollup]]),0),"")</f>
        <v/>
      </c>
      <c r="Z1461"/>
      <c r="AA1461" s="37" t="str">
        <f>IF(DaybyDay[[#This Row],[_Space]],DaybyDay[[#This Row],[Ret-Act-RU]]/DaybyDay[[#This Row],[Serv-Act-RU]],"")</f>
        <v/>
      </c>
      <c r="AB1461" s="50" t="str">
        <f>IF(DaybyDay[[#This Row],[_Space]],DaybyDay[[#This Row],[RETPEN-Act]]/DaybyDay[[#This Row],[RETPEN-Bud]],"")</f>
        <v/>
      </c>
      <c r="AC1461" s="37" t="str">
        <f>IF(DaybyDay[[#This Row],[_Space]],DaybyDay[[#This Row],[Ret-Bud-RU]]/DaybyDay[[#This Row],[Serv-Bud-RU]],"")</f>
        <v/>
      </c>
      <c r="AD1461" s="37" t="str">
        <f>IF(DaybyDay[[#This Row],[_Space]],DaybyDay[[#This Row],[Ret-LY-RU]]/DaybyDay[[#This Row],[Serv-LY-RU]],"")</f>
        <v/>
      </c>
      <c r="AE1461" s="30">
        <f>WEEKDAY(DaybyDay[[#This Row],[LY-Date]])</f>
        <v>6</v>
      </c>
      <c r="AF1461" s="38">
        <f>$E$2+_xlfn.DAYS(DaybyDay[[#This Row],[Date]],minDate)</f>
        <v>43826</v>
      </c>
      <c r="AG1461" s="39" cm="1">
        <f t="array" ref="AG1461">IFERROR(INDEX(DaybyDay[],DaybyDay[[#This Row],[FORM_MATCH_HELPER]],8),"")</f>
        <v>34</v>
      </c>
      <c r="AH1461" s="39" cm="1">
        <f t="array" ref="AH1461">IFERROR(INDEX(DaybyDay[],DaybyDay[[#This Row],[FORM_MATCH_HELPER]],10),"")</f>
        <v>6646.0999999999995</v>
      </c>
      <c r="AI1461" s="39" cm="1">
        <f t="array" ref="AI1461">IFERROR(INDEX(DaybyDay[],DaybyDay[[#This Row],[FORM_MATCH_HELPER]],12),"")</f>
        <v>2846.8</v>
      </c>
      <c r="AJ1461" s="32">
        <f>IFERROR(DaybyDay[[#This Row],[Serv-LY-RU]]+DaybyDay[[#This Row],[Ret-LY-RU]],"")</f>
        <v>2208285.7609999981</v>
      </c>
      <c r="AK1461"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2168023.1618098472</v>
      </c>
      <c r="AL1461" s="77"/>
      <c r="AM1461" s="40" t="str">
        <f>IF(DaybyDay[[#This Row],[Admin Hours]]&gt;0,DaybyDay[[#This Row],[Admin Hours]]*$AM$2+$AM$3,"")</f>
        <v/>
      </c>
      <c r="AN1461" s="40">
        <f>SUMIFS(DaybyDay[Est-Admin-Payroll],DaybyDay[Date],"&gt;="&amp;$C$5,DaybyDay[RowYear],"&gt;="&amp;$C$4,DaybyDay[Date],"&lt;="&amp;DaybyDay[[#This Row],[Date]])</f>
        <v>13941.779999999997</v>
      </c>
      <c r="AO1461" s="41" t="str">
        <f>IF(AND(DaybyDay[[#This Row],[_Space]],ISNUMBER(DaybyDay[[#This Row],[Admin Hours]])),DaybyDay[[#This Row],[Est-Admin-Payroll]]/(DaybyDay[[#This Row],[Service-Actuals]]+DaybyDay[[#This Row],[Retail-Actuals]]),"")</f>
        <v/>
      </c>
      <c r="AP1461" s="41">
        <f>DaybyDay[[#This Row],[Estimated-Payroll-Rollup]]/DaybyDay[[#This Row],[Simple-Forecast]]</f>
        <v>6.4306416303973055E-3</v>
      </c>
      <c r="AQ1461"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447423.02017720736</v>
      </c>
      <c r="AR1461" s="77"/>
      <c r="AS1461" s="40" t="str">
        <f>IF(DaybyDay[[#This Row],[Retail Hours]]&gt;0,DaybyDay[[#This Row],[Retail Hours]]*$AS$2,"")</f>
        <v/>
      </c>
      <c r="AT1461" s="40">
        <f>SUMIFS(DaybyDay[Est-Retail-Payroll],DaybyDay[Date],"&gt;="&amp;$C$5,DaybyDay[RowYear],"&gt;="&amp;$C$4,DaybyDay[Date],"&lt;="&amp;DaybyDay[[#This Row],[Date]])</f>
        <v>2627.1</v>
      </c>
      <c r="AU1461" s="82" t="str">
        <f>IF(AND(DaybyDay[[#This Row],[_Space]],ISNUMBER(DaybyDay[[#This Row],[Retail Hours]])),DaybyDay[[#This Row],[Est-Retail-Payroll]]/(DaybyDay[[#This Row],[Retail-Actuals]]),"")</f>
        <v/>
      </c>
      <c r="AV1461" s="82">
        <f>DaybyDay[[#This Row],[Est-Retail-PayrollRU]]/DaybyDay[[#This Row],[Simple-Forecast-Retail]]</f>
        <v>5.8716245734506574E-3</v>
      </c>
      <c r="AW1461" s="8"/>
      <c r="AX1461" s="15"/>
      <c r="AY1461" s="8"/>
    </row>
    <row r="1462" spans="3:51" hidden="1" x14ac:dyDescent="0.25">
      <c r="C1462" s="26" t="str">
        <f>Tools!$C$1</f>
        <v>Example</v>
      </c>
      <c r="D1462" s="27" t="s">
        <v>79</v>
      </c>
      <c r="E1462" s="28">
        <v>2020</v>
      </c>
      <c r="F1462" s="28">
        <f>MATCH(DaybyDay[[#This Row],[RowMonth]],Table3[SummaryMonth],0)</f>
        <v>12</v>
      </c>
      <c r="G1462" s="29">
        <f>MATCH(DaybyDay[[#This Row],[LY-Date]],DaybyDay[Date],0)</f>
        <v>1092</v>
      </c>
      <c r="H1462" s="30">
        <f>WEEKDAY(DaybyDay[[#This Row],[Date]])</f>
        <v>7</v>
      </c>
      <c r="I1462" s="31">
        <v>44191</v>
      </c>
      <c r="J1462" s="74"/>
      <c r="K1462" s="32">
        <f>SUMIFS(BudgetSeasonality[365 Seasonality],BudgetSeasonality[MonthAdjustment],DaybyDay[[#This Row],[Date]])*SUMIFS(Budgets[Service-Budget],Budgets[BudgetMonth],DaybyDay[[#This Row],[RowMonth]],Budgets[BudgetYear],DaybyDay[[#This Row],[RowYear]])</f>
        <v>6969.9565919615907</v>
      </c>
      <c r="L1462" s="75"/>
      <c r="M1462" s="32">
        <f>INDEX(BudgetSeasonality[365 Seasonality],MATCH(DaybyDay[[#This Row],[Date]],BudgetSeasonality[MonthAdjustment],0))*SUMIFS(Budgets[Retail-Budget],Budgets[BudgetMonth],DaybyDay[[#This Row],[RowMonth]],Budgets[BudgetYear],DaybyDay[[#This Row],[RowYear]])</f>
        <v>2034.9116736692022</v>
      </c>
      <c r="N1462" s="75"/>
      <c r="O1462" s="33">
        <f>SUMIFS(DaybyDay[Service-Budgets],DaybyDay[Date],"&gt;="&amp;$C$5,DaybyDay[RowYear],"&gt;="&amp;$C$4,DaybyDay[Date],"&lt;="&amp;DaybyDay[[#This Row],[Date]])</f>
        <v>1932019.2686245029</v>
      </c>
      <c r="P1462" s="33">
        <f>SUMIFS(DaybyDay[Retail-Budgets],DaybyDay[Date],"&gt;="&amp;$C$5,DaybyDay[RowYear],"&gt;="&amp;$C$4,DaybyDay[Date],"&lt;="&amp;DaybyDay[[#This Row],[Date]])</f>
        <v>520978.29867258394</v>
      </c>
      <c r="Q1462" s="34">
        <f>SUMIFS(DaybyDay[Service-Actuals],DaybyDay[Date],"&gt;="&amp;$C$5,DaybyDay[RowYear],"&gt;="&amp;$C$4,DaybyDay[Date],"&lt;="&amp;DaybyDay[[#This Row],[Date]])</f>
        <v>385554.23</v>
      </c>
      <c r="R1462" s="34">
        <f>SUMIFS(DaybyDay[Retail-Actuals],DaybyDay[Date],"&gt;="&amp;$C$5,DaybyDay[RowYear],"&gt;="&amp;$C$4,DaybyDay[Date],"&lt;="&amp;DaybyDay[[#This Row],[Date]])</f>
        <v>88360.030000000028</v>
      </c>
      <c r="S1462" s="35">
        <f>SUMIFS(DaybyDay[Service-LY],DaybyDay[Date],"&gt;="&amp;$C$5,DaybyDay[RowYear],"&gt;="&amp;$C$4,DaybyDay[Date],"&lt;="&amp;DaybyDay[[#This Row],[Date]])</f>
        <v>1768432.4309999982</v>
      </c>
      <c r="T1462" s="35">
        <f>SUMIFS(DaybyDay[Retail-LY],DaybyDay[Date],"&gt;="&amp;$C$5,DaybyDay[RowYear],"&gt;="&amp;$C$4,DaybyDay[Date],"&lt;="&amp;DaybyDay[[#This Row],[Date]])</f>
        <v>452289.09999999992</v>
      </c>
      <c r="U1462" s="32">
        <f>DaybyDay[[#This Row],[Serv-Bud-RU]]+DaybyDay[[#This Row],[Ret-Bud-RU]]</f>
        <v>2452997.5672970871</v>
      </c>
      <c r="V1462" s="32">
        <f>DaybyDay[[#This Row],[Serv-Act-RU]]+DaybyDay[[#This Row],[Ret-Act-RU]]</f>
        <v>473914.26</v>
      </c>
      <c r="W1462" s="36" t="str">
        <f>IF(DaybyDay[[#This Row],[_Space]],IFERROR(
((DaybyDay[[#This Row],[Actual-Rollup]]-DaybyDay[[#This Row],[Budget-Rollup]])/DaybyDay[[#This Row],[Budget-Rollup]]),0),"")</f>
        <v/>
      </c>
      <c r="X1462" t="b">
        <f>NOT(AND(ISBLANK(DaybyDay[[#This Row],[Appts]]),ISBLANK(DaybyDay[[#This Row],[Service-Actuals]]),ISBLANK(DaybyDay[[#This Row],[Retail-Actuals]])))</f>
        <v>0</v>
      </c>
      <c r="Y1462" s="36" t="str">
        <f>IF(DaybyDay[[#This Row],[_Space]],IFERROR(
((DaybyDay[[#This Row],[Actual-Rollup]]-DaybyDay[[#This Row],[LY-Rollup]])/DaybyDay[[#This Row],[LY-Rollup]]),0),"")</f>
        <v/>
      </c>
      <c r="Z1462"/>
      <c r="AA1462" s="37" t="str">
        <f>IF(DaybyDay[[#This Row],[_Space]],DaybyDay[[#This Row],[Ret-Act-RU]]/DaybyDay[[#This Row],[Serv-Act-RU]],"")</f>
        <v/>
      </c>
      <c r="AB1462" s="50" t="str">
        <f>IF(DaybyDay[[#This Row],[_Space]],DaybyDay[[#This Row],[RETPEN-Act]]/DaybyDay[[#This Row],[RETPEN-Bud]],"")</f>
        <v/>
      </c>
      <c r="AC1462" s="37" t="str">
        <f>IF(DaybyDay[[#This Row],[_Space]],DaybyDay[[#This Row],[Ret-Bud-RU]]/DaybyDay[[#This Row],[Serv-Bud-RU]],"")</f>
        <v/>
      </c>
      <c r="AD1462" s="37" t="str">
        <f>IF(DaybyDay[[#This Row],[_Space]],DaybyDay[[#This Row],[Ret-LY-RU]]/DaybyDay[[#This Row],[Serv-LY-RU]],"")</f>
        <v/>
      </c>
      <c r="AE1462" s="30">
        <f>WEEKDAY(DaybyDay[[#This Row],[LY-Date]])</f>
        <v>7</v>
      </c>
      <c r="AF1462" s="38">
        <f>$E$2+_xlfn.DAYS(DaybyDay[[#This Row],[Date]],minDate)</f>
        <v>43827</v>
      </c>
      <c r="AG1462" s="39" cm="1">
        <f t="array" ref="AG1462">IFERROR(INDEX(DaybyDay[],DaybyDay[[#This Row],[FORM_MATCH_HELPER]],8),"")</f>
        <v>43</v>
      </c>
      <c r="AH1462" s="39" cm="1">
        <f t="array" ref="AH1462">IFERROR(INDEX(DaybyDay[],DaybyDay[[#This Row],[FORM_MATCH_HELPER]],10),"")</f>
        <v>10632.77</v>
      </c>
      <c r="AI1462" s="39" cm="1">
        <f t="array" ref="AI1462">IFERROR(INDEX(DaybyDay[],DaybyDay[[#This Row],[FORM_MATCH_HELPER]],12),"")</f>
        <v>1803</v>
      </c>
      <c r="AJ1462" s="32">
        <f>IFERROR(DaybyDay[[#This Row],[Serv-LY-RU]]+DaybyDay[[#This Row],[Ret-LY-RU]],"")</f>
        <v>2220721.5309999981</v>
      </c>
      <c r="AK1462"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2177984.7979720598</v>
      </c>
      <c r="AL1462" s="77"/>
      <c r="AM1462" s="40" t="str">
        <f>IF(DaybyDay[[#This Row],[Admin Hours]]&gt;0,DaybyDay[[#This Row],[Admin Hours]]*$AM$2+$AM$3,"")</f>
        <v/>
      </c>
      <c r="AN1462" s="40">
        <f>SUMIFS(DaybyDay[Est-Admin-Payroll],DaybyDay[Date],"&gt;="&amp;$C$5,DaybyDay[RowYear],"&gt;="&amp;$C$4,DaybyDay[Date],"&lt;="&amp;DaybyDay[[#This Row],[Date]])</f>
        <v>13941.779999999997</v>
      </c>
      <c r="AO1462" s="41" t="str">
        <f>IF(AND(DaybyDay[[#This Row],[_Space]],ISNUMBER(DaybyDay[[#This Row],[Admin Hours]])),DaybyDay[[#This Row],[Est-Admin-Payroll]]/(DaybyDay[[#This Row],[Service-Actuals]]+DaybyDay[[#This Row],[Retail-Actuals]]),"")</f>
        <v/>
      </c>
      <c r="AP1462" s="41">
        <f>DaybyDay[[#This Row],[Estimated-Payroll-Rollup]]/DaybyDay[[#This Row],[Simple-Forecast]]</f>
        <v>6.4012292523718747E-3</v>
      </c>
      <c r="AQ1462"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449177.53658224543</v>
      </c>
      <c r="AR1462" s="77"/>
      <c r="AS1462" s="40" t="str">
        <f>IF(DaybyDay[[#This Row],[Retail Hours]]&gt;0,DaybyDay[[#This Row],[Retail Hours]]*$AS$2,"")</f>
        <v/>
      </c>
      <c r="AT1462" s="40">
        <f>SUMIFS(DaybyDay[Est-Retail-Payroll],DaybyDay[Date],"&gt;="&amp;$C$5,DaybyDay[RowYear],"&gt;="&amp;$C$4,DaybyDay[Date],"&lt;="&amp;DaybyDay[[#This Row],[Date]])</f>
        <v>2627.1</v>
      </c>
      <c r="AU1462" s="82" t="str">
        <f>IF(AND(DaybyDay[[#This Row],[_Space]],ISNUMBER(DaybyDay[[#This Row],[Retail Hours]])),DaybyDay[[#This Row],[Est-Retail-Payroll]]/(DaybyDay[[#This Row],[Retail-Actuals]]),"")</f>
        <v/>
      </c>
      <c r="AV1462" s="82">
        <f>DaybyDay[[#This Row],[Est-Retail-PayrollRU]]/DaybyDay[[#This Row],[Simple-Forecast-Retail]]</f>
        <v>5.8486896294712007E-3</v>
      </c>
      <c r="AW1462" s="8"/>
      <c r="AX1462" s="15"/>
      <c r="AY1462" s="8"/>
    </row>
    <row r="1463" spans="3:51" hidden="1" x14ac:dyDescent="0.25">
      <c r="C1463" s="26" t="str">
        <f>Tools!$C$1</f>
        <v>Example</v>
      </c>
      <c r="D1463" s="27" t="s">
        <v>79</v>
      </c>
      <c r="E1463" s="28">
        <v>2020</v>
      </c>
      <c r="F1463" s="28">
        <f>MATCH(DaybyDay[[#This Row],[RowMonth]],Table3[SummaryMonth],0)</f>
        <v>12</v>
      </c>
      <c r="G1463" s="29">
        <f>MATCH(DaybyDay[[#This Row],[LY-Date]],DaybyDay[Date],0)</f>
        <v>1093</v>
      </c>
      <c r="H1463" s="30">
        <f>WEEKDAY(DaybyDay[[#This Row],[Date]])</f>
        <v>1</v>
      </c>
      <c r="I1463" s="31">
        <v>44192</v>
      </c>
      <c r="J1463" s="74"/>
      <c r="K1463" s="32">
        <f>SUMIFS(BudgetSeasonality[365 Seasonality],BudgetSeasonality[MonthAdjustment],DaybyDay[[#This Row],[Date]])*SUMIFS(Budgets[Service-Budget],Budgets[BudgetMonth],DaybyDay[[#This Row],[RowMonth]],Budgets[BudgetYear],DaybyDay[[#This Row],[RowYear]])</f>
        <v>7004.8986064901892</v>
      </c>
      <c r="L1463" s="75"/>
      <c r="M1463" s="32">
        <f>INDEX(BudgetSeasonality[365 Seasonality],MATCH(DaybyDay[[#This Row],[Date]],BudgetSeasonality[MonthAdjustment],0))*SUMIFS(Budgets[Retail-Budget],Budgets[BudgetMonth],DaybyDay[[#This Row],[RowMonth]],Budgets[BudgetYear],DaybyDay[[#This Row],[RowYear]])</f>
        <v>2045.1131594787075</v>
      </c>
      <c r="N1463" s="75"/>
      <c r="O1463" s="33">
        <f>SUMIFS(DaybyDay[Service-Budgets],DaybyDay[Date],"&gt;="&amp;$C$5,DaybyDay[RowYear],"&gt;="&amp;$C$4,DaybyDay[Date],"&lt;="&amp;DaybyDay[[#This Row],[Date]])</f>
        <v>1939024.167230993</v>
      </c>
      <c r="P1463" s="33">
        <f>SUMIFS(DaybyDay[Retail-Budgets],DaybyDay[Date],"&gt;="&amp;$C$5,DaybyDay[RowYear],"&gt;="&amp;$C$4,DaybyDay[Date],"&lt;="&amp;DaybyDay[[#This Row],[Date]])</f>
        <v>523023.41183206264</v>
      </c>
      <c r="Q1463" s="34">
        <f>SUMIFS(DaybyDay[Service-Actuals],DaybyDay[Date],"&gt;="&amp;$C$5,DaybyDay[RowYear],"&gt;="&amp;$C$4,DaybyDay[Date],"&lt;="&amp;DaybyDay[[#This Row],[Date]])</f>
        <v>385554.23</v>
      </c>
      <c r="R1463" s="34">
        <f>SUMIFS(DaybyDay[Retail-Actuals],DaybyDay[Date],"&gt;="&amp;$C$5,DaybyDay[RowYear],"&gt;="&amp;$C$4,DaybyDay[Date],"&lt;="&amp;DaybyDay[[#This Row],[Date]])</f>
        <v>88360.030000000028</v>
      </c>
      <c r="S1463" s="35">
        <f>SUMIFS(DaybyDay[Service-LY],DaybyDay[Date],"&gt;="&amp;$C$5,DaybyDay[RowYear],"&gt;="&amp;$C$4,DaybyDay[Date],"&lt;="&amp;DaybyDay[[#This Row],[Date]])</f>
        <v>1775384.4309999982</v>
      </c>
      <c r="T1463" s="35">
        <f>SUMIFS(DaybyDay[Retail-LY],DaybyDay[Date],"&gt;="&amp;$C$5,DaybyDay[RowYear],"&gt;="&amp;$C$4,DaybyDay[Date],"&lt;="&amp;DaybyDay[[#This Row],[Date]])</f>
        <v>452681.59999999992</v>
      </c>
      <c r="U1463" s="32">
        <f>DaybyDay[[#This Row],[Serv-Bud-RU]]+DaybyDay[[#This Row],[Ret-Bud-RU]]</f>
        <v>2462047.5790630556</v>
      </c>
      <c r="V1463" s="32">
        <f>DaybyDay[[#This Row],[Serv-Act-RU]]+DaybyDay[[#This Row],[Ret-Act-RU]]</f>
        <v>473914.26</v>
      </c>
      <c r="W1463" s="36" t="str">
        <f>IF(DaybyDay[[#This Row],[_Space]],IFERROR(
((DaybyDay[[#This Row],[Actual-Rollup]]-DaybyDay[[#This Row],[Budget-Rollup]])/DaybyDay[[#This Row],[Budget-Rollup]]),0),"")</f>
        <v/>
      </c>
      <c r="X1463" t="b">
        <f>NOT(AND(ISBLANK(DaybyDay[[#This Row],[Appts]]),ISBLANK(DaybyDay[[#This Row],[Service-Actuals]]),ISBLANK(DaybyDay[[#This Row],[Retail-Actuals]])))</f>
        <v>0</v>
      </c>
      <c r="Y1463" s="36" t="str">
        <f>IF(DaybyDay[[#This Row],[_Space]],IFERROR(
((DaybyDay[[#This Row],[Actual-Rollup]]-DaybyDay[[#This Row],[LY-Rollup]])/DaybyDay[[#This Row],[LY-Rollup]]),0),"")</f>
        <v/>
      </c>
      <c r="Z1463"/>
      <c r="AA1463" s="37" t="str">
        <f>IF(DaybyDay[[#This Row],[_Space]],DaybyDay[[#This Row],[Ret-Act-RU]]/DaybyDay[[#This Row],[Serv-Act-RU]],"")</f>
        <v/>
      </c>
      <c r="AB1463" s="50" t="str">
        <f>IF(DaybyDay[[#This Row],[_Space]],DaybyDay[[#This Row],[RETPEN-Act]]/DaybyDay[[#This Row],[RETPEN-Bud]],"")</f>
        <v/>
      </c>
      <c r="AC1463" s="37" t="str">
        <f>IF(DaybyDay[[#This Row],[_Space]],DaybyDay[[#This Row],[Ret-Bud-RU]]/DaybyDay[[#This Row],[Serv-Bud-RU]],"")</f>
        <v/>
      </c>
      <c r="AD1463" s="37" t="str">
        <f>IF(DaybyDay[[#This Row],[_Space]],DaybyDay[[#This Row],[Ret-LY-RU]]/DaybyDay[[#This Row],[Serv-LY-RU]],"")</f>
        <v/>
      </c>
      <c r="AE1463" s="30">
        <f>WEEKDAY(DaybyDay[[#This Row],[LY-Date]])</f>
        <v>1</v>
      </c>
      <c r="AF1463" s="38">
        <f>$E$2+_xlfn.DAYS(DaybyDay[[#This Row],[Date]],minDate)</f>
        <v>43828</v>
      </c>
      <c r="AG1463" s="39" cm="1">
        <f t="array" ref="AG1463">IFERROR(INDEX(DaybyDay[],DaybyDay[[#This Row],[FORM_MATCH_HELPER]],8),"")</f>
        <v>32</v>
      </c>
      <c r="AH1463" s="39" cm="1">
        <f t="array" ref="AH1463">IFERROR(INDEX(DaybyDay[],DaybyDay[[#This Row],[FORM_MATCH_HELPER]],10),"")</f>
        <v>6952</v>
      </c>
      <c r="AI1463" s="39" cm="1">
        <f t="array" ref="AI1463">IFERROR(INDEX(DaybyDay[],DaybyDay[[#This Row],[FORM_MATCH_HELPER]],12),"")</f>
        <v>392.5</v>
      </c>
      <c r="AJ1463" s="32">
        <f>IFERROR(DaybyDay[[#This Row],[Serv-LY-RU]]+DaybyDay[[#This Row],[Ret-LY-RU]],"")</f>
        <v>2228066.0309999981</v>
      </c>
      <c r="AK1463"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2185455.4199858755</v>
      </c>
      <c r="AL1463" s="77"/>
      <c r="AM1463" s="40" t="str">
        <f>IF(DaybyDay[[#This Row],[Admin Hours]]&gt;0,DaybyDay[[#This Row],[Admin Hours]]*$AM$2+$AM$3,"")</f>
        <v/>
      </c>
      <c r="AN1463" s="40">
        <f>SUMIFS(DaybyDay[Est-Admin-Payroll],DaybyDay[Date],"&gt;="&amp;$C$5,DaybyDay[RowYear],"&gt;="&amp;$C$4,DaybyDay[Date],"&lt;="&amp;DaybyDay[[#This Row],[Date]])</f>
        <v>13941.779999999997</v>
      </c>
      <c r="AO1463" s="41" t="str">
        <f>IF(AND(DaybyDay[[#This Row],[_Space]],ISNUMBER(DaybyDay[[#This Row],[Admin Hours]])),DaybyDay[[#This Row],[Est-Admin-Payroll]]/(DaybyDay[[#This Row],[Service-Actuals]]+DaybyDay[[#This Row],[Retail-Actuals]]),"")</f>
        <v/>
      </c>
      <c r="AP1463" s="41">
        <f>DaybyDay[[#This Row],[Estimated-Payroll-Rollup]]/DaybyDay[[#This Row],[Simple-Forecast]]</f>
        <v>6.3793476968247208E-3</v>
      </c>
      <c r="AQ1463"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450240.95477687445</v>
      </c>
      <c r="AR1463" s="77"/>
      <c r="AS1463" s="40" t="str">
        <f>IF(DaybyDay[[#This Row],[Retail Hours]]&gt;0,DaybyDay[[#This Row],[Retail Hours]]*$AS$2,"")</f>
        <v/>
      </c>
      <c r="AT1463" s="40">
        <f>SUMIFS(DaybyDay[Est-Retail-Payroll],DaybyDay[Date],"&gt;="&amp;$C$5,DaybyDay[RowYear],"&gt;="&amp;$C$4,DaybyDay[Date],"&lt;="&amp;DaybyDay[[#This Row],[Date]])</f>
        <v>2627.1</v>
      </c>
      <c r="AU1463" s="82" t="str">
        <f>IF(AND(DaybyDay[[#This Row],[_Space]],ISNUMBER(DaybyDay[[#This Row],[Retail Hours]])),DaybyDay[[#This Row],[Est-Retail-Payroll]]/(DaybyDay[[#This Row],[Retail-Actuals]]),"")</f>
        <v/>
      </c>
      <c r="AV1463" s="82">
        <f>DaybyDay[[#This Row],[Est-Retail-PayrollRU]]/DaybyDay[[#This Row],[Simple-Forecast-Retail]]</f>
        <v>5.8348756862909319E-3</v>
      </c>
      <c r="AW1463" s="8"/>
      <c r="AX1463" s="15"/>
      <c r="AY1463" s="8"/>
    </row>
    <row r="1464" spans="3:51" hidden="1" x14ac:dyDescent="0.25">
      <c r="C1464" s="26" t="str">
        <f>Tools!$C$1</f>
        <v>Example</v>
      </c>
      <c r="D1464" s="27" t="s">
        <v>79</v>
      </c>
      <c r="E1464" s="28">
        <v>2020</v>
      </c>
      <c r="F1464" s="28">
        <f>MATCH(DaybyDay[[#This Row],[RowMonth]],Table3[SummaryMonth],0)</f>
        <v>12</v>
      </c>
      <c r="G1464" s="29">
        <f>MATCH(DaybyDay[[#This Row],[LY-Date]],DaybyDay[Date],0)</f>
        <v>1094</v>
      </c>
      <c r="H1464" s="30">
        <f>WEEKDAY(DaybyDay[[#This Row],[Date]])</f>
        <v>2</v>
      </c>
      <c r="I1464" s="31">
        <v>44193</v>
      </c>
      <c r="J1464" s="74"/>
      <c r="K1464" s="32">
        <f>SUMIFS(BudgetSeasonality[365 Seasonality],BudgetSeasonality[MonthAdjustment],DaybyDay[[#This Row],[Date]])*SUMIFS(Budgets[Service-Budget],Budgets[BudgetMonth],DaybyDay[[#This Row],[RowMonth]],Budgets[BudgetYear],DaybyDay[[#This Row],[RowYear]])</f>
        <v>4677.1353012523596</v>
      </c>
      <c r="L1464" s="75"/>
      <c r="M1464" s="32">
        <f>INDEX(BudgetSeasonality[365 Seasonality],MATCH(DaybyDay[[#This Row],[Date]],BudgetSeasonality[MonthAdjustment],0))*SUMIFS(Budgets[Retail-Budget],Budgets[BudgetMonth],DaybyDay[[#This Row],[RowMonth]],Budgets[BudgetYear],DaybyDay[[#This Row],[RowYear]])</f>
        <v>1365.5116926876258</v>
      </c>
      <c r="N1464" s="75"/>
      <c r="O1464" s="33">
        <f>SUMIFS(DaybyDay[Service-Budgets],DaybyDay[Date],"&gt;="&amp;$C$5,DaybyDay[RowYear],"&gt;="&amp;$C$4,DaybyDay[Date],"&lt;="&amp;DaybyDay[[#This Row],[Date]])</f>
        <v>1943701.3025322454</v>
      </c>
      <c r="P1464" s="33">
        <f>SUMIFS(DaybyDay[Retail-Budgets],DaybyDay[Date],"&gt;="&amp;$C$5,DaybyDay[RowYear],"&gt;="&amp;$C$4,DaybyDay[Date],"&lt;="&amp;DaybyDay[[#This Row],[Date]])</f>
        <v>524388.92352475028</v>
      </c>
      <c r="Q1464" s="34">
        <f>SUMIFS(DaybyDay[Service-Actuals],DaybyDay[Date],"&gt;="&amp;$C$5,DaybyDay[RowYear],"&gt;="&amp;$C$4,DaybyDay[Date],"&lt;="&amp;DaybyDay[[#This Row],[Date]])</f>
        <v>385554.23</v>
      </c>
      <c r="R1464" s="34">
        <f>SUMIFS(DaybyDay[Retail-Actuals],DaybyDay[Date],"&gt;="&amp;$C$5,DaybyDay[RowYear],"&gt;="&amp;$C$4,DaybyDay[Date],"&lt;="&amp;DaybyDay[[#This Row],[Date]])</f>
        <v>88360.030000000028</v>
      </c>
      <c r="S1464" s="35">
        <f>SUMIFS(DaybyDay[Service-LY],DaybyDay[Date],"&gt;="&amp;$C$5,DaybyDay[RowYear],"&gt;="&amp;$C$4,DaybyDay[Date],"&lt;="&amp;DaybyDay[[#This Row],[Date]])</f>
        <v>1782478.4309999982</v>
      </c>
      <c r="T1464" s="35">
        <f>SUMIFS(DaybyDay[Retail-LY],DaybyDay[Date],"&gt;="&amp;$C$5,DaybyDay[RowYear],"&gt;="&amp;$C$4,DaybyDay[Date],"&lt;="&amp;DaybyDay[[#This Row],[Date]])</f>
        <v>453835.84999999992</v>
      </c>
      <c r="U1464" s="32">
        <f>DaybyDay[[#This Row],[Serv-Bud-RU]]+DaybyDay[[#This Row],[Ret-Bud-RU]]</f>
        <v>2468090.2260569958</v>
      </c>
      <c r="V1464" s="32">
        <f>DaybyDay[[#This Row],[Serv-Act-RU]]+DaybyDay[[#This Row],[Ret-Act-RU]]</f>
        <v>473914.26</v>
      </c>
      <c r="W1464" s="36" t="str">
        <f>IF(DaybyDay[[#This Row],[_Space]],IFERROR(
((DaybyDay[[#This Row],[Actual-Rollup]]-DaybyDay[[#This Row],[Budget-Rollup]])/DaybyDay[[#This Row],[Budget-Rollup]]),0),"")</f>
        <v/>
      </c>
      <c r="X1464" t="b">
        <f>NOT(AND(ISBLANK(DaybyDay[[#This Row],[Appts]]),ISBLANK(DaybyDay[[#This Row],[Service-Actuals]]),ISBLANK(DaybyDay[[#This Row],[Retail-Actuals]])))</f>
        <v>0</v>
      </c>
      <c r="Y1464" s="36" t="str">
        <f>IF(DaybyDay[[#This Row],[_Space]],IFERROR(
((DaybyDay[[#This Row],[Actual-Rollup]]-DaybyDay[[#This Row],[LY-Rollup]])/DaybyDay[[#This Row],[LY-Rollup]]),0),"")</f>
        <v/>
      </c>
      <c r="Z1464"/>
      <c r="AA1464" s="37" t="str">
        <f>IF(DaybyDay[[#This Row],[_Space]],DaybyDay[[#This Row],[Ret-Act-RU]]/DaybyDay[[#This Row],[Serv-Act-RU]],"")</f>
        <v/>
      </c>
      <c r="AB1464" s="50" t="str">
        <f>IF(DaybyDay[[#This Row],[_Space]],DaybyDay[[#This Row],[RETPEN-Act]]/DaybyDay[[#This Row],[RETPEN-Bud]],"")</f>
        <v/>
      </c>
      <c r="AC1464" s="37" t="str">
        <f>IF(DaybyDay[[#This Row],[_Space]],DaybyDay[[#This Row],[Ret-Bud-RU]]/DaybyDay[[#This Row],[Serv-Bud-RU]],"")</f>
        <v/>
      </c>
      <c r="AD1464" s="37" t="str">
        <f>IF(DaybyDay[[#This Row],[_Space]],DaybyDay[[#This Row],[Ret-LY-RU]]/DaybyDay[[#This Row],[Serv-LY-RU]],"")</f>
        <v/>
      </c>
      <c r="AE1464" s="30">
        <f>WEEKDAY(DaybyDay[[#This Row],[LY-Date]])</f>
        <v>2</v>
      </c>
      <c r="AF1464" s="38">
        <f>$E$2+_xlfn.DAYS(DaybyDay[[#This Row],[Date]],minDate)</f>
        <v>43829</v>
      </c>
      <c r="AG1464" s="39" cm="1">
        <f t="array" ref="AG1464">IFERROR(INDEX(DaybyDay[],DaybyDay[[#This Row],[FORM_MATCH_HELPER]],8),"")</f>
        <v>37</v>
      </c>
      <c r="AH1464" s="39" cm="1">
        <f t="array" ref="AH1464">IFERROR(INDEX(DaybyDay[],DaybyDay[[#This Row],[FORM_MATCH_HELPER]],10),"")</f>
        <v>7094</v>
      </c>
      <c r="AI1464" s="39" cm="1">
        <f t="array" ref="AI1464">IFERROR(INDEX(DaybyDay[],DaybyDay[[#This Row],[FORM_MATCH_HELPER]],12),"")</f>
        <v>1154.25</v>
      </c>
      <c r="AJ1464" s="32">
        <f>IFERROR(DaybyDay[[#This Row],[Serv-LY-RU]]+DaybyDay[[#This Row],[Ret-LY-RU]],"")</f>
        <v>2236314.2809999981</v>
      </c>
      <c r="AK1464"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2192092.4327214947</v>
      </c>
      <c r="AL1464" s="77"/>
      <c r="AM1464" s="40" t="str">
        <f>IF(DaybyDay[[#This Row],[Admin Hours]]&gt;0,DaybyDay[[#This Row],[Admin Hours]]*$AM$2+$AM$3,"")</f>
        <v/>
      </c>
      <c r="AN1464" s="40">
        <f>SUMIFS(DaybyDay[Est-Admin-Payroll],DaybyDay[Date],"&gt;="&amp;$C$5,DaybyDay[RowYear],"&gt;="&amp;$C$4,DaybyDay[Date],"&lt;="&amp;DaybyDay[[#This Row],[Date]])</f>
        <v>13941.779999999997</v>
      </c>
      <c r="AO1464" s="41" t="str">
        <f>IF(AND(DaybyDay[[#This Row],[_Space]],ISNUMBER(DaybyDay[[#This Row],[Admin Hours]])),DaybyDay[[#This Row],[Est-Admin-Payroll]]/(DaybyDay[[#This Row],[Service-Actuals]]+DaybyDay[[#This Row],[Retail-Actuals]]),"")</f>
        <v/>
      </c>
      <c r="AP1464" s="41">
        <f>DaybyDay[[#This Row],[Estimated-Payroll-Rollup]]/DaybyDay[[#This Row],[Simple-Forecast]]</f>
        <v>6.3600329036724067E-3</v>
      </c>
      <c r="AQ1464"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451390.87688758684</v>
      </c>
      <c r="AR1464" s="77"/>
      <c r="AS1464" s="40" t="str">
        <f>IF(DaybyDay[[#This Row],[Retail Hours]]&gt;0,DaybyDay[[#This Row],[Retail Hours]]*$AS$2,"")</f>
        <v/>
      </c>
      <c r="AT1464" s="40">
        <f>SUMIFS(DaybyDay[Est-Retail-Payroll],DaybyDay[Date],"&gt;="&amp;$C$5,DaybyDay[RowYear],"&gt;="&amp;$C$4,DaybyDay[Date],"&lt;="&amp;DaybyDay[[#This Row],[Date]])</f>
        <v>2627.1</v>
      </c>
      <c r="AU1464" s="82" t="str">
        <f>IF(AND(DaybyDay[[#This Row],[_Space]],ISNUMBER(DaybyDay[[#This Row],[Retail Hours]])),DaybyDay[[#This Row],[Est-Retail-Payroll]]/(DaybyDay[[#This Row],[Retail-Actuals]]),"")</f>
        <v/>
      </c>
      <c r="AV1464" s="82">
        <f>DaybyDay[[#This Row],[Est-Retail-PayrollRU]]/DaybyDay[[#This Row],[Simple-Forecast-Retail]]</f>
        <v>5.8200112906895227E-3</v>
      </c>
      <c r="AW1464" s="8"/>
      <c r="AX1464" s="15"/>
      <c r="AY1464" s="8"/>
    </row>
    <row r="1465" spans="3:51" hidden="1" x14ac:dyDescent="0.25">
      <c r="C1465" s="26" t="str">
        <f>Tools!$C$1</f>
        <v>Example</v>
      </c>
      <c r="D1465" s="27" t="s">
        <v>79</v>
      </c>
      <c r="E1465" s="28">
        <v>2020</v>
      </c>
      <c r="F1465" s="28">
        <f>MATCH(DaybyDay[[#This Row],[RowMonth]],Table3[SummaryMonth],0)</f>
        <v>12</v>
      </c>
      <c r="G1465" s="29">
        <f>MATCH(DaybyDay[[#This Row],[LY-Date]],DaybyDay[Date],0)</f>
        <v>1095</v>
      </c>
      <c r="H1465" s="30">
        <f>WEEKDAY(DaybyDay[[#This Row],[Date]])</f>
        <v>3</v>
      </c>
      <c r="I1465" s="31">
        <v>44194</v>
      </c>
      <c r="J1465" s="74"/>
      <c r="K1465" s="32">
        <f>SUMIFS(BudgetSeasonality[365 Seasonality],BudgetSeasonality[MonthAdjustment],DaybyDay[[#This Row],[Date]])*SUMIFS(Budgets[Service-Budget],Budgets[BudgetMonth],DaybyDay[[#This Row],[RowMonth]],Budgets[BudgetYear],DaybyDay[[#This Row],[RowYear]])</f>
        <v>4761.2003217830579</v>
      </c>
      <c r="L1465" s="75"/>
      <c r="M1465" s="32">
        <f>INDEX(BudgetSeasonality[365 Seasonality],MATCH(DaybyDay[[#This Row],[Date]],BudgetSeasonality[MonthAdjustment],0))*SUMIFS(Budgets[Retail-Budget],Budgets[BudgetMonth],DaybyDay[[#This Row],[RowMonth]],Budgets[BudgetYear],DaybyDay[[#This Row],[RowYear]])</f>
        <v>1390.0548715967236</v>
      </c>
      <c r="N1465" s="75"/>
      <c r="O1465" s="33">
        <f>SUMIFS(DaybyDay[Service-Budgets],DaybyDay[Date],"&gt;="&amp;$C$5,DaybyDay[RowYear],"&gt;="&amp;$C$4,DaybyDay[Date],"&lt;="&amp;DaybyDay[[#This Row],[Date]])</f>
        <v>1948462.5028540285</v>
      </c>
      <c r="P1465" s="33">
        <f>SUMIFS(DaybyDay[Retail-Budgets],DaybyDay[Date],"&gt;="&amp;$C$5,DaybyDay[RowYear],"&gt;="&amp;$C$4,DaybyDay[Date],"&lt;="&amp;DaybyDay[[#This Row],[Date]])</f>
        <v>525778.97839634703</v>
      </c>
      <c r="Q1465" s="34">
        <f>SUMIFS(DaybyDay[Service-Actuals],DaybyDay[Date],"&gt;="&amp;$C$5,DaybyDay[RowYear],"&gt;="&amp;$C$4,DaybyDay[Date],"&lt;="&amp;DaybyDay[[#This Row],[Date]])</f>
        <v>385554.23</v>
      </c>
      <c r="R1465" s="34">
        <f>SUMIFS(DaybyDay[Retail-Actuals],DaybyDay[Date],"&gt;="&amp;$C$5,DaybyDay[RowYear],"&gt;="&amp;$C$4,DaybyDay[Date],"&lt;="&amp;DaybyDay[[#This Row],[Date]])</f>
        <v>88360.030000000028</v>
      </c>
      <c r="S1465" s="35">
        <f>SUMIFS(DaybyDay[Service-LY],DaybyDay[Date],"&gt;="&amp;$C$5,DaybyDay[RowYear],"&gt;="&amp;$C$4,DaybyDay[Date],"&lt;="&amp;DaybyDay[[#This Row],[Date]])</f>
        <v>1786749.2309999983</v>
      </c>
      <c r="T1465" s="35">
        <f>SUMIFS(DaybyDay[Retail-LY],DaybyDay[Date],"&gt;="&amp;$C$5,DaybyDay[RowYear],"&gt;="&amp;$C$4,DaybyDay[Date],"&lt;="&amp;DaybyDay[[#This Row],[Date]])</f>
        <v>454275.74999999994</v>
      </c>
      <c r="U1465" s="32">
        <f>DaybyDay[[#This Row],[Serv-Bud-RU]]+DaybyDay[[#This Row],[Ret-Bud-RU]]</f>
        <v>2474241.4812503755</v>
      </c>
      <c r="V1465" s="32">
        <f>DaybyDay[[#This Row],[Serv-Act-RU]]+DaybyDay[[#This Row],[Ret-Act-RU]]</f>
        <v>473914.26</v>
      </c>
      <c r="W1465" s="36" t="str">
        <f>IF(DaybyDay[[#This Row],[_Space]],IFERROR(
((DaybyDay[[#This Row],[Actual-Rollup]]-DaybyDay[[#This Row],[Budget-Rollup]])/DaybyDay[[#This Row],[Budget-Rollup]]),0),"")</f>
        <v/>
      </c>
      <c r="X1465" t="b">
        <f>NOT(AND(ISBLANK(DaybyDay[[#This Row],[Appts]]),ISBLANK(DaybyDay[[#This Row],[Service-Actuals]]),ISBLANK(DaybyDay[[#This Row],[Retail-Actuals]])))</f>
        <v>0</v>
      </c>
      <c r="Y1465" s="36" t="str">
        <f>IF(DaybyDay[[#This Row],[_Space]],IFERROR(
((DaybyDay[[#This Row],[Actual-Rollup]]-DaybyDay[[#This Row],[LY-Rollup]])/DaybyDay[[#This Row],[LY-Rollup]]),0),"")</f>
        <v/>
      </c>
      <c r="Z1465"/>
      <c r="AA1465" s="37" t="str">
        <f>IF(DaybyDay[[#This Row],[_Space]],DaybyDay[[#This Row],[Ret-Act-RU]]/DaybyDay[[#This Row],[Serv-Act-RU]],"")</f>
        <v/>
      </c>
      <c r="AB1465" s="50" t="str">
        <f>IF(DaybyDay[[#This Row],[_Space]],DaybyDay[[#This Row],[RETPEN-Act]]/DaybyDay[[#This Row],[RETPEN-Bud]],"")</f>
        <v/>
      </c>
      <c r="AC1465" s="37" t="str">
        <f>IF(DaybyDay[[#This Row],[_Space]],DaybyDay[[#This Row],[Ret-Bud-RU]]/DaybyDay[[#This Row],[Serv-Bud-RU]],"")</f>
        <v/>
      </c>
      <c r="AD1465" s="37" t="str">
        <f>IF(DaybyDay[[#This Row],[_Space]],DaybyDay[[#This Row],[Ret-LY-RU]]/DaybyDay[[#This Row],[Serv-LY-RU]],"")</f>
        <v/>
      </c>
      <c r="AE1465" s="30">
        <f>WEEKDAY(DaybyDay[[#This Row],[LY-Date]])</f>
        <v>3</v>
      </c>
      <c r="AF1465" s="38">
        <f>$E$2+_xlfn.DAYS(DaybyDay[[#This Row],[Date]],minDate)</f>
        <v>43830</v>
      </c>
      <c r="AG1465" s="39" cm="1">
        <f t="array" ref="AG1465">IFERROR(INDEX(DaybyDay[],DaybyDay[[#This Row],[FORM_MATCH_HELPER]],8),"")</f>
        <v>19</v>
      </c>
      <c r="AH1465" s="39" cm="1">
        <f t="array" ref="AH1465">IFERROR(INDEX(DaybyDay[],DaybyDay[[#This Row],[FORM_MATCH_HELPER]],10),"")</f>
        <v>4270.8</v>
      </c>
      <c r="AI1465" s="39" cm="1">
        <f t="array" ref="AI1465">IFERROR(INDEX(DaybyDay[],DaybyDay[[#This Row],[FORM_MATCH_HELPER]],12),"")</f>
        <v>439.9</v>
      </c>
      <c r="AJ1465" s="32">
        <f>IFERROR(DaybyDay[[#This Row],[Serv-LY-RU]]+DaybyDay[[#This Row],[Ret-LY-RU]],"")</f>
        <v>2241024.9809999983</v>
      </c>
      <c r="AK1465"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2197031.4774355656</v>
      </c>
      <c r="AL1465" s="77"/>
      <c r="AM1465" s="40" t="str">
        <f>IF(DaybyDay[[#This Row],[Admin Hours]]&gt;0,DaybyDay[[#This Row],[Admin Hours]]*$AM$2+$AM$3,"")</f>
        <v/>
      </c>
      <c r="AN1465" s="40">
        <f>SUMIFS(DaybyDay[Est-Admin-Payroll],DaybyDay[Date],"&gt;="&amp;$C$5,DaybyDay[RowYear],"&gt;="&amp;$C$4,DaybyDay[Date],"&lt;="&amp;DaybyDay[[#This Row],[Date]])</f>
        <v>13941.779999999997</v>
      </c>
      <c r="AO1465" s="41" t="str">
        <f>IF(AND(DaybyDay[[#This Row],[_Space]],ISNUMBER(DaybyDay[[#This Row],[Admin Hours]])),DaybyDay[[#This Row],[Est-Admin-Payroll]]/(DaybyDay[[#This Row],[Service-Actuals]]+DaybyDay[[#This Row],[Retail-Actuals]]),"")</f>
        <v/>
      </c>
      <c r="AP1465" s="41">
        <f>DaybyDay[[#This Row],[Estimated-Payroll-Rollup]]/DaybyDay[[#This Row],[Simple-Forecast]]</f>
        <v>6.345735208251645E-3</v>
      </c>
      <c r="AQ1465"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452199.03313357627</v>
      </c>
      <c r="AR1465" s="77"/>
      <c r="AS1465" s="40" t="str">
        <f>IF(DaybyDay[[#This Row],[Retail Hours]]&gt;0,DaybyDay[[#This Row],[Retail Hours]]*$AS$2,"")</f>
        <v/>
      </c>
      <c r="AT1465" s="40">
        <f>SUMIFS(DaybyDay[Est-Retail-Payroll],DaybyDay[Date],"&gt;="&amp;$C$5,DaybyDay[RowYear],"&gt;="&amp;$C$4,DaybyDay[Date],"&lt;="&amp;DaybyDay[[#This Row],[Date]])</f>
        <v>2627.1</v>
      </c>
      <c r="AU1465" s="82" t="str">
        <f>IF(AND(DaybyDay[[#This Row],[_Space]],ISNUMBER(DaybyDay[[#This Row],[Retail Hours]])),DaybyDay[[#This Row],[Est-Retail-Payroll]]/(DaybyDay[[#This Row],[Retail-Actuals]]),"")</f>
        <v/>
      </c>
      <c r="AV1465" s="82">
        <f>DaybyDay[[#This Row],[Est-Retail-PayrollRU]]/DaybyDay[[#This Row],[Simple-Forecast-Retail]]</f>
        <v>5.8096099449730003E-3</v>
      </c>
      <c r="AW1465" s="8"/>
      <c r="AX1465" s="15"/>
      <c r="AY1465" s="8"/>
    </row>
    <row r="1466" spans="3:51" hidden="1" x14ac:dyDescent="0.25">
      <c r="C1466" s="26" t="str">
        <f>Tools!$C$1</f>
        <v>Example</v>
      </c>
      <c r="D1466" s="27" t="s">
        <v>79</v>
      </c>
      <c r="E1466" s="28">
        <v>2020</v>
      </c>
      <c r="F1466" s="28">
        <f>MATCH(DaybyDay[[#This Row],[RowMonth]],Table3[SummaryMonth],0)</f>
        <v>12</v>
      </c>
      <c r="G1466" s="29">
        <f>MATCH(DaybyDay[[#This Row],[LY-Date]],DaybyDay[Date],0)</f>
        <v>1096</v>
      </c>
      <c r="H1466" s="30">
        <f>WEEKDAY(DaybyDay[[#This Row],[Date]])</f>
        <v>4</v>
      </c>
      <c r="I1466" s="31">
        <v>44195</v>
      </c>
      <c r="J1466" s="74"/>
      <c r="K1466" s="32">
        <f>SUMIFS(BudgetSeasonality[365 Seasonality],BudgetSeasonality[MonthAdjustment],DaybyDay[[#This Row],[Date]])*SUMIFS(Budgets[Service-Budget],Budgets[BudgetMonth],DaybyDay[[#This Row],[RowMonth]],Budgets[BudgetYear],DaybyDay[[#This Row],[RowYear]])</f>
        <v>5263.8593543287661</v>
      </c>
      <c r="L1466" s="75"/>
      <c r="M1466" s="32">
        <f>INDEX(BudgetSeasonality[365 Seasonality],MATCH(DaybyDay[[#This Row],[Date]],BudgetSeasonality[MonthAdjustment],0))*SUMIFS(Budgets[Retail-Budget],Budgets[BudgetMonth],DaybyDay[[#This Row],[RowMonth]],Budgets[BudgetYear],DaybyDay[[#This Row],[RowYear]])</f>
        <v>1536.808544981461</v>
      </c>
      <c r="N1466" s="75"/>
      <c r="O1466" s="33">
        <f>SUMIFS(DaybyDay[Service-Budgets],DaybyDay[Date],"&gt;="&amp;$C$5,DaybyDay[RowYear],"&gt;="&amp;$C$4,DaybyDay[Date],"&lt;="&amp;DaybyDay[[#This Row],[Date]])</f>
        <v>1953726.3622083573</v>
      </c>
      <c r="P1466" s="33">
        <f>SUMIFS(DaybyDay[Retail-Budgets],DaybyDay[Date],"&gt;="&amp;$C$5,DaybyDay[RowYear],"&gt;="&amp;$C$4,DaybyDay[Date],"&lt;="&amp;DaybyDay[[#This Row],[Date]])</f>
        <v>527315.78694132844</v>
      </c>
      <c r="Q1466" s="34">
        <f>SUMIFS(DaybyDay[Service-Actuals],DaybyDay[Date],"&gt;="&amp;$C$5,DaybyDay[RowYear],"&gt;="&amp;$C$4,DaybyDay[Date],"&lt;="&amp;DaybyDay[[#This Row],[Date]])</f>
        <v>385554.23</v>
      </c>
      <c r="R1466" s="34">
        <f>SUMIFS(DaybyDay[Retail-Actuals],DaybyDay[Date],"&gt;="&amp;$C$5,DaybyDay[RowYear],"&gt;="&amp;$C$4,DaybyDay[Date],"&lt;="&amp;DaybyDay[[#This Row],[Date]])</f>
        <v>88360.030000000028</v>
      </c>
      <c r="S1466" s="35">
        <f>SUMIFS(DaybyDay[Service-LY],DaybyDay[Date],"&gt;="&amp;$C$5,DaybyDay[RowYear],"&gt;="&amp;$C$4,DaybyDay[Date],"&lt;="&amp;DaybyDay[[#This Row],[Date]])</f>
        <v>1791483.2309999983</v>
      </c>
      <c r="T1466" s="35">
        <f>SUMIFS(DaybyDay[Retail-LY],DaybyDay[Date],"&gt;="&amp;$C$5,DaybyDay[RowYear],"&gt;="&amp;$C$4,DaybyDay[Date],"&lt;="&amp;DaybyDay[[#This Row],[Date]])</f>
        <v>454463.74999999994</v>
      </c>
      <c r="U1466" s="32">
        <f>DaybyDay[[#This Row],[Serv-Bud-RU]]+DaybyDay[[#This Row],[Ret-Bud-RU]]</f>
        <v>2481042.1491496856</v>
      </c>
      <c r="V1466" s="32">
        <f>DaybyDay[[#This Row],[Serv-Act-RU]]+DaybyDay[[#This Row],[Ret-Act-RU]]</f>
        <v>473914.26</v>
      </c>
      <c r="W1466" s="36" t="str">
        <f>IF(DaybyDay[[#This Row],[_Space]],IFERROR(
((DaybyDay[[#This Row],[Actual-Rollup]]-DaybyDay[[#This Row],[Budget-Rollup]])/DaybyDay[[#This Row],[Budget-Rollup]]),0),"")</f>
        <v/>
      </c>
      <c r="X1466" t="b">
        <f>NOT(AND(ISBLANK(DaybyDay[[#This Row],[Appts]]),ISBLANK(DaybyDay[[#This Row],[Service-Actuals]]),ISBLANK(DaybyDay[[#This Row],[Retail-Actuals]])))</f>
        <v>0</v>
      </c>
      <c r="Y1466" s="36" t="str">
        <f>IF(DaybyDay[[#This Row],[_Space]],IFERROR(
((DaybyDay[[#This Row],[Actual-Rollup]]-DaybyDay[[#This Row],[LY-Rollup]])/DaybyDay[[#This Row],[LY-Rollup]]),0),"")</f>
        <v/>
      </c>
      <c r="Z1466"/>
      <c r="AA1466" s="37" t="str">
        <f>IF(DaybyDay[[#This Row],[_Space]],DaybyDay[[#This Row],[Ret-Act-RU]]/DaybyDay[[#This Row],[Serv-Act-RU]],"")</f>
        <v/>
      </c>
      <c r="AB1466" s="50" t="str">
        <f>IF(DaybyDay[[#This Row],[_Space]],DaybyDay[[#This Row],[RETPEN-Act]]/DaybyDay[[#This Row],[RETPEN-Bud]],"")</f>
        <v/>
      </c>
      <c r="AC1466" s="37" t="str">
        <f>IF(DaybyDay[[#This Row],[_Space]],DaybyDay[[#This Row],[Ret-Bud-RU]]/DaybyDay[[#This Row],[Serv-Bud-RU]],"")</f>
        <v/>
      </c>
      <c r="AD1466" s="37" t="str">
        <f>IF(DaybyDay[[#This Row],[_Space]],DaybyDay[[#This Row],[Ret-LY-RU]]/DaybyDay[[#This Row],[Serv-LY-RU]],"")</f>
        <v/>
      </c>
      <c r="AE1466" s="30">
        <f>WEEKDAY(DaybyDay[[#This Row],[LY-Date]])</f>
        <v>4</v>
      </c>
      <c r="AF1466" s="38">
        <f>$E$2+_xlfn.DAYS(DaybyDay[[#This Row],[Date]],minDate)</f>
        <v>43831</v>
      </c>
      <c r="AG1466" s="39" cm="1">
        <f t="array" ref="AG1466">IFERROR(INDEX(DaybyDay[],DaybyDay[[#This Row],[FORM_MATCH_HELPER]],8),"")</f>
        <v>15</v>
      </c>
      <c r="AH1466" s="39" cm="1">
        <f t="array" ref="AH1466">IFERROR(INDEX(DaybyDay[],DaybyDay[[#This Row],[FORM_MATCH_HELPER]],10),"")</f>
        <v>4734</v>
      </c>
      <c r="AI1466" s="39" cm="1">
        <f t="array" ref="AI1466">IFERROR(INDEX(DaybyDay[],DaybyDay[[#This Row],[FORM_MATCH_HELPER]],12),"")</f>
        <v>188</v>
      </c>
      <c r="AJ1466" s="32">
        <f>IFERROR(DaybyDay[[#This Row],[Serv-LY-RU]]+DaybyDay[[#This Row],[Ret-LY-RU]],"")</f>
        <v>2245946.9809999983</v>
      </c>
      <c r="AK1466"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2202350.9330037683</v>
      </c>
      <c r="AL1466" s="77"/>
      <c r="AM1466" s="40" t="str">
        <f>IF(DaybyDay[[#This Row],[Admin Hours]]&gt;0,DaybyDay[[#This Row],[Admin Hours]]*$AM$2+$AM$3,"")</f>
        <v/>
      </c>
      <c r="AN1466" s="40">
        <f>SUMIFS(DaybyDay[Est-Admin-Payroll],DaybyDay[Date],"&gt;="&amp;$C$5,DaybyDay[RowYear],"&gt;="&amp;$C$4,DaybyDay[Date],"&lt;="&amp;DaybyDay[[#This Row],[Date]])</f>
        <v>13941.779999999997</v>
      </c>
      <c r="AO1466" s="41" t="str">
        <f>IF(AND(DaybyDay[[#This Row],[_Space]],ISNUMBER(DaybyDay[[#This Row],[Admin Hours]])),DaybyDay[[#This Row],[Est-Admin-Payroll]]/(DaybyDay[[#This Row],[Service-Actuals]]+DaybyDay[[#This Row],[Retail-Actuals]]),"")</f>
        <v/>
      </c>
      <c r="AP1466" s="41">
        <f>DaybyDay[[#This Row],[Estimated-Payroll-Rollup]]/DaybyDay[[#This Row],[Simple-Forecast]]</f>
        <v>6.3304080158491901E-3</v>
      </c>
      <c r="AQ1466"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452945.41417418182</v>
      </c>
      <c r="AR1466" s="77"/>
      <c r="AS1466" s="40" t="str">
        <f>IF(DaybyDay[[#This Row],[Retail Hours]]&gt;0,DaybyDay[[#This Row],[Retail Hours]]*$AS$2,"")</f>
        <v/>
      </c>
      <c r="AT1466" s="40">
        <f>SUMIFS(DaybyDay[Est-Retail-Payroll],DaybyDay[Date],"&gt;="&amp;$C$5,DaybyDay[RowYear],"&gt;="&amp;$C$4,DaybyDay[Date],"&lt;="&amp;DaybyDay[[#This Row],[Date]])</f>
        <v>2627.1</v>
      </c>
      <c r="AU1466" s="82" t="str">
        <f>IF(AND(DaybyDay[[#This Row],[_Space]],ISNUMBER(DaybyDay[[#This Row],[Retail Hours]])),DaybyDay[[#This Row],[Est-Retail-Payroll]]/(DaybyDay[[#This Row],[Retail-Actuals]]),"")</f>
        <v/>
      </c>
      <c r="AV1466" s="82">
        <f>DaybyDay[[#This Row],[Est-Retail-PayrollRU]]/DaybyDay[[#This Row],[Simple-Forecast-Retail]]</f>
        <v>5.800036644128025E-3</v>
      </c>
      <c r="AW1466" s="8"/>
      <c r="AX1466" s="15"/>
      <c r="AY1466" s="8"/>
    </row>
    <row r="1467" spans="3:51" hidden="1" x14ac:dyDescent="0.25">
      <c r="C1467" s="26" t="str">
        <f>Tools!$C$1</f>
        <v>Example</v>
      </c>
      <c r="D1467" s="27" t="s">
        <v>79</v>
      </c>
      <c r="E1467" s="28">
        <v>2020</v>
      </c>
      <c r="F1467" s="28">
        <f>MATCH(DaybyDay[[#This Row],[RowMonth]],Table3[SummaryMonth],0)</f>
        <v>12</v>
      </c>
      <c r="G1467" s="29">
        <f>MATCH(DaybyDay[[#This Row],[LY-Date]],DaybyDay[Date],0)</f>
        <v>1097</v>
      </c>
      <c r="H1467" s="30">
        <f>WEEKDAY(DaybyDay[[#This Row],[Date]])</f>
        <v>5</v>
      </c>
      <c r="I1467" s="31">
        <v>44196</v>
      </c>
      <c r="J1467" s="74"/>
      <c r="K1467" s="32">
        <f>SUMIFS(BudgetSeasonality[365 Seasonality],BudgetSeasonality[MonthAdjustment],DaybyDay[[#This Row],[Date]])*SUMIFS(Budgets[Service-Budget],Budgets[BudgetMonth],DaybyDay[[#This Row],[RowMonth]],Budgets[BudgetYear],DaybyDay[[#This Row],[RowYear]])</f>
        <v>5331.6810378441805</v>
      </c>
      <c r="L1467" s="75"/>
      <c r="M1467" s="32">
        <f>INDEX(BudgetSeasonality[365 Seasonality],MATCH(DaybyDay[[#This Row],[Date]],BudgetSeasonality[MonthAdjustment],0))*SUMIFS(Budgets[Retail-Budget],Budgets[BudgetMonth],DaybyDay[[#This Row],[RowMonth]],Budgets[BudgetYear],DaybyDay[[#This Row],[RowYear]])</f>
        <v>1556.60940510053</v>
      </c>
      <c r="N1467" s="75"/>
      <c r="O1467" s="33">
        <f>SUMIFS(DaybyDay[Service-Budgets],DaybyDay[Date],"&gt;="&amp;$C$5,DaybyDay[RowYear],"&gt;="&amp;$C$4,DaybyDay[Date],"&lt;="&amp;DaybyDay[[#This Row],[Date]])</f>
        <v>1959058.0432462015</v>
      </c>
      <c r="P1467" s="33">
        <f>SUMIFS(DaybyDay[Retail-Budgets],DaybyDay[Date],"&gt;="&amp;$C$5,DaybyDay[RowYear],"&gt;="&amp;$C$4,DaybyDay[Date],"&lt;="&amp;DaybyDay[[#This Row],[Date]])</f>
        <v>528872.39634642901</v>
      </c>
      <c r="Q1467" s="34">
        <f>SUMIFS(DaybyDay[Service-Actuals],DaybyDay[Date],"&gt;="&amp;$C$5,DaybyDay[RowYear],"&gt;="&amp;$C$4,DaybyDay[Date],"&lt;="&amp;DaybyDay[[#This Row],[Date]])</f>
        <v>385554.23</v>
      </c>
      <c r="R1467" s="34">
        <f>SUMIFS(DaybyDay[Retail-Actuals],DaybyDay[Date],"&gt;="&amp;$C$5,DaybyDay[RowYear],"&gt;="&amp;$C$4,DaybyDay[Date],"&lt;="&amp;DaybyDay[[#This Row],[Date]])</f>
        <v>88360.030000000028</v>
      </c>
      <c r="S1467" s="35">
        <f>SUMIFS(DaybyDay[Service-LY],DaybyDay[Date],"&gt;="&amp;$C$5,DaybyDay[RowYear],"&gt;="&amp;$C$4,DaybyDay[Date],"&lt;="&amp;DaybyDay[[#This Row],[Date]])</f>
        <v>1795517.0309999983</v>
      </c>
      <c r="T1467" s="35">
        <f>SUMIFS(DaybyDay[Retail-LY],DaybyDay[Date],"&gt;="&amp;$C$5,DaybyDay[RowYear],"&gt;="&amp;$C$4,DaybyDay[Date],"&lt;="&amp;DaybyDay[[#This Row],[Date]])</f>
        <v>454697.74999999994</v>
      </c>
      <c r="U1467" s="32">
        <f>DaybyDay[[#This Row],[Serv-Bud-RU]]+DaybyDay[[#This Row],[Ret-Bud-RU]]</f>
        <v>2487930.4395926306</v>
      </c>
      <c r="V1467" s="32">
        <f>DaybyDay[[#This Row],[Serv-Act-RU]]+DaybyDay[[#This Row],[Ret-Act-RU]]</f>
        <v>473914.26</v>
      </c>
      <c r="W1467" s="36" t="str">
        <f>IF(DaybyDay[[#This Row],[_Space]],IFERROR(
((DaybyDay[[#This Row],[Actual-Rollup]]-DaybyDay[[#This Row],[Budget-Rollup]])/DaybyDay[[#This Row],[Budget-Rollup]]),0),"")</f>
        <v/>
      </c>
      <c r="X1467" t="b">
        <f>NOT(AND(ISBLANK(DaybyDay[[#This Row],[Appts]]),ISBLANK(DaybyDay[[#This Row],[Service-Actuals]]),ISBLANK(DaybyDay[[#This Row],[Retail-Actuals]])))</f>
        <v>0</v>
      </c>
      <c r="Y1467" s="36" t="str">
        <f>IF(DaybyDay[[#This Row],[_Space]],IFERROR(
((DaybyDay[[#This Row],[Actual-Rollup]]-DaybyDay[[#This Row],[LY-Rollup]])/DaybyDay[[#This Row],[LY-Rollup]]),0),"")</f>
        <v/>
      </c>
      <c r="Z1467"/>
      <c r="AA1467" s="37" t="str">
        <f>IF(DaybyDay[[#This Row],[_Space]],DaybyDay[[#This Row],[Ret-Act-RU]]/DaybyDay[[#This Row],[Serv-Act-RU]],"")</f>
        <v/>
      </c>
      <c r="AB1467" s="50" t="str">
        <f>IF(DaybyDay[[#This Row],[_Space]],DaybyDay[[#This Row],[RETPEN-Act]]/DaybyDay[[#This Row],[RETPEN-Bud]],"")</f>
        <v/>
      </c>
      <c r="AC1467" s="37" t="str">
        <f>IF(DaybyDay[[#This Row],[_Space]],DaybyDay[[#This Row],[Ret-Bud-RU]]/DaybyDay[[#This Row],[Serv-Bud-RU]],"")</f>
        <v/>
      </c>
      <c r="AD1467" s="37" t="str">
        <f>IF(DaybyDay[[#This Row],[_Space]],DaybyDay[[#This Row],[Ret-LY-RU]]/DaybyDay[[#This Row],[Serv-LY-RU]],"")</f>
        <v/>
      </c>
      <c r="AE1467" s="30">
        <f>WEEKDAY(DaybyDay[[#This Row],[LY-Date]])</f>
        <v>5</v>
      </c>
      <c r="AF1467" s="38">
        <f>$E$2+_xlfn.DAYS(DaybyDay[[#This Row],[Date]],minDate)</f>
        <v>43832</v>
      </c>
      <c r="AG1467" s="39" cm="1">
        <f t="array" ref="AG1467">IFERROR(INDEX(DaybyDay[],DaybyDay[[#This Row],[FORM_MATCH_HELPER]],8),"")</f>
        <v>24</v>
      </c>
      <c r="AH1467" s="39" cm="1">
        <f t="array" ref="AH1467">IFERROR(INDEX(DaybyDay[],DaybyDay[[#This Row],[FORM_MATCH_HELPER]],10),"")</f>
        <v>4033.8</v>
      </c>
      <c r="AI1467" s="39" cm="1">
        <f t="array" ref="AI1467">IFERROR(INDEX(DaybyDay[],DaybyDay[[#This Row],[FORM_MATCH_HELPER]],12),"")</f>
        <v>234</v>
      </c>
      <c r="AJ1467" s="32">
        <f>IFERROR(DaybyDay[[#This Row],[Serv-LY-RU]]+DaybyDay[[#This Row],[Ret-LY-RU]],"")</f>
        <v>2250214.7809999981</v>
      </c>
      <c r="AK1467"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2207385.1103684707</v>
      </c>
      <c r="AL1467" s="77"/>
      <c r="AM1467" s="40" t="str">
        <f>IF(DaybyDay[[#This Row],[Admin Hours]]&gt;0,DaybyDay[[#This Row],[Admin Hours]]*$AM$2+$AM$3,"")</f>
        <v/>
      </c>
      <c r="AN1467" s="40">
        <f>SUMIFS(DaybyDay[Est-Admin-Payroll],DaybyDay[Date],"&gt;="&amp;$C$5,DaybyDay[RowYear],"&gt;="&amp;$C$4,DaybyDay[Date],"&lt;="&amp;DaybyDay[[#This Row],[Date]])</f>
        <v>13941.779999999997</v>
      </c>
      <c r="AO1467" s="41" t="str">
        <f>IF(AND(DaybyDay[[#This Row],[_Space]],ISNUMBER(DaybyDay[[#This Row],[Admin Hours]])),DaybyDay[[#This Row],[Est-Admin-Payroll]]/(DaybyDay[[#This Row],[Service-Actuals]]+DaybyDay[[#This Row],[Retail-Actuals]]),"")</f>
        <v/>
      </c>
      <c r="AP1467" s="41">
        <f>DaybyDay[[#This Row],[Estimated-Payroll-Rollup]]/DaybyDay[[#This Row],[Simple-Forecast]]</f>
        <v>6.3159708446491906E-3</v>
      </c>
      <c r="AQ1467"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453722.89759410301</v>
      </c>
      <c r="AR1467" s="77"/>
      <c r="AS1467" s="40" t="str">
        <f>IF(DaybyDay[[#This Row],[Retail Hours]]&gt;0,DaybyDay[[#This Row],[Retail Hours]]*$AS$2,"")</f>
        <v/>
      </c>
      <c r="AT1467" s="40">
        <f>SUMIFS(DaybyDay[Est-Retail-Payroll],DaybyDay[Date],"&gt;="&amp;$C$5,DaybyDay[RowYear],"&gt;="&amp;$C$4,DaybyDay[Date],"&lt;="&amp;DaybyDay[[#This Row],[Date]])</f>
        <v>2627.1</v>
      </c>
      <c r="AU1467" s="82" t="str">
        <f>IF(AND(DaybyDay[[#This Row],[_Space]],ISNUMBER(DaybyDay[[#This Row],[Retail Hours]])),DaybyDay[[#This Row],[Est-Retail-Payroll]]/(DaybyDay[[#This Row],[Retail-Actuals]]),"")</f>
        <v/>
      </c>
      <c r="AV1467" s="82">
        <f>DaybyDay[[#This Row],[Est-Retail-PayrollRU]]/DaybyDay[[#This Row],[Simple-Forecast-Retail]]</f>
        <v>5.7900979076224253E-3</v>
      </c>
      <c r="AW1467" s="8"/>
      <c r="AX1467" s="15"/>
      <c r="AY1467" s="8"/>
    </row>
    <row r="1468" spans="3:51" hidden="1" x14ac:dyDescent="0.25">
      <c r="C1468" s="26" t="str">
        <f>Tools!$C$1</f>
        <v>Example</v>
      </c>
      <c r="D1468" s="27" t="s">
        <v>79</v>
      </c>
      <c r="E1468" s="28">
        <v>2020</v>
      </c>
      <c r="F1468" s="28">
        <f>MATCH(DaybyDay[[#This Row],[RowMonth]],Table3[SummaryMonth],0)</f>
        <v>12</v>
      </c>
      <c r="G1468" s="29">
        <f>MATCH(DaybyDay[[#This Row],[LY-Date]],DaybyDay[Date],0)</f>
        <v>1098</v>
      </c>
      <c r="H1468" s="30">
        <f>WEEKDAY(DaybyDay[[#This Row],[Date]])</f>
        <v>6</v>
      </c>
      <c r="I1468" s="31">
        <v>44197</v>
      </c>
      <c r="J1468" s="74"/>
      <c r="K1468" s="32">
        <f>SUMIFS(BudgetSeasonality[365 Seasonality],BudgetSeasonality[MonthAdjustment],DaybyDay[[#This Row],[Date]])*SUMIFS(Budgets[Service-Budget],Budgets[BudgetMonth],DaybyDay[[#This Row],[RowMonth]],Budgets[BudgetYear],DaybyDay[[#This Row],[RowYear]])</f>
        <v>6288.9105807848582</v>
      </c>
      <c r="L1468" s="75"/>
      <c r="M1468" s="56">
        <f>INDEX(BudgetSeasonality[365 Seasonality],MATCH(DaybyDay[[#This Row],[Date]],BudgetSeasonality[MonthAdjustment],0))*SUMIFS(Budgets[Retail-Budget],Budgets[BudgetMonth],DaybyDay[[#This Row],[RowMonth]],Budgets[BudgetYear],DaybyDay[[#This Row],[RowYear]])</f>
        <v>1836.0770812059302</v>
      </c>
      <c r="N1468" s="76"/>
      <c r="O1468" s="57">
        <f>SUMIFS(DaybyDay[Service-Budgets],DaybyDay[Date],"&gt;="&amp;$C$5,DaybyDay[RowYear],"&gt;="&amp;$C$4,DaybyDay[Date],"&lt;="&amp;DaybyDay[[#This Row],[Date]])</f>
        <v>1965346.9538269863</v>
      </c>
      <c r="P1468" s="57">
        <f>SUMIFS(DaybyDay[Retail-Budgets],DaybyDay[Date],"&gt;="&amp;$C$5,DaybyDay[RowYear],"&gt;="&amp;$C$4,DaybyDay[Date],"&lt;="&amp;DaybyDay[[#This Row],[Date]])</f>
        <v>530708.47342763492</v>
      </c>
      <c r="Q1468" s="58">
        <f>SUMIFS(DaybyDay[Service-Actuals],DaybyDay[Date],"&gt;="&amp;$C$5,DaybyDay[RowYear],"&gt;="&amp;$C$4,DaybyDay[Date],"&lt;="&amp;DaybyDay[[#This Row],[Date]])</f>
        <v>385554.23</v>
      </c>
      <c r="R1468" s="58">
        <f>SUMIFS(DaybyDay[Retail-Actuals],DaybyDay[Date],"&gt;="&amp;$C$5,DaybyDay[RowYear],"&gt;="&amp;$C$4,DaybyDay[Date],"&lt;="&amp;DaybyDay[[#This Row],[Date]])</f>
        <v>88360.030000000028</v>
      </c>
      <c r="S1468" s="59">
        <f>SUMIFS(DaybyDay[Service-LY],DaybyDay[Date],"&gt;="&amp;$C$5,DaybyDay[RowYear],"&gt;="&amp;$C$4,DaybyDay[Date],"&lt;="&amp;DaybyDay[[#This Row],[Date]])</f>
        <v>1802248.5609999984</v>
      </c>
      <c r="T1468" s="59">
        <f>SUMIFS(DaybyDay[Retail-LY],DaybyDay[Date],"&gt;="&amp;$C$5,DaybyDay[RowYear],"&gt;="&amp;$C$4,DaybyDay[Date],"&lt;="&amp;DaybyDay[[#This Row],[Date]])</f>
        <v>455313.00999999995</v>
      </c>
      <c r="U1468" s="56">
        <f>DaybyDay[[#This Row],[Serv-Bud-RU]]+DaybyDay[[#This Row],[Ret-Bud-RU]]</f>
        <v>2496055.4272546209</v>
      </c>
      <c r="V1468" s="56">
        <f>DaybyDay[[#This Row],[Serv-Act-RU]]+DaybyDay[[#This Row],[Ret-Act-RU]]</f>
        <v>473914.26</v>
      </c>
      <c r="W1468" s="60" t="str">
        <f>IF(DaybyDay[[#This Row],[_Space]],IFERROR(
((DaybyDay[[#This Row],[Actual-Rollup]]-DaybyDay[[#This Row],[Budget-Rollup]])/DaybyDay[[#This Row],[Budget-Rollup]]),0),"")</f>
        <v/>
      </c>
      <c r="X1468" s="61" t="b">
        <f>NOT(AND(ISBLANK(DaybyDay[[#This Row],[Appts]]),ISBLANK(DaybyDay[[#This Row],[Service-Actuals]]),ISBLANK(DaybyDay[[#This Row],[Retail-Actuals]])))</f>
        <v>0</v>
      </c>
      <c r="Y1468" s="60" t="str">
        <f>IF(DaybyDay[[#This Row],[_Space]],IFERROR(
((DaybyDay[[#This Row],[Actual-Rollup]]-DaybyDay[[#This Row],[LY-Rollup]])/DaybyDay[[#This Row],[LY-Rollup]]),0),"")</f>
        <v/>
      </c>
      <c r="AA1468" s="37" t="str">
        <f>IF(DaybyDay[[#This Row],[_Space]],DaybyDay[[#This Row],[Ret-Act-RU]]/DaybyDay[[#This Row],[Serv-Act-RU]],"")</f>
        <v/>
      </c>
      <c r="AB1468" s="62" t="str">
        <f>IF(DaybyDay[[#This Row],[_Space]],DaybyDay[[#This Row],[RETPEN-Act]]/DaybyDay[[#This Row],[RETPEN-Bud]],"")</f>
        <v/>
      </c>
      <c r="AC1468" s="37" t="str">
        <f>IF(DaybyDay[[#This Row],[_Space]],DaybyDay[[#This Row],[Ret-Bud-RU]]/DaybyDay[[#This Row],[Serv-Bud-RU]],"")</f>
        <v/>
      </c>
      <c r="AD1468" s="37" t="str">
        <f>IF(DaybyDay[[#This Row],[_Space]],DaybyDay[[#This Row],[Ret-LY-RU]]/DaybyDay[[#This Row],[Serv-LY-RU]],"")</f>
        <v/>
      </c>
      <c r="AE1468" s="63">
        <f>WEEKDAY(DaybyDay[[#This Row],[LY-Date]])</f>
        <v>6</v>
      </c>
      <c r="AF1468" s="64">
        <f>$E$2+_xlfn.DAYS(DaybyDay[[#This Row],[Date]],minDate)</f>
        <v>43833</v>
      </c>
      <c r="AG1468" s="65" cm="1">
        <f t="array" ref="AG1468">IFERROR(INDEX(DaybyDay[],DaybyDay[[#This Row],[FORM_MATCH_HELPER]],8),"")</f>
        <v>31</v>
      </c>
      <c r="AH1468" s="65" cm="1">
        <f t="array" ref="AH1468">IFERROR(INDEX(DaybyDay[],DaybyDay[[#This Row],[FORM_MATCH_HELPER]],10),"")</f>
        <v>6731.5300000000007</v>
      </c>
      <c r="AI1468" s="65" cm="1">
        <f t="array" ref="AI1468">IFERROR(INDEX(DaybyDay[],DaybyDay[[#This Row],[FORM_MATCH_HELPER]],12),"")</f>
        <v>615.26</v>
      </c>
      <c r="AJ1468" s="56">
        <f>IFERROR(DaybyDay[[#This Row],[Serv-LY-RU]]+DaybyDay[[#This Row],[Ret-LY-RU]],"")</f>
        <v>2257561.5709999981</v>
      </c>
      <c r="AK1468"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2214463.397994074</v>
      </c>
      <c r="AL1468" s="77"/>
      <c r="AM1468" s="66" t="str">
        <f>IF(DaybyDay[[#This Row],[Admin Hours]]&gt;0,DaybyDay[[#This Row],[Admin Hours]]*$AM$2+$AM$3,"")</f>
        <v/>
      </c>
      <c r="AN1468" s="66">
        <f>SUMIFS(DaybyDay[Est-Admin-Payroll],DaybyDay[Date],"&gt;="&amp;$C$5,DaybyDay[RowYear],"&gt;="&amp;$C$4,DaybyDay[Date],"&lt;="&amp;DaybyDay[[#This Row],[Date]])</f>
        <v>13941.779999999997</v>
      </c>
      <c r="AO1468" s="37" t="str">
        <f>IF(AND(DaybyDay[[#This Row],[_Space]],ISNUMBER(DaybyDay[[#This Row],[Admin Hours]])),DaybyDay[[#This Row],[Est-Admin-Payroll]]/(DaybyDay[[#This Row],[Service-Actuals]]+DaybyDay[[#This Row],[Retail-Actuals]]),"")</f>
        <v/>
      </c>
      <c r="AP1468" s="37">
        <f>DaybyDay[[#This Row],[Estimated-Payroll-Rollup]]/DaybyDay[[#This Row],[Simple-Forecast]]</f>
        <v>6.2957825415533488E-3</v>
      </c>
      <c r="AQ1468"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454807.2315938439</v>
      </c>
      <c r="AR1468" s="77"/>
      <c r="AS1468" s="40" t="str">
        <f>IF(DaybyDay[[#This Row],[Retail Hours]]&gt;0,DaybyDay[[#This Row],[Retail Hours]]*$AS$2,"")</f>
        <v/>
      </c>
      <c r="AT1468" s="40">
        <f>SUMIFS(DaybyDay[Est-Retail-Payroll],DaybyDay[Date],"&gt;="&amp;$C$5,DaybyDay[RowYear],"&gt;="&amp;$C$4,DaybyDay[Date],"&lt;="&amp;DaybyDay[[#This Row],[Date]])</f>
        <v>2627.1</v>
      </c>
      <c r="AU1468" s="82" t="str">
        <f>IF(AND(DaybyDay[[#This Row],[_Space]],ISNUMBER(DaybyDay[[#This Row],[Retail Hours]])),DaybyDay[[#This Row],[Est-Retail-Payroll]]/(DaybyDay[[#This Row],[Retail-Actuals]]),"")</f>
        <v/>
      </c>
      <c r="AV1468" s="82">
        <f>DaybyDay[[#This Row],[Est-Retail-PayrollRU]]/DaybyDay[[#This Row],[Simple-Forecast-Retail]]</f>
        <v>5.7762933777316819E-3</v>
      </c>
      <c r="AW1468" s="8"/>
      <c r="AX1468" s="8"/>
      <c r="AY1468" s="8"/>
    </row>
    <row r="1469" spans="3:51" hidden="1" x14ac:dyDescent="0.25">
      <c r="C1469" s="26" t="str">
        <f>Tools!$C$1</f>
        <v>Example</v>
      </c>
      <c r="D1469" s="27" t="s">
        <v>79</v>
      </c>
      <c r="E1469" s="28">
        <v>2020</v>
      </c>
      <c r="F1469" s="28">
        <f>MATCH(DaybyDay[[#This Row],[RowMonth]],Table3[SummaryMonth],0)</f>
        <v>12</v>
      </c>
      <c r="G1469" s="29">
        <f>MATCH(DaybyDay[[#This Row],[LY-Date]],DaybyDay[Date],0)</f>
        <v>1099</v>
      </c>
      <c r="H1469" s="30">
        <f>WEEKDAY(DaybyDay[[#This Row],[Date]])</f>
        <v>7</v>
      </c>
      <c r="I1469" s="31">
        <v>44198</v>
      </c>
      <c r="J1469" s="74"/>
      <c r="K1469" s="32">
        <f>SUMIFS(BudgetSeasonality[365 Seasonality],BudgetSeasonality[MonthAdjustment],DaybyDay[[#This Row],[Date]])*SUMIFS(Budgets[Service-Budget],Budgets[BudgetMonth],DaybyDay[[#This Row],[RowMonth]],Budgets[BudgetYear],DaybyDay[[#This Row],[RowYear]])</f>
        <v>8366.2549572396365</v>
      </c>
      <c r="L1469" s="75"/>
      <c r="M1469" s="56">
        <f>INDEX(BudgetSeasonality[365 Seasonality],MATCH(DaybyDay[[#This Row],[Date]],BudgetSeasonality[MonthAdjustment],0))*SUMIFS(Budgets[Retail-Budget],Budgets[BudgetMonth],DaybyDay[[#This Row],[RowMonth]],Budgets[BudgetYear],DaybyDay[[#This Row],[RowYear]])</f>
        <v>2442.5675616135291</v>
      </c>
      <c r="N1469" s="76"/>
      <c r="O1469" s="57">
        <f>SUMIFS(DaybyDay[Service-Budgets],DaybyDay[Date],"&gt;="&amp;$C$5,DaybyDay[RowYear],"&gt;="&amp;$C$4,DaybyDay[Date],"&lt;="&amp;DaybyDay[[#This Row],[Date]])</f>
        <v>1973713.2087842259</v>
      </c>
      <c r="P1469" s="57">
        <f>SUMIFS(DaybyDay[Retail-Budgets],DaybyDay[Date],"&gt;="&amp;$C$5,DaybyDay[RowYear],"&gt;="&amp;$C$4,DaybyDay[Date],"&lt;="&amp;DaybyDay[[#This Row],[Date]])</f>
        <v>533151.04098924843</v>
      </c>
      <c r="Q1469" s="58">
        <f>SUMIFS(DaybyDay[Service-Actuals],DaybyDay[Date],"&gt;="&amp;$C$5,DaybyDay[RowYear],"&gt;="&amp;$C$4,DaybyDay[Date],"&lt;="&amp;DaybyDay[[#This Row],[Date]])</f>
        <v>385554.23</v>
      </c>
      <c r="R1469" s="58">
        <f>SUMIFS(DaybyDay[Retail-Actuals],DaybyDay[Date],"&gt;="&amp;$C$5,DaybyDay[RowYear],"&gt;="&amp;$C$4,DaybyDay[Date],"&lt;="&amp;DaybyDay[[#This Row],[Date]])</f>
        <v>88360.030000000028</v>
      </c>
      <c r="S1469" s="59">
        <f>SUMIFS(DaybyDay[Service-LY],DaybyDay[Date],"&gt;="&amp;$C$5,DaybyDay[RowYear],"&gt;="&amp;$C$4,DaybyDay[Date],"&lt;="&amp;DaybyDay[[#This Row],[Date]])</f>
        <v>1811465.8909999984</v>
      </c>
      <c r="T1469" s="59">
        <f>SUMIFS(DaybyDay[Retail-LY],DaybyDay[Date],"&gt;="&amp;$C$5,DaybyDay[RowYear],"&gt;="&amp;$C$4,DaybyDay[Date],"&lt;="&amp;DaybyDay[[#This Row],[Date]])</f>
        <v>456697.00999999995</v>
      </c>
      <c r="U1469" s="56">
        <f>DaybyDay[[#This Row],[Serv-Bud-RU]]+DaybyDay[[#This Row],[Ret-Bud-RU]]</f>
        <v>2506864.2497734744</v>
      </c>
      <c r="V1469" s="56">
        <f>DaybyDay[[#This Row],[Serv-Act-RU]]+DaybyDay[[#This Row],[Ret-Act-RU]]</f>
        <v>473914.26</v>
      </c>
      <c r="W1469" s="60" t="str">
        <f>IF(DaybyDay[[#This Row],[_Space]],IFERROR(
((DaybyDay[[#This Row],[Actual-Rollup]]-DaybyDay[[#This Row],[Budget-Rollup]])/DaybyDay[[#This Row],[Budget-Rollup]]),0),"")</f>
        <v/>
      </c>
      <c r="X1469" s="61" t="b">
        <f>NOT(AND(ISBLANK(DaybyDay[[#This Row],[Appts]]),ISBLANK(DaybyDay[[#This Row],[Service-Actuals]]),ISBLANK(DaybyDay[[#This Row],[Retail-Actuals]])))</f>
        <v>0</v>
      </c>
      <c r="Y1469" s="60" t="str">
        <f>IF(DaybyDay[[#This Row],[_Space]],IFERROR(
((DaybyDay[[#This Row],[Actual-Rollup]]-DaybyDay[[#This Row],[LY-Rollup]])/DaybyDay[[#This Row],[LY-Rollup]]),0),"")</f>
        <v/>
      </c>
      <c r="AA1469" s="37" t="str">
        <f>IF(DaybyDay[[#This Row],[_Space]],DaybyDay[[#This Row],[Ret-Act-RU]]/DaybyDay[[#This Row],[Serv-Act-RU]],"")</f>
        <v/>
      </c>
      <c r="AB1469" s="62" t="str">
        <f>IF(DaybyDay[[#This Row],[_Space]],DaybyDay[[#This Row],[RETPEN-Act]]/DaybyDay[[#This Row],[RETPEN-Bud]],"")</f>
        <v/>
      </c>
      <c r="AC1469" s="37" t="str">
        <f>IF(DaybyDay[[#This Row],[_Space]],DaybyDay[[#This Row],[Ret-Bud-RU]]/DaybyDay[[#This Row],[Serv-Bud-RU]],"")</f>
        <v/>
      </c>
      <c r="AD1469" s="37" t="str">
        <f>IF(DaybyDay[[#This Row],[_Space]],DaybyDay[[#This Row],[Ret-LY-RU]]/DaybyDay[[#This Row],[Serv-LY-RU]],"")</f>
        <v/>
      </c>
      <c r="AE1469" s="63">
        <f>WEEKDAY(DaybyDay[[#This Row],[LY-Date]])</f>
        <v>7</v>
      </c>
      <c r="AF1469" s="64">
        <f>$E$2+_xlfn.DAYS(DaybyDay[[#This Row],[Date]],minDate)</f>
        <v>43834</v>
      </c>
      <c r="AG1469" s="65" cm="1">
        <f t="array" ref="AG1469">IFERROR(INDEX(DaybyDay[],DaybyDay[[#This Row],[FORM_MATCH_HELPER]],8),"")</f>
        <v>36</v>
      </c>
      <c r="AH1469" s="65" cm="1">
        <f t="array" ref="AH1469">IFERROR(INDEX(DaybyDay[],DaybyDay[[#This Row],[FORM_MATCH_HELPER]],10),"")</f>
        <v>9217.33</v>
      </c>
      <c r="AI1469" s="65" cm="1">
        <f t="array" ref="AI1469">IFERROR(INDEX(DaybyDay[],DaybyDay[[#This Row],[FORM_MATCH_HELPER]],12),"")</f>
        <v>1384</v>
      </c>
      <c r="AJ1469" s="56">
        <f>IFERROR(DaybyDay[[#This Row],[Serv-LY-RU]]+DaybyDay[[#This Row],[Ret-LY-RU]],"")</f>
        <v>2268162.9009999982</v>
      </c>
      <c r="AK1469" s="32">
        <f>IF(NOT(DaybyDay[[#This Row],[_Space]]),
      (AVERAGE(
                INDEX(DaybyDay[Simple-Forecast], MATCH(DaybyDay[[#This Row],[Date]]-1,DaybyDay[Date],0))+simple_forecast_scaler*(DaybyDay[[#This Row],[Service-Budgets]]+DaybyDay[[#This Row],[Retail-Budgets]])*(1+Tools!$S$29),
                IFERROR(
                      INDEX(DaybyDay[Simple-Forecast], MATCH(DaybyDay[[#This Row],[Date]]-1,DaybyDay[Date],0))+simple_forecast_scaler*(DaybyDay[[#This Row],[Service-LY]]+DaybyDay[[#This Row],[Retail-LY]])*(1+Tools!$S$30),
                      INDEX(DaybyDay[Simple-Forecast], MATCH(DaybyDay[[#This Row],[Date]]-1,DaybyDay[Date],0))+simple_forecast_scaler*(DaybyDay[[#This Row],[Service-Budgets]]+DaybyDay[[#This Row],[Retail-Budgets]])*(1+Tools!$S$29))
                           )
        ),
        DaybyDay[[#This Row],[Actual-Rollup]]
 )</f>
        <v>2224287.896580915</v>
      </c>
      <c r="AL1469" s="77"/>
      <c r="AM1469" s="66" t="str">
        <f>IF(DaybyDay[[#This Row],[Admin Hours]]&gt;0,DaybyDay[[#This Row],[Admin Hours]]*$AM$2+$AM$3,"")</f>
        <v/>
      </c>
      <c r="AN1469" s="66">
        <f>SUMIFS(DaybyDay[Est-Admin-Payroll],DaybyDay[Date],"&gt;="&amp;$C$5,DaybyDay[RowYear],"&gt;="&amp;$C$4,DaybyDay[Date],"&lt;="&amp;DaybyDay[[#This Row],[Date]])</f>
        <v>13941.779999999997</v>
      </c>
      <c r="AO1469" s="37" t="str">
        <f>IF(AND(DaybyDay[[#This Row],[_Space]],ISNUMBER(DaybyDay[[#This Row],[Admin Hours]])),DaybyDay[[#This Row],[Est-Admin-Payroll]]/(DaybyDay[[#This Row],[Service-Actuals]]+DaybyDay[[#This Row],[Retail-Actuals]]),"")</f>
        <v/>
      </c>
      <c r="AP1469" s="37">
        <f>DaybyDay[[#This Row],[Estimated-Payroll-Rollup]]/DaybyDay[[#This Row],[Simple-Forecast]]</f>
        <v>6.2679745825307666E-3</v>
      </c>
      <c r="AQ1469" s="12">
        <f>IF(NOT(DaybyDay[[#This Row],[_Space]]),
      (AVERAGE(
                INDEX(DaybyDay[Simple-Forecast-Retail], MATCH(DaybyDay[[#This Row],[Date]]-1,DaybyDay[Date],0))+simple_forecast_scaler*(DaybyDay[[#This Row],[Retail-Budgets]])*(1+Tools!$S$29),
                IFERROR(
                      INDEX(DaybyDay[Simple-Forecast-Retail], MATCH(DaybyDay[[#This Row],[Date]]-1,DaybyDay[Date],0))+simple_forecast_scaler*(DaybyDay[[#This Row],[Retail-LY]])*(1+Tools!$S$30),
                      INDEX(DaybyDay[Simple-Forecast-Retail], MATCH(DaybyDay[[#This Row],[Date]]-1,DaybyDay[Date],0))+simple_forecast_scaler*(DaybyDay[[#This Row],[Retail-Budgets]])*(1+Tools!$S$29))
                           )
        ),
        DaybyDay[[#This Row],[Ret-Act-RU]]
 )</f>
        <v>456528.56128483702</v>
      </c>
      <c r="AR1469" s="77"/>
      <c r="AS1469" s="40" t="str">
        <f>IF(DaybyDay[[#This Row],[Retail Hours]]&gt;0,DaybyDay[[#This Row],[Retail Hours]]*$AS$2,"")</f>
        <v/>
      </c>
      <c r="AT1469" s="40">
        <f>SUMIFS(DaybyDay[Est-Retail-Payroll],DaybyDay[Date],"&gt;="&amp;$C$5,DaybyDay[RowYear],"&gt;="&amp;$C$4,DaybyDay[Date],"&lt;="&amp;DaybyDay[[#This Row],[Date]])</f>
        <v>2627.1</v>
      </c>
      <c r="AU1469" s="82" t="str">
        <f>IF(AND(DaybyDay[[#This Row],[_Space]],ISNUMBER(DaybyDay[[#This Row],[Retail Hours]])),DaybyDay[[#This Row],[Est-Retail-Payroll]]/(DaybyDay[[#This Row],[Retail-Actuals]]),"")</f>
        <v/>
      </c>
      <c r="AV1469" s="82">
        <f>DaybyDay[[#This Row],[Est-Retail-PayrollRU]]/DaybyDay[[#This Row],[Simple-Forecast-Retail]]</f>
        <v>5.7545140058847298E-3</v>
      </c>
      <c r="AW1469" s="8"/>
      <c r="AX1469" s="8"/>
      <c r="AY1469" s="8"/>
    </row>
  </sheetData>
  <sheetProtection formatCells="0" formatColumns="0" formatRows="0" sort="0" autoFilter="0" pivotTables="0"/>
  <protectedRanges>
    <protectedRange sqref="J7:J1133 L7:L1133 N7:N1133 J1169:J1467 L1169:L1170 N1169:N1170 AL7:AM1467 L1172:L1467 N1173:N1467" name="Normal_Editing"/>
    <protectedRange sqref="J1134:J1168" name="Normal_Editing_1"/>
    <protectedRange sqref="L1134:L1168" name="Normal_Editing_2"/>
    <protectedRange sqref="N1134:N1168" name="Normal_Editing_3"/>
    <protectedRange sqref="L1171" name="Normal_Editing_4"/>
    <protectedRange sqref="N1171" name="Normal_Editing_5"/>
    <protectedRange sqref="N1172" name="Normal_Editing_6"/>
  </protectedRanges>
  <mergeCells count="14">
    <mergeCell ref="AD1:AD2"/>
    <mergeCell ref="O1:P1"/>
    <mergeCell ref="Q1:R1"/>
    <mergeCell ref="S1:T1"/>
    <mergeCell ref="H2:N5"/>
    <mergeCell ref="A6:B6"/>
    <mergeCell ref="Z1:AB1"/>
    <mergeCell ref="Z2:AB2"/>
    <mergeCell ref="Z3:AB3"/>
    <mergeCell ref="Z4:AB4"/>
    <mergeCell ref="W1:Y1"/>
    <mergeCell ref="W2:Y2"/>
    <mergeCell ref="W3:Y3"/>
    <mergeCell ref="W4:Y4"/>
  </mergeCells>
  <phoneticPr fontId="3" type="noConversion"/>
  <conditionalFormatting sqref="AB7:AB1469">
    <cfRule type="containsText" dxfId="90" priority="3" operator="containsText" text="G">
      <formula>NOT(ISERROR(SEARCH("G",AB7)))</formula>
    </cfRule>
    <cfRule type="containsText" dxfId="89" priority="4" operator="containsText" text="R">
      <formula>NOT(ISERROR(SEARCH("R",AB7)))</formula>
    </cfRule>
    <cfRule type="containsText" dxfId="88" priority="5" operator="containsText" text="Y">
      <formula>NOT(ISERROR(SEARCH("Y",AB7)))</formula>
    </cfRule>
    <cfRule type="containsText" dxfId="87" priority="6" operator="containsText" text="DG">
      <formula>NOT(ISERROR(SEARCH("DG",AB7)))</formula>
    </cfRule>
  </conditionalFormatting>
  <conditionalFormatting sqref="AB7:AB1469">
    <cfRule type="colorScale" priority="2">
      <colorScale>
        <cfvo type="num" val="0.9"/>
        <cfvo type="num" val="1"/>
        <cfvo type="num" val="1.1000000000000001"/>
        <color rgb="FFFF0000"/>
        <color rgb="FFFFEB84"/>
        <color theme="9" tint="-0.499984740745262"/>
      </colorScale>
    </cfRule>
  </conditionalFormatting>
  <conditionalFormatting sqref="W7:W1469 AB7:AB1469 Y7:Y1469">
    <cfRule type="colorScale" priority="12">
      <colorScale>
        <cfvo type="num" val="0"/>
        <cfvo type="num" val="0"/>
        <cfvo type="formula" val="SUBTOTAL(5,$W$7:$W$1469)"/>
        <color rgb="FFF8696B"/>
        <color rgb="FFFFEB84"/>
        <color rgb="FF63BE7B"/>
      </colorScale>
    </cfRule>
  </conditionalFormatting>
  <dataValidations count="2">
    <dataValidation type="decimal" operator="greaterThan" allowBlank="1" showInputMessage="1" showErrorMessage="1" errorTitle="Invalid Number" error="Only a number or decimal number may be entered.  Please no text values.  If the SPA was closed, please enter a &quot;0&quot;." promptTitle="Enter a number" sqref="J7:J1469" xr:uid="{00000000-0002-0000-0000-000000000000}">
      <formula1>-999999</formula1>
    </dataValidation>
    <dataValidation type="decimal" operator="greaterThan" allowBlank="1" showInputMessage="1" showErrorMessage="1" errorTitle="Invalid Number" error="Only a number or decimal number may be entered.  Please no text values.  If the SPA was closed, please enter a &quot;0&quot;.  If you are not sure how to exit this - hit ESC" promptTitle="Enter a number" sqref="AR7:AR1469 L7:L1469 AL7:AL1469 N7:N1469" xr:uid="{00000000-0002-0000-0000-000001000000}">
      <formula1>-999999</formula1>
    </dataValidation>
  </dataValidations>
  <pageMargins left="0.7" right="0.7" top="0.75" bottom="0.75" header="0.3" footer="0.3"/>
  <pageSetup orientation="portrait" horizontalDpi="360" verticalDpi="36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5" id="{ADB31F3B-6E65-4A65-9292-E65A6DB9380E}">
            <x14:iconSet iconSet="3Symbols" custom="1">
              <x14:cfvo type="percent">
                <xm:f>0</xm:f>
              </x14:cfvo>
              <x14:cfvo type="formula">
                <xm:f>$AM$4</xm:f>
              </x14:cfvo>
              <x14:cfvo type="formula">
                <xm:f>$AM$4+0.3*$AM$4</xm:f>
              </x14:cfvo>
              <x14:cfIcon iconSet="3Symbols" iconId="2"/>
              <x14:cfIcon iconSet="3Symbols" iconId="1"/>
              <x14:cfIcon iconSet="3Symbols" iconId="0"/>
            </x14:iconSet>
          </x14:cfRule>
          <xm:sqref>AO7:AQ1469 AU7:AV1469</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G4" sqref="G4"/>
    </sheetView>
  </sheetViews>
  <sheetFormatPr defaultRowHeight="15" x14ac:dyDescent="0.25"/>
  <cols>
    <col min="1" max="8" width="17.140625" customWidth="1"/>
    <col min="9" max="9" width="11.42578125" customWidth="1"/>
    <col min="10" max="10" width="12.5703125" bestFit="1" customWidth="1"/>
    <col min="11" max="11" width="11.5703125" bestFit="1" customWidth="1"/>
    <col min="12" max="12" width="12.5703125" bestFit="1" customWidth="1"/>
    <col min="13" max="13" width="13.140625" customWidth="1"/>
    <col min="14" max="14" width="11.85546875" customWidth="1"/>
    <col min="16" max="16" width="11.5703125" bestFit="1" customWidth="1"/>
  </cols>
  <sheetData>
    <row r="1" spans="1:17" x14ac:dyDescent="0.25">
      <c r="A1" s="105" t="str">
        <f>Tools!C1&amp;": "&amp;DaybyDays!C4&amp;" MONTH BY MONTH COMPARISON - ACTUALS vs PLAN / LY"</f>
        <v>Example: 2020 MONTH BY MONTH COMPARISON - ACTUALS vs PLAN / LY</v>
      </c>
      <c r="B1" s="105"/>
      <c r="C1" s="105"/>
      <c r="D1" s="105"/>
      <c r="E1" s="105"/>
      <c r="F1" s="105"/>
      <c r="G1" s="105"/>
      <c r="H1" s="105"/>
      <c r="I1" s="105"/>
      <c r="J1" s="105"/>
      <c r="K1" s="105"/>
      <c r="L1" s="105"/>
      <c r="M1" s="105"/>
      <c r="N1" s="105"/>
    </row>
    <row r="2" spans="1:17" x14ac:dyDescent="0.25">
      <c r="A2" s="87" t="s">
        <v>80</v>
      </c>
      <c r="B2" s="103" t="str">
        <f>DaybyDays!$C$4&amp;" ACTUAL"</f>
        <v>2020 ACTUAL</v>
      </c>
      <c r="C2" s="103"/>
      <c r="D2" s="2"/>
      <c r="E2" s="104" t="str">
        <f>DaybyDays!$C$4&amp;" PLAN"</f>
        <v>2020 PLAN</v>
      </c>
      <c r="F2" s="104"/>
      <c r="G2" s="104"/>
      <c r="H2" s="2"/>
      <c r="I2" s="88"/>
      <c r="J2" s="103" t="str">
        <f>DaybyDays!$C$4-1&amp;" ACTUAL"</f>
        <v>2019 ACTUAL</v>
      </c>
      <c r="K2" s="103"/>
      <c r="L2" s="2"/>
      <c r="M2" s="2"/>
      <c r="N2" s="2"/>
      <c r="Q2" t="s">
        <v>81</v>
      </c>
    </row>
    <row r="3" spans="1:17" s="4" customFormat="1" ht="56.25" customHeight="1" x14ac:dyDescent="0.25">
      <c r="A3" s="4" t="s">
        <v>82</v>
      </c>
      <c r="B3" s="4" t="s">
        <v>31</v>
      </c>
      <c r="C3" s="4" t="s">
        <v>33</v>
      </c>
      <c r="D3" s="4" t="s">
        <v>83</v>
      </c>
      <c r="E3" s="4" t="s">
        <v>84</v>
      </c>
      <c r="F3" s="4" t="s">
        <v>85</v>
      </c>
      <c r="G3" s="4" t="s">
        <v>86</v>
      </c>
      <c r="H3" s="4" t="s">
        <v>87</v>
      </c>
      <c r="I3" s="4" t="s">
        <v>88</v>
      </c>
      <c r="J3" s="4" t="s">
        <v>53</v>
      </c>
      <c r="K3" s="4" t="s">
        <v>54</v>
      </c>
      <c r="L3" s="4" t="s">
        <v>89</v>
      </c>
      <c r="M3" s="4" t="s">
        <v>90</v>
      </c>
      <c r="N3" s="4" t="s">
        <v>91</v>
      </c>
    </row>
    <row r="4" spans="1:17" ht="18.75" customHeight="1" x14ac:dyDescent="0.25">
      <c r="A4" t="s">
        <v>68</v>
      </c>
      <c r="B4" s="1">
        <f>SUMIFS(DaybyDay[Service-Actuals],DaybyDay[RowYear],DaybyDays!$C$4,DaybyDay[RowMonthHelp],ROW(A1))</f>
        <v>146544.21</v>
      </c>
      <c r="C4" s="1">
        <f>SUMIFS(DaybyDay[Retail-Actuals],DaybyDay[RowYear],DaybyDays!$C$4,DaybyDay[RowMonthHelp],ROW(A1))</f>
        <v>44244.560000000005</v>
      </c>
      <c r="D4" s="3">
        <f>Table3[[#This Row],[Service-Actuals]]+Table3[[#This Row],[Retail-Actuals]]</f>
        <v>190788.77</v>
      </c>
      <c r="E4" s="1">
        <f>SUMIFS(DaybyDay[Service-Budgets],DaybyDay[RowYear],DaybyDays!$C$4,DaybyDay[RowMonthHelp],ROW(A1))</f>
        <v>153091.35134626381</v>
      </c>
      <c r="F4" s="1">
        <f>SUMIFS(DaybyDay[Retail-Budgets],DaybyDay[RowYear],DaybyDays!$C$4,DaybyDay[RowMonthHelp],ROW(A1))</f>
        <v>37538.269557594322</v>
      </c>
      <c r="G4" s="3">
        <f>Table3[[#This Row],[Service-Budget]]+Table3[[#This Row],[Retail-Budget]]</f>
        <v>190629.62090385813</v>
      </c>
      <c r="H4" s="3">
        <f>Table3[[#This Row],[Overall-Actuals]]-Table3[[#This Row],[Overall-Budget]]</f>
        <v>159.14909614186035</v>
      </c>
      <c r="I4" s="5">
        <f>Table3[[#This Row],[Variance to Budget]]/Table3[[#This Row],[Overall-Budget]]</f>
        <v>8.3486026666404261E-4</v>
      </c>
      <c r="J4" s="1">
        <f>SUMIFS(DaybyDay[Service-LY],DaybyDay[RowYear],DaybyDays!$C$4,DaybyDay[RowMonthHelp],ROW(A1))</f>
        <v>135500.49</v>
      </c>
      <c r="K4" s="3">
        <f>SUMIFS(DaybyDay[Retail-LY],DaybyDay[RowYear],DaybyDays!$C$4,DaybyDay[RowMonthHelp],ROW(A1))</f>
        <v>28958.17</v>
      </c>
      <c r="L4" s="3">
        <f>Table3[[#This Row],[Retail-LY]]+Table3[[#This Row],[Service-LY]]</f>
        <v>164458.65999999997</v>
      </c>
      <c r="M4" s="3">
        <f>Table3[[#This Row],[Overall-Actuals]]-Table3[[#This Row],[Overall-LY]]</f>
        <v>26330.110000000015</v>
      </c>
      <c r="N4" s="5">
        <f>Table3[[#This Row],[Variance to LY]]/Table3[[#This Row],[Overall-Actuals]]</f>
        <v>0.13800660279952545</v>
      </c>
    </row>
    <row r="5" spans="1:17" ht="18.75" customHeight="1" x14ac:dyDescent="0.25">
      <c r="A5" t="s">
        <v>69</v>
      </c>
      <c r="B5" s="1">
        <f>SUMIFS(DaybyDay[Service-Actuals],DaybyDay[RowYear],DaybyDays!$C$4,DaybyDay[RowMonthHelp],ROW(A2))</f>
        <v>177343.84</v>
      </c>
      <c r="C5" s="46">
        <f>SUMIFS(DaybyDay[Retail-Actuals],DaybyDay[RowYear],DaybyDays!$C$4,DaybyDay[RowMonthHelp],ROW(A2))</f>
        <v>31219.489999999998</v>
      </c>
      <c r="D5" s="3">
        <f>Table3[[#This Row],[Service-Actuals]]+Table3[[#This Row],[Retail-Actuals]]</f>
        <v>208563.33</v>
      </c>
      <c r="E5" s="1">
        <f>SUMIFS(DaybyDay[Service-Budgets],DaybyDay[RowYear],DaybyDays!$C$4,DaybyDay[RowMonthHelp],ROW(A2))</f>
        <v>164961.65363206642</v>
      </c>
      <c r="F5" s="1">
        <f>SUMIFS(DaybyDay[Retail-Budgets],DaybyDay[RowYear],DaybyDays!$C$4,DaybyDay[RowMonthHelp],ROW(A2))</f>
        <v>39380.964135069764</v>
      </c>
      <c r="G5" s="3">
        <f>Table3[[#This Row],[Service-Budget]]+Table3[[#This Row],[Retail-Budget]]</f>
        <v>204342.61776713619</v>
      </c>
      <c r="H5" s="3">
        <f>Table3[[#This Row],[Overall-Actuals]]-Table3[[#This Row],[Overall-Budget]]</f>
        <v>4220.7122328637925</v>
      </c>
      <c r="I5" s="5">
        <f>Table3[[#This Row],[Variance to Budget]]/Table3[[#This Row],[Overall-Budget]]</f>
        <v>2.0655075671359029E-2</v>
      </c>
      <c r="J5" s="1">
        <f>SUMIFS(DaybyDay[Service-LY],DaybyDay[RowYear],DaybyDays!$C$4,DaybyDay[RowMonthHelp],ROW(A2))</f>
        <v>157700.47999999998</v>
      </c>
      <c r="K5" s="3">
        <f>SUMIFS(DaybyDay[Retail-LY],DaybyDay[RowYear],DaybyDays!$C$4,DaybyDay[RowMonthHelp],ROW(A2))</f>
        <v>34585.689999999995</v>
      </c>
      <c r="L5" s="3">
        <f>Table3[[#This Row],[Retail-LY]]+Table3[[#This Row],[Service-LY]]</f>
        <v>192286.16999999998</v>
      </c>
      <c r="M5" s="3">
        <f>Table3[[#This Row],[Overall-Actuals]]-Table3[[#This Row],[Overall-LY]]</f>
        <v>16277.160000000003</v>
      </c>
      <c r="N5" s="5">
        <f>Table3[[#This Row],[Variance to LY]]/Table3[[#This Row],[Overall-Actuals]]</f>
        <v>7.8044208442586735E-2</v>
      </c>
    </row>
    <row r="6" spans="1:17" ht="18.75" customHeight="1" x14ac:dyDescent="0.25">
      <c r="A6" t="s">
        <v>70</v>
      </c>
      <c r="B6" s="1">
        <f>SUMIFS(DaybyDay[Service-Actuals],DaybyDay[RowYear],DaybyDays!$C$4,DaybyDay[RowMonthHelp],ROW(A3))</f>
        <v>61666.18</v>
      </c>
      <c r="C6" s="1">
        <f>SUMIFS(DaybyDay[Retail-Actuals],DaybyDay[RowYear],DaybyDays!$C$4,DaybyDay[RowMonthHelp],ROW(A3))</f>
        <v>12895.98</v>
      </c>
      <c r="D6" s="3">
        <f>Table3[[#This Row],[Service-Actuals]]+Table3[[#This Row],[Retail-Actuals]]</f>
        <v>74562.16</v>
      </c>
      <c r="E6" s="1">
        <f>SUMIFS(DaybyDay[Service-Budgets],DaybyDay[RowYear],DaybyDays!$C$4,DaybyDay[RowMonthHelp],ROW(A3))</f>
        <v>193885.1864998315</v>
      </c>
      <c r="F6" s="1">
        <f>SUMIFS(DaybyDay[Retail-Budgets],DaybyDay[RowYear],DaybyDays!$C$4,DaybyDay[RowMonthHelp],ROW(A3))</f>
        <v>47149.20259346949</v>
      </c>
      <c r="G6" s="3">
        <f>Table3[[#This Row],[Service-Budget]]+Table3[[#This Row],[Retail-Budget]]</f>
        <v>241034.389093301</v>
      </c>
      <c r="H6" s="3">
        <f>Table3[[#This Row],[Overall-Actuals]]-Table3[[#This Row],[Overall-Budget]]</f>
        <v>-166472.22909330099</v>
      </c>
      <c r="I6" s="5">
        <f>Table3[[#This Row],[Variance to Budget]]/Table3[[#This Row],[Overall-Budget]]</f>
        <v>-0.6906575850836868</v>
      </c>
      <c r="J6" s="1">
        <f>SUMIFS(DaybyDay[Service-LY],DaybyDay[RowYear],DaybyDays!$C$4,DaybyDay[RowMonthHelp],ROW(A3))</f>
        <v>194553.21000000002</v>
      </c>
      <c r="K6" s="3">
        <f>SUMIFS(DaybyDay[Retail-LY],DaybyDay[RowYear],DaybyDays!$C$4,DaybyDay[RowMonthHelp],ROW(A3))</f>
        <v>43748.979999999996</v>
      </c>
      <c r="L6" s="3">
        <f>Table3[[#This Row],[Retail-LY]]+Table3[[#This Row],[Service-LY]]</f>
        <v>238302.19</v>
      </c>
      <c r="M6" s="3">
        <f>Table3[[#This Row],[Overall-Actuals]]-Table3[[#This Row],[Overall-LY]]</f>
        <v>-163740.03</v>
      </c>
      <c r="N6" s="5">
        <f>Table3[[#This Row],[Variance to LY]]/Table3[[#This Row],[Overall-Actuals]]</f>
        <v>-2.1960204747287362</v>
      </c>
    </row>
    <row r="7" spans="1:17" ht="18.75" customHeight="1" x14ac:dyDescent="0.25">
      <c r="A7" t="s">
        <v>71</v>
      </c>
      <c r="B7" s="1">
        <f>SUMIFS(DaybyDay[Service-Actuals],DaybyDay[RowYear],DaybyDays!$C$4,DaybyDay[RowMonthHelp],ROW(A4))</f>
        <v>0</v>
      </c>
      <c r="C7" s="1">
        <f>SUMIFS(DaybyDay[Retail-Actuals],DaybyDay[RowYear],DaybyDays!$C$4,DaybyDay[RowMonthHelp],ROW(A4))</f>
        <v>0</v>
      </c>
      <c r="D7" s="3">
        <f>Table3[[#This Row],[Service-Actuals]]+Table3[[#This Row],[Retail-Actuals]]</f>
        <v>0</v>
      </c>
      <c r="E7" s="1">
        <f>SUMIFS(DaybyDay[Service-Budgets],DaybyDay[RowYear],DaybyDays!$C$4,DaybyDay[RowMonthHelp],ROW(A4))</f>
        <v>141752.46139463346</v>
      </c>
      <c r="F7" s="1">
        <f>SUMIFS(DaybyDay[Retail-Budgets],DaybyDay[RowYear],DaybyDays!$C$4,DaybyDay[RowMonthHelp],ROW(A4))</f>
        <v>37294.077817524718</v>
      </c>
      <c r="G7" s="3">
        <f>Table3[[#This Row],[Service-Budget]]+Table3[[#This Row],[Retail-Budget]]</f>
        <v>179046.53921215818</v>
      </c>
      <c r="H7" s="3">
        <f>Table3[[#This Row],[Overall-Actuals]]-Table3[[#This Row],[Overall-Budget]]</f>
        <v>-179046.53921215818</v>
      </c>
      <c r="I7" s="5">
        <f>Table3[[#This Row],[Variance to Budget]]/Table3[[#This Row],[Overall-Budget]]</f>
        <v>-1</v>
      </c>
      <c r="J7" s="1">
        <f>SUMIFS(DaybyDay[Service-LY],DaybyDay[RowYear],DaybyDays!$C$4,DaybyDay[RowMonthHelp],ROW(A4))</f>
        <v>131807.72</v>
      </c>
      <c r="K7" s="3">
        <f>SUMIFS(DaybyDay[Retail-LY],DaybyDay[RowYear],DaybyDays!$C$4,DaybyDay[RowMonthHelp],ROW(A4))</f>
        <v>33374.199999999997</v>
      </c>
      <c r="L7" s="3">
        <f>Table3[[#This Row],[Retail-LY]]+Table3[[#This Row],[Service-LY]]</f>
        <v>165181.91999999998</v>
      </c>
      <c r="M7" s="3">
        <f>Table3[[#This Row],[Overall-Actuals]]-Table3[[#This Row],[Overall-LY]]</f>
        <v>-165181.91999999998</v>
      </c>
      <c r="N7" s="5" t="e">
        <f>Table3[[#This Row],[Variance to LY]]/Table3[[#This Row],[Overall-Actuals]]</f>
        <v>#DIV/0!</v>
      </c>
    </row>
    <row r="8" spans="1:17" ht="18.75" customHeight="1" x14ac:dyDescent="0.25">
      <c r="A8" t="s">
        <v>72</v>
      </c>
      <c r="B8" s="1">
        <f>SUMIFS(DaybyDay[Service-Actuals],DaybyDay[RowYear],DaybyDays!$C$4,DaybyDay[RowMonthHelp],ROW(A5))</f>
        <v>0</v>
      </c>
      <c r="C8" s="1">
        <f>SUMIFS(DaybyDay[Retail-Actuals],DaybyDay[RowYear],DaybyDays!$C$4,DaybyDay[RowMonthHelp],ROW(A5))</f>
        <v>0</v>
      </c>
      <c r="D8" s="3">
        <f>Table3[[#This Row],[Service-Actuals]]+Table3[[#This Row],[Retail-Actuals]]</f>
        <v>0</v>
      </c>
      <c r="E8" s="1">
        <f>SUMIFS(DaybyDay[Service-Budgets],DaybyDay[RowYear],DaybyDays!$C$4,DaybyDay[RowMonthHelp],ROW(A5))</f>
        <v>165680.50987941193</v>
      </c>
      <c r="F8" s="1">
        <f>SUMIFS(DaybyDay[Retail-Budgets],DaybyDay[RowYear],DaybyDays!$C$4,DaybyDay[RowMonthHelp],ROW(A5))</f>
        <v>43552.160370176949</v>
      </c>
      <c r="G8" s="3">
        <f>Table3[[#This Row],[Service-Budget]]+Table3[[#This Row],[Retail-Budget]]</f>
        <v>209232.67024958887</v>
      </c>
      <c r="H8" s="3">
        <f>Table3[[#This Row],[Overall-Actuals]]-Table3[[#This Row],[Overall-Budget]]</f>
        <v>-209232.67024958887</v>
      </c>
      <c r="I8" s="5">
        <f>Table3[[#This Row],[Variance to Budget]]/Table3[[#This Row],[Overall-Budget]]</f>
        <v>-1</v>
      </c>
      <c r="J8" s="1">
        <f>SUMIFS(DaybyDay[Service-LY],DaybyDay[RowYear],DaybyDays!$C$4,DaybyDay[RowMonthHelp],ROW(A5))</f>
        <v>151209.31999999998</v>
      </c>
      <c r="K8" s="3">
        <f>SUMIFS(DaybyDay[Retail-LY],DaybyDay[RowYear],DaybyDays!$C$4,DaybyDay[RowMonthHelp],ROW(A5))</f>
        <v>43988.86</v>
      </c>
      <c r="L8" s="3">
        <f>Table3[[#This Row],[Retail-LY]]+Table3[[#This Row],[Service-LY]]</f>
        <v>195198.18</v>
      </c>
      <c r="M8" s="3">
        <f>Table3[[#This Row],[Overall-Actuals]]-Table3[[#This Row],[Overall-LY]]</f>
        <v>-195198.18</v>
      </c>
      <c r="N8" s="5" t="e">
        <f>Table3[[#This Row],[Variance to LY]]/Table3[[#This Row],[Overall-Actuals]]</f>
        <v>#DIV/0!</v>
      </c>
      <c r="P8" s="3"/>
    </row>
    <row r="9" spans="1:17" ht="18.75" customHeight="1" x14ac:dyDescent="0.25">
      <c r="A9" t="s">
        <v>73</v>
      </c>
      <c r="B9" s="1">
        <f>SUMIFS(DaybyDay[Service-Actuals],DaybyDay[RowYear],DaybyDays!$C$4,DaybyDay[RowMonthHelp],ROW(A6))</f>
        <v>0</v>
      </c>
      <c r="C9" s="1">
        <f>SUMIFS(DaybyDay[Retail-Actuals],DaybyDay[RowYear],DaybyDays!$C$4,DaybyDay[RowMonthHelp],ROW(A6))</f>
        <v>0</v>
      </c>
      <c r="D9" s="3">
        <f>Table3[[#This Row],[Service-Actuals]]+Table3[[#This Row],[Retail-Actuals]]</f>
        <v>0</v>
      </c>
      <c r="E9" s="1">
        <f>SUMIFS(DaybyDay[Service-Budgets],DaybyDay[RowYear],DaybyDays!$C$4,DaybyDay[RowMonthHelp],ROW(A6))</f>
        <v>181912.25843816865</v>
      </c>
      <c r="F9" s="1">
        <f>SUMIFS(DaybyDay[Retail-Budgets],DaybyDay[RowYear],DaybyDays!$C$4,DaybyDay[RowMonthHelp],ROW(A6))</f>
        <v>46824.894906527283</v>
      </c>
      <c r="G9" s="3">
        <f>Table3[[#This Row],[Service-Budget]]+Table3[[#This Row],[Retail-Budget]]</f>
        <v>228737.15334469592</v>
      </c>
      <c r="H9" s="3">
        <f>Table3[[#This Row],[Overall-Actuals]]-Table3[[#This Row],[Overall-Budget]]</f>
        <v>-228737.15334469592</v>
      </c>
      <c r="I9" s="5">
        <f>Table3[[#This Row],[Variance to Budget]]/Table3[[#This Row],[Overall-Budget]]</f>
        <v>-1</v>
      </c>
      <c r="J9" s="1">
        <f>SUMIFS(DaybyDay[Service-LY],DaybyDay[RowYear],DaybyDays!$C$4,DaybyDay[RowMonthHelp],ROW(A6))</f>
        <v>149059.62000000002</v>
      </c>
      <c r="K9" s="3">
        <f>SUMIFS(DaybyDay[Retail-LY],DaybyDay[RowYear],DaybyDays!$C$4,DaybyDay[RowMonthHelp],ROW(A6))</f>
        <v>39199.160000000003</v>
      </c>
      <c r="L9" s="3">
        <f>Table3[[#This Row],[Retail-LY]]+Table3[[#This Row],[Service-LY]]</f>
        <v>188258.78000000003</v>
      </c>
      <c r="M9" s="3">
        <f>Table3[[#This Row],[Overall-Actuals]]-Table3[[#This Row],[Overall-LY]]</f>
        <v>-188258.78000000003</v>
      </c>
      <c r="N9" s="5" t="e">
        <f>Table3[[#This Row],[Variance to LY]]/Table3[[#This Row],[Overall-Actuals]]</f>
        <v>#DIV/0!</v>
      </c>
    </row>
    <row r="10" spans="1:17" ht="18.75" customHeight="1" x14ac:dyDescent="0.25">
      <c r="A10" t="s">
        <v>74</v>
      </c>
      <c r="B10" s="1">
        <f>SUMIFS(DaybyDay[Service-Actuals],DaybyDay[RowYear],DaybyDays!$C$4,DaybyDay[RowMonthHelp],ROW(A7))</f>
        <v>0</v>
      </c>
      <c r="C10" s="1">
        <f>SUMIFS(DaybyDay[Retail-Actuals],DaybyDay[RowYear],DaybyDays!$C$4,DaybyDay[RowMonthHelp],ROW(A7))</f>
        <v>0</v>
      </c>
      <c r="D10" s="3">
        <f>Table3[[#This Row],[Service-Actuals]]+Table3[[#This Row],[Retail-Actuals]]</f>
        <v>0</v>
      </c>
      <c r="E10" s="1">
        <f>SUMIFS(DaybyDay[Service-Budgets],DaybyDay[RowYear],DaybyDays!$C$4,DaybyDay[RowMonthHelp],ROW(A7))</f>
        <v>144113.40909103252</v>
      </c>
      <c r="F10" s="1">
        <f>SUMIFS(DaybyDay[Retail-Budgets],DaybyDay[RowYear],DaybyDays!$C$4,DaybyDay[RowMonthHelp],ROW(A7))</f>
        <v>35945.815041703594</v>
      </c>
      <c r="G10" s="3">
        <f>Table3[[#This Row],[Service-Budget]]+Table3[[#This Row],[Retail-Budget]]</f>
        <v>180059.2241327361</v>
      </c>
      <c r="H10" s="3">
        <f>Table3[[#This Row],[Overall-Actuals]]-Table3[[#This Row],[Overall-Budget]]</f>
        <v>-180059.2241327361</v>
      </c>
      <c r="I10" s="5">
        <f>Table3[[#This Row],[Variance to Budget]]/Table3[[#This Row],[Overall-Budget]]</f>
        <v>-1</v>
      </c>
      <c r="J10" s="1">
        <f>SUMIFS(DaybyDay[Service-LY],DaybyDay[RowYear],DaybyDays!$C$4,DaybyDay[RowMonthHelp],ROW(A7))</f>
        <v>126118.64099999999</v>
      </c>
      <c r="K10" s="3">
        <f>SUMIFS(DaybyDay[Retail-LY],DaybyDay[RowYear],DaybyDays!$C$4,DaybyDay[RowMonthHelp],ROW(A7))</f>
        <v>26913.299999999996</v>
      </c>
      <c r="L10" s="3">
        <f>Table3[[#This Row],[Retail-LY]]+Table3[[#This Row],[Service-LY]]</f>
        <v>153031.94099999999</v>
      </c>
      <c r="M10" s="3">
        <f>Table3[[#This Row],[Overall-Actuals]]-Table3[[#This Row],[Overall-LY]]</f>
        <v>-153031.94099999999</v>
      </c>
      <c r="N10" s="5" t="e">
        <f>Table3[[#This Row],[Variance to LY]]/Table3[[#This Row],[Overall-Actuals]]</f>
        <v>#DIV/0!</v>
      </c>
    </row>
    <row r="11" spans="1:17" ht="18.75" customHeight="1" x14ac:dyDescent="0.25">
      <c r="A11" t="s">
        <v>75</v>
      </c>
      <c r="B11" s="1">
        <f>SUMIFS(DaybyDay[Service-Actuals],DaybyDay[RowYear],DaybyDays!$C$4,DaybyDay[RowMonthHelp],ROW(A8))</f>
        <v>0</v>
      </c>
      <c r="C11" s="1">
        <f>SUMIFS(DaybyDay[Retail-Actuals],DaybyDay[RowYear],DaybyDays!$C$4,DaybyDay[RowMonthHelp],ROW(A8))</f>
        <v>0</v>
      </c>
      <c r="D11" s="3">
        <f>Table3[[#This Row],[Service-Actuals]]+Table3[[#This Row],[Retail-Actuals]]</f>
        <v>0</v>
      </c>
      <c r="E11" s="1">
        <f>SUMIFS(DaybyDay[Service-Budgets],DaybyDay[RowYear],DaybyDays!$C$4,DaybyDay[RowMonthHelp],ROW(A8))</f>
        <v>141350.63665418015</v>
      </c>
      <c r="F11" s="1">
        <f>SUMIFS(DaybyDay[Retail-Budgets],DaybyDay[RowYear],DaybyDays!$C$4,DaybyDay[RowMonthHelp],ROW(A8))</f>
        <v>34825.48904395826</v>
      </c>
      <c r="G11" s="3">
        <f>Table3[[#This Row],[Service-Budget]]+Table3[[#This Row],[Retail-Budget]]</f>
        <v>176176.12569813841</v>
      </c>
      <c r="H11" s="3">
        <f>Table3[[#This Row],[Overall-Actuals]]-Table3[[#This Row],[Overall-Budget]]</f>
        <v>-176176.12569813841</v>
      </c>
      <c r="I11" s="5">
        <f>Table3[[#This Row],[Variance to Budget]]/Table3[[#This Row],[Overall-Budget]]</f>
        <v>-1</v>
      </c>
      <c r="J11" s="1">
        <f>SUMIFS(DaybyDay[Service-LY],DaybyDay[RowYear],DaybyDays!$C$4,DaybyDay[RowMonthHelp],ROW(A8))</f>
        <v>119489.51</v>
      </c>
      <c r="K11" s="3">
        <f>SUMIFS(DaybyDay[Retail-LY],DaybyDay[RowYear],DaybyDays!$C$4,DaybyDay[RowMonthHelp],ROW(A8))</f>
        <v>28633.06</v>
      </c>
      <c r="L11" s="3">
        <f>Table3[[#This Row],[Retail-LY]]+Table3[[#This Row],[Service-LY]]</f>
        <v>148122.57</v>
      </c>
      <c r="M11" s="3">
        <f>Table3[[#This Row],[Overall-Actuals]]-Table3[[#This Row],[Overall-LY]]</f>
        <v>-148122.57</v>
      </c>
      <c r="N11" s="5" t="e">
        <f>Table3[[#This Row],[Variance to LY]]/Table3[[#This Row],[Overall-Actuals]]</f>
        <v>#DIV/0!</v>
      </c>
    </row>
    <row r="12" spans="1:17" ht="18.75" customHeight="1" x14ac:dyDescent="0.25">
      <c r="A12" t="s">
        <v>76</v>
      </c>
      <c r="B12" s="1">
        <f>SUMIFS(DaybyDay[Service-Actuals],DaybyDay[RowYear],DaybyDays!$C$4,DaybyDay[RowMonthHelp],ROW(A9))</f>
        <v>0</v>
      </c>
      <c r="C12" s="1">
        <f>SUMIFS(DaybyDay[Retail-Actuals],DaybyDay[RowYear],DaybyDays!$C$4,DaybyDay[RowMonthHelp],ROW(A9))</f>
        <v>0</v>
      </c>
      <c r="D12" s="3">
        <f>Table3[[#This Row],[Service-Actuals]]+Table3[[#This Row],[Retail-Actuals]]</f>
        <v>0</v>
      </c>
      <c r="E12" s="1">
        <f>SUMIFS(DaybyDay[Service-Budgets],DaybyDay[RowYear],DaybyDays!$C$4,DaybyDay[RowMonthHelp],ROW(A9))</f>
        <v>173258.80698850667</v>
      </c>
      <c r="F12" s="1">
        <f>SUMIFS(DaybyDay[Retail-Budgets],DaybyDay[RowYear],DaybyDays!$C$4,DaybyDay[RowMonthHelp],ROW(A9))</f>
        <v>54234.536405218321</v>
      </c>
      <c r="G12" s="3">
        <f>Table3[[#This Row],[Service-Budget]]+Table3[[#This Row],[Retail-Budget]]</f>
        <v>227493.34339372499</v>
      </c>
      <c r="H12" s="3">
        <f>Table3[[#This Row],[Overall-Actuals]]-Table3[[#This Row],[Overall-Budget]]</f>
        <v>-227493.34339372499</v>
      </c>
      <c r="I12" s="5">
        <f>Table3[[#This Row],[Variance to Budget]]/Table3[[#This Row],[Overall-Budget]]</f>
        <v>-1</v>
      </c>
      <c r="J12" s="1">
        <f>SUMIFS(DaybyDay[Service-LY],DaybyDay[RowYear],DaybyDays!$C$4,DaybyDay[RowMonthHelp],ROW(A9))</f>
        <v>151900.18</v>
      </c>
      <c r="K12" s="3">
        <f>SUMIFS(DaybyDay[Retail-LY],DaybyDay[RowYear],DaybyDays!$C$4,DaybyDay[RowMonthHelp],ROW(A9))</f>
        <v>43412</v>
      </c>
      <c r="L12" s="3">
        <f>Table3[[#This Row],[Retail-LY]]+Table3[[#This Row],[Service-LY]]</f>
        <v>195312.18</v>
      </c>
      <c r="M12" s="3">
        <f>Table3[[#This Row],[Overall-Actuals]]-Table3[[#This Row],[Overall-LY]]</f>
        <v>-195312.18</v>
      </c>
      <c r="N12" s="5" t="e">
        <f>Table3[[#This Row],[Variance to LY]]/Table3[[#This Row],[Overall-Actuals]]</f>
        <v>#DIV/0!</v>
      </c>
    </row>
    <row r="13" spans="1:17" ht="18.75" customHeight="1" x14ac:dyDescent="0.25">
      <c r="A13" t="s">
        <v>77</v>
      </c>
      <c r="B13" s="1">
        <f>SUMIFS(DaybyDay[Service-Actuals],DaybyDay[RowYear],DaybyDays!$C$4,DaybyDay[RowMonthHelp],ROW(A10))</f>
        <v>0</v>
      </c>
      <c r="C13" s="1">
        <f>SUMIFS(DaybyDay[Retail-Actuals],DaybyDay[RowYear],DaybyDays!$C$4,DaybyDay[RowMonthHelp],ROW(A10))</f>
        <v>0</v>
      </c>
      <c r="D13" s="3">
        <f>Table3[[#This Row],[Service-Actuals]]+Table3[[#This Row],[Retail-Actuals]]</f>
        <v>0</v>
      </c>
      <c r="E13" s="1">
        <f>SUMIFS(DaybyDay[Service-Budgets],DaybyDay[RowYear],DaybyDays!$C$4,DaybyDay[RowMonthHelp],ROW(A10))</f>
        <v>154904.77965460948</v>
      </c>
      <c r="F13" s="1">
        <f>SUMIFS(DaybyDay[Retail-Budgets],DaybyDay[RowYear],DaybyDays!$C$4,DaybyDay[RowMonthHelp],ROW(A10))</f>
        <v>39622.428680625824</v>
      </c>
      <c r="G13" s="3">
        <f>Table3[[#This Row],[Service-Budget]]+Table3[[#This Row],[Retail-Budget]]</f>
        <v>194527.20833523531</v>
      </c>
      <c r="H13" s="3">
        <f>Table3[[#This Row],[Overall-Actuals]]-Table3[[#This Row],[Overall-Budget]]</f>
        <v>-194527.20833523531</v>
      </c>
      <c r="I13" s="5">
        <f>Table3[[#This Row],[Variance to Budget]]/Table3[[#This Row],[Overall-Budget]]</f>
        <v>-1</v>
      </c>
      <c r="J13" s="1">
        <f>SUMIFS(DaybyDay[Service-LY],DaybyDay[RowYear],DaybyDays!$C$4,DaybyDay[RowMonthHelp],ROW(A10))</f>
        <v>141410.65</v>
      </c>
      <c r="K13" s="3">
        <f>SUMIFS(DaybyDay[Retail-LY],DaybyDay[RowYear],DaybyDays!$C$4,DaybyDay[RowMonthHelp],ROW(A10))</f>
        <v>25836.339999999997</v>
      </c>
      <c r="L13" s="3">
        <f>Table3[[#This Row],[Retail-LY]]+Table3[[#This Row],[Service-LY]]</f>
        <v>167246.99</v>
      </c>
      <c r="M13" s="3">
        <f>Table3[[#This Row],[Overall-Actuals]]-Table3[[#This Row],[Overall-LY]]</f>
        <v>-167246.99</v>
      </c>
      <c r="N13" s="5" t="e">
        <f>Table3[[#This Row],[Variance to LY]]/Table3[[#This Row],[Overall-Actuals]]</f>
        <v>#DIV/0!</v>
      </c>
    </row>
    <row r="14" spans="1:17" ht="18.75" customHeight="1" x14ac:dyDescent="0.25">
      <c r="A14" t="s">
        <v>78</v>
      </c>
      <c r="B14" s="1">
        <f>SUMIFS(DaybyDay[Service-Actuals],DaybyDay[RowYear],DaybyDays!$C$4,DaybyDay[RowMonthHelp],ROW(A11))</f>
        <v>0</v>
      </c>
      <c r="C14" s="1">
        <f>SUMIFS(DaybyDay[Retail-Actuals],DaybyDay[RowYear],DaybyDays!$C$4,DaybyDay[RowMonthHelp],ROW(A11))</f>
        <v>0</v>
      </c>
      <c r="D14" s="3">
        <f>Table3[[#This Row],[Service-Actuals]]+Table3[[#This Row],[Retail-Actuals]]</f>
        <v>0</v>
      </c>
      <c r="E14" s="1">
        <f>SUMIFS(DaybyDay[Service-Budgets],DaybyDay[RowYear],DaybyDays!$C$4,DaybyDay[RowMonthHelp],ROW(A11))</f>
        <v>161924.92539112756</v>
      </c>
      <c r="F14" s="1">
        <f>SUMIFS(DaybyDay[Retail-Budgets],DaybyDay[RowYear],DaybyDays!$C$4,DaybyDay[RowMonthHelp],ROW(A11))</f>
        <v>59303.967388627287</v>
      </c>
      <c r="G14" s="3">
        <f>Table3[[#This Row],[Service-Budget]]+Table3[[#This Row],[Retail-Budget]]</f>
        <v>221228.89277975485</v>
      </c>
      <c r="H14" s="3">
        <f>Table3[[#This Row],[Overall-Actuals]]-Table3[[#This Row],[Overall-Budget]]</f>
        <v>-221228.89277975485</v>
      </c>
      <c r="I14" s="5">
        <f>Table3[[#This Row],[Variance to Budget]]/Table3[[#This Row],[Overall-Budget]]</f>
        <v>-1</v>
      </c>
      <c r="J14" s="1">
        <f>SUMIFS(DaybyDay[Service-LY],DaybyDay[RowYear],DaybyDays!$C$4,DaybyDay[RowMonthHelp],ROW(A11))</f>
        <v>141947.88000000003</v>
      </c>
      <c r="K14" s="3">
        <f>SUMIFS(DaybyDay[Retail-LY],DaybyDay[RowYear],DaybyDays!$C$4,DaybyDay[RowMonthHelp],ROW(A11))</f>
        <v>46906.310000000005</v>
      </c>
      <c r="L14" s="3">
        <f>Table3[[#This Row],[Retail-LY]]+Table3[[#This Row],[Service-LY]]</f>
        <v>188854.19000000003</v>
      </c>
      <c r="M14" s="3">
        <f>Table3[[#This Row],[Overall-Actuals]]-Table3[[#This Row],[Overall-LY]]</f>
        <v>-188854.19000000003</v>
      </c>
      <c r="N14" s="5" t="e">
        <f>Table3[[#This Row],[Variance to LY]]/Table3[[#This Row],[Overall-Actuals]]</f>
        <v>#DIV/0!</v>
      </c>
    </row>
    <row r="15" spans="1:17" ht="18.75" customHeight="1" x14ac:dyDescent="0.25">
      <c r="A15" t="s">
        <v>79</v>
      </c>
      <c r="B15" s="1">
        <f>SUMIFS(DaybyDay[Service-Actuals],DaybyDay[RowYear],DaybyDays!$C$4,DaybyDay[RowMonthHelp],ROW(A12))</f>
        <v>0</v>
      </c>
      <c r="C15" s="1">
        <f>SUMIFS(DaybyDay[Retail-Actuals],DaybyDay[RowYear],DaybyDays!$C$4,DaybyDay[RowMonthHelp],ROW(A12))</f>
        <v>0</v>
      </c>
      <c r="D15" s="3">
        <f>Table3[[#This Row],[Service-Actuals]]+Table3[[#This Row],[Retail-Actuals]]</f>
        <v>0</v>
      </c>
      <c r="E15" s="1">
        <f>SUMIFS(DaybyDay[Service-Budgets],DaybyDay[RowYear],DaybyDays!$C$4,DaybyDay[RowMonthHelp],ROW(A12))</f>
        <v>196877.22981439257</v>
      </c>
      <c r="F15" s="1">
        <f>SUMIFS(DaybyDay[Retail-Budgets],DaybyDay[RowYear],DaybyDays!$C$4,DaybyDay[RowMonthHelp],ROW(A12))</f>
        <v>57479.235048752431</v>
      </c>
      <c r="G15" s="3">
        <f>Table3[[#This Row],[Service-Budget]]+Table3[[#This Row],[Retail-Budget]]</f>
        <v>254356.464863145</v>
      </c>
      <c r="H15" s="3">
        <f>Table3[[#This Row],[Overall-Actuals]]-Table3[[#This Row],[Overall-Budget]]</f>
        <v>-254356.464863145</v>
      </c>
      <c r="I15" s="5">
        <f>Table3[[#This Row],[Variance to Budget]]/Table3[[#This Row],[Overall-Budget]]</f>
        <v>-1</v>
      </c>
      <c r="J15" s="1">
        <f>SUMIFS(DaybyDay[Service-LY],DaybyDay[RowYear],DaybyDays!$C$4,DaybyDay[RowMonthHelp],ROW(A12))</f>
        <v>210768.18999999994</v>
      </c>
      <c r="K15" s="3">
        <f>SUMIFS(DaybyDay[Retail-LY],DaybyDay[RowYear],DaybyDays!$C$4,DaybyDay[RowMonthHelp],ROW(A12))</f>
        <v>61140.94000000001</v>
      </c>
      <c r="L15" s="3">
        <f>Table3[[#This Row],[Retail-LY]]+Table3[[#This Row],[Service-LY]]</f>
        <v>271909.12999999995</v>
      </c>
      <c r="M15" s="3">
        <f>Table3[[#This Row],[Overall-Actuals]]-Table3[[#This Row],[Overall-LY]]</f>
        <v>-271909.12999999995</v>
      </c>
      <c r="N15" s="5" t="e">
        <f>Table3[[#This Row],[Variance to LY]]/Table3[[#This Row],[Overall-Actuals]]</f>
        <v>#DIV/0!</v>
      </c>
    </row>
  </sheetData>
  <sheetProtection algorithmName="SHA-512" hashValue="3tlk5hN3rnODFd5ftdu4onZ61WGBgYL2DMmafBKhI3olI9a6PpKX6YGjXqn3C0LSR+/R6Ano6ugybGu26rSuog==" saltValue="zI4MQbPYuqCaFnsvCYeXYw==" spinCount="100000" sheet="1" objects="1" scenarios="1"/>
  <mergeCells count="4">
    <mergeCell ref="B2:C2"/>
    <mergeCell ref="J2:K2"/>
    <mergeCell ref="E2:G2"/>
    <mergeCell ref="A1:N1"/>
  </mergeCells>
  <phoneticPr fontId="3"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588"/>
  <sheetViews>
    <sheetView showGridLines="0" workbookViewId="0">
      <selection activeCell="C2" sqref="C2"/>
    </sheetView>
  </sheetViews>
  <sheetFormatPr defaultRowHeight="15" x14ac:dyDescent="0.25"/>
  <cols>
    <col min="3" max="3" width="10" bestFit="1" customWidth="1"/>
    <col min="6" max="6" width="9.140625" customWidth="1"/>
    <col min="9" max="9" width="15.7109375" bestFit="1" customWidth="1"/>
    <col min="18" max="20" width="11.5703125" bestFit="1" customWidth="1"/>
    <col min="21" max="22" width="10.7109375" bestFit="1" customWidth="1"/>
    <col min="23" max="24" width="11.5703125" bestFit="1" customWidth="1"/>
    <col min="25" max="25" width="10.7109375" bestFit="1" customWidth="1"/>
  </cols>
  <sheetData>
    <row r="1" spans="1:25" x14ac:dyDescent="0.25">
      <c r="A1" s="44" t="s">
        <v>92</v>
      </c>
      <c r="B1" s="44"/>
      <c r="C1" t="s">
        <v>129</v>
      </c>
      <c r="R1" t="str">
        <f>R2&amp;CHAR(10)&amp;"DOW:  YOY Service and RetPen"</f>
        <v>Example: Fiscal January
DOW:  YOY Service and RetPen</v>
      </c>
    </row>
    <row r="2" spans="1:25" x14ac:dyDescent="0.25">
      <c r="A2" t="s">
        <v>93</v>
      </c>
      <c r="B2" t="s">
        <v>94</v>
      </c>
      <c r="C2" t="s">
        <v>84</v>
      </c>
      <c r="D2" t="s">
        <v>85</v>
      </c>
      <c r="F2" t="s">
        <v>95</v>
      </c>
      <c r="G2" t="s">
        <v>96</v>
      </c>
      <c r="I2" t="s">
        <v>97</v>
      </c>
      <c r="J2" t="s">
        <v>29</v>
      </c>
      <c r="K2" t="s">
        <v>98</v>
      </c>
      <c r="L2" t="s">
        <v>99</v>
      </c>
      <c r="M2" t="s">
        <v>100</v>
      </c>
      <c r="N2" t="s">
        <v>101</v>
      </c>
      <c r="O2" t="s">
        <v>102</v>
      </c>
      <c r="P2" t="s">
        <v>103</v>
      </c>
      <c r="R2" t="str" cm="1">
        <f t="array" ref="R2">C1&amp;": Fiscal "&amp;IF(DaybyDays!C4&lt;&gt;DaybyDays!D1,"ERROR: Please only make ONE year selection",
IF(DaybyDays!C2=DaybyDays!C3,INDEX('Summary Page'!$A$4:$A$15,
DaybyDays!C2),
INDEX('Summary Page'!$A$4:$A$15,
DaybyDays!C2)&amp;" through "&amp;INDEX('Summary Page'!$A$4:$A$15,
DaybyDays!C3)))</f>
        <v>Example: Fiscal January</v>
      </c>
    </row>
    <row r="3" spans="1:25" x14ac:dyDescent="0.25">
      <c r="A3" t="s">
        <v>68</v>
      </c>
      <c r="B3">
        <v>2020</v>
      </c>
      <c r="C3" s="43">
        <v>153091.35134626381</v>
      </c>
      <c r="D3" s="43">
        <v>37538.269557594322</v>
      </c>
      <c r="F3" s="7">
        <v>42736</v>
      </c>
      <c r="G3">
        <v>4.4017768320487732E-2</v>
      </c>
      <c r="I3" s="7">
        <v>42736</v>
      </c>
      <c r="J3">
        <v>14</v>
      </c>
      <c r="K3">
        <v>3747.5</v>
      </c>
      <c r="L3">
        <v>394</v>
      </c>
      <c r="M3">
        <v>0</v>
      </c>
      <c r="N3">
        <v>0</v>
      </c>
      <c r="O3" t="s">
        <v>68</v>
      </c>
      <c r="P3">
        <v>2017</v>
      </c>
      <c r="R3" s="8" t="str">
        <f>Tools!R2&amp;": Retail Penn %"</f>
        <v>Example: Fiscal January: Retail Penn %</v>
      </c>
    </row>
    <row r="4" spans="1:25" x14ac:dyDescent="0.25">
      <c r="A4" t="s">
        <v>69</v>
      </c>
      <c r="B4">
        <v>2020</v>
      </c>
      <c r="C4" s="43">
        <v>164961.65363206639</v>
      </c>
      <c r="D4" s="43">
        <v>39380.964135069778</v>
      </c>
      <c r="F4" s="7">
        <v>42737</v>
      </c>
      <c r="G4">
        <v>2.8955994688089588E-2</v>
      </c>
      <c r="I4" s="7">
        <v>42737</v>
      </c>
      <c r="J4">
        <v>36</v>
      </c>
      <c r="K4">
        <v>5737.63</v>
      </c>
      <c r="L4">
        <v>77</v>
      </c>
      <c r="M4">
        <v>0</v>
      </c>
      <c r="N4">
        <v>0</v>
      </c>
      <c r="O4" t="s">
        <v>68</v>
      </c>
      <c r="P4">
        <v>2017</v>
      </c>
      <c r="R4" t="str">
        <f>Tools!R2&amp;CHAR(10)&amp;"Treatment: YOY Volume &amp; ATR"&amp;CHAR(10)&amp;"*does not include retail revenues"</f>
        <v>Example: Fiscal January
Treatment: YOY Volume &amp; ATR
*does not include retail revenues</v>
      </c>
      <c r="S4" s="53">
        <v>1</v>
      </c>
      <c r="T4" s="53">
        <v>2</v>
      </c>
      <c r="U4" s="53">
        <v>3</v>
      </c>
      <c r="V4" s="53">
        <v>4</v>
      </c>
      <c r="W4" s="53">
        <v>5</v>
      </c>
      <c r="X4" s="53">
        <v>6</v>
      </c>
      <c r="Y4" s="53">
        <v>7</v>
      </c>
    </row>
    <row r="5" spans="1:25" x14ac:dyDescent="0.25">
      <c r="A5" t="s">
        <v>70</v>
      </c>
      <c r="B5">
        <v>2020</v>
      </c>
      <c r="C5" s="43">
        <v>193885.1864998315</v>
      </c>
      <c r="D5" s="43">
        <v>47149.202593469483</v>
      </c>
      <c r="F5" s="7">
        <v>42738</v>
      </c>
      <c r="G5">
        <v>2.9374236383877306E-2</v>
      </c>
      <c r="I5" s="7">
        <v>42738</v>
      </c>
      <c r="J5">
        <v>37</v>
      </c>
      <c r="K5">
        <v>6867.59</v>
      </c>
      <c r="L5">
        <v>311</v>
      </c>
      <c r="M5">
        <v>0</v>
      </c>
      <c r="N5">
        <v>0</v>
      </c>
      <c r="O5" t="s">
        <v>68</v>
      </c>
      <c r="P5">
        <v>2017</v>
      </c>
      <c r="R5" t="s">
        <v>104</v>
      </c>
      <c r="S5" s="46">
        <f>Tools!S10/S7</f>
        <v>181.90726190476192</v>
      </c>
      <c r="T5" s="46">
        <f>Tools!T10/T7</f>
        <v>242.81279411764706</v>
      </c>
      <c r="U5" s="46">
        <f>Tools!U10/U7</f>
        <v>178.21929824561403</v>
      </c>
      <c r="V5" s="46">
        <f>Tools!V10/V7</f>
        <v>166.76091954022991</v>
      </c>
      <c r="W5" s="46">
        <f>Tools!W10/W7</f>
        <v>177.28629032258064</v>
      </c>
      <c r="X5" s="46">
        <f>Tools!X10/X7</f>
        <v>181.03034482758622</v>
      </c>
      <c r="Y5" s="46">
        <f>Tools!Y10/Y7</f>
        <v>210.90911330049263</v>
      </c>
    </row>
    <row r="6" spans="1:25" x14ac:dyDescent="0.25">
      <c r="A6" t="s">
        <v>71</v>
      </c>
      <c r="B6">
        <v>2020</v>
      </c>
      <c r="C6" s="43">
        <v>141752.46139463343</v>
      </c>
      <c r="D6" s="43">
        <v>37294.077817524703</v>
      </c>
      <c r="F6" s="7">
        <v>42739</v>
      </c>
      <c r="G6">
        <v>3.2501779029422168E-2</v>
      </c>
      <c r="I6" s="7">
        <v>42739</v>
      </c>
      <c r="J6">
        <v>36</v>
      </c>
      <c r="K6">
        <v>4762.42</v>
      </c>
      <c r="L6">
        <v>0</v>
      </c>
      <c r="M6">
        <v>0</v>
      </c>
      <c r="N6">
        <v>0</v>
      </c>
      <c r="O6" t="s">
        <v>68</v>
      </c>
      <c r="P6">
        <v>2017</v>
      </c>
      <c r="R6" t="s">
        <v>105</v>
      </c>
      <c r="S6" s="46">
        <f>S13/S8</f>
        <v>222.25094017094017</v>
      </c>
      <c r="T6" s="46">
        <f t="shared" ref="T6:Y6" si="0">T13/T8</f>
        <v>240.01269841269843</v>
      </c>
      <c r="U6" s="46">
        <f t="shared" si="0"/>
        <v>204.12280701754386</v>
      </c>
      <c r="V6" s="46">
        <f t="shared" si="0"/>
        <v>192.91827586206895</v>
      </c>
      <c r="W6" s="46">
        <f t="shared" si="0"/>
        <v>223.11525423728813</v>
      </c>
      <c r="X6" s="46">
        <f t="shared" si="0"/>
        <v>209.85222222222222</v>
      </c>
      <c r="Y6" s="46">
        <f t="shared" si="0"/>
        <v>226.0462666666667</v>
      </c>
    </row>
    <row r="7" spans="1:25" x14ac:dyDescent="0.25">
      <c r="A7" t="s">
        <v>72</v>
      </c>
      <c r="B7">
        <v>2020</v>
      </c>
      <c r="C7" s="43">
        <v>165680.5098794119</v>
      </c>
      <c r="D7" s="43">
        <v>43552.160370176935</v>
      </c>
      <c r="F7" s="7">
        <v>42740</v>
      </c>
      <c r="G7">
        <v>3.287085654372484E-2</v>
      </c>
      <c r="I7" s="7">
        <v>42740</v>
      </c>
      <c r="J7">
        <v>40</v>
      </c>
      <c r="K7">
        <v>6063.06</v>
      </c>
      <c r="L7">
        <v>1382.5</v>
      </c>
      <c r="M7">
        <v>0</v>
      </c>
      <c r="N7">
        <v>0</v>
      </c>
      <c r="O7" t="s">
        <v>68</v>
      </c>
      <c r="P7">
        <v>2017</v>
      </c>
      <c r="R7" t="s">
        <v>106</v>
      </c>
      <c r="S7" cm="1">
        <f t="array" ref="S7">SUM(_xlfn._xlws.FILTER(DaybyDay[Appts],(DaybyDay[Date]&gt;=minDate)*(DaybyDay[Date]&lt;=maxDate)*(DaybyDay[DOW]=S4),"Empty"))</f>
        <v>168</v>
      </c>
      <c r="T7" cm="1">
        <f t="array" ref="T7">SUM(_xlfn._xlws.FILTER(DaybyDay[Appts],(DaybyDay[Date]&gt;=minDate)*(DaybyDay[Date]&lt;=maxDate)*(DaybyDay[DOW]=T4),"Empty"))</f>
        <v>68</v>
      </c>
      <c r="U7" cm="1">
        <f t="array" ref="U7">SUM(_xlfn._xlws.FILTER(DaybyDay[Appts],(DaybyDay[Date]&gt;=minDate)*(DaybyDay[Date]&lt;=maxDate)*(DaybyDay[DOW]=U4),"Empty"))</f>
        <v>57</v>
      </c>
      <c r="V7" cm="1">
        <f t="array" ref="V7">SUM(_xlfn._xlws.FILTER(DaybyDay[Appts],(DaybyDay[Date]&gt;=minDate)*(DaybyDay[Date]&lt;=maxDate)*(DaybyDay[DOW]=V4),"Empty"))</f>
        <v>87</v>
      </c>
      <c r="W7" cm="1">
        <f t="array" ref="W7">SUM(_xlfn._xlws.FILTER(DaybyDay[Appts],(DaybyDay[Date]&gt;=minDate)*(DaybyDay[Date]&lt;=maxDate)*(DaybyDay[DOW]=W4),"Empty"))</f>
        <v>62</v>
      </c>
      <c r="X7" cm="1">
        <f t="array" ref="X7">SUM(_xlfn._xlws.FILTER(DaybyDay[Appts],(DaybyDay[Date]&gt;=minDate)*(DaybyDay[Date]&lt;=maxDate)*(DaybyDay[DOW]=X4),"Empty"))</f>
        <v>116</v>
      </c>
      <c r="Y7" cm="1">
        <f t="array" ref="Y7">SUM(_xlfn._xlws.FILTER(DaybyDay[Appts],(DaybyDay[Date]&gt;=minDate)*(DaybyDay[Date]&lt;=maxDate)*(DaybyDay[DOW]=Y4),"Empty"))</f>
        <v>203</v>
      </c>
    </row>
    <row r="8" spans="1:25" x14ac:dyDescent="0.25">
      <c r="A8" t="s">
        <v>73</v>
      </c>
      <c r="B8">
        <v>2020</v>
      </c>
      <c r="C8" s="43">
        <v>181912.25843816856</v>
      </c>
      <c r="D8" s="43">
        <v>46824.894906527275</v>
      </c>
      <c r="F8" s="7">
        <v>42741</v>
      </c>
      <c r="G8">
        <v>3.8966987368004073E-2</v>
      </c>
      <c r="I8" s="7">
        <v>42741</v>
      </c>
      <c r="J8">
        <v>35</v>
      </c>
      <c r="K8">
        <v>5601.5</v>
      </c>
      <c r="L8">
        <v>31.5</v>
      </c>
      <c r="M8">
        <v>0</v>
      </c>
      <c r="N8">
        <v>0</v>
      </c>
      <c r="O8" t="s">
        <v>68</v>
      </c>
      <c r="P8">
        <v>2017</v>
      </c>
      <c r="R8" t="s">
        <v>107</v>
      </c>
      <c r="S8" cm="1">
        <f t="array" ref="S8">SUM(_xlfn._xlws.FILTER(DaybyDay[LY-Apts],(DaybyDay[Date]&gt;=minDate)*(DaybyDay[Date]&lt;=maxDate)*(DaybyDay[DOW-LY]=S4),"Empty"))</f>
        <v>117</v>
      </c>
      <c r="T8" cm="1">
        <f t="array" ref="T8">SUM(_xlfn._xlws.FILTER(DaybyDay[LY-Apts],(DaybyDay[Date]&gt;=minDate)*(DaybyDay[Date]&lt;=maxDate)*(DaybyDay[DOW-LY]=T4),"Empty"))</f>
        <v>63</v>
      </c>
      <c r="U8" cm="1">
        <f t="array" ref="U8">SUM(_xlfn._xlws.FILTER(DaybyDay[LY-Apts],(DaybyDay[Date]&gt;=minDate)*(DaybyDay[Date]&lt;=maxDate)*(DaybyDay[DOW-LY]=U4),"Empty"))</f>
        <v>57</v>
      </c>
      <c r="V8" cm="1">
        <f t="array" ref="V8">SUM(_xlfn._xlws.FILTER(DaybyDay[LY-Apts],(DaybyDay[Date]&gt;=minDate)*(DaybyDay[Date]&lt;=maxDate)*(DaybyDay[DOW-LY]=V4),"Empty"))</f>
        <v>87</v>
      </c>
      <c r="W8" cm="1">
        <f t="array" ref="W8">SUM(_xlfn._xlws.FILTER(DaybyDay[LY-Apts],(DaybyDay[Date]&gt;=minDate)*(DaybyDay[Date]&lt;=maxDate)*(DaybyDay[DOW-LY]=W4),"Empty"))</f>
        <v>59</v>
      </c>
      <c r="X8" cm="1">
        <f t="array" ref="X8">SUM(_xlfn._xlws.FILTER(DaybyDay[LY-Apts],(DaybyDay[Date]&gt;=minDate)*(DaybyDay[Date]&lt;=maxDate)*(DaybyDay[DOW-LY]=X4),"Empty"))</f>
        <v>90</v>
      </c>
      <c r="Y8" cm="1">
        <f t="array" ref="Y8">SUM(_xlfn._xlws.FILTER(DaybyDay[LY-Apts],(DaybyDay[Date]&gt;=minDate)*(DaybyDay[Date]&lt;=maxDate)*(DaybyDay[DOW-LY]=Y4),"Empty"))</f>
        <v>150</v>
      </c>
    </row>
    <row r="9" spans="1:25" x14ac:dyDescent="0.25">
      <c r="A9" t="s">
        <v>74</v>
      </c>
      <c r="B9">
        <v>2020</v>
      </c>
      <c r="C9" s="43">
        <v>144113.40909103249</v>
      </c>
      <c r="D9" s="43">
        <v>35945.815041703579</v>
      </c>
      <c r="F9" s="7">
        <v>42742</v>
      </c>
      <c r="G9">
        <v>5.226816884582481E-2</v>
      </c>
      <c r="I9" s="7">
        <v>42742</v>
      </c>
      <c r="J9">
        <v>49</v>
      </c>
      <c r="K9">
        <v>9677.25</v>
      </c>
      <c r="L9">
        <v>962</v>
      </c>
      <c r="M9">
        <v>0</v>
      </c>
      <c r="N9">
        <v>0</v>
      </c>
      <c r="O9" t="s">
        <v>68</v>
      </c>
      <c r="P9">
        <v>2017</v>
      </c>
      <c r="R9" t="s">
        <v>108</v>
      </c>
      <c r="S9" cm="1">
        <f t="array" ref="S9">SUM(_xlfn._xlws.FILTER(DaybyDay[Est-Admin-Payroll],(DaybyDay[Date]&gt;=minDate)*(DaybyDay[Date]&lt;=maxDate)*(DaybyDay[DOW-LY]=Tools!S4),"Empty"))</f>
        <v>0</v>
      </c>
      <c r="T9" cm="1">
        <f t="array" ref="T9">SUM(_xlfn._xlws.FILTER(DaybyDay[Est-Admin-Payroll],(DaybyDay[Date]&gt;=minDate)*(DaybyDay[Date]&lt;=maxDate)*(DaybyDay[DOW]=Tools!T4),"Empty"))</f>
        <v>0</v>
      </c>
      <c r="U9" cm="1">
        <f t="array" ref="U9">SUM(_xlfn._xlws.FILTER(DaybyDay[Est-Admin-Payroll],(DaybyDay[Date]&gt;=minDate)*(DaybyDay[Date]&lt;=maxDate)*(DaybyDay[DOW]=Tools!U4),"Empty"))</f>
        <v>0</v>
      </c>
      <c r="V9" cm="1">
        <f t="array" ref="V9">SUM(_xlfn._xlws.FILTER(DaybyDay[Est-Admin-Payroll],(DaybyDay[Date]&gt;=minDate)*(DaybyDay[Date]&lt;=maxDate)*(DaybyDay[DOW]=Tools!V4),"Empty"))</f>
        <v>0</v>
      </c>
      <c r="W9" cm="1">
        <f t="array" ref="W9">SUM(_xlfn._xlws.FILTER(DaybyDay[Est-Admin-Payroll],(DaybyDay[Date]&gt;=minDate)*(DaybyDay[Date]&lt;=maxDate)*(DaybyDay[DOW]=Tools!W4),"Empty"))</f>
        <v>0</v>
      </c>
      <c r="X9" cm="1">
        <f t="array" ref="X9">SUM(_xlfn._xlws.FILTER(DaybyDay[Est-Admin-Payroll],(DaybyDay[Date]&gt;=minDate)*(DaybyDay[Date]&lt;=maxDate)*(DaybyDay[DOW]=Tools!X4),"Empty"))</f>
        <v>0</v>
      </c>
      <c r="Y9" cm="1">
        <f t="array" ref="Y9">SUM(_xlfn._xlws.FILTER(DaybyDay[Est-Admin-Payroll],(DaybyDay[Date]&gt;=minDate)*(DaybyDay[Date]&lt;=maxDate)*(DaybyDay[DOW]=Tools!Y4),"Empty"))</f>
        <v>0</v>
      </c>
    </row>
    <row r="10" spans="1:25" x14ac:dyDescent="0.25">
      <c r="A10" t="s">
        <v>75</v>
      </c>
      <c r="B10">
        <v>2020</v>
      </c>
      <c r="C10" s="43">
        <v>141350.63665418018</v>
      </c>
      <c r="D10" s="43">
        <v>34825.489043958252</v>
      </c>
      <c r="F10" s="7">
        <v>42743</v>
      </c>
      <c r="G10">
        <v>4.1864551754881248E-2</v>
      </c>
      <c r="I10" s="7">
        <v>42743</v>
      </c>
      <c r="J10">
        <v>42</v>
      </c>
      <c r="K10">
        <v>6135.64</v>
      </c>
      <c r="L10">
        <v>456.6</v>
      </c>
      <c r="M10">
        <v>0</v>
      </c>
      <c r="N10">
        <v>0</v>
      </c>
      <c r="O10" t="s">
        <v>68</v>
      </c>
      <c r="P10">
        <v>2017</v>
      </c>
      <c r="R10" t="s">
        <v>109</v>
      </c>
      <c r="S10" s="1" cm="1">
        <f t="array" ref="S10">SUM(_xlfn._xlws.FILTER(DaybyDay[Service-Actuals],(DaybyDay[Date]&gt;=minDate)*(DaybyDay[Date]&lt;=maxDate)*(DaybyDay[DOW]=Tools!S4),"Empty"))</f>
        <v>30560.420000000002</v>
      </c>
      <c r="T10" s="1" cm="1">
        <f t="array" ref="T10">SUM(_xlfn._xlws.FILTER(DaybyDay[Service-Actuals],(DaybyDay[Date]&gt;=minDate)*(DaybyDay[Date]&lt;=maxDate)*(DaybyDay[DOW]=Tools!T4),"Empty"))</f>
        <v>16511.27</v>
      </c>
      <c r="U10" s="1" cm="1">
        <f t="array" ref="U10">SUM(_xlfn._xlws.FILTER(DaybyDay[Service-Actuals],(DaybyDay[Date]&gt;=minDate)*(DaybyDay[Date]&lt;=maxDate)*(DaybyDay[DOW]=Tools!U4),"Empty"))</f>
        <v>10158.5</v>
      </c>
      <c r="V10" s="1" cm="1">
        <f t="array" ref="V10">SUM(_xlfn._xlws.FILTER(DaybyDay[Service-Actuals],(DaybyDay[Date]&gt;=minDate)*(DaybyDay[Date]&lt;=maxDate)*(DaybyDay[DOW]=Tools!V4),"Empty"))</f>
        <v>14508.2</v>
      </c>
      <c r="W10" s="1" cm="1">
        <f t="array" ref="W10">SUM(_xlfn._xlws.FILTER(DaybyDay[Service-Actuals],(DaybyDay[Date]&gt;=minDate)*(DaybyDay[Date]&lt;=maxDate)*(DaybyDay[DOW]=Tools!W4),"Empty"))</f>
        <v>10991.75</v>
      </c>
      <c r="X10" s="1" cm="1">
        <f t="array" ref="X10">SUM(_xlfn._xlws.FILTER(DaybyDay[Service-Actuals],(DaybyDay[Date]&gt;=minDate)*(DaybyDay[Date]&lt;=maxDate)*(DaybyDay[DOW]=Tools!X4),"Empty"))</f>
        <v>20999.52</v>
      </c>
      <c r="Y10" s="1" cm="1">
        <f t="array" ref="Y10">SUM(_xlfn._xlws.FILTER(DaybyDay[Service-Actuals],(DaybyDay[Date]&gt;=minDate)*(DaybyDay[Date]&lt;=maxDate)*(DaybyDay[DOW]=Tools!Y4),"Empty"))</f>
        <v>42814.55</v>
      </c>
    </row>
    <row r="11" spans="1:25" x14ac:dyDescent="0.25">
      <c r="A11" t="s">
        <v>76</v>
      </c>
      <c r="B11">
        <v>2020</v>
      </c>
      <c r="C11" s="43">
        <v>173258.80698850672</v>
      </c>
      <c r="D11" s="43">
        <v>54234.536405218329</v>
      </c>
      <c r="F11" s="7">
        <v>42744</v>
      </c>
      <c r="G11">
        <v>2.6856014573538218E-2</v>
      </c>
      <c r="I11" s="7">
        <v>42744</v>
      </c>
      <c r="J11">
        <v>32</v>
      </c>
      <c r="K11">
        <v>4813.25</v>
      </c>
      <c r="L11">
        <v>678</v>
      </c>
      <c r="M11">
        <v>0</v>
      </c>
      <c r="N11">
        <v>0</v>
      </c>
      <c r="O11" t="s">
        <v>68</v>
      </c>
      <c r="P11">
        <v>2017</v>
      </c>
      <c r="R11" t="s">
        <v>110</v>
      </c>
      <c r="S11" cm="1">
        <f t="array" ref="S11">SUM(_xlfn._xlws.FILTER(DaybyDay[Retail-Actuals],(DaybyDay[Date]&gt;=minDate)*(DaybyDay[Date]&lt;=maxDate)*(DaybyDay[DOW]=Tools!S4),"Empty"))</f>
        <v>3928.08</v>
      </c>
      <c r="T11" cm="1">
        <f t="array" ref="T11">SUM(_xlfn._xlws.FILTER(DaybyDay[Retail-Actuals],(DaybyDay[Date]&gt;=minDate)*(DaybyDay[Date]&lt;=maxDate)*(DaybyDay[DOW]=Tools!T4),"Empty"))</f>
        <v>2125</v>
      </c>
      <c r="U11" cm="1">
        <f t="array" ref="U11">SUM(_xlfn._xlws.FILTER(DaybyDay[Retail-Actuals],(DaybyDay[Date]&gt;=minDate)*(DaybyDay[Date]&lt;=maxDate)*(DaybyDay[DOW]=Tools!U4),"Empty"))</f>
        <v>1415.55</v>
      </c>
      <c r="V11" cm="1">
        <f t="array" ref="V11">SUM(_xlfn._xlws.FILTER(DaybyDay[Retail-Actuals],(DaybyDay[Date]&gt;=minDate)*(DaybyDay[Date]&lt;=maxDate)*(DaybyDay[DOW]=Tools!V4),"Empty"))</f>
        <v>2273.75</v>
      </c>
      <c r="W11" cm="1">
        <f t="array" ref="W11">SUM(_xlfn._xlws.FILTER(DaybyDay[Retail-Actuals],(DaybyDay[Date]&gt;=minDate)*(DaybyDay[Date]&lt;=maxDate)*(DaybyDay[DOW]=Tools!W4),"Empty"))</f>
        <v>14046.15</v>
      </c>
      <c r="X11" cm="1">
        <f t="array" ref="X11">SUM(_xlfn._xlws.FILTER(DaybyDay[Retail-Actuals],(DaybyDay[Date]&gt;=minDate)*(DaybyDay[Date]&lt;=maxDate)*(DaybyDay[DOW]=Tools!X4),"Empty"))</f>
        <v>10921.33</v>
      </c>
      <c r="Y11" cm="1">
        <f t="array" ref="Y11">SUM(_xlfn._xlws.FILTER(DaybyDay[Retail-Actuals],(DaybyDay[Date]&gt;=minDate)*(DaybyDay[Date]&lt;=maxDate)*(DaybyDay[DOW]=Tools!Y4),"Empty"))</f>
        <v>9534.7000000000007</v>
      </c>
    </row>
    <row r="12" spans="1:25" x14ac:dyDescent="0.25">
      <c r="A12" t="s">
        <v>77</v>
      </c>
      <c r="B12">
        <v>2020</v>
      </c>
      <c r="C12" s="43">
        <v>154904.77965460948</v>
      </c>
      <c r="D12" s="43">
        <v>39622.428680625831</v>
      </c>
      <c r="F12" s="7">
        <v>42745</v>
      </c>
      <c r="G12">
        <v>2.7362914423050829E-2</v>
      </c>
      <c r="I12" s="7">
        <v>42745</v>
      </c>
      <c r="J12">
        <v>41</v>
      </c>
      <c r="K12">
        <v>6978.1</v>
      </c>
      <c r="L12">
        <v>477.69</v>
      </c>
      <c r="M12">
        <v>0</v>
      </c>
      <c r="N12">
        <v>0</v>
      </c>
      <c r="O12" t="s">
        <v>68</v>
      </c>
      <c r="P12">
        <v>2017</v>
      </c>
      <c r="R12" t="s">
        <v>111</v>
      </c>
      <c r="S12" cm="1">
        <f t="array" ref="S12">SUM(_xlfn._xlws.FILTER(DaybyDay[Est-Admin-Payroll],(DaybyDay[Date]&gt;=minDateLY)*(DaybyDay[Date]&lt;=maxDateLY)*(DaybyDay[DOW-LY]=Tools!S4),"Empty"))</f>
        <v>0</v>
      </c>
      <c r="T12" cm="1">
        <f t="array" ref="T12">SUM(_xlfn._xlws.FILTER(DaybyDay[Est-Admin-Payroll],(DaybyDay[Date]&gt;=minDateLY)*(DaybyDay[Date]&lt;=maxDateLY)*(DaybyDay[DOW-LY]=Tools!T4),"Empty"))</f>
        <v>0</v>
      </c>
      <c r="U12" cm="1">
        <f t="array" ref="U12">SUM(_xlfn._xlws.FILTER(DaybyDay[Est-Admin-Payroll],(DaybyDay[Date]&gt;=minDateLY)*(DaybyDay[Date]&lt;=maxDateLY)*(DaybyDay[DOW-LY]=Tools!U4),"Empty"))</f>
        <v>0</v>
      </c>
      <c r="V12" cm="1">
        <f t="array" ref="V12">SUM(_xlfn._xlws.FILTER(DaybyDay[Est-Admin-Payroll],(DaybyDay[Date]&gt;=minDateLY)*(DaybyDay[Date]&lt;=maxDateLY)*(DaybyDay[DOW-LY]=Tools!V4),"Empty"))</f>
        <v>0</v>
      </c>
      <c r="W12" cm="1">
        <f t="array" ref="W12">SUM(_xlfn._xlws.FILTER(DaybyDay[Est-Admin-Payroll],(DaybyDay[Date]&gt;=minDateLY)*(DaybyDay[Date]&lt;=maxDateLY)*(DaybyDay[DOW-LY]=Tools!W4),"Empty"))</f>
        <v>0</v>
      </c>
      <c r="X12" cm="1">
        <f t="array" ref="X12">SUM(_xlfn._xlws.FILTER(DaybyDay[Est-Admin-Payroll],(DaybyDay[Date]&gt;=minDateLY)*(DaybyDay[Date]&lt;=maxDateLY)*(DaybyDay[DOW-LY]=Tools!X4),"Empty"))</f>
        <v>0</v>
      </c>
      <c r="Y12" cm="1">
        <f t="array" ref="Y12">SUM(_xlfn._xlws.FILTER(DaybyDay[Est-Admin-Payroll],(DaybyDay[Date]&gt;=minDateLY)*(DaybyDay[Date]&lt;=maxDateLY)*(DaybyDay[DOW-LY]=Tools!Y4),"Empty"))</f>
        <v>0</v>
      </c>
    </row>
    <row r="13" spans="1:25" x14ac:dyDescent="0.25">
      <c r="A13" t="s">
        <v>78</v>
      </c>
      <c r="B13">
        <v>2020</v>
      </c>
      <c r="C13" s="43">
        <v>161924.92539112765</v>
      </c>
      <c r="D13" s="43">
        <v>59303.967388627287</v>
      </c>
      <c r="F13" s="7">
        <v>42746</v>
      </c>
      <c r="G13">
        <v>3.0612271842161448E-2</v>
      </c>
      <c r="I13" s="7">
        <v>42746</v>
      </c>
      <c r="J13">
        <v>43</v>
      </c>
      <c r="K13">
        <v>6362.39</v>
      </c>
      <c r="L13">
        <v>1884.62</v>
      </c>
      <c r="M13">
        <v>0</v>
      </c>
      <c r="N13">
        <v>0</v>
      </c>
      <c r="O13" t="s">
        <v>68</v>
      </c>
      <c r="P13">
        <v>2017</v>
      </c>
      <c r="R13" t="s">
        <v>112</v>
      </c>
      <c r="S13" s="1" cm="1">
        <f t="array" ref="S13">SUM(_xlfn._xlws.FILTER(DaybyDay[Service-LY],(DaybyDay[Date]&gt;=minDate)*(DaybyDay[Date]&lt;=maxDate)*(DaybyDay[DOW-LY]=S4),"Empty"))</f>
        <v>26003.360000000001</v>
      </c>
      <c r="T13" s="1" cm="1">
        <f t="array" ref="T13">SUM(_xlfn._xlws.FILTER(DaybyDay[Service-LY],(DaybyDay[Date]&gt;=minDate)*(DaybyDay[Date]&lt;=maxDate)*(DaybyDay[DOW-LY]=T4),"Empty"))</f>
        <v>15120.800000000001</v>
      </c>
      <c r="U13" s="1" cm="1">
        <f t="array" ref="U13">SUM(_xlfn._xlws.FILTER(DaybyDay[Service-LY],(DaybyDay[Date]&gt;=minDate)*(DaybyDay[Date]&lt;=maxDate)*(DaybyDay[DOW-LY]=U4),"Empty"))</f>
        <v>11635</v>
      </c>
      <c r="V13" s="1" cm="1">
        <f t="array" ref="V13">SUM(_xlfn._xlws.FILTER(DaybyDay[Service-LY],(DaybyDay[Date]&gt;=minDate)*(DaybyDay[Date]&lt;=maxDate)*(DaybyDay[DOW-LY]=V4),"Empty"))</f>
        <v>16783.89</v>
      </c>
      <c r="W13" s="1" cm="1">
        <f t="array" ref="W13">SUM(_xlfn._xlws.FILTER(DaybyDay[Service-LY],(DaybyDay[Date]&gt;=minDate)*(DaybyDay[Date]&lt;=maxDate)*(DaybyDay[DOW-LY]=W4),"Empty"))</f>
        <v>13163.8</v>
      </c>
      <c r="X13" s="1" cm="1">
        <f t="array" ref="X13">SUM(_xlfn._xlws.FILTER(DaybyDay[Service-LY],(DaybyDay[Date]&gt;=minDate)*(DaybyDay[Date]&lt;=maxDate)*(DaybyDay[DOW-LY]=X4),"Empty"))</f>
        <v>18886.7</v>
      </c>
      <c r="Y13" s="1" cm="1">
        <f t="array" ref="Y13">SUM(_xlfn._xlws.FILTER(DaybyDay[Service-LY],(DaybyDay[Date]&gt;=minDate)*(DaybyDay[Date]&lt;=maxDate)*(DaybyDay[DOW-LY]=Y4),"Empty"))</f>
        <v>33906.94</v>
      </c>
    </row>
    <row r="14" spans="1:25" x14ac:dyDescent="0.25">
      <c r="A14" s="45" t="s">
        <v>79</v>
      </c>
      <c r="B14">
        <v>2020</v>
      </c>
      <c r="C14" s="43">
        <v>196877.22981439254</v>
      </c>
      <c r="D14" s="43">
        <v>57479.235048752424</v>
      </c>
      <c r="F14" s="7">
        <v>42747</v>
      </c>
      <c r="G14">
        <v>3.1133528934172684E-2</v>
      </c>
      <c r="I14" s="7">
        <v>42747</v>
      </c>
      <c r="J14">
        <v>42</v>
      </c>
      <c r="K14">
        <v>5405.08</v>
      </c>
      <c r="L14">
        <v>1102.25</v>
      </c>
      <c r="M14">
        <v>0</v>
      </c>
      <c r="N14">
        <v>0</v>
      </c>
      <c r="O14" t="s">
        <v>68</v>
      </c>
      <c r="P14">
        <v>2017</v>
      </c>
      <c r="R14" t="s">
        <v>113</v>
      </c>
      <c r="S14" cm="1">
        <f t="array" ref="S14">SUM(_xlfn._xlws.FILTER(DaybyDay[Retail-LY],(DaybyDay[Date]&gt;=minDate)*(DaybyDay[Date]&lt;=maxDate)*(DaybyDay[DOW-LY]=S4),"Empty"))</f>
        <v>1854.05</v>
      </c>
      <c r="T14" cm="1">
        <f t="array" ref="T14">SUM(_xlfn._xlws.FILTER(DaybyDay[Retail-LY],(DaybyDay[Date]&gt;=minDate)*(DaybyDay[Date]&lt;=maxDate)*(DaybyDay[DOW-LY]=T4),"Empty"))</f>
        <v>2380</v>
      </c>
      <c r="U14" cm="1">
        <f t="array" ref="U14">SUM(_xlfn._xlws.FILTER(DaybyDay[Retail-LY],(DaybyDay[Date]&gt;=minDate)*(DaybyDay[Date]&lt;=maxDate)*(DaybyDay[DOW-LY]=U4),"Empty"))</f>
        <v>2845.43</v>
      </c>
      <c r="V14" cm="1">
        <f t="array" ref="V14">SUM(_xlfn._xlws.FILTER(DaybyDay[Retail-LY],(DaybyDay[Date]&gt;=minDate)*(DaybyDay[Date]&lt;=maxDate)*(DaybyDay[DOW-LY]=V4),"Empty"))</f>
        <v>7626.08</v>
      </c>
      <c r="W14" cm="1">
        <f t="array" ref="W14">SUM(_xlfn._xlws.FILTER(DaybyDay[Retail-LY],(DaybyDay[Date]&gt;=minDate)*(DaybyDay[Date]&lt;=maxDate)*(DaybyDay[DOW-LY]=W4),"Empty"))</f>
        <v>4801.8599999999997</v>
      </c>
      <c r="X14" cm="1">
        <f t="array" ref="X14">SUM(_xlfn._xlws.FILTER(DaybyDay[Retail-LY],(DaybyDay[Date]&gt;=minDate)*(DaybyDay[Date]&lt;=maxDate)*(DaybyDay[DOW-LY]=X4),"Empty"))</f>
        <v>2558.5</v>
      </c>
      <c r="Y14" cm="1">
        <f t="array" ref="Y14">SUM(_xlfn._xlws.FILTER(DaybyDay[Retail-LY],(DaybyDay[Date]&gt;=minDate)*(DaybyDay[Date]&lt;=maxDate)*(DaybyDay[DOW-LY]=Y4),"Empty"))</f>
        <v>6892.25</v>
      </c>
    </row>
    <row r="15" spans="1:25" x14ac:dyDescent="0.25">
      <c r="A15" t="s">
        <v>68</v>
      </c>
      <c r="B15">
        <v>2019</v>
      </c>
      <c r="C15" s="43">
        <v>140662.10999999999</v>
      </c>
      <c r="D15" s="43">
        <v>24888.61</v>
      </c>
      <c r="F15" s="7">
        <v>42748</v>
      </c>
      <c r="G15">
        <v>3.7408948745089564E-2</v>
      </c>
      <c r="I15" s="7">
        <v>42748</v>
      </c>
      <c r="J15">
        <v>29</v>
      </c>
      <c r="K15">
        <v>8020.75</v>
      </c>
      <c r="L15">
        <v>223.4</v>
      </c>
      <c r="M15">
        <v>0</v>
      </c>
      <c r="N15">
        <v>0</v>
      </c>
      <c r="O15" t="s">
        <v>68</v>
      </c>
      <c r="P15">
        <v>2017</v>
      </c>
      <c r="R15" s="41">
        <f>ret_LY/serv_LY</f>
        <v>0.21371265889887189</v>
      </c>
      <c r="S15" s="41">
        <f>ret_bud/serv_bud</f>
        <v>0.24520176500819973</v>
      </c>
      <c r="T15" s="41">
        <f>ret_act/serv_act</f>
        <v>0.3019195367732373</v>
      </c>
    </row>
    <row r="16" spans="1:25" x14ac:dyDescent="0.25">
      <c r="A16" t="s">
        <v>69</v>
      </c>
      <c r="B16">
        <v>2019</v>
      </c>
      <c r="C16" s="43">
        <v>130119.76</v>
      </c>
      <c r="D16" s="43">
        <v>31148.29</v>
      </c>
      <c r="F16" s="7">
        <v>42749</v>
      </c>
      <c r="G16">
        <v>5.0912877900968906E-2</v>
      </c>
      <c r="I16" s="7">
        <v>42749</v>
      </c>
      <c r="J16">
        <v>59</v>
      </c>
      <c r="K16">
        <v>10832.52</v>
      </c>
      <c r="L16">
        <v>1069.5</v>
      </c>
      <c r="M16">
        <v>0</v>
      </c>
      <c r="N16">
        <v>0</v>
      </c>
      <c r="O16" t="s">
        <v>68</v>
      </c>
      <c r="P16">
        <v>2017</v>
      </c>
      <c r="R16" t="s">
        <v>114</v>
      </c>
      <c r="S16" t="s">
        <v>115</v>
      </c>
      <c r="T16" t="s">
        <v>116</v>
      </c>
      <c r="U16" t="s">
        <v>117</v>
      </c>
      <c r="V16" t="s">
        <v>118</v>
      </c>
      <c r="W16" t="s">
        <v>119</v>
      </c>
    </row>
    <row r="17" spans="1:25" x14ac:dyDescent="0.25">
      <c r="A17" t="s">
        <v>70</v>
      </c>
      <c r="B17">
        <v>2019</v>
      </c>
      <c r="C17" s="43">
        <v>143697.44</v>
      </c>
      <c r="D17" s="43">
        <v>33211.480000000003</v>
      </c>
      <c r="F17" s="7">
        <v>42750</v>
      </c>
      <c r="G17">
        <v>4.0731492805734147E-2</v>
      </c>
      <c r="I17" s="7">
        <v>42750</v>
      </c>
      <c r="J17">
        <v>43</v>
      </c>
      <c r="K17">
        <v>6370.56</v>
      </c>
      <c r="L17">
        <v>107</v>
      </c>
      <c r="M17">
        <v>0</v>
      </c>
      <c r="N17">
        <v>0</v>
      </c>
      <c r="O17" t="s">
        <v>68</v>
      </c>
      <c r="P17">
        <v>2017</v>
      </c>
      <c r="R17" s="1">
        <f>SUBTOTAL(4,DaybyDay[Serv-Act-RU])</f>
        <v>146544.21</v>
      </c>
      <c r="S17" s="1">
        <f>INDEX(DaybyDay[Serv-Bud-RU],MATCH(maxDate,DaybyDay[Date],0))</f>
        <v>153091.35134626381</v>
      </c>
      <c r="T17" s="1">
        <f>INDEX(DaybyDay[Serv-LY-RU],MATCH(maxDate,DaybyDay[Date],0))</f>
        <v>135500.49</v>
      </c>
    </row>
    <row r="18" spans="1:25" x14ac:dyDescent="0.25">
      <c r="A18" t="s">
        <v>71</v>
      </c>
      <c r="B18">
        <v>2019</v>
      </c>
      <c r="C18" s="43">
        <v>109409.36</v>
      </c>
      <c r="D18" s="43">
        <v>30375.22</v>
      </c>
      <c r="F18" s="7">
        <v>42751</v>
      </c>
      <c r="G18">
        <v>2.5960447455760583E-2</v>
      </c>
      <c r="I18" s="7">
        <v>42751</v>
      </c>
      <c r="J18">
        <v>50</v>
      </c>
      <c r="K18">
        <v>6833.29</v>
      </c>
      <c r="L18">
        <v>385</v>
      </c>
      <c r="M18">
        <v>0</v>
      </c>
      <c r="N18">
        <v>0</v>
      </c>
      <c r="O18" t="s">
        <v>68</v>
      </c>
      <c r="P18">
        <v>2017</v>
      </c>
      <c r="R18" s="1">
        <f>SUBTOTAL(4,DaybyDay[Ret-Act-RU])</f>
        <v>44244.560000000005</v>
      </c>
      <c r="S18" s="1">
        <f>INDEX(DaybyDay[Ret-Bud-RU],MATCH(maxDate,DaybyDay[Date],0))</f>
        <v>37538.269557594322</v>
      </c>
      <c r="T18" s="1">
        <f>INDEX(DaybyDay[Ret-LY-RU],MATCH(maxDate,DaybyDay[Date],0))</f>
        <v>28958.17</v>
      </c>
    </row>
    <row r="19" spans="1:25" x14ac:dyDescent="0.25">
      <c r="A19" t="s">
        <v>72</v>
      </c>
      <c r="B19">
        <v>2019</v>
      </c>
      <c r="C19" s="43">
        <v>140464.98000000001</v>
      </c>
      <c r="D19" s="43">
        <v>33428.620000000003</v>
      </c>
      <c r="F19" s="7">
        <v>42752</v>
      </c>
      <c r="G19">
        <v>2.6715698173180421E-2</v>
      </c>
      <c r="I19" s="7">
        <v>42752</v>
      </c>
      <c r="J19">
        <v>40</v>
      </c>
      <c r="K19">
        <v>6006.95</v>
      </c>
      <c r="L19">
        <v>135</v>
      </c>
      <c r="M19">
        <v>0</v>
      </c>
      <c r="N19">
        <v>0</v>
      </c>
      <c r="O19" t="s">
        <v>68</v>
      </c>
      <c r="P19">
        <v>2017</v>
      </c>
      <c r="S19" s="41">
        <f>S11/S10</f>
        <v>0.12853488270121941</v>
      </c>
      <c r="T19" s="41">
        <f t="shared" ref="T19:Y19" si="1">T11/T10</f>
        <v>0.12869997280645279</v>
      </c>
      <c r="U19" s="41">
        <f t="shared" si="1"/>
        <v>0.13934636019097307</v>
      </c>
      <c r="V19" s="41">
        <f t="shared" si="1"/>
        <v>0.15672171599509241</v>
      </c>
      <c r="W19" s="41">
        <f t="shared" si="1"/>
        <v>1.277881138126322</v>
      </c>
      <c r="X19" s="41">
        <f t="shared" si="1"/>
        <v>0.5200752207669509</v>
      </c>
      <c r="Y19" s="41">
        <f t="shared" si="1"/>
        <v>0.22269765768879973</v>
      </c>
    </row>
    <row r="20" spans="1:25" x14ac:dyDescent="0.25">
      <c r="A20" t="s">
        <v>73</v>
      </c>
      <c r="B20">
        <v>2019</v>
      </c>
      <c r="C20" s="43">
        <v>182383.51</v>
      </c>
      <c r="D20" s="43">
        <v>52463.22</v>
      </c>
      <c r="F20" s="7">
        <v>42753</v>
      </c>
      <c r="G20">
        <v>3.0219761105922272E-2</v>
      </c>
      <c r="I20" s="7">
        <v>42753</v>
      </c>
      <c r="J20">
        <v>45</v>
      </c>
      <c r="K20">
        <v>8811.6</v>
      </c>
      <c r="L20">
        <v>280.39</v>
      </c>
      <c r="M20">
        <v>0</v>
      </c>
      <c r="N20">
        <v>0</v>
      </c>
      <c r="O20" t="s">
        <v>68</v>
      </c>
      <c r="P20">
        <v>2017</v>
      </c>
      <c r="S20" s="41">
        <f>S14/S13</f>
        <v>7.1300401178924569E-2</v>
      </c>
      <c r="T20" s="41">
        <f t="shared" ref="T20:Y20" si="2">T14/T13</f>
        <v>0.15739907941378761</v>
      </c>
      <c r="U20" s="41">
        <f t="shared" si="2"/>
        <v>0.24455779974215727</v>
      </c>
      <c r="V20" s="41">
        <f t="shared" si="2"/>
        <v>0.45436904078851803</v>
      </c>
      <c r="W20" s="41">
        <f t="shared" si="2"/>
        <v>0.3647776477916711</v>
      </c>
      <c r="X20" s="41">
        <f t="shared" si="2"/>
        <v>0.13546569808383677</v>
      </c>
      <c r="Y20" s="41">
        <f t="shared" si="2"/>
        <v>0.20326959613577633</v>
      </c>
    </row>
    <row r="21" spans="1:25" x14ac:dyDescent="0.25">
      <c r="A21" t="s">
        <v>74</v>
      </c>
      <c r="B21">
        <v>2019</v>
      </c>
      <c r="C21" s="43">
        <v>127838.36</v>
      </c>
      <c r="D21" s="43">
        <v>34041.5</v>
      </c>
      <c r="F21" s="7">
        <v>42754</v>
      </c>
      <c r="G21">
        <v>3.099754084430472E-2</v>
      </c>
      <c r="I21" s="7">
        <v>42754</v>
      </c>
      <c r="J21">
        <v>44</v>
      </c>
      <c r="K21">
        <v>5986.92</v>
      </c>
      <c r="L21">
        <v>1595.5</v>
      </c>
      <c r="M21">
        <v>0</v>
      </c>
      <c r="N21">
        <v>0</v>
      </c>
      <c r="O21" t="s">
        <v>68</v>
      </c>
      <c r="P21">
        <v>2017</v>
      </c>
      <c r="R21" t="s">
        <v>120</v>
      </c>
      <c r="S21" s="41">
        <f t="shared" ref="S21:Y21" si="3">S9/S24</f>
        <v>0</v>
      </c>
      <c r="T21" s="41">
        <f t="shared" si="3"/>
        <v>0</v>
      </c>
      <c r="U21" s="41">
        <f t="shared" si="3"/>
        <v>0</v>
      </c>
      <c r="V21" s="41">
        <f t="shared" si="3"/>
        <v>0</v>
      </c>
      <c r="W21" s="41">
        <f t="shared" si="3"/>
        <v>0</v>
      </c>
      <c r="X21" s="41">
        <f t="shared" si="3"/>
        <v>0</v>
      </c>
      <c r="Y21" s="41">
        <f t="shared" si="3"/>
        <v>0</v>
      </c>
    </row>
    <row r="22" spans="1:25" x14ac:dyDescent="0.25">
      <c r="A22" t="s">
        <v>75</v>
      </c>
      <c r="B22">
        <v>2019</v>
      </c>
      <c r="C22" s="43">
        <v>143794.25</v>
      </c>
      <c r="D22" s="43">
        <v>53667.83</v>
      </c>
      <c r="F22" s="7">
        <v>42755</v>
      </c>
      <c r="G22">
        <v>3.7526796953366054E-2</v>
      </c>
      <c r="I22" s="7">
        <v>42755</v>
      </c>
      <c r="J22">
        <v>42</v>
      </c>
      <c r="K22">
        <v>9069.84</v>
      </c>
      <c r="L22">
        <v>941</v>
      </c>
      <c r="M22">
        <v>0</v>
      </c>
      <c r="N22">
        <v>0</v>
      </c>
      <c r="O22" t="s">
        <v>68</v>
      </c>
      <c r="P22">
        <v>2017</v>
      </c>
      <c r="R22" t="s">
        <v>121</v>
      </c>
      <c r="S22" s="41">
        <f t="shared" ref="S22:Y22" si="4">S12/S25</f>
        <v>0</v>
      </c>
      <c r="T22" s="41">
        <f t="shared" si="4"/>
        <v>0</v>
      </c>
      <c r="U22" s="41">
        <f t="shared" si="4"/>
        <v>0</v>
      </c>
      <c r="V22" s="41">
        <f t="shared" si="4"/>
        <v>0</v>
      </c>
      <c r="W22" s="41">
        <f t="shared" si="4"/>
        <v>0</v>
      </c>
      <c r="X22" s="41">
        <f t="shared" si="4"/>
        <v>0</v>
      </c>
      <c r="Y22" s="41">
        <f t="shared" si="4"/>
        <v>0</v>
      </c>
    </row>
    <row r="23" spans="1:25" x14ac:dyDescent="0.25">
      <c r="A23" t="s">
        <v>76</v>
      </c>
      <c r="B23">
        <v>2019</v>
      </c>
      <c r="C23" s="43">
        <v>195299.14</v>
      </c>
      <c r="D23" s="43">
        <v>46407.74</v>
      </c>
      <c r="F23" s="7">
        <v>42756</v>
      </c>
      <c r="G23">
        <v>5.1277469695017043E-2</v>
      </c>
      <c r="I23" s="7">
        <v>42756</v>
      </c>
      <c r="J23">
        <v>51</v>
      </c>
      <c r="K23">
        <v>9373.75</v>
      </c>
      <c r="L23">
        <v>788.98</v>
      </c>
      <c r="M23">
        <v>0</v>
      </c>
      <c r="N23">
        <v>0</v>
      </c>
      <c r="O23" t="s">
        <v>68</v>
      </c>
      <c r="P23">
        <v>2017</v>
      </c>
      <c r="R23" t="s">
        <v>122</v>
      </c>
      <c r="S23" s="71">
        <f>DaybyDays!$AM$4</f>
        <v>0.15</v>
      </c>
      <c r="T23" s="71">
        <f>DaybyDays!$AM$4</f>
        <v>0.15</v>
      </c>
      <c r="U23" s="71">
        <f>DaybyDays!$AM$4</f>
        <v>0.15</v>
      </c>
      <c r="V23" s="71">
        <f>DaybyDays!$AM$4</f>
        <v>0.15</v>
      </c>
      <c r="W23" s="71">
        <f>DaybyDays!$AM$4</f>
        <v>0.15</v>
      </c>
      <c r="X23" s="71">
        <f>DaybyDays!$AM$4</f>
        <v>0.15</v>
      </c>
      <c r="Y23" s="71">
        <f>DaybyDays!$AM$4</f>
        <v>0.15</v>
      </c>
    </row>
    <row r="24" spans="1:25" x14ac:dyDescent="0.25">
      <c r="A24" t="s">
        <v>77</v>
      </c>
      <c r="B24">
        <v>2019</v>
      </c>
      <c r="C24" s="43">
        <v>171042.9</v>
      </c>
      <c r="D24" s="43">
        <v>53553.41</v>
      </c>
      <c r="F24" s="7">
        <v>42757</v>
      </c>
      <c r="G24">
        <v>4.1331484736496692E-2</v>
      </c>
      <c r="I24" s="7">
        <v>42757</v>
      </c>
      <c r="J24">
        <v>43</v>
      </c>
      <c r="K24">
        <v>6444.47</v>
      </c>
      <c r="L24">
        <v>284.60000000000002</v>
      </c>
      <c r="M24">
        <v>0</v>
      </c>
      <c r="N24">
        <v>0</v>
      </c>
      <c r="O24" t="s">
        <v>68</v>
      </c>
      <c r="P24">
        <v>2017</v>
      </c>
      <c r="R24" t="s">
        <v>123</v>
      </c>
      <c r="S24" s="3">
        <f t="shared" ref="S24:Y24" si="5">S10+S11</f>
        <v>34488.5</v>
      </c>
      <c r="T24" s="3">
        <f t="shared" si="5"/>
        <v>18636.27</v>
      </c>
      <c r="U24" s="3">
        <f t="shared" si="5"/>
        <v>11574.05</v>
      </c>
      <c r="V24" s="3">
        <f t="shared" si="5"/>
        <v>16781.95</v>
      </c>
      <c r="W24" s="3">
        <f t="shared" si="5"/>
        <v>25037.9</v>
      </c>
      <c r="X24" s="3">
        <f t="shared" si="5"/>
        <v>31920.85</v>
      </c>
      <c r="Y24" s="3">
        <f t="shared" si="5"/>
        <v>52349.25</v>
      </c>
    </row>
    <row r="25" spans="1:25" x14ac:dyDescent="0.25">
      <c r="A25" t="s">
        <v>78</v>
      </c>
      <c r="B25">
        <v>2019</v>
      </c>
      <c r="C25" s="43">
        <v>161976.45000000001</v>
      </c>
      <c r="D25" s="43">
        <v>57586.13</v>
      </c>
      <c r="F25" s="7">
        <v>42758</v>
      </c>
      <c r="G25">
        <v>2.6780454290716918E-2</v>
      </c>
      <c r="I25" s="7">
        <v>42758</v>
      </c>
      <c r="J25">
        <v>34</v>
      </c>
      <c r="K25">
        <v>4896.24</v>
      </c>
      <c r="L25">
        <v>182.42</v>
      </c>
      <c r="M25">
        <v>0</v>
      </c>
      <c r="N25">
        <v>0</v>
      </c>
      <c r="O25" t="s">
        <v>68</v>
      </c>
      <c r="P25">
        <v>2017</v>
      </c>
      <c r="R25" t="s">
        <v>124</v>
      </c>
      <c r="S25" s="3">
        <f t="shared" ref="S25:Y25" si="6">S13+S14</f>
        <v>27857.41</v>
      </c>
      <c r="T25" s="3">
        <f t="shared" si="6"/>
        <v>17500.800000000003</v>
      </c>
      <c r="U25" s="3">
        <f t="shared" si="6"/>
        <v>14480.43</v>
      </c>
      <c r="V25" s="3">
        <f t="shared" si="6"/>
        <v>24409.97</v>
      </c>
      <c r="W25" s="3">
        <f t="shared" si="6"/>
        <v>17965.66</v>
      </c>
      <c r="X25" s="3">
        <f t="shared" si="6"/>
        <v>21445.200000000001</v>
      </c>
      <c r="Y25" s="3">
        <f t="shared" si="6"/>
        <v>40799.19</v>
      </c>
    </row>
    <row r="26" spans="1:25" x14ac:dyDescent="0.25">
      <c r="A26" t="s">
        <v>79</v>
      </c>
      <c r="B26">
        <v>2019</v>
      </c>
      <c r="C26" s="43">
        <v>226201.41</v>
      </c>
      <c r="D26" s="43">
        <v>56084.93</v>
      </c>
      <c r="F26" s="7">
        <v>42759</v>
      </c>
      <c r="G26">
        <v>2.7736550140009291E-2</v>
      </c>
      <c r="I26" s="7">
        <v>42759</v>
      </c>
      <c r="J26">
        <v>33</v>
      </c>
      <c r="K26">
        <v>5259.01</v>
      </c>
      <c r="L26">
        <v>2895.43</v>
      </c>
      <c r="M26">
        <v>0</v>
      </c>
      <c r="N26">
        <v>0</v>
      </c>
      <c r="O26" t="s">
        <v>68</v>
      </c>
      <c r="P26">
        <v>2017</v>
      </c>
    </row>
    <row r="27" spans="1:25" x14ac:dyDescent="0.25">
      <c r="A27" t="s">
        <v>68</v>
      </c>
      <c r="B27">
        <v>2018</v>
      </c>
      <c r="C27" s="43">
        <f>SUMIFS(UPDATETOOL[Plan Service],UPDATETOOL[UpMonth],Budgets[[#This Row],[BudgetMonth]],UPDATETOOL[UpYear],Budgets[[#This Row],[BudgetYear]])</f>
        <v>132200</v>
      </c>
      <c r="D27" s="43">
        <f>SUMIFS(UPDATETOOL[Plan Retail],UPDATETOOL[UpMonth],Budgets[[#This Row],[BudgetMonth]],UPDATETOOL[UpYear],Budgets[[#This Row],[BudgetYear]])</f>
        <v>39710</v>
      </c>
      <c r="F27" s="7">
        <v>42760</v>
      </c>
      <c r="G27">
        <v>3.1418804036074277E-2</v>
      </c>
      <c r="I27" s="7">
        <v>42760</v>
      </c>
      <c r="J27">
        <v>41</v>
      </c>
      <c r="K27">
        <v>5584.79</v>
      </c>
      <c r="L27">
        <v>889</v>
      </c>
      <c r="M27">
        <v>0</v>
      </c>
      <c r="N27">
        <v>0</v>
      </c>
      <c r="O27" t="s">
        <v>68</v>
      </c>
      <c r="P27">
        <v>2017</v>
      </c>
      <c r="S27" t="s">
        <v>125</v>
      </c>
      <c r="T27" t="s">
        <v>126</v>
      </c>
    </row>
    <row r="28" spans="1:25" x14ac:dyDescent="0.25">
      <c r="A28" t="s">
        <v>69</v>
      </c>
      <c r="B28">
        <v>2018</v>
      </c>
      <c r="C28" s="43">
        <f>SUMIFS(UPDATETOOL[Plan Service],UPDATETOOL[UpMonth],Budgets[[#This Row],[BudgetMonth]],UPDATETOOL[UpYear],Budgets[[#This Row],[BudgetYear]])</f>
        <v>132100</v>
      </c>
      <c r="D28" s="43">
        <f>SUMIFS(UPDATETOOL[Plan Retail],UPDATETOOL[UpMonth],Budgets[[#This Row],[BudgetMonth]],UPDATETOOL[UpYear],Budgets[[#This Row],[BudgetYear]])</f>
        <v>39680</v>
      </c>
      <c r="F28" s="7">
        <v>42761</v>
      </c>
      <c r="G28">
        <v>3.2348974237253275E-2</v>
      </c>
      <c r="I28" s="7">
        <v>42761</v>
      </c>
      <c r="J28">
        <v>42</v>
      </c>
      <c r="K28">
        <v>5893.21</v>
      </c>
      <c r="L28">
        <v>66</v>
      </c>
      <c r="M28">
        <v>0</v>
      </c>
      <c r="N28">
        <v>0</v>
      </c>
      <c r="O28" t="s">
        <v>68</v>
      </c>
      <c r="P28">
        <v>2017</v>
      </c>
      <c r="S28" s="70">
        <f>SUMIFS(DaybyDay[Service-Actuals],DaybyDay[Date],"&lt;="&amp;maxDate,DaybyDay[RowYear],minYear)/SUMIFS(DaybyDay[Service-Budgets],DaybyDay[Date],"&lt;="&amp;maxDate,DaybyDay[RowYear],minYear)-1</f>
        <v>-4.2766239168242848E-2</v>
      </c>
      <c r="T28" s="69">
        <f>SUMIFS(DaybyDay[Service-Actuals],DaybyDay[Date],"&lt;="&amp;maxDate,DaybyDay[RowYear],minYear)/SUMIFS(DaybyDay[Service-LY],DaybyDay[Date],"&lt;="&amp;maxDate,DaybyDay[RowYear],minYear)-1</f>
        <v>8.1503173899961645E-2</v>
      </c>
    </row>
    <row r="29" spans="1:25" x14ac:dyDescent="0.25">
      <c r="A29" t="s">
        <v>70</v>
      </c>
      <c r="B29">
        <v>2018</v>
      </c>
      <c r="C29" s="43">
        <f>SUMIFS(UPDATETOOL[Plan Service],UPDATETOOL[UpMonth],Budgets[[#This Row],[BudgetMonth]],UPDATETOOL[UpYear],Budgets[[#This Row],[BudgetYear]])</f>
        <v>197950</v>
      </c>
      <c r="D29" s="43">
        <f>SUMIFS(UPDATETOOL[Plan Retail],UPDATETOOL[UpMonth],Budgets[[#This Row],[BudgetMonth]],UPDATETOOL[UpYear],Budgets[[#This Row],[BudgetYear]])</f>
        <v>59450</v>
      </c>
      <c r="F29" s="7">
        <v>42762</v>
      </c>
      <c r="G29">
        <v>3.9002045063319404E-2</v>
      </c>
      <c r="I29" s="7">
        <v>42762</v>
      </c>
      <c r="J29">
        <v>33</v>
      </c>
      <c r="K29">
        <v>5401.7</v>
      </c>
      <c r="L29">
        <v>1593.95</v>
      </c>
      <c r="M29">
        <v>0</v>
      </c>
      <c r="N29">
        <v>0</v>
      </c>
      <c r="O29" t="s">
        <v>68</v>
      </c>
      <c r="P29">
        <v>2017</v>
      </c>
      <c r="R29" t="s">
        <v>127</v>
      </c>
      <c r="S29" s="41">
        <f>IF(OR(DaybyDays!Z2&gt;(S28+0.1),DaybyDays!Z2&lt;(S28-0.1)),ABS(DaybyDays!Z2)/DaybyDays!Z2*S28,DaybyDays!Z2)</f>
        <v>8.3486026666412805E-4</v>
      </c>
    </row>
    <row r="30" spans="1:25" x14ac:dyDescent="0.25">
      <c r="A30" t="s">
        <v>71</v>
      </c>
      <c r="B30">
        <v>2018</v>
      </c>
      <c r="C30" s="43">
        <f>SUMIFS(UPDATETOOL[Plan Service],UPDATETOOL[UpMonth],Budgets[[#This Row],[BudgetMonth]],UPDATETOOL[UpYear],Budgets[[#This Row],[BudgetYear]])</f>
        <v>161020</v>
      </c>
      <c r="D30" s="43">
        <f>SUMIFS(UPDATETOOL[Plan Retail],UPDATETOOL[UpMonth],Budgets[[#This Row],[BudgetMonth]],UPDATETOOL[UpYear],Budgets[[#This Row],[BudgetYear]])</f>
        <v>48410</v>
      </c>
      <c r="F30" s="7">
        <v>42763</v>
      </c>
      <c r="G30">
        <v>5.2845581109551738E-2</v>
      </c>
      <c r="I30" s="7">
        <v>42763</v>
      </c>
      <c r="J30">
        <v>54</v>
      </c>
      <c r="K30">
        <v>10625.62</v>
      </c>
      <c r="L30">
        <v>773.96</v>
      </c>
      <c r="M30">
        <v>0</v>
      </c>
      <c r="N30">
        <v>0</v>
      </c>
      <c r="O30" t="s">
        <v>68</v>
      </c>
      <c r="P30">
        <v>2017</v>
      </c>
      <c r="R30" t="s">
        <v>128</v>
      </c>
      <c r="S30" s="41">
        <f>IF(OR(DaybyDays!AC2&gt;(T28+0.1),DaybyDays!AC2&lt;(T28-0.1)),ABS(DaybyDays!AC2)/DaybyDays!AC2*T28,DaybyDays!AC2)</f>
        <v>0.16010169364142945</v>
      </c>
    </row>
    <row r="31" spans="1:25" x14ac:dyDescent="0.25">
      <c r="A31" t="s">
        <v>72</v>
      </c>
      <c r="B31">
        <v>2018</v>
      </c>
      <c r="C31" s="43">
        <f>SUMIFS(UPDATETOOL[Plan Service],UPDATETOOL[UpMonth],Budgets[[#This Row],[BudgetMonth]],UPDATETOOL[UpYear],Budgets[[#This Row],[BudgetYear]])</f>
        <v>160630</v>
      </c>
      <c r="D31" s="43">
        <f>SUMIFS(UPDATETOOL[Plan Retail],UPDATETOOL[UpMonth],Budgets[[#This Row],[BudgetMonth]],UPDATETOOL[UpYear],Budgets[[#This Row],[BudgetYear]])</f>
        <v>48250</v>
      </c>
      <c r="F31" s="7">
        <v>42764</v>
      </c>
      <c r="G31">
        <v>4.2049110811683686E-2</v>
      </c>
      <c r="I31" s="7">
        <v>42764</v>
      </c>
      <c r="J31">
        <v>53</v>
      </c>
      <c r="K31">
        <v>7654.62</v>
      </c>
      <c r="L31">
        <v>1100</v>
      </c>
      <c r="M31">
        <v>0</v>
      </c>
      <c r="N31">
        <v>0</v>
      </c>
      <c r="O31" t="s">
        <v>69</v>
      </c>
      <c r="P31">
        <v>2017</v>
      </c>
    </row>
    <row r="32" spans="1:25" x14ac:dyDescent="0.25">
      <c r="A32" t="s">
        <v>73</v>
      </c>
      <c r="B32">
        <v>2018</v>
      </c>
      <c r="C32" s="43">
        <f>SUMIFS(UPDATETOOL[Plan Service],UPDATETOOL[UpMonth],Budgets[[#This Row],[BudgetMonth]],UPDATETOOL[UpYear],Budgets[[#This Row],[BudgetYear]])</f>
        <v>182470</v>
      </c>
      <c r="D32" s="43">
        <f>SUMIFS(UPDATETOOL[Plan Retail],UPDATETOOL[UpMonth],Budgets[[#This Row],[BudgetMonth]],UPDATETOOL[UpYear],Budgets[[#This Row],[BudgetYear]])</f>
        <v>54790</v>
      </c>
      <c r="F32" s="7">
        <v>42765</v>
      </c>
      <c r="G32">
        <v>2.7831469569916733E-2</v>
      </c>
      <c r="I32" s="7">
        <v>42765</v>
      </c>
      <c r="J32">
        <v>37</v>
      </c>
      <c r="K32">
        <v>5012.53</v>
      </c>
      <c r="L32">
        <v>215.27</v>
      </c>
      <c r="M32">
        <v>0</v>
      </c>
      <c r="N32">
        <v>0</v>
      </c>
      <c r="O32" t="s">
        <v>69</v>
      </c>
      <c r="P32">
        <v>2017</v>
      </c>
    </row>
    <row r="33" spans="1:16" x14ac:dyDescent="0.25">
      <c r="A33" t="s">
        <v>74</v>
      </c>
      <c r="B33">
        <v>2018</v>
      </c>
      <c r="C33" s="43">
        <f>SUMIFS(UPDATETOOL[Plan Service],UPDATETOOL[UpMonth],Budgets[[#This Row],[BudgetMonth]],UPDATETOOL[UpYear],Budgets[[#This Row],[BudgetYear]])</f>
        <v>144420</v>
      </c>
      <c r="D33" s="43">
        <f>SUMIFS(UPDATETOOL[Plan Retail],UPDATETOOL[UpMonth],Budgets[[#This Row],[BudgetMonth]],UPDATETOOL[UpYear],Budgets[[#This Row],[BudgetYear]])</f>
        <v>40350</v>
      </c>
      <c r="F33" s="7">
        <v>42766</v>
      </c>
      <c r="G33">
        <v>2.8757605693785677E-2</v>
      </c>
      <c r="I33" s="7">
        <v>42766</v>
      </c>
      <c r="J33">
        <v>51</v>
      </c>
      <c r="K33">
        <v>7055.88</v>
      </c>
      <c r="L33">
        <v>504</v>
      </c>
      <c r="M33">
        <v>0</v>
      </c>
      <c r="N33">
        <v>0</v>
      </c>
      <c r="O33" t="s">
        <v>69</v>
      </c>
      <c r="P33">
        <v>2017</v>
      </c>
    </row>
    <row r="34" spans="1:16" x14ac:dyDescent="0.25">
      <c r="A34" t="s">
        <v>75</v>
      </c>
      <c r="B34">
        <v>2018</v>
      </c>
      <c r="C34" s="43">
        <f>SUMIFS(UPDATETOOL[Plan Service],UPDATETOOL[UpMonth],Budgets[[#This Row],[BudgetMonth]],UPDATETOOL[UpYear],Budgets[[#This Row],[BudgetYear]])</f>
        <v>146770</v>
      </c>
      <c r="D34" s="43">
        <f>SUMIFS(UPDATETOOL[Plan Retail],UPDATETOOL[UpMonth],Budgets[[#This Row],[BudgetMonth]],UPDATETOOL[UpYear],Budgets[[#This Row],[BudgetYear]])</f>
        <v>41040</v>
      </c>
      <c r="F34" s="7">
        <v>42767</v>
      </c>
      <c r="G34">
        <v>3.2316860481701869E-2</v>
      </c>
      <c r="I34" s="7">
        <v>42767</v>
      </c>
      <c r="J34">
        <v>31</v>
      </c>
      <c r="K34">
        <v>4451.05</v>
      </c>
      <c r="L34">
        <v>2784.35</v>
      </c>
      <c r="M34">
        <v>0</v>
      </c>
      <c r="N34">
        <v>0</v>
      </c>
      <c r="O34" t="s">
        <v>69</v>
      </c>
      <c r="P34">
        <v>2017</v>
      </c>
    </row>
    <row r="35" spans="1:16" x14ac:dyDescent="0.25">
      <c r="A35" t="s">
        <v>76</v>
      </c>
      <c r="B35">
        <v>2018</v>
      </c>
      <c r="C35" s="43">
        <f>SUMIFS(UPDATETOOL[Plan Service],UPDATETOOL[UpMonth],Budgets[[#This Row],[BudgetMonth]],UPDATETOOL[UpYear],Budgets[[#This Row],[BudgetYear]])</f>
        <v>183860</v>
      </c>
      <c r="D35" s="43">
        <f>SUMIFS(UPDATETOOL[Plan Retail],UPDATETOOL[UpMonth],Budgets[[#This Row],[BudgetMonth]],UPDATETOOL[UpYear],Budgets[[#This Row],[BudgetYear]])</f>
        <v>51410</v>
      </c>
      <c r="F35" s="7">
        <v>42768</v>
      </c>
      <c r="G35">
        <v>3.3147010241027543E-2</v>
      </c>
      <c r="I35" s="7">
        <v>42768</v>
      </c>
      <c r="J35">
        <v>39</v>
      </c>
      <c r="K35">
        <v>5686.59</v>
      </c>
      <c r="L35">
        <v>638</v>
      </c>
      <c r="M35">
        <v>0</v>
      </c>
      <c r="N35">
        <v>0</v>
      </c>
      <c r="O35" t="s">
        <v>69</v>
      </c>
      <c r="P35">
        <v>2017</v>
      </c>
    </row>
    <row r="36" spans="1:16" x14ac:dyDescent="0.25">
      <c r="A36" t="s">
        <v>77</v>
      </c>
      <c r="B36">
        <v>2018</v>
      </c>
      <c r="C36" s="43">
        <f>SUMIFS(UPDATETOOL[Plan Service],UPDATETOOL[UpMonth],Budgets[[#This Row],[BudgetMonth]],UPDATETOOL[UpYear],Budgets[[#This Row],[BudgetYear]])</f>
        <v>183800</v>
      </c>
      <c r="D36" s="43">
        <f>SUMIFS(UPDATETOOL[Plan Retail],UPDATETOOL[UpMonth],Budgets[[#This Row],[BudgetMonth]],UPDATETOOL[UpYear],Budgets[[#This Row],[BudgetYear]])</f>
        <v>55220</v>
      </c>
      <c r="F36" s="7">
        <v>42769</v>
      </c>
      <c r="G36">
        <v>3.9543828924968022E-2</v>
      </c>
      <c r="I36" s="7">
        <v>42769</v>
      </c>
      <c r="J36">
        <v>40</v>
      </c>
      <c r="K36">
        <v>5798.71</v>
      </c>
      <c r="L36">
        <v>1141.25</v>
      </c>
      <c r="M36">
        <v>0</v>
      </c>
      <c r="N36">
        <v>0</v>
      </c>
      <c r="O36" t="s">
        <v>69</v>
      </c>
      <c r="P36">
        <v>2017</v>
      </c>
    </row>
    <row r="37" spans="1:16" x14ac:dyDescent="0.25">
      <c r="A37" t="s">
        <v>78</v>
      </c>
      <c r="B37">
        <v>2018</v>
      </c>
      <c r="C37" s="43">
        <f>SUMIFS(UPDATETOOL[Plan Service],UPDATETOOL[UpMonth],Budgets[[#This Row],[BudgetMonth]],UPDATETOOL[UpYear],Budgets[[#This Row],[BudgetYear]])</f>
        <v>193910</v>
      </c>
      <c r="D37" s="43">
        <f>SUMIFS(UPDATETOOL[Plan Retail],UPDATETOOL[UpMonth],Budgets[[#This Row],[BudgetMonth]],UPDATETOOL[UpYear],Budgets[[#This Row],[BudgetYear]])</f>
        <v>54850</v>
      </c>
      <c r="F37" s="7">
        <v>42770</v>
      </c>
      <c r="G37">
        <v>5.2944667828970761E-2</v>
      </c>
      <c r="I37" s="7">
        <v>42770</v>
      </c>
      <c r="J37">
        <v>55</v>
      </c>
      <c r="K37">
        <v>10853.75</v>
      </c>
      <c r="L37">
        <v>166.5</v>
      </c>
      <c r="M37">
        <v>0</v>
      </c>
      <c r="N37">
        <v>0</v>
      </c>
      <c r="O37" t="s">
        <v>69</v>
      </c>
      <c r="P37">
        <v>2017</v>
      </c>
    </row>
    <row r="38" spans="1:16" x14ac:dyDescent="0.25">
      <c r="A38" s="45" t="s">
        <v>79</v>
      </c>
      <c r="B38">
        <v>2018</v>
      </c>
      <c r="C38" s="43">
        <f>SUMIFS(UPDATETOOL[Plan Service],UPDATETOOL[UpMonth],Budgets[[#This Row],[BudgetMonth]],UPDATETOOL[UpYear],Budgets[[#This Row],[BudgetYear]])</f>
        <v>231313</v>
      </c>
      <c r="D38" s="43">
        <f>SUMIFS(UPDATETOOL[Plan Retail],UPDATETOOL[UpMonth],Budgets[[#This Row],[BudgetMonth]],UPDATETOOL[UpYear],Budgets[[#This Row],[BudgetYear]])</f>
        <v>64780</v>
      </c>
      <c r="F38" s="7">
        <v>42771</v>
      </c>
      <c r="G38">
        <v>4.3086170232981572E-2</v>
      </c>
      <c r="I38" s="7">
        <v>42771</v>
      </c>
      <c r="J38">
        <v>42</v>
      </c>
      <c r="K38">
        <v>5581.55</v>
      </c>
      <c r="L38">
        <v>647.6</v>
      </c>
      <c r="M38">
        <v>0</v>
      </c>
      <c r="N38">
        <v>0</v>
      </c>
      <c r="O38" t="s">
        <v>69</v>
      </c>
      <c r="P38">
        <v>2017</v>
      </c>
    </row>
    <row r="39" spans="1:16" x14ac:dyDescent="0.25">
      <c r="F39" s="7">
        <v>42772</v>
      </c>
      <c r="G39">
        <v>2.8655729605002487E-2</v>
      </c>
      <c r="I39" s="7">
        <v>42772</v>
      </c>
      <c r="J39">
        <v>26</v>
      </c>
      <c r="K39">
        <v>4465.13</v>
      </c>
      <c r="L39">
        <v>415.8</v>
      </c>
      <c r="M39">
        <v>0</v>
      </c>
      <c r="N39">
        <v>0</v>
      </c>
      <c r="O39" t="s">
        <v>69</v>
      </c>
      <c r="P39">
        <v>2017</v>
      </c>
    </row>
    <row r="40" spans="1:16" x14ac:dyDescent="0.25">
      <c r="F40" s="7">
        <v>42773</v>
      </c>
      <c r="G40">
        <v>2.9340604107093327E-2</v>
      </c>
      <c r="I40" s="7">
        <v>42773</v>
      </c>
      <c r="J40">
        <v>39</v>
      </c>
      <c r="K40">
        <v>6979.91</v>
      </c>
      <c r="L40">
        <v>1950.04</v>
      </c>
      <c r="M40">
        <v>0</v>
      </c>
      <c r="N40">
        <v>0</v>
      </c>
      <c r="O40" t="s">
        <v>69</v>
      </c>
      <c r="P40">
        <v>2017</v>
      </c>
    </row>
    <row r="41" spans="1:16" x14ac:dyDescent="0.25">
      <c r="F41" s="7">
        <v>42774</v>
      </c>
      <c r="G41">
        <v>3.2632956358353372E-2</v>
      </c>
      <c r="I41" s="7">
        <v>42774</v>
      </c>
      <c r="J41">
        <v>32</v>
      </c>
      <c r="K41">
        <v>6138</v>
      </c>
      <c r="L41">
        <v>192.87</v>
      </c>
      <c r="M41">
        <v>0</v>
      </c>
      <c r="N41">
        <v>0</v>
      </c>
      <c r="O41" t="s">
        <v>69</v>
      </c>
      <c r="P41">
        <v>2017</v>
      </c>
    </row>
    <row r="42" spans="1:16" x14ac:dyDescent="0.25">
      <c r="F42" s="7">
        <v>42775</v>
      </c>
      <c r="G42">
        <v>3.3173841114835304E-2</v>
      </c>
      <c r="I42" s="7">
        <v>42775</v>
      </c>
      <c r="J42">
        <v>27</v>
      </c>
      <c r="K42">
        <v>5381</v>
      </c>
      <c r="L42">
        <v>1142.46</v>
      </c>
      <c r="M42">
        <v>0</v>
      </c>
      <c r="N42">
        <v>0</v>
      </c>
      <c r="O42" t="s">
        <v>69</v>
      </c>
      <c r="P42">
        <v>2017</v>
      </c>
    </row>
    <row r="43" spans="1:16" x14ac:dyDescent="0.25">
      <c r="F43" s="7">
        <v>42776</v>
      </c>
      <c r="G43">
        <v>3.9262747124564672E-2</v>
      </c>
      <c r="I43" s="7">
        <v>42776</v>
      </c>
      <c r="J43">
        <v>52</v>
      </c>
      <c r="K43">
        <v>8108.87</v>
      </c>
      <c r="L43">
        <v>1587.64</v>
      </c>
      <c r="M43">
        <v>0</v>
      </c>
      <c r="N43">
        <v>0</v>
      </c>
      <c r="O43" t="s">
        <v>69</v>
      </c>
      <c r="P43">
        <v>2017</v>
      </c>
    </row>
    <row r="44" spans="1:16" x14ac:dyDescent="0.25">
      <c r="F44" s="7">
        <v>42777</v>
      </c>
      <c r="G44">
        <v>5.2341149747116816E-2</v>
      </c>
      <c r="I44" s="7">
        <v>42777</v>
      </c>
      <c r="J44">
        <v>49</v>
      </c>
      <c r="K44">
        <v>8667.57</v>
      </c>
      <c r="L44">
        <v>1226.7</v>
      </c>
      <c r="M44">
        <v>0</v>
      </c>
      <c r="N44">
        <v>0</v>
      </c>
      <c r="O44" t="s">
        <v>69</v>
      </c>
      <c r="P44">
        <v>2017</v>
      </c>
    </row>
    <row r="45" spans="1:16" x14ac:dyDescent="0.25">
      <c r="F45" s="7">
        <v>42778</v>
      </c>
      <c r="G45">
        <v>4.2150191589726875E-2</v>
      </c>
      <c r="I45" s="7">
        <v>42778</v>
      </c>
      <c r="J45">
        <v>36</v>
      </c>
      <c r="K45">
        <v>7781.64</v>
      </c>
      <c r="L45">
        <v>404</v>
      </c>
      <c r="M45">
        <v>0</v>
      </c>
      <c r="N45">
        <v>0</v>
      </c>
      <c r="O45" t="s">
        <v>69</v>
      </c>
      <c r="P45">
        <v>2017</v>
      </c>
    </row>
    <row r="46" spans="1:16" x14ac:dyDescent="0.25">
      <c r="F46" s="7">
        <v>42779</v>
      </c>
      <c r="G46">
        <v>2.7382099159301655E-2</v>
      </c>
      <c r="I46" s="7">
        <v>42779</v>
      </c>
      <c r="J46">
        <v>29</v>
      </c>
      <c r="K46">
        <v>5143.3999999999996</v>
      </c>
      <c r="L46">
        <v>856.77</v>
      </c>
      <c r="M46">
        <v>0</v>
      </c>
      <c r="N46">
        <v>0</v>
      </c>
      <c r="O46" t="s">
        <v>69</v>
      </c>
      <c r="P46">
        <v>2017</v>
      </c>
    </row>
    <row r="47" spans="1:16" x14ac:dyDescent="0.25">
      <c r="F47" s="7">
        <v>42780</v>
      </c>
      <c r="G47">
        <v>4.5556146773944046E-2</v>
      </c>
      <c r="I47" s="7">
        <v>42780</v>
      </c>
      <c r="J47">
        <v>43</v>
      </c>
      <c r="K47">
        <v>9013.3799999999992</v>
      </c>
      <c r="L47">
        <v>967</v>
      </c>
      <c r="M47">
        <v>0</v>
      </c>
      <c r="N47">
        <v>0</v>
      </c>
      <c r="O47" t="s">
        <v>69</v>
      </c>
      <c r="P47">
        <v>2017</v>
      </c>
    </row>
    <row r="48" spans="1:16" x14ac:dyDescent="0.25">
      <c r="F48" s="7">
        <v>42781</v>
      </c>
      <c r="G48">
        <v>3.267806546563521E-2</v>
      </c>
      <c r="I48" s="7">
        <v>42781</v>
      </c>
      <c r="J48">
        <v>37</v>
      </c>
      <c r="K48">
        <v>6035.34</v>
      </c>
      <c r="L48">
        <v>993.03</v>
      </c>
      <c r="M48">
        <v>0</v>
      </c>
      <c r="N48">
        <v>0</v>
      </c>
      <c r="O48" t="s">
        <v>69</v>
      </c>
      <c r="P48">
        <v>2017</v>
      </c>
    </row>
    <row r="49" spans="6:16" x14ac:dyDescent="0.25">
      <c r="F49" s="7">
        <v>42782</v>
      </c>
      <c r="G49">
        <v>3.0908349332276399E-2</v>
      </c>
      <c r="I49" s="7">
        <v>42782</v>
      </c>
      <c r="J49">
        <v>19</v>
      </c>
      <c r="K49">
        <v>2825.69</v>
      </c>
      <c r="L49">
        <v>836.8</v>
      </c>
      <c r="M49">
        <v>0</v>
      </c>
      <c r="N49">
        <v>0</v>
      </c>
      <c r="O49" t="s">
        <v>69</v>
      </c>
      <c r="P49">
        <v>2017</v>
      </c>
    </row>
    <row r="50" spans="6:16" x14ac:dyDescent="0.25">
      <c r="F50" s="7">
        <v>42783</v>
      </c>
      <c r="G50">
        <v>3.6691942128114476E-2</v>
      </c>
      <c r="I50" s="7">
        <v>42783</v>
      </c>
      <c r="J50">
        <v>45</v>
      </c>
      <c r="K50">
        <v>6478.45</v>
      </c>
      <c r="L50">
        <v>1172</v>
      </c>
      <c r="M50">
        <v>0</v>
      </c>
      <c r="N50">
        <v>0</v>
      </c>
      <c r="O50" t="s">
        <v>69</v>
      </c>
      <c r="P50">
        <v>2017</v>
      </c>
    </row>
    <row r="51" spans="6:16" x14ac:dyDescent="0.25">
      <c r="F51" s="7">
        <v>42784</v>
      </c>
      <c r="G51">
        <v>4.9486995890111143E-2</v>
      </c>
      <c r="I51" s="7">
        <v>42784</v>
      </c>
      <c r="J51">
        <v>59</v>
      </c>
      <c r="K51">
        <v>10785.36</v>
      </c>
      <c r="L51">
        <v>303</v>
      </c>
      <c r="M51">
        <v>0</v>
      </c>
      <c r="N51">
        <v>0</v>
      </c>
      <c r="O51" t="s">
        <v>69</v>
      </c>
      <c r="P51">
        <v>2017</v>
      </c>
    </row>
    <row r="52" spans="6:16" x14ac:dyDescent="0.25">
      <c r="F52" s="7">
        <v>42785</v>
      </c>
      <c r="G52">
        <v>3.9040167521886611E-2</v>
      </c>
      <c r="I52" s="7">
        <v>42785</v>
      </c>
      <c r="J52">
        <v>30</v>
      </c>
      <c r="K52">
        <v>6371.25</v>
      </c>
      <c r="L52">
        <v>633.6</v>
      </c>
      <c r="M52">
        <v>0</v>
      </c>
      <c r="N52">
        <v>0</v>
      </c>
      <c r="O52" t="s">
        <v>69</v>
      </c>
      <c r="P52">
        <v>2017</v>
      </c>
    </row>
    <row r="53" spans="6:16" x14ac:dyDescent="0.25">
      <c r="F53" s="7">
        <v>42786</v>
      </c>
      <c r="G53">
        <v>2.4049020561689387E-2</v>
      </c>
      <c r="I53" s="7">
        <v>42786</v>
      </c>
      <c r="J53">
        <v>43</v>
      </c>
      <c r="K53">
        <v>8031.12</v>
      </c>
      <c r="L53">
        <v>531.49</v>
      </c>
      <c r="M53">
        <v>0</v>
      </c>
      <c r="N53">
        <v>0</v>
      </c>
      <c r="O53" t="s">
        <v>69</v>
      </c>
      <c r="P53">
        <v>2017</v>
      </c>
    </row>
    <row r="54" spans="6:16" x14ac:dyDescent="0.25">
      <c r="F54" s="7">
        <v>42787</v>
      </c>
      <c r="G54">
        <v>2.4210991531395817E-2</v>
      </c>
      <c r="I54" s="7">
        <v>42787</v>
      </c>
      <c r="J54">
        <v>35</v>
      </c>
      <c r="K54">
        <v>5148.2</v>
      </c>
      <c r="L54">
        <v>330.5</v>
      </c>
      <c r="M54">
        <v>0</v>
      </c>
      <c r="N54">
        <v>0</v>
      </c>
      <c r="O54" t="s">
        <v>69</v>
      </c>
      <c r="P54">
        <v>2017</v>
      </c>
    </row>
    <row r="55" spans="6:16" x14ac:dyDescent="0.25">
      <c r="F55" s="7">
        <v>42788</v>
      </c>
      <c r="G55">
        <v>2.7028270373834179E-2</v>
      </c>
      <c r="I55" s="7">
        <v>42788</v>
      </c>
      <c r="J55">
        <v>23</v>
      </c>
      <c r="K55">
        <v>3890</v>
      </c>
      <c r="L55">
        <v>478.5</v>
      </c>
      <c r="M55">
        <v>0</v>
      </c>
      <c r="N55">
        <v>0</v>
      </c>
      <c r="O55" t="s">
        <v>69</v>
      </c>
      <c r="P55">
        <v>2017</v>
      </c>
    </row>
    <row r="56" spans="6:16" x14ac:dyDescent="0.25">
      <c r="F56" s="7">
        <v>42789</v>
      </c>
      <c r="G56">
        <v>2.7151619608607323E-2</v>
      </c>
      <c r="I56" s="7">
        <v>42789</v>
      </c>
      <c r="J56">
        <v>30</v>
      </c>
      <c r="K56">
        <v>4380.1899999999996</v>
      </c>
      <c r="L56">
        <v>508.15</v>
      </c>
      <c r="M56">
        <v>0</v>
      </c>
      <c r="N56">
        <v>0</v>
      </c>
      <c r="O56" t="s">
        <v>69</v>
      </c>
      <c r="P56">
        <v>2017</v>
      </c>
    </row>
    <row r="57" spans="6:16" x14ac:dyDescent="0.25">
      <c r="F57" s="7">
        <v>42790</v>
      </c>
      <c r="G57">
        <v>3.2889740770295148E-2</v>
      </c>
      <c r="I57" s="7">
        <v>42790</v>
      </c>
      <c r="J57">
        <v>38</v>
      </c>
      <c r="K57">
        <v>6687.7</v>
      </c>
      <c r="L57">
        <v>2165.75</v>
      </c>
      <c r="M57">
        <v>0</v>
      </c>
      <c r="N57">
        <v>0</v>
      </c>
      <c r="O57" t="s">
        <v>69</v>
      </c>
      <c r="P57">
        <v>2017</v>
      </c>
    </row>
    <row r="58" spans="6:16" x14ac:dyDescent="0.25">
      <c r="F58" s="7">
        <v>42791</v>
      </c>
      <c r="G58">
        <v>4.5692647451180249E-2</v>
      </c>
      <c r="I58" s="7">
        <v>42791</v>
      </c>
      <c r="J58">
        <v>63</v>
      </c>
      <c r="K58">
        <v>11396.66</v>
      </c>
      <c r="L58">
        <v>1133.49</v>
      </c>
      <c r="M58">
        <v>0</v>
      </c>
      <c r="N58">
        <v>0</v>
      </c>
      <c r="O58" t="s">
        <v>69</v>
      </c>
      <c r="P58">
        <v>2017</v>
      </c>
    </row>
    <row r="59" spans="6:16" x14ac:dyDescent="0.25">
      <c r="F59" s="7">
        <v>42792</v>
      </c>
      <c r="G59">
        <v>3.1291787298956319E-2</v>
      </c>
      <c r="I59" s="7">
        <v>42792</v>
      </c>
      <c r="J59">
        <v>31</v>
      </c>
      <c r="K59">
        <v>6564.71</v>
      </c>
      <c r="L59">
        <v>560.45000000000005</v>
      </c>
      <c r="M59">
        <v>0</v>
      </c>
      <c r="N59">
        <v>0</v>
      </c>
      <c r="O59" t="s">
        <v>70</v>
      </c>
      <c r="P59">
        <v>2017</v>
      </c>
    </row>
    <row r="60" spans="6:16" x14ac:dyDescent="0.25">
      <c r="F60" s="7">
        <v>42793</v>
      </c>
      <c r="G60">
        <v>1.8112773333625178E-2</v>
      </c>
      <c r="I60" s="7">
        <v>42793</v>
      </c>
      <c r="J60">
        <v>39</v>
      </c>
      <c r="K60">
        <v>5207.5</v>
      </c>
      <c r="L60">
        <v>0</v>
      </c>
      <c r="M60">
        <v>0</v>
      </c>
      <c r="N60">
        <v>0</v>
      </c>
      <c r="O60" t="s">
        <v>70</v>
      </c>
      <c r="P60">
        <v>2017</v>
      </c>
    </row>
    <row r="61" spans="6:16" x14ac:dyDescent="0.25">
      <c r="F61" s="7">
        <v>42794</v>
      </c>
      <c r="G61">
        <v>1.8413482388421609E-2</v>
      </c>
      <c r="I61" s="7">
        <v>42794</v>
      </c>
      <c r="J61">
        <v>39</v>
      </c>
      <c r="K61">
        <v>6273.75</v>
      </c>
      <c r="L61">
        <v>2627.45</v>
      </c>
      <c r="M61">
        <v>0</v>
      </c>
      <c r="N61">
        <v>0</v>
      </c>
      <c r="O61" t="s">
        <v>70</v>
      </c>
      <c r="P61">
        <v>2017</v>
      </c>
    </row>
    <row r="62" spans="6:16" x14ac:dyDescent="0.25">
      <c r="F62" s="7">
        <v>42795</v>
      </c>
      <c r="G62">
        <v>2.1117536665609289E-2</v>
      </c>
      <c r="I62" s="7">
        <v>42795</v>
      </c>
      <c r="J62">
        <v>0</v>
      </c>
      <c r="K62">
        <v>0</v>
      </c>
      <c r="L62">
        <v>0</v>
      </c>
      <c r="M62">
        <v>0</v>
      </c>
      <c r="N62">
        <v>0</v>
      </c>
      <c r="O62" t="s">
        <v>70</v>
      </c>
      <c r="P62">
        <v>2017</v>
      </c>
    </row>
    <row r="63" spans="6:16" x14ac:dyDescent="0.25">
      <c r="F63" s="7">
        <v>42796</v>
      </c>
      <c r="G63">
        <v>2.1482873491155467E-2</v>
      </c>
      <c r="I63" s="7">
        <v>42796</v>
      </c>
      <c r="J63">
        <v>0</v>
      </c>
      <c r="K63">
        <v>0</v>
      </c>
      <c r="L63">
        <v>0</v>
      </c>
      <c r="M63">
        <v>0</v>
      </c>
      <c r="N63">
        <v>0</v>
      </c>
      <c r="O63" t="s">
        <v>70</v>
      </c>
      <c r="P63">
        <v>2017</v>
      </c>
    </row>
    <row r="64" spans="6:16" x14ac:dyDescent="0.25">
      <c r="F64" s="7">
        <v>42797</v>
      </c>
      <c r="G64">
        <v>2.6870472172192864E-2</v>
      </c>
      <c r="I64" s="7">
        <v>42797</v>
      </c>
      <c r="J64">
        <v>0</v>
      </c>
      <c r="K64">
        <v>0</v>
      </c>
      <c r="L64">
        <v>0</v>
      </c>
      <c r="M64">
        <v>0</v>
      </c>
      <c r="N64">
        <v>0</v>
      </c>
      <c r="O64" t="s">
        <v>70</v>
      </c>
      <c r="P64">
        <v>2017</v>
      </c>
    </row>
    <row r="65" spans="6:16" x14ac:dyDescent="0.25">
      <c r="F65" s="7">
        <v>42798</v>
      </c>
      <c r="G65">
        <v>3.856204713684061E-2</v>
      </c>
      <c r="I65" s="7">
        <v>42798</v>
      </c>
      <c r="J65">
        <v>0</v>
      </c>
      <c r="K65">
        <v>0</v>
      </c>
      <c r="L65">
        <v>0</v>
      </c>
      <c r="M65">
        <v>0</v>
      </c>
      <c r="N65">
        <v>0</v>
      </c>
      <c r="O65" t="s">
        <v>70</v>
      </c>
      <c r="P65">
        <v>2017</v>
      </c>
    </row>
    <row r="66" spans="6:16" x14ac:dyDescent="0.25">
      <c r="F66" s="7">
        <v>42799</v>
      </c>
      <c r="G66">
        <v>2.9744072800024394E-2</v>
      </c>
      <c r="I66" s="7">
        <v>42799</v>
      </c>
      <c r="J66">
        <v>0</v>
      </c>
      <c r="K66">
        <v>0</v>
      </c>
      <c r="L66">
        <v>0</v>
      </c>
      <c r="M66">
        <v>0</v>
      </c>
      <c r="N66">
        <v>0</v>
      </c>
      <c r="O66" t="s">
        <v>70</v>
      </c>
      <c r="P66">
        <v>2017</v>
      </c>
    </row>
    <row r="67" spans="6:16" x14ac:dyDescent="0.25">
      <c r="F67" s="7">
        <v>42800</v>
      </c>
      <c r="G67">
        <v>1.6982784589024327E-2</v>
      </c>
      <c r="I67" s="7">
        <v>42800</v>
      </c>
      <c r="J67">
        <v>7</v>
      </c>
      <c r="K67">
        <v>1291</v>
      </c>
      <c r="L67">
        <v>0</v>
      </c>
      <c r="M67">
        <v>0</v>
      </c>
      <c r="N67">
        <v>0</v>
      </c>
      <c r="O67" t="s">
        <v>70</v>
      </c>
      <c r="P67">
        <v>2017</v>
      </c>
    </row>
    <row r="68" spans="6:16" x14ac:dyDescent="0.25">
      <c r="F68" s="7">
        <v>42801</v>
      </c>
      <c r="G68">
        <v>1.7728870464554757E-2</v>
      </c>
      <c r="I68" s="7">
        <v>42801</v>
      </c>
      <c r="J68">
        <v>17</v>
      </c>
      <c r="K68">
        <v>3445.7</v>
      </c>
      <c r="L68">
        <v>538.75</v>
      </c>
      <c r="M68">
        <v>0</v>
      </c>
      <c r="N68">
        <v>0</v>
      </c>
      <c r="O68" t="s">
        <v>70</v>
      </c>
      <c r="P68">
        <v>2017</v>
      </c>
    </row>
    <row r="69" spans="6:16" x14ac:dyDescent="0.25">
      <c r="F69" s="7">
        <v>42802</v>
      </c>
      <c r="G69">
        <v>2.0899222450737751E-2</v>
      </c>
      <c r="I69" s="7">
        <v>42802</v>
      </c>
      <c r="J69">
        <v>16</v>
      </c>
      <c r="K69">
        <v>3075.8</v>
      </c>
      <c r="L69">
        <v>250</v>
      </c>
      <c r="M69">
        <v>0</v>
      </c>
      <c r="N69">
        <v>0</v>
      </c>
      <c r="O69" t="s">
        <v>70</v>
      </c>
      <c r="P69">
        <v>2017</v>
      </c>
    </row>
    <row r="70" spans="6:16" x14ac:dyDescent="0.25">
      <c r="F70" s="7">
        <v>42803</v>
      </c>
      <c r="G70">
        <v>2.1744383286231891E-2</v>
      </c>
      <c r="I70" s="7">
        <v>42803</v>
      </c>
      <c r="J70">
        <v>16</v>
      </c>
      <c r="K70">
        <v>2481</v>
      </c>
      <c r="L70">
        <v>7</v>
      </c>
      <c r="M70">
        <v>0</v>
      </c>
      <c r="N70">
        <v>0</v>
      </c>
      <c r="O70" t="s">
        <v>70</v>
      </c>
      <c r="P70">
        <v>2017</v>
      </c>
    </row>
    <row r="71" spans="6:16" x14ac:dyDescent="0.25">
      <c r="F71" s="7">
        <v>42804</v>
      </c>
      <c r="G71">
        <v>2.761738758614821E-2</v>
      </c>
      <c r="I71" s="7">
        <v>42804</v>
      </c>
      <c r="J71">
        <v>6</v>
      </c>
      <c r="K71">
        <v>1492.75</v>
      </c>
      <c r="L71">
        <v>0</v>
      </c>
      <c r="M71">
        <v>0</v>
      </c>
      <c r="N71">
        <v>0</v>
      </c>
      <c r="O71" t="s">
        <v>70</v>
      </c>
      <c r="P71">
        <v>2017</v>
      </c>
    </row>
    <row r="72" spans="6:16" x14ac:dyDescent="0.25">
      <c r="F72" s="7">
        <v>42805</v>
      </c>
      <c r="G72">
        <v>3.9791586503619407E-2</v>
      </c>
      <c r="I72" s="7">
        <v>42805</v>
      </c>
      <c r="J72">
        <v>33</v>
      </c>
      <c r="K72">
        <v>7819</v>
      </c>
      <c r="L72">
        <v>510</v>
      </c>
      <c r="M72">
        <v>0</v>
      </c>
      <c r="N72">
        <v>0</v>
      </c>
      <c r="O72" t="s">
        <v>70</v>
      </c>
      <c r="P72">
        <v>2017</v>
      </c>
    </row>
    <row r="73" spans="6:16" x14ac:dyDescent="0.25">
      <c r="F73" s="7">
        <v>42806</v>
      </c>
      <c r="G73">
        <v>3.1448509506123996E-2</v>
      </c>
      <c r="I73" s="7">
        <v>42806</v>
      </c>
      <c r="J73">
        <v>26</v>
      </c>
      <c r="K73">
        <v>5243.2</v>
      </c>
      <c r="L73">
        <v>120.4</v>
      </c>
      <c r="M73">
        <v>0</v>
      </c>
      <c r="N73">
        <v>0</v>
      </c>
      <c r="O73" t="s">
        <v>70</v>
      </c>
      <c r="P73">
        <v>2017</v>
      </c>
    </row>
    <row r="74" spans="6:16" x14ac:dyDescent="0.25">
      <c r="F74" s="7">
        <v>42807</v>
      </c>
      <c r="G74">
        <v>1.9141954917915205E-2</v>
      </c>
      <c r="I74" s="7">
        <v>42807</v>
      </c>
      <c r="J74">
        <v>11</v>
      </c>
      <c r="K74">
        <v>3261.2</v>
      </c>
      <c r="L74">
        <v>69</v>
      </c>
      <c r="M74">
        <v>0</v>
      </c>
      <c r="N74">
        <v>0</v>
      </c>
      <c r="O74" t="s">
        <v>70</v>
      </c>
      <c r="P74">
        <v>2017</v>
      </c>
    </row>
    <row r="75" spans="6:16" x14ac:dyDescent="0.25">
      <c r="F75" s="7">
        <v>42808</v>
      </c>
      <c r="G75">
        <v>2.0313920771836368E-2</v>
      </c>
      <c r="I75" s="7">
        <v>42808</v>
      </c>
      <c r="J75">
        <v>17</v>
      </c>
      <c r="K75">
        <v>4430</v>
      </c>
      <c r="L75">
        <v>1890</v>
      </c>
      <c r="M75">
        <v>0</v>
      </c>
      <c r="N75">
        <v>0</v>
      </c>
      <c r="O75" t="s">
        <v>70</v>
      </c>
      <c r="P75">
        <v>2017</v>
      </c>
    </row>
    <row r="76" spans="6:16" x14ac:dyDescent="0.25">
      <c r="F76" s="7">
        <v>42809</v>
      </c>
      <c r="G76">
        <v>2.3872841881411963E-2</v>
      </c>
      <c r="I76" s="7">
        <v>42809</v>
      </c>
      <c r="J76">
        <v>18</v>
      </c>
      <c r="K76">
        <v>2418.4</v>
      </c>
      <c r="L76">
        <v>69</v>
      </c>
      <c r="M76">
        <v>0</v>
      </c>
      <c r="N76">
        <v>0</v>
      </c>
      <c r="O76" t="s">
        <v>70</v>
      </c>
      <c r="P76">
        <v>2017</v>
      </c>
    </row>
    <row r="77" spans="6:16" x14ac:dyDescent="0.25">
      <c r="F77" s="7">
        <v>42810</v>
      </c>
      <c r="G77">
        <v>2.5061214746380359E-2</v>
      </c>
      <c r="I77" s="7">
        <v>42810</v>
      </c>
      <c r="J77">
        <v>15</v>
      </c>
      <c r="K77">
        <v>3231</v>
      </c>
      <c r="L77">
        <v>77.75</v>
      </c>
      <c r="M77">
        <v>0</v>
      </c>
      <c r="N77">
        <v>0</v>
      </c>
      <c r="O77" t="s">
        <v>70</v>
      </c>
      <c r="P77">
        <v>2017</v>
      </c>
    </row>
    <row r="78" spans="6:16" x14ac:dyDescent="0.25">
      <c r="F78" s="7">
        <v>42811</v>
      </c>
      <c r="G78">
        <v>3.122461544999974E-2</v>
      </c>
      <c r="I78" s="7">
        <v>42811</v>
      </c>
      <c r="J78">
        <v>9</v>
      </c>
      <c r="K78">
        <v>2879.99</v>
      </c>
      <c r="L78">
        <v>2012.35</v>
      </c>
      <c r="M78">
        <v>0</v>
      </c>
      <c r="N78">
        <v>0</v>
      </c>
      <c r="O78" t="s">
        <v>70</v>
      </c>
      <c r="P78">
        <v>2017</v>
      </c>
    </row>
    <row r="79" spans="6:16" x14ac:dyDescent="0.25">
      <c r="F79" s="7">
        <v>42812</v>
      </c>
      <c r="G79">
        <v>4.3629695698915061E-2</v>
      </c>
      <c r="I79" s="7">
        <v>42812</v>
      </c>
      <c r="J79">
        <v>34</v>
      </c>
      <c r="K79">
        <v>6730.2</v>
      </c>
      <c r="L79">
        <v>1092.5999999999999</v>
      </c>
      <c r="M79">
        <v>0</v>
      </c>
      <c r="N79">
        <v>0</v>
      </c>
      <c r="O79" t="s">
        <v>70</v>
      </c>
      <c r="P79">
        <v>2017</v>
      </c>
    </row>
    <row r="80" spans="6:16" x14ac:dyDescent="0.25">
      <c r="F80" s="7">
        <v>42813</v>
      </c>
      <c r="G80">
        <v>3.5448516319112729E-2</v>
      </c>
      <c r="I80" s="7">
        <v>42813</v>
      </c>
      <c r="J80">
        <v>38</v>
      </c>
      <c r="K80">
        <v>6763.2</v>
      </c>
      <c r="L80">
        <v>1338</v>
      </c>
      <c r="M80">
        <v>0</v>
      </c>
      <c r="N80">
        <v>0</v>
      </c>
      <c r="O80" t="s">
        <v>70</v>
      </c>
      <c r="P80">
        <v>2017</v>
      </c>
    </row>
    <row r="81" spans="6:16" x14ac:dyDescent="0.25">
      <c r="F81" s="7">
        <v>42814</v>
      </c>
      <c r="G81">
        <v>2.3233855781802506E-2</v>
      </c>
      <c r="I81" s="7">
        <v>42814</v>
      </c>
      <c r="J81">
        <v>15</v>
      </c>
      <c r="K81">
        <v>3130</v>
      </c>
      <c r="L81">
        <v>0</v>
      </c>
      <c r="M81">
        <v>0</v>
      </c>
      <c r="N81">
        <v>0</v>
      </c>
      <c r="O81" t="s">
        <v>70</v>
      </c>
      <c r="P81">
        <v>2017</v>
      </c>
    </row>
    <row r="82" spans="6:16" x14ac:dyDescent="0.25">
      <c r="F82" s="7">
        <v>42815</v>
      </c>
      <c r="G82">
        <v>2.4424201386502815E-2</v>
      </c>
      <c r="I82" s="7">
        <v>42815</v>
      </c>
      <c r="J82">
        <v>15</v>
      </c>
      <c r="K82">
        <v>2884.6</v>
      </c>
      <c r="L82">
        <v>271</v>
      </c>
      <c r="M82">
        <v>0</v>
      </c>
      <c r="N82">
        <v>0</v>
      </c>
      <c r="O82" t="s">
        <v>70</v>
      </c>
      <c r="P82">
        <v>2017</v>
      </c>
    </row>
    <row r="83" spans="6:16" x14ac:dyDescent="0.25">
      <c r="F83" s="7">
        <v>42816</v>
      </c>
      <c r="G83">
        <v>2.7925785435863205E-2</v>
      </c>
      <c r="I83" s="7">
        <v>42816</v>
      </c>
      <c r="J83">
        <v>15</v>
      </c>
      <c r="K83">
        <v>4015</v>
      </c>
      <c r="L83">
        <v>362.5</v>
      </c>
      <c r="M83">
        <v>0</v>
      </c>
      <c r="N83">
        <v>0</v>
      </c>
      <c r="O83" t="s">
        <v>70</v>
      </c>
      <c r="P83">
        <v>2017</v>
      </c>
    </row>
    <row r="84" spans="6:16" x14ac:dyDescent="0.25">
      <c r="F84" s="7">
        <v>42817</v>
      </c>
      <c r="G84">
        <v>2.8980294535670328E-2</v>
      </c>
      <c r="I84" s="7">
        <v>42817</v>
      </c>
      <c r="J84">
        <v>9</v>
      </c>
      <c r="K84">
        <v>1820</v>
      </c>
      <c r="L84">
        <v>0</v>
      </c>
      <c r="M84">
        <v>0</v>
      </c>
      <c r="N84">
        <v>0</v>
      </c>
      <c r="O84" t="s">
        <v>70</v>
      </c>
      <c r="P84">
        <v>2017</v>
      </c>
    </row>
    <row r="85" spans="6:16" x14ac:dyDescent="0.25">
      <c r="F85" s="7">
        <v>42818</v>
      </c>
      <c r="G85">
        <v>3.4933944663300999E-2</v>
      </c>
      <c r="I85" s="7">
        <v>42818</v>
      </c>
      <c r="J85">
        <v>23</v>
      </c>
      <c r="K85">
        <v>5708</v>
      </c>
      <c r="L85">
        <v>505</v>
      </c>
      <c r="M85">
        <v>0</v>
      </c>
      <c r="N85">
        <v>0</v>
      </c>
      <c r="O85" t="s">
        <v>70</v>
      </c>
      <c r="P85">
        <v>2017</v>
      </c>
    </row>
    <row r="86" spans="6:16" x14ac:dyDescent="0.25">
      <c r="F86" s="7">
        <v>42819</v>
      </c>
      <c r="G86">
        <v>4.7055504647144995E-2</v>
      </c>
      <c r="I86" s="7">
        <v>42819</v>
      </c>
      <c r="J86">
        <v>28</v>
      </c>
      <c r="K86">
        <v>6509.2</v>
      </c>
      <c r="L86">
        <v>-761.5</v>
      </c>
      <c r="M86">
        <v>0</v>
      </c>
      <c r="N86">
        <v>0</v>
      </c>
      <c r="O86" t="s">
        <v>70</v>
      </c>
      <c r="P86">
        <v>2017</v>
      </c>
    </row>
    <row r="87" spans="6:16" x14ac:dyDescent="0.25">
      <c r="F87" s="7">
        <v>42820</v>
      </c>
      <c r="G87">
        <v>3.8520625954219456E-2</v>
      </c>
      <c r="I87" s="7">
        <v>42820</v>
      </c>
      <c r="J87">
        <v>36</v>
      </c>
      <c r="K87">
        <v>4885.5</v>
      </c>
      <c r="L87">
        <v>266</v>
      </c>
      <c r="M87">
        <v>0</v>
      </c>
      <c r="N87">
        <v>0</v>
      </c>
      <c r="O87" t="s">
        <v>70</v>
      </c>
      <c r="P87">
        <v>2017</v>
      </c>
    </row>
    <row r="88" spans="6:16" x14ac:dyDescent="0.25">
      <c r="F88" s="7">
        <v>42821</v>
      </c>
      <c r="G88">
        <v>2.5887115408403417E-2</v>
      </c>
      <c r="I88" s="7">
        <v>42821</v>
      </c>
      <c r="J88">
        <v>10</v>
      </c>
      <c r="K88">
        <v>1470.8</v>
      </c>
      <c r="L88">
        <v>569.90000000000009</v>
      </c>
      <c r="M88">
        <v>0</v>
      </c>
      <c r="N88">
        <v>0</v>
      </c>
      <c r="O88" t="s">
        <v>70</v>
      </c>
      <c r="P88">
        <v>2017</v>
      </c>
    </row>
    <row r="89" spans="6:16" x14ac:dyDescent="0.25">
      <c r="F89" s="7">
        <v>42822</v>
      </c>
      <c r="G89">
        <v>2.6599858304396373E-2</v>
      </c>
      <c r="I89" s="7">
        <v>42822</v>
      </c>
      <c r="J89">
        <v>20</v>
      </c>
      <c r="K89">
        <v>3603.3999999999996</v>
      </c>
      <c r="L89">
        <v>987</v>
      </c>
      <c r="M89">
        <v>0</v>
      </c>
      <c r="N89">
        <v>0</v>
      </c>
      <c r="O89" t="s">
        <v>70</v>
      </c>
      <c r="P89">
        <v>2017</v>
      </c>
    </row>
    <row r="90" spans="6:16" x14ac:dyDescent="0.25">
      <c r="F90" s="7">
        <v>42823</v>
      </c>
      <c r="G90">
        <v>2.957275486818936E-2</v>
      </c>
      <c r="I90" s="7">
        <v>42823</v>
      </c>
      <c r="J90">
        <v>18</v>
      </c>
      <c r="K90">
        <v>3080.09</v>
      </c>
      <c r="L90">
        <v>135</v>
      </c>
      <c r="M90">
        <v>0</v>
      </c>
      <c r="N90">
        <v>0</v>
      </c>
      <c r="O90" t="s">
        <v>70</v>
      </c>
      <c r="P90">
        <v>2017</v>
      </c>
    </row>
    <row r="91" spans="6:16" x14ac:dyDescent="0.25">
      <c r="F91" s="7">
        <v>42824</v>
      </c>
      <c r="G91">
        <v>3.0056299721914811E-2</v>
      </c>
      <c r="I91" s="7">
        <v>42824</v>
      </c>
      <c r="J91">
        <v>22</v>
      </c>
      <c r="K91">
        <v>4030.8</v>
      </c>
      <c r="L91">
        <v>356.5</v>
      </c>
      <c r="M91">
        <v>0</v>
      </c>
      <c r="N91">
        <v>0</v>
      </c>
      <c r="O91" t="s">
        <v>70</v>
      </c>
      <c r="P91">
        <v>2017</v>
      </c>
    </row>
    <row r="92" spans="6:16" x14ac:dyDescent="0.25">
      <c r="F92" s="7">
        <v>42825</v>
      </c>
      <c r="G92">
        <v>3.5406498996463802E-2</v>
      </c>
      <c r="I92" s="7">
        <v>42825</v>
      </c>
      <c r="J92">
        <v>30</v>
      </c>
      <c r="K92">
        <v>5833.17</v>
      </c>
      <c r="L92">
        <v>1476.6</v>
      </c>
      <c r="M92">
        <v>0</v>
      </c>
      <c r="N92">
        <v>0</v>
      </c>
      <c r="O92" t="s">
        <v>70</v>
      </c>
      <c r="P92">
        <v>2017</v>
      </c>
    </row>
    <row r="93" spans="6:16" x14ac:dyDescent="0.25">
      <c r="F93" s="7">
        <v>42826</v>
      </c>
      <c r="G93">
        <v>4.6902710837290529E-2</v>
      </c>
      <c r="I93" s="7">
        <v>42826</v>
      </c>
      <c r="J93">
        <v>42</v>
      </c>
      <c r="K93">
        <v>7774.5</v>
      </c>
      <c r="L93">
        <v>163.5</v>
      </c>
      <c r="M93">
        <v>0</v>
      </c>
      <c r="N93">
        <v>0</v>
      </c>
      <c r="O93" t="s">
        <v>70</v>
      </c>
      <c r="P93">
        <v>2017</v>
      </c>
    </row>
    <row r="94" spans="6:16" x14ac:dyDescent="0.25">
      <c r="F94" s="7">
        <v>42827</v>
      </c>
      <c r="G94">
        <v>5.4338831125620789E-2</v>
      </c>
      <c r="I94" s="7">
        <v>42827</v>
      </c>
      <c r="J94">
        <v>35</v>
      </c>
      <c r="K94">
        <v>6481.8</v>
      </c>
      <c r="L94">
        <v>3061</v>
      </c>
      <c r="M94">
        <v>0</v>
      </c>
      <c r="N94">
        <v>0</v>
      </c>
      <c r="O94" t="s">
        <v>71</v>
      </c>
      <c r="P94">
        <v>2017</v>
      </c>
    </row>
    <row r="95" spans="6:16" x14ac:dyDescent="0.25">
      <c r="F95" s="7">
        <v>42828</v>
      </c>
      <c r="G95">
        <v>3.5230074973497671E-2</v>
      </c>
      <c r="I95" s="7">
        <v>42828</v>
      </c>
      <c r="J95">
        <v>20</v>
      </c>
      <c r="K95">
        <v>4357.1000000000004</v>
      </c>
      <c r="L95">
        <v>0</v>
      </c>
      <c r="M95">
        <v>0</v>
      </c>
      <c r="N95">
        <v>0</v>
      </c>
      <c r="O95" t="s">
        <v>71</v>
      </c>
      <c r="P95">
        <v>2017</v>
      </c>
    </row>
    <row r="96" spans="6:16" x14ac:dyDescent="0.25">
      <c r="F96" s="7">
        <v>42829</v>
      </c>
      <c r="G96">
        <v>3.5359778415660952E-2</v>
      </c>
      <c r="I96" s="7">
        <v>42829</v>
      </c>
      <c r="J96">
        <v>23</v>
      </c>
      <c r="K96">
        <v>4872.6499999999996</v>
      </c>
      <c r="L96">
        <v>1698.25</v>
      </c>
      <c r="M96">
        <v>0</v>
      </c>
      <c r="N96">
        <v>0</v>
      </c>
      <c r="O96" t="s">
        <v>71</v>
      </c>
      <c r="P96">
        <v>2017</v>
      </c>
    </row>
    <row r="97" spans="6:16" x14ac:dyDescent="0.25">
      <c r="F97" s="7">
        <v>42830</v>
      </c>
      <c r="G97">
        <v>3.8779158632278564E-2</v>
      </c>
      <c r="I97" s="7">
        <v>42830</v>
      </c>
      <c r="J97">
        <v>25</v>
      </c>
      <c r="K97">
        <v>4846.3999999999996</v>
      </c>
      <c r="L97">
        <v>1998.7</v>
      </c>
      <c r="M97">
        <v>0</v>
      </c>
      <c r="N97">
        <v>0</v>
      </c>
      <c r="O97" t="s">
        <v>71</v>
      </c>
      <c r="P97">
        <v>2017</v>
      </c>
    </row>
    <row r="98" spans="6:16" x14ac:dyDescent="0.25">
      <c r="F98" s="7">
        <v>42831</v>
      </c>
      <c r="G98">
        <v>3.8664482176967933E-2</v>
      </c>
      <c r="I98" s="7">
        <v>42831</v>
      </c>
      <c r="J98">
        <v>21</v>
      </c>
      <c r="K98">
        <v>3962.6974999999998</v>
      </c>
      <c r="L98">
        <v>1814.0025000000001</v>
      </c>
      <c r="M98">
        <v>0</v>
      </c>
      <c r="N98">
        <v>0</v>
      </c>
      <c r="O98" t="s">
        <v>71</v>
      </c>
      <c r="P98">
        <v>2017</v>
      </c>
    </row>
    <row r="99" spans="6:16" x14ac:dyDescent="0.25">
      <c r="F99" s="7">
        <v>42832</v>
      </c>
      <c r="G99">
        <v>4.5624736669542275E-2</v>
      </c>
      <c r="I99" s="7">
        <v>42832</v>
      </c>
      <c r="J99">
        <v>38</v>
      </c>
      <c r="K99">
        <v>7289.65</v>
      </c>
      <c r="L99">
        <v>1735</v>
      </c>
      <c r="M99">
        <v>0</v>
      </c>
      <c r="N99">
        <v>0</v>
      </c>
      <c r="O99" t="s">
        <v>71</v>
      </c>
      <c r="P99">
        <v>2017</v>
      </c>
    </row>
    <row r="100" spans="6:16" x14ac:dyDescent="0.25">
      <c r="F100" s="7">
        <v>42833</v>
      </c>
      <c r="G100">
        <v>6.1516539982803035E-2</v>
      </c>
      <c r="I100" s="7">
        <v>42833</v>
      </c>
      <c r="J100">
        <v>31</v>
      </c>
      <c r="K100">
        <v>7020.79</v>
      </c>
      <c r="L100">
        <v>946</v>
      </c>
      <c r="M100">
        <v>0</v>
      </c>
      <c r="N100">
        <v>0</v>
      </c>
      <c r="O100" t="s">
        <v>71</v>
      </c>
      <c r="P100">
        <v>2017</v>
      </c>
    </row>
    <row r="101" spans="6:16" x14ac:dyDescent="0.25">
      <c r="F101" s="7">
        <v>42834</v>
      </c>
      <c r="G101">
        <v>4.7738004377001132E-2</v>
      </c>
      <c r="I101" s="7">
        <v>42834</v>
      </c>
      <c r="J101">
        <v>30</v>
      </c>
      <c r="K101">
        <v>5017.6000000000004</v>
      </c>
      <c r="L101">
        <v>746.6</v>
      </c>
      <c r="M101">
        <v>0</v>
      </c>
      <c r="N101">
        <v>0</v>
      </c>
      <c r="O101" t="s">
        <v>71</v>
      </c>
      <c r="P101">
        <v>2017</v>
      </c>
    </row>
    <row r="102" spans="6:16" x14ac:dyDescent="0.25">
      <c r="F102" s="7">
        <v>42835</v>
      </c>
      <c r="G102">
        <v>2.8162153008275681E-2</v>
      </c>
      <c r="I102" s="7">
        <v>42835</v>
      </c>
      <c r="J102">
        <v>12</v>
      </c>
      <c r="K102">
        <v>3110.2</v>
      </c>
      <c r="L102">
        <v>558.4</v>
      </c>
      <c r="M102">
        <v>0</v>
      </c>
      <c r="N102">
        <v>0</v>
      </c>
      <c r="O102" t="s">
        <v>71</v>
      </c>
      <c r="P102">
        <v>2017</v>
      </c>
    </row>
    <row r="103" spans="6:16" x14ac:dyDescent="0.25">
      <c r="F103" s="7">
        <v>42836</v>
      </c>
      <c r="G103">
        <v>2.7937702210423455E-2</v>
      </c>
      <c r="I103" s="7">
        <v>42836</v>
      </c>
      <c r="J103">
        <v>22</v>
      </c>
      <c r="K103">
        <v>4115.8999999999996</v>
      </c>
      <c r="L103">
        <v>357.75</v>
      </c>
      <c r="M103">
        <v>0</v>
      </c>
      <c r="N103">
        <v>0</v>
      </c>
      <c r="O103" t="s">
        <v>71</v>
      </c>
      <c r="P103">
        <v>2017</v>
      </c>
    </row>
    <row r="104" spans="6:16" x14ac:dyDescent="0.25">
      <c r="F104" s="7">
        <v>42837</v>
      </c>
      <c r="G104">
        <v>3.1122535528462114E-2</v>
      </c>
      <c r="I104" s="7">
        <v>42837</v>
      </c>
      <c r="J104">
        <v>18</v>
      </c>
      <c r="K104">
        <v>3669.2</v>
      </c>
      <c r="L104">
        <v>1196</v>
      </c>
      <c r="M104">
        <v>0</v>
      </c>
      <c r="N104">
        <v>0</v>
      </c>
      <c r="O104" t="s">
        <v>71</v>
      </c>
      <c r="P104">
        <v>2017</v>
      </c>
    </row>
    <row r="105" spans="6:16" x14ac:dyDescent="0.25">
      <c r="F105" s="7">
        <v>42838</v>
      </c>
      <c r="G105">
        <v>3.0897205671859215E-2</v>
      </c>
      <c r="I105" s="7">
        <v>42838</v>
      </c>
      <c r="J105">
        <v>33</v>
      </c>
      <c r="K105">
        <v>9675.4</v>
      </c>
      <c r="L105">
        <v>1678.75</v>
      </c>
      <c r="M105">
        <v>0</v>
      </c>
      <c r="N105">
        <v>0</v>
      </c>
      <c r="O105" t="s">
        <v>71</v>
      </c>
      <c r="P105">
        <v>2017</v>
      </c>
    </row>
    <row r="106" spans="6:16" x14ac:dyDescent="0.25">
      <c r="F106" s="7">
        <v>42839</v>
      </c>
      <c r="G106">
        <v>3.7872500899594722E-2</v>
      </c>
      <c r="I106" s="7">
        <v>42839</v>
      </c>
      <c r="J106">
        <v>40</v>
      </c>
      <c r="K106">
        <v>6714.89</v>
      </c>
      <c r="L106">
        <v>2543.75</v>
      </c>
      <c r="M106">
        <v>0</v>
      </c>
      <c r="N106">
        <v>0</v>
      </c>
      <c r="O106" t="s">
        <v>71</v>
      </c>
      <c r="P106">
        <v>2017</v>
      </c>
    </row>
    <row r="107" spans="6:16" x14ac:dyDescent="0.25">
      <c r="F107" s="7">
        <v>42840</v>
      </c>
      <c r="G107">
        <v>5.3904303658954045E-2</v>
      </c>
      <c r="I107" s="7">
        <v>42840</v>
      </c>
      <c r="J107">
        <v>31</v>
      </c>
      <c r="K107">
        <v>6304.5</v>
      </c>
      <c r="L107">
        <v>523</v>
      </c>
      <c r="M107">
        <v>0</v>
      </c>
      <c r="N107">
        <v>0</v>
      </c>
      <c r="O107" t="s">
        <v>71</v>
      </c>
      <c r="P107">
        <v>2017</v>
      </c>
    </row>
    <row r="108" spans="6:16" x14ac:dyDescent="0.25">
      <c r="F108" s="7">
        <v>42841</v>
      </c>
      <c r="G108">
        <v>4.0389885414708282E-2</v>
      </c>
      <c r="I108" s="7">
        <v>42841</v>
      </c>
      <c r="J108">
        <v>7</v>
      </c>
      <c r="K108">
        <v>1953.5</v>
      </c>
      <c r="L108">
        <v>314</v>
      </c>
      <c r="M108">
        <v>0</v>
      </c>
      <c r="N108">
        <v>0</v>
      </c>
      <c r="O108" t="s">
        <v>71</v>
      </c>
      <c r="P108">
        <v>2017</v>
      </c>
    </row>
    <row r="109" spans="6:16" x14ac:dyDescent="0.25">
      <c r="F109" s="7">
        <v>42842</v>
      </c>
      <c r="G109">
        <v>2.1194112636831745E-2</v>
      </c>
      <c r="I109" s="7">
        <v>42842</v>
      </c>
      <c r="J109">
        <v>16</v>
      </c>
      <c r="K109">
        <v>2615.9899999999998</v>
      </c>
      <c r="L109">
        <v>130</v>
      </c>
      <c r="M109">
        <v>0</v>
      </c>
      <c r="N109">
        <v>0</v>
      </c>
      <c r="O109" t="s">
        <v>71</v>
      </c>
      <c r="P109">
        <v>2017</v>
      </c>
    </row>
    <row r="110" spans="6:16" x14ac:dyDescent="0.25">
      <c r="F110" s="7">
        <v>42843</v>
      </c>
      <c r="G110">
        <v>2.1457621935458131E-2</v>
      </c>
      <c r="I110" s="7">
        <v>42843</v>
      </c>
      <c r="J110">
        <v>15</v>
      </c>
      <c r="K110">
        <v>2437</v>
      </c>
      <c r="L110">
        <v>0</v>
      </c>
      <c r="M110">
        <v>0</v>
      </c>
      <c r="N110">
        <v>0</v>
      </c>
      <c r="O110" t="s">
        <v>71</v>
      </c>
      <c r="P110">
        <v>2017</v>
      </c>
    </row>
    <row r="111" spans="6:16" x14ac:dyDescent="0.25">
      <c r="F111" s="7">
        <v>42844</v>
      </c>
      <c r="G111">
        <v>2.5228042579265343E-2</v>
      </c>
      <c r="I111" s="7">
        <v>42844</v>
      </c>
      <c r="J111">
        <v>28</v>
      </c>
      <c r="K111">
        <v>4023.6</v>
      </c>
      <c r="L111">
        <v>1226</v>
      </c>
      <c r="M111">
        <v>0</v>
      </c>
      <c r="N111">
        <v>0</v>
      </c>
      <c r="O111" t="s">
        <v>71</v>
      </c>
      <c r="P111">
        <v>2017</v>
      </c>
    </row>
    <row r="112" spans="6:16" x14ac:dyDescent="0.25">
      <c r="F112" s="7">
        <v>42845</v>
      </c>
      <c r="G112">
        <v>2.5673721558995565E-2</v>
      </c>
      <c r="I112" s="7">
        <v>42845</v>
      </c>
      <c r="J112">
        <v>23</v>
      </c>
      <c r="K112">
        <v>4348</v>
      </c>
      <c r="L112">
        <v>695</v>
      </c>
      <c r="M112">
        <v>0</v>
      </c>
      <c r="N112">
        <v>0</v>
      </c>
      <c r="O112" t="s">
        <v>71</v>
      </c>
      <c r="P112">
        <v>2017</v>
      </c>
    </row>
    <row r="113" spans="6:16" x14ac:dyDescent="0.25">
      <c r="F113" s="7">
        <v>42846</v>
      </c>
      <c r="G113">
        <v>3.3391558305869005E-2</v>
      </c>
      <c r="I113" s="7">
        <v>42846</v>
      </c>
      <c r="J113">
        <v>27</v>
      </c>
      <c r="K113">
        <v>5853.89</v>
      </c>
      <c r="L113">
        <v>1589.5</v>
      </c>
      <c r="M113">
        <v>0</v>
      </c>
      <c r="N113">
        <v>0</v>
      </c>
      <c r="O113" t="s">
        <v>71</v>
      </c>
      <c r="P113">
        <v>2017</v>
      </c>
    </row>
    <row r="114" spans="6:16" x14ac:dyDescent="0.25">
      <c r="F114" s="7">
        <v>42847</v>
      </c>
      <c r="G114">
        <v>5.0222170814488869E-2</v>
      </c>
      <c r="I114" s="7">
        <v>42847</v>
      </c>
      <c r="J114">
        <v>39</v>
      </c>
      <c r="K114">
        <v>6230.65</v>
      </c>
      <c r="L114">
        <v>958.75</v>
      </c>
      <c r="M114">
        <v>0</v>
      </c>
      <c r="N114">
        <v>0</v>
      </c>
      <c r="O114" t="s">
        <v>71</v>
      </c>
      <c r="P114">
        <v>2017</v>
      </c>
    </row>
    <row r="115" spans="6:16" x14ac:dyDescent="0.25">
      <c r="F115" s="7">
        <v>42848</v>
      </c>
      <c r="G115">
        <v>3.7544105353415409E-2</v>
      </c>
      <c r="I115" s="7">
        <v>42848</v>
      </c>
      <c r="J115">
        <v>42</v>
      </c>
      <c r="K115">
        <v>6696.35</v>
      </c>
      <c r="L115">
        <v>1927.5</v>
      </c>
      <c r="M115">
        <v>0</v>
      </c>
      <c r="N115">
        <v>0</v>
      </c>
      <c r="O115" t="s">
        <v>71</v>
      </c>
      <c r="P115">
        <v>2017</v>
      </c>
    </row>
    <row r="116" spans="6:16" x14ac:dyDescent="0.25">
      <c r="F116" s="7">
        <v>42849</v>
      </c>
      <c r="G116">
        <v>1.9207679778398958E-2</v>
      </c>
      <c r="I116" s="7">
        <v>42849</v>
      </c>
      <c r="J116">
        <v>15</v>
      </c>
      <c r="K116">
        <v>2540.89</v>
      </c>
      <c r="L116">
        <v>65</v>
      </c>
      <c r="M116">
        <v>0</v>
      </c>
      <c r="N116">
        <v>0</v>
      </c>
      <c r="O116" t="s">
        <v>71</v>
      </c>
      <c r="P116">
        <v>2017</v>
      </c>
    </row>
    <row r="117" spans="6:16" x14ac:dyDescent="0.25">
      <c r="F117" s="7">
        <v>42850</v>
      </c>
      <c r="G117">
        <v>2.0336264155300848E-2</v>
      </c>
      <c r="I117" s="7">
        <v>42850</v>
      </c>
      <c r="J117">
        <v>15</v>
      </c>
      <c r="K117">
        <v>2789.1</v>
      </c>
      <c r="L117">
        <v>257</v>
      </c>
      <c r="M117">
        <v>0</v>
      </c>
      <c r="N117">
        <v>0</v>
      </c>
      <c r="O117" t="s">
        <v>71</v>
      </c>
      <c r="P117">
        <v>2017</v>
      </c>
    </row>
    <row r="118" spans="6:16" x14ac:dyDescent="0.25">
      <c r="F118" s="7">
        <v>42851</v>
      </c>
      <c r="G118">
        <v>2.4960313507476725E-2</v>
      </c>
      <c r="I118" s="7">
        <v>42851</v>
      </c>
      <c r="J118">
        <v>25</v>
      </c>
      <c r="K118">
        <v>3144.36</v>
      </c>
      <c r="L118">
        <v>967.45</v>
      </c>
      <c r="M118">
        <v>0</v>
      </c>
      <c r="N118">
        <v>0</v>
      </c>
      <c r="O118" t="s">
        <v>71</v>
      </c>
      <c r="P118">
        <v>2017</v>
      </c>
    </row>
    <row r="119" spans="6:16" x14ac:dyDescent="0.25">
      <c r="F119" s="7">
        <v>42852</v>
      </c>
      <c r="G119">
        <v>2.6231475916825495E-2</v>
      </c>
      <c r="I119" s="7">
        <v>42852</v>
      </c>
      <c r="J119">
        <v>15</v>
      </c>
      <c r="K119">
        <v>2803</v>
      </c>
      <c r="L119">
        <v>2088.25</v>
      </c>
      <c r="M119">
        <v>0</v>
      </c>
      <c r="N119">
        <v>0</v>
      </c>
      <c r="O119" t="s">
        <v>71</v>
      </c>
      <c r="P119">
        <v>2017</v>
      </c>
    </row>
    <row r="120" spans="6:16" x14ac:dyDescent="0.25">
      <c r="F120" s="7">
        <v>42853</v>
      </c>
      <c r="G120">
        <v>3.4730798244123298E-2</v>
      </c>
      <c r="I120" s="7">
        <v>42853</v>
      </c>
      <c r="J120">
        <v>19</v>
      </c>
      <c r="K120">
        <v>3623.9</v>
      </c>
      <c r="L120">
        <v>861.1</v>
      </c>
      <c r="M120">
        <v>0</v>
      </c>
      <c r="N120">
        <v>0</v>
      </c>
      <c r="O120" t="s">
        <v>71</v>
      </c>
      <c r="P120">
        <v>2017</v>
      </c>
    </row>
    <row r="121" spans="6:16" x14ac:dyDescent="0.25">
      <c r="F121" s="7">
        <v>42854</v>
      </c>
      <c r="G121">
        <v>5.2284242467900872E-2</v>
      </c>
      <c r="I121" s="7">
        <v>42854</v>
      </c>
      <c r="J121">
        <v>31</v>
      </c>
      <c r="K121">
        <v>8205</v>
      </c>
      <c r="L121">
        <v>522</v>
      </c>
      <c r="M121">
        <v>0</v>
      </c>
      <c r="N121">
        <v>0</v>
      </c>
      <c r="O121" t="s">
        <v>71</v>
      </c>
      <c r="P121">
        <v>2017</v>
      </c>
    </row>
    <row r="122" spans="6:16" x14ac:dyDescent="0.25">
      <c r="F122" s="7">
        <v>42855</v>
      </c>
      <c r="G122">
        <v>3.7738190852832532E-2</v>
      </c>
      <c r="I122" s="7">
        <v>42855</v>
      </c>
      <c r="J122">
        <v>27</v>
      </c>
      <c r="K122">
        <v>4811</v>
      </c>
      <c r="L122">
        <v>0</v>
      </c>
      <c r="M122">
        <v>0</v>
      </c>
      <c r="N122">
        <v>0</v>
      </c>
      <c r="O122" t="s">
        <v>72</v>
      </c>
      <c r="P122">
        <v>2017</v>
      </c>
    </row>
    <row r="123" spans="6:16" x14ac:dyDescent="0.25">
      <c r="F123" s="7">
        <v>42856</v>
      </c>
      <c r="G123">
        <v>2.1081508337302775E-2</v>
      </c>
      <c r="I123" s="7">
        <v>42856</v>
      </c>
      <c r="J123">
        <v>12</v>
      </c>
      <c r="K123">
        <v>2885.2</v>
      </c>
      <c r="L123">
        <v>502</v>
      </c>
      <c r="M123">
        <v>0</v>
      </c>
      <c r="N123">
        <v>0</v>
      </c>
      <c r="O123" t="s">
        <v>72</v>
      </c>
      <c r="P123">
        <v>2017</v>
      </c>
    </row>
    <row r="124" spans="6:16" x14ac:dyDescent="0.25">
      <c r="F124" s="7">
        <v>42857</v>
      </c>
      <c r="G124">
        <v>2.258520280346648E-2</v>
      </c>
      <c r="I124" s="7">
        <v>42857</v>
      </c>
      <c r="J124">
        <v>20</v>
      </c>
      <c r="K124">
        <v>3203.4</v>
      </c>
      <c r="L124">
        <v>189</v>
      </c>
      <c r="M124">
        <v>0</v>
      </c>
      <c r="N124">
        <v>0</v>
      </c>
      <c r="O124" t="s">
        <v>72</v>
      </c>
      <c r="P124">
        <v>2017</v>
      </c>
    </row>
    <row r="125" spans="6:16" x14ac:dyDescent="0.25">
      <c r="F125" s="7">
        <v>42858</v>
      </c>
      <c r="G125">
        <v>2.7272371238089777E-2</v>
      </c>
      <c r="I125" s="7">
        <v>42858</v>
      </c>
      <c r="J125">
        <v>13</v>
      </c>
      <c r="K125">
        <v>2357.6</v>
      </c>
      <c r="L125">
        <v>363</v>
      </c>
      <c r="M125">
        <v>0</v>
      </c>
      <c r="N125">
        <v>0</v>
      </c>
      <c r="O125" t="s">
        <v>72</v>
      </c>
      <c r="P125">
        <v>2017</v>
      </c>
    </row>
    <row r="126" spans="6:16" x14ac:dyDescent="0.25">
      <c r="F126" s="7">
        <v>42859</v>
      </c>
      <c r="G126">
        <v>2.8718778423873152E-2</v>
      </c>
      <c r="I126" s="7">
        <v>42859</v>
      </c>
      <c r="J126">
        <v>32</v>
      </c>
      <c r="K126">
        <v>3829.6</v>
      </c>
      <c r="L126">
        <v>3147.8</v>
      </c>
      <c r="M126">
        <v>0</v>
      </c>
      <c r="N126">
        <v>0</v>
      </c>
      <c r="O126" t="s">
        <v>72</v>
      </c>
      <c r="P126">
        <v>2017</v>
      </c>
    </row>
    <row r="127" spans="6:16" x14ac:dyDescent="0.25">
      <c r="F127" s="7">
        <v>42860</v>
      </c>
      <c r="G127">
        <v>3.6841263977567665E-2</v>
      </c>
      <c r="I127" s="7">
        <v>42860</v>
      </c>
      <c r="J127">
        <v>30</v>
      </c>
      <c r="K127">
        <v>6271</v>
      </c>
      <c r="L127">
        <v>767</v>
      </c>
      <c r="M127">
        <v>0</v>
      </c>
      <c r="N127">
        <v>0</v>
      </c>
      <c r="O127" t="s">
        <v>72</v>
      </c>
      <c r="P127">
        <v>2017</v>
      </c>
    </row>
    <row r="128" spans="6:16" x14ac:dyDescent="0.25">
      <c r="F128" s="7">
        <v>42861</v>
      </c>
      <c r="G128">
        <v>5.3351724202083402E-2</v>
      </c>
      <c r="I128" s="7">
        <v>42861</v>
      </c>
      <c r="J128">
        <v>32</v>
      </c>
      <c r="K128">
        <v>6732.3</v>
      </c>
      <c r="L128">
        <v>542</v>
      </c>
      <c r="M128">
        <v>0</v>
      </c>
      <c r="N128">
        <v>0</v>
      </c>
      <c r="O128" t="s">
        <v>72</v>
      </c>
      <c r="P128">
        <v>2017</v>
      </c>
    </row>
    <row r="129" spans="6:16" x14ac:dyDescent="0.25">
      <c r="F129" s="7">
        <v>42862</v>
      </c>
      <c r="G129">
        <v>4.2035518439057916E-2</v>
      </c>
      <c r="I129" s="7">
        <v>42862</v>
      </c>
      <c r="J129">
        <v>29</v>
      </c>
      <c r="K129">
        <v>5984.6</v>
      </c>
      <c r="L129">
        <v>426.5</v>
      </c>
      <c r="M129">
        <v>0</v>
      </c>
      <c r="N129">
        <v>0</v>
      </c>
      <c r="O129" t="s">
        <v>72</v>
      </c>
      <c r="P129">
        <v>2017</v>
      </c>
    </row>
    <row r="130" spans="6:16" x14ac:dyDescent="0.25">
      <c r="F130" s="7">
        <v>42863</v>
      </c>
      <c r="G130">
        <v>2.5244578031958387E-2</v>
      </c>
      <c r="I130" s="7">
        <v>42863</v>
      </c>
      <c r="J130">
        <v>11</v>
      </c>
      <c r="K130">
        <v>3014.2</v>
      </c>
      <c r="L130">
        <v>848</v>
      </c>
      <c r="M130">
        <v>0</v>
      </c>
      <c r="N130">
        <v>0</v>
      </c>
      <c r="O130" t="s">
        <v>72</v>
      </c>
      <c r="P130">
        <v>2017</v>
      </c>
    </row>
    <row r="131" spans="6:16" x14ac:dyDescent="0.25">
      <c r="F131" s="7">
        <v>42864</v>
      </c>
      <c r="G131">
        <v>2.6528169096560882E-2</v>
      </c>
      <c r="I131" s="7">
        <v>42864</v>
      </c>
      <c r="J131">
        <v>21</v>
      </c>
      <c r="K131">
        <v>4347.2</v>
      </c>
      <c r="L131">
        <v>792</v>
      </c>
      <c r="M131">
        <v>0</v>
      </c>
      <c r="N131">
        <v>0</v>
      </c>
      <c r="O131" t="s">
        <v>72</v>
      </c>
      <c r="P131">
        <v>2017</v>
      </c>
    </row>
    <row r="132" spans="6:16" x14ac:dyDescent="0.25">
      <c r="F132" s="7">
        <v>42865</v>
      </c>
      <c r="G132">
        <v>3.0917885379487611E-2</v>
      </c>
      <c r="I132" s="7">
        <v>42865</v>
      </c>
      <c r="J132">
        <v>21</v>
      </c>
      <c r="K132">
        <v>3357</v>
      </c>
      <c r="L132">
        <v>2819.67</v>
      </c>
      <c r="M132">
        <v>0</v>
      </c>
      <c r="N132">
        <v>0</v>
      </c>
      <c r="O132" t="s">
        <v>72</v>
      </c>
      <c r="P132">
        <v>2017</v>
      </c>
    </row>
    <row r="133" spans="6:16" x14ac:dyDescent="0.25">
      <c r="F133" s="7">
        <v>42866</v>
      </c>
      <c r="G133">
        <v>3.1999584736691108E-2</v>
      </c>
      <c r="I133" s="7">
        <v>42866</v>
      </c>
      <c r="J133">
        <v>18</v>
      </c>
      <c r="K133">
        <v>3669.3</v>
      </c>
      <c r="L133">
        <v>459.5</v>
      </c>
      <c r="M133">
        <v>0</v>
      </c>
      <c r="N133">
        <v>0</v>
      </c>
      <c r="O133" t="s">
        <v>72</v>
      </c>
      <c r="P133">
        <v>2017</v>
      </c>
    </row>
    <row r="134" spans="6:16" x14ac:dyDescent="0.25">
      <c r="F134" s="7">
        <v>42867</v>
      </c>
      <c r="G134">
        <v>3.9701521173369884E-2</v>
      </c>
      <c r="I134" s="7">
        <v>42867</v>
      </c>
      <c r="J134">
        <v>28</v>
      </c>
      <c r="K134">
        <v>4743.8</v>
      </c>
      <c r="L134">
        <v>1305</v>
      </c>
      <c r="M134">
        <v>0</v>
      </c>
      <c r="N134">
        <v>0</v>
      </c>
      <c r="O134" t="s">
        <v>72</v>
      </c>
      <c r="P134">
        <v>2017</v>
      </c>
    </row>
    <row r="135" spans="6:16" x14ac:dyDescent="0.25">
      <c r="F135" s="7">
        <v>42868</v>
      </c>
      <c r="G135">
        <v>5.5748021674454223E-2</v>
      </c>
      <c r="I135" s="7">
        <v>42868</v>
      </c>
      <c r="J135">
        <v>43</v>
      </c>
      <c r="K135">
        <v>8119</v>
      </c>
      <c r="L135">
        <v>1347.5</v>
      </c>
      <c r="M135">
        <v>0</v>
      </c>
      <c r="N135">
        <v>0</v>
      </c>
      <c r="O135" t="s">
        <v>72</v>
      </c>
      <c r="P135">
        <v>2017</v>
      </c>
    </row>
    <row r="136" spans="6:16" x14ac:dyDescent="0.25">
      <c r="F136" s="7">
        <v>42869</v>
      </c>
      <c r="G136">
        <v>6.4042420307609482E-2</v>
      </c>
      <c r="I136" s="7">
        <v>42869</v>
      </c>
      <c r="J136">
        <v>47</v>
      </c>
      <c r="K136">
        <v>9882.4</v>
      </c>
      <c r="L136">
        <v>-251</v>
      </c>
      <c r="M136">
        <v>0</v>
      </c>
      <c r="N136">
        <v>0</v>
      </c>
      <c r="O136" t="s">
        <v>72</v>
      </c>
      <c r="P136">
        <v>2017</v>
      </c>
    </row>
    <row r="137" spans="6:16" x14ac:dyDescent="0.25">
      <c r="F137" s="7">
        <v>42870</v>
      </c>
      <c r="G137">
        <v>2.9578392563626408E-2</v>
      </c>
      <c r="I137" s="7">
        <v>42870</v>
      </c>
      <c r="J137">
        <v>21</v>
      </c>
      <c r="K137">
        <v>5168.3500000000004</v>
      </c>
      <c r="L137">
        <v>2067</v>
      </c>
      <c r="M137">
        <v>0</v>
      </c>
      <c r="N137">
        <v>0</v>
      </c>
      <c r="O137" t="s">
        <v>72</v>
      </c>
      <c r="P137">
        <v>2017</v>
      </c>
    </row>
    <row r="138" spans="6:16" x14ac:dyDescent="0.25">
      <c r="F138" s="7">
        <v>42871</v>
      </c>
      <c r="G138">
        <v>2.7404716468352231E-2</v>
      </c>
      <c r="I138" s="7">
        <v>42871</v>
      </c>
      <c r="J138">
        <v>28</v>
      </c>
      <c r="K138">
        <v>5270.2</v>
      </c>
      <c r="L138">
        <v>260</v>
      </c>
      <c r="M138">
        <v>0</v>
      </c>
      <c r="N138">
        <v>0</v>
      </c>
      <c r="O138" t="s">
        <v>72</v>
      </c>
      <c r="P138">
        <v>2017</v>
      </c>
    </row>
    <row r="139" spans="6:16" x14ac:dyDescent="0.25">
      <c r="F139" s="7">
        <v>42872</v>
      </c>
      <c r="G139">
        <v>3.1289784802906416E-2</v>
      </c>
      <c r="I139" s="7">
        <v>42872</v>
      </c>
      <c r="J139">
        <v>23</v>
      </c>
      <c r="K139">
        <v>4932.6000000000004</v>
      </c>
      <c r="L139">
        <v>1282.2</v>
      </c>
      <c r="M139">
        <v>0</v>
      </c>
      <c r="N139">
        <v>0</v>
      </c>
      <c r="O139" t="s">
        <v>72</v>
      </c>
      <c r="P139">
        <v>2017</v>
      </c>
    </row>
    <row r="140" spans="6:16" x14ac:dyDescent="0.25">
      <c r="F140" s="7">
        <v>42873</v>
      </c>
      <c r="G140">
        <v>3.1889076277050198E-2</v>
      </c>
      <c r="I140" s="7">
        <v>42873</v>
      </c>
      <c r="J140">
        <v>25</v>
      </c>
      <c r="K140">
        <v>4534.6000000000004</v>
      </c>
      <c r="L140">
        <v>846.6</v>
      </c>
      <c r="M140">
        <v>0</v>
      </c>
      <c r="N140">
        <v>0</v>
      </c>
      <c r="O140" t="s">
        <v>72</v>
      </c>
      <c r="P140">
        <v>2017</v>
      </c>
    </row>
    <row r="141" spans="6:16" x14ac:dyDescent="0.25">
      <c r="F141" s="7">
        <v>42874</v>
      </c>
      <c r="G141">
        <v>3.9142329920478156E-2</v>
      </c>
      <c r="I141" s="7">
        <v>42874</v>
      </c>
      <c r="J141">
        <v>24</v>
      </c>
      <c r="K141">
        <v>3230.4</v>
      </c>
      <c r="L141">
        <v>564</v>
      </c>
      <c r="M141">
        <v>0</v>
      </c>
      <c r="N141">
        <v>0</v>
      </c>
      <c r="O141" t="s">
        <v>72</v>
      </c>
      <c r="P141">
        <v>2017</v>
      </c>
    </row>
    <row r="142" spans="6:16" x14ac:dyDescent="0.25">
      <c r="F142" s="7">
        <v>42875</v>
      </c>
      <c r="G142">
        <v>5.4784101560878526E-2</v>
      </c>
      <c r="I142" s="7">
        <v>42875</v>
      </c>
      <c r="J142">
        <v>29</v>
      </c>
      <c r="K142">
        <v>7725.2</v>
      </c>
      <c r="L142">
        <v>1258.73</v>
      </c>
      <c r="M142">
        <v>0</v>
      </c>
      <c r="N142">
        <v>0</v>
      </c>
      <c r="O142" t="s">
        <v>72</v>
      </c>
      <c r="P142">
        <v>2017</v>
      </c>
    </row>
    <row r="143" spans="6:16" x14ac:dyDescent="0.25">
      <c r="F143" s="7">
        <v>42876</v>
      </c>
      <c r="G143">
        <v>4.2622710145634186E-2</v>
      </c>
      <c r="I143" s="7">
        <v>42876</v>
      </c>
      <c r="J143">
        <v>41</v>
      </c>
      <c r="K143">
        <v>7650.8</v>
      </c>
      <c r="L143">
        <v>559.5</v>
      </c>
      <c r="M143">
        <v>0</v>
      </c>
      <c r="N143">
        <v>0</v>
      </c>
      <c r="O143" t="s">
        <v>72</v>
      </c>
      <c r="P143">
        <v>2017</v>
      </c>
    </row>
    <row r="144" spans="6:16" x14ac:dyDescent="0.25">
      <c r="F144" s="7">
        <v>42877</v>
      </c>
      <c r="G144">
        <v>2.5029473172605021E-2</v>
      </c>
      <c r="I144" s="7">
        <v>42877</v>
      </c>
      <c r="J144">
        <v>27</v>
      </c>
      <c r="K144">
        <v>5591</v>
      </c>
      <c r="L144">
        <v>986.05</v>
      </c>
      <c r="M144">
        <v>0</v>
      </c>
      <c r="N144">
        <v>0</v>
      </c>
      <c r="O144" t="s">
        <v>72</v>
      </c>
      <c r="P144">
        <v>2017</v>
      </c>
    </row>
    <row r="145" spans="6:16" x14ac:dyDescent="0.25">
      <c r="F145" s="7">
        <v>42878</v>
      </c>
      <c r="G145">
        <v>2.5572300660567159E-2</v>
      </c>
      <c r="I145" s="7">
        <v>42878</v>
      </c>
      <c r="J145">
        <v>14</v>
      </c>
      <c r="K145">
        <v>2719.6</v>
      </c>
      <c r="L145">
        <v>256</v>
      </c>
      <c r="M145">
        <v>0</v>
      </c>
      <c r="N145">
        <v>0</v>
      </c>
      <c r="O145" t="s">
        <v>72</v>
      </c>
      <c r="P145">
        <v>2017</v>
      </c>
    </row>
    <row r="146" spans="6:16" x14ac:dyDescent="0.25">
      <c r="F146" s="7">
        <v>42879</v>
      </c>
      <c r="G146">
        <v>2.9299132080746741E-2</v>
      </c>
      <c r="I146" s="7">
        <v>42879</v>
      </c>
      <c r="J146">
        <v>26</v>
      </c>
      <c r="K146">
        <v>3611</v>
      </c>
      <c r="L146">
        <v>3280.2</v>
      </c>
      <c r="M146">
        <v>0</v>
      </c>
      <c r="N146">
        <v>0</v>
      </c>
      <c r="O146" t="s">
        <v>72</v>
      </c>
      <c r="P146">
        <v>2017</v>
      </c>
    </row>
    <row r="147" spans="6:16" x14ac:dyDescent="0.25">
      <c r="F147" s="7">
        <v>42880</v>
      </c>
      <c r="G147">
        <v>2.9809493047040385E-2</v>
      </c>
      <c r="I147" s="7">
        <v>42880</v>
      </c>
      <c r="J147">
        <v>29</v>
      </c>
      <c r="K147">
        <v>6133.16</v>
      </c>
      <c r="L147">
        <v>1007.8</v>
      </c>
      <c r="M147">
        <v>0</v>
      </c>
      <c r="N147">
        <v>0</v>
      </c>
      <c r="O147" t="s">
        <v>72</v>
      </c>
      <c r="P147">
        <v>2017</v>
      </c>
    </row>
    <row r="148" spans="6:16" x14ac:dyDescent="0.25">
      <c r="F148" s="7">
        <v>42881</v>
      </c>
      <c r="G148">
        <v>3.7042322640818505E-2</v>
      </c>
      <c r="I148" s="7">
        <v>42881</v>
      </c>
      <c r="J148">
        <v>25</v>
      </c>
      <c r="K148">
        <v>5016.6000000000004</v>
      </c>
      <c r="L148">
        <v>6670.9</v>
      </c>
      <c r="M148">
        <v>0</v>
      </c>
      <c r="N148">
        <v>0</v>
      </c>
      <c r="O148" t="s">
        <v>72</v>
      </c>
      <c r="P148">
        <v>2017</v>
      </c>
    </row>
    <row r="149" spans="6:16" x14ac:dyDescent="0.25">
      <c r="F149" s="7">
        <v>42882</v>
      </c>
      <c r="G149">
        <v>5.2729427984890789E-2</v>
      </c>
      <c r="I149" s="7">
        <v>42882</v>
      </c>
      <c r="J149">
        <v>29</v>
      </c>
      <c r="K149">
        <v>6168</v>
      </c>
      <c r="L149">
        <v>2279.85</v>
      </c>
      <c r="M149">
        <v>0</v>
      </c>
      <c r="N149">
        <v>0</v>
      </c>
      <c r="O149" t="s">
        <v>72</v>
      </c>
      <c r="P149">
        <v>2017</v>
      </c>
    </row>
    <row r="150" spans="6:16" x14ac:dyDescent="0.25">
      <c r="F150" s="7">
        <v>42883</v>
      </c>
      <c r="G150">
        <v>3.5672090061641237E-2</v>
      </c>
      <c r="I150" s="7">
        <v>42883</v>
      </c>
      <c r="J150">
        <v>30</v>
      </c>
      <c r="K150">
        <v>5078.28</v>
      </c>
      <c r="L150">
        <v>581</v>
      </c>
      <c r="M150">
        <v>0</v>
      </c>
      <c r="N150">
        <v>0</v>
      </c>
      <c r="O150" t="s">
        <v>73</v>
      </c>
      <c r="P150">
        <v>2017</v>
      </c>
    </row>
    <row r="151" spans="6:16" x14ac:dyDescent="0.25">
      <c r="F151" s="7">
        <v>42884</v>
      </c>
      <c r="G151">
        <v>2.0382754607038329E-2</v>
      </c>
      <c r="I151" s="7">
        <v>42884</v>
      </c>
      <c r="J151">
        <v>26</v>
      </c>
      <c r="K151">
        <v>5343.5</v>
      </c>
      <c r="L151">
        <v>386</v>
      </c>
      <c r="M151">
        <v>0</v>
      </c>
      <c r="N151">
        <v>0</v>
      </c>
      <c r="O151" t="s">
        <v>73</v>
      </c>
      <c r="P151">
        <v>2017</v>
      </c>
    </row>
    <row r="152" spans="6:16" x14ac:dyDescent="0.25">
      <c r="F152" s="7">
        <v>42885</v>
      </c>
      <c r="G152">
        <v>2.1040759015372529E-2</v>
      </c>
      <c r="I152" s="7">
        <v>42885</v>
      </c>
      <c r="J152">
        <v>20</v>
      </c>
      <c r="K152">
        <v>3254.8</v>
      </c>
      <c r="L152">
        <v>32.5</v>
      </c>
      <c r="M152">
        <v>0</v>
      </c>
      <c r="N152">
        <v>0</v>
      </c>
      <c r="O152" t="s">
        <v>73</v>
      </c>
      <c r="P152">
        <v>2017</v>
      </c>
    </row>
    <row r="153" spans="6:16" x14ac:dyDescent="0.25">
      <c r="F153" s="7">
        <v>42886</v>
      </c>
      <c r="G153">
        <v>2.452470596895745E-2</v>
      </c>
      <c r="I153" s="7">
        <v>42886</v>
      </c>
      <c r="J153">
        <v>17</v>
      </c>
      <c r="K153">
        <v>2119.1999999999998</v>
      </c>
      <c r="L153">
        <v>1081.5</v>
      </c>
      <c r="M153">
        <v>0</v>
      </c>
      <c r="N153">
        <v>0</v>
      </c>
      <c r="O153" t="s">
        <v>73</v>
      </c>
      <c r="P153">
        <v>2017</v>
      </c>
    </row>
    <row r="154" spans="6:16" x14ac:dyDescent="0.25">
      <c r="F154" s="7">
        <v>42887</v>
      </c>
      <c r="G154">
        <v>2.5212399970948148E-2</v>
      </c>
      <c r="I154" s="7">
        <v>42887</v>
      </c>
      <c r="J154">
        <v>26</v>
      </c>
      <c r="K154">
        <v>4630.3999999999996</v>
      </c>
      <c r="L154">
        <v>385</v>
      </c>
      <c r="M154">
        <v>0</v>
      </c>
      <c r="N154">
        <v>0</v>
      </c>
      <c r="O154" t="s">
        <v>73</v>
      </c>
      <c r="P154">
        <v>2017</v>
      </c>
    </row>
    <row r="155" spans="6:16" x14ac:dyDescent="0.25">
      <c r="F155" s="7">
        <v>42888</v>
      </c>
      <c r="G155">
        <v>3.1811316238863199E-2</v>
      </c>
      <c r="I155" s="7">
        <v>42888</v>
      </c>
      <c r="J155">
        <v>25</v>
      </c>
      <c r="K155">
        <v>3758.5</v>
      </c>
      <c r="L155">
        <v>134</v>
      </c>
      <c r="M155">
        <v>0</v>
      </c>
      <c r="N155">
        <v>0</v>
      </c>
      <c r="O155" t="s">
        <v>73</v>
      </c>
      <c r="P155">
        <v>2017</v>
      </c>
    </row>
    <row r="156" spans="6:16" x14ac:dyDescent="0.25">
      <c r="F156" s="7">
        <v>42889</v>
      </c>
      <c r="G156">
        <v>4.5830651612098768E-2</v>
      </c>
      <c r="I156" s="7">
        <v>42889</v>
      </c>
      <c r="J156">
        <v>34</v>
      </c>
      <c r="K156">
        <v>7842.2</v>
      </c>
      <c r="L156">
        <v>273.5</v>
      </c>
      <c r="M156">
        <v>0</v>
      </c>
      <c r="N156">
        <v>0</v>
      </c>
      <c r="O156" t="s">
        <v>73</v>
      </c>
      <c r="P156">
        <v>2017</v>
      </c>
    </row>
    <row r="157" spans="6:16" x14ac:dyDescent="0.25">
      <c r="F157" s="7">
        <v>42890</v>
      </c>
      <c r="G157">
        <v>3.5514269686014469E-2</v>
      </c>
      <c r="I157" s="7">
        <v>42890</v>
      </c>
      <c r="J157">
        <v>46</v>
      </c>
      <c r="K157">
        <v>7374.9</v>
      </c>
      <c r="L157">
        <v>523</v>
      </c>
      <c r="M157">
        <v>0</v>
      </c>
      <c r="N157">
        <v>0</v>
      </c>
      <c r="O157" t="s">
        <v>73</v>
      </c>
      <c r="P157">
        <v>2017</v>
      </c>
    </row>
    <row r="158" spans="6:16" x14ac:dyDescent="0.25">
      <c r="F158" s="7">
        <v>42891</v>
      </c>
      <c r="G158">
        <v>2.0468639800145964E-2</v>
      </c>
      <c r="I158" s="7">
        <v>42891</v>
      </c>
      <c r="J158">
        <v>22</v>
      </c>
      <c r="K158">
        <v>3346.41</v>
      </c>
      <c r="L158">
        <v>766</v>
      </c>
      <c r="M158">
        <v>0</v>
      </c>
      <c r="N158">
        <v>0</v>
      </c>
      <c r="O158" t="s">
        <v>73</v>
      </c>
      <c r="P158">
        <v>2017</v>
      </c>
    </row>
    <row r="159" spans="6:16" x14ac:dyDescent="0.25">
      <c r="F159" s="7">
        <v>42892</v>
      </c>
      <c r="G159">
        <v>2.1347916829909021E-2</v>
      </c>
      <c r="I159" s="7">
        <v>42892</v>
      </c>
      <c r="J159">
        <v>17</v>
      </c>
      <c r="K159">
        <v>1656.8</v>
      </c>
      <c r="L159">
        <v>3673.48</v>
      </c>
      <c r="M159">
        <v>0</v>
      </c>
      <c r="N159">
        <v>0</v>
      </c>
      <c r="O159" t="s">
        <v>73</v>
      </c>
      <c r="P159">
        <v>2017</v>
      </c>
    </row>
    <row r="160" spans="6:16" x14ac:dyDescent="0.25">
      <c r="F160" s="7">
        <v>42893</v>
      </c>
      <c r="G160">
        <v>2.5022494538965354E-2</v>
      </c>
      <c r="I160" s="7">
        <v>42893</v>
      </c>
      <c r="J160">
        <v>20</v>
      </c>
      <c r="K160">
        <v>4495.6899999999996</v>
      </c>
      <c r="L160">
        <v>182.5</v>
      </c>
      <c r="M160">
        <v>0</v>
      </c>
      <c r="N160">
        <v>0</v>
      </c>
      <c r="O160" t="s">
        <v>73</v>
      </c>
      <c r="P160">
        <v>2017</v>
      </c>
    </row>
    <row r="161" spans="6:16" x14ac:dyDescent="0.25">
      <c r="F161" s="7">
        <v>42894</v>
      </c>
      <c r="G161">
        <v>2.5862957100537386E-2</v>
      </c>
      <c r="I161" s="7">
        <v>42894</v>
      </c>
      <c r="J161">
        <v>13</v>
      </c>
      <c r="K161">
        <v>1851.2</v>
      </c>
      <c r="L161">
        <v>0</v>
      </c>
      <c r="M161">
        <v>0</v>
      </c>
      <c r="N161">
        <v>0</v>
      </c>
      <c r="O161" t="s">
        <v>73</v>
      </c>
      <c r="P161">
        <v>2017</v>
      </c>
    </row>
    <row r="162" spans="6:16" x14ac:dyDescent="0.25">
      <c r="F162" s="7">
        <v>42895</v>
      </c>
      <c r="G162">
        <v>3.2570750189021898E-2</v>
      </c>
      <c r="I162" s="7">
        <v>42895</v>
      </c>
      <c r="J162">
        <v>31</v>
      </c>
      <c r="K162">
        <v>4900.5</v>
      </c>
      <c r="L162">
        <v>679.24</v>
      </c>
      <c r="M162">
        <v>0</v>
      </c>
      <c r="N162">
        <v>0</v>
      </c>
      <c r="O162" t="s">
        <v>73</v>
      </c>
      <c r="P162">
        <v>2017</v>
      </c>
    </row>
    <row r="163" spans="6:16" x14ac:dyDescent="0.25">
      <c r="F163" s="7">
        <v>42896</v>
      </c>
      <c r="G163">
        <v>4.6650400060555132E-2</v>
      </c>
      <c r="I163" s="7">
        <v>42896</v>
      </c>
      <c r="J163">
        <v>32</v>
      </c>
      <c r="K163">
        <v>6421.2</v>
      </c>
      <c r="L163">
        <v>152.87</v>
      </c>
      <c r="M163">
        <v>0</v>
      </c>
      <c r="N163">
        <v>0</v>
      </c>
      <c r="O163" t="s">
        <v>73</v>
      </c>
      <c r="P163">
        <v>2017</v>
      </c>
    </row>
    <row r="164" spans="6:16" x14ac:dyDescent="0.25">
      <c r="F164" s="7">
        <v>42897</v>
      </c>
      <c r="G164">
        <v>3.6342588220351073E-2</v>
      </c>
      <c r="I164" s="7">
        <v>42897</v>
      </c>
      <c r="J164">
        <v>30</v>
      </c>
      <c r="K164">
        <v>5198.6400000000003</v>
      </c>
      <c r="L164">
        <v>220</v>
      </c>
      <c r="M164">
        <v>0</v>
      </c>
      <c r="N164">
        <v>0</v>
      </c>
      <c r="O164" t="s">
        <v>73</v>
      </c>
      <c r="P164">
        <v>2017</v>
      </c>
    </row>
    <row r="165" spans="6:16" x14ac:dyDescent="0.25">
      <c r="F165" s="7">
        <v>42898</v>
      </c>
      <c r="G165">
        <v>2.1252178078517463E-2</v>
      </c>
      <c r="I165" s="7">
        <v>42898</v>
      </c>
      <c r="J165">
        <v>14</v>
      </c>
      <c r="K165">
        <v>2192</v>
      </c>
      <c r="L165">
        <v>66</v>
      </c>
      <c r="M165">
        <v>0</v>
      </c>
      <c r="N165">
        <v>0</v>
      </c>
      <c r="O165" t="s">
        <v>73</v>
      </c>
      <c r="P165">
        <v>2017</v>
      </c>
    </row>
    <row r="166" spans="6:16" x14ac:dyDescent="0.25">
      <c r="F166" s="7">
        <v>42899</v>
      </c>
      <c r="G166">
        <v>2.2033338329142477E-2</v>
      </c>
      <c r="I166" s="7">
        <v>42899</v>
      </c>
      <c r="J166">
        <v>11</v>
      </c>
      <c r="K166">
        <v>2596.1</v>
      </c>
      <c r="L166">
        <v>243.2</v>
      </c>
      <c r="M166">
        <v>0</v>
      </c>
      <c r="N166">
        <v>0</v>
      </c>
      <c r="O166" t="s">
        <v>73</v>
      </c>
      <c r="P166">
        <v>2017</v>
      </c>
    </row>
    <row r="167" spans="6:16" x14ac:dyDescent="0.25">
      <c r="F167" s="7">
        <v>42900</v>
      </c>
      <c r="G167">
        <v>2.5558094734538836E-2</v>
      </c>
      <c r="I167" s="7">
        <v>42900</v>
      </c>
      <c r="J167">
        <v>14</v>
      </c>
      <c r="K167">
        <v>3294.25</v>
      </c>
      <c r="L167">
        <v>1044</v>
      </c>
      <c r="M167">
        <v>0</v>
      </c>
      <c r="N167">
        <v>0</v>
      </c>
      <c r="O167" t="s">
        <v>73</v>
      </c>
      <c r="P167">
        <v>2017</v>
      </c>
    </row>
    <row r="168" spans="6:16" x14ac:dyDescent="0.25">
      <c r="F168" s="7">
        <v>42901</v>
      </c>
      <c r="G168">
        <v>2.6200235210954957E-2</v>
      </c>
      <c r="I168" s="7">
        <v>42901</v>
      </c>
      <c r="J168">
        <v>22</v>
      </c>
      <c r="K168">
        <v>4225.74</v>
      </c>
      <c r="L168">
        <v>423</v>
      </c>
      <c r="M168">
        <v>0</v>
      </c>
      <c r="N168">
        <v>0</v>
      </c>
      <c r="O168" t="s">
        <v>73</v>
      </c>
      <c r="P168">
        <v>2017</v>
      </c>
    </row>
    <row r="169" spans="6:16" x14ac:dyDescent="0.25">
      <c r="F169" s="7">
        <v>42902</v>
      </c>
      <c r="G169">
        <v>3.2665891025212335E-2</v>
      </c>
      <c r="I169" s="7">
        <v>42902</v>
      </c>
      <c r="J169">
        <v>41</v>
      </c>
      <c r="K169">
        <v>6004.29</v>
      </c>
      <c r="L169">
        <v>796</v>
      </c>
      <c r="M169">
        <v>0</v>
      </c>
      <c r="N169">
        <v>0</v>
      </c>
      <c r="O169" t="s">
        <v>73</v>
      </c>
      <c r="P169">
        <v>2017</v>
      </c>
    </row>
    <row r="170" spans="6:16" x14ac:dyDescent="0.25">
      <c r="F170" s="7">
        <v>42903</v>
      </c>
      <c r="G170">
        <v>4.6465625132324322E-2</v>
      </c>
      <c r="I170" s="7">
        <v>42903</v>
      </c>
      <c r="J170">
        <v>35</v>
      </c>
      <c r="K170">
        <v>8207.5</v>
      </c>
      <c r="L170">
        <v>620</v>
      </c>
      <c r="M170">
        <v>0</v>
      </c>
      <c r="N170">
        <v>0</v>
      </c>
      <c r="O170" t="s">
        <v>73</v>
      </c>
      <c r="P170">
        <v>2017</v>
      </c>
    </row>
    <row r="171" spans="6:16" x14ac:dyDescent="0.25">
      <c r="F171" s="7">
        <v>42904</v>
      </c>
      <c r="G171">
        <v>3.5847339009009715E-2</v>
      </c>
      <c r="I171" s="7">
        <v>42904</v>
      </c>
      <c r="J171">
        <v>32</v>
      </c>
      <c r="K171">
        <v>6048.1</v>
      </c>
      <c r="L171">
        <v>99</v>
      </c>
      <c r="M171">
        <v>0</v>
      </c>
      <c r="N171">
        <v>0</v>
      </c>
      <c r="O171" t="s">
        <v>73</v>
      </c>
      <c r="P171">
        <v>2017</v>
      </c>
    </row>
    <row r="172" spans="6:16" x14ac:dyDescent="0.25">
      <c r="F172" s="7">
        <v>42905</v>
      </c>
      <c r="G172">
        <v>2.0424099069969223E-2</v>
      </c>
      <c r="I172" s="7">
        <v>42905</v>
      </c>
      <c r="J172">
        <v>16</v>
      </c>
      <c r="K172">
        <v>3946.6</v>
      </c>
      <c r="L172">
        <v>1205</v>
      </c>
      <c r="M172">
        <v>0</v>
      </c>
      <c r="N172">
        <v>0</v>
      </c>
      <c r="O172" t="s">
        <v>73</v>
      </c>
      <c r="P172">
        <v>2017</v>
      </c>
    </row>
    <row r="173" spans="6:16" x14ac:dyDescent="0.25">
      <c r="F173" s="7">
        <v>42906</v>
      </c>
      <c r="G173">
        <v>2.0859032925346355E-2</v>
      </c>
      <c r="I173" s="7">
        <v>42906</v>
      </c>
      <c r="J173">
        <v>18</v>
      </c>
      <c r="K173">
        <v>3214.2</v>
      </c>
      <c r="L173">
        <v>2185</v>
      </c>
      <c r="M173">
        <v>0</v>
      </c>
      <c r="N173">
        <v>0</v>
      </c>
      <c r="O173" t="s">
        <v>73</v>
      </c>
      <c r="P173">
        <v>2017</v>
      </c>
    </row>
    <row r="174" spans="6:16" x14ac:dyDescent="0.25">
      <c r="F174" s="7">
        <v>42907</v>
      </c>
      <c r="G174">
        <v>2.4033633536154377E-2</v>
      </c>
      <c r="I174" s="7">
        <v>42907</v>
      </c>
      <c r="J174">
        <v>14</v>
      </c>
      <c r="K174">
        <v>2670.4</v>
      </c>
      <c r="L174">
        <v>1643</v>
      </c>
      <c r="M174">
        <v>0</v>
      </c>
      <c r="N174">
        <v>0</v>
      </c>
      <c r="O174" t="s">
        <v>73</v>
      </c>
      <c r="P174">
        <v>2017</v>
      </c>
    </row>
    <row r="175" spans="6:16" x14ac:dyDescent="0.25">
      <c r="F175" s="7">
        <v>42908</v>
      </c>
      <c r="G175">
        <v>2.4331402929303823E-2</v>
      </c>
      <c r="I175" s="7">
        <v>42908</v>
      </c>
      <c r="J175">
        <v>27</v>
      </c>
      <c r="K175">
        <v>5841.5</v>
      </c>
      <c r="L175">
        <v>1275</v>
      </c>
      <c r="M175">
        <v>0</v>
      </c>
      <c r="N175">
        <v>0</v>
      </c>
      <c r="O175" t="s">
        <v>73</v>
      </c>
      <c r="P175">
        <v>2017</v>
      </c>
    </row>
    <row r="176" spans="6:16" x14ac:dyDescent="0.25">
      <c r="F176" s="7">
        <v>42909</v>
      </c>
      <c r="G176">
        <v>3.0468165443845615E-2</v>
      </c>
      <c r="I176" s="7">
        <v>42909</v>
      </c>
      <c r="J176">
        <v>30</v>
      </c>
      <c r="K176">
        <v>4708.24</v>
      </c>
      <c r="L176">
        <v>1473.8</v>
      </c>
      <c r="M176">
        <v>0</v>
      </c>
      <c r="N176">
        <v>0</v>
      </c>
      <c r="O176" t="s">
        <v>73</v>
      </c>
      <c r="P176">
        <v>2017</v>
      </c>
    </row>
    <row r="177" spans="6:16" x14ac:dyDescent="0.25">
      <c r="F177" s="7">
        <v>42910</v>
      </c>
      <c r="G177">
        <v>4.3964768205694657E-2</v>
      </c>
      <c r="I177" s="7">
        <v>42910</v>
      </c>
      <c r="J177">
        <v>42</v>
      </c>
      <c r="K177">
        <v>8004.2</v>
      </c>
      <c r="L177">
        <v>2427</v>
      </c>
      <c r="M177">
        <v>0</v>
      </c>
      <c r="N177">
        <v>0</v>
      </c>
      <c r="O177" t="s">
        <v>73</v>
      </c>
      <c r="P177">
        <v>2017</v>
      </c>
    </row>
    <row r="178" spans="6:16" x14ac:dyDescent="0.25">
      <c r="F178" s="7">
        <v>42911</v>
      </c>
      <c r="G178">
        <v>3.3077090917118759E-2</v>
      </c>
      <c r="I178" s="7">
        <v>42911</v>
      </c>
      <c r="J178">
        <v>17</v>
      </c>
      <c r="K178">
        <v>3470.06</v>
      </c>
      <c r="L178">
        <v>1974</v>
      </c>
      <c r="M178">
        <v>0</v>
      </c>
      <c r="N178">
        <v>0</v>
      </c>
      <c r="O178" t="s">
        <v>73</v>
      </c>
      <c r="P178">
        <v>2017</v>
      </c>
    </row>
    <row r="179" spans="6:16" x14ac:dyDescent="0.25">
      <c r="F179" s="7">
        <v>42912</v>
      </c>
      <c r="G179">
        <v>1.7426266077985961E-2</v>
      </c>
      <c r="I179" s="7">
        <v>42912</v>
      </c>
      <c r="J179">
        <v>20</v>
      </c>
      <c r="K179">
        <v>3738.6</v>
      </c>
      <c r="L179">
        <v>424</v>
      </c>
      <c r="M179">
        <v>0</v>
      </c>
      <c r="N179">
        <v>0</v>
      </c>
      <c r="O179" t="s">
        <v>73</v>
      </c>
      <c r="P179">
        <v>2017</v>
      </c>
    </row>
    <row r="180" spans="6:16" x14ac:dyDescent="0.25">
      <c r="F180" s="7">
        <v>42913</v>
      </c>
      <c r="G180">
        <v>1.7682473532127312E-2</v>
      </c>
      <c r="I180" s="7">
        <v>42913</v>
      </c>
      <c r="J180">
        <v>22</v>
      </c>
      <c r="K180">
        <v>4017.8</v>
      </c>
      <c r="L180">
        <v>757.4</v>
      </c>
      <c r="M180">
        <v>0</v>
      </c>
      <c r="N180">
        <v>0</v>
      </c>
      <c r="O180" t="s">
        <v>73</v>
      </c>
      <c r="P180">
        <v>2017</v>
      </c>
    </row>
    <row r="181" spans="6:16" x14ac:dyDescent="0.25">
      <c r="F181" s="7">
        <v>42914</v>
      </c>
      <c r="G181">
        <v>2.0733049874850466E-2</v>
      </c>
      <c r="I181" s="7">
        <v>42914</v>
      </c>
      <c r="J181">
        <v>19</v>
      </c>
      <c r="K181">
        <v>3545.8</v>
      </c>
      <c r="L181">
        <v>2720.96</v>
      </c>
      <c r="M181">
        <v>0</v>
      </c>
      <c r="N181">
        <v>0</v>
      </c>
      <c r="O181" t="s">
        <v>73</v>
      </c>
      <c r="P181">
        <v>2017</v>
      </c>
    </row>
    <row r="182" spans="6:16" x14ac:dyDescent="0.25">
      <c r="F182" s="7">
        <v>42915</v>
      </c>
      <c r="G182">
        <v>2.0965970209798401E-2</v>
      </c>
      <c r="I182" s="7">
        <v>42915</v>
      </c>
      <c r="J182">
        <v>22</v>
      </c>
      <c r="K182">
        <v>4223.7</v>
      </c>
      <c r="L182">
        <v>1411.2</v>
      </c>
      <c r="M182">
        <v>0</v>
      </c>
      <c r="N182">
        <v>0</v>
      </c>
      <c r="O182" t="s">
        <v>73</v>
      </c>
      <c r="P182">
        <v>2017</v>
      </c>
    </row>
    <row r="183" spans="6:16" x14ac:dyDescent="0.25">
      <c r="F183" s="7">
        <v>42916</v>
      </c>
      <c r="G183">
        <v>2.7100036662312702E-2</v>
      </c>
      <c r="I183" s="7">
        <v>42916</v>
      </c>
      <c r="J183">
        <v>31</v>
      </c>
      <c r="K183">
        <v>4847.1000000000004</v>
      </c>
      <c r="L183">
        <v>1677.01</v>
      </c>
      <c r="M183">
        <v>0</v>
      </c>
      <c r="N183">
        <v>0</v>
      </c>
      <c r="O183" t="s">
        <v>73</v>
      </c>
      <c r="P183">
        <v>2017</v>
      </c>
    </row>
    <row r="184" spans="6:16" x14ac:dyDescent="0.25">
      <c r="F184" s="7">
        <v>42917</v>
      </c>
      <c r="G184">
        <v>4.0656615195372545E-2</v>
      </c>
      <c r="I184" s="7">
        <v>42917</v>
      </c>
      <c r="J184">
        <v>17</v>
      </c>
      <c r="K184">
        <v>5370</v>
      </c>
      <c r="L184">
        <v>2641.9</v>
      </c>
      <c r="M184">
        <v>0</v>
      </c>
      <c r="N184">
        <v>0</v>
      </c>
      <c r="O184" t="s">
        <v>73</v>
      </c>
      <c r="P184">
        <v>2017</v>
      </c>
    </row>
    <row r="185" spans="6:16" x14ac:dyDescent="0.25">
      <c r="F185" s="7">
        <v>42918</v>
      </c>
      <c r="G185">
        <v>4.2698893624821162E-2</v>
      </c>
      <c r="I185" s="7">
        <v>42918</v>
      </c>
      <c r="J185">
        <v>11</v>
      </c>
      <c r="K185">
        <v>2532.75</v>
      </c>
      <c r="L185">
        <v>240</v>
      </c>
      <c r="M185">
        <v>0</v>
      </c>
      <c r="N185">
        <v>0</v>
      </c>
      <c r="O185" t="s">
        <v>74</v>
      </c>
      <c r="P185">
        <v>2017</v>
      </c>
    </row>
    <row r="186" spans="6:16" x14ac:dyDescent="0.25">
      <c r="F186" s="7">
        <v>42919</v>
      </c>
      <c r="G186">
        <v>2.060678567607855E-2</v>
      </c>
      <c r="I186" s="7">
        <v>42919</v>
      </c>
      <c r="J186">
        <v>13</v>
      </c>
      <c r="K186">
        <v>3015.8</v>
      </c>
      <c r="L186">
        <v>609</v>
      </c>
      <c r="M186">
        <v>0</v>
      </c>
      <c r="N186">
        <v>0</v>
      </c>
      <c r="O186" t="s">
        <v>74</v>
      </c>
      <c r="P186">
        <v>2017</v>
      </c>
    </row>
    <row r="187" spans="6:16" x14ac:dyDescent="0.25">
      <c r="F187" s="7">
        <v>42920</v>
      </c>
      <c r="G187">
        <v>2.1319662710800578E-2</v>
      </c>
      <c r="I187" s="7">
        <v>42920</v>
      </c>
      <c r="J187">
        <v>7</v>
      </c>
      <c r="K187">
        <v>1221</v>
      </c>
      <c r="L187">
        <v>0</v>
      </c>
      <c r="M187">
        <v>0</v>
      </c>
      <c r="N187">
        <v>0</v>
      </c>
      <c r="O187" t="s">
        <v>74</v>
      </c>
      <c r="P187">
        <v>2017</v>
      </c>
    </row>
    <row r="188" spans="6:16" x14ac:dyDescent="0.25">
      <c r="F188" s="7">
        <v>42921</v>
      </c>
      <c r="G188">
        <v>2.6100033327257473E-2</v>
      </c>
      <c r="I188" s="7">
        <v>42921</v>
      </c>
      <c r="J188">
        <v>13</v>
      </c>
      <c r="K188">
        <v>3520.8</v>
      </c>
      <c r="L188">
        <v>293</v>
      </c>
      <c r="M188">
        <v>0</v>
      </c>
      <c r="N188">
        <v>0</v>
      </c>
      <c r="O188" t="s">
        <v>74</v>
      </c>
      <c r="P188">
        <v>2017</v>
      </c>
    </row>
    <row r="189" spans="6:16" x14ac:dyDescent="0.25">
      <c r="F189" s="7">
        <v>42922</v>
      </c>
      <c r="G189">
        <v>2.6922579880378574E-2</v>
      </c>
      <c r="I189" s="7">
        <v>42922</v>
      </c>
      <c r="J189">
        <v>18</v>
      </c>
      <c r="K189">
        <v>2824.2</v>
      </c>
      <c r="L189">
        <v>305</v>
      </c>
      <c r="M189">
        <v>0</v>
      </c>
      <c r="N189">
        <v>0</v>
      </c>
      <c r="O189" t="s">
        <v>74</v>
      </c>
      <c r="P189">
        <v>2017</v>
      </c>
    </row>
    <row r="190" spans="6:16" x14ac:dyDescent="0.25">
      <c r="F190" s="7">
        <v>42923</v>
      </c>
      <c r="G190">
        <v>3.6230818698175661E-2</v>
      </c>
      <c r="I190" s="7">
        <v>42923</v>
      </c>
      <c r="J190">
        <v>19</v>
      </c>
      <c r="K190">
        <v>3696.2</v>
      </c>
      <c r="L190">
        <v>151</v>
      </c>
      <c r="M190">
        <v>0</v>
      </c>
      <c r="N190">
        <v>0</v>
      </c>
      <c r="O190" t="s">
        <v>74</v>
      </c>
      <c r="P190">
        <v>2017</v>
      </c>
    </row>
    <row r="191" spans="6:16" x14ac:dyDescent="0.25">
      <c r="F191" s="7">
        <v>42924</v>
      </c>
      <c r="G191">
        <v>5.6185818944978913E-2</v>
      </c>
      <c r="I191" s="7">
        <v>42924</v>
      </c>
      <c r="J191">
        <v>18</v>
      </c>
      <c r="K191">
        <v>3580</v>
      </c>
      <c r="L191">
        <v>310</v>
      </c>
      <c r="M191">
        <v>0</v>
      </c>
      <c r="N191">
        <v>0</v>
      </c>
      <c r="O191" t="s">
        <v>74</v>
      </c>
      <c r="P191">
        <v>2017</v>
      </c>
    </row>
    <row r="192" spans="6:16" x14ac:dyDescent="0.25">
      <c r="F192" s="7">
        <v>42925</v>
      </c>
      <c r="G192">
        <v>4.1431140327331556E-2</v>
      </c>
      <c r="I192" s="7">
        <v>42925</v>
      </c>
      <c r="J192">
        <v>25</v>
      </c>
      <c r="K192">
        <v>5265.25</v>
      </c>
      <c r="L192">
        <v>3215.6</v>
      </c>
      <c r="M192">
        <v>0</v>
      </c>
      <c r="N192">
        <v>0</v>
      </c>
      <c r="O192" t="s">
        <v>74</v>
      </c>
      <c r="P192">
        <v>2017</v>
      </c>
    </row>
    <row r="193" spans="6:16" x14ac:dyDescent="0.25">
      <c r="F193" s="7">
        <v>42926</v>
      </c>
      <c r="G193">
        <v>1.9977527191753927E-2</v>
      </c>
      <c r="I193" s="7">
        <v>42926</v>
      </c>
      <c r="J193">
        <v>19</v>
      </c>
      <c r="K193">
        <v>4064.2</v>
      </c>
      <c r="L193">
        <v>478.5</v>
      </c>
      <c r="M193">
        <v>0</v>
      </c>
      <c r="N193">
        <v>0</v>
      </c>
      <c r="O193" t="s">
        <v>74</v>
      </c>
      <c r="P193">
        <v>2017</v>
      </c>
    </row>
    <row r="194" spans="6:16" x14ac:dyDescent="0.25">
      <c r="F194" s="7">
        <v>42927</v>
      </c>
      <c r="G194">
        <v>2.1331551000720834E-2</v>
      </c>
      <c r="I194" s="7">
        <v>42927</v>
      </c>
      <c r="J194">
        <v>21</v>
      </c>
      <c r="K194">
        <v>3891.18</v>
      </c>
      <c r="L194">
        <v>900</v>
      </c>
      <c r="M194">
        <v>0</v>
      </c>
      <c r="N194">
        <v>0</v>
      </c>
      <c r="O194" t="s">
        <v>74</v>
      </c>
      <c r="P194">
        <v>2017</v>
      </c>
    </row>
    <row r="195" spans="6:16" x14ac:dyDescent="0.25">
      <c r="F195" s="7">
        <v>42928</v>
      </c>
      <c r="G195">
        <v>2.6741284144792953E-2</v>
      </c>
      <c r="I195" s="7">
        <v>42928</v>
      </c>
      <c r="J195">
        <v>16</v>
      </c>
      <c r="K195">
        <v>2767.9</v>
      </c>
      <c r="L195">
        <v>250</v>
      </c>
      <c r="M195">
        <v>0</v>
      </c>
      <c r="N195">
        <v>0</v>
      </c>
      <c r="O195" t="s">
        <v>74</v>
      </c>
      <c r="P195">
        <v>2017</v>
      </c>
    </row>
    <row r="196" spans="6:16" x14ac:dyDescent="0.25">
      <c r="F196" s="7">
        <v>42929</v>
      </c>
      <c r="G196">
        <v>2.8167304804598239E-2</v>
      </c>
      <c r="I196" s="7">
        <v>42929</v>
      </c>
      <c r="J196">
        <v>16</v>
      </c>
      <c r="K196">
        <v>3103.6</v>
      </c>
      <c r="L196">
        <v>3271</v>
      </c>
      <c r="M196">
        <v>0</v>
      </c>
      <c r="N196">
        <v>0</v>
      </c>
      <c r="O196" t="s">
        <v>74</v>
      </c>
      <c r="P196">
        <v>2017</v>
      </c>
    </row>
    <row r="197" spans="6:16" x14ac:dyDescent="0.25">
      <c r="F197" s="7">
        <v>42930</v>
      </c>
      <c r="G197">
        <v>3.8039718347413001E-2</v>
      </c>
      <c r="I197" s="7">
        <v>42930</v>
      </c>
      <c r="J197">
        <v>24</v>
      </c>
      <c r="K197">
        <v>4423.28</v>
      </c>
      <c r="L197">
        <v>1925.2</v>
      </c>
      <c r="M197">
        <v>0</v>
      </c>
      <c r="N197">
        <v>0</v>
      </c>
      <c r="O197" t="s">
        <v>74</v>
      </c>
      <c r="P197">
        <v>2017</v>
      </c>
    </row>
    <row r="198" spans="6:16" x14ac:dyDescent="0.25">
      <c r="F198" s="7">
        <v>42931</v>
      </c>
      <c r="G198">
        <v>5.8507217348164949E-2</v>
      </c>
      <c r="I198" s="7">
        <v>42931</v>
      </c>
      <c r="J198">
        <v>36</v>
      </c>
      <c r="K198">
        <v>7482.5</v>
      </c>
      <c r="L198">
        <v>2552.25</v>
      </c>
      <c r="M198">
        <v>0</v>
      </c>
      <c r="N198">
        <v>0</v>
      </c>
      <c r="O198" t="s">
        <v>74</v>
      </c>
      <c r="P198">
        <v>2017</v>
      </c>
    </row>
    <row r="199" spans="6:16" x14ac:dyDescent="0.25">
      <c r="F199" s="7">
        <v>42932</v>
      </c>
      <c r="G199">
        <v>4.4202331269774603E-2</v>
      </c>
      <c r="I199" s="7">
        <v>42932</v>
      </c>
      <c r="J199">
        <v>15</v>
      </c>
      <c r="K199">
        <v>3570.1</v>
      </c>
      <c r="L199">
        <v>72</v>
      </c>
      <c r="M199">
        <v>0</v>
      </c>
      <c r="N199">
        <v>0</v>
      </c>
      <c r="O199" t="s">
        <v>74</v>
      </c>
      <c r="P199">
        <v>2017</v>
      </c>
    </row>
    <row r="200" spans="6:16" x14ac:dyDescent="0.25">
      <c r="F200" s="7">
        <v>42933</v>
      </c>
      <c r="G200">
        <v>2.3126395187664912E-2</v>
      </c>
      <c r="I200" s="7">
        <v>42933</v>
      </c>
      <c r="J200">
        <v>13</v>
      </c>
      <c r="K200">
        <v>2699</v>
      </c>
      <c r="L200">
        <v>76</v>
      </c>
      <c r="M200">
        <v>0</v>
      </c>
      <c r="N200">
        <v>0</v>
      </c>
      <c r="O200" t="s">
        <v>74</v>
      </c>
      <c r="P200">
        <v>2017</v>
      </c>
    </row>
    <row r="201" spans="6:16" x14ac:dyDescent="0.25">
      <c r="F201" s="7">
        <v>42934</v>
      </c>
      <c r="G201">
        <v>2.4778422495803941E-2</v>
      </c>
      <c r="I201" s="7">
        <v>42934</v>
      </c>
      <c r="J201">
        <v>11</v>
      </c>
      <c r="K201">
        <v>2540</v>
      </c>
      <c r="L201">
        <v>58.5</v>
      </c>
      <c r="M201">
        <v>0</v>
      </c>
      <c r="N201">
        <v>0</v>
      </c>
      <c r="O201" t="s">
        <v>74</v>
      </c>
      <c r="P201">
        <v>2017</v>
      </c>
    </row>
    <row r="202" spans="6:16" x14ac:dyDescent="0.25">
      <c r="F202" s="7">
        <v>42935</v>
      </c>
      <c r="G202">
        <v>3.040095857293228E-2</v>
      </c>
      <c r="I202" s="7">
        <v>42935</v>
      </c>
      <c r="J202">
        <v>8</v>
      </c>
      <c r="K202">
        <v>1577</v>
      </c>
      <c r="L202">
        <v>1000</v>
      </c>
      <c r="M202">
        <v>0</v>
      </c>
      <c r="N202">
        <v>0</v>
      </c>
      <c r="O202" t="s">
        <v>74</v>
      </c>
      <c r="P202">
        <v>2017</v>
      </c>
    </row>
    <row r="203" spans="6:16" x14ac:dyDescent="0.25">
      <c r="F203" s="7">
        <v>42936</v>
      </c>
      <c r="G203">
        <v>3.1951210816485769E-2</v>
      </c>
      <c r="I203" s="7">
        <v>42936</v>
      </c>
      <c r="J203">
        <v>13</v>
      </c>
      <c r="K203">
        <v>3201</v>
      </c>
      <c r="L203">
        <v>254.5</v>
      </c>
      <c r="M203">
        <v>0</v>
      </c>
      <c r="N203">
        <v>0</v>
      </c>
      <c r="O203" t="s">
        <v>74</v>
      </c>
      <c r="P203">
        <v>2017</v>
      </c>
    </row>
    <row r="204" spans="6:16" x14ac:dyDescent="0.25">
      <c r="F204" s="7">
        <v>42937</v>
      </c>
      <c r="G204">
        <v>4.1858137310752309E-2</v>
      </c>
      <c r="I204" s="7">
        <v>42937</v>
      </c>
      <c r="J204">
        <v>13</v>
      </c>
      <c r="K204">
        <v>3341</v>
      </c>
      <c r="L204">
        <v>257.60000000000002</v>
      </c>
      <c r="M204">
        <v>0</v>
      </c>
      <c r="N204">
        <v>0</v>
      </c>
      <c r="O204" t="s">
        <v>74</v>
      </c>
      <c r="P204">
        <v>2017</v>
      </c>
    </row>
    <row r="205" spans="6:16" x14ac:dyDescent="0.25">
      <c r="F205" s="7">
        <v>42938</v>
      </c>
      <c r="G205">
        <v>6.2271515094539938E-2</v>
      </c>
      <c r="I205" s="7">
        <v>42938</v>
      </c>
      <c r="J205">
        <v>18</v>
      </c>
      <c r="K205">
        <v>4742</v>
      </c>
      <c r="L205">
        <v>865.8</v>
      </c>
      <c r="M205">
        <v>0</v>
      </c>
      <c r="N205">
        <v>0</v>
      </c>
      <c r="O205" t="s">
        <v>74</v>
      </c>
      <c r="P205">
        <v>2017</v>
      </c>
    </row>
    <row r="206" spans="6:16" x14ac:dyDescent="0.25">
      <c r="F206" s="7">
        <v>42939</v>
      </c>
      <c r="G206">
        <v>4.782713919126963E-2</v>
      </c>
      <c r="I206" s="7">
        <v>42939</v>
      </c>
      <c r="J206">
        <v>21</v>
      </c>
      <c r="K206">
        <v>4304.96</v>
      </c>
      <c r="L206">
        <v>0</v>
      </c>
      <c r="M206">
        <v>0</v>
      </c>
      <c r="N206">
        <v>0</v>
      </c>
      <c r="O206" t="s">
        <v>74</v>
      </c>
      <c r="P206">
        <v>2017</v>
      </c>
    </row>
    <row r="207" spans="6:16" x14ac:dyDescent="0.25">
      <c r="F207" s="7">
        <v>42940</v>
      </c>
      <c r="G207">
        <v>2.6531683550852746E-2</v>
      </c>
      <c r="I207" s="7">
        <v>42940</v>
      </c>
      <c r="J207">
        <v>15</v>
      </c>
      <c r="K207">
        <v>3268.8</v>
      </c>
      <c r="L207">
        <v>28</v>
      </c>
      <c r="M207">
        <v>0</v>
      </c>
      <c r="N207">
        <v>0</v>
      </c>
      <c r="O207" t="s">
        <v>74</v>
      </c>
      <c r="P207">
        <v>2017</v>
      </c>
    </row>
    <row r="208" spans="6:16" x14ac:dyDescent="0.25">
      <c r="F208" s="7">
        <v>42941</v>
      </c>
      <c r="G208">
        <v>2.78914123514937E-2</v>
      </c>
      <c r="I208" s="7">
        <v>42941</v>
      </c>
      <c r="J208">
        <v>20</v>
      </c>
      <c r="K208">
        <v>4577.7</v>
      </c>
      <c r="L208">
        <v>290</v>
      </c>
      <c r="M208">
        <v>0</v>
      </c>
      <c r="N208">
        <v>0</v>
      </c>
      <c r="O208" t="s">
        <v>74</v>
      </c>
      <c r="P208">
        <v>2017</v>
      </c>
    </row>
    <row r="209" spans="6:16" x14ac:dyDescent="0.25">
      <c r="F209" s="7">
        <v>42942</v>
      </c>
      <c r="G209">
        <v>3.3157823293675087E-2</v>
      </c>
      <c r="I209" s="7">
        <v>42942</v>
      </c>
      <c r="J209">
        <v>8</v>
      </c>
      <c r="K209">
        <v>1270.4000000000001</v>
      </c>
      <c r="L209">
        <v>201.5</v>
      </c>
      <c r="M209">
        <v>0</v>
      </c>
      <c r="N209">
        <v>0</v>
      </c>
      <c r="O209" t="s">
        <v>74</v>
      </c>
      <c r="P209">
        <v>2017</v>
      </c>
    </row>
    <row r="210" spans="6:16" x14ac:dyDescent="0.25">
      <c r="F210" s="7">
        <v>42943</v>
      </c>
      <c r="G210">
        <v>3.4298524355409095E-2</v>
      </c>
      <c r="I210" s="7">
        <v>42943</v>
      </c>
      <c r="J210">
        <v>18</v>
      </c>
      <c r="K210">
        <v>2831.06</v>
      </c>
      <c r="L210">
        <v>488</v>
      </c>
      <c r="M210">
        <v>0</v>
      </c>
      <c r="N210">
        <v>0</v>
      </c>
      <c r="O210" t="s">
        <v>74</v>
      </c>
      <c r="P210">
        <v>2017</v>
      </c>
    </row>
    <row r="211" spans="6:16" x14ac:dyDescent="0.25">
      <c r="F211" s="7">
        <v>42944</v>
      </c>
      <c r="G211">
        <v>4.3754033671693046E-2</v>
      </c>
      <c r="I211" s="7">
        <v>42944</v>
      </c>
      <c r="J211">
        <v>23</v>
      </c>
      <c r="K211">
        <v>4259.34</v>
      </c>
      <c r="L211">
        <v>541</v>
      </c>
      <c r="M211">
        <v>0</v>
      </c>
      <c r="N211">
        <v>0</v>
      </c>
      <c r="O211" t="s">
        <v>74</v>
      </c>
      <c r="P211">
        <v>2017</v>
      </c>
    </row>
    <row r="212" spans="6:16" x14ac:dyDescent="0.25">
      <c r="F212" s="7">
        <v>42945</v>
      </c>
      <c r="G212">
        <v>6.369007681038652E-2</v>
      </c>
      <c r="I212" s="7">
        <v>42945</v>
      </c>
      <c r="J212">
        <v>26</v>
      </c>
      <c r="K212">
        <v>4901</v>
      </c>
      <c r="L212">
        <v>218</v>
      </c>
      <c r="M212">
        <v>0</v>
      </c>
      <c r="N212">
        <v>0</v>
      </c>
      <c r="O212" t="s">
        <v>74</v>
      </c>
      <c r="P212">
        <v>2017</v>
      </c>
    </row>
    <row r="213" spans="6:16" x14ac:dyDescent="0.25">
      <c r="F213" s="7">
        <v>42946</v>
      </c>
      <c r="G213">
        <v>4.6860954140113327E-2</v>
      </c>
      <c r="I213" s="7">
        <v>42946</v>
      </c>
      <c r="J213">
        <v>29</v>
      </c>
      <c r="K213">
        <v>5886.8</v>
      </c>
      <c r="L213">
        <v>1123</v>
      </c>
      <c r="M213">
        <v>0</v>
      </c>
      <c r="N213">
        <v>0</v>
      </c>
      <c r="O213" t="s">
        <v>75</v>
      </c>
      <c r="P213">
        <v>2017</v>
      </c>
    </row>
    <row r="214" spans="6:16" x14ac:dyDescent="0.25">
      <c r="F214" s="7">
        <v>42947</v>
      </c>
      <c r="G214">
        <v>2.5913377067215252E-2</v>
      </c>
      <c r="I214" s="7">
        <v>42947</v>
      </c>
      <c r="J214">
        <v>17</v>
      </c>
      <c r="K214">
        <v>3770.2</v>
      </c>
      <c r="L214">
        <v>19.5</v>
      </c>
      <c r="M214">
        <v>0</v>
      </c>
      <c r="N214">
        <v>0</v>
      </c>
      <c r="O214" t="s">
        <v>75</v>
      </c>
      <c r="P214">
        <v>2017</v>
      </c>
    </row>
    <row r="215" spans="6:16" x14ac:dyDescent="0.25">
      <c r="F215" s="7">
        <v>42948</v>
      </c>
      <c r="G215">
        <v>2.6751341405953234E-2</v>
      </c>
      <c r="I215" s="7">
        <v>42948</v>
      </c>
      <c r="J215">
        <v>19</v>
      </c>
      <c r="K215">
        <v>3669.58</v>
      </c>
      <c r="L215">
        <v>963</v>
      </c>
      <c r="M215">
        <v>0</v>
      </c>
      <c r="N215">
        <v>0</v>
      </c>
      <c r="O215" t="s">
        <v>75</v>
      </c>
      <c r="P215">
        <v>2017</v>
      </c>
    </row>
    <row r="216" spans="6:16" x14ac:dyDescent="0.25">
      <c r="F216" s="7">
        <v>42949</v>
      </c>
      <c r="G216">
        <v>3.1365407052520333E-2</v>
      </c>
      <c r="I216" s="7">
        <v>42949</v>
      </c>
      <c r="J216">
        <v>24</v>
      </c>
      <c r="K216">
        <v>5420.6</v>
      </c>
      <c r="L216">
        <v>2312.04</v>
      </c>
      <c r="M216">
        <v>0</v>
      </c>
      <c r="N216">
        <v>0</v>
      </c>
      <c r="O216" t="s">
        <v>75</v>
      </c>
      <c r="P216">
        <v>2017</v>
      </c>
    </row>
    <row r="217" spans="6:16" x14ac:dyDescent="0.25">
      <c r="F217" s="7">
        <v>42950</v>
      </c>
      <c r="G217">
        <v>3.2045811661495054E-2</v>
      </c>
      <c r="I217" s="7">
        <v>42950</v>
      </c>
      <c r="J217">
        <v>36</v>
      </c>
      <c r="K217">
        <v>6152.71</v>
      </c>
      <c r="L217">
        <v>1391.45</v>
      </c>
      <c r="M217">
        <v>0</v>
      </c>
      <c r="N217">
        <v>0</v>
      </c>
      <c r="O217" t="s">
        <v>75</v>
      </c>
      <c r="P217">
        <v>2017</v>
      </c>
    </row>
    <row r="218" spans="6:16" x14ac:dyDescent="0.25">
      <c r="F218" s="7">
        <v>42951</v>
      </c>
      <c r="G218">
        <v>4.0760568676721218E-2</v>
      </c>
      <c r="I218" s="7">
        <v>42951</v>
      </c>
      <c r="J218">
        <v>25</v>
      </c>
      <c r="K218">
        <v>5066.2</v>
      </c>
      <c r="L218">
        <v>1262</v>
      </c>
      <c r="M218">
        <v>0</v>
      </c>
      <c r="N218">
        <v>0</v>
      </c>
      <c r="O218" t="s">
        <v>75</v>
      </c>
      <c r="P218">
        <v>2017</v>
      </c>
    </row>
    <row r="219" spans="6:16" x14ac:dyDescent="0.25">
      <c r="F219" s="7">
        <v>42952</v>
      </c>
      <c r="G219">
        <v>5.9596671898341759E-2</v>
      </c>
      <c r="I219" s="7">
        <v>42952</v>
      </c>
      <c r="J219">
        <v>32</v>
      </c>
      <c r="K219">
        <v>6602.99</v>
      </c>
      <c r="L219">
        <v>694.18</v>
      </c>
      <c r="M219">
        <v>0</v>
      </c>
      <c r="N219">
        <v>0</v>
      </c>
      <c r="O219" t="s">
        <v>75</v>
      </c>
      <c r="P219">
        <v>2017</v>
      </c>
    </row>
    <row r="220" spans="6:16" x14ac:dyDescent="0.25">
      <c r="F220" s="7">
        <v>42953</v>
      </c>
      <c r="G220">
        <v>4.4968931435852864E-2</v>
      </c>
      <c r="I220" s="7">
        <v>42953</v>
      </c>
      <c r="J220">
        <v>18</v>
      </c>
      <c r="K220">
        <v>4130.3999999999996</v>
      </c>
      <c r="L220">
        <v>319.25</v>
      </c>
      <c r="M220">
        <v>0</v>
      </c>
      <c r="N220">
        <v>0</v>
      </c>
      <c r="O220" t="s">
        <v>75</v>
      </c>
      <c r="P220">
        <v>2017</v>
      </c>
    </row>
    <row r="221" spans="6:16" x14ac:dyDescent="0.25">
      <c r="F221" s="7">
        <v>42954</v>
      </c>
      <c r="G221">
        <v>2.3815768005617268E-2</v>
      </c>
      <c r="I221" s="7">
        <v>42954</v>
      </c>
      <c r="J221">
        <v>12</v>
      </c>
      <c r="K221">
        <v>2151</v>
      </c>
      <c r="L221">
        <v>267</v>
      </c>
      <c r="M221">
        <v>0</v>
      </c>
      <c r="N221">
        <v>0</v>
      </c>
      <c r="O221" t="s">
        <v>75</v>
      </c>
      <c r="P221">
        <v>2017</v>
      </c>
    </row>
    <row r="222" spans="6:16" x14ac:dyDescent="0.25">
      <c r="F222" s="7">
        <v>42955</v>
      </c>
      <c r="G222">
        <v>2.4515034962090693E-2</v>
      </c>
      <c r="I222" s="7">
        <v>42955</v>
      </c>
      <c r="J222">
        <v>8</v>
      </c>
      <c r="K222">
        <v>1509.2</v>
      </c>
      <c r="L222">
        <v>260</v>
      </c>
      <c r="M222">
        <v>0</v>
      </c>
      <c r="N222">
        <v>0</v>
      </c>
      <c r="O222" t="s">
        <v>75</v>
      </c>
      <c r="P222">
        <v>2017</v>
      </c>
    </row>
    <row r="223" spans="6:16" x14ac:dyDescent="0.25">
      <c r="F223" s="7">
        <v>42956</v>
      </c>
      <c r="G223">
        <v>2.9059017267905034E-2</v>
      </c>
      <c r="I223" s="7">
        <v>42956</v>
      </c>
      <c r="J223">
        <v>18</v>
      </c>
      <c r="K223">
        <v>4136.2</v>
      </c>
      <c r="L223">
        <v>1480</v>
      </c>
      <c r="M223">
        <v>0</v>
      </c>
      <c r="N223">
        <v>0</v>
      </c>
      <c r="O223" t="s">
        <v>75</v>
      </c>
      <c r="P223">
        <v>2017</v>
      </c>
    </row>
    <row r="224" spans="6:16" x14ac:dyDescent="0.25">
      <c r="F224" s="7">
        <v>42957</v>
      </c>
      <c r="G224">
        <v>2.9737778433782516E-2</v>
      </c>
      <c r="I224" s="7">
        <v>42957</v>
      </c>
      <c r="J224">
        <v>15</v>
      </c>
      <c r="K224">
        <v>3745.4</v>
      </c>
      <c r="L224">
        <v>1274.2</v>
      </c>
      <c r="M224">
        <v>0</v>
      </c>
      <c r="N224">
        <v>0</v>
      </c>
      <c r="O224" t="s">
        <v>75</v>
      </c>
      <c r="P224">
        <v>2017</v>
      </c>
    </row>
    <row r="225" spans="6:16" x14ac:dyDescent="0.25">
      <c r="F225" s="7">
        <v>42958</v>
      </c>
      <c r="G225">
        <v>3.8517296584064921E-2</v>
      </c>
      <c r="I225" s="7">
        <v>42958</v>
      </c>
      <c r="J225">
        <v>26</v>
      </c>
      <c r="K225">
        <v>6096.58</v>
      </c>
      <c r="L225">
        <v>1594.85</v>
      </c>
      <c r="M225">
        <v>0</v>
      </c>
      <c r="N225">
        <v>0</v>
      </c>
      <c r="O225" t="s">
        <v>75</v>
      </c>
      <c r="P225">
        <v>2017</v>
      </c>
    </row>
    <row r="226" spans="6:16" x14ac:dyDescent="0.25">
      <c r="F226" s="7">
        <v>42959</v>
      </c>
      <c r="G226">
        <v>5.7480757000843825E-2</v>
      </c>
      <c r="I226" s="7">
        <v>42959</v>
      </c>
      <c r="J226">
        <v>31</v>
      </c>
      <c r="K226">
        <v>6030.25</v>
      </c>
      <c r="L226">
        <v>3471.2</v>
      </c>
      <c r="M226">
        <v>0</v>
      </c>
      <c r="N226">
        <v>0</v>
      </c>
      <c r="O226" t="s">
        <v>75</v>
      </c>
      <c r="P226">
        <v>2017</v>
      </c>
    </row>
    <row r="227" spans="6:16" x14ac:dyDescent="0.25">
      <c r="F227" s="7">
        <v>42960</v>
      </c>
      <c r="G227">
        <v>4.3037522920743657E-2</v>
      </c>
      <c r="I227" s="7">
        <v>42960</v>
      </c>
      <c r="J227">
        <v>20</v>
      </c>
      <c r="K227">
        <v>3688</v>
      </c>
      <c r="L227">
        <v>3471</v>
      </c>
      <c r="M227">
        <v>0</v>
      </c>
      <c r="N227">
        <v>0</v>
      </c>
      <c r="O227" t="s">
        <v>75</v>
      </c>
      <c r="P227">
        <v>2017</v>
      </c>
    </row>
    <row r="228" spans="6:16" x14ac:dyDescent="0.25">
      <c r="F228" s="7">
        <v>42961</v>
      </c>
      <c r="G228">
        <v>2.2119107280595261E-2</v>
      </c>
      <c r="I228" s="7">
        <v>42961</v>
      </c>
      <c r="J228">
        <v>5</v>
      </c>
      <c r="K228">
        <v>895.6</v>
      </c>
      <c r="L228">
        <v>602</v>
      </c>
      <c r="M228">
        <v>0</v>
      </c>
      <c r="N228">
        <v>0</v>
      </c>
      <c r="O228" t="s">
        <v>75</v>
      </c>
      <c r="P228">
        <v>2017</v>
      </c>
    </row>
    <row r="229" spans="6:16" x14ac:dyDescent="0.25">
      <c r="F229" s="7">
        <v>42962</v>
      </c>
      <c r="G229">
        <v>2.309520936145578E-2</v>
      </c>
      <c r="I229" s="7">
        <v>42962</v>
      </c>
      <c r="J229">
        <v>14</v>
      </c>
      <c r="K229">
        <v>3316.5</v>
      </c>
      <c r="L229">
        <v>667.2</v>
      </c>
      <c r="M229">
        <v>0</v>
      </c>
      <c r="N229">
        <v>0</v>
      </c>
      <c r="O229" t="s">
        <v>75</v>
      </c>
      <c r="P229">
        <v>2017</v>
      </c>
    </row>
    <row r="230" spans="6:16" x14ac:dyDescent="0.25">
      <c r="F230" s="7">
        <v>42963</v>
      </c>
      <c r="G230">
        <v>2.7948959270243694E-2</v>
      </c>
      <c r="I230" s="7">
        <v>42963</v>
      </c>
      <c r="J230">
        <v>15</v>
      </c>
      <c r="K230">
        <v>2326.46</v>
      </c>
      <c r="L230">
        <v>2713.35</v>
      </c>
      <c r="M230">
        <v>0</v>
      </c>
      <c r="N230">
        <v>0</v>
      </c>
      <c r="O230" t="s">
        <v>75</v>
      </c>
      <c r="P230">
        <v>2017</v>
      </c>
    </row>
    <row r="231" spans="6:16" x14ac:dyDescent="0.25">
      <c r="F231" s="7">
        <v>42964</v>
      </c>
      <c r="G231">
        <v>2.8960534039828088E-2</v>
      </c>
      <c r="I231" s="7">
        <v>42964</v>
      </c>
      <c r="J231">
        <v>33</v>
      </c>
      <c r="K231">
        <v>5726.9</v>
      </c>
      <c r="L231">
        <v>184</v>
      </c>
      <c r="M231">
        <v>0</v>
      </c>
      <c r="N231">
        <v>0</v>
      </c>
      <c r="O231" t="s">
        <v>75</v>
      </c>
      <c r="P231">
        <v>2017</v>
      </c>
    </row>
    <row r="232" spans="6:16" x14ac:dyDescent="0.25">
      <c r="F232" s="7">
        <v>42965</v>
      </c>
      <c r="G232">
        <v>3.8085578884123013E-2</v>
      </c>
      <c r="I232" s="7">
        <v>42965</v>
      </c>
      <c r="J232">
        <v>34</v>
      </c>
      <c r="K232">
        <v>5723.48</v>
      </c>
      <c r="L232">
        <v>730.5</v>
      </c>
      <c r="M232">
        <v>0</v>
      </c>
      <c r="N232">
        <v>0</v>
      </c>
      <c r="O232" t="s">
        <v>75</v>
      </c>
      <c r="P232">
        <v>2017</v>
      </c>
    </row>
    <row r="233" spans="6:16" x14ac:dyDescent="0.25">
      <c r="F233" s="7">
        <v>42966</v>
      </c>
      <c r="G233">
        <v>5.7396792823445356E-2</v>
      </c>
      <c r="I233" s="7">
        <v>42966</v>
      </c>
      <c r="J233">
        <v>23</v>
      </c>
      <c r="K233">
        <v>5845</v>
      </c>
      <c r="L233">
        <v>1048.75</v>
      </c>
      <c r="M233">
        <v>0</v>
      </c>
      <c r="N233">
        <v>0</v>
      </c>
      <c r="O233" t="s">
        <v>75</v>
      </c>
      <c r="P233">
        <v>2017</v>
      </c>
    </row>
    <row r="234" spans="6:16" x14ac:dyDescent="0.25">
      <c r="F234" s="7">
        <v>42967</v>
      </c>
      <c r="G234">
        <v>4.3293192483433052E-2</v>
      </c>
      <c r="I234" s="7">
        <v>42967</v>
      </c>
      <c r="J234">
        <v>23</v>
      </c>
      <c r="K234">
        <v>4611.78</v>
      </c>
      <c r="L234">
        <v>2596</v>
      </c>
      <c r="M234">
        <v>0</v>
      </c>
      <c r="N234">
        <v>0</v>
      </c>
      <c r="O234" t="s">
        <v>75</v>
      </c>
      <c r="P234">
        <v>2017</v>
      </c>
    </row>
    <row r="235" spans="6:16" x14ac:dyDescent="0.25">
      <c r="F235" s="7">
        <v>42968</v>
      </c>
      <c r="G235">
        <v>2.2696368379968745E-2</v>
      </c>
      <c r="I235" s="7">
        <v>42968</v>
      </c>
      <c r="J235">
        <v>9</v>
      </c>
      <c r="K235">
        <v>1604.4</v>
      </c>
      <c r="L235">
        <v>133</v>
      </c>
      <c r="M235">
        <v>0</v>
      </c>
      <c r="N235">
        <v>0</v>
      </c>
      <c r="O235" t="s">
        <v>75</v>
      </c>
      <c r="P235">
        <v>2017</v>
      </c>
    </row>
    <row r="236" spans="6:16" x14ac:dyDescent="0.25">
      <c r="F236" s="7">
        <v>42969</v>
      </c>
      <c r="G236">
        <v>2.3966790319124701E-2</v>
      </c>
      <c r="I236" s="7">
        <v>42969</v>
      </c>
      <c r="J236">
        <v>16</v>
      </c>
      <c r="K236">
        <v>3288.3</v>
      </c>
      <c r="L236">
        <v>1634</v>
      </c>
      <c r="M236">
        <v>0</v>
      </c>
      <c r="N236">
        <v>0</v>
      </c>
      <c r="O236" t="s">
        <v>75</v>
      </c>
      <c r="P236">
        <v>2017</v>
      </c>
    </row>
    <row r="237" spans="6:16" x14ac:dyDescent="0.25">
      <c r="F237" s="7">
        <v>42970</v>
      </c>
      <c r="G237">
        <v>2.9079297284893231E-2</v>
      </c>
      <c r="I237" s="7">
        <v>42970</v>
      </c>
      <c r="J237">
        <v>22</v>
      </c>
      <c r="K237">
        <v>4650.3900000000003</v>
      </c>
      <c r="L237">
        <v>2738.83</v>
      </c>
      <c r="M237">
        <v>0</v>
      </c>
      <c r="N237">
        <v>0</v>
      </c>
      <c r="O237" t="s">
        <v>75</v>
      </c>
      <c r="P237">
        <v>2017</v>
      </c>
    </row>
    <row r="238" spans="6:16" x14ac:dyDescent="0.25">
      <c r="F238" s="7">
        <v>42971</v>
      </c>
      <c r="G238">
        <v>3.0306929426335585E-2</v>
      </c>
      <c r="I238" s="7">
        <v>42971</v>
      </c>
      <c r="J238">
        <v>25</v>
      </c>
      <c r="K238">
        <v>5046.3</v>
      </c>
      <c r="L238">
        <v>1529.05</v>
      </c>
      <c r="M238">
        <v>0</v>
      </c>
      <c r="N238">
        <v>0</v>
      </c>
      <c r="O238" t="s">
        <v>75</v>
      </c>
      <c r="P238">
        <v>2017</v>
      </c>
    </row>
    <row r="239" spans="6:16" x14ac:dyDescent="0.25">
      <c r="F239" s="7">
        <v>42972</v>
      </c>
      <c r="G239">
        <v>3.9599529977260295E-2</v>
      </c>
      <c r="I239" s="7">
        <v>42972</v>
      </c>
      <c r="J239">
        <v>29</v>
      </c>
      <c r="K239">
        <v>4647.8</v>
      </c>
      <c r="L239">
        <v>1735.27</v>
      </c>
      <c r="M239">
        <v>0</v>
      </c>
      <c r="N239">
        <v>0</v>
      </c>
      <c r="O239" t="s">
        <v>75</v>
      </c>
      <c r="P239">
        <v>2017</v>
      </c>
    </row>
    <row r="240" spans="6:16" x14ac:dyDescent="0.25">
      <c r="F240" s="7">
        <v>42973</v>
      </c>
      <c r="G240">
        <v>5.9025471956032229E-2</v>
      </c>
      <c r="I240" s="7">
        <v>42973</v>
      </c>
      <c r="J240">
        <v>16</v>
      </c>
      <c r="K240">
        <v>3322.5</v>
      </c>
      <c r="L240">
        <v>403</v>
      </c>
      <c r="M240">
        <v>0</v>
      </c>
      <c r="N240">
        <v>0</v>
      </c>
      <c r="O240" t="s">
        <v>75</v>
      </c>
      <c r="P240">
        <v>2017</v>
      </c>
    </row>
    <row r="241" spans="6:16" x14ac:dyDescent="0.25">
      <c r="F241" s="7">
        <v>42974</v>
      </c>
      <c r="G241">
        <v>3.6577589741779014E-2</v>
      </c>
      <c r="I241" s="7">
        <v>42974</v>
      </c>
      <c r="J241">
        <v>18</v>
      </c>
      <c r="K241">
        <v>2923.6</v>
      </c>
      <c r="L241">
        <v>127</v>
      </c>
      <c r="M241">
        <v>0</v>
      </c>
      <c r="N241">
        <v>0</v>
      </c>
      <c r="O241" t="s">
        <v>76</v>
      </c>
      <c r="P241">
        <v>2017</v>
      </c>
    </row>
    <row r="242" spans="6:16" x14ac:dyDescent="0.25">
      <c r="F242" s="7">
        <v>42975</v>
      </c>
      <c r="G242">
        <v>1.9830686312572645E-2</v>
      </c>
      <c r="I242" s="7">
        <v>42975</v>
      </c>
      <c r="J242">
        <v>21</v>
      </c>
      <c r="K242">
        <v>4019.3</v>
      </c>
      <c r="L242">
        <v>3535</v>
      </c>
      <c r="M242">
        <v>0</v>
      </c>
      <c r="N242">
        <v>0</v>
      </c>
      <c r="O242" t="s">
        <v>76</v>
      </c>
      <c r="P242">
        <v>2017</v>
      </c>
    </row>
    <row r="243" spans="6:16" x14ac:dyDescent="0.25">
      <c r="F243" s="7">
        <v>42976</v>
      </c>
      <c r="G243">
        <v>2.0820056028209157E-2</v>
      </c>
      <c r="I243" s="7">
        <v>42976</v>
      </c>
      <c r="J243">
        <v>10</v>
      </c>
      <c r="K243">
        <v>3035.39</v>
      </c>
      <c r="L243">
        <v>561.29999999999995</v>
      </c>
      <c r="M243">
        <v>0</v>
      </c>
      <c r="N243">
        <v>0</v>
      </c>
      <c r="O243" t="s">
        <v>76</v>
      </c>
      <c r="P243">
        <v>2017</v>
      </c>
    </row>
    <row r="244" spans="6:16" x14ac:dyDescent="0.25">
      <c r="F244" s="7">
        <v>42977</v>
      </c>
      <c r="G244">
        <v>2.488974066132622E-2</v>
      </c>
      <c r="I244" s="7">
        <v>42977</v>
      </c>
      <c r="J244">
        <v>21</v>
      </c>
      <c r="K244">
        <v>4284.6000000000004</v>
      </c>
      <c r="L244">
        <v>1039</v>
      </c>
      <c r="M244">
        <v>0</v>
      </c>
      <c r="N244">
        <v>0</v>
      </c>
      <c r="O244" t="s">
        <v>76</v>
      </c>
      <c r="P244">
        <v>2017</v>
      </c>
    </row>
    <row r="245" spans="6:16" x14ac:dyDescent="0.25">
      <c r="F245" s="7">
        <v>42978</v>
      </c>
      <c r="G245">
        <v>2.5759286887041148E-2</v>
      </c>
      <c r="I245" s="7">
        <v>42978</v>
      </c>
      <c r="J245">
        <v>24</v>
      </c>
      <c r="K245">
        <v>4369.6000000000004</v>
      </c>
      <c r="L245">
        <v>1409.4</v>
      </c>
      <c r="M245">
        <v>0</v>
      </c>
      <c r="N245">
        <v>0</v>
      </c>
      <c r="O245" t="s">
        <v>76</v>
      </c>
      <c r="P245">
        <v>2017</v>
      </c>
    </row>
    <row r="246" spans="6:16" x14ac:dyDescent="0.25">
      <c r="F246" s="7">
        <v>42979</v>
      </c>
      <c r="G246">
        <v>3.3150122231199473E-2</v>
      </c>
      <c r="I246" s="7">
        <v>42979</v>
      </c>
      <c r="J246">
        <v>28</v>
      </c>
      <c r="K246">
        <v>6008.9</v>
      </c>
      <c r="L246">
        <v>2052.5</v>
      </c>
      <c r="M246">
        <v>0</v>
      </c>
      <c r="N246">
        <v>0</v>
      </c>
      <c r="O246" t="s">
        <v>76</v>
      </c>
      <c r="P246">
        <v>2017</v>
      </c>
    </row>
    <row r="247" spans="6:16" x14ac:dyDescent="0.25">
      <c r="F247" s="7">
        <v>42980</v>
      </c>
      <c r="G247">
        <v>4.875297609077095E-2</v>
      </c>
      <c r="I247" s="7">
        <v>42980</v>
      </c>
      <c r="J247">
        <v>30</v>
      </c>
      <c r="K247">
        <v>7031.99</v>
      </c>
      <c r="L247">
        <v>677.5</v>
      </c>
      <c r="M247">
        <v>0</v>
      </c>
      <c r="N247">
        <v>0</v>
      </c>
      <c r="O247" t="s">
        <v>76</v>
      </c>
      <c r="P247">
        <v>2017</v>
      </c>
    </row>
    <row r="248" spans="6:16" x14ac:dyDescent="0.25">
      <c r="F248" s="7">
        <v>42981</v>
      </c>
      <c r="G248">
        <v>3.7112462155930802E-2</v>
      </c>
      <c r="I248" s="7">
        <v>42981</v>
      </c>
      <c r="J248">
        <v>18</v>
      </c>
      <c r="K248">
        <v>3372</v>
      </c>
      <c r="L248">
        <v>3599</v>
      </c>
      <c r="M248">
        <v>0</v>
      </c>
      <c r="N248">
        <v>0</v>
      </c>
      <c r="O248" t="s">
        <v>76</v>
      </c>
      <c r="P248">
        <v>2017</v>
      </c>
    </row>
    <row r="249" spans="6:16" x14ac:dyDescent="0.25">
      <c r="F249" s="7">
        <v>42982</v>
      </c>
      <c r="G249">
        <v>2.0126312058131403E-2</v>
      </c>
      <c r="I249" s="7">
        <v>42982</v>
      </c>
      <c r="J249">
        <v>15</v>
      </c>
      <c r="K249">
        <v>4783.2</v>
      </c>
      <c r="L249">
        <v>1524</v>
      </c>
      <c r="M249">
        <v>0</v>
      </c>
      <c r="N249">
        <v>0</v>
      </c>
      <c r="O249" t="s">
        <v>76</v>
      </c>
      <c r="P249">
        <v>2017</v>
      </c>
    </row>
    <row r="250" spans="6:16" x14ac:dyDescent="0.25">
      <c r="F250" s="7">
        <v>42983</v>
      </c>
      <c r="G250">
        <v>2.0864129948826627E-2</v>
      </c>
      <c r="I250" s="7">
        <v>42983</v>
      </c>
      <c r="J250">
        <v>18</v>
      </c>
      <c r="K250">
        <v>3616</v>
      </c>
      <c r="L250">
        <v>3354.75</v>
      </c>
      <c r="M250">
        <v>0</v>
      </c>
      <c r="N250">
        <v>0</v>
      </c>
      <c r="O250" t="s">
        <v>76</v>
      </c>
      <c r="P250">
        <v>2017</v>
      </c>
    </row>
    <row r="251" spans="6:16" x14ac:dyDescent="0.25">
      <c r="F251" s="7">
        <v>42984</v>
      </c>
      <c r="G251">
        <v>2.4677304884625478E-2</v>
      </c>
      <c r="I251" s="7">
        <v>42984</v>
      </c>
      <c r="J251">
        <v>11</v>
      </c>
      <c r="K251">
        <v>2386.1999999999998</v>
      </c>
      <c r="L251">
        <v>98</v>
      </c>
      <c r="M251">
        <v>0</v>
      </c>
      <c r="N251">
        <v>0</v>
      </c>
      <c r="O251" t="s">
        <v>76</v>
      </c>
      <c r="P251">
        <v>2017</v>
      </c>
    </row>
    <row r="252" spans="6:16" x14ac:dyDescent="0.25">
      <c r="F252" s="7">
        <v>42985</v>
      </c>
      <c r="G252">
        <v>2.5292800264686881E-2</v>
      </c>
      <c r="I252" s="7">
        <v>42985</v>
      </c>
      <c r="J252">
        <v>16</v>
      </c>
      <c r="K252">
        <v>3162.39</v>
      </c>
      <c r="L252">
        <v>243</v>
      </c>
      <c r="M252">
        <v>0</v>
      </c>
      <c r="N252">
        <v>0</v>
      </c>
      <c r="O252" t="s">
        <v>76</v>
      </c>
      <c r="P252">
        <v>2017</v>
      </c>
    </row>
    <row r="253" spans="6:16" x14ac:dyDescent="0.25">
      <c r="F253" s="7">
        <v>42986</v>
      </c>
      <c r="G253">
        <v>3.2439324738884209E-2</v>
      </c>
      <c r="I253" s="7">
        <v>42986</v>
      </c>
      <c r="J253">
        <v>28</v>
      </c>
      <c r="K253">
        <v>5070.2</v>
      </c>
      <c r="L253">
        <v>1368</v>
      </c>
      <c r="M253">
        <v>0</v>
      </c>
      <c r="N253">
        <v>0</v>
      </c>
      <c r="O253" t="s">
        <v>76</v>
      </c>
      <c r="P253">
        <v>2017</v>
      </c>
    </row>
    <row r="254" spans="6:16" x14ac:dyDescent="0.25">
      <c r="F254" s="7">
        <v>42987</v>
      </c>
      <c r="G254">
        <v>4.7810858131205017E-2</v>
      </c>
      <c r="I254" s="7">
        <v>42987</v>
      </c>
      <c r="J254">
        <v>23</v>
      </c>
      <c r="K254">
        <v>5540.85</v>
      </c>
      <c r="L254">
        <v>1040</v>
      </c>
      <c r="M254">
        <v>0</v>
      </c>
      <c r="N254">
        <v>0</v>
      </c>
      <c r="O254" t="s">
        <v>76</v>
      </c>
      <c r="P254">
        <v>2017</v>
      </c>
    </row>
    <row r="255" spans="6:16" x14ac:dyDescent="0.25">
      <c r="F255" s="7">
        <v>42988</v>
      </c>
      <c r="G255">
        <v>3.5962140290639273E-2</v>
      </c>
      <c r="I255" s="7">
        <v>42988</v>
      </c>
      <c r="J255">
        <v>21</v>
      </c>
      <c r="K255">
        <v>5025.3999999999996</v>
      </c>
      <c r="L255">
        <v>358</v>
      </c>
      <c r="M255">
        <v>0</v>
      </c>
      <c r="N255">
        <v>0</v>
      </c>
      <c r="O255" t="s">
        <v>76</v>
      </c>
      <c r="P255">
        <v>2017</v>
      </c>
    </row>
    <row r="256" spans="6:16" x14ac:dyDescent="0.25">
      <c r="F256" s="7">
        <v>42989</v>
      </c>
      <c r="G256">
        <v>1.8796645493143402E-2</v>
      </c>
      <c r="I256" s="7">
        <v>42989</v>
      </c>
      <c r="J256">
        <v>9</v>
      </c>
      <c r="K256">
        <v>2755</v>
      </c>
      <c r="L256">
        <v>125</v>
      </c>
      <c r="M256">
        <v>0</v>
      </c>
      <c r="N256">
        <v>0</v>
      </c>
      <c r="O256" t="s">
        <v>76</v>
      </c>
      <c r="P256">
        <v>2017</v>
      </c>
    </row>
    <row r="257" spans="6:16" x14ac:dyDescent="0.25">
      <c r="F257" s="7">
        <v>42990</v>
      </c>
      <c r="G257">
        <v>1.938888861161852E-2</v>
      </c>
      <c r="I257" s="7">
        <v>42990</v>
      </c>
      <c r="J257">
        <v>17</v>
      </c>
      <c r="K257">
        <v>3444</v>
      </c>
      <c r="L257">
        <v>2801.6</v>
      </c>
      <c r="M257">
        <v>0</v>
      </c>
      <c r="N257">
        <v>0</v>
      </c>
      <c r="O257" t="s">
        <v>76</v>
      </c>
      <c r="P257">
        <v>2017</v>
      </c>
    </row>
    <row r="258" spans="6:16" x14ac:dyDescent="0.25">
      <c r="F258" s="7">
        <v>42991</v>
      </c>
      <c r="G258">
        <v>2.3094217672814738E-2</v>
      </c>
      <c r="I258" s="7">
        <v>42991</v>
      </c>
      <c r="J258">
        <v>14</v>
      </c>
      <c r="K258">
        <v>2588.6</v>
      </c>
      <c r="L258">
        <v>383</v>
      </c>
      <c r="M258">
        <v>0</v>
      </c>
      <c r="N258">
        <v>0</v>
      </c>
      <c r="O258" t="s">
        <v>76</v>
      </c>
      <c r="P258">
        <v>2017</v>
      </c>
    </row>
    <row r="259" spans="6:16" x14ac:dyDescent="0.25">
      <c r="F259" s="7">
        <v>42992</v>
      </c>
      <c r="G259">
        <v>2.3642512072898532E-2</v>
      </c>
      <c r="I259" s="7">
        <v>42992</v>
      </c>
      <c r="J259">
        <v>11</v>
      </c>
      <c r="K259">
        <v>2420</v>
      </c>
      <c r="L259">
        <v>921.3</v>
      </c>
      <c r="M259">
        <v>0</v>
      </c>
      <c r="N259">
        <v>0</v>
      </c>
      <c r="O259" t="s">
        <v>76</v>
      </c>
      <c r="P259">
        <v>2017</v>
      </c>
    </row>
    <row r="260" spans="6:16" x14ac:dyDescent="0.25">
      <c r="F260" s="7">
        <v>42993</v>
      </c>
      <c r="G260">
        <v>3.0764292914037986E-2</v>
      </c>
      <c r="I260" s="7">
        <v>42993</v>
      </c>
      <c r="J260">
        <v>30</v>
      </c>
      <c r="K260">
        <v>5801</v>
      </c>
      <c r="L260">
        <v>250</v>
      </c>
      <c r="M260">
        <v>0</v>
      </c>
      <c r="N260">
        <v>0</v>
      </c>
      <c r="O260" t="s">
        <v>76</v>
      </c>
      <c r="P260">
        <v>2017</v>
      </c>
    </row>
    <row r="261" spans="6:16" x14ac:dyDescent="0.25">
      <c r="F261" s="7">
        <v>42994</v>
      </c>
      <c r="G261">
        <v>4.6154220278503168E-2</v>
      </c>
      <c r="I261" s="7">
        <v>42994</v>
      </c>
      <c r="J261">
        <v>28</v>
      </c>
      <c r="K261">
        <v>5314</v>
      </c>
      <c r="L261">
        <v>129</v>
      </c>
      <c r="M261">
        <v>0</v>
      </c>
      <c r="N261">
        <v>0</v>
      </c>
      <c r="O261" t="s">
        <v>76</v>
      </c>
      <c r="P261">
        <v>2017</v>
      </c>
    </row>
    <row r="262" spans="6:16" x14ac:dyDescent="0.25">
      <c r="F262" s="7">
        <v>42995</v>
      </c>
      <c r="G262">
        <v>3.4366585416851128E-2</v>
      </c>
      <c r="I262" s="7">
        <v>42995</v>
      </c>
      <c r="J262">
        <v>21</v>
      </c>
      <c r="K262">
        <v>4005.4</v>
      </c>
      <c r="L262">
        <v>816</v>
      </c>
      <c r="M262">
        <v>0</v>
      </c>
      <c r="N262">
        <v>0</v>
      </c>
      <c r="O262" t="s">
        <v>76</v>
      </c>
      <c r="P262">
        <v>2017</v>
      </c>
    </row>
    <row r="263" spans="6:16" x14ac:dyDescent="0.25">
      <c r="F263" s="7">
        <v>42996</v>
      </c>
      <c r="G263">
        <v>1.7303319916375737E-2</v>
      </c>
      <c r="I263" s="7">
        <v>42996</v>
      </c>
      <c r="J263">
        <v>8</v>
      </c>
      <c r="K263">
        <v>2100.9899999999998</v>
      </c>
      <c r="L263">
        <v>372</v>
      </c>
      <c r="M263">
        <v>0</v>
      </c>
      <c r="N263">
        <v>0</v>
      </c>
      <c r="O263" t="s">
        <v>76</v>
      </c>
      <c r="P263">
        <v>2017</v>
      </c>
    </row>
    <row r="264" spans="6:16" x14ac:dyDescent="0.25">
      <c r="F264" s="7">
        <v>42997</v>
      </c>
      <c r="G264">
        <v>1.803636640883154E-2</v>
      </c>
      <c r="I264" s="7">
        <v>42997</v>
      </c>
      <c r="J264">
        <v>12</v>
      </c>
      <c r="K264">
        <v>2753.9</v>
      </c>
      <c r="L264">
        <v>89.5</v>
      </c>
      <c r="M264">
        <v>0</v>
      </c>
      <c r="N264">
        <v>0</v>
      </c>
      <c r="O264" t="s">
        <v>76</v>
      </c>
      <c r="P264">
        <v>2017</v>
      </c>
    </row>
    <row r="265" spans="6:16" x14ac:dyDescent="0.25">
      <c r="F265" s="7">
        <v>42998</v>
      </c>
      <c r="G265">
        <v>2.1917562999473932E-2</v>
      </c>
      <c r="I265" s="7">
        <v>42998</v>
      </c>
      <c r="J265">
        <v>6</v>
      </c>
      <c r="K265">
        <v>1506</v>
      </c>
      <c r="L265">
        <v>143.5</v>
      </c>
      <c r="M265">
        <v>0</v>
      </c>
      <c r="N265">
        <v>0</v>
      </c>
      <c r="O265" t="s">
        <v>76</v>
      </c>
      <c r="P265">
        <v>2017</v>
      </c>
    </row>
    <row r="266" spans="6:16" x14ac:dyDescent="0.25">
      <c r="F266" s="7">
        <v>42999</v>
      </c>
      <c r="G266">
        <v>2.2672457601974241E-2</v>
      </c>
      <c r="I266" s="7">
        <v>42999</v>
      </c>
      <c r="J266">
        <v>14</v>
      </c>
      <c r="K266">
        <v>3033.2</v>
      </c>
      <c r="L266">
        <v>2047.5</v>
      </c>
      <c r="M266">
        <v>0</v>
      </c>
      <c r="N266">
        <v>0</v>
      </c>
      <c r="O266" t="s">
        <v>76</v>
      </c>
      <c r="P266">
        <v>2017</v>
      </c>
    </row>
    <row r="267" spans="6:16" x14ac:dyDescent="0.25">
      <c r="F267" s="7">
        <v>43000</v>
      </c>
      <c r="G267">
        <v>3.0026554818323194E-2</v>
      </c>
      <c r="I267" s="7">
        <v>43000</v>
      </c>
      <c r="J267">
        <v>24</v>
      </c>
      <c r="K267">
        <v>3136.4</v>
      </c>
      <c r="L267">
        <v>800.75</v>
      </c>
      <c r="M267">
        <v>0</v>
      </c>
      <c r="N267">
        <v>0</v>
      </c>
      <c r="O267" t="s">
        <v>76</v>
      </c>
      <c r="P267">
        <v>2017</v>
      </c>
    </row>
    <row r="268" spans="6:16" x14ac:dyDescent="0.25">
      <c r="F268" s="7">
        <v>43001</v>
      </c>
      <c r="G268">
        <v>4.5668965856741274E-2</v>
      </c>
      <c r="I268" s="7">
        <v>43001</v>
      </c>
      <c r="J268">
        <v>23</v>
      </c>
      <c r="K268">
        <v>5265</v>
      </c>
      <c r="L268">
        <v>393</v>
      </c>
      <c r="M268">
        <v>0</v>
      </c>
      <c r="N268">
        <v>0</v>
      </c>
      <c r="O268" t="s">
        <v>76</v>
      </c>
      <c r="P268">
        <v>2017</v>
      </c>
    </row>
    <row r="269" spans="6:16" x14ac:dyDescent="0.25">
      <c r="F269" s="7">
        <v>43002</v>
      </c>
      <c r="G269">
        <v>3.4148064783374441E-2</v>
      </c>
      <c r="I269" s="7">
        <v>43002</v>
      </c>
      <c r="J269">
        <v>22</v>
      </c>
      <c r="K269">
        <v>5678.4</v>
      </c>
      <c r="L269">
        <v>1796</v>
      </c>
      <c r="M269">
        <v>0</v>
      </c>
      <c r="N269">
        <v>0</v>
      </c>
      <c r="O269" t="s">
        <v>76</v>
      </c>
      <c r="P269">
        <v>2017</v>
      </c>
    </row>
    <row r="270" spans="6:16" x14ac:dyDescent="0.25">
      <c r="F270" s="7">
        <v>43003</v>
      </c>
      <c r="G270">
        <v>1.735966817872964E-2</v>
      </c>
      <c r="I270" s="7">
        <v>43003</v>
      </c>
      <c r="J270">
        <v>9</v>
      </c>
      <c r="K270">
        <v>1902</v>
      </c>
      <c r="L270">
        <v>1494</v>
      </c>
      <c r="M270">
        <v>0</v>
      </c>
      <c r="N270">
        <v>0</v>
      </c>
      <c r="O270" t="s">
        <v>76</v>
      </c>
      <c r="P270">
        <v>2017</v>
      </c>
    </row>
    <row r="271" spans="6:16" x14ac:dyDescent="0.25">
      <c r="F271" s="7">
        <v>43004</v>
      </c>
      <c r="G271">
        <v>1.8369577712609827E-2</v>
      </c>
      <c r="I271" s="7">
        <v>43004</v>
      </c>
      <c r="J271">
        <v>19</v>
      </c>
      <c r="K271">
        <v>4245.2</v>
      </c>
      <c r="L271">
        <v>32</v>
      </c>
      <c r="M271">
        <v>0</v>
      </c>
      <c r="N271">
        <v>0</v>
      </c>
      <c r="O271" t="s">
        <v>76</v>
      </c>
      <c r="P271">
        <v>2017</v>
      </c>
    </row>
    <row r="272" spans="6:16" x14ac:dyDescent="0.25">
      <c r="F272" s="7">
        <v>43005</v>
      </c>
      <c r="G272">
        <v>2.2523632902973545E-2</v>
      </c>
      <c r="I272" s="7">
        <v>43005</v>
      </c>
      <c r="J272">
        <v>19</v>
      </c>
      <c r="K272">
        <v>4103.7</v>
      </c>
      <c r="L272">
        <v>178</v>
      </c>
      <c r="M272">
        <v>0</v>
      </c>
      <c r="N272">
        <v>0</v>
      </c>
      <c r="O272" t="s">
        <v>76</v>
      </c>
      <c r="P272">
        <v>2017</v>
      </c>
    </row>
    <row r="273" spans="6:16" x14ac:dyDescent="0.25">
      <c r="F273" s="7">
        <v>43006</v>
      </c>
      <c r="G273">
        <v>2.3541685326660785E-2</v>
      </c>
      <c r="I273" s="7">
        <v>43006</v>
      </c>
      <c r="J273">
        <v>19</v>
      </c>
      <c r="K273">
        <v>4216.2</v>
      </c>
      <c r="L273">
        <v>3186</v>
      </c>
      <c r="M273">
        <v>0</v>
      </c>
      <c r="N273">
        <v>0</v>
      </c>
      <c r="O273" t="s">
        <v>76</v>
      </c>
      <c r="P273">
        <v>2017</v>
      </c>
    </row>
    <row r="274" spans="6:16" x14ac:dyDescent="0.25">
      <c r="F274" s="7">
        <v>43007</v>
      </c>
      <c r="G274">
        <v>3.1143992540449646E-2</v>
      </c>
      <c r="I274" s="7">
        <v>43007</v>
      </c>
      <c r="J274">
        <v>25</v>
      </c>
      <c r="K274">
        <v>4644.2</v>
      </c>
      <c r="L274">
        <v>249</v>
      </c>
      <c r="M274">
        <v>0</v>
      </c>
      <c r="N274">
        <v>0</v>
      </c>
      <c r="O274" t="s">
        <v>76</v>
      </c>
      <c r="P274">
        <v>2017</v>
      </c>
    </row>
    <row r="275" spans="6:16" x14ac:dyDescent="0.25">
      <c r="F275" s="7">
        <v>43008</v>
      </c>
      <c r="G275">
        <v>4.7014998067786265E-2</v>
      </c>
      <c r="I275" s="7">
        <v>43008</v>
      </c>
      <c r="J275">
        <v>29</v>
      </c>
      <c r="K275">
        <v>7238</v>
      </c>
      <c r="L275">
        <v>200</v>
      </c>
      <c r="M275">
        <v>0</v>
      </c>
      <c r="N275">
        <v>0</v>
      </c>
      <c r="O275" t="s">
        <v>76</v>
      </c>
      <c r="P275">
        <v>2017</v>
      </c>
    </row>
    <row r="276" spans="6:16" x14ac:dyDescent="0.25">
      <c r="F276" s="7">
        <v>43009</v>
      </c>
      <c r="G276">
        <v>3.9711560359144922E-2</v>
      </c>
      <c r="I276" s="7">
        <v>43009</v>
      </c>
      <c r="J276">
        <v>29</v>
      </c>
      <c r="K276">
        <v>6183.96</v>
      </c>
      <c r="L276">
        <v>400</v>
      </c>
      <c r="M276">
        <v>0</v>
      </c>
      <c r="N276">
        <v>0</v>
      </c>
      <c r="O276" t="s">
        <v>77</v>
      </c>
      <c r="P276">
        <v>2017</v>
      </c>
    </row>
    <row r="277" spans="6:16" x14ac:dyDescent="0.25">
      <c r="F277" s="7">
        <v>43010</v>
      </c>
      <c r="G277">
        <v>2.1234435972806193E-2</v>
      </c>
      <c r="I277" s="7">
        <v>43010</v>
      </c>
      <c r="J277">
        <v>13</v>
      </c>
      <c r="K277">
        <v>2451.38</v>
      </c>
      <c r="L277">
        <v>0</v>
      </c>
      <c r="M277">
        <v>0</v>
      </c>
      <c r="N277">
        <v>0</v>
      </c>
      <c r="O277" t="s">
        <v>77</v>
      </c>
      <c r="P277">
        <v>2017</v>
      </c>
    </row>
    <row r="278" spans="6:16" x14ac:dyDescent="0.25">
      <c r="F278" s="7">
        <v>43011</v>
      </c>
      <c r="G278">
        <v>2.2523650381077051E-2</v>
      </c>
      <c r="I278" s="7">
        <v>43011</v>
      </c>
      <c r="J278">
        <v>14</v>
      </c>
      <c r="K278">
        <v>2821.1</v>
      </c>
      <c r="L278">
        <v>1113</v>
      </c>
      <c r="M278">
        <v>0</v>
      </c>
      <c r="N278">
        <v>0</v>
      </c>
      <c r="O278" t="s">
        <v>77</v>
      </c>
      <c r="P278">
        <v>2017</v>
      </c>
    </row>
    <row r="279" spans="6:16" x14ac:dyDescent="0.25">
      <c r="F279" s="7">
        <v>43012</v>
      </c>
      <c r="G279">
        <v>2.7276302726862323E-2</v>
      </c>
      <c r="I279" s="7">
        <v>43012</v>
      </c>
      <c r="J279">
        <v>14</v>
      </c>
      <c r="K279">
        <v>3430</v>
      </c>
      <c r="L279">
        <v>780</v>
      </c>
      <c r="M279">
        <v>0</v>
      </c>
      <c r="N279">
        <v>0</v>
      </c>
      <c r="O279" t="s">
        <v>77</v>
      </c>
      <c r="P279">
        <v>2017</v>
      </c>
    </row>
    <row r="280" spans="6:16" x14ac:dyDescent="0.25">
      <c r="F280" s="7">
        <v>43013</v>
      </c>
      <c r="G280">
        <v>2.8505695957242522E-2</v>
      </c>
      <c r="I280" s="7">
        <v>43013</v>
      </c>
      <c r="J280">
        <v>18</v>
      </c>
      <c r="K280">
        <v>4721.2</v>
      </c>
      <c r="L280">
        <v>751</v>
      </c>
      <c r="M280">
        <v>0</v>
      </c>
      <c r="N280">
        <v>0</v>
      </c>
      <c r="O280" t="s">
        <v>77</v>
      </c>
      <c r="P280">
        <v>2017</v>
      </c>
    </row>
    <row r="281" spans="6:16" x14ac:dyDescent="0.25">
      <c r="F281" s="7">
        <v>43014</v>
      </c>
      <c r="G281">
        <v>3.7029748560502618E-2</v>
      </c>
      <c r="I281" s="7">
        <v>43014</v>
      </c>
      <c r="J281">
        <v>16</v>
      </c>
      <c r="K281">
        <v>2677.25</v>
      </c>
      <c r="L281">
        <v>1406</v>
      </c>
      <c r="M281">
        <v>0</v>
      </c>
      <c r="N281">
        <v>0</v>
      </c>
      <c r="O281" t="s">
        <v>77</v>
      </c>
      <c r="P281">
        <v>2017</v>
      </c>
    </row>
    <row r="282" spans="6:16" x14ac:dyDescent="0.25">
      <c r="F282" s="7">
        <v>43015</v>
      </c>
      <c r="G282">
        <v>5.4718564403908321E-2</v>
      </c>
      <c r="I282" s="7">
        <v>43015</v>
      </c>
      <c r="J282">
        <v>38</v>
      </c>
      <c r="K282">
        <v>9889.99</v>
      </c>
      <c r="L282">
        <v>1836.34</v>
      </c>
      <c r="M282">
        <v>0</v>
      </c>
      <c r="N282">
        <v>0</v>
      </c>
      <c r="O282" t="s">
        <v>77</v>
      </c>
      <c r="P282">
        <v>2017</v>
      </c>
    </row>
    <row r="283" spans="6:16" x14ac:dyDescent="0.25">
      <c r="F283" s="7">
        <v>43016</v>
      </c>
      <c r="G283">
        <v>4.2133471275244708E-2</v>
      </c>
      <c r="I283" s="7">
        <v>43016</v>
      </c>
      <c r="J283">
        <v>37</v>
      </c>
      <c r="K283">
        <v>6044.3</v>
      </c>
      <c r="L283">
        <v>700.5</v>
      </c>
      <c r="M283">
        <v>0</v>
      </c>
      <c r="N283">
        <v>0</v>
      </c>
      <c r="O283" t="s">
        <v>77</v>
      </c>
      <c r="P283">
        <v>2017</v>
      </c>
    </row>
    <row r="284" spans="6:16" x14ac:dyDescent="0.25">
      <c r="F284" s="7">
        <v>43017</v>
      </c>
      <c r="G284">
        <v>2.3630508001778003E-2</v>
      </c>
      <c r="I284" s="7">
        <v>43017</v>
      </c>
      <c r="J284">
        <v>19</v>
      </c>
      <c r="K284">
        <v>2887</v>
      </c>
      <c r="L284">
        <v>0</v>
      </c>
      <c r="M284">
        <v>0</v>
      </c>
      <c r="N284">
        <v>0</v>
      </c>
      <c r="O284" t="s">
        <v>77</v>
      </c>
      <c r="P284">
        <v>2017</v>
      </c>
    </row>
    <row r="285" spans="6:16" x14ac:dyDescent="0.25">
      <c r="F285" s="7">
        <v>43018</v>
      </c>
      <c r="G285">
        <v>2.4868753894620975E-2</v>
      </c>
      <c r="I285" s="7">
        <v>43018</v>
      </c>
      <c r="J285">
        <v>16</v>
      </c>
      <c r="K285">
        <v>3547.93</v>
      </c>
      <c r="L285">
        <v>1158.32</v>
      </c>
      <c r="M285">
        <v>0</v>
      </c>
      <c r="N285">
        <v>0</v>
      </c>
      <c r="O285" t="s">
        <v>77</v>
      </c>
      <c r="P285">
        <v>2017</v>
      </c>
    </row>
    <row r="286" spans="6:16" x14ac:dyDescent="0.25">
      <c r="F286" s="7">
        <v>43019</v>
      </c>
      <c r="G286">
        <v>2.9549183339500188E-2</v>
      </c>
      <c r="I286" s="7">
        <v>43019</v>
      </c>
      <c r="J286">
        <v>22</v>
      </c>
      <c r="K286">
        <v>4134.8</v>
      </c>
      <c r="L286">
        <v>1370.2</v>
      </c>
      <c r="M286">
        <v>0</v>
      </c>
      <c r="N286">
        <v>0</v>
      </c>
      <c r="O286" t="s">
        <v>77</v>
      </c>
      <c r="P286">
        <v>2017</v>
      </c>
    </row>
    <row r="287" spans="6:16" x14ac:dyDescent="0.25">
      <c r="F287" s="7">
        <v>43020</v>
      </c>
      <c r="G287">
        <v>3.068931795891662E-2</v>
      </c>
      <c r="I287" s="7">
        <v>43020</v>
      </c>
      <c r="J287">
        <v>19</v>
      </c>
      <c r="K287">
        <v>3958.2</v>
      </c>
      <c r="L287">
        <v>791.39</v>
      </c>
      <c r="M287">
        <v>0</v>
      </c>
      <c r="N287">
        <v>0</v>
      </c>
      <c r="O287" t="s">
        <v>77</v>
      </c>
      <c r="P287">
        <v>2017</v>
      </c>
    </row>
    <row r="288" spans="6:16" x14ac:dyDescent="0.25">
      <c r="F288" s="7">
        <v>43021</v>
      </c>
      <c r="G288">
        <v>3.910663121444951E-2</v>
      </c>
      <c r="I288" s="7">
        <v>43021</v>
      </c>
      <c r="J288">
        <v>18</v>
      </c>
      <c r="K288">
        <v>3973</v>
      </c>
      <c r="L288">
        <v>609.20000000000005</v>
      </c>
      <c r="M288">
        <v>0</v>
      </c>
      <c r="N288">
        <v>0</v>
      </c>
      <c r="O288" t="s">
        <v>77</v>
      </c>
      <c r="P288">
        <v>2017</v>
      </c>
    </row>
    <row r="289" spans="6:16" x14ac:dyDescent="0.25">
      <c r="F289" s="7">
        <v>43022</v>
      </c>
      <c r="G289">
        <v>5.668053401904824E-2</v>
      </c>
      <c r="I289" s="7">
        <v>43022</v>
      </c>
      <c r="J289">
        <v>22</v>
      </c>
      <c r="K289">
        <v>5296</v>
      </c>
      <c r="L289">
        <v>7385</v>
      </c>
      <c r="M289">
        <v>0</v>
      </c>
      <c r="N289">
        <v>0</v>
      </c>
      <c r="O289" t="s">
        <v>77</v>
      </c>
      <c r="P289">
        <v>2017</v>
      </c>
    </row>
    <row r="290" spans="6:16" x14ac:dyDescent="0.25">
      <c r="F290" s="7">
        <v>43023</v>
      </c>
      <c r="G290">
        <v>4.3976695194016577E-2</v>
      </c>
      <c r="I290" s="7">
        <v>43023</v>
      </c>
      <c r="J290">
        <v>30</v>
      </c>
      <c r="K290">
        <v>5819.3</v>
      </c>
      <c r="L290">
        <v>464</v>
      </c>
      <c r="M290">
        <v>0</v>
      </c>
      <c r="N290">
        <v>0</v>
      </c>
      <c r="O290" t="s">
        <v>77</v>
      </c>
      <c r="P290">
        <v>2017</v>
      </c>
    </row>
    <row r="291" spans="6:16" x14ac:dyDescent="0.25">
      <c r="F291" s="7">
        <v>43024</v>
      </c>
      <c r="G291">
        <v>2.5355243015608993E-2</v>
      </c>
      <c r="I291" s="7">
        <v>43024</v>
      </c>
      <c r="J291">
        <v>17</v>
      </c>
      <c r="K291">
        <v>3200.1</v>
      </c>
      <c r="L291">
        <v>112</v>
      </c>
      <c r="M291">
        <v>0</v>
      </c>
      <c r="N291">
        <v>0</v>
      </c>
      <c r="O291" t="s">
        <v>77</v>
      </c>
      <c r="P291">
        <v>2017</v>
      </c>
    </row>
    <row r="292" spans="6:16" x14ac:dyDescent="0.25">
      <c r="F292" s="7">
        <v>43025</v>
      </c>
      <c r="G292">
        <v>2.6478965051389709E-2</v>
      </c>
      <c r="I292" s="7">
        <v>43025</v>
      </c>
      <c r="J292">
        <v>21</v>
      </c>
      <c r="K292">
        <v>3021.1</v>
      </c>
      <c r="L292">
        <v>3764.3</v>
      </c>
      <c r="M292">
        <v>0</v>
      </c>
      <c r="N292">
        <v>0</v>
      </c>
      <c r="O292" t="s">
        <v>77</v>
      </c>
      <c r="P292">
        <v>2017</v>
      </c>
    </row>
    <row r="293" spans="6:16" x14ac:dyDescent="0.25">
      <c r="F293" s="7">
        <v>43026</v>
      </c>
      <c r="G293">
        <v>3.1052049161156871E-2</v>
      </c>
      <c r="I293" s="7">
        <v>43026</v>
      </c>
      <c r="J293">
        <v>27</v>
      </c>
      <c r="K293">
        <v>6163</v>
      </c>
      <c r="L293">
        <v>308</v>
      </c>
      <c r="M293">
        <v>0</v>
      </c>
      <c r="N293">
        <v>0</v>
      </c>
      <c r="O293" t="s">
        <v>77</v>
      </c>
      <c r="P293">
        <v>2017</v>
      </c>
    </row>
    <row r="294" spans="6:16" x14ac:dyDescent="0.25">
      <c r="F294" s="7">
        <v>43027</v>
      </c>
      <c r="G294">
        <v>3.2094641577236384E-2</v>
      </c>
      <c r="I294" s="7">
        <v>43027</v>
      </c>
      <c r="J294">
        <v>18</v>
      </c>
      <c r="K294">
        <v>4424.8900000000003</v>
      </c>
      <c r="L294">
        <v>-600.74</v>
      </c>
      <c r="M294">
        <v>0</v>
      </c>
      <c r="N294">
        <v>0</v>
      </c>
      <c r="O294" t="s">
        <v>77</v>
      </c>
      <c r="P294">
        <v>2017</v>
      </c>
    </row>
    <row r="295" spans="6:16" x14ac:dyDescent="0.25">
      <c r="F295" s="7">
        <v>43028</v>
      </c>
      <c r="G295">
        <v>4.0426179421076701E-2</v>
      </c>
      <c r="I295" s="7">
        <v>43028</v>
      </c>
      <c r="J295">
        <v>31</v>
      </c>
      <c r="K295">
        <v>5087.5</v>
      </c>
      <c r="L295">
        <v>4223</v>
      </c>
      <c r="M295">
        <v>0</v>
      </c>
      <c r="N295">
        <v>0</v>
      </c>
      <c r="O295" t="s">
        <v>77</v>
      </c>
      <c r="P295">
        <v>2017</v>
      </c>
    </row>
    <row r="296" spans="6:16" x14ac:dyDescent="0.25">
      <c r="F296" s="7">
        <v>43029</v>
      </c>
      <c r="G296">
        <v>5.7927328467737071E-2</v>
      </c>
      <c r="I296" s="7">
        <v>43029</v>
      </c>
      <c r="J296">
        <v>37</v>
      </c>
      <c r="K296">
        <v>7825.49</v>
      </c>
      <c r="L296">
        <v>627.51</v>
      </c>
      <c r="M296">
        <v>0</v>
      </c>
      <c r="N296">
        <v>0</v>
      </c>
      <c r="O296" t="s">
        <v>77</v>
      </c>
      <c r="P296">
        <v>2017</v>
      </c>
    </row>
    <row r="297" spans="6:16" x14ac:dyDescent="0.25">
      <c r="F297" s="7">
        <v>43030</v>
      </c>
      <c r="G297">
        <v>4.5164280954858395E-2</v>
      </c>
      <c r="I297" s="7">
        <v>43030</v>
      </c>
      <c r="J297">
        <v>39</v>
      </c>
      <c r="K297">
        <v>6211.1</v>
      </c>
      <c r="L297">
        <v>930.3</v>
      </c>
      <c r="M297">
        <v>0</v>
      </c>
      <c r="N297">
        <v>0</v>
      </c>
      <c r="O297" t="s">
        <v>77</v>
      </c>
      <c r="P297">
        <v>2017</v>
      </c>
    </row>
    <row r="298" spans="6:16" x14ac:dyDescent="0.25">
      <c r="F298" s="7">
        <v>43031</v>
      </c>
      <c r="G298">
        <v>2.6496960309043843E-2</v>
      </c>
      <c r="I298" s="7">
        <v>43031</v>
      </c>
      <c r="J298">
        <v>17</v>
      </c>
      <c r="K298">
        <v>2296.9</v>
      </c>
      <c r="L298">
        <v>0</v>
      </c>
      <c r="M298">
        <v>0</v>
      </c>
      <c r="N298">
        <v>0</v>
      </c>
      <c r="O298" t="s">
        <v>77</v>
      </c>
      <c r="P298">
        <v>2017</v>
      </c>
    </row>
    <row r="299" spans="6:16" x14ac:dyDescent="0.25">
      <c r="F299" s="7">
        <v>43032</v>
      </c>
      <c r="G299">
        <v>2.758724936179233E-2</v>
      </c>
      <c r="I299" s="7">
        <v>43032</v>
      </c>
      <c r="J299">
        <v>16</v>
      </c>
      <c r="K299">
        <v>3552.25</v>
      </c>
      <c r="L299">
        <v>488.9</v>
      </c>
      <c r="M299">
        <v>0</v>
      </c>
      <c r="N299">
        <v>0</v>
      </c>
      <c r="O299" t="s">
        <v>77</v>
      </c>
      <c r="P299">
        <v>2017</v>
      </c>
    </row>
    <row r="300" spans="6:16" x14ac:dyDescent="0.25">
      <c r="F300" s="7">
        <v>43033</v>
      </c>
      <c r="G300">
        <v>3.2137783999700603E-2</v>
      </c>
      <c r="I300" s="7">
        <v>43033</v>
      </c>
      <c r="J300">
        <v>7</v>
      </c>
      <c r="K300">
        <v>1256</v>
      </c>
      <c r="L300">
        <v>426</v>
      </c>
      <c r="M300">
        <v>0</v>
      </c>
      <c r="N300">
        <v>0</v>
      </c>
      <c r="O300" t="s">
        <v>77</v>
      </c>
      <c r="P300">
        <v>2017</v>
      </c>
    </row>
    <row r="301" spans="6:16" x14ac:dyDescent="0.25">
      <c r="F301" s="7">
        <v>43034</v>
      </c>
      <c r="G301">
        <v>3.3166585906091402E-2</v>
      </c>
      <c r="I301" s="7">
        <v>43034</v>
      </c>
      <c r="J301">
        <v>16</v>
      </c>
      <c r="K301">
        <v>3812.95</v>
      </c>
      <c r="L301">
        <v>629.4</v>
      </c>
      <c r="M301">
        <v>0</v>
      </c>
      <c r="N301">
        <v>0</v>
      </c>
      <c r="O301" t="s">
        <v>77</v>
      </c>
      <c r="P301">
        <v>2017</v>
      </c>
    </row>
    <row r="302" spans="6:16" x14ac:dyDescent="0.25">
      <c r="F302" s="7">
        <v>43035</v>
      </c>
      <c r="G302">
        <v>4.1490489461554453E-2</v>
      </c>
      <c r="I302" s="7">
        <v>43035</v>
      </c>
      <c r="J302">
        <v>27</v>
      </c>
      <c r="K302">
        <v>6433.6</v>
      </c>
      <c r="L302">
        <v>344.34</v>
      </c>
      <c r="M302">
        <v>0</v>
      </c>
      <c r="N302">
        <v>0</v>
      </c>
      <c r="O302" t="s">
        <v>77</v>
      </c>
      <c r="P302">
        <v>2017</v>
      </c>
    </row>
    <row r="303" spans="6:16" x14ac:dyDescent="0.25">
      <c r="F303" s="7">
        <v>43036</v>
      </c>
      <c r="G303">
        <v>5.8987190053634467E-2</v>
      </c>
      <c r="I303" s="7">
        <v>43036</v>
      </c>
      <c r="J303">
        <v>23</v>
      </c>
      <c r="K303">
        <v>4344</v>
      </c>
      <c r="L303">
        <v>498.5</v>
      </c>
      <c r="M303">
        <v>0</v>
      </c>
      <c r="N303">
        <v>0</v>
      </c>
      <c r="O303" t="s">
        <v>77</v>
      </c>
      <c r="P303">
        <v>2017</v>
      </c>
    </row>
    <row r="304" spans="6:16" x14ac:dyDescent="0.25">
      <c r="F304" s="7">
        <v>43037</v>
      </c>
      <c r="G304">
        <v>3.4768110312281511E-2</v>
      </c>
      <c r="I304" s="7">
        <v>43037</v>
      </c>
      <c r="J304">
        <v>29</v>
      </c>
      <c r="K304">
        <v>6247.88</v>
      </c>
      <c r="L304">
        <v>483.11</v>
      </c>
      <c r="M304">
        <v>0</v>
      </c>
      <c r="N304">
        <v>0</v>
      </c>
      <c r="O304" t="s">
        <v>78</v>
      </c>
      <c r="P304">
        <v>2017</v>
      </c>
    </row>
    <row r="305" spans="6:16" x14ac:dyDescent="0.25">
      <c r="F305" s="7">
        <v>43038</v>
      </c>
      <c r="G305">
        <v>2.071998141828401E-2</v>
      </c>
      <c r="I305" s="7">
        <v>43038</v>
      </c>
      <c r="J305">
        <v>11</v>
      </c>
      <c r="K305">
        <v>2506.1999999999998</v>
      </c>
      <c r="L305">
        <v>720</v>
      </c>
      <c r="M305">
        <v>0</v>
      </c>
      <c r="N305">
        <v>0</v>
      </c>
      <c r="O305" t="s">
        <v>78</v>
      </c>
      <c r="P305">
        <v>2017</v>
      </c>
    </row>
    <row r="306" spans="6:16" x14ac:dyDescent="0.25">
      <c r="F306" s="7">
        <v>43039</v>
      </c>
      <c r="G306">
        <v>2.1529234128299903E-2</v>
      </c>
      <c r="I306" s="7">
        <v>43039</v>
      </c>
      <c r="J306">
        <v>11</v>
      </c>
      <c r="K306">
        <v>2109.9</v>
      </c>
      <c r="L306">
        <v>260</v>
      </c>
      <c r="M306">
        <v>0</v>
      </c>
      <c r="N306">
        <v>0</v>
      </c>
      <c r="O306" t="s">
        <v>78</v>
      </c>
      <c r="P306">
        <v>2017</v>
      </c>
    </row>
    <row r="307" spans="6:16" x14ac:dyDescent="0.25">
      <c r="F307" s="7">
        <v>43040</v>
      </c>
      <c r="G307">
        <v>2.4934034025289556E-2</v>
      </c>
      <c r="I307" s="7">
        <v>43040</v>
      </c>
      <c r="J307">
        <v>26</v>
      </c>
      <c r="K307">
        <v>5614.8</v>
      </c>
      <c r="L307">
        <v>2090.27</v>
      </c>
      <c r="M307">
        <v>0</v>
      </c>
      <c r="N307">
        <v>0</v>
      </c>
      <c r="O307" t="s">
        <v>78</v>
      </c>
      <c r="P307">
        <v>2017</v>
      </c>
    </row>
    <row r="308" spans="6:16" x14ac:dyDescent="0.25">
      <c r="F308" s="7">
        <v>43041</v>
      </c>
      <c r="G308">
        <v>2.5680136514569116E-2</v>
      </c>
      <c r="I308" s="7">
        <v>43041</v>
      </c>
      <c r="J308">
        <v>20</v>
      </c>
      <c r="K308">
        <v>4897.59</v>
      </c>
      <c r="L308">
        <v>224.05</v>
      </c>
      <c r="M308">
        <v>0</v>
      </c>
      <c r="N308">
        <v>0</v>
      </c>
      <c r="O308" t="s">
        <v>78</v>
      </c>
      <c r="P308">
        <v>2017</v>
      </c>
    </row>
    <row r="309" spans="6:16" x14ac:dyDescent="0.25">
      <c r="F309" s="7">
        <v>43042</v>
      </c>
      <c r="G309">
        <v>3.1902520400184049E-2</v>
      </c>
      <c r="I309" s="7">
        <v>43042</v>
      </c>
      <c r="J309">
        <v>26</v>
      </c>
      <c r="K309">
        <v>7073.12</v>
      </c>
      <c r="L309">
        <v>917</v>
      </c>
      <c r="M309">
        <v>0</v>
      </c>
      <c r="N309">
        <v>0</v>
      </c>
      <c r="O309" t="s">
        <v>78</v>
      </c>
      <c r="P309">
        <v>2017</v>
      </c>
    </row>
    <row r="310" spans="6:16" x14ac:dyDescent="0.25">
      <c r="F310" s="7">
        <v>43043</v>
      </c>
      <c r="G310">
        <v>4.5012212055963542E-2</v>
      </c>
      <c r="I310" s="7">
        <v>43043</v>
      </c>
      <c r="J310">
        <v>26</v>
      </c>
      <c r="K310">
        <v>6668</v>
      </c>
      <c r="L310">
        <v>163.80000000000001</v>
      </c>
      <c r="M310">
        <v>0</v>
      </c>
      <c r="N310">
        <v>0</v>
      </c>
      <c r="O310" t="s">
        <v>78</v>
      </c>
      <c r="P310">
        <v>2017</v>
      </c>
    </row>
    <row r="311" spans="6:16" x14ac:dyDescent="0.25">
      <c r="F311" s="7">
        <v>43044</v>
      </c>
      <c r="G311">
        <v>3.5342269251843327E-2</v>
      </c>
      <c r="I311" s="7">
        <v>43044</v>
      </c>
      <c r="J311">
        <v>20</v>
      </c>
      <c r="K311">
        <v>4833.5</v>
      </c>
      <c r="L311">
        <v>941.5</v>
      </c>
      <c r="M311">
        <v>0</v>
      </c>
      <c r="N311">
        <v>0</v>
      </c>
      <c r="O311" t="s">
        <v>78</v>
      </c>
      <c r="P311">
        <v>2017</v>
      </c>
    </row>
    <row r="312" spans="6:16" x14ac:dyDescent="0.25">
      <c r="F312" s="7">
        <v>43045</v>
      </c>
      <c r="G312">
        <v>2.1214143118870352E-2</v>
      </c>
      <c r="I312" s="7">
        <v>43045</v>
      </c>
      <c r="J312">
        <v>27</v>
      </c>
      <c r="K312">
        <v>4263.8</v>
      </c>
      <c r="L312">
        <v>321</v>
      </c>
      <c r="M312">
        <v>0</v>
      </c>
      <c r="N312">
        <v>0</v>
      </c>
      <c r="O312" t="s">
        <v>78</v>
      </c>
      <c r="P312">
        <v>2017</v>
      </c>
    </row>
    <row r="313" spans="6:16" x14ac:dyDescent="0.25">
      <c r="F313" s="7">
        <v>43046</v>
      </c>
      <c r="G313">
        <v>2.1929239315253635E-2</v>
      </c>
      <c r="I313" s="7">
        <v>43046</v>
      </c>
      <c r="J313">
        <v>14</v>
      </c>
      <c r="K313">
        <v>3454</v>
      </c>
      <c r="L313">
        <v>744.2</v>
      </c>
      <c r="M313">
        <v>0</v>
      </c>
      <c r="N313">
        <v>0</v>
      </c>
      <c r="O313" t="s">
        <v>78</v>
      </c>
      <c r="P313">
        <v>2017</v>
      </c>
    </row>
    <row r="314" spans="6:16" x14ac:dyDescent="0.25">
      <c r="F314" s="7">
        <v>43047</v>
      </c>
      <c r="G314">
        <v>2.5226390562495975E-2</v>
      </c>
      <c r="I314" s="7">
        <v>43047</v>
      </c>
      <c r="J314">
        <v>25</v>
      </c>
      <c r="K314">
        <v>5072.8999999999996</v>
      </c>
      <c r="L314">
        <v>4794.8999999999996</v>
      </c>
      <c r="M314">
        <v>0</v>
      </c>
      <c r="N314">
        <v>0</v>
      </c>
      <c r="O314" t="s">
        <v>78</v>
      </c>
      <c r="P314">
        <v>2017</v>
      </c>
    </row>
    <row r="315" spans="6:16" x14ac:dyDescent="0.25">
      <c r="F315" s="7">
        <v>43048</v>
      </c>
      <c r="G315">
        <v>2.5852597568469225E-2</v>
      </c>
      <c r="I315" s="7">
        <v>43048</v>
      </c>
      <c r="J315">
        <v>22</v>
      </c>
      <c r="K315">
        <v>3560.4</v>
      </c>
      <c r="L315">
        <v>1978</v>
      </c>
      <c r="M315">
        <v>0</v>
      </c>
      <c r="N315">
        <v>0</v>
      </c>
      <c r="O315" t="s">
        <v>78</v>
      </c>
      <c r="P315">
        <v>2017</v>
      </c>
    </row>
    <row r="316" spans="6:16" x14ac:dyDescent="0.25">
      <c r="F316" s="7">
        <v>43049</v>
      </c>
      <c r="G316">
        <v>3.194963354058903E-2</v>
      </c>
      <c r="I316" s="7">
        <v>43049</v>
      </c>
      <c r="J316">
        <v>30</v>
      </c>
      <c r="K316">
        <v>6355.6</v>
      </c>
      <c r="L316">
        <v>2504.0500000000002</v>
      </c>
      <c r="M316">
        <v>0</v>
      </c>
      <c r="N316">
        <v>0</v>
      </c>
      <c r="O316" t="s">
        <v>78</v>
      </c>
      <c r="P316">
        <v>2017</v>
      </c>
    </row>
    <row r="317" spans="6:16" x14ac:dyDescent="0.25">
      <c r="F317" s="7">
        <v>43050</v>
      </c>
      <c r="G317">
        <v>4.4925868808408945E-2</v>
      </c>
      <c r="I317" s="7">
        <v>43050</v>
      </c>
      <c r="J317">
        <v>32</v>
      </c>
      <c r="K317">
        <v>7837.85</v>
      </c>
      <c r="L317">
        <v>576.5</v>
      </c>
      <c r="M317">
        <v>0</v>
      </c>
      <c r="N317">
        <v>0</v>
      </c>
      <c r="O317" t="s">
        <v>78</v>
      </c>
      <c r="P317">
        <v>2017</v>
      </c>
    </row>
    <row r="318" spans="6:16" x14ac:dyDescent="0.25">
      <c r="F318" s="7">
        <v>43051</v>
      </c>
      <c r="G318">
        <v>3.5117165355431537E-2</v>
      </c>
      <c r="I318" s="7">
        <v>43051</v>
      </c>
      <c r="J318">
        <v>35</v>
      </c>
      <c r="K318">
        <v>7811</v>
      </c>
      <c r="L318">
        <v>730.79</v>
      </c>
      <c r="M318">
        <v>0</v>
      </c>
      <c r="N318">
        <v>0</v>
      </c>
      <c r="O318" t="s">
        <v>78</v>
      </c>
      <c r="P318">
        <v>2017</v>
      </c>
    </row>
    <row r="319" spans="6:16" x14ac:dyDescent="0.25">
      <c r="F319" s="7">
        <v>43052</v>
      </c>
      <c r="G319">
        <v>2.084818138432934E-2</v>
      </c>
      <c r="I319" s="7">
        <v>43052</v>
      </c>
      <c r="J319">
        <v>13</v>
      </c>
      <c r="K319">
        <v>2694.6</v>
      </c>
      <c r="L319">
        <v>497</v>
      </c>
      <c r="M319">
        <v>0</v>
      </c>
      <c r="N319">
        <v>0</v>
      </c>
      <c r="O319" t="s">
        <v>78</v>
      </c>
      <c r="P319">
        <v>2017</v>
      </c>
    </row>
    <row r="320" spans="6:16" x14ac:dyDescent="0.25">
      <c r="F320" s="7">
        <v>43053</v>
      </c>
      <c r="G320">
        <v>2.1423848782714455E-2</v>
      </c>
      <c r="I320" s="7">
        <v>43053</v>
      </c>
      <c r="J320">
        <v>17</v>
      </c>
      <c r="K320">
        <v>2999.6</v>
      </c>
      <c r="L320">
        <v>4780.5</v>
      </c>
      <c r="M320">
        <v>0</v>
      </c>
      <c r="N320">
        <v>0</v>
      </c>
      <c r="O320" t="s">
        <v>78</v>
      </c>
      <c r="P320">
        <v>2017</v>
      </c>
    </row>
    <row r="321" spans="6:16" x14ac:dyDescent="0.25">
      <c r="F321" s="7">
        <v>43054</v>
      </c>
      <c r="G321">
        <v>2.4586750160699711E-2</v>
      </c>
      <c r="I321" s="7">
        <v>43054</v>
      </c>
      <c r="J321">
        <v>24</v>
      </c>
      <c r="K321">
        <v>4606.8</v>
      </c>
      <c r="L321">
        <v>2040.25</v>
      </c>
      <c r="M321">
        <v>0</v>
      </c>
      <c r="N321">
        <v>0</v>
      </c>
      <c r="O321" t="s">
        <v>78</v>
      </c>
      <c r="P321">
        <v>2017</v>
      </c>
    </row>
    <row r="322" spans="6:16" x14ac:dyDescent="0.25">
      <c r="F322" s="7">
        <v>43055</v>
      </c>
      <c r="G322">
        <v>2.5087755108258229E-2</v>
      </c>
      <c r="I322" s="7">
        <v>43055</v>
      </c>
      <c r="J322">
        <v>15</v>
      </c>
      <c r="K322">
        <v>2989.6</v>
      </c>
      <c r="L322">
        <v>893</v>
      </c>
      <c r="M322">
        <v>0</v>
      </c>
      <c r="N322">
        <v>0</v>
      </c>
      <c r="O322" t="s">
        <v>78</v>
      </c>
      <c r="P322">
        <v>2017</v>
      </c>
    </row>
    <row r="323" spans="6:16" x14ac:dyDescent="0.25">
      <c r="F323" s="7">
        <v>43056</v>
      </c>
      <c r="G323">
        <v>3.106752596377305E-2</v>
      </c>
      <c r="I323" s="7">
        <v>43056</v>
      </c>
      <c r="J323">
        <v>25</v>
      </c>
      <c r="K323">
        <v>3666.55</v>
      </c>
      <c r="L323">
        <v>1345.5</v>
      </c>
      <c r="M323">
        <v>0</v>
      </c>
      <c r="N323">
        <v>0</v>
      </c>
      <c r="O323" t="s">
        <v>78</v>
      </c>
      <c r="P323">
        <v>2017</v>
      </c>
    </row>
    <row r="324" spans="6:16" x14ac:dyDescent="0.25">
      <c r="F324" s="7">
        <v>43057</v>
      </c>
      <c r="G324">
        <v>4.3943192733443291E-2</v>
      </c>
      <c r="I324" s="7">
        <v>43057</v>
      </c>
      <c r="J324">
        <v>39</v>
      </c>
      <c r="K324">
        <v>8693.2000000000007</v>
      </c>
      <c r="L324">
        <v>3071.62</v>
      </c>
      <c r="M324">
        <v>0</v>
      </c>
      <c r="N324">
        <v>0</v>
      </c>
      <c r="O324" t="s">
        <v>78</v>
      </c>
      <c r="P324">
        <v>2017</v>
      </c>
    </row>
    <row r="325" spans="6:16" x14ac:dyDescent="0.25">
      <c r="F325" s="7">
        <v>43058</v>
      </c>
      <c r="G325">
        <v>3.4054170449904643E-2</v>
      </c>
      <c r="I325" s="7">
        <v>43058</v>
      </c>
      <c r="J325">
        <v>32</v>
      </c>
      <c r="K325">
        <v>6701.8</v>
      </c>
      <c r="L325">
        <v>448</v>
      </c>
      <c r="M325">
        <v>0</v>
      </c>
      <c r="N325">
        <v>0</v>
      </c>
      <c r="O325" t="s">
        <v>78</v>
      </c>
      <c r="P325">
        <v>2017</v>
      </c>
    </row>
    <row r="326" spans="6:16" x14ac:dyDescent="0.25">
      <c r="F326" s="7">
        <v>43059</v>
      </c>
      <c r="G326">
        <v>1.9728342183557061E-2</v>
      </c>
      <c r="I326" s="7">
        <v>43059</v>
      </c>
      <c r="J326">
        <v>12</v>
      </c>
      <c r="K326">
        <v>3081.4</v>
      </c>
      <c r="L326">
        <v>536.1</v>
      </c>
      <c r="M326">
        <v>0</v>
      </c>
      <c r="N326">
        <v>0</v>
      </c>
      <c r="O326" t="s">
        <v>78</v>
      </c>
      <c r="P326">
        <v>2017</v>
      </c>
    </row>
    <row r="327" spans="6:16" x14ac:dyDescent="0.25">
      <c r="F327" s="7">
        <v>43060</v>
      </c>
      <c r="G327">
        <v>2.02734339594936E-2</v>
      </c>
      <c r="I327" s="7">
        <v>43060</v>
      </c>
      <c r="J327">
        <v>19</v>
      </c>
      <c r="K327">
        <v>2914.89</v>
      </c>
      <c r="L327">
        <v>-31.62</v>
      </c>
      <c r="M327">
        <v>0</v>
      </c>
      <c r="N327">
        <v>0</v>
      </c>
      <c r="O327" t="s">
        <v>78</v>
      </c>
      <c r="P327">
        <v>2017</v>
      </c>
    </row>
    <row r="328" spans="6:16" x14ac:dyDescent="0.25">
      <c r="F328" s="7">
        <v>43061</v>
      </c>
      <c r="G328">
        <v>2.3434299107031382E-2</v>
      </c>
      <c r="I328" s="7">
        <v>43061</v>
      </c>
      <c r="J328">
        <v>20</v>
      </c>
      <c r="K328">
        <v>4503.6000000000004</v>
      </c>
      <c r="L328">
        <v>5745</v>
      </c>
      <c r="M328">
        <v>0</v>
      </c>
      <c r="N328">
        <v>0</v>
      </c>
      <c r="O328" t="s">
        <v>78</v>
      </c>
      <c r="P328">
        <v>2017</v>
      </c>
    </row>
    <row r="329" spans="6:16" x14ac:dyDescent="0.25">
      <c r="F329" s="7">
        <v>43062</v>
      </c>
      <c r="G329">
        <v>2.3963474625968914E-2</v>
      </c>
      <c r="I329" s="7">
        <v>43062</v>
      </c>
      <c r="J329">
        <v>15</v>
      </c>
      <c r="K329">
        <v>3996</v>
      </c>
      <c r="L329">
        <v>1273</v>
      </c>
      <c r="M329">
        <v>0</v>
      </c>
      <c r="N329">
        <v>0</v>
      </c>
      <c r="O329" t="s">
        <v>78</v>
      </c>
      <c r="P329">
        <v>2017</v>
      </c>
    </row>
    <row r="330" spans="6:16" x14ac:dyDescent="0.25">
      <c r="F330" s="7">
        <v>43063</v>
      </c>
      <c r="G330">
        <v>3.0002622049595053E-2</v>
      </c>
      <c r="I330" s="7">
        <v>43063</v>
      </c>
      <c r="J330">
        <v>33</v>
      </c>
      <c r="K330">
        <v>6488.7</v>
      </c>
      <c r="L330">
        <v>-22</v>
      </c>
      <c r="M330">
        <v>0</v>
      </c>
      <c r="N330">
        <v>0</v>
      </c>
      <c r="O330" t="s">
        <v>78</v>
      </c>
      <c r="P330">
        <v>2017</v>
      </c>
    </row>
    <row r="331" spans="6:16" x14ac:dyDescent="0.25">
      <c r="F331" s="7">
        <v>43064</v>
      </c>
      <c r="G331">
        <v>4.2969154584910553E-2</v>
      </c>
      <c r="I331" s="7">
        <v>43064</v>
      </c>
      <c r="J331">
        <v>21</v>
      </c>
      <c r="K331">
        <v>4639.25</v>
      </c>
      <c r="L331">
        <v>2572.58</v>
      </c>
      <c r="M331">
        <v>0</v>
      </c>
      <c r="N331">
        <v>0</v>
      </c>
      <c r="O331" t="s">
        <v>78</v>
      </c>
      <c r="P331">
        <v>2017</v>
      </c>
    </row>
    <row r="332" spans="6:16" x14ac:dyDescent="0.25">
      <c r="F332" s="7">
        <v>43065</v>
      </c>
      <c r="G332">
        <v>3.3202025139971829E-2</v>
      </c>
      <c r="I332" s="7">
        <v>43065</v>
      </c>
      <c r="J332">
        <v>26</v>
      </c>
      <c r="K332">
        <v>4624.8999999999996</v>
      </c>
      <c r="L332">
        <v>1685</v>
      </c>
      <c r="M332">
        <v>0</v>
      </c>
      <c r="N332">
        <v>0</v>
      </c>
      <c r="O332" t="s">
        <v>78</v>
      </c>
      <c r="P332">
        <v>2017</v>
      </c>
    </row>
    <row r="333" spans="6:16" x14ac:dyDescent="0.25">
      <c r="F333" s="7">
        <v>43066</v>
      </c>
      <c r="G333">
        <v>1.9027899617925219E-2</v>
      </c>
      <c r="I333" s="7">
        <v>43066</v>
      </c>
      <c r="J333">
        <v>4</v>
      </c>
      <c r="K333">
        <v>249.25</v>
      </c>
      <c r="L333">
        <v>339</v>
      </c>
      <c r="M333">
        <v>0</v>
      </c>
      <c r="N333">
        <v>0</v>
      </c>
      <c r="O333" t="s">
        <v>78</v>
      </c>
      <c r="P333">
        <v>2017</v>
      </c>
    </row>
    <row r="334" spans="6:16" x14ac:dyDescent="0.25">
      <c r="F334" s="7">
        <v>43067</v>
      </c>
      <c r="G334">
        <v>1.9752541916001527E-2</v>
      </c>
      <c r="I334" s="7">
        <v>43067</v>
      </c>
      <c r="J334">
        <v>18</v>
      </c>
      <c r="K334">
        <v>3495.3</v>
      </c>
      <c r="L334">
        <v>536.79999999999995</v>
      </c>
      <c r="M334">
        <v>0</v>
      </c>
      <c r="N334">
        <v>0</v>
      </c>
      <c r="O334" t="s">
        <v>78</v>
      </c>
      <c r="P334">
        <v>2017</v>
      </c>
    </row>
    <row r="335" spans="6:16" x14ac:dyDescent="0.25">
      <c r="F335" s="7">
        <v>43068</v>
      </c>
      <c r="G335">
        <v>2.3118128288029175E-2</v>
      </c>
      <c r="I335" s="7">
        <v>43068</v>
      </c>
      <c r="J335">
        <v>18</v>
      </c>
      <c r="K335">
        <v>4320.6000000000004</v>
      </c>
      <c r="L335">
        <v>630</v>
      </c>
      <c r="M335">
        <v>0</v>
      </c>
      <c r="N335">
        <v>0</v>
      </c>
      <c r="O335" t="s">
        <v>78</v>
      </c>
      <c r="P335">
        <v>2017</v>
      </c>
    </row>
    <row r="336" spans="6:16" x14ac:dyDescent="0.25">
      <c r="F336" s="7">
        <v>43069</v>
      </c>
      <c r="G336">
        <v>2.3873852709770254E-2</v>
      </c>
      <c r="I336" s="7">
        <v>43069</v>
      </c>
      <c r="J336">
        <v>27</v>
      </c>
      <c r="K336">
        <v>5166.1000000000004</v>
      </c>
      <c r="L336">
        <v>743.3</v>
      </c>
      <c r="M336">
        <v>0</v>
      </c>
      <c r="N336">
        <v>0</v>
      </c>
      <c r="O336" t="s">
        <v>78</v>
      </c>
      <c r="P336">
        <v>2017</v>
      </c>
    </row>
    <row r="337" spans="6:16" x14ac:dyDescent="0.25">
      <c r="F337" s="7">
        <v>43070</v>
      </c>
      <c r="G337">
        <v>3.0157434794244511E-2</v>
      </c>
      <c r="I337" s="7">
        <v>43070</v>
      </c>
      <c r="J337">
        <v>20</v>
      </c>
      <c r="K337">
        <v>3282.05</v>
      </c>
      <c r="L337">
        <v>318.5</v>
      </c>
      <c r="M337">
        <v>0</v>
      </c>
      <c r="N337">
        <v>0</v>
      </c>
      <c r="O337" t="s">
        <v>78</v>
      </c>
      <c r="P337">
        <v>2017</v>
      </c>
    </row>
    <row r="338" spans="6:16" x14ac:dyDescent="0.25">
      <c r="F338" s="7">
        <v>43071</v>
      </c>
      <c r="G338">
        <v>4.3381830064144228E-2</v>
      </c>
      <c r="I338" s="7">
        <v>43071</v>
      </c>
      <c r="J338">
        <v>35</v>
      </c>
      <c r="K338">
        <v>9338.7000000000007</v>
      </c>
      <c r="L338">
        <v>3692</v>
      </c>
      <c r="M338">
        <v>0</v>
      </c>
      <c r="N338">
        <v>0</v>
      </c>
      <c r="O338" t="s">
        <v>78</v>
      </c>
      <c r="P338">
        <v>2017</v>
      </c>
    </row>
    <row r="339" spans="6:16" x14ac:dyDescent="0.25">
      <c r="F339" s="7">
        <v>43072</v>
      </c>
      <c r="G339">
        <v>3.0619319755702513E-2</v>
      </c>
      <c r="I339" s="7">
        <v>43072</v>
      </c>
      <c r="J339">
        <v>25</v>
      </c>
      <c r="K339">
        <v>6251.2</v>
      </c>
      <c r="L339">
        <v>766.5</v>
      </c>
      <c r="M339">
        <v>0</v>
      </c>
      <c r="N339">
        <v>0</v>
      </c>
      <c r="O339" t="s">
        <v>79</v>
      </c>
      <c r="P339">
        <v>2017</v>
      </c>
    </row>
    <row r="340" spans="6:16" x14ac:dyDescent="0.25">
      <c r="F340" s="7">
        <v>43073</v>
      </c>
      <c r="G340">
        <v>1.8053571331171223E-2</v>
      </c>
      <c r="I340" s="7">
        <v>43073</v>
      </c>
      <c r="J340">
        <v>10</v>
      </c>
      <c r="K340">
        <v>1747.18</v>
      </c>
      <c r="L340">
        <v>876.3</v>
      </c>
      <c r="M340">
        <v>0</v>
      </c>
      <c r="N340">
        <v>0</v>
      </c>
      <c r="O340" t="s">
        <v>79</v>
      </c>
      <c r="P340">
        <v>2017</v>
      </c>
    </row>
    <row r="341" spans="6:16" x14ac:dyDescent="0.25">
      <c r="F341" s="7">
        <v>43074</v>
      </c>
      <c r="G341">
        <v>1.8950441951868485E-2</v>
      </c>
      <c r="I341" s="7">
        <v>43074</v>
      </c>
      <c r="J341">
        <v>20</v>
      </c>
      <c r="K341">
        <v>3607.9</v>
      </c>
      <c r="L341">
        <v>2340.1999999999998</v>
      </c>
      <c r="M341">
        <v>0</v>
      </c>
      <c r="N341">
        <v>0</v>
      </c>
      <c r="O341" t="s">
        <v>79</v>
      </c>
      <c r="P341">
        <v>2017</v>
      </c>
    </row>
    <row r="342" spans="6:16" x14ac:dyDescent="0.25">
      <c r="F342" s="7">
        <v>43075</v>
      </c>
      <c r="G342">
        <v>2.2227268522279152E-2</v>
      </c>
      <c r="I342" s="7">
        <v>43075</v>
      </c>
      <c r="J342">
        <v>21</v>
      </c>
      <c r="K342">
        <v>3797.5</v>
      </c>
      <c r="L342">
        <v>743.45</v>
      </c>
      <c r="M342">
        <v>0</v>
      </c>
      <c r="N342">
        <v>0</v>
      </c>
      <c r="O342" t="s">
        <v>79</v>
      </c>
      <c r="P342">
        <v>2017</v>
      </c>
    </row>
    <row r="343" spans="6:16" x14ac:dyDescent="0.25">
      <c r="F343" s="7">
        <v>43076</v>
      </c>
      <c r="G343">
        <v>2.3133879242248773E-2</v>
      </c>
      <c r="I343" s="7">
        <v>43076</v>
      </c>
      <c r="J343">
        <v>22</v>
      </c>
      <c r="K343">
        <v>4627.2</v>
      </c>
      <c r="L343">
        <v>2122.88</v>
      </c>
      <c r="M343">
        <v>0</v>
      </c>
      <c r="N343">
        <v>0</v>
      </c>
      <c r="O343" t="s">
        <v>79</v>
      </c>
      <c r="P343">
        <v>2017</v>
      </c>
    </row>
    <row r="344" spans="6:16" x14ac:dyDescent="0.25">
      <c r="F344" s="7">
        <v>43077</v>
      </c>
      <c r="G344">
        <v>2.9019855445852449E-2</v>
      </c>
      <c r="I344" s="7">
        <v>43077</v>
      </c>
      <c r="J344">
        <v>16</v>
      </c>
      <c r="K344">
        <v>3336.2</v>
      </c>
      <c r="L344">
        <v>504.5</v>
      </c>
      <c r="M344">
        <v>0</v>
      </c>
      <c r="N344">
        <v>0</v>
      </c>
      <c r="O344" t="s">
        <v>79</v>
      </c>
      <c r="P344">
        <v>2017</v>
      </c>
    </row>
    <row r="345" spans="6:16" x14ac:dyDescent="0.25">
      <c r="F345" s="7">
        <v>43078</v>
      </c>
      <c r="G345">
        <v>4.1157693840497618E-2</v>
      </c>
      <c r="I345" s="7">
        <v>43078</v>
      </c>
      <c r="J345">
        <v>26</v>
      </c>
      <c r="K345">
        <v>6063.5</v>
      </c>
      <c r="L345">
        <v>690</v>
      </c>
      <c r="M345">
        <v>0</v>
      </c>
      <c r="N345">
        <v>0</v>
      </c>
      <c r="O345" t="s">
        <v>79</v>
      </c>
      <c r="P345">
        <v>2017</v>
      </c>
    </row>
    <row r="346" spans="6:16" x14ac:dyDescent="0.25">
      <c r="F346" s="7">
        <v>43079</v>
      </c>
      <c r="G346">
        <v>3.2733409349285619E-2</v>
      </c>
      <c r="I346" s="7">
        <v>43079</v>
      </c>
      <c r="J346">
        <v>32</v>
      </c>
      <c r="K346">
        <v>7187.15</v>
      </c>
      <c r="L346">
        <v>815</v>
      </c>
      <c r="M346">
        <v>0</v>
      </c>
      <c r="N346">
        <v>0</v>
      </c>
      <c r="O346" t="s">
        <v>79</v>
      </c>
      <c r="P346">
        <v>2017</v>
      </c>
    </row>
    <row r="347" spans="6:16" x14ac:dyDescent="0.25">
      <c r="F347" s="7">
        <v>43080</v>
      </c>
      <c r="G347">
        <v>2.0301059181133944E-2</v>
      </c>
      <c r="I347" s="7">
        <v>43080</v>
      </c>
      <c r="J347">
        <v>11</v>
      </c>
      <c r="K347">
        <v>2423.9</v>
      </c>
      <c r="L347">
        <v>0</v>
      </c>
      <c r="M347">
        <v>0</v>
      </c>
      <c r="N347">
        <v>0</v>
      </c>
      <c r="O347" t="s">
        <v>79</v>
      </c>
      <c r="P347">
        <v>2017</v>
      </c>
    </row>
    <row r="348" spans="6:16" x14ac:dyDescent="0.25">
      <c r="F348" s="7">
        <v>43081</v>
      </c>
      <c r="G348">
        <v>2.1299920845526135E-2</v>
      </c>
      <c r="I348" s="7">
        <v>43081</v>
      </c>
      <c r="J348">
        <v>22</v>
      </c>
      <c r="K348">
        <v>5045</v>
      </c>
      <c r="L348">
        <v>1410.68</v>
      </c>
      <c r="M348">
        <v>0</v>
      </c>
      <c r="N348">
        <v>0</v>
      </c>
      <c r="O348" t="s">
        <v>79</v>
      </c>
      <c r="P348">
        <v>2017</v>
      </c>
    </row>
    <row r="349" spans="6:16" x14ac:dyDescent="0.25">
      <c r="F349" s="7">
        <v>43082</v>
      </c>
      <c r="G349">
        <v>2.4644930413023874E-2</v>
      </c>
      <c r="I349" s="7">
        <v>43082</v>
      </c>
      <c r="J349">
        <v>11</v>
      </c>
      <c r="K349">
        <v>2506</v>
      </c>
      <c r="L349">
        <v>1660</v>
      </c>
      <c r="M349">
        <v>0</v>
      </c>
      <c r="N349">
        <v>0</v>
      </c>
      <c r="O349" t="s">
        <v>79</v>
      </c>
      <c r="P349">
        <v>2017</v>
      </c>
    </row>
    <row r="350" spans="6:16" x14ac:dyDescent="0.25">
      <c r="F350" s="7">
        <v>43083</v>
      </c>
      <c r="G350">
        <v>2.5584195581751967E-2</v>
      </c>
      <c r="I350" s="7">
        <v>43083</v>
      </c>
      <c r="J350">
        <v>15</v>
      </c>
      <c r="K350">
        <v>3925.99</v>
      </c>
      <c r="L350">
        <v>1090.1199999999999</v>
      </c>
      <c r="M350">
        <v>0</v>
      </c>
      <c r="N350">
        <v>0</v>
      </c>
      <c r="O350" t="s">
        <v>79</v>
      </c>
      <c r="P350">
        <v>2017</v>
      </c>
    </row>
    <row r="351" spans="6:16" x14ac:dyDescent="0.25">
      <c r="F351" s="7">
        <v>43084</v>
      </c>
      <c r="G351">
        <v>3.1470875188001887E-2</v>
      </c>
      <c r="I351" s="7">
        <v>43084</v>
      </c>
      <c r="J351">
        <v>13</v>
      </c>
      <c r="K351">
        <v>2201</v>
      </c>
      <c r="L351">
        <v>1314.97</v>
      </c>
      <c r="M351">
        <v>0</v>
      </c>
      <c r="N351">
        <v>0</v>
      </c>
      <c r="O351" t="s">
        <v>79</v>
      </c>
      <c r="P351">
        <v>2017</v>
      </c>
    </row>
    <row r="352" spans="6:16" x14ac:dyDescent="0.25">
      <c r="F352" s="7">
        <v>43085</v>
      </c>
      <c r="G352">
        <v>4.3572627322957032E-2</v>
      </c>
      <c r="I352" s="7">
        <v>43085</v>
      </c>
      <c r="J352">
        <v>22</v>
      </c>
      <c r="K352">
        <v>6188</v>
      </c>
      <c r="L352">
        <v>871.5</v>
      </c>
      <c r="M352">
        <v>0</v>
      </c>
      <c r="N352">
        <v>0</v>
      </c>
      <c r="O352" t="s">
        <v>79</v>
      </c>
      <c r="P352">
        <v>2017</v>
      </c>
    </row>
    <row r="353" spans="6:16" x14ac:dyDescent="0.25">
      <c r="F353" s="7">
        <v>43086</v>
      </c>
      <c r="G353">
        <v>3.5075953091355562E-2</v>
      </c>
      <c r="I353" s="7">
        <v>43086</v>
      </c>
      <c r="J353">
        <v>16</v>
      </c>
      <c r="K353">
        <v>4071.2</v>
      </c>
      <c r="L353">
        <v>169</v>
      </c>
      <c r="M353">
        <v>0</v>
      </c>
      <c r="N353">
        <v>0</v>
      </c>
      <c r="O353" t="s">
        <v>79</v>
      </c>
      <c r="P353">
        <v>2017</v>
      </c>
    </row>
    <row r="354" spans="6:16" x14ac:dyDescent="0.25">
      <c r="F354" s="7">
        <v>43087</v>
      </c>
      <c r="G354">
        <v>2.2536129566017773E-2</v>
      </c>
      <c r="I354" s="7">
        <v>43087</v>
      </c>
      <c r="J354">
        <v>23</v>
      </c>
      <c r="K354">
        <v>4913.7</v>
      </c>
      <c r="L354">
        <v>1540</v>
      </c>
      <c r="M354">
        <v>0</v>
      </c>
      <c r="N354">
        <v>0</v>
      </c>
      <c r="O354" t="s">
        <v>79</v>
      </c>
      <c r="P354">
        <v>2017</v>
      </c>
    </row>
    <row r="355" spans="6:16" x14ac:dyDescent="0.25">
      <c r="F355" s="7">
        <v>43088</v>
      </c>
      <c r="G355">
        <v>2.3394358625428945E-2</v>
      </c>
      <c r="I355" s="7">
        <v>43088</v>
      </c>
      <c r="J355">
        <v>27</v>
      </c>
      <c r="K355">
        <v>5941.73</v>
      </c>
      <c r="L355">
        <v>1719.67</v>
      </c>
      <c r="M355">
        <v>0</v>
      </c>
      <c r="N355">
        <v>0</v>
      </c>
      <c r="O355" t="s">
        <v>79</v>
      </c>
      <c r="P355">
        <v>2017</v>
      </c>
    </row>
    <row r="356" spans="6:16" x14ac:dyDescent="0.25">
      <c r="F356" s="7">
        <v>43089</v>
      </c>
      <c r="G356">
        <v>2.6568160408196217E-2</v>
      </c>
      <c r="I356" s="7">
        <v>43089</v>
      </c>
      <c r="J356">
        <v>29</v>
      </c>
      <c r="K356">
        <v>5655</v>
      </c>
      <c r="L356">
        <v>929.1</v>
      </c>
      <c r="M356">
        <v>0</v>
      </c>
      <c r="N356">
        <v>0</v>
      </c>
      <c r="O356" t="s">
        <v>79</v>
      </c>
      <c r="P356">
        <v>2017</v>
      </c>
    </row>
    <row r="357" spans="6:16" x14ac:dyDescent="0.25">
      <c r="F357" s="7">
        <v>43090</v>
      </c>
      <c r="G357">
        <v>2.7308827111893058E-2</v>
      </c>
      <c r="I357" s="7">
        <v>43090</v>
      </c>
      <c r="J357">
        <v>26</v>
      </c>
      <c r="K357">
        <v>6663</v>
      </c>
      <c r="L357">
        <v>9009.4</v>
      </c>
      <c r="M357">
        <v>0</v>
      </c>
      <c r="N357">
        <v>0</v>
      </c>
      <c r="O357" t="s">
        <v>79</v>
      </c>
      <c r="P357">
        <v>2017</v>
      </c>
    </row>
    <row r="358" spans="6:16" x14ac:dyDescent="0.25">
      <c r="F358" s="7">
        <v>43091</v>
      </c>
      <c r="G358">
        <v>3.2968651769155775E-2</v>
      </c>
      <c r="I358" s="7">
        <v>43091</v>
      </c>
      <c r="J358">
        <v>26</v>
      </c>
      <c r="K358">
        <v>6378</v>
      </c>
      <c r="L358">
        <v>8142.3</v>
      </c>
      <c r="M358">
        <v>0</v>
      </c>
      <c r="N358">
        <v>0</v>
      </c>
      <c r="O358" t="s">
        <v>79</v>
      </c>
      <c r="P358">
        <v>2017</v>
      </c>
    </row>
    <row r="359" spans="6:16" x14ac:dyDescent="0.25">
      <c r="F359" s="7">
        <v>43092</v>
      </c>
      <c r="G359">
        <v>4.4824029727592078E-2</v>
      </c>
      <c r="I359" s="7">
        <v>43092</v>
      </c>
      <c r="J359">
        <v>28</v>
      </c>
      <c r="K359">
        <v>7112</v>
      </c>
      <c r="L359">
        <v>4254</v>
      </c>
      <c r="M359">
        <v>0</v>
      </c>
      <c r="N359">
        <v>0</v>
      </c>
      <c r="O359" t="s">
        <v>79</v>
      </c>
      <c r="P359">
        <v>2017</v>
      </c>
    </row>
    <row r="360" spans="6:16" x14ac:dyDescent="0.25">
      <c r="F360" s="7">
        <v>43093</v>
      </c>
      <c r="G360">
        <v>3.6065974803693585E-2</v>
      </c>
      <c r="I360" s="7">
        <v>43093</v>
      </c>
      <c r="J360">
        <v>17</v>
      </c>
      <c r="K360">
        <v>4381</v>
      </c>
      <c r="L360">
        <v>550</v>
      </c>
      <c r="M360">
        <v>0</v>
      </c>
      <c r="N360">
        <v>0</v>
      </c>
      <c r="O360" t="s">
        <v>79</v>
      </c>
      <c r="P360">
        <v>2017</v>
      </c>
    </row>
    <row r="361" spans="6:16" x14ac:dyDescent="0.25">
      <c r="F361" s="7">
        <v>43094</v>
      </c>
      <c r="G361">
        <v>1.8509183122163334E-2</v>
      </c>
      <c r="I361" s="7">
        <v>43094</v>
      </c>
      <c r="J361">
        <v>13</v>
      </c>
      <c r="K361">
        <v>3494</v>
      </c>
      <c r="L361">
        <v>0</v>
      </c>
      <c r="M361">
        <v>0</v>
      </c>
      <c r="N361">
        <v>0</v>
      </c>
      <c r="O361" t="s">
        <v>79</v>
      </c>
      <c r="P361">
        <v>2017</v>
      </c>
    </row>
    <row r="362" spans="6:16" x14ac:dyDescent="0.25">
      <c r="F362" s="7">
        <v>43095</v>
      </c>
      <c r="G362">
        <v>1.4753512083464025E-2</v>
      </c>
      <c r="I362" s="7">
        <v>43095</v>
      </c>
      <c r="J362">
        <v>18</v>
      </c>
      <c r="K362">
        <v>3622</v>
      </c>
      <c r="L362">
        <v>263</v>
      </c>
      <c r="M362">
        <v>0</v>
      </c>
      <c r="N362">
        <v>0</v>
      </c>
      <c r="O362" t="s">
        <v>79</v>
      </c>
      <c r="P362">
        <v>2017</v>
      </c>
    </row>
    <row r="363" spans="6:16" x14ac:dyDescent="0.25">
      <c r="F363" s="7">
        <v>43096</v>
      </c>
      <c r="G363">
        <v>2.6732363754349012E-2</v>
      </c>
      <c r="I363" s="7">
        <v>43096</v>
      </c>
      <c r="J363">
        <v>27</v>
      </c>
      <c r="K363">
        <v>6072.5</v>
      </c>
      <c r="L363">
        <v>2511.5</v>
      </c>
      <c r="M363">
        <v>0</v>
      </c>
      <c r="N363">
        <v>0</v>
      </c>
      <c r="O363" t="s">
        <v>79</v>
      </c>
      <c r="P363">
        <v>2017</v>
      </c>
    </row>
    <row r="364" spans="6:16" x14ac:dyDescent="0.25">
      <c r="F364" s="7">
        <v>43097</v>
      </c>
      <c r="G364">
        <v>2.7200349874256378E-2</v>
      </c>
      <c r="I364" s="7">
        <v>43097</v>
      </c>
      <c r="J364">
        <v>35</v>
      </c>
      <c r="K364">
        <v>7769.33</v>
      </c>
      <c r="L364">
        <v>1559</v>
      </c>
      <c r="M364">
        <v>0</v>
      </c>
      <c r="N364">
        <v>0</v>
      </c>
      <c r="O364" t="s">
        <v>79</v>
      </c>
      <c r="P364">
        <v>2017</v>
      </c>
    </row>
    <row r="365" spans="6:16" x14ac:dyDescent="0.25">
      <c r="F365" s="7">
        <v>43098</v>
      </c>
      <c r="G365">
        <v>3.2596859342787277E-2</v>
      </c>
      <c r="I365" s="7">
        <v>43098</v>
      </c>
      <c r="J365">
        <v>40</v>
      </c>
      <c r="K365">
        <v>9815.1</v>
      </c>
      <c r="L365">
        <v>1359</v>
      </c>
      <c r="M365">
        <v>0</v>
      </c>
      <c r="N365">
        <v>0</v>
      </c>
      <c r="O365" t="s">
        <v>79</v>
      </c>
      <c r="P365">
        <v>2017</v>
      </c>
    </row>
    <row r="366" spans="6:16" x14ac:dyDescent="0.25">
      <c r="F366" s="7">
        <v>43099</v>
      </c>
      <c r="G366">
        <v>4.4202822781753796E-2</v>
      </c>
      <c r="I366" s="7">
        <v>43099</v>
      </c>
      <c r="J366">
        <v>21</v>
      </c>
      <c r="K366">
        <v>5200</v>
      </c>
      <c r="L366">
        <v>4635.5</v>
      </c>
      <c r="M366">
        <v>0</v>
      </c>
      <c r="N366">
        <v>0</v>
      </c>
      <c r="O366" t="s">
        <v>79</v>
      </c>
      <c r="P366">
        <v>2017</v>
      </c>
    </row>
    <row r="367" spans="6:16" x14ac:dyDescent="0.25">
      <c r="F367" s="7">
        <v>43100</v>
      </c>
      <c r="G367">
        <v>3.5213461847998465E-2</v>
      </c>
      <c r="I367" s="7">
        <v>43100</v>
      </c>
      <c r="J367">
        <v>17</v>
      </c>
      <c r="K367">
        <v>4589</v>
      </c>
      <c r="L367">
        <v>201</v>
      </c>
      <c r="M367">
        <v>0</v>
      </c>
      <c r="N367">
        <v>0</v>
      </c>
      <c r="O367" t="s">
        <v>79</v>
      </c>
      <c r="P367">
        <v>2017</v>
      </c>
    </row>
    <row r="368" spans="6:16" x14ac:dyDescent="0.25">
      <c r="F368" s="7">
        <v>43101</v>
      </c>
      <c r="G368">
        <v>2.2192626664760885E-2</v>
      </c>
      <c r="I368" s="7">
        <v>43101</v>
      </c>
      <c r="J368">
        <v>17</v>
      </c>
      <c r="K368">
        <v>3699</v>
      </c>
      <c r="L368">
        <v>385</v>
      </c>
      <c r="M368">
        <v>0</v>
      </c>
      <c r="N368">
        <v>0</v>
      </c>
      <c r="O368" t="s">
        <v>79</v>
      </c>
      <c r="P368">
        <v>2017</v>
      </c>
    </row>
    <row r="369" spans="6:16" x14ac:dyDescent="0.25">
      <c r="F369" s="7">
        <v>43102</v>
      </c>
      <c r="G369">
        <v>2.2589777194535116E-2</v>
      </c>
      <c r="I369" s="7">
        <v>43102</v>
      </c>
      <c r="J369">
        <v>15</v>
      </c>
      <c r="K369">
        <v>3613.5</v>
      </c>
      <c r="L369">
        <v>730.5</v>
      </c>
      <c r="M369">
        <v>0</v>
      </c>
      <c r="N369">
        <v>0</v>
      </c>
      <c r="O369" t="s">
        <v>79</v>
      </c>
      <c r="P369">
        <v>2017</v>
      </c>
    </row>
    <row r="370" spans="6:16" x14ac:dyDescent="0.25">
      <c r="F370" s="7">
        <v>43103</v>
      </c>
      <c r="G370">
        <v>2.5330219377850845E-2</v>
      </c>
      <c r="I370" s="7">
        <v>43103</v>
      </c>
      <c r="J370">
        <v>16</v>
      </c>
      <c r="K370">
        <v>3517.7</v>
      </c>
      <c r="L370">
        <v>0</v>
      </c>
      <c r="M370">
        <v>0</v>
      </c>
      <c r="N370">
        <v>0</v>
      </c>
      <c r="O370" t="s">
        <v>79</v>
      </c>
      <c r="P370">
        <v>2017</v>
      </c>
    </row>
    <row r="371" spans="6:16" x14ac:dyDescent="0.25">
      <c r="F371" s="7">
        <v>43104</v>
      </c>
      <c r="G371">
        <v>2.5672415121487664E-2</v>
      </c>
      <c r="I371" s="7">
        <v>43104</v>
      </c>
      <c r="J371">
        <v>20</v>
      </c>
      <c r="K371">
        <v>5642</v>
      </c>
      <c r="L371">
        <v>1751.75</v>
      </c>
      <c r="M371">
        <v>0</v>
      </c>
      <c r="N371">
        <v>0</v>
      </c>
      <c r="O371" t="s">
        <v>79</v>
      </c>
      <c r="P371">
        <v>2017</v>
      </c>
    </row>
    <row r="372" spans="6:16" x14ac:dyDescent="0.25">
      <c r="F372" s="7">
        <v>43105</v>
      </c>
      <c r="G372">
        <v>3.097508337920566E-2</v>
      </c>
      <c r="I372" s="7">
        <v>43105</v>
      </c>
      <c r="J372">
        <v>25</v>
      </c>
      <c r="K372">
        <v>4776.8900000000003</v>
      </c>
      <c r="L372">
        <v>2608.5</v>
      </c>
      <c r="M372">
        <v>0</v>
      </c>
      <c r="N372">
        <v>0</v>
      </c>
      <c r="O372" t="s">
        <v>79</v>
      </c>
      <c r="P372">
        <v>2017</v>
      </c>
    </row>
    <row r="373" spans="6:16" x14ac:dyDescent="0.25">
      <c r="F373" s="7">
        <v>43106</v>
      </c>
      <c r="G373">
        <v>4.2520192380753996E-2</v>
      </c>
      <c r="I373" s="7">
        <v>43106</v>
      </c>
      <c r="J373">
        <v>25</v>
      </c>
      <c r="K373">
        <v>6741</v>
      </c>
      <c r="L373">
        <v>561</v>
      </c>
      <c r="M373">
        <v>0</v>
      </c>
      <c r="N373">
        <v>0</v>
      </c>
      <c r="O373" t="s">
        <v>79</v>
      </c>
      <c r="P373">
        <v>2017</v>
      </c>
    </row>
    <row r="374" spans="6:16" x14ac:dyDescent="0.25">
      <c r="F374" s="7">
        <v>43107</v>
      </c>
      <c r="G374">
        <v>4.2397657800311898E-2</v>
      </c>
      <c r="I374" s="7">
        <v>43107</v>
      </c>
      <c r="J374">
        <v>25</v>
      </c>
      <c r="K374">
        <v>5549</v>
      </c>
      <c r="L374">
        <v>438</v>
      </c>
      <c r="M374">
        <v>5660</v>
      </c>
      <c r="N374">
        <v>1700</v>
      </c>
      <c r="O374" t="s">
        <v>68</v>
      </c>
      <c r="P374">
        <v>2018</v>
      </c>
    </row>
    <row r="375" spans="6:16" x14ac:dyDescent="0.25">
      <c r="F375" s="7">
        <v>43108</v>
      </c>
      <c r="G375">
        <v>2.5927448338620786E-2</v>
      </c>
      <c r="I375" s="7">
        <v>43108</v>
      </c>
      <c r="J375">
        <v>7</v>
      </c>
      <c r="K375">
        <v>1248.5</v>
      </c>
      <c r="L375">
        <v>738</v>
      </c>
      <c r="M375">
        <v>2710</v>
      </c>
      <c r="N375">
        <v>810</v>
      </c>
      <c r="O375" t="s">
        <v>68</v>
      </c>
      <c r="P375">
        <v>2018</v>
      </c>
    </row>
    <row r="376" spans="6:16" x14ac:dyDescent="0.25">
      <c r="F376" s="7">
        <v>43109</v>
      </c>
      <c r="G376">
        <v>2.6478421283170715E-2</v>
      </c>
      <c r="I376" s="7">
        <v>43109</v>
      </c>
      <c r="J376">
        <v>14</v>
      </c>
      <c r="K376">
        <v>2786</v>
      </c>
      <c r="L376">
        <v>217</v>
      </c>
      <c r="M376">
        <v>3270</v>
      </c>
      <c r="N376">
        <v>980</v>
      </c>
      <c r="O376" t="s">
        <v>68</v>
      </c>
      <c r="P376">
        <v>2018</v>
      </c>
    </row>
    <row r="377" spans="6:16" x14ac:dyDescent="0.25">
      <c r="F377" s="7">
        <v>43110</v>
      </c>
      <c r="G377">
        <v>3.0034164106578755E-2</v>
      </c>
      <c r="I377" s="7">
        <v>43110</v>
      </c>
      <c r="J377">
        <v>21</v>
      </c>
      <c r="K377">
        <v>5272</v>
      </c>
      <c r="L377">
        <v>898</v>
      </c>
      <c r="M377">
        <v>4350</v>
      </c>
      <c r="N377">
        <v>1310</v>
      </c>
      <c r="O377" t="s">
        <v>68</v>
      </c>
      <c r="P377">
        <v>2018</v>
      </c>
    </row>
    <row r="378" spans="6:16" x14ac:dyDescent="0.25">
      <c r="F378" s="7">
        <v>43111</v>
      </c>
      <c r="G378">
        <v>3.0592053355916915E-2</v>
      </c>
      <c r="I378" s="7">
        <v>43111</v>
      </c>
      <c r="J378">
        <v>17</v>
      </c>
      <c r="K378">
        <v>3506.5</v>
      </c>
      <c r="L378">
        <v>222.99</v>
      </c>
      <c r="M378">
        <v>4020</v>
      </c>
      <c r="N378">
        <v>1210</v>
      </c>
      <c r="O378" t="s">
        <v>68</v>
      </c>
      <c r="P378">
        <v>2018</v>
      </c>
    </row>
    <row r="379" spans="6:16" x14ac:dyDescent="0.25">
      <c r="F379" s="7">
        <v>43112</v>
      </c>
      <c r="G379">
        <v>3.7461429558876533E-2</v>
      </c>
      <c r="I379" s="7">
        <v>43112</v>
      </c>
      <c r="J379">
        <v>32</v>
      </c>
      <c r="K379">
        <v>6347.99</v>
      </c>
      <c r="L379">
        <v>746.95</v>
      </c>
      <c r="M379">
        <v>5350</v>
      </c>
      <c r="N379">
        <v>1610</v>
      </c>
      <c r="O379" t="s">
        <v>68</v>
      </c>
      <c r="P379">
        <v>2018</v>
      </c>
    </row>
    <row r="380" spans="6:16" x14ac:dyDescent="0.25">
      <c r="F380" s="7">
        <v>43113</v>
      </c>
      <c r="G380">
        <v>5.2261137789113329E-2</v>
      </c>
      <c r="I380" s="7">
        <v>43113</v>
      </c>
      <c r="J380">
        <v>32</v>
      </c>
      <c r="K380">
        <v>7661</v>
      </c>
      <c r="L380">
        <v>960</v>
      </c>
      <c r="M380">
        <v>7110</v>
      </c>
      <c r="N380">
        <v>2130</v>
      </c>
      <c r="O380" t="s">
        <v>68</v>
      </c>
      <c r="P380">
        <v>2018</v>
      </c>
    </row>
    <row r="381" spans="6:16" x14ac:dyDescent="0.25">
      <c r="F381" s="7">
        <v>43114</v>
      </c>
      <c r="G381">
        <v>4.1067063392382329E-2</v>
      </c>
      <c r="I381" s="7">
        <v>43114</v>
      </c>
      <c r="J381">
        <v>33</v>
      </c>
      <c r="K381">
        <v>6768.1</v>
      </c>
      <c r="L381">
        <v>527</v>
      </c>
      <c r="M381">
        <v>6010</v>
      </c>
      <c r="N381">
        <v>1810</v>
      </c>
      <c r="O381" t="s">
        <v>68</v>
      </c>
      <c r="P381">
        <v>2018</v>
      </c>
    </row>
    <row r="382" spans="6:16" x14ac:dyDescent="0.25">
      <c r="F382" s="7">
        <v>43115</v>
      </c>
      <c r="G382">
        <v>2.4835812443722086E-2</v>
      </c>
      <c r="I382" s="7">
        <v>43115</v>
      </c>
      <c r="J382">
        <v>25</v>
      </c>
      <c r="K382">
        <v>4658.58</v>
      </c>
      <c r="L382">
        <v>483.4</v>
      </c>
      <c r="M382">
        <v>3690</v>
      </c>
      <c r="N382">
        <v>1110</v>
      </c>
      <c r="O382" t="s">
        <v>68</v>
      </c>
      <c r="P382">
        <v>2018</v>
      </c>
    </row>
    <row r="383" spans="6:16" x14ac:dyDescent="0.25">
      <c r="F383" s="7">
        <v>43116</v>
      </c>
      <c r="G383">
        <v>2.5643670436777403E-2</v>
      </c>
      <c r="I383" s="7">
        <v>43116</v>
      </c>
      <c r="J383">
        <v>12</v>
      </c>
      <c r="K383">
        <v>2598</v>
      </c>
      <c r="L383">
        <v>194</v>
      </c>
      <c r="M383">
        <v>3210</v>
      </c>
      <c r="N383">
        <v>970</v>
      </c>
      <c r="O383" t="s">
        <v>68</v>
      </c>
      <c r="P383">
        <v>2018</v>
      </c>
    </row>
    <row r="384" spans="6:16" x14ac:dyDescent="0.25">
      <c r="F384" s="7">
        <v>43117</v>
      </c>
      <c r="G384">
        <v>2.94694361870548E-2</v>
      </c>
      <c r="I384" s="7">
        <v>43117</v>
      </c>
      <c r="J384">
        <v>18</v>
      </c>
      <c r="K384">
        <v>4118</v>
      </c>
      <c r="L384">
        <v>127</v>
      </c>
      <c r="M384">
        <v>4010</v>
      </c>
      <c r="N384">
        <v>1210</v>
      </c>
      <c r="O384" t="s">
        <v>68</v>
      </c>
      <c r="P384">
        <v>2018</v>
      </c>
    </row>
    <row r="385" spans="6:16" x14ac:dyDescent="0.25">
      <c r="F385" s="7">
        <v>43118</v>
      </c>
      <c r="G385">
        <v>3.0305564158591342E-2</v>
      </c>
      <c r="I385" s="7">
        <v>43118</v>
      </c>
      <c r="J385">
        <v>15</v>
      </c>
      <c r="K385">
        <v>4079</v>
      </c>
      <c r="L385">
        <v>155</v>
      </c>
      <c r="M385">
        <v>4190</v>
      </c>
      <c r="N385">
        <v>1260</v>
      </c>
      <c r="O385" t="s">
        <v>68</v>
      </c>
      <c r="P385">
        <v>2018</v>
      </c>
    </row>
    <row r="386" spans="6:16" x14ac:dyDescent="0.25">
      <c r="F386" s="7">
        <v>43119</v>
      </c>
      <c r="G386">
        <v>3.7456417394535771E-2</v>
      </c>
      <c r="I386" s="7">
        <v>43119</v>
      </c>
      <c r="J386">
        <v>21</v>
      </c>
      <c r="K386">
        <v>5604</v>
      </c>
      <c r="L386">
        <v>973.2</v>
      </c>
      <c r="M386">
        <v>5130</v>
      </c>
      <c r="N386">
        <v>1540</v>
      </c>
      <c r="O386" t="s">
        <v>68</v>
      </c>
      <c r="P386">
        <v>2018</v>
      </c>
    </row>
    <row r="387" spans="6:16" x14ac:dyDescent="0.25">
      <c r="F387" s="7">
        <v>43120</v>
      </c>
      <c r="G387">
        <v>5.2535882796908004E-2</v>
      </c>
      <c r="I387" s="7">
        <v>43120</v>
      </c>
      <c r="J387">
        <v>35</v>
      </c>
      <c r="K387">
        <v>8917.42</v>
      </c>
      <c r="L387">
        <v>2784.58</v>
      </c>
      <c r="M387">
        <v>7470</v>
      </c>
      <c r="N387">
        <v>2240</v>
      </c>
      <c r="O387" t="s">
        <v>68</v>
      </c>
      <c r="P387">
        <v>2018</v>
      </c>
    </row>
    <row r="388" spans="6:16" x14ac:dyDescent="0.25">
      <c r="F388" s="7">
        <v>43121</v>
      </c>
      <c r="G388">
        <v>4.1614977306546022E-2</v>
      </c>
      <c r="I388" s="7">
        <v>43121</v>
      </c>
      <c r="J388">
        <v>28</v>
      </c>
      <c r="K388">
        <v>5787</v>
      </c>
      <c r="L388">
        <v>1795.5</v>
      </c>
      <c r="M388">
        <v>5730</v>
      </c>
      <c r="N388">
        <v>1720</v>
      </c>
      <c r="O388" t="s">
        <v>68</v>
      </c>
      <c r="P388">
        <v>2018</v>
      </c>
    </row>
    <row r="389" spans="6:16" x14ac:dyDescent="0.25">
      <c r="F389" s="7">
        <v>43122</v>
      </c>
      <c r="G389">
        <v>2.5645593767032359E-2</v>
      </c>
      <c r="I389" s="7">
        <v>43122</v>
      </c>
      <c r="J389">
        <v>7</v>
      </c>
      <c r="K389">
        <v>1887.5</v>
      </c>
      <c r="L389">
        <v>0</v>
      </c>
      <c r="M389">
        <v>2890</v>
      </c>
      <c r="N389">
        <v>870</v>
      </c>
      <c r="O389" t="s">
        <v>68</v>
      </c>
      <c r="P389">
        <v>2018</v>
      </c>
    </row>
    <row r="390" spans="6:16" x14ac:dyDescent="0.25">
      <c r="F390" s="7">
        <v>43123</v>
      </c>
      <c r="G390">
        <v>2.6699519700135326E-2</v>
      </c>
      <c r="I390" s="7">
        <v>43123</v>
      </c>
      <c r="J390">
        <v>26</v>
      </c>
      <c r="K390">
        <v>7299.39</v>
      </c>
      <c r="L390">
        <v>1288.56</v>
      </c>
      <c r="M390">
        <v>4570</v>
      </c>
      <c r="N390">
        <v>1370</v>
      </c>
      <c r="O390" t="s">
        <v>68</v>
      </c>
      <c r="P390">
        <v>2018</v>
      </c>
    </row>
    <row r="391" spans="6:16" x14ac:dyDescent="0.25">
      <c r="F391" s="7">
        <v>43124</v>
      </c>
      <c r="G391">
        <v>3.0751325509517567E-2</v>
      </c>
      <c r="I391" s="7">
        <v>43124</v>
      </c>
      <c r="J391">
        <v>26</v>
      </c>
      <c r="K391">
        <v>5525.3</v>
      </c>
      <c r="L391">
        <v>1290</v>
      </c>
      <c r="M391">
        <v>4420</v>
      </c>
      <c r="N391">
        <v>1330</v>
      </c>
      <c r="O391" t="s">
        <v>68</v>
      </c>
      <c r="P391">
        <v>2018</v>
      </c>
    </row>
    <row r="392" spans="6:16" x14ac:dyDescent="0.25">
      <c r="F392" s="7">
        <v>43125</v>
      </c>
      <c r="G392">
        <v>3.1789555411097549E-2</v>
      </c>
      <c r="I392" s="7">
        <v>43125</v>
      </c>
      <c r="J392">
        <v>20</v>
      </c>
      <c r="K392">
        <v>3789.38</v>
      </c>
      <c r="L392">
        <v>1391.4</v>
      </c>
      <c r="M392">
        <v>4110</v>
      </c>
      <c r="N392">
        <v>1230</v>
      </c>
      <c r="O392" t="s">
        <v>68</v>
      </c>
      <c r="P392">
        <v>2018</v>
      </c>
    </row>
    <row r="393" spans="6:16" x14ac:dyDescent="0.25">
      <c r="F393" s="7">
        <v>43126</v>
      </c>
      <c r="G393">
        <v>3.9115023311596171E-2</v>
      </c>
      <c r="I393" s="7">
        <v>43126</v>
      </c>
      <c r="J393">
        <v>16</v>
      </c>
      <c r="K393">
        <v>4408</v>
      </c>
      <c r="L393">
        <v>659</v>
      </c>
      <c r="M393">
        <v>4790</v>
      </c>
      <c r="N393">
        <v>1440</v>
      </c>
      <c r="O393" t="s">
        <v>68</v>
      </c>
      <c r="P393">
        <v>2018</v>
      </c>
    </row>
    <row r="394" spans="6:16" x14ac:dyDescent="0.25">
      <c r="F394" s="7">
        <v>43127</v>
      </c>
      <c r="G394">
        <v>5.4338465599377474E-2</v>
      </c>
      <c r="I394" s="7">
        <v>43127</v>
      </c>
      <c r="J394">
        <v>34</v>
      </c>
      <c r="K394">
        <v>8048.75</v>
      </c>
      <c r="L394">
        <v>1942.25</v>
      </c>
      <c r="M394">
        <v>7220</v>
      </c>
      <c r="N394">
        <v>2170</v>
      </c>
      <c r="O394" t="s">
        <v>68</v>
      </c>
      <c r="P394">
        <v>2018</v>
      </c>
    </row>
    <row r="395" spans="6:16" x14ac:dyDescent="0.25">
      <c r="F395" s="7">
        <v>43128</v>
      </c>
      <c r="G395">
        <v>4.3528179829440045E-2</v>
      </c>
      <c r="I395" s="7">
        <v>43128</v>
      </c>
      <c r="J395">
        <v>49</v>
      </c>
      <c r="K395">
        <v>10326</v>
      </c>
      <c r="L395">
        <v>464</v>
      </c>
      <c r="M395">
        <v>7040</v>
      </c>
      <c r="N395">
        <v>2110</v>
      </c>
      <c r="O395" t="s">
        <v>68</v>
      </c>
      <c r="P395">
        <v>2018</v>
      </c>
    </row>
    <row r="396" spans="6:16" x14ac:dyDescent="0.25">
      <c r="F396" s="7">
        <v>43129</v>
      </c>
      <c r="G396">
        <v>2.7633798387260697E-2</v>
      </c>
      <c r="I396" s="7">
        <v>43129</v>
      </c>
      <c r="J396">
        <v>6</v>
      </c>
      <c r="K396">
        <v>1448.5</v>
      </c>
      <c r="L396">
        <v>249</v>
      </c>
      <c r="M396">
        <v>2770</v>
      </c>
      <c r="N396">
        <v>830</v>
      </c>
      <c r="O396" t="s">
        <v>68</v>
      </c>
      <c r="P396">
        <v>2018</v>
      </c>
    </row>
    <row r="397" spans="6:16" x14ac:dyDescent="0.25">
      <c r="F397" s="7">
        <v>43130</v>
      </c>
      <c r="G397">
        <v>2.8725330762517286E-2</v>
      </c>
      <c r="I397" s="7">
        <v>43130</v>
      </c>
      <c r="J397">
        <v>18</v>
      </c>
      <c r="K397">
        <v>3061.5</v>
      </c>
      <c r="L397">
        <v>32.03</v>
      </c>
      <c r="M397">
        <v>3350</v>
      </c>
      <c r="N397">
        <v>1010</v>
      </c>
      <c r="O397" t="s">
        <v>68</v>
      </c>
      <c r="P397">
        <v>2018</v>
      </c>
    </row>
    <row r="398" spans="6:16" x14ac:dyDescent="0.25">
      <c r="F398" s="7">
        <v>43131</v>
      </c>
      <c r="G398">
        <v>3.2776071373452238E-2</v>
      </c>
      <c r="I398" s="7">
        <v>43131</v>
      </c>
      <c r="J398">
        <v>15</v>
      </c>
      <c r="K398">
        <v>3280</v>
      </c>
      <c r="L398">
        <v>2269.5</v>
      </c>
      <c r="M398">
        <v>3770</v>
      </c>
      <c r="N398">
        <v>1130</v>
      </c>
      <c r="O398" t="s">
        <v>68</v>
      </c>
      <c r="P398">
        <v>2018</v>
      </c>
    </row>
    <row r="399" spans="6:16" x14ac:dyDescent="0.25">
      <c r="F399" s="7">
        <v>43132</v>
      </c>
      <c r="G399">
        <v>3.3773806541171431E-2</v>
      </c>
      <c r="I399" s="7">
        <v>43132</v>
      </c>
      <c r="J399">
        <v>19</v>
      </c>
      <c r="K399">
        <v>3452</v>
      </c>
      <c r="L399">
        <v>3610.1</v>
      </c>
      <c r="M399">
        <v>4010</v>
      </c>
      <c r="N399">
        <v>1200</v>
      </c>
      <c r="O399" t="s">
        <v>68</v>
      </c>
      <c r="P399">
        <v>2018</v>
      </c>
    </row>
    <row r="400" spans="6:16" x14ac:dyDescent="0.25">
      <c r="F400" s="7">
        <v>43133</v>
      </c>
      <c r="G400">
        <v>4.1019123054253814E-2</v>
      </c>
      <c r="I400" s="7">
        <v>43133</v>
      </c>
      <c r="J400">
        <v>18</v>
      </c>
      <c r="K400">
        <v>3732</v>
      </c>
      <c r="L400">
        <v>118</v>
      </c>
      <c r="M400">
        <v>4590</v>
      </c>
      <c r="N400">
        <v>1380</v>
      </c>
      <c r="O400" t="s">
        <v>68</v>
      </c>
      <c r="P400">
        <v>2018</v>
      </c>
    </row>
    <row r="401" spans="6:16" x14ac:dyDescent="0.25">
      <c r="F401" s="7">
        <v>43134</v>
      </c>
      <c r="G401">
        <v>5.6123070404041221E-2</v>
      </c>
      <c r="I401" s="7">
        <v>43134</v>
      </c>
      <c r="J401">
        <v>23</v>
      </c>
      <c r="K401">
        <v>6446</v>
      </c>
      <c r="L401">
        <v>663.75</v>
      </c>
      <c r="M401">
        <v>6760</v>
      </c>
      <c r="N401">
        <v>2030</v>
      </c>
      <c r="O401" t="s">
        <v>68</v>
      </c>
      <c r="P401">
        <v>2018</v>
      </c>
    </row>
    <row r="402" spans="6:16" x14ac:dyDescent="0.25">
      <c r="F402" s="7">
        <v>43135</v>
      </c>
      <c r="G402">
        <v>4.5395506478340786E-2</v>
      </c>
      <c r="I402" s="7">
        <v>43135</v>
      </c>
      <c r="J402">
        <v>34</v>
      </c>
      <c r="K402">
        <v>5738</v>
      </c>
      <c r="L402">
        <v>262</v>
      </c>
      <c r="M402">
        <v>5730</v>
      </c>
      <c r="N402">
        <v>1720</v>
      </c>
      <c r="O402" t="s">
        <v>69</v>
      </c>
      <c r="P402">
        <v>2018</v>
      </c>
    </row>
    <row r="403" spans="6:16" x14ac:dyDescent="0.25">
      <c r="F403" s="7">
        <v>43136</v>
      </c>
      <c r="G403">
        <v>2.9220304613995423E-2</v>
      </c>
      <c r="I403" s="7">
        <v>43136</v>
      </c>
      <c r="J403">
        <v>20</v>
      </c>
      <c r="K403">
        <v>3584</v>
      </c>
      <c r="L403">
        <v>1561.5</v>
      </c>
      <c r="M403">
        <v>3390</v>
      </c>
      <c r="N403">
        <v>1020</v>
      </c>
      <c r="O403" t="s">
        <v>69</v>
      </c>
      <c r="P403">
        <v>2018</v>
      </c>
    </row>
    <row r="404" spans="6:16" x14ac:dyDescent="0.25">
      <c r="F404" s="7">
        <v>43137</v>
      </c>
      <c r="G404">
        <v>3.0086255044083177E-2</v>
      </c>
      <c r="I404" s="7">
        <v>43137</v>
      </c>
      <c r="J404">
        <v>13</v>
      </c>
      <c r="K404">
        <v>2437</v>
      </c>
      <c r="L404">
        <v>54</v>
      </c>
      <c r="M404">
        <v>3170</v>
      </c>
      <c r="N404">
        <v>950</v>
      </c>
      <c r="O404" t="s">
        <v>69</v>
      </c>
      <c r="P404">
        <v>2018</v>
      </c>
    </row>
    <row r="405" spans="6:16" x14ac:dyDescent="0.25">
      <c r="F405" s="7">
        <v>43138</v>
      </c>
      <c r="G405">
        <v>3.389439456309834E-2</v>
      </c>
      <c r="I405" s="7">
        <v>43138</v>
      </c>
      <c r="J405">
        <v>19</v>
      </c>
      <c r="K405">
        <v>3654</v>
      </c>
      <c r="L405">
        <v>1182.5</v>
      </c>
      <c r="M405">
        <v>3890</v>
      </c>
      <c r="N405">
        <v>1170</v>
      </c>
      <c r="O405" t="s">
        <v>69</v>
      </c>
      <c r="P405">
        <v>2018</v>
      </c>
    </row>
    <row r="406" spans="6:16" x14ac:dyDescent="0.25">
      <c r="F406" s="7">
        <v>43139</v>
      </c>
      <c r="G406">
        <v>3.4603509301690157E-2</v>
      </c>
      <c r="I406" s="7">
        <v>43139</v>
      </c>
      <c r="J406">
        <v>17</v>
      </c>
      <c r="K406">
        <v>2202</v>
      </c>
      <c r="L406">
        <v>1485.5</v>
      </c>
      <c r="M406">
        <v>3650</v>
      </c>
      <c r="N406">
        <v>1100</v>
      </c>
      <c r="O406" t="s">
        <v>69</v>
      </c>
      <c r="P406">
        <v>2018</v>
      </c>
    </row>
    <row r="407" spans="6:16" x14ac:dyDescent="0.25">
      <c r="F407" s="7">
        <v>43140</v>
      </c>
      <c r="G407">
        <v>4.1567331893367428E-2</v>
      </c>
      <c r="I407" s="7">
        <v>43140</v>
      </c>
      <c r="J407">
        <v>22</v>
      </c>
      <c r="K407">
        <v>5540.5</v>
      </c>
      <c r="L407">
        <v>768.5</v>
      </c>
      <c r="M407">
        <v>5130</v>
      </c>
      <c r="N407">
        <v>1540</v>
      </c>
      <c r="O407" t="s">
        <v>69</v>
      </c>
      <c r="P407">
        <v>2018</v>
      </c>
    </row>
    <row r="408" spans="6:16" x14ac:dyDescent="0.25">
      <c r="F408" s="7">
        <v>43141</v>
      </c>
      <c r="G408">
        <v>5.6409566356301524E-2</v>
      </c>
      <c r="I408" s="7">
        <v>43141</v>
      </c>
      <c r="J408">
        <v>29</v>
      </c>
      <c r="K408">
        <v>7054.27</v>
      </c>
      <c r="L408">
        <v>461</v>
      </c>
      <c r="M408">
        <v>6950</v>
      </c>
      <c r="N408">
        <v>2090</v>
      </c>
      <c r="O408" t="s">
        <v>69</v>
      </c>
      <c r="P408">
        <v>2018</v>
      </c>
    </row>
    <row r="409" spans="6:16" x14ac:dyDescent="0.25">
      <c r="F409" s="7">
        <v>43142</v>
      </c>
      <c r="G409">
        <v>4.5023035324997199E-2</v>
      </c>
      <c r="I409" s="7">
        <v>43142</v>
      </c>
      <c r="J409">
        <v>30</v>
      </c>
      <c r="K409">
        <v>6090</v>
      </c>
      <c r="L409">
        <v>453</v>
      </c>
      <c r="M409">
        <v>5830</v>
      </c>
      <c r="N409">
        <v>1750</v>
      </c>
      <c r="O409" t="s">
        <v>69</v>
      </c>
      <c r="P409">
        <v>2018</v>
      </c>
    </row>
    <row r="410" spans="6:16" x14ac:dyDescent="0.25">
      <c r="F410" s="7">
        <v>43143</v>
      </c>
      <c r="G410">
        <v>2.8475430427809933E-2</v>
      </c>
      <c r="I410" s="7">
        <v>43143</v>
      </c>
      <c r="J410">
        <v>11</v>
      </c>
      <c r="K410">
        <v>1735.65</v>
      </c>
      <c r="L410">
        <v>227</v>
      </c>
      <c r="M410">
        <v>2850</v>
      </c>
      <c r="N410">
        <v>860</v>
      </c>
      <c r="O410" t="s">
        <v>69</v>
      </c>
      <c r="P410">
        <v>2018</v>
      </c>
    </row>
    <row r="411" spans="6:16" x14ac:dyDescent="0.25">
      <c r="F411" s="7">
        <v>43144</v>
      </c>
      <c r="G411">
        <v>2.8961732293910795E-2</v>
      </c>
      <c r="I411" s="7">
        <v>43144</v>
      </c>
      <c r="J411">
        <v>17</v>
      </c>
      <c r="K411">
        <v>2983</v>
      </c>
      <c r="L411">
        <v>270.5</v>
      </c>
      <c r="M411">
        <v>3330</v>
      </c>
      <c r="N411">
        <v>1000</v>
      </c>
      <c r="O411" t="s">
        <v>69</v>
      </c>
      <c r="P411">
        <v>2018</v>
      </c>
    </row>
    <row r="412" spans="6:16" x14ac:dyDescent="0.25">
      <c r="F412" s="7">
        <v>43145</v>
      </c>
      <c r="G412">
        <v>5.2482148230720907E-2</v>
      </c>
      <c r="I412" s="7">
        <v>43145</v>
      </c>
      <c r="J412">
        <v>18</v>
      </c>
      <c r="K412">
        <v>5243</v>
      </c>
      <c r="L412">
        <v>1708.5</v>
      </c>
      <c r="M412">
        <v>4350</v>
      </c>
      <c r="N412">
        <v>1310</v>
      </c>
      <c r="O412" t="s">
        <v>69</v>
      </c>
      <c r="P412">
        <v>2018</v>
      </c>
    </row>
    <row r="413" spans="6:16" x14ac:dyDescent="0.25">
      <c r="F413" s="7">
        <v>43146</v>
      </c>
      <c r="G413">
        <v>3.4962799385467799E-2</v>
      </c>
      <c r="I413" s="7">
        <v>43146</v>
      </c>
      <c r="J413">
        <v>20</v>
      </c>
      <c r="K413">
        <v>3959</v>
      </c>
      <c r="L413">
        <v>1000</v>
      </c>
      <c r="M413">
        <v>4160</v>
      </c>
      <c r="N413">
        <v>1250</v>
      </c>
      <c r="O413" t="s">
        <v>69</v>
      </c>
      <c r="P413">
        <v>2018</v>
      </c>
    </row>
    <row r="414" spans="6:16" x14ac:dyDescent="0.25">
      <c r="F414" s="7">
        <v>43147</v>
      </c>
      <c r="G414">
        <v>3.931861785137817E-2</v>
      </c>
      <c r="I414" s="7">
        <v>43147</v>
      </c>
      <c r="J414">
        <v>25</v>
      </c>
      <c r="K414">
        <v>5369</v>
      </c>
      <c r="L414">
        <v>997</v>
      </c>
      <c r="M414">
        <v>5080</v>
      </c>
      <c r="N414">
        <v>1530</v>
      </c>
      <c r="O414" t="s">
        <v>69</v>
      </c>
      <c r="P414">
        <v>2018</v>
      </c>
    </row>
    <row r="415" spans="6:16" x14ac:dyDescent="0.25">
      <c r="F415" s="7">
        <v>43148</v>
      </c>
      <c r="G415">
        <v>5.3811515565372378E-2</v>
      </c>
      <c r="I415" s="7">
        <v>43148</v>
      </c>
      <c r="J415">
        <v>43</v>
      </c>
      <c r="K415">
        <v>11128</v>
      </c>
      <c r="L415">
        <v>3412</v>
      </c>
      <c r="M415">
        <v>8130</v>
      </c>
      <c r="N415">
        <v>2440</v>
      </c>
      <c r="O415" t="s">
        <v>69</v>
      </c>
      <c r="P415">
        <v>2018</v>
      </c>
    </row>
    <row r="416" spans="6:16" x14ac:dyDescent="0.25">
      <c r="F416" s="7">
        <v>43149</v>
      </c>
      <c r="G416">
        <v>4.2098832282989183E-2</v>
      </c>
      <c r="I416" s="7">
        <v>43149</v>
      </c>
      <c r="J416">
        <v>34</v>
      </c>
      <c r="K416">
        <v>7717</v>
      </c>
      <c r="L416">
        <v>1107</v>
      </c>
      <c r="M416">
        <v>6300</v>
      </c>
      <c r="N416">
        <v>1890</v>
      </c>
      <c r="O416" t="s">
        <v>69</v>
      </c>
      <c r="P416">
        <v>2018</v>
      </c>
    </row>
    <row r="417" spans="6:16" x14ac:dyDescent="0.25">
      <c r="F417" s="7">
        <v>43150</v>
      </c>
      <c r="G417">
        <v>2.5254508148546212E-2</v>
      </c>
      <c r="I417" s="7">
        <v>43150</v>
      </c>
      <c r="J417">
        <v>30</v>
      </c>
      <c r="K417">
        <v>6605</v>
      </c>
      <c r="L417">
        <v>1152</v>
      </c>
      <c r="M417">
        <v>4270</v>
      </c>
      <c r="N417">
        <v>1280</v>
      </c>
      <c r="O417" t="s">
        <v>69</v>
      </c>
      <c r="P417">
        <v>2018</v>
      </c>
    </row>
    <row r="418" spans="6:16" x14ac:dyDescent="0.25">
      <c r="F418" s="7">
        <v>43151</v>
      </c>
      <c r="G418">
        <v>2.5479599627067584E-2</v>
      </c>
      <c r="I418" s="7">
        <v>43151</v>
      </c>
      <c r="J418">
        <v>20</v>
      </c>
      <c r="K418">
        <v>3992.3</v>
      </c>
      <c r="L418">
        <v>1344.5</v>
      </c>
      <c r="M418">
        <v>3620</v>
      </c>
      <c r="N418">
        <v>1090</v>
      </c>
      <c r="O418" t="s">
        <v>69</v>
      </c>
      <c r="P418">
        <v>2018</v>
      </c>
    </row>
    <row r="419" spans="6:16" x14ac:dyDescent="0.25">
      <c r="F419" s="7">
        <v>43152</v>
      </c>
      <c r="G419">
        <v>2.8686630012943328E-2</v>
      </c>
      <c r="I419" s="7">
        <v>43152</v>
      </c>
      <c r="J419">
        <v>28</v>
      </c>
      <c r="K419">
        <v>4927</v>
      </c>
      <c r="L419">
        <v>1014</v>
      </c>
      <c r="M419">
        <v>4260</v>
      </c>
      <c r="N419">
        <v>1280</v>
      </c>
      <c r="O419" t="s">
        <v>69</v>
      </c>
      <c r="P419">
        <v>2018</v>
      </c>
    </row>
    <row r="420" spans="6:16" x14ac:dyDescent="0.25">
      <c r="F420" s="7">
        <v>43153</v>
      </c>
      <c r="G420">
        <v>2.8845747679368126E-2</v>
      </c>
      <c r="I420" s="7">
        <v>43153</v>
      </c>
      <c r="J420">
        <v>19</v>
      </c>
      <c r="K420">
        <v>3309</v>
      </c>
      <c r="L420">
        <v>405.25</v>
      </c>
      <c r="M420">
        <v>3970</v>
      </c>
      <c r="N420">
        <v>1190</v>
      </c>
      <c r="O420" t="s">
        <v>69</v>
      </c>
      <c r="P420">
        <v>2018</v>
      </c>
    </row>
    <row r="421" spans="6:16" x14ac:dyDescent="0.25">
      <c r="F421" s="7">
        <v>43154</v>
      </c>
      <c r="G421">
        <v>3.5321735618028198E-2</v>
      </c>
      <c r="I421" s="7">
        <v>43154</v>
      </c>
      <c r="J421">
        <v>27</v>
      </c>
      <c r="K421">
        <v>5350.7</v>
      </c>
      <c r="L421">
        <v>3477.4</v>
      </c>
      <c r="M421">
        <v>5070</v>
      </c>
      <c r="N421">
        <v>1520</v>
      </c>
      <c r="O421" t="s">
        <v>69</v>
      </c>
      <c r="P421">
        <v>2018</v>
      </c>
    </row>
    <row r="422" spans="6:16" x14ac:dyDescent="0.25">
      <c r="F422" s="7">
        <v>43155</v>
      </c>
      <c r="G422">
        <v>4.9748840326642972E-2</v>
      </c>
      <c r="I422" s="7">
        <v>43155</v>
      </c>
      <c r="J422">
        <v>35</v>
      </c>
      <c r="K422">
        <v>9215.99</v>
      </c>
      <c r="L422">
        <v>3235.5</v>
      </c>
      <c r="M422">
        <v>7580</v>
      </c>
      <c r="N422">
        <v>2280</v>
      </c>
      <c r="O422" t="s">
        <v>69</v>
      </c>
      <c r="P422">
        <v>2018</v>
      </c>
    </row>
    <row r="423" spans="6:16" x14ac:dyDescent="0.25">
      <c r="F423" s="7">
        <v>43156</v>
      </c>
      <c r="G423">
        <v>3.8029717436127299E-2</v>
      </c>
      <c r="I423" s="7">
        <v>43156</v>
      </c>
      <c r="J423">
        <v>24</v>
      </c>
      <c r="K423">
        <v>6255</v>
      </c>
      <c r="L423">
        <v>199</v>
      </c>
      <c r="M423">
        <v>5880</v>
      </c>
      <c r="N423">
        <v>1770</v>
      </c>
      <c r="O423" t="s">
        <v>69</v>
      </c>
      <c r="P423">
        <v>2018</v>
      </c>
    </row>
    <row r="424" spans="6:16" x14ac:dyDescent="0.25">
      <c r="F424" s="7">
        <v>43157</v>
      </c>
      <c r="G424">
        <v>2.1240978503512999E-2</v>
      </c>
      <c r="I424" s="7">
        <v>43157</v>
      </c>
      <c r="J424">
        <v>18</v>
      </c>
      <c r="K424">
        <v>3127.5</v>
      </c>
      <c r="L424">
        <v>409.5</v>
      </c>
      <c r="M424">
        <v>3260</v>
      </c>
      <c r="N424">
        <v>980</v>
      </c>
      <c r="O424" t="s">
        <v>69</v>
      </c>
      <c r="P424">
        <v>2018</v>
      </c>
    </row>
    <row r="425" spans="6:16" x14ac:dyDescent="0.25">
      <c r="F425" s="7">
        <v>43158</v>
      </c>
      <c r="G425">
        <v>2.1585409435030983E-2</v>
      </c>
      <c r="I425" s="7">
        <v>43158</v>
      </c>
      <c r="J425">
        <v>11</v>
      </c>
      <c r="K425">
        <v>1879.11</v>
      </c>
      <c r="L425">
        <v>1070.4000000000001</v>
      </c>
      <c r="M425">
        <v>3010</v>
      </c>
      <c r="N425">
        <v>900</v>
      </c>
      <c r="O425" t="s">
        <v>69</v>
      </c>
      <c r="P425">
        <v>2018</v>
      </c>
    </row>
    <row r="426" spans="6:16" x14ac:dyDescent="0.25">
      <c r="F426" s="7">
        <v>43159</v>
      </c>
      <c r="G426">
        <v>2.4976235899145986E-2</v>
      </c>
      <c r="I426" s="7">
        <v>43159</v>
      </c>
      <c r="J426">
        <v>13</v>
      </c>
      <c r="K426">
        <v>2320</v>
      </c>
      <c r="L426">
        <v>220.95</v>
      </c>
      <c r="M426">
        <v>3500</v>
      </c>
      <c r="N426">
        <v>1050</v>
      </c>
      <c r="O426" t="s">
        <v>69</v>
      </c>
      <c r="P426">
        <v>2018</v>
      </c>
    </row>
    <row r="427" spans="6:16" x14ac:dyDescent="0.25">
      <c r="F427" s="7">
        <v>43160</v>
      </c>
      <c r="G427">
        <v>2.5383211042262245E-2</v>
      </c>
      <c r="I427" s="7">
        <v>43160</v>
      </c>
      <c r="J427">
        <v>18</v>
      </c>
      <c r="K427">
        <v>3958</v>
      </c>
      <c r="L427">
        <v>1347.74</v>
      </c>
      <c r="M427">
        <v>4160</v>
      </c>
      <c r="N427">
        <v>1250</v>
      </c>
      <c r="O427" t="s">
        <v>69</v>
      </c>
      <c r="P427">
        <v>2018</v>
      </c>
    </row>
    <row r="428" spans="6:16" x14ac:dyDescent="0.25">
      <c r="F428" s="7">
        <v>43161</v>
      </c>
      <c r="G428">
        <v>3.2169571868567969E-2</v>
      </c>
      <c r="I428" s="7">
        <v>43161</v>
      </c>
      <c r="J428">
        <v>20</v>
      </c>
      <c r="K428">
        <v>5344</v>
      </c>
      <c r="L428">
        <v>251.3</v>
      </c>
      <c r="M428">
        <v>5070</v>
      </c>
      <c r="N428">
        <v>1520</v>
      </c>
      <c r="O428" t="s">
        <v>69</v>
      </c>
      <c r="P428">
        <v>2018</v>
      </c>
    </row>
    <row r="429" spans="6:16" x14ac:dyDescent="0.25">
      <c r="F429" s="7">
        <v>43162</v>
      </c>
      <c r="G429">
        <v>4.6966834789232956E-2</v>
      </c>
      <c r="I429" s="7">
        <v>43162</v>
      </c>
      <c r="J429">
        <v>28</v>
      </c>
      <c r="K429">
        <v>5535</v>
      </c>
      <c r="L429">
        <v>928.25</v>
      </c>
      <c r="M429">
        <v>6510</v>
      </c>
      <c r="N429">
        <v>1950</v>
      </c>
      <c r="O429" t="s">
        <v>69</v>
      </c>
      <c r="P429">
        <v>2018</v>
      </c>
    </row>
    <row r="430" spans="6:16" x14ac:dyDescent="0.25">
      <c r="F430" s="7">
        <v>43163</v>
      </c>
      <c r="G430">
        <v>2.8460133896786161E-2</v>
      </c>
      <c r="I430" s="7">
        <v>43163</v>
      </c>
      <c r="J430">
        <v>23</v>
      </c>
      <c r="K430">
        <v>4374</v>
      </c>
      <c r="L430">
        <v>331</v>
      </c>
      <c r="M430">
        <v>6020</v>
      </c>
      <c r="N430">
        <v>1810</v>
      </c>
      <c r="O430" t="s">
        <v>70</v>
      </c>
      <c r="P430">
        <v>2018</v>
      </c>
    </row>
    <row r="431" spans="6:16" x14ac:dyDescent="0.25">
      <c r="F431" s="7">
        <v>43164</v>
      </c>
      <c r="G431">
        <v>1.5446612673881397E-2</v>
      </c>
      <c r="I431" s="7">
        <v>43164</v>
      </c>
      <c r="J431">
        <v>19</v>
      </c>
      <c r="K431">
        <v>3836</v>
      </c>
      <c r="L431">
        <v>1287</v>
      </c>
      <c r="M431">
        <v>3830</v>
      </c>
      <c r="N431">
        <v>1150</v>
      </c>
      <c r="O431" t="s">
        <v>70</v>
      </c>
      <c r="P431">
        <v>2018</v>
      </c>
    </row>
    <row r="432" spans="6:16" x14ac:dyDescent="0.25">
      <c r="F432" s="7">
        <v>43165</v>
      </c>
      <c r="G432">
        <v>1.6137257176442574E-2</v>
      </c>
      <c r="I432" s="7">
        <v>43165</v>
      </c>
      <c r="J432">
        <v>11</v>
      </c>
      <c r="K432">
        <v>2423</v>
      </c>
      <c r="L432">
        <v>353.5</v>
      </c>
      <c r="M432">
        <v>3590</v>
      </c>
      <c r="N432">
        <v>1080</v>
      </c>
      <c r="O432" t="s">
        <v>70</v>
      </c>
      <c r="P432">
        <v>2018</v>
      </c>
    </row>
    <row r="433" spans="6:16" x14ac:dyDescent="0.25">
      <c r="F433" s="7">
        <v>43166</v>
      </c>
      <c r="G433">
        <v>1.9287931473459956E-2</v>
      </c>
      <c r="I433" s="7">
        <v>43166</v>
      </c>
      <c r="J433">
        <v>19</v>
      </c>
      <c r="K433">
        <v>4433</v>
      </c>
      <c r="L433">
        <v>2245.25</v>
      </c>
      <c r="M433">
        <v>4560</v>
      </c>
      <c r="N433">
        <v>1370</v>
      </c>
      <c r="O433" t="s">
        <v>70</v>
      </c>
      <c r="P433">
        <v>2018</v>
      </c>
    </row>
    <row r="434" spans="6:16" x14ac:dyDescent="0.25">
      <c r="F434" s="7">
        <v>43167</v>
      </c>
      <c r="G434">
        <v>2.0081122275279802E-2</v>
      </c>
      <c r="I434" s="7">
        <v>43167</v>
      </c>
      <c r="J434">
        <v>30</v>
      </c>
      <c r="K434">
        <v>7504.11</v>
      </c>
      <c r="L434">
        <v>1059.3</v>
      </c>
      <c r="M434">
        <v>5600</v>
      </c>
      <c r="N434">
        <v>1680</v>
      </c>
      <c r="O434" t="s">
        <v>70</v>
      </c>
      <c r="P434">
        <v>2018</v>
      </c>
    </row>
    <row r="435" spans="6:16" x14ac:dyDescent="0.25">
      <c r="F435" s="7">
        <v>43168</v>
      </c>
      <c r="G435">
        <v>2.597937888415754E-2</v>
      </c>
      <c r="I435" s="7">
        <v>43168</v>
      </c>
      <c r="J435">
        <v>32</v>
      </c>
      <c r="K435">
        <v>4593</v>
      </c>
      <c r="L435">
        <v>2218.9</v>
      </c>
      <c r="M435">
        <v>5430</v>
      </c>
      <c r="N435">
        <v>1630</v>
      </c>
      <c r="O435" t="s">
        <v>70</v>
      </c>
      <c r="P435">
        <v>2018</v>
      </c>
    </row>
    <row r="436" spans="6:16" x14ac:dyDescent="0.25">
      <c r="F436" s="7">
        <v>43169</v>
      </c>
      <c r="G436">
        <v>3.8276374690093221E-2</v>
      </c>
      <c r="I436" s="7">
        <v>43169</v>
      </c>
      <c r="J436">
        <v>35</v>
      </c>
      <c r="K436">
        <v>6489</v>
      </c>
      <c r="L436">
        <v>3338</v>
      </c>
      <c r="M436">
        <v>7590</v>
      </c>
      <c r="N436">
        <v>2280</v>
      </c>
      <c r="O436" t="s">
        <v>70</v>
      </c>
      <c r="P436">
        <v>2018</v>
      </c>
    </row>
    <row r="437" spans="6:16" x14ac:dyDescent="0.25">
      <c r="F437" s="7">
        <v>43170</v>
      </c>
      <c r="G437">
        <v>2.9758074992500178E-2</v>
      </c>
      <c r="I437" s="7">
        <v>43170</v>
      </c>
      <c r="J437">
        <v>28</v>
      </c>
      <c r="K437">
        <v>5623</v>
      </c>
      <c r="L437">
        <v>1235</v>
      </c>
      <c r="M437">
        <v>6350</v>
      </c>
      <c r="N437">
        <v>1910</v>
      </c>
      <c r="O437" t="s">
        <v>70</v>
      </c>
      <c r="P437">
        <v>2018</v>
      </c>
    </row>
    <row r="438" spans="6:16" x14ac:dyDescent="0.25">
      <c r="F438" s="7">
        <v>43171</v>
      </c>
      <c r="G438">
        <v>1.7226400207061135E-2</v>
      </c>
      <c r="I438" s="7">
        <v>43171</v>
      </c>
      <c r="J438">
        <v>12</v>
      </c>
      <c r="K438">
        <v>2120.4899999999998</v>
      </c>
      <c r="L438">
        <v>1017</v>
      </c>
      <c r="M438">
        <v>3380</v>
      </c>
      <c r="N438">
        <v>1010</v>
      </c>
      <c r="O438" t="s">
        <v>70</v>
      </c>
      <c r="P438">
        <v>2018</v>
      </c>
    </row>
    <row r="439" spans="6:16" x14ac:dyDescent="0.25">
      <c r="F439" s="7">
        <v>43172</v>
      </c>
      <c r="G439">
        <v>1.8380651894288447E-2</v>
      </c>
      <c r="I439" s="7">
        <v>43172</v>
      </c>
      <c r="J439">
        <v>19</v>
      </c>
      <c r="K439">
        <v>4720</v>
      </c>
      <c r="L439">
        <v>406</v>
      </c>
      <c r="M439">
        <v>4200</v>
      </c>
      <c r="N439">
        <v>1260</v>
      </c>
      <c r="O439" t="s">
        <v>70</v>
      </c>
      <c r="P439">
        <v>2018</v>
      </c>
    </row>
    <row r="440" spans="6:16" x14ac:dyDescent="0.25">
      <c r="F440" s="7">
        <v>43173</v>
      </c>
      <c r="G440">
        <v>2.1967845696635135E-2</v>
      </c>
      <c r="I440" s="7">
        <v>43173</v>
      </c>
      <c r="J440">
        <v>29</v>
      </c>
      <c r="K440">
        <v>6076</v>
      </c>
      <c r="L440">
        <v>1420.17</v>
      </c>
      <c r="M440">
        <v>5000</v>
      </c>
      <c r="N440">
        <v>1500</v>
      </c>
      <c r="O440" t="s">
        <v>70</v>
      </c>
      <c r="P440">
        <v>2018</v>
      </c>
    </row>
    <row r="441" spans="6:16" x14ac:dyDescent="0.25">
      <c r="F441" s="7">
        <v>43174</v>
      </c>
      <c r="G441">
        <v>2.3161811101122181E-2</v>
      </c>
      <c r="I441" s="7">
        <v>43174</v>
      </c>
      <c r="J441">
        <v>23</v>
      </c>
      <c r="K441">
        <v>3973</v>
      </c>
      <c r="L441">
        <v>2489.5</v>
      </c>
      <c r="M441">
        <v>4660</v>
      </c>
      <c r="N441">
        <v>1400</v>
      </c>
      <c r="O441" t="s">
        <v>70</v>
      </c>
      <c r="P441">
        <v>2018</v>
      </c>
    </row>
    <row r="442" spans="6:16" x14ac:dyDescent="0.25">
      <c r="F442" s="7">
        <v>43175</v>
      </c>
      <c r="G442">
        <v>2.9416811935659558E-2</v>
      </c>
      <c r="I442" s="7">
        <v>43175</v>
      </c>
      <c r="J442">
        <v>31</v>
      </c>
      <c r="K442">
        <v>5900.5</v>
      </c>
      <c r="L442">
        <v>704.2</v>
      </c>
      <c r="M442">
        <v>5780</v>
      </c>
      <c r="N442">
        <v>1740</v>
      </c>
      <c r="O442" t="s">
        <v>70</v>
      </c>
      <c r="P442">
        <v>2018</v>
      </c>
    </row>
    <row r="443" spans="6:16" x14ac:dyDescent="0.25">
      <c r="F443" s="7">
        <v>43176</v>
      </c>
      <c r="G443">
        <v>4.2018787977331044E-2</v>
      </c>
      <c r="I443" s="7">
        <v>43176</v>
      </c>
      <c r="J443">
        <v>47</v>
      </c>
      <c r="K443">
        <v>8106</v>
      </c>
      <c r="L443">
        <v>113</v>
      </c>
      <c r="M443">
        <v>8020</v>
      </c>
      <c r="N443">
        <v>2410</v>
      </c>
      <c r="O443" t="s">
        <v>70</v>
      </c>
      <c r="P443">
        <v>2018</v>
      </c>
    </row>
    <row r="444" spans="6:16" x14ac:dyDescent="0.25">
      <c r="F444" s="7">
        <v>43177</v>
      </c>
      <c r="G444">
        <v>3.3746698405229696E-2</v>
      </c>
      <c r="I444" s="7">
        <v>43177</v>
      </c>
      <c r="J444">
        <v>32</v>
      </c>
      <c r="K444">
        <v>6948.9</v>
      </c>
      <c r="L444">
        <v>2029</v>
      </c>
      <c r="M444">
        <v>6700</v>
      </c>
      <c r="N444">
        <v>2010</v>
      </c>
      <c r="O444" t="s">
        <v>70</v>
      </c>
      <c r="P444">
        <v>2018</v>
      </c>
    </row>
    <row r="445" spans="6:16" x14ac:dyDescent="0.25">
      <c r="F445" s="7">
        <v>43178</v>
      </c>
      <c r="G445">
        <v>2.1396351955653412E-2</v>
      </c>
      <c r="I445" s="7">
        <v>43178</v>
      </c>
      <c r="J445">
        <v>15</v>
      </c>
      <c r="K445">
        <v>2802</v>
      </c>
      <c r="L445">
        <v>314</v>
      </c>
      <c r="M445">
        <v>3560</v>
      </c>
      <c r="N445">
        <v>1070</v>
      </c>
      <c r="O445" t="s">
        <v>70</v>
      </c>
      <c r="P445">
        <v>2018</v>
      </c>
    </row>
    <row r="446" spans="6:16" x14ac:dyDescent="0.25">
      <c r="F446" s="7">
        <v>43179</v>
      </c>
      <c r="G446">
        <v>2.2661986954296279E-2</v>
      </c>
      <c r="I446" s="7">
        <v>43179</v>
      </c>
      <c r="J446">
        <v>18</v>
      </c>
      <c r="K446">
        <v>4059</v>
      </c>
      <c r="L446">
        <v>214</v>
      </c>
      <c r="M446">
        <v>4030</v>
      </c>
      <c r="N446">
        <v>1210</v>
      </c>
      <c r="O446" t="s">
        <v>70</v>
      </c>
      <c r="P446">
        <v>2018</v>
      </c>
    </row>
    <row r="447" spans="6:16" x14ac:dyDescent="0.25">
      <c r="F447" s="7">
        <v>43180</v>
      </c>
      <c r="G447">
        <v>2.6286741357564834E-2</v>
      </c>
      <c r="I447" s="7">
        <v>43180</v>
      </c>
      <c r="J447">
        <v>0</v>
      </c>
      <c r="K447">
        <v>10500</v>
      </c>
      <c r="L447">
        <v>0</v>
      </c>
      <c r="M447">
        <v>6170</v>
      </c>
      <c r="N447">
        <v>1850</v>
      </c>
      <c r="O447" t="s">
        <v>70</v>
      </c>
      <c r="P447">
        <v>2018</v>
      </c>
    </row>
    <row r="448" spans="6:16" x14ac:dyDescent="0.25">
      <c r="F448" s="7">
        <v>43181</v>
      </c>
      <c r="G448">
        <v>2.7441868918847461E-2</v>
      </c>
      <c r="I448" s="7">
        <v>43181</v>
      </c>
      <c r="J448">
        <v>0</v>
      </c>
      <c r="K448">
        <v>10500</v>
      </c>
      <c r="L448">
        <v>0</v>
      </c>
      <c r="M448">
        <v>6390</v>
      </c>
      <c r="N448">
        <v>1920</v>
      </c>
      <c r="O448" t="s">
        <v>70</v>
      </c>
      <c r="P448">
        <v>2018</v>
      </c>
    </row>
    <row r="449" spans="6:16" x14ac:dyDescent="0.25">
      <c r="F449" s="7">
        <v>43182</v>
      </c>
      <c r="G449">
        <v>3.3580451855545312E-2</v>
      </c>
      <c r="I449" s="7">
        <v>43182</v>
      </c>
      <c r="J449">
        <v>0</v>
      </c>
      <c r="K449">
        <v>10500</v>
      </c>
      <c r="L449">
        <v>0</v>
      </c>
      <c r="M449">
        <v>7000</v>
      </c>
      <c r="N449">
        <v>2100</v>
      </c>
      <c r="O449" t="s">
        <v>70</v>
      </c>
      <c r="P449">
        <v>2018</v>
      </c>
    </row>
    <row r="450" spans="6:16" x14ac:dyDescent="0.25">
      <c r="F450" s="7">
        <v>43183</v>
      </c>
      <c r="G450">
        <v>4.5988707652611593E-2</v>
      </c>
      <c r="I450" s="7">
        <v>43183</v>
      </c>
      <c r="J450">
        <v>0</v>
      </c>
      <c r="K450">
        <v>10500</v>
      </c>
      <c r="L450">
        <v>0</v>
      </c>
      <c r="M450">
        <v>8650</v>
      </c>
      <c r="N450">
        <v>2600</v>
      </c>
      <c r="O450" t="s">
        <v>70</v>
      </c>
      <c r="P450">
        <v>2018</v>
      </c>
    </row>
    <row r="451" spans="6:16" x14ac:dyDescent="0.25">
      <c r="F451" s="7">
        <v>43184</v>
      </c>
      <c r="G451">
        <v>3.744736803105865E-2</v>
      </c>
      <c r="I451" s="7">
        <v>43184</v>
      </c>
      <c r="J451">
        <v>0</v>
      </c>
      <c r="K451">
        <v>10500</v>
      </c>
      <c r="L451">
        <v>0</v>
      </c>
      <c r="M451">
        <v>7640</v>
      </c>
      <c r="N451">
        <v>2300</v>
      </c>
      <c r="O451" t="s">
        <v>70</v>
      </c>
      <c r="P451">
        <v>2018</v>
      </c>
    </row>
    <row r="452" spans="6:16" x14ac:dyDescent="0.25">
      <c r="F452" s="7">
        <v>43185</v>
      </c>
      <c r="G452">
        <v>2.4755513392459395E-2</v>
      </c>
      <c r="I452" s="7">
        <v>43185</v>
      </c>
      <c r="J452">
        <v>0</v>
      </c>
      <c r="K452">
        <v>10280</v>
      </c>
      <c r="L452">
        <v>0</v>
      </c>
      <c r="M452">
        <v>5540</v>
      </c>
      <c r="N452">
        <v>1660</v>
      </c>
      <c r="O452" t="s">
        <v>70</v>
      </c>
      <c r="P452">
        <v>2018</v>
      </c>
    </row>
    <row r="453" spans="6:16" x14ac:dyDescent="0.25">
      <c r="F453" s="7">
        <v>43186</v>
      </c>
      <c r="G453">
        <v>2.5612124685428405E-2</v>
      </c>
      <c r="I453" s="7">
        <v>43186</v>
      </c>
      <c r="J453">
        <v>0</v>
      </c>
      <c r="K453">
        <v>10500</v>
      </c>
      <c r="L453">
        <v>0</v>
      </c>
      <c r="M453">
        <v>5730</v>
      </c>
      <c r="N453">
        <v>1720</v>
      </c>
      <c r="O453" t="s">
        <v>70</v>
      </c>
      <c r="P453">
        <v>2018</v>
      </c>
    </row>
    <row r="454" spans="6:16" x14ac:dyDescent="0.25">
      <c r="F454" s="7">
        <v>43187</v>
      </c>
      <c r="G454">
        <v>2.8766492524534313E-2</v>
      </c>
      <c r="I454" s="7">
        <v>43187</v>
      </c>
      <c r="J454">
        <v>0</v>
      </c>
      <c r="K454">
        <v>10500</v>
      </c>
      <c r="L454">
        <v>0</v>
      </c>
      <c r="M454">
        <v>6170</v>
      </c>
      <c r="N454">
        <v>1850</v>
      </c>
      <c r="O454" t="s">
        <v>70</v>
      </c>
      <c r="P454">
        <v>2018</v>
      </c>
    </row>
    <row r="455" spans="6:16" x14ac:dyDescent="0.25">
      <c r="F455" s="7">
        <v>43188</v>
      </c>
      <c r="G455">
        <v>2.9397196550686483E-2</v>
      </c>
      <c r="I455" s="7">
        <v>43188</v>
      </c>
      <c r="J455">
        <v>0</v>
      </c>
      <c r="K455">
        <v>10500</v>
      </c>
      <c r="L455">
        <v>0</v>
      </c>
      <c r="M455">
        <v>6390</v>
      </c>
      <c r="N455">
        <v>1920</v>
      </c>
      <c r="O455" t="s">
        <v>70</v>
      </c>
      <c r="P455">
        <v>2018</v>
      </c>
    </row>
    <row r="456" spans="6:16" x14ac:dyDescent="0.25">
      <c r="F456" s="7">
        <v>43189</v>
      </c>
      <c r="G456">
        <v>3.4966124542190266E-2</v>
      </c>
      <c r="I456" s="7">
        <v>43189</v>
      </c>
      <c r="J456">
        <v>0</v>
      </c>
      <c r="K456">
        <v>10500</v>
      </c>
      <c r="L456">
        <v>0</v>
      </c>
      <c r="M456">
        <v>7000</v>
      </c>
      <c r="N456">
        <v>2100</v>
      </c>
      <c r="O456" t="s">
        <v>70</v>
      </c>
      <c r="P456">
        <v>2018</v>
      </c>
    </row>
    <row r="457" spans="6:16" x14ac:dyDescent="0.25">
      <c r="F457" s="7">
        <v>43190</v>
      </c>
      <c r="G457">
        <v>4.6769195088332681E-2</v>
      </c>
      <c r="I457" s="7">
        <v>43190</v>
      </c>
      <c r="J457">
        <v>31</v>
      </c>
      <c r="K457">
        <v>5480</v>
      </c>
      <c r="L457">
        <v>389</v>
      </c>
      <c r="M457">
        <v>7320</v>
      </c>
      <c r="N457">
        <v>2200</v>
      </c>
      <c r="O457" t="s">
        <v>70</v>
      </c>
      <c r="P457">
        <v>2018</v>
      </c>
    </row>
    <row r="458" spans="6:16" x14ac:dyDescent="0.25">
      <c r="F458" s="7">
        <v>43191</v>
      </c>
      <c r="G458">
        <v>3.7597700526623548E-2</v>
      </c>
      <c r="I458" s="7">
        <v>43191</v>
      </c>
      <c r="J458">
        <v>11</v>
      </c>
      <c r="K458">
        <v>2027</v>
      </c>
      <c r="L458">
        <v>461.8</v>
      </c>
      <c r="M458">
        <v>5400</v>
      </c>
      <c r="N458">
        <v>1620</v>
      </c>
      <c r="O458" t="s">
        <v>70</v>
      </c>
      <c r="P458">
        <v>2018</v>
      </c>
    </row>
    <row r="459" spans="6:16" x14ac:dyDescent="0.25">
      <c r="F459" s="7">
        <v>43192</v>
      </c>
      <c r="G459">
        <v>2.4261938917800881E-2</v>
      </c>
      <c r="I459" s="7">
        <v>43192</v>
      </c>
      <c r="J459">
        <v>20</v>
      </c>
      <c r="K459">
        <v>3904.99</v>
      </c>
      <c r="L459">
        <v>2519.1</v>
      </c>
      <c r="M459">
        <v>3850</v>
      </c>
      <c r="N459">
        <v>1160</v>
      </c>
      <c r="O459" t="s">
        <v>70</v>
      </c>
      <c r="P459">
        <v>2018</v>
      </c>
    </row>
    <row r="460" spans="6:16" x14ac:dyDescent="0.25">
      <c r="F460" s="7">
        <v>43193</v>
      </c>
      <c r="G460">
        <v>2.4472544810115345E-2</v>
      </c>
      <c r="I460" s="7">
        <v>43193</v>
      </c>
      <c r="J460">
        <v>27</v>
      </c>
      <c r="K460">
        <v>5715</v>
      </c>
      <c r="L460">
        <v>842</v>
      </c>
      <c r="M460">
        <v>4470</v>
      </c>
      <c r="N460">
        <v>1340</v>
      </c>
      <c r="O460" t="s">
        <v>70</v>
      </c>
      <c r="P460">
        <v>2018</v>
      </c>
    </row>
    <row r="461" spans="6:16" x14ac:dyDescent="0.25">
      <c r="F461" s="7">
        <v>43194</v>
      </c>
      <c r="G461">
        <v>2.6990663274664234E-2</v>
      </c>
      <c r="I461" s="7">
        <v>43194</v>
      </c>
      <c r="J461">
        <v>16</v>
      </c>
      <c r="K461">
        <v>3515</v>
      </c>
      <c r="L461">
        <v>916</v>
      </c>
      <c r="M461">
        <v>4320</v>
      </c>
      <c r="N461">
        <v>1300</v>
      </c>
      <c r="O461" t="s">
        <v>70</v>
      </c>
      <c r="P461">
        <v>2018</v>
      </c>
    </row>
    <row r="462" spans="6:16" x14ac:dyDescent="0.25">
      <c r="F462" s="7">
        <v>43195</v>
      </c>
      <c r="G462">
        <v>2.7006828856529486E-2</v>
      </c>
      <c r="I462" s="7">
        <v>43195</v>
      </c>
      <c r="J462">
        <v>16</v>
      </c>
      <c r="K462">
        <v>3276</v>
      </c>
      <c r="L462">
        <v>0</v>
      </c>
      <c r="M462">
        <v>4480</v>
      </c>
      <c r="N462">
        <v>1350</v>
      </c>
      <c r="O462" t="s">
        <v>70</v>
      </c>
      <c r="P462">
        <v>2018</v>
      </c>
    </row>
    <row r="463" spans="6:16" x14ac:dyDescent="0.25">
      <c r="F463" s="7">
        <v>43196</v>
      </c>
      <c r="G463">
        <v>3.1994306586074495E-2</v>
      </c>
      <c r="I463" s="7">
        <v>43196</v>
      </c>
      <c r="J463">
        <v>19</v>
      </c>
      <c r="K463">
        <v>4448</v>
      </c>
      <c r="L463">
        <v>106</v>
      </c>
      <c r="M463">
        <v>5390</v>
      </c>
      <c r="N463">
        <v>1620</v>
      </c>
      <c r="O463" t="s">
        <v>70</v>
      </c>
      <c r="P463">
        <v>2018</v>
      </c>
    </row>
    <row r="464" spans="6:16" x14ac:dyDescent="0.25">
      <c r="F464" s="7">
        <v>43197</v>
      </c>
      <c r="G464">
        <v>4.3260000239054741E-2</v>
      </c>
      <c r="I464" s="7">
        <v>43197</v>
      </c>
      <c r="J464">
        <v>31</v>
      </c>
      <c r="K464">
        <v>7063.56</v>
      </c>
      <c r="L464">
        <v>1203</v>
      </c>
      <c r="M464">
        <v>7740</v>
      </c>
      <c r="N464">
        <v>2320</v>
      </c>
      <c r="O464" t="s">
        <v>70</v>
      </c>
      <c r="P464">
        <v>2018</v>
      </c>
    </row>
    <row r="465" spans="6:16" x14ac:dyDescent="0.25">
      <c r="F465" s="7">
        <v>43198</v>
      </c>
      <c r="G465">
        <v>5.2453794566039061E-2</v>
      </c>
      <c r="I465" s="7">
        <v>43198</v>
      </c>
      <c r="J465">
        <v>18</v>
      </c>
      <c r="K465">
        <v>3944</v>
      </c>
      <c r="L465">
        <v>1079</v>
      </c>
      <c r="M465">
        <v>6720</v>
      </c>
      <c r="N465">
        <v>2020</v>
      </c>
      <c r="O465" t="s">
        <v>71</v>
      </c>
      <c r="P465">
        <v>2018</v>
      </c>
    </row>
    <row r="466" spans="6:16" x14ac:dyDescent="0.25">
      <c r="F466" s="7">
        <v>43199</v>
      </c>
      <c r="G466">
        <v>3.0983434329800011E-2</v>
      </c>
      <c r="I466" s="7">
        <v>43199</v>
      </c>
      <c r="J466">
        <v>10</v>
      </c>
      <c r="K466">
        <v>2267</v>
      </c>
      <c r="L466">
        <v>883</v>
      </c>
      <c r="M466">
        <v>3880</v>
      </c>
      <c r="N466">
        <v>1170</v>
      </c>
      <c r="O466" t="s">
        <v>71</v>
      </c>
      <c r="P466">
        <v>2018</v>
      </c>
    </row>
    <row r="467" spans="6:16" x14ac:dyDescent="0.25">
      <c r="F467" s="7">
        <v>43200</v>
      </c>
      <c r="G467">
        <v>3.0768866157260412E-2</v>
      </c>
      <c r="I467" s="7">
        <v>43200</v>
      </c>
      <c r="J467">
        <v>13</v>
      </c>
      <c r="K467">
        <v>3316</v>
      </c>
      <c r="L467">
        <v>714</v>
      </c>
      <c r="M467">
        <v>4490</v>
      </c>
      <c r="N467">
        <v>1350</v>
      </c>
      <c r="O467" t="s">
        <v>71</v>
      </c>
      <c r="P467">
        <v>2018</v>
      </c>
    </row>
    <row r="468" spans="6:16" x14ac:dyDescent="0.25">
      <c r="F468" s="7">
        <v>43201</v>
      </c>
      <c r="G468">
        <v>3.42780155215529E-2</v>
      </c>
      <c r="I468" s="7">
        <v>43201</v>
      </c>
      <c r="J468">
        <v>22</v>
      </c>
      <c r="K468">
        <v>4446</v>
      </c>
      <c r="L468">
        <v>3046</v>
      </c>
      <c r="M468">
        <v>5440</v>
      </c>
      <c r="N468">
        <v>1640</v>
      </c>
      <c r="O468" t="s">
        <v>71</v>
      </c>
      <c r="P468">
        <v>2018</v>
      </c>
    </row>
    <row r="469" spans="6:16" x14ac:dyDescent="0.25">
      <c r="F469" s="7">
        <v>43202</v>
      </c>
      <c r="G469">
        <v>3.4011876956987798E-2</v>
      </c>
      <c r="I469" s="7">
        <v>43202</v>
      </c>
      <c r="J469">
        <v>18</v>
      </c>
      <c r="K469">
        <v>3566</v>
      </c>
      <c r="L469">
        <v>31</v>
      </c>
      <c r="M469">
        <v>5280</v>
      </c>
      <c r="N469">
        <v>1590</v>
      </c>
      <c r="O469" t="s">
        <v>71</v>
      </c>
      <c r="P469">
        <v>2018</v>
      </c>
    </row>
    <row r="470" spans="6:16" x14ac:dyDescent="0.25">
      <c r="F470" s="7">
        <v>43203</v>
      </c>
      <c r="G470">
        <v>4.1640651595409924E-2</v>
      </c>
      <c r="I470" s="7">
        <v>43203</v>
      </c>
      <c r="J470">
        <v>9</v>
      </c>
      <c r="K470">
        <v>1745</v>
      </c>
      <c r="L470">
        <v>1546.5</v>
      </c>
      <c r="M470">
        <v>5070</v>
      </c>
      <c r="N470">
        <v>1520</v>
      </c>
      <c r="O470" t="s">
        <v>71</v>
      </c>
      <c r="P470">
        <v>2018</v>
      </c>
    </row>
    <row r="471" spans="6:16" x14ac:dyDescent="0.25">
      <c r="F471" s="7">
        <v>43204</v>
      </c>
      <c r="G471">
        <v>5.9206921832761356E-2</v>
      </c>
      <c r="I471" s="7">
        <v>43204</v>
      </c>
      <c r="J471">
        <v>28</v>
      </c>
      <c r="K471">
        <v>6729.5</v>
      </c>
      <c r="L471">
        <v>2618.8000000000002</v>
      </c>
      <c r="M471">
        <v>9000</v>
      </c>
      <c r="N471">
        <v>2700</v>
      </c>
      <c r="O471" t="s">
        <v>71</v>
      </c>
      <c r="P471">
        <v>2018</v>
      </c>
    </row>
    <row r="472" spans="6:16" x14ac:dyDescent="0.25">
      <c r="F472" s="7">
        <v>43205</v>
      </c>
      <c r="G472">
        <v>4.4257172673764548E-2</v>
      </c>
      <c r="I472" s="7">
        <v>43205</v>
      </c>
      <c r="J472">
        <v>26</v>
      </c>
      <c r="K472">
        <v>5842</v>
      </c>
      <c r="L472">
        <v>446</v>
      </c>
      <c r="M472">
        <v>7580</v>
      </c>
      <c r="N472">
        <v>2280</v>
      </c>
      <c r="O472" t="s">
        <v>71</v>
      </c>
      <c r="P472">
        <v>2018</v>
      </c>
    </row>
    <row r="473" spans="6:16" x14ac:dyDescent="0.25">
      <c r="F473" s="7">
        <v>43206</v>
      </c>
      <c r="G473">
        <v>2.3041635129940678E-2</v>
      </c>
      <c r="I473" s="7">
        <v>43206</v>
      </c>
      <c r="J473">
        <v>19</v>
      </c>
      <c r="K473">
        <v>4794.5</v>
      </c>
      <c r="L473">
        <v>463</v>
      </c>
      <c r="M473">
        <v>5020</v>
      </c>
      <c r="N473">
        <v>1510</v>
      </c>
      <c r="O473" t="s">
        <v>71</v>
      </c>
      <c r="P473">
        <v>2018</v>
      </c>
    </row>
    <row r="474" spans="6:16" x14ac:dyDescent="0.25">
      <c r="F474" s="7">
        <v>43207</v>
      </c>
      <c r="G474">
        <v>2.3211240809186042E-2</v>
      </c>
      <c r="I474" s="7">
        <v>43207</v>
      </c>
      <c r="J474">
        <v>20</v>
      </c>
      <c r="K474">
        <v>4122</v>
      </c>
      <c r="L474">
        <v>436.97</v>
      </c>
      <c r="M474">
        <v>4860</v>
      </c>
      <c r="N474">
        <v>1460</v>
      </c>
      <c r="O474" t="s">
        <v>71</v>
      </c>
      <c r="P474">
        <v>2018</v>
      </c>
    </row>
    <row r="475" spans="6:16" x14ac:dyDescent="0.25">
      <c r="F475" s="7">
        <v>43208</v>
      </c>
      <c r="G475">
        <v>2.7225659452826241E-2</v>
      </c>
      <c r="I475" s="7">
        <v>43208</v>
      </c>
      <c r="J475">
        <v>13</v>
      </c>
      <c r="K475">
        <v>2707</v>
      </c>
      <c r="L475">
        <v>1787</v>
      </c>
      <c r="M475">
        <v>4660</v>
      </c>
      <c r="N475">
        <v>1400</v>
      </c>
      <c r="O475" t="s">
        <v>71</v>
      </c>
      <c r="P475">
        <v>2018</v>
      </c>
    </row>
    <row r="476" spans="6:16" x14ac:dyDescent="0.25">
      <c r="F476" s="7">
        <v>43209</v>
      </c>
      <c r="G476">
        <v>2.75751855061473E-2</v>
      </c>
      <c r="I476" s="7">
        <v>43209</v>
      </c>
      <c r="J476">
        <v>21</v>
      </c>
      <c r="K476">
        <v>3830.92</v>
      </c>
      <c r="L476">
        <v>1004.1</v>
      </c>
      <c r="M476">
        <v>5400</v>
      </c>
      <c r="N476">
        <v>1620</v>
      </c>
      <c r="O476" t="s">
        <v>71</v>
      </c>
      <c r="P476">
        <v>2018</v>
      </c>
    </row>
    <row r="477" spans="6:16" x14ac:dyDescent="0.25">
      <c r="F477" s="7">
        <v>43210</v>
      </c>
      <c r="G477">
        <v>3.5917107678923345E-2</v>
      </c>
      <c r="I477" s="7">
        <v>43210</v>
      </c>
      <c r="J477">
        <v>31</v>
      </c>
      <c r="K477">
        <v>6768.5</v>
      </c>
      <c r="L477">
        <v>613</v>
      </c>
      <c r="M477">
        <v>7330</v>
      </c>
      <c r="N477">
        <v>2200</v>
      </c>
      <c r="O477" t="s">
        <v>71</v>
      </c>
      <c r="P477">
        <v>2018</v>
      </c>
    </row>
    <row r="478" spans="6:16" x14ac:dyDescent="0.25">
      <c r="F478" s="7">
        <v>43211</v>
      </c>
      <c r="G478">
        <v>5.4279166910743665E-2</v>
      </c>
      <c r="I478" s="7">
        <v>43211</v>
      </c>
      <c r="J478">
        <v>28</v>
      </c>
      <c r="K478">
        <v>6195.6</v>
      </c>
      <c r="L478">
        <v>1853.25</v>
      </c>
      <c r="M478">
        <v>8760</v>
      </c>
      <c r="N478">
        <v>2630</v>
      </c>
      <c r="O478" t="s">
        <v>71</v>
      </c>
      <c r="P478">
        <v>2018</v>
      </c>
    </row>
    <row r="479" spans="6:16" x14ac:dyDescent="0.25">
      <c r="F479" s="7">
        <v>43212</v>
      </c>
      <c r="G479">
        <v>4.0191405722412768E-2</v>
      </c>
      <c r="I479" s="7">
        <v>43212</v>
      </c>
      <c r="J479">
        <v>18</v>
      </c>
      <c r="K479">
        <v>4016.9</v>
      </c>
      <c r="L479">
        <v>395.3</v>
      </c>
      <c r="M479">
        <v>6750</v>
      </c>
      <c r="N479">
        <v>2030</v>
      </c>
      <c r="O479" t="s">
        <v>71</v>
      </c>
      <c r="P479">
        <v>2018</v>
      </c>
    </row>
    <row r="480" spans="6:16" x14ac:dyDescent="0.25">
      <c r="F480" s="7">
        <v>43213</v>
      </c>
      <c r="G480">
        <v>1.9886376965781032E-2</v>
      </c>
      <c r="I480" s="7">
        <v>43213</v>
      </c>
      <c r="J480">
        <v>6</v>
      </c>
      <c r="K480">
        <v>1612</v>
      </c>
      <c r="L480">
        <v>232</v>
      </c>
      <c r="M480">
        <v>3590</v>
      </c>
      <c r="N480">
        <v>1080</v>
      </c>
      <c r="O480" t="s">
        <v>71</v>
      </c>
      <c r="P480">
        <v>2018</v>
      </c>
    </row>
    <row r="481" spans="6:16" x14ac:dyDescent="0.25">
      <c r="F481" s="7">
        <v>43214</v>
      </c>
      <c r="G481">
        <v>2.0996492523082985E-2</v>
      </c>
      <c r="I481" s="7">
        <v>43214</v>
      </c>
      <c r="J481">
        <v>17</v>
      </c>
      <c r="K481">
        <v>3509</v>
      </c>
      <c r="L481">
        <v>51.75</v>
      </c>
      <c r="M481">
        <v>4580</v>
      </c>
      <c r="N481">
        <v>1380</v>
      </c>
      <c r="O481" t="s">
        <v>71</v>
      </c>
      <c r="P481">
        <v>2018</v>
      </c>
    </row>
    <row r="482" spans="6:16" x14ac:dyDescent="0.25">
      <c r="F482" s="7">
        <v>43215</v>
      </c>
      <c r="G482">
        <v>2.5962474439639952E-2</v>
      </c>
      <c r="I482" s="7">
        <v>43215</v>
      </c>
      <c r="J482">
        <v>11</v>
      </c>
      <c r="K482">
        <v>2335.6</v>
      </c>
      <c r="L482">
        <v>1803.25</v>
      </c>
      <c r="M482">
        <v>4490</v>
      </c>
      <c r="N482">
        <v>1350</v>
      </c>
      <c r="O482" t="s">
        <v>71</v>
      </c>
      <c r="P482">
        <v>2018</v>
      </c>
    </row>
    <row r="483" spans="6:16" x14ac:dyDescent="0.25">
      <c r="F483" s="7">
        <v>43216</v>
      </c>
      <c r="G483">
        <v>2.7255664867228802E-2</v>
      </c>
      <c r="I483" s="7">
        <v>43216</v>
      </c>
      <c r="J483">
        <v>15</v>
      </c>
      <c r="K483">
        <v>2711</v>
      </c>
      <c r="L483">
        <v>2256</v>
      </c>
      <c r="M483">
        <v>4890</v>
      </c>
      <c r="N483">
        <v>1470</v>
      </c>
      <c r="O483" t="s">
        <v>71</v>
      </c>
      <c r="P483">
        <v>2018</v>
      </c>
    </row>
    <row r="484" spans="6:16" x14ac:dyDescent="0.25">
      <c r="F484" s="7">
        <v>43217</v>
      </c>
      <c r="G484">
        <v>3.651481843239078E-2</v>
      </c>
      <c r="I484" s="7">
        <v>43217</v>
      </c>
      <c r="J484">
        <v>23</v>
      </c>
      <c r="K484">
        <v>5570</v>
      </c>
      <c r="L484">
        <v>624</v>
      </c>
      <c r="M484">
        <v>6790</v>
      </c>
      <c r="N484">
        <v>2040</v>
      </c>
      <c r="O484" t="s">
        <v>71</v>
      </c>
      <c r="P484">
        <v>2018</v>
      </c>
    </row>
    <row r="485" spans="6:16" x14ac:dyDescent="0.25">
      <c r="F485" s="7">
        <v>43218</v>
      </c>
      <c r="G485">
        <v>5.574997255599512E-2</v>
      </c>
      <c r="I485" s="7">
        <v>43218</v>
      </c>
      <c r="J485">
        <v>35</v>
      </c>
      <c r="K485">
        <v>6556.05</v>
      </c>
      <c r="L485">
        <v>2882.25</v>
      </c>
      <c r="M485">
        <v>8920</v>
      </c>
      <c r="N485">
        <v>2680</v>
      </c>
      <c r="O485" t="s">
        <v>71</v>
      </c>
      <c r="P485">
        <v>2018</v>
      </c>
    </row>
    <row r="486" spans="6:16" x14ac:dyDescent="0.25">
      <c r="F486" s="7">
        <v>43219</v>
      </c>
      <c r="G486">
        <v>4.2474688517191703E-2</v>
      </c>
      <c r="I486" s="7">
        <v>43219</v>
      </c>
      <c r="J486">
        <v>18</v>
      </c>
      <c r="K486">
        <v>3525</v>
      </c>
      <c r="L486">
        <v>880</v>
      </c>
      <c r="M486">
        <v>6530</v>
      </c>
      <c r="N486">
        <v>1960</v>
      </c>
      <c r="O486" t="s">
        <v>71</v>
      </c>
      <c r="P486">
        <v>2018</v>
      </c>
    </row>
    <row r="487" spans="6:16" x14ac:dyDescent="0.25">
      <c r="F487" s="7">
        <v>43220</v>
      </c>
      <c r="G487">
        <v>2.2906621916432893E-2</v>
      </c>
      <c r="I487" s="7">
        <v>43220</v>
      </c>
      <c r="J487">
        <v>6</v>
      </c>
      <c r="K487">
        <v>1241.24</v>
      </c>
      <c r="L487">
        <v>208</v>
      </c>
      <c r="M487">
        <v>3420</v>
      </c>
      <c r="N487">
        <v>1030</v>
      </c>
      <c r="O487" t="s">
        <v>71</v>
      </c>
      <c r="P487">
        <v>2018</v>
      </c>
    </row>
    <row r="488" spans="6:16" x14ac:dyDescent="0.25">
      <c r="F488" s="7">
        <v>43221</v>
      </c>
      <c r="G488">
        <v>2.4665194313143401E-2</v>
      </c>
      <c r="I488" s="7">
        <v>43221</v>
      </c>
      <c r="J488">
        <v>8</v>
      </c>
      <c r="K488">
        <v>1076</v>
      </c>
      <c r="L488">
        <v>299</v>
      </c>
      <c r="M488">
        <v>3490</v>
      </c>
      <c r="N488">
        <v>1050</v>
      </c>
      <c r="O488" t="s">
        <v>71</v>
      </c>
      <c r="P488">
        <v>2018</v>
      </c>
    </row>
    <row r="489" spans="6:16" x14ac:dyDescent="0.25">
      <c r="F489" s="7">
        <v>43222</v>
      </c>
      <c r="G489">
        <v>3.0180320568297093E-2</v>
      </c>
      <c r="I489" s="7">
        <v>43222</v>
      </c>
      <c r="J489">
        <v>16</v>
      </c>
      <c r="K489">
        <v>2892.97</v>
      </c>
      <c r="L489">
        <v>1290</v>
      </c>
      <c r="M489">
        <v>4750</v>
      </c>
      <c r="N489">
        <v>1430</v>
      </c>
      <c r="O489" t="s">
        <v>71</v>
      </c>
      <c r="P489">
        <v>2018</v>
      </c>
    </row>
    <row r="490" spans="6:16" x14ac:dyDescent="0.25">
      <c r="F490" s="7">
        <v>43223</v>
      </c>
      <c r="G490">
        <v>3.191494159126243E-2</v>
      </c>
      <c r="I490" s="7">
        <v>43223</v>
      </c>
      <c r="J490">
        <v>27</v>
      </c>
      <c r="K490">
        <v>4847.75</v>
      </c>
      <c r="L490">
        <v>2404.6999999999998</v>
      </c>
      <c r="M490">
        <v>5850</v>
      </c>
      <c r="N490">
        <v>1760</v>
      </c>
      <c r="O490" t="s">
        <v>71</v>
      </c>
      <c r="P490">
        <v>2018</v>
      </c>
    </row>
    <row r="491" spans="6:16" x14ac:dyDescent="0.25">
      <c r="F491" s="7">
        <v>43224</v>
      </c>
      <c r="G491">
        <v>4.1501981139542822E-2</v>
      </c>
      <c r="I491" s="7">
        <v>43224</v>
      </c>
      <c r="J491">
        <v>20</v>
      </c>
      <c r="K491">
        <v>3013</v>
      </c>
      <c r="L491">
        <v>41.9</v>
      </c>
      <c r="M491">
        <v>5640</v>
      </c>
      <c r="N491">
        <v>1700</v>
      </c>
      <c r="O491" t="s">
        <v>71</v>
      </c>
      <c r="P491">
        <v>2018</v>
      </c>
    </row>
    <row r="492" spans="6:16" x14ac:dyDescent="0.25">
      <c r="F492" s="7">
        <v>43225</v>
      </c>
      <c r="G492">
        <v>6.0948317326254872E-2</v>
      </c>
      <c r="I492" s="7">
        <v>43225</v>
      </c>
      <c r="J492">
        <v>20</v>
      </c>
      <c r="K492">
        <v>4163</v>
      </c>
      <c r="L492">
        <v>717</v>
      </c>
      <c r="M492">
        <v>7840</v>
      </c>
      <c r="N492">
        <v>2360</v>
      </c>
      <c r="O492" t="s">
        <v>71</v>
      </c>
      <c r="P492">
        <v>2018</v>
      </c>
    </row>
    <row r="493" spans="6:16" x14ac:dyDescent="0.25">
      <c r="F493" s="7">
        <v>43226</v>
      </c>
      <c r="G493">
        <v>4.077789533153367E-2</v>
      </c>
      <c r="I493" s="7">
        <v>43226</v>
      </c>
      <c r="J493">
        <v>19</v>
      </c>
      <c r="K493">
        <v>3374</v>
      </c>
      <c r="L493">
        <v>206</v>
      </c>
      <c r="M493">
        <v>6170</v>
      </c>
      <c r="N493">
        <v>1850</v>
      </c>
      <c r="O493" t="s">
        <v>72</v>
      </c>
      <c r="P493">
        <v>2018</v>
      </c>
    </row>
    <row r="494" spans="6:16" x14ac:dyDescent="0.25">
      <c r="F494" s="7">
        <v>43227</v>
      </c>
      <c r="G494">
        <v>2.4055140054821993E-2</v>
      </c>
      <c r="I494" s="7">
        <v>43227</v>
      </c>
      <c r="J494">
        <v>23</v>
      </c>
      <c r="K494">
        <v>4119.5</v>
      </c>
      <c r="L494">
        <v>1672</v>
      </c>
      <c r="M494">
        <v>4370</v>
      </c>
      <c r="N494">
        <v>1310</v>
      </c>
      <c r="O494" t="s">
        <v>72</v>
      </c>
      <c r="P494">
        <v>2018</v>
      </c>
    </row>
    <row r="495" spans="6:16" x14ac:dyDescent="0.25">
      <c r="F495" s="7">
        <v>43228</v>
      </c>
      <c r="G495">
        <v>2.5444556118067074E-2</v>
      </c>
      <c r="I495" s="7">
        <v>43228</v>
      </c>
      <c r="J495">
        <v>9</v>
      </c>
      <c r="K495">
        <v>4221.7700000000004</v>
      </c>
      <c r="L495">
        <v>242.5</v>
      </c>
      <c r="M495">
        <v>4550</v>
      </c>
      <c r="N495">
        <v>1370</v>
      </c>
      <c r="O495" t="s">
        <v>72</v>
      </c>
      <c r="P495">
        <v>2018</v>
      </c>
    </row>
    <row r="496" spans="6:16" x14ac:dyDescent="0.25">
      <c r="F496" s="7">
        <v>43229</v>
      </c>
      <c r="G496">
        <v>2.9953053347330342E-2</v>
      </c>
      <c r="I496" s="7">
        <v>43229</v>
      </c>
      <c r="J496">
        <v>17</v>
      </c>
      <c r="K496">
        <v>4060.87</v>
      </c>
      <c r="L496">
        <v>1660.9</v>
      </c>
      <c r="M496">
        <v>4930</v>
      </c>
      <c r="N496">
        <v>1480</v>
      </c>
      <c r="O496" t="s">
        <v>72</v>
      </c>
      <c r="P496">
        <v>2018</v>
      </c>
    </row>
    <row r="497" spans="6:16" x14ac:dyDescent="0.25">
      <c r="F497" s="7">
        <v>43230</v>
      </c>
      <c r="G497">
        <v>3.1154448585440173E-2</v>
      </c>
      <c r="I497" s="7">
        <v>43230</v>
      </c>
      <c r="J497">
        <v>9</v>
      </c>
      <c r="K497">
        <v>2315</v>
      </c>
      <c r="L497">
        <v>158</v>
      </c>
      <c r="M497">
        <v>4510</v>
      </c>
      <c r="N497">
        <v>1360</v>
      </c>
      <c r="O497" t="s">
        <v>72</v>
      </c>
      <c r="P497">
        <v>2018</v>
      </c>
    </row>
    <row r="498" spans="6:16" x14ac:dyDescent="0.25">
      <c r="F498" s="7">
        <v>43231</v>
      </c>
      <c r="G498">
        <v>3.8989296215129171E-2</v>
      </c>
      <c r="I498" s="7">
        <v>43231</v>
      </c>
      <c r="J498">
        <v>28</v>
      </c>
      <c r="K498">
        <v>6505.95</v>
      </c>
      <c r="L498">
        <v>1420.6</v>
      </c>
      <c r="M498">
        <v>6670</v>
      </c>
      <c r="N498">
        <v>2000</v>
      </c>
      <c r="O498" t="s">
        <v>72</v>
      </c>
      <c r="P498">
        <v>2018</v>
      </c>
    </row>
    <row r="499" spans="6:16" x14ac:dyDescent="0.25">
      <c r="F499" s="7">
        <v>43232</v>
      </c>
      <c r="G499">
        <v>5.5181960830224384E-2</v>
      </c>
      <c r="I499" s="7">
        <v>43232</v>
      </c>
      <c r="J499">
        <v>20</v>
      </c>
      <c r="K499">
        <v>7951</v>
      </c>
      <c r="L499">
        <v>3344.4</v>
      </c>
      <c r="M499">
        <v>8870</v>
      </c>
      <c r="N499">
        <v>2670</v>
      </c>
      <c r="O499" t="s">
        <v>72</v>
      </c>
      <c r="P499">
        <v>2018</v>
      </c>
    </row>
    <row r="500" spans="6:16" x14ac:dyDescent="0.25">
      <c r="F500" s="7">
        <v>43233</v>
      </c>
      <c r="G500">
        <v>6.3609249122001554E-2</v>
      </c>
      <c r="I500" s="7">
        <v>43233</v>
      </c>
      <c r="J500">
        <v>37</v>
      </c>
      <c r="K500">
        <v>7349</v>
      </c>
      <c r="L500">
        <v>2514.5</v>
      </c>
      <c r="M500">
        <v>7630</v>
      </c>
      <c r="N500">
        <v>2290</v>
      </c>
      <c r="O500" t="s">
        <v>72</v>
      </c>
      <c r="P500">
        <v>2018</v>
      </c>
    </row>
    <row r="501" spans="6:16" x14ac:dyDescent="0.25">
      <c r="F501" s="7">
        <v>43234</v>
      </c>
      <c r="G501">
        <v>2.9210180308358192E-2</v>
      </c>
      <c r="I501" s="7">
        <v>43234</v>
      </c>
      <c r="J501">
        <v>15</v>
      </c>
      <c r="K501">
        <v>3354.75</v>
      </c>
      <c r="L501">
        <v>710.2</v>
      </c>
      <c r="M501">
        <v>4090</v>
      </c>
      <c r="N501">
        <v>1230</v>
      </c>
      <c r="O501" t="s">
        <v>72</v>
      </c>
      <c r="P501">
        <v>2018</v>
      </c>
    </row>
    <row r="502" spans="6:16" x14ac:dyDescent="0.25">
      <c r="F502" s="7">
        <v>43235</v>
      </c>
      <c r="G502">
        <v>2.7143463547631447E-2</v>
      </c>
      <c r="I502" s="7">
        <v>43235</v>
      </c>
      <c r="J502">
        <v>14</v>
      </c>
      <c r="K502">
        <v>2698.5</v>
      </c>
      <c r="L502">
        <v>121</v>
      </c>
      <c r="M502">
        <v>3990</v>
      </c>
      <c r="N502">
        <v>1200</v>
      </c>
      <c r="O502" t="s">
        <v>72</v>
      </c>
      <c r="P502">
        <v>2018</v>
      </c>
    </row>
    <row r="503" spans="6:16" x14ac:dyDescent="0.25">
      <c r="F503" s="7">
        <v>43236</v>
      </c>
      <c r="G503">
        <v>3.1136353719100635E-2</v>
      </c>
      <c r="I503" s="7">
        <v>43236</v>
      </c>
      <c r="J503">
        <v>12</v>
      </c>
      <c r="K503">
        <v>2482.2399999999998</v>
      </c>
      <c r="L503">
        <v>273</v>
      </c>
      <c r="M503">
        <v>4350</v>
      </c>
      <c r="N503">
        <v>1310</v>
      </c>
      <c r="O503" t="s">
        <v>72</v>
      </c>
      <c r="P503">
        <v>2018</v>
      </c>
    </row>
    <row r="504" spans="6:16" x14ac:dyDescent="0.25">
      <c r="F504" s="7">
        <v>43237</v>
      </c>
      <c r="G504">
        <v>3.1828697265444211E-2</v>
      </c>
      <c r="I504" s="7">
        <v>43237</v>
      </c>
      <c r="J504">
        <v>14</v>
      </c>
      <c r="K504">
        <v>3106</v>
      </c>
      <c r="L504">
        <v>569.29999999999995</v>
      </c>
      <c r="M504">
        <v>4800</v>
      </c>
      <c r="N504">
        <v>1440</v>
      </c>
      <c r="O504" t="s">
        <v>72</v>
      </c>
      <c r="P504">
        <v>2018</v>
      </c>
    </row>
    <row r="505" spans="6:16" x14ac:dyDescent="0.25">
      <c r="F505" s="7">
        <v>43238</v>
      </c>
      <c r="G505">
        <v>3.9173726461562156E-2</v>
      </c>
      <c r="I505" s="7">
        <v>43238</v>
      </c>
      <c r="J505">
        <v>14</v>
      </c>
      <c r="K505">
        <v>3986</v>
      </c>
      <c r="L505">
        <v>262.2</v>
      </c>
      <c r="M505">
        <v>5740</v>
      </c>
      <c r="N505">
        <v>1720</v>
      </c>
      <c r="O505" t="s">
        <v>72</v>
      </c>
      <c r="P505">
        <v>2018</v>
      </c>
    </row>
    <row r="506" spans="6:16" x14ac:dyDescent="0.25">
      <c r="F506" s="7">
        <v>43239</v>
      </c>
      <c r="G506">
        <v>5.4907580137311215E-2</v>
      </c>
      <c r="I506" s="7">
        <v>43239</v>
      </c>
      <c r="J506">
        <v>32</v>
      </c>
      <c r="K506">
        <v>7199</v>
      </c>
      <c r="L506">
        <v>1754</v>
      </c>
      <c r="M506">
        <v>8600</v>
      </c>
      <c r="N506">
        <v>2580</v>
      </c>
      <c r="O506" t="s">
        <v>72</v>
      </c>
      <c r="P506">
        <v>2018</v>
      </c>
    </row>
    <row r="507" spans="6:16" x14ac:dyDescent="0.25">
      <c r="F507" s="7">
        <v>43240</v>
      </c>
      <c r="G507">
        <v>4.2782758817622474E-2</v>
      </c>
      <c r="I507" s="7">
        <v>43240</v>
      </c>
      <c r="J507">
        <v>19</v>
      </c>
      <c r="K507">
        <v>2218.6</v>
      </c>
      <c r="L507">
        <v>1919.6</v>
      </c>
      <c r="M507">
        <v>5750</v>
      </c>
      <c r="N507">
        <v>1730</v>
      </c>
      <c r="O507" t="s">
        <v>72</v>
      </c>
      <c r="P507">
        <v>2018</v>
      </c>
    </row>
    <row r="508" spans="6:16" x14ac:dyDescent="0.25">
      <c r="F508" s="7">
        <v>43241</v>
      </c>
      <c r="G508">
        <v>2.5204850422869587E-2</v>
      </c>
      <c r="I508" s="7">
        <v>43241</v>
      </c>
      <c r="J508">
        <v>19</v>
      </c>
      <c r="K508">
        <v>3651.1</v>
      </c>
      <c r="L508">
        <v>1290</v>
      </c>
      <c r="M508">
        <v>4200</v>
      </c>
      <c r="N508">
        <v>1260</v>
      </c>
      <c r="O508" t="s">
        <v>72</v>
      </c>
      <c r="P508">
        <v>2018</v>
      </c>
    </row>
    <row r="509" spans="6:16" x14ac:dyDescent="0.25">
      <c r="F509" s="7">
        <v>43242</v>
      </c>
      <c r="G509">
        <v>2.5777089933858521E-2</v>
      </c>
      <c r="I509" s="7">
        <v>43242</v>
      </c>
      <c r="J509">
        <v>12</v>
      </c>
      <c r="K509">
        <v>1718.5</v>
      </c>
      <c r="L509">
        <v>377.6</v>
      </c>
      <c r="M509">
        <v>3630</v>
      </c>
      <c r="N509">
        <v>1090</v>
      </c>
      <c r="O509" t="s">
        <v>72</v>
      </c>
      <c r="P509">
        <v>2018</v>
      </c>
    </row>
    <row r="510" spans="6:16" x14ac:dyDescent="0.25">
      <c r="F510" s="7">
        <v>43243</v>
      </c>
      <c r="G510">
        <v>2.9525566978513062E-2</v>
      </c>
      <c r="I510" s="7">
        <v>43243</v>
      </c>
      <c r="J510">
        <v>30</v>
      </c>
      <c r="K510">
        <v>5947.6</v>
      </c>
      <c r="L510">
        <v>288.3</v>
      </c>
      <c r="M510">
        <v>5620</v>
      </c>
      <c r="N510">
        <v>1690</v>
      </c>
      <c r="O510" t="s">
        <v>72</v>
      </c>
      <c r="P510">
        <v>2018</v>
      </c>
    </row>
    <row r="511" spans="6:16" x14ac:dyDescent="0.25">
      <c r="F511" s="7">
        <v>43244</v>
      </c>
      <c r="G511">
        <v>3.004108236242381E-2</v>
      </c>
      <c r="I511" s="7">
        <v>43244</v>
      </c>
      <c r="J511">
        <v>22</v>
      </c>
      <c r="K511">
        <v>4525.25</v>
      </c>
      <c r="L511">
        <v>1347</v>
      </c>
      <c r="M511">
        <v>5320</v>
      </c>
      <c r="N511">
        <v>1600</v>
      </c>
      <c r="O511" t="s">
        <v>72</v>
      </c>
      <c r="P511">
        <v>2018</v>
      </c>
    </row>
    <row r="512" spans="6:16" x14ac:dyDescent="0.25">
      <c r="F512" s="7">
        <v>43245</v>
      </c>
      <c r="G512">
        <v>3.727858080495091E-2</v>
      </c>
      <c r="I512" s="7">
        <v>43245</v>
      </c>
      <c r="J512">
        <v>29</v>
      </c>
      <c r="K512">
        <v>5057.55</v>
      </c>
      <c r="L512">
        <v>1486.5</v>
      </c>
      <c r="M512">
        <v>6130</v>
      </c>
      <c r="N512">
        <v>1840</v>
      </c>
      <c r="O512" t="s">
        <v>72</v>
      </c>
      <c r="P512">
        <v>2018</v>
      </c>
    </row>
    <row r="513" spans="6:16" x14ac:dyDescent="0.25">
      <c r="F513" s="7">
        <v>43246</v>
      </c>
      <c r="G513">
        <v>5.29738989256823E-2</v>
      </c>
      <c r="I513" s="7">
        <v>43246</v>
      </c>
      <c r="J513">
        <v>26</v>
      </c>
      <c r="K513">
        <v>7266.6</v>
      </c>
      <c r="L513">
        <v>1148.0999999999999</v>
      </c>
      <c r="M513">
        <v>8620</v>
      </c>
      <c r="N513">
        <v>2590</v>
      </c>
      <c r="O513" t="s">
        <v>72</v>
      </c>
      <c r="P513">
        <v>2018</v>
      </c>
    </row>
    <row r="514" spans="6:16" x14ac:dyDescent="0.25">
      <c r="F514" s="7">
        <v>43247</v>
      </c>
      <c r="G514">
        <v>4.0877264105604452E-2</v>
      </c>
      <c r="I514" s="7">
        <v>43247</v>
      </c>
      <c r="J514">
        <v>30</v>
      </c>
      <c r="K514">
        <v>5715</v>
      </c>
      <c r="L514">
        <v>564.4</v>
      </c>
      <c r="M514">
        <v>7030</v>
      </c>
      <c r="N514">
        <v>2110</v>
      </c>
      <c r="O514" t="s">
        <v>72</v>
      </c>
      <c r="P514">
        <v>2018</v>
      </c>
    </row>
    <row r="515" spans="6:16" x14ac:dyDescent="0.25">
      <c r="F515" s="7">
        <v>43248</v>
      </c>
      <c r="G515">
        <v>2.3390116356246573E-2</v>
      </c>
      <c r="I515" s="7">
        <v>43248</v>
      </c>
      <c r="J515">
        <v>25</v>
      </c>
      <c r="K515">
        <v>5822.25</v>
      </c>
      <c r="L515">
        <v>2643.5</v>
      </c>
      <c r="M515">
        <v>5000</v>
      </c>
      <c r="N515">
        <v>1500</v>
      </c>
      <c r="O515" t="s">
        <v>72</v>
      </c>
      <c r="P515">
        <v>2018</v>
      </c>
    </row>
    <row r="516" spans="6:16" x14ac:dyDescent="0.25">
      <c r="F516" s="7">
        <v>43249</v>
      </c>
      <c r="G516">
        <v>2.4109813385310954E-2</v>
      </c>
      <c r="I516" s="7">
        <v>43249</v>
      </c>
      <c r="J516">
        <v>22</v>
      </c>
      <c r="K516">
        <v>6128.79</v>
      </c>
      <c r="L516">
        <v>2070.5</v>
      </c>
      <c r="M516">
        <v>5250</v>
      </c>
      <c r="N516">
        <v>1580</v>
      </c>
      <c r="O516" t="s">
        <v>72</v>
      </c>
      <c r="P516">
        <v>2018</v>
      </c>
    </row>
    <row r="517" spans="6:16" x14ac:dyDescent="0.25">
      <c r="F517" s="7">
        <v>43250</v>
      </c>
      <c r="G517">
        <v>2.8055028891054989E-2</v>
      </c>
      <c r="I517" s="7">
        <v>43250</v>
      </c>
      <c r="J517">
        <v>13</v>
      </c>
      <c r="K517">
        <v>2826.6</v>
      </c>
      <c r="L517">
        <v>2286.6</v>
      </c>
      <c r="M517">
        <v>4470</v>
      </c>
      <c r="N517">
        <v>1340</v>
      </c>
      <c r="O517" t="s">
        <v>72</v>
      </c>
      <c r="P517">
        <v>2018</v>
      </c>
    </row>
    <row r="518" spans="6:16" x14ac:dyDescent="0.25">
      <c r="F518" s="7">
        <v>43251</v>
      </c>
      <c r="G518">
        <v>2.880783948714969E-2</v>
      </c>
      <c r="I518" s="7">
        <v>43251</v>
      </c>
      <c r="J518">
        <v>33</v>
      </c>
      <c r="K518">
        <v>5942.2</v>
      </c>
      <c r="L518">
        <v>716.1</v>
      </c>
      <c r="M518">
        <v>5850</v>
      </c>
      <c r="N518">
        <v>1760</v>
      </c>
      <c r="O518" t="s">
        <v>72</v>
      </c>
      <c r="P518">
        <v>2018</v>
      </c>
    </row>
    <row r="519" spans="6:16" x14ac:dyDescent="0.25">
      <c r="F519" s="7">
        <v>43252</v>
      </c>
      <c r="G519">
        <v>3.631342121223767E-2</v>
      </c>
      <c r="I519" s="7">
        <v>43252</v>
      </c>
      <c r="J519">
        <v>17</v>
      </c>
      <c r="K519">
        <v>3036.77</v>
      </c>
      <c r="L519">
        <v>379.6</v>
      </c>
      <c r="M519">
        <v>5390</v>
      </c>
      <c r="N519">
        <v>1620</v>
      </c>
      <c r="O519" t="s">
        <v>72</v>
      </c>
      <c r="P519">
        <v>2018</v>
      </c>
    </row>
    <row r="520" spans="6:16" x14ac:dyDescent="0.25">
      <c r="F520" s="7">
        <v>43253</v>
      </c>
      <c r="G520">
        <v>5.2297087272518687E-2</v>
      </c>
      <c r="I520" s="7">
        <v>43253</v>
      </c>
      <c r="J520">
        <v>29</v>
      </c>
      <c r="K520">
        <v>8561.19</v>
      </c>
      <c r="L520">
        <v>993.5</v>
      </c>
      <c r="M520">
        <v>9100</v>
      </c>
      <c r="N520">
        <v>2730</v>
      </c>
      <c r="O520" t="s">
        <v>72</v>
      </c>
      <c r="P520">
        <v>2018</v>
      </c>
    </row>
    <row r="521" spans="6:16" x14ac:dyDescent="0.25">
      <c r="F521" s="7">
        <v>43254</v>
      </c>
      <c r="G521">
        <v>3.6228020562891629E-2</v>
      </c>
      <c r="I521" s="7">
        <v>43254</v>
      </c>
      <c r="J521">
        <v>31</v>
      </c>
      <c r="K521">
        <v>5074.6000000000004</v>
      </c>
      <c r="L521">
        <v>526.5</v>
      </c>
      <c r="M521">
        <v>6190</v>
      </c>
      <c r="N521">
        <v>1860</v>
      </c>
      <c r="O521" t="s">
        <v>73</v>
      </c>
      <c r="P521">
        <v>2018</v>
      </c>
    </row>
    <row r="522" spans="6:16" x14ac:dyDescent="0.25">
      <c r="F522" s="7">
        <v>43255</v>
      </c>
      <c r="G522">
        <v>2.0849342423133257E-2</v>
      </c>
      <c r="I522" s="7">
        <v>43255</v>
      </c>
      <c r="J522">
        <v>13</v>
      </c>
      <c r="K522">
        <v>2199.9299999999998</v>
      </c>
      <c r="L522">
        <v>176</v>
      </c>
      <c r="M522">
        <v>3340</v>
      </c>
      <c r="N522">
        <v>1000</v>
      </c>
      <c r="O522" t="s">
        <v>73</v>
      </c>
      <c r="P522">
        <v>2018</v>
      </c>
    </row>
    <row r="523" spans="6:16" x14ac:dyDescent="0.25">
      <c r="F523" s="7">
        <v>43256</v>
      </c>
      <c r="G523">
        <v>2.1746424269277205E-2</v>
      </c>
      <c r="I523" s="7">
        <v>43256</v>
      </c>
      <c r="J523">
        <v>15</v>
      </c>
      <c r="K523">
        <v>2480.4</v>
      </c>
      <c r="L523">
        <v>4121</v>
      </c>
      <c r="M523">
        <v>3560</v>
      </c>
      <c r="N523">
        <v>1070</v>
      </c>
      <c r="O523" t="s">
        <v>73</v>
      </c>
      <c r="P523">
        <v>2018</v>
      </c>
    </row>
    <row r="524" spans="6:16" x14ac:dyDescent="0.25">
      <c r="F524" s="7">
        <v>43257</v>
      </c>
      <c r="G524">
        <v>2.5508229680219579E-2</v>
      </c>
      <c r="I524" s="7">
        <v>43257</v>
      </c>
      <c r="J524">
        <v>17</v>
      </c>
      <c r="K524">
        <v>3667.78</v>
      </c>
      <c r="L524">
        <v>449</v>
      </c>
      <c r="M524">
        <v>4360</v>
      </c>
      <c r="N524">
        <v>1310</v>
      </c>
      <c r="O524" t="s">
        <v>73</v>
      </c>
      <c r="P524">
        <v>2018</v>
      </c>
    </row>
    <row r="525" spans="6:16" x14ac:dyDescent="0.25">
      <c r="F525" s="7">
        <v>43258</v>
      </c>
      <c r="G525">
        <v>2.6384943448231595E-2</v>
      </c>
      <c r="I525" s="7">
        <v>43258</v>
      </c>
      <c r="J525">
        <v>25</v>
      </c>
      <c r="K525">
        <v>3774.6</v>
      </c>
      <c r="L525">
        <v>1404</v>
      </c>
      <c r="M525">
        <v>4600</v>
      </c>
      <c r="N525">
        <v>1380</v>
      </c>
      <c r="O525" t="s">
        <v>73</v>
      </c>
      <c r="P525">
        <v>2018</v>
      </c>
    </row>
    <row r="526" spans="6:16" x14ac:dyDescent="0.25">
      <c r="F526" s="7">
        <v>43259</v>
      </c>
      <c r="G526">
        <v>3.326548459861095E-2</v>
      </c>
      <c r="I526" s="7">
        <v>43259</v>
      </c>
      <c r="J526">
        <v>18</v>
      </c>
      <c r="K526">
        <v>4356.95</v>
      </c>
      <c r="L526">
        <v>684</v>
      </c>
      <c r="M526">
        <v>5360</v>
      </c>
      <c r="N526">
        <v>1610</v>
      </c>
      <c r="O526" t="s">
        <v>73</v>
      </c>
      <c r="P526">
        <v>2018</v>
      </c>
    </row>
    <row r="527" spans="6:16" x14ac:dyDescent="0.25">
      <c r="F527" s="7">
        <v>43260</v>
      </c>
      <c r="G527">
        <v>4.7686770368418799E-2</v>
      </c>
      <c r="I527" s="7">
        <v>43260</v>
      </c>
      <c r="J527">
        <v>36</v>
      </c>
      <c r="K527">
        <v>7768.5</v>
      </c>
      <c r="L527">
        <v>2333.15</v>
      </c>
      <c r="M527">
        <v>8030</v>
      </c>
      <c r="N527">
        <v>2410</v>
      </c>
      <c r="O527" t="s">
        <v>73</v>
      </c>
      <c r="P527">
        <v>2018</v>
      </c>
    </row>
    <row r="528" spans="6:16" x14ac:dyDescent="0.25">
      <c r="F528" s="7">
        <v>43261</v>
      </c>
      <c r="G528">
        <v>3.7206218236014499E-2</v>
      </c>
      <c r="I528" s="7">
        <v>43261</v>
      </c>
      <c r="J528">
        <v>31</v>
      </c>
      <c r="K528">
        <v>6118.39</v>
      </c>
      <c r="L528">
        <v>809.5</v>
      </c>
      <c r="M528">
        <v>6550</v>
      </c>
      <c r="N528">
        <v>1970</v>
      </c>
      <c r="O528" t="s">
        <v>73</v>
      </c>
      <c r="P528">
        <v>2018</v>
      </c>
    </row>
    <row r="529" spans="6:16" x14ac:dyDescent="0.25">
      <c r="F529" s="7">
        <v>43262</v>
      </c>
      <c r="G529">
        <v>2.184971507439027E-2</v>
      </c>
      <c r="I529" s="7">
        <v>43262</v>
      </c>
      <c r="J529">
        <v>23</v>
      </c>
      <c r="K529">
        <v>3393.1</v>
      </c>
      <c r="L529">
        <v>466</v>
      </c>
      <c r="M529">
        <v>3740</v>
      </c>
      <c r="N529">
        <v>1120</v>
      </c>
      <c r="O529" t="s">
        <v>73</v>
      </c>
      <c r="P529">
        <v>2018</v>
      </c>
    </row>
    <row r="530" spans="6:16" x14ac:dyDescent="0.25">
      <c r="F530" s="7">
        <v>43263</v>
      </c>
      <c r="G530">
        <v>2.2714730207230974E-2</v>
      </c>
      <c r="I530" s="7">
        <v>43263</v>
      </c>
      <c r="J530">
        <v>23</v>
      </c>
      <c r="K530">
        <v>4466.2</v>
      </c>
      <c r="L530">
        <v>3081.37</v>
      </c>
      <c r="M530">
        <v>4230</v>
      </c>
      <c r="N530">
        <v>1270</v>
      </c>
      <c r="O530" t="s">
        <v>73</v>
      </c>
      <c r="P530">
        <v>2018</v>
      </c>
    </row>
    <row r="531" spans="6:16" x14ac:dyDescent="0.25">
      <c r="F531" s="7">
        <v>43264</v>
      </c>
      <c r="G531">
        <v>2.638983752720871E-2</v>
      </c>
      <c r="I531" s="7">
        <v>43264</v>
      </c>
      <c r="J531">
        <v>23</v>
      </c>
      <c r="K531">
        <v>4507.3999999999996</v>
      </c>
      <c r="L531">
        <v>395.5</v>
      </c>
      <c r="M531">
        <v>4640</v>
      </c>
      <c r="N531">
        <v>1390</v>
      </c>
      <c r="O531" t="s">
        <v>73</v>
      </c>
      <c r="P531">
        <v>2018</v>
      </c>
    </row>
    <row r="532" spans="6:16" x14ac:dyDescent="0.25">
      <c r="F532" s="7">
        <v>43265</v>
      </c>
      <c r="G532">
        <v>2.7126466851916151E-2</v>
      </c>
      <c r="I532" s="7">
        <v>43265</v>
      </c>
      <c r="J532">
        <v>28</v>
      </c>
      <c r="K532">
        <v>4998.8999999999996</v>
      </c>
      <c r="L532">
        <v>2153</v>
      </c>
      <c r="M532">
        <v>5010</v>
      </c>
      <c r="N532">
        <v>1510</v>
      </c>
      <c r="O532" t="s">
        <v>73</v>
      </c>
      <c r="P532">
        <v>2018</v>
      </c>
    </row>
    <row r="533" spans="6:16" x14ac:dyDescent="0.25">
      <c r="F533" s="7">
        <v>43266</v>
      </c>
      <c r="G533">
        <v>3.3816415361288106E-2</v>
      </c>
      <c r="I533" s="7">
        <v>43266</v>
      </c>
      <c r="J533">
        <v>23</v>
      </c>
      <c r="K533">
        <v>3992.75</v>
      </c>
      <c r="L533">
        <v>396.1</v>
      </c>
      <c r="M533">
        <v>5230</v>
      </c>
      <c r="N533">
        <v>1570</v>
      </c>
      <c r="O533" t="s">
        <v>73</v>
      </c>
      <c r="P533">
        <v>2018</v>
      </c>
    </row>
    <row r="534" spans="6:16" x14ac:dyDescent="0.25">
      <c r="F534" s="7">
        <v>43267</v>
      </c>
      <c r="G534">
        <v>4.8001019179343067E-2</v>
      </c>
      <c r="I534" s="7">
        <v>43267</v>
      </c>
      <c r="J534">
        <v>35</v>
      </c>
      <c r="K534">
        <v>7970.25</v>
      </c>
      <c r="L534">
        <v>1731</v>
      </c>
      <c r="M534">
        <v>8100</v>
      </c>
      <c r="N534">
        <v>2430</v>
      </c>
      <c r="O534" t="s">
        <v>73</v>
      </c>
      <c r="P534">
        <v>2018</v>
      </c>
    </row>
    <row r="535" spans="6:16" x14ac:dyDescent="0.25">
      <c r="F535" s="7">
        <v>43268</v>
      </c>
      <c r="G535">
        <v>3.7243531917866612E-2</v>
      </c>
      <c r="I535" s="7">
        <v>43268</v>
      </c>
      <c r="J535">
        <v>33</v>
      </c>
      <c r="K535">
        <v>6220.8</v>
      </c>
      <c r="L535">
        <v>118.5</v>
      </c>
      <c r="M535">
        <v>6580</v>
      </c>
      <c r="N535">
        <v>1980</v>
      </c>
      <c r="O535" t="s">
        <v>73</v>
      </c>
      <c r="P535">
        <v>2018</v>
      </c>
    </row>
    <row r="536" spans="6:16" x14ac:dyDescent="0.25">
      <c r="F536" s="7">
        <v>43269</v>
      </c>
      <c r="G536">
        <v>2.1576931500804555E-2</v>
      </c>
      <c r="I536" s="7">
        <v>43269</v>
      </c>
      <c r="J536">
        <v>7</v>
      </c>
      <c r="K536">
        <v>1345.5</v>
      </c>
      <c r="L536">
        <v>1348.5</v>
      </c>
      <c r="M536">
        <v>3050</v>
      </c>
      <c r="N536">
        <v>920</v>
      </c>
      <c r="O536" t="s">
        <v>73</v>
      </c>
      <c r="P536">
        <v>2018</v>
      </c>
    </row>
    <row r="537" spans="6:16" x14ac:dyDescent="0.25">
      <c r="F537" s="7">
        <v>43270</v>
      </c>
      <c r="G537">
        <v>2.2106836376539915E-2</v>
      </c>
      <c r="I537" s="7">
        <v>43270</v>
      </c>
      <c r="J537">
        <v>26</v>
      </c>
      <c r="K537">
        <v>4136</v>
      </c>
      <c r="L537">
        <v>863.75</v>
      </c>
      <c r="M537">
        <v>4120</v>
      </c>
      <c r="N537">
        <v>1240</v>
      </c>
      <c r="O537" t="s">
        <v>73</v>
      </c>
      <c r="P537">
        <v>2018</v>
      </c>
    </row>
    <row r="538" spans="6:16" x14ac:dyDescent="0.25">
      <c r="F538" s="7">
        <v>43271</v>
      </c>
      <c r="G538">
        <v>2.543080200497386E-2</v>
      </c>
      <c r="I538" s="7">
        <v>43271</v>
      </c>
      <c r="J538">
        <v>14</v>
      </c>
      <c r="K538">
        <v>2189.9</v>
      </c>
      <c r="L538">
        <v>1291</v>
      </c>
      <c r="M538">
        <v>3860</v>
      </c>
      <c r="N538">
        <v>1160</v>
      </c>
      <c r="O538" t="s">
        <v>73</v>
      </c>
      <c r="P538">
        <v>2018</v>
      </c>
    </row>
    <row r="539" spans="6:16" x14ac:dyDescent="0.25">
      <c r="F539" s="7">
        <v>43272</v>
      </c>
      <c r="G539">
        <v>2.5809823790289278E-2</v>
      </c>
      <c r="I539" s="7">
        <v>43272</v>
      </c>
      <c r="J539">
        <v>25</v>
      </c>
      <c r="K539">
        <v>4169.5</v>
      </c>
      <c r="L539">
        <v>1602.25</v>
      </c>
      <c r="M539">
        <v>4730</v>
      </c>
      <c r="N539">
        <v>1420</v>
      </c>
      <c r="O539" t="s">
        <v>73</v>
      </c>
      <c r="P539">
        <v>2018</v>
      </c>
    </row>
    <row r="540" spans="6:16" x14ac:dyDescent="0.25">
      <c r="F540" s="7">
        <v>43273</v>
      </c>
      <c r="G540">
        <v>3.2145584397128175E-2</v>
      </c>
      <c r="I540" s="7">
        <v>43273</v>
      </c>
      <c r="J540">
        <v>20</v>
      </c>
      <c r="K540">
        <v>4367.2</v>
      </c>
      <c r="L540">
        <v>565.75</v>
      </c>
      <c r="M540">
        <v>5360</v>
      </c>
      <c r="N540">
        <v>1610</v>
      </c>
      <c r="O540" t="s">
        <v>73</v>
      </c>
      <c r="P540">
        <v>2018</v>
      </c>
    </row>
    <row r="541" spans="6:16" x14ac:dyDescent="0.25">
      <c r="F541" s="7">
        <v>43274</v>
      </c>
      <c r="G541">
        <v>4.598935258728238E-2</v>
      </c>
      <c r="I541" s="7">
        <v>43274</v>
      </c>
      <c r="J541">
        <v>31</v>
      </c>
      <c r="K541">
        <v>7428.5</v>
      </c>
      <c r="L541">
        <v>643.5</v>
      </c>
      <c r="M541">
        <v>7920</v>
      </c>
      <c r="N541">
        <v>2380</v>
      </c>
      <c r="O541" t="s">
        <v>73</v>
      </c>
      <c r="P541">
        <v>2018</v>
      </c>
    </row>
    <row r="542" spans="6:16" x14ac:dyDescent="0.25">
      <c r="F542" s="7">
        <v>43275</v>
      </c>
      <c r="G542">
        <v>3.4914087972223659E-2</v>
      </c>
      <c r="I542" s="7">
        <v>43275</v>
      </c>
      <c r="J542">
        <v>29</v>
      </c>
      <c r="K542">
        <v>5257</v>
      </c>
      <c r="L542">
        <v>787</v>
      </c>
      <c r="M542">
        <v>6260</v>
      </c>
      <c r="N542">
        <v>1880</v>
      </c>
      <c r="O542" t="s">
        <v>73</v>
      </c>
      <c r="P542">
        <v>2018</v>
      </c>
    </row>
    <row r="543" spans="6:16" x14ac:dyDescent="0.25">
      <c r="F543" s="7">
        <v>43276</v>
      </c>
      <c r="G543">
        <v>1.8961980336034356E-2</v>
      </c>
      <c r="I543" s="7">
        <v>43276</v>
      </c>
      <c r="J543">
        <v>14</v>
      </c>
      <c r="K543">
        <v>2201.79</v>
      </c>
      <c r="L543">
        <v>1188.75</v>
      </c>
      <c r="M543">
        <v>3340</v>
      </c>
      <c r="N543">
        <v>1000</v>
      </c>
      <c r="O543" t="s">
        <v>73</v>
      </c>
      <c r="P543">
        <v>2018</v>
      </c>
    </row>
    <row r="544" spans="6:16" x14ac:dyDescent="0.25">
      <c r="F544" s="7">
        <v>43277</v>
      </c>
      <c r="G544">
        <v>1.9247112082854071E-2</v>
      </c>
      <c r="I544" s="7">
        <v>43277</v>
      </c>
      <c r="J544">
        <v>20</v>
      </c>
      <c r="K544">
        <v>4080.65</v>
      </c>
      <c r="L544">
        <v>1063.5</v>
      </c>
      <c r="M544">
        <v>4100</v>
      </c>
      <c r="N544">
        <v>1230</v>
      </c>
      <c r="O544" t="s">
        <v>73</v>
      </c>
      <c r="P544">
        <v>2018</v>
      </c>
    </row>
    <row r="545" spans="6:16" x14ac:dyDescent="0.25">
      <c r="F545" s="7">
        <v>43278</v>
      </c>
      <c r="G545">
        <v>2.237452131889851E-2</v>
      </c>
      <c r="I545" s="7">
        <v>43278</v>
      </c>
      <c r="J545">
        <v>26</v>
      </c>
      <c r="K545">
        <v>5093.8</v>
      </c>
      <c r="L545">
        <v>1923.5</v>
      </c>
      <c r="M545">
        <v>4840</v>
      </c>
      <c r="N545">
        <v>1450</v>
      </c>
      <c r="O545" t="s">
        <v>73</v>
      </c>
      <c r="P545">
        <v>2018</v>
      </c>
    </row>
    <row r="546" spans="6:16" x14ac:dyDescent="0.25">
      <c r="F546" s="7">
        <v>43279</v>
      </c>
      <c r="G546">
        <v>2.2611498304221735E-2</v>
      </c>
      <c r="I546" s="7">
        <v>43279</v>
      </c>
      <c r="J546">
        <v>47</v>
      </c>
      <c r="K546">
        <v>7464.4</v>
      </c>
      <c r="L546">
        <v>5013</v>
      </c>
      <c r="M546">
        <v>5850</v>
      </c>
      <c r="N546">
        <v>1760</v>
      </c>
      <c r="O546" t="s">
        <v>73</v>
      </c>
      <c r="P546">
        <v>2018</v>
      </c>
    </row>
    <row r="547" spans="6:16" x14ac:dyDescent="0.25">
      <c r="F547" s="7">
        <v>43280</v>
      </c>
      <c r="G547">
        <v>2.8864658481693894E-2</v>
      </c>
      <c r="I547" s="7">
        <v>43280</v>
      </c>
      <c r="J547">
        <v>24</v>
      </c>
      <c r="K547">
        <v>5305.23</v>
      </c>
      <c r="L547">
        <v>579.45000000000005</v>
      </c>
      <c r="M547">
        <v>5680</v>
      </c>
      <c r="N547">
        <v>1700</v>
      </c>
      <c r="O547" t="s">
        <v>73</v>
      </c>
      <c r="P547">
        <v>2018</v>
      </c>
    </row>
    <row r="548" spans="6:16" x14ac:dyDescent="0.25">
      <c r="F548" s="7">
        <v>43281</v>
      </c>
      <c r="G548">
        <v>4.2688704019288759E-2</v>
      </c>
      <c r="I548" s="7">
        <v>43281</v>
      </c>
      <c r="J548">
        <v>36</v>
      </c>
      <c r="K548">
        <v>7137</v>
      </c>
      <c r="L548">
        <v>1590</v>
      </c>
      <c r="M548">
        <v>7820</v>
      </c>
      <c r="N548">
        <v>2350</v>
      </c>
      <c r="O548" t="s">
        <v>73</v>
      </c>
      <c r="P548">
        <v>2018</v>
      </c>
    </row>
    <row r="549" spans="6:16" x14ac:dyDescent="0.25">
      <c r="F549" s="7">
        <v>43282</v>
      </c>
      <c r="G549">
        <v>3.1658431883136717E-2</v>
      </c>
      <c r="I549" s="7">
        <v>43282</v>
      </c>
      <c r="J549">
        <v>32</v>
      </c>
      <c r="K549">
        <v>5663.6</v>
      </c>
      <c r="L549">
        <v>1016</v>
      </c>
      <c r="M549">
        <v>6390</v>
      </c>
      <c r="N549">
        <v>1920</v>
      </c>
      <c r="O549" t="s">
        <v>73</v>
      </c>
      <c r="P549">
        <v>2018</v>
      </c>
    </row>
    <row r="550" spans="6:16" x14ac:dyDescent="0.25">
      <c r="F550" s="7">
        <v>43283</v>
      </c>
      <c r="G550">
        <v>1.5816219443096649E-2</v>
      </c>
      <c r="I550" s="7">
        <v>43283</v>
      </c>
      <c r="J550">
        <v>22</v>
      </c>
      <c r="K550">
        <v>3557</v>
      </c>
      <c r="L550">
        <v>798.5</v>
      </c>
      <c r="M550">
        <v>3800</v>
      </c>
      <c r="N550">
        <v>1140</v>
      </c>
      <c r="O550" t="s">
        <v>73</v>
      </c>
      <c r="P550">
        <v>2018</v>
      </c>
    </row>
    <row r="551" spans="6:16" x14ac:dyDescent="0.25">
      <c r="F551" s="7">
        <v>43284</v>
      </c>
      <c r="G551">
        <v>1.6274677662196299E-2</v>
      </c>
      <c r="I551" s="7">
        <v>43284</v>
      </c>
      <c r="J551">
        <v>22</v>
      </c>
      <c r="K551">
        <v>4310.3999999999996</v>
      </c>
      <c r="L551">
        <v>2395.0500000000002</v>
      </c>
      <c r="M551">
        <v>4180</v>
      </c>
      <c r="N551">
        <v>1250</v>
      </c>
      <c r="O551" t="s">
        <v>73</v>
      </c>
      <c r="P551">
        <v>2018</v>
      </c>
    </row>
    <row r="552" spans="6:16" x14ac:dyDescent="0.25">
      <c r="F552" s="7">
        <v>43285</v>
      </c>
      <c r="G552">
        <v>1.9635749419226058E-2</v>
      </c>
      <c r="I552" s="7">
        <v>43285</v>
      </c>
      <c r="J552">
        <v>18</v>
      </c>
      <c r="K552">
        <v>3254</v>
      </c>
      <c r="L552">
        <v>0</v>
      </c>
      <c r="M552">
        <v>4220</v>
      </c>
      <c r="N552">
        <v>1270</v>
      </c>
      <c r="O552" t="s">
        <v>73</v>
      </c>
      <c r="P552">
        <v>2018</v>
      </c>
    </row>
    <row r="553" spans="6:16" x14ac:dyDescent="0.25">
      <c r="F553" s="7">
        <v>43286</v>
      </c>
      <c r="G553">
        <v>2.0162084516254043E-2</v>
      </c>
      <c r="I553" s="7">
        <v>43286</v>
      </c>
      <c r="J553">
        <v>24</v>
      </c>
      <c r="K553">
        <v>3878.8</v>
      </c>
      <c r="L553">
        <v>1209.9000000000001</v>
      </c>
      <c r="M553">
        <v>4640</v>
      </c>
      <c r="N553">
        <v>1390</v>
      </c>
      <c r="O553" t="s">
        <v>73</v>
      </c>
      <c r="P553">
        <v>2018</v>
      </c>
    </row>
    <row r="554" spans="6:16" x14ac:dyDescent="0.25">
      <c r="F554" s="7">
        <v>43287</v>
      </c>
      <c r="G554">
        <v>2.6754232499406103E-2</v>
      </c>
      <c r="I554" s="7">
        <v>43287</v>
      </c>
      <c r="J554">
        <v>22</v>
      </c>
      <c r="K554">
        <v>4981.2</v>
      </c>
      <c r="L554">
        <v>205</v>
      </c>
      <c r="M554">
        <v>5570</v>
      </c>
      <c r="N554">
        <v>1670</v>
      </c>
      <c r="O554" t="s">
        <v>73</v>
      </c>
      <c r="P554">
        <v>2018</v>
      </c>
    </row>
    <row r="555" spans="6:16" x14ac:dyDescent="0.25">
      <c r="F555" s="7">
        <v>43288</v>
      </c>
      <c r="G555">
        <v>4.0959561698409294E-2</v>
      </c>
      <c r="I555" s="7">
        <v>43288</v>
      </c>
      <c r="J555">
        <v>0</v>
      </c>
      <c r="K555">
        <v>0</v>
      </c>
      <c r="L555">
        <v>0</v>
      </c>
      <c r="M555">
        <v>7220</v>
      </c>
      <c r="N555">
        <v>2170</v>
      </c>
      <c r="O555" t="s">
        <v>73</v>
      </c>
      <c r="P555">
        <v>2018</v>
      </c>
    </row>
    <row r="556" spans="6:16" x14ac:dyDescent="0.25">
      <c r="F556" s="7">
        <v>43289</v>
      </c>
      <c r="G556">
        <v>3.9356799594363848E-2</v>
      </c>
      <c r="I556" s="7">
        <v>43289</v>
      </c>
      <c r="J556">
        <v>20</v>
      </c>
      <c r="K556">
        <v>4689.3999999999996</v>
      </c>
      <c r="L556">
        <v>710</v>
      </c>
      <c r="M556">
        <v>6120</v>
      </c>
      <c r="N556">
        <v>1710</v>
      </c>
      <c r="O556" t="s">
        <v>74</v>
      </c>
      <c r="P556">
        <v>2018</v>
      </c>
    </row>
    <row r="557" spans="6:16" x14ac:dyDescent="0.25">
      <c r="F557" s="7">
        <v>43290</v>
      </c>
      <c r="G557">
        <v>1.9379831546083068E-2</v>
      </c>
      <c r="I557" s="7">
        <v>43290</v>
      </c>
      <c r="J557">
        <v>17</v>
      </c>
      <c r="K557">
        <v>3216.7</v>
      </c>
      <c r="L557">
        <v>2880</v>
      </c>
      <c r="M557">
        <v>3720</v>
      </c>
      <c r="N557">
        <v>1040</v>
      </c>
      <c r="O557" t="s">
        <v>74</v>
      </c>
      <c r="P557">
        <v>2018</v>
      </c>
    </row>
    <row r="558" spans="6:16" x14ac:dyDescent="0.25">
      <c r="F558" s="7">
        <v>43291</v>
      </c>
      <c r="G558">
        <v>2.0563958064494011E-2</v>
      </c>
      <c r="I558" s="7">
        <v>43291</v>
      </c>
      <c r="J558">
        <v>17</v>
      </c>
      <c r="K558">
        <v>2892.4</v>
      </c>
      <c r="L558">
        <v>239</v>
      </c>
      <c r="M558">
        <v>3730</v>
      </c>
      <c r="N558">
        <v>1040</v>
      </c>
      <c r="O558" t="s">
        <v>74</v>
      </c>
      <c r="P558">
        <v>2018</v>
      </c>
    </row>
    <row r="559" spans="6:16" x14ac:dyDescent="0.25">
      <c r="F559" s="7">
        <v>43292</v>
      </c>
      <c r="G559">
        <v>2.551762221404312E-2</v>
      </c>
      <c r="I559" s="7">
        <v>43292</v>
      </c>
      <c r="J559">
        <v>13</v>
      </c>
      <c r="K559">
        <v>3276</v>
      </c>
      <c r="L559">
        <v>1515.9</v>
      </c>
      <c r="M559">
        <v>4270</v>
      </c>
      <c r="N559">
        <v>1190</v>
      </c>
      <c r="O559" t="s">
        <v>74</v>
      </c>
      <c r="P559">
        <v>2018</v>
      </c>
    </row>
    <row r="560" spans="6:16" x14ac:dyDescent="0.25">
      <c r="F560" s="7">
        <v>43293</v>
      </c>
      <c r="G560">
        <v>2.6787031280078651E-2</v>
      </c>
      <c r="I560" s="7">
        <v>43293</v>
      </c>
      <c r="J560">
        <v>18</v>
      </c>
      <c r="K560">
        <v>3812.6</v>
      </c>
      <c r="L560">
        <v>0</v>
      </c>
      <c r="M560">
        <v>4660</v>
      </c>
      <c r="N560">
        <v>1300</v>
      </c>
      <c r="O560" t="s">
        <v>74</v>
      </c>
      <c r="P560">
        <v>2018</v>
      </c>
    </row>
    <row r="561" spans="6:16" x14ac:dyDescent="0.25">
      <c r="F561" s="7">
        <v>43294</v>
      </c>
      <c r="G561">
        <v>3.5903018158385085E-2</v>
      </c>
      <c r="I561" s="7">
        <v>43294</v>
      </c>
      <c r="J561">
        <v>21</v>
      </c>
      <c r="K561">
        <v>4842.1000000000004</v>
      </c>
      <c r="L561">
        <v>229.9</v>
      </c>
      <c r="M561">
        <v>5590</v>
      </c>
      <c r="N561">
        <v>1560</v>
      </c>
      <c r="O561" t="s">
        <v>74</v>
      </c>
      <c r="P561">
        <v>2018</v>
      </c>
    </row>
    <row r="562" spans="6:16" x14ac:dyDescent="0.25">
      <c r="F562" s="7">
        <v>43295</v>
      </c>
      <c r="G562">
        <v>5.4859891284453434E-2</v>
      </c>
      <c r="I562" s="7">
        <v>43295</v>
      </c>
      <c r="J562">
        <v>21</v>
      </c>
      <c r="K562">
        <v>4223</v>
      </c>
      <c r="L562">
        <v>400</v>
      </c>
      <c r="M562">
        <v>6870</v>
      </c>
      <c r="N562">
        <v>1920</v>
      </c>
      <c r="O562" t="s">
        <v>74</v>
      </c>
      <c r="P562">
        <v>2018</v>
      </c>
    </row>
    <row r="563" spans="6:16" x14ac:dyDescent="0.25">
      <c r="F563" s="7">
        <v>43296</v>
      </c>
      <c r="G563">
        <v>4.1579465677529077E-2</v>
      </c>
      <c r="I563" s="7">
        <v>43296</v>
      </c>
      <c r="J563">
        <v>21</v>
      </c>
      <c r="K563">
        <v>4277.6000000000004</v>
      </c>
      <c r="L563">
        <v>911</v>
      </c>
      <c r="M563">
        <v>5970</v>
      </c>
      <c r="N563">
        <v>1670</v>
      </c>
      <c r="O563" t="s">
        <v>74</v>
      </c>
      <c r="P563">
        <v>2018</v>
      </c>
    </row>
    <row r="564" spans="6:16" x14ac:dyDescent="0.25">
      <c r="F564" s="7">
        <v>43297</v>
      </c>
      <c r="G564">
        <v>2.2034139247597766E-2</v>
      </c>
      <c r="I564" s="7">
        <v>43297</v>
      </c>
      <c r="J564">
        <v>16</v>
      </c>
      <c r="K564">
        <v>2303.6999999999998</v>
      </c>
      <c r="L564">
        <v>604</v>
      </c>
      <c r="M564">
        <v>3400</v>
      </c>
      <c r="N564">
        <v>950</v>
      </c>
      <c r="O564" t="s">
        <v>74</v>
      </c>
      <c r="P564">
        <v>2018</v>
      </c>
    </row>
    <row r="565" spans="6:16" x14ac:dyDescent="0.25">
      <c r="F565" s="7">
        <v>43298</v>
      </c>
      <c r="G565">
        <v>2.3585047331851669E-2</v>
      </c>
      <c r="I565" s="7">
        <v>43298</v>
      </c>
      <c r="J565">
        <v>16</v>
      </c>
      <c r="K565">
        <v>3022.4</v>
      </c>
      <c r="L565">
        <v>809</v>
      </c>
      <c r="M565">
        <v>3780</v>
      </c>
      <c r="N565">
        <v>1060</v>
      </c>
      <c r="O565" t="s">
        <v>74</v>
      </c>
      <c r="P565">
        <v>2018</v>
      </c>
    </row>
    <row r="566" spans="6:16" x14ac:dyDescent="0.25">
      <c r="F566" s="7">
        <v>43299</v>
      </c>
      <c r="G566">
        <v>2.8834146618911632E-2</v>
      </c>
      <c r="I566" s="7">
        <v>43299</v>
      </c>
      <c r="J566">
        <v>23</v>
      </c>
      <c r="K566">
        <v>4305.3999999999996</v>
      </c>
      <c r="L566">
        <v>1312.75</v>
      </c>
      <c r="M566">
        <v>4640</v>
      </c>
      <c r="N566">
        <v>1300</v>
      </c>
      <c r="O566" t="s">
        <v>74</v>
      </c>
      <c r="P566">
        <v>2018</v>
      </c>
    </row>
    <row r="567" spans="6:16" x14ac:dyDescent="0.25">
      <c r="F567" s="7">
        <v>43300</v>
      </c>
      <c r="G567">
        <v>3.0321063449611125E-2</v>
      </c>
      <c r="I567" s="7">
        <v>43300</v>
      </c>
      <c r="J567">
        <v>20</v>
      </c>
      <c r="K567">
        <v>4304.8999999999996</v>
      </c>
      <c r="L567">
        <v>1053.82</v>
      </c>
      <c r="M567">
        <v>4840</v>
      </c>
      <c r="N567">
        <v>1350</v>
      </c>
      <c r="O567" t="s">
        <v>74</v>
      </c>
      <c r="P567">
        <v>2018</v>
      </c>
    </row>
    <row r="568" spans="6:16" x14ac:dyDescent="0.25">
      <c r="F568" s="7">
        <v>43301</v>
      </c>
      <c r="G568">
        <v>3.9572996253022297E-2</v>
      </c>
      <c r="I568" s="7">
        <v>43301</v>
      </c>
      <c r="J568">
        <v>7</v>
      </c>
      <c r="K568">
        <v>4304.8999999999996</v>
      </c>
      <c r="L568">
        <v>1053.82</v>
      </c>
      <c r="M568">
        <v>5390</v>
      </c>
      <c r="N568">
        <v>1510</v>
      </c>
      <c r="O568" t="s">
        <v>74</v>
      </c>
      <c r="P568">
        <v>2018</v>
      </c>
    </row>
    <row r="569" spans="6:16" x14ac:dyDescent="0.25">
      <c r="F569" s="7">
        <v>43302</v>
      </c>
      <c r="G569">
        <v>5.8582670897648036E-2</v>
      </c>
      <c r="I569" s="7">
        <v>43302</v>
      </c>
      <c r="J569">
        <v>22</v>
      </c>
      <c r="K569">
        <v>5739.5</v>
      </c>
      <c r="L569">
        <v>1057.6300000000001</v>
      </c>
      <c r="M569">
        <v>7420</v>
      </c>
      <c r="N569">
        <v>2070</v>
      </c>
      <c r="O569" t="s">
        <v>74</v>
      </c>
      <c r="P569">
        <v>2018</v>
      </c>
    </row>
    <row r="570" spans="6:16" x14ac:dyDescent="0.25">
      <c r="F570" s="7">
        <v>43303</v>
      </c>
      <c r="G570">
        <v>4.5272393071088594E-2</v>
      </c>
      <c r="I570" s="7">
        <v>43303</v>
      </c>
      <c r="J570">
        <v>31</v>
      </c>
      <c r="K570">
        <v>6020.4</v>
      </c>
      <c r="L570">
        <v>519.97</v>
      </c>
      <c r="M570">
        <v>6600</v>
      </c>
      <c r="N570">
        <v>1840</v>
      </c>
      <c r="O570" t="s">
        <v>74</v>
      </c>
      <c r="P570">
        <v>2018</v>
      </c>
    </row>
    <row r="571" spans="6:16" x14ac:dyDescent="0.25">
      <c r="F571" s="7">
        <v>43304</v>
      </c>
      <c r="G571">
        <v>2.5617091116563608E-2</v>
      </c>
      <c r="I571" s="7">
        <v>43304</v>
      </c>
      <c r="J571">
        <v>17</v>
      </c>
      <c r="K571">
        <v>2924.4</v>
      </c>
      <c r="L571">
        <v>1803.45</v>
      </c>
      <c r="M571">
        <v>3620</v>
      </c>
      <c r="N571">
        <v>1010</v>
      </c>
      <c r="O571" t="s">
        <v>74</v>
      </c>
      <c r="P571">
        <v>2018</v>
      </c>
    </row>
    <row r="572" spans="6:16" x14ac:dyDescent="0.25">
      <c r="F572" s="7">
        <v>43305</v>
      </c>
      <c r="G572">
        <v>2.6982383700506742E-2</v>
      </c>
      <c r="I572" s="7">
        <v>43305</v>
      </c>
      <c r="J572">
        <v>13</v>
      </c>
      <c r="K572">
        <v>2902.45</v>
      </c>
      <c r="L572">
        <v>1437.65</v>
      </c>
      <c r="M572">
        <v>3740</v>
      </c>
      <c r="N572">
        <v>1040</v>
      </c>
      <c r="O572" t="s">
        <v>74</v>
      </c>
      <c r="P572">
        <v>2018</v>
      </c>
    </row>
    <row r="573" spans="6:16" x14ac:dyDescent="0.25">
      <c r="F573" s="7">
        <v>43306</v>
      </c>
      <c r="G573">
        <v>3.1976526021982407E-2</v>
      </c>
      <c r="I573" s="7">
        <v>43306</v>
      </c>
      <c r="J573">
        <v>19</v>
      </c>
      <c r="K573">
        <v>3438.32</v>
      </c>
      <c r="L573">
        <v>62</v>
      </c>
      <c r="M573">
        <v>4320</v>
      </c>
      <c r="N573">
        <v>1210</v>
      </c>
      <c r="O573" t="s">
        <v>74</v>
      </c>
      <c r="P573">
        <v>2018</v>
      </c>
    </row>
    <row r="574" spans="6:16" x14ac:dyDescent="0.25">
      <c r="F574" s="7">
        <v>43307</v>
      </c>
      <c r="G574">
        <v>3.3147073869037286E-2</v>
      </c>
      <c r="I574" s="7">
        <v>43307</v>
      </c>
      <c r="J574">
        <v>18</v>
      </c>
      <c r="K574">
        <v>4402.75</v>
      </c>
      <c r="L574">
        <v>408</v>
      </c>
      <c r="M574">
        <v>4880</v>
      </c>
      <c r="N574">
        <v>1360</v>
      </c>
      <c r="O574" t="s">
        <v>74</v>
      </c>
      <c r="P574">
        <v>2018</v>
      </c>
    </row>
    <row r="575" spans="6:16" x14ac:dyDescent="0.25">
      <c r="F575" s="7">
        <v>43308</v>
      </c>
      <c r="G575">
        <v>4.2030560572172075E-2</v>
      </c>
      <c r="I575" s="7">
        <v>43308</v>
      </c>
      <c r="J575">
        <v>29</v>
      </c>
      <c r="K575">
        <v>5688.25</v>
      </c>
      <c r="L575">
        <v>853</v>
      </c>
      <c r="M575">
        <v>5890</v>
      </c>
      <c r="N575">
        <v>1650</v>
      </c>
      <c r="O575" t="s">
        <v>74</v>
      </c>
      <c r="P575">
        <v>2018</v>
      </c>
    </row>
    <row r="576" spans="6:16" x14ac:dyDescent="0.25">
      <c r="F576" s="7">
        <v>43309</v>
      </c>
      <c r="G576">
        <v>6.063019194395923E-2</v>
      </c>
      <c r="I576" s="7">
        <v>43309</v>
      </c>
      <c r="J576">
        <v>22</v>
      </c>
      <c r="K576">
        <v>5346</v>
      </c>
      <c r="L576">
        <v>658.95</v>
      </c>
      <c r="M576">
        <v>7270</v>
      </c>
      <c r="N576">
        <v>2030</v>
      </c>
      <c r="O576" t="s">
        <v>74</v>
      </c>
      <c r="P576">
        <v>2018</v>
      </c>
    </row>
    <row r="577" spans="6:16" x14ac:dyDescent="0.25">
      <c r="F577" s="7">
        <v>43310</v>
      </c>
      <c r="G577">
        <v>4.6879610848333857E-2</v>
      </c>
      <c r="I577" s="7">
        <v>43310</v>
      </c>
      <c r="J577">
        <v>26</v>
      </c>
      <c r="K577">
        <v>4914.3999999999996</v>
      </c>
      <c r="L577">
        <v>909</v>
      </c>
      <c r="M577">
        <v>6200</v>
      </c>
      <c r="N577">
        <v>1730</v>
      </c>
      <c r="O577" t="s">
        <v>74</v>
      </c>
      <c r="P577">
        <v>2018</v>
      </c>
    </row>
    <row r="578" spans="6:16" x14ac:dyDescent="0.25">
      <c r="F578" s="7">
        <v>43311</v>
      </c>
      <c r="G578">
        <v>2.6765632705835686E-2</v>
      </c>
      <c r="I578" s="7">
        <v>43311</v>
      </c>
      <c r="J578">
        <v>17</v>
      </c>
      <c r="K578">
        <v>5172</v>
      </c>
      <c r="L578">
        <v>78.400000000000006</v>
      </c>
      <c r="M578">
        <v>4430</v>
      </c>
      <c r="N578">
        <v>1240</v>
      </c>
      <c r="O578" t="s">
        <v>74</v>
      </c>
      <c r="P578">
        <v>2018</v>
      </c>
    </row>
    <row r="579" spans="6:16" x14ac:dyDescent="0.25">
      <c r="F579" s="7">
        <v>43312</v>
      </c>
      <c r="G579">
        <v>2.7665994627875976E-2</v>
      </c>
      <c r="I579" s="7">
        <v>43312</v>
      </c>
      <c r="J579">
        <v>16</v>
      </c>
      <c r="K579">
        <v>3708.4</v>
      </c>
      <c r="L579">
        <v>510</v>
      </c>
      <c r="M579">
        <v>4030</v>
      </c>
      <c r="N579">
        <v>1130</v>
      </c>
      <c r="O579" t="s">
        <v>74</v>
      </c>
      <c r="P579">
        <v>2018</v>
      </c>
    </row>
    <row r="580" spans="6:16" x14ac:dyDescent="0.25">
      <c r="F580" s="7">
        <v>43313</v>
      </c>
      <c r="G580">
        <v>3.2200980913472559E-2</v>
      </c>
      <c r="I580" s="7">
        <v>43313</v>
      </c>
      <c r="J580">
        <v>26</v>
      </c>
      <c r="K580">
        <v>4099.5</v>
      </c>
      <c r="L580">
        <v>895.45</v>
      </c>
      <c r="M580">
        <v>4560</v>
      </c>
      <c r="N580">
        <v>1280</v>
      </c>
      <c r="O580" t="s">
        <v>74</v>
      </c>
      <c r="P580">
        <v>2018</v>
      </c>
    </row>
    <row r="581" spans="6:16" x14ac:dyDescent="0.25">
      <c r="F581" s="7">
        <v>43314</v>
      </c>
      <c r="G581">
        <v>3.2929772506982265E-2</v>
      </c>
      <c r="I581" s="7">
        <v>43314</v>
      </c>
      <c r="J581">
        <v>21</v>
      </c>
      <c r="K581">
        <v>4294</v>
      </c>
      <c r="L581">
        <v>1580</v>
      </c>
      <c r="M581">
        <v>4840</v>
      </c>
      <c r="N581">
        <v>1350</v>
      </c>
      <c r="O581" t="s">
        <v>74</v>
      </c>
      <c r="P581">
        <v>2018</v>
      </c>
    </row>
    <row r="582" spans="6:16" x14ac:dyDescent="0.25">
      <c r="F582" s="7">
        <v>43315</v>
      </c>
      <c r="G582">
        <v>4.1399824184431111E-2</v>
      </c>
      <c r="I582" s="7">
        <v>43315</v>
      </c>
      <c r="J582">
        <v>22</v>
      </c>
      <c r="K582">
        <v>5027.99</v>
      </c>
      <c r="L582">
        <v>439</v>
      </c>
      <c r="M582">
        <v>5650</v>
      </c>
      <c r="N582">
        <v>1580</v>
      </c>
      <c r="O582" t="s">
        <v>74</v>
      </c>
      <c r="P582">
        <v>2018</v>
      </c>
    </row>
    <row r="583" spans="6:16" x14ac:dyDescent="0.25">
      <c r="F583" s="7">
        <v>43316</v>
      </c>
      <c r="G583">
        <v>5.9624282299685784E-2</v>
      </c>
      <c r="I583" s="7">
        <v>43316</v>
      </c>
      <c r="J583">
        <v>38</v>
      </c>
      <c r="K583">
        <v>7345.99</v>
      </c>
      <c r="L583">
        <v>3906</v>
      </c>
      <c r="M583">
        <v>7990</v>
      </c>
      <c r="N583">
        <v>2230</v>
      </c>
      <c r="O583" t="s">
        <v>74</v>
      </c>
      <c r="P583">
        <v>2018</v>
      </c>
    </row>
    <row r="584" spans="6:16" x14ac:dyDescent="0.25">
      <c r="F584" s="7">
        <v>43317</v>
      </c>
      <c r="G584">
        <v>4.482341865950653E-2</v>
      </c>
      <c r="I584" s="7">
        <v>43317</v>
      </c>
      <c r="J584">
        <v>31</v>
      </c>
      <c r="K584">
        <v>7174.35</v>
      </c>
      <c r="L584">
        <v>1890</v>
      </c>
      <c r="M584">
        <v>7180</v>
      </c>
      <c r="N584">
        <v>2010</v>
      </c>
      <c r="O584" t="s">
        <v>75</v>
      </c>
      <c r="P584">
        <v>2018</v>
      </c>
    </row>
    <row r="585" spans="6:16" x14ac:dyDescent="0.25">
      <c r="F585" s="7">
        <v>43318</v>
      </c>
      <c r="G585">
        <v>2.4758720781193611E-2</v>
      </c>
      <c r="I585" s="7">
        <v>43318</v>
      </c>
      <c r="J585">
        <v>18</v>
      </c>
      <c r="K585">
        <v>4231.2</v>
      </c>
      <c r="L585">
        <v>437.5</v>
      </c>
      <c r="M585">
        <v>4190</v>
      </c>
      <c r="N585">
        <v>1170</v>
      </c>
      <c r="O585" t="s">
        <v>75</v>
      </c>
      <c r="P585">
        <v>2018</v>
      </c>
    </row>
    <row r="586" spans="6:16" x14ac:dyDescent="0.25">
      <c r="F586" s="7">
        <v>43319</v>
      </c>
      <c r="G586">
        <v>2.5434160514986735E-2</v>
      </c>
      <c r="I586" s="7">
        <v>43319</v>
      </c>
      <c r="J586">
        <v>15</v>
      </c>
      <c r="K586">
        <v>4060.4</v>
      </c>
      <c r="L586">
        <v>420</v>
      </c>
      <c r="M586">
        <v>4250</v>
      </c>
      <c r="N586">
        <v>1190</v>
      </c>
      <c r="O586" t="s">
        <v>75</v>
      </c>
      <c r="P586">
        <v>2018</v>
      </c>
    </row>
    <row r="587" spans="6:16" x14ac:dyDescent="0.25">
      <c r="F587" s="7">
        <v>43320</v>
      </c>
      <c r="G587">
        <v>2.9749430804717248E-2</v>
      </c>
      <c r="I587" s="7">
        <v>43320</v>
      </c>
      <c r="J587">
        <v>14</v>
      </c>
      <c r="K587">
        <v>2456.6</v>
      </c>
      <c r="L587">
        <v>3539.65</v>
      </c>
      <c r="M587">
        <v>4050</v>
      </c>
      <c r="N587">
        <v>1130</v>
      </c>
      <c r="O587" t="s">
        <v>75</v>
      </c>
      <c r="P587">
        <v>2018</v>
      </c>
    </row>
    <row r="588" spans="6:16" x14ac:dyDescent="0.25">
      <c r="F588" s="7">
        <v>43321</v>
      </c>
      <c r="G588">
        <v>3.0383769196146132E-2</v>
      </c>
      <c r="I588" s="7">
        <v>43321</v>
      </c>
      <c r="J588">
        <v>18</v>
      </c>
      <c r="K588">
        <v>3914.4</v>
      </c>
      <c r="L588">
        <v>2859.5</v>
      </c>
      <c r="M588">
        <v>4810</v>
      </c>
      <c r="N588">
        <v>1340</v>
      </c>
      <c r="O588" t="s">
        <v>75</v>
      </c>
      <c r="P588">
        <v>2018</v>
      </c>
    </row>
    <row r="589" spans="6:16" x14ac:dyDescent="0.25">
      <c r="F589" s="7">
        <v>43322</v>
      </c>
      <c r="G589">
        <v>3.8701839866214928E-2</v>
      </c>
      <c r="I589" s="7">
        <v>43322</v>
      </c>
      <c r="J589">
        <v>12</v>
      </c>
      <c r="K589">
        <v>3696</v>
      </c>
      <c r="L589">
        <v>1533</v>
      </c>
      <c r="M589">
        <v>5290</v>
      </c>
      <c r="N589">
        <v>1480</v>
      </c>
      <c r="O589" t="s">
        <v>75</v>
      </c>
      <c r="P589">
        <v>2018</v>
      </c>
    </row>
    <row r="590" spans="6:16" x14ac:dyDescent="0.25">
      <c r="F590" s="7">
        <v>43323</v>
      </c>
      <c r="G590">
        <v>5.6683375547168388E-2</v>
      </c>
      <c r="I590" s="7">
        <v>43323</v>
      </c>
      <c r="J590">
        <v>28</v>
      </c>
      <c r="K590">
        <v>6769.25</v>
      </c>
      <c r="L590">
        <v>1704</v>
      </c>
      <c r="M590">
        <v>7960</v>
      </c>
      <c r="N590">
        <v>2230</v>
      </c>
      <c r="O590" t="s">
        <v>75</v>
      </c>
      <c r="P590">
        <v>2018</v>
      </c>
    </row>
    <row r="591" spans="6:16" x14ac:dyDescent="0.25">
      <c r="F591" s="7">
        <v>43324</v>
      </c>
      <c r="G591">
        <v>4.2934311792089626E-2</v>
      </c>
      <c r="I591" s="7">
        <v>43324</v>
      </c>
      <c r="J591">
        <v>33</v>
      </c>
      <c r="K591">
        <v>6262.4</v>
      </c>
      <c r="L591">
        <v>53</v>
      </c>
      <c r="M591">
        <v>6840</v>
      </c>
      <c r="N591">
        <v>1910</v>
      </c>
      <c r="O591" t="s">
        <v>75</v>
      </c>
      <c r="P591">
        <v>2018</v>
      </c>
    </row>
    <row r="592" spans="6:16" x14ac:dyDescent="0.25">
      <c r="F592" s="7">
        <v>43325</v>
      </c>
      <c r="G592">
        <v>2.3031825893491727E-2</v>
      </c>
      <c r="I592" s="7">
        <v>43325</v>
      </c>
      <c r="J592">
        <v>15</v>
      </c>
      <c r="K592">
        <v>2559.5500000000002</v>
      </c>
      <c r="L592">
        <v>851.9</v>
      </c>
      <c r="M592">
        <v>3560</v>
      </c>
      <c r="N592">
        <v>1000</v>
      </c>
      <c r="O592" t="s">
        <v>75</v>
      </c>
      <c r="P592">
        <v>2018</v>
      </c>
    </row>
    <row r="593" spans="6:16" x14ac:dyDescent="0.25">
      <c r="F593" s="7">
        <v>43326</v>
      </c>
      <c r="G593">
        <v>2.3918948626249759E-2</v>
      </c>
      <c r="I593" s="7">
        <v>43326</v>
      </c>
      <c r="J593">
        <v>10</v>
      </c>
      <c r="K593">
        <v>1487.5</v>
      </c>
      <c r="L593">
        <v>154</v>
      </c>
      <c r="M593">
        <v>3290</v>
      </c>
      <c r="N593">
        <v>920</v>
      </c>
      <c r="O593" t="s">
        <v>75</v>
      </c>
      <c r="P593">
        <v>2018</v>
      </c>
    </row>
    <row r="594" spans="6:16" x14ac:dyDescent="0.25">
      <c r="F594" s="7">
        <v>43327</v>
      </c>
      <c r="G594">
        <v>2.8485759363922857E-2</v>
      </c>
      <c r="I594" s="7">
        <v>43327</v>
      </c>
      <c r="J594">
        <v>13</v>
      </c>
      <c r="K594">
        <v>2141.6</v>
      </c>
      <c r="L594">
        <v>634.4</v>
      </c>
      <c r="M594">
        <v>3940</v>
      </c>
      <c r="N594">
        <v>1100</v>
      </c>
      <c r="O594" t="s">
        <v>75</v>
      </c>
      <c r="P594">
        <v>2018</v>
      </c>
    </row>
    <row r="595" spans="6:16" x14ac:dyDescent="0.25">
      <c r="F595" s="7">
        <v>43328</v>
      </c>
      <c r="G595">
        <v>2.9405161309073887E-2</v>
      </c>
      <c r="I595" s="7">
        <v>43328</v>
      </c>
      <c r="J595">
        <v>19</v>
      </c>
      <c r="K595">
        <v>3924.2</v>
      </c>
      <c r="L595">
        <v>0</v>
      </c>
      <c r="M595">
        <v>4810</v>
      </c>
      <c r="N595">
        <v>1340</v>
      </c>
      <c r="O595" t="s">
        <v>75</v>
      </c>
      <c r="P595">
        <v>2018</v>
      </c>
    </row>
    <row r="596" spans="6:16" x14ac:dyDescent="0.25">
      <c r="F596" s="7">
        <v>43329</v>
      </c>
      <c r="G596">
        <v>3.8032578764660388E-2</v>
      </c>
      <c r="I596" s="7">
        <v>43329</v>
      </c>
      <c r="J596">
        <v>10</v>
      </c>
      <c r="K596">
        <v>2490.1999999999998</v>
      </c>
      <c r="L596">
        <v>335</v>
      </c>
      <c r="M596">
        <v>4840</v>
      </c>
      <c r="N596">
        <v>1350</v>
      </c>
      <c r="O596" t="s">
        <v>75</v>
      </c>
      <c r="P596">
        <v>2018</v>
      </c>
    </row>
    <row r="597" spans="6:16" x14ac:dyDescent="0.25">
      <c r="F597" s="7">
        <v>43330</v>
      </c>
      <c r="G597">
        <v>5.6338011902041719E-2</v>
      </c>
      <c r="I597" s="7">
        <v>43330</v>
      </c>
      <c r="J597">
        <v>24</v>
      </c>
      <c r="K597">
        <v>5610.5</v>
      </c>
      <c r="L597">
        <v>1280.3</v>
      </c>
      <c r="M597">
        <v>7530</v>
      </c>
      <c r="N597">
        <v>2110</v>
      </c>
      <c r="O597" t="s">
        <v>75</v>
      </c>
      <c r="P597">
        <v>2018</v>
      </c>
    </row>
    <row r="598" spans="6:16" x14ac:dyDescent="0.25">
      <c r="F598" s="7">
        <v>43331</v>
      </c>
      <c r="G598">
        <v>4.2917448231746834E-2</v>
      </c>
      <c r="I598" s="7">
        <v>43331</v>
      </c>
      <c r="J598">
        <v>30</v>
      </c>
      <c r="K598">
        <v>6493.6</v>
      </c>
      <c r="L598">
        <v>831</v>
      </c>
      <c r="M598">
        <v>6930</v>
      </c>
      <c r="N598">
        <v>1940</v>
      </c>
      <c r="O598" t="s">
        <v>75</v>
      </c>
      <c r="P598">
        <v>2018</v>
      </c>
    </row>
    <row r="599" spans="6:16" x14ac:dyDescent="0.25">
      <c r="F599" s="7">
        <v>43332</v>
      </c>
      <c r="G599">
        <v>2.3338180479860669E-2</v>
      </c>
      <c r="I599" s="7">
        <v>43332</v>
      </c>
      <c r="J599">
        <v>14</v>
      </c>
      <c r="K599">
        <v>3001.2</v>
      </c>
      <c r="L599">
        <v>686</v>
      </c>
      <c r="M599">
        <v>3730</v>
      </c>
      <c r="N599">
        <v>1040</v>
      </c>
      <c r="O599" t="s">
        <v>75</v>
      </c>
      <c r="P599">
        <v>2018</v>
      </c>
    </row>
    <row r="600" spans="6:16" x14ac:dyDescent="0.25">
      <c r="F600" s="7">
        <v>43333</v>
      </c>
      <c r="G600">
        <v>2.4533691288312336E-2</v>
      </c>
      <c r="I600" s="7">
        <v>43333</v>
      </c>
      <c r="J600">
        <v>17</v>
      </c>
      <c r="K600">
        <v>3362.4</v>
      </c>
      <c r="L600">
        <v>2197.54</v>
      </c>
      <c r="M600">
        <v>3990</v>
      </c>
      <c r="N600">
        <v>1120</v>
      </c>
      <c r="O600" t="s">
        <v>75</v>
      </c>
      <c r="P600">
        <v>2018</v>
      </c>
    </row>
    <row r="601" spans="6:16" x14ac:dyDescent="0.25">
      <c r="F601" s="7">
        <v>43334</v>
      </c>
      <c r="G601">
        <v>2.9387253138333198E-2</v>
      </c>
      <c r="I601" s="7">
        <v>43334</v>
      </c>
      <c r="J601">
        <v>25</v>
      </c>
      <c r="K601">
        <v>5202.05</v>
      </c>
      <c r="L601">
        <v>1163</v>
      </c>
      <c r="M601">
        <v>5080</v>
      </c>
      <c r="N601">
        <v>1420</v>
      </c>
      <c r="O601" t="s">
        <v>75</v>
      </c>
      <c r="P601">
        <v>2018</v>
      </c>
    </row>
    <row r="602" spans="6:16" x14ac:dyDescent="0.25">
      <c r="F602" s="7">
        <v>43335</v>
      </c>
      <c r="G602">
        <v>3.0561507230970827E-2</v>
      </c>
      <c r="I602" s="7">
        <v>43335</v>
      </c>
      <c r="J602">
        <v>17</v>
      </c>
      <c r="K602">
        <v>3422.7</v>
      </c>
      <c r="L602">
        <v>709.99</v>
      </c>
      <c r="M602">
        <v>4620</v>
      </c>
      <c r="N602">
        <v>1290</v>
      </c>
      <c r="O602" t="s">
        <v>75</v>
      </c>
      <c r="P602">
        <v>2018</v>
      </c>
    </row>
    <row r="603" spans="6:16" x14ac:dyDescent="0.25">
      <c r="F603" s="7">
        <v>43336</v>
      </c>
      <c r="G603">
        <v>3.9404808852000893E-2</v>
      </c>
      <c r="I603" s="7">
        <v>43336</v>
      </c>
      <c r="J603">
        <v>24</v>
      </c>
      <c r="K603">
        <v>5568</v>
      </c>
      <c r="L603">
        <v>3595.5</v>
      </c>
      <c r="M603">
        <v>5980</v>
      </c>
      <c r="N603">
        <v>1670</v>
      </c>
      <c r="O603" t="s">
        <v>75</v>
      </c>
      <c r="P603">
        <v>2018</v>
      </c>
    </row>
    <row r="604" spans="6:16" x14ac:dyDescent="0.25">
      <c r="F604" s="7">
        <v>43337</v>
      </c>
      <c r="G604">
        <v>5.7881317326002761E-2</v>
      </c>
      <c r="I604" s="7">
        <v>43337</v>
      </c>
      <c r="J604">
        <v>41</v>
      </c>
      <c r="K604">
        <v>6532.5</v>
      </c>
      <c r="L604">
        <v>5101</v>
      </c>
      <c r="M604">
        <v>7880</v>
      </c>
      <c r="N604">
        <v>2200</v>
      </c>
      <c r="O604" t="s">
        <v>75</v>
      </c>
      <c r="P604">
        <v>2018</v>
      </c>
    </row>
    <row r="605" spans="6:16" x14ac:dyDescent="0.25">
      <c r="F605" s="7">
        <v>43338</v>
      </c>
      <c r="G605">
        <v>4.4582551213901131E-2</v>
      </c>
      <c r="I605" s="7">
        <v>43338</v>
      </c>
      <c r="J605">
        <v>26</v>
      </c>
      <c r="K605">
        <v>4653.5</v>
      </c>
      <c r="L605">
        <v>1946.6</v>
      </c>
      <c r="M605">
        <v>6240</v>
      </c>
      <c r="N605">
        <v>1750</v>
      </c>
      <c r="O605" t="s">
        <v>75</v>
      </c>
      <c r="P605">
        <v>2018</v>
      </c>
    </row>
    <row r="606" spans="6:16" x14ac:dyDescent="0.25">
      <c r="F606" s="7">
        <v>43339</v>
      </c>
      <c r="G606">
        <v>2.5072809715692347E-2</v>
      </c>
      <c r="I606" s="7">
        <v>43339</v>
      </c>
      <c r="J606">
        <v>11</v>
      </c>
      <c r="K606">
        <v>1894.8</v>
      </c>
      <c r="L606">
        <v>250</v>
      </c>
      <c r="M606">
        <v>3320</v>
      </c>
      <c r="N606">
        <v>930</v>
      </c>
      <c r="O606" t="s">
        <v>75</v>
      </c>
      <c r="P606">
        <v>2018</v>
      </c>
    </row>
    <row r="607" spans="6:16" x14ac:dyDescent="0.25">
      <c r="F607" s="7">
        <v>43340</v>
      </c>
      <c r="G607">
        <v>2.6284118518454903E-2</v>
      </c>
      <c r="I607" s="7">
        <v>43340</v>
      </c>
      <c r="J607">
        <v>16</v>
      </c>
      <c r="K607">
        <v>2276.8200000000002</v>
      </c>
      <c r="L607">
        <v>278</v>
      </c>
      <c r="M607">
        <v>3590</v>
      </c>
      <c r="N607">
        <v>1000</v>
      </c>
      <c r="O607" t="s">
        <v>75</v>
      </c>
      <c r="P607">
        <v>2018</v>
      </c>
    </row>
    <row r="608" spans="6:16" x14ac:dyDescent="0.25">
      <c r="F608" s="7">
        <v>43341</v>
      </c>
      <c r="G608">
        <v>3.1099847353919203E-2</v>
      </c>
      <c r="I608" s="7">
        <v>43341</v>
      </c>
      <c r="J608">
        <v>13</v>
      </c>
      <c r="K608">
        <v>2894.2</v>
      </c>
      <c r="L608">
        <v>200</v>
      </c>
      <c r="M608">
        <v>4220</v>
      </c>
      <c r="N608">
        <v>1180</v>
      </c>
      <c r="O608" t="s">
        <v>75</v>
      </c>
      <c r="P608">
        <v>2018</v>
      </c>
    </row>
    <row r="609" spans="6:16" x14ac:dyDescent="0.25">
      <c r="F609" s="7">
        <v>43342</v>
      </c>
      <c r="G609">
        <v>3.2184263258194477E-2</v>
      </c>
      <c r="I609" s="7">
        <v>43342</v>
      </c>
      <c r="J609">
        <v>24</v>
      </c>
      <c r="K609">
        <v>3954.95</v>
      </c>
      <c r="L609">
        <v>1023.05</v>
      </c>
      <c r="M609">
        <v>4820</v>
      </c>
      <c r="N609">
        <v>1350</v>
      </c>
      <c r="O609" t="s">
        <v>75</v>
      </c>
      <c r="P609">
        <v>2018</v>
      </c>
    </row>
    <row r="610" spans="6:16" x14ac:dyDescent="0.25">
      <c r="F610" s="7">
        <v>43343</v>
      </c>
      <c r="G610">
        <v>4.08888082293693E-2</v>
      </c>
      <c r="I610" s="7">
        <v>43343</v>
      </c>
      <c r="J610">
        <v>21</v>
      </c>
      <c r="K610">
        <v>4669</v>
      </c>
      <c r="L610">
        <v>3792.3</v>
      </c>
      <c r="M610">
        <v>5650</v>
      </c>
      <c r="N610">
        <v>1580</v>
      </c>
      <c r="O610" t="s">
        <v>75</v>
      </c>
      <c r="P610">
        <v>2018</v>
      </c>
    </row>
    <row r="611" spans="6:16" x14ac:dyDescent="0.25">
      <c r="F611" s="7">
        <v>43344</v>
      </c>
      <c r="G611">
        <v>5.9182082141777663E-2</v>
      </c>
      <c r="I611" s="7">
        <v>43344</v>
      </c>
      <c r="J611">
        <v>37</v>
      </c>
      <c r="K611">
        <v>7346.5</v>
      </c>
      <c r="L611">
        <v>113</v>
      </c>
      <c r="M611">
        <v>8180</v>
      </c>
      <c r="N611">
        <v>2290</v>
      </c>
      <c r="O611" t="s">
        <v>75</v>
      </c>
      <c r="P611">
        <v>2018</v>
      </c>
    </row>
    <row r="612" spans="6:16" x14ac:dyDescent="0.25">
      <c r="F612" s="7">
        <v>43345</v>
      </c>
      <c r="G612">
        <v>3.6422142856253864E-2</v>
      </c>
      <c r="I612" s="7">
        <v>43345</v>
      </c>
      <c r="J612">
        <v>17</v>
      </c>
      <c r="K612">
        <v>4333</v>
      </c>
      <c r="L612">
        <v>424</v>
      </c>
      <c r="M612">
        <v>6090</v>
      </c>
      <c r="N612">
        <v>1700</v>
      </c>
      <c r="O612" t="s">
        <v>76</v>
      </c>
      <c r="P612">
        <v>2018</v>
      </c>
    </row>
    <row r="613" spans="6:16" x14ac:dyDescent="0.25">
      <c r="F613" s="7">
        <v>43346</v>
      </c>
      <c r="G613">
        <v>2.0657243452983674E-2</v>
      </c>
      <c r="I613" s="7">
        <v>43346</v>
      </c>
      <c r="J613">
        <v>16</v>
      </c>
      <c r="K613">
        <v>6122</v>
      </c>
      <c r="L613">
        <v>5996.4</v>
      </c>
      <c r="M613">
        <v>4830</v>
      </c>
      <c r="N613">
        <v>1350</v>
      </c>
      <c r="O613" t="s">
        <v>76</v>
      </c>
      <c r="P613">
        <v>2018</v>
      </c>
    </row>
    <row r="614" spans="6:16" x14ac:dyDescent="0.25">
      <c r="F614" s="7">
        <v>43347</v>
      </c>
      <c r="G614">
        <v>2.140105684933483E-2</v>
      </c>
      <c r="I614" s="7">
        <v>43347</v>
      </c>
      <c r="J614">
        <v>15</v>
      </c>
      <c r="K614">
        <v>2480</v>
      </c>
      <c r="L614">
        <v>950.5</v>
      </c>
      <c r="M614">
        <v>3640</v>
      </c>
      <c r="N614">
        <v>1020</v>
      </c>
      <c r="O614" t="s">
        <v>76</v>
      </c>
      <c r="P614">
        <v>2018</v>
      </c>
    </row>
    <row r="615" spans="6:16" x14ac:dyDescent="0.25">
      <c r="F615" s="7">
        <v>43348</v>
      </c>
      <c r="G615">
        <v>2.5006829959353931E-2</v>
      </c>
      <c r="I615" s="7">
        <v>43348</v>
      </c>
      <c r="J615">
        <v>19</v>
      </c>
      <c r="K615">
        <v>4262</v>
      </c>
      <c r="L615">
        <v>579</v>
      </c>
      <c r="M615">
        <v>4690</v>
      </c>
      <c r="N615">
        <v>1310</v>
      </c>
      <c r="O615" t="s">
        <v>76</v>
      </c>
      <c r="P615">
        <v>2018</v>
      </c>
    </row>
    <row r="616" spans="6:16" x14ac:dyDescent="0.25">
      <c r="F616" s="7">
        <v>43349</v>
      </c>
      <c r="G616">
        <v>2.5629942096674348E-2</v>
      </c>
      <c r="I616" s="7">
        <v>43349</v>
      </c>
      <c r="J616">
        <v>21</v>
      </c>
      <c r="K616">
        <v>4270</v>
      </c>
      <c r="L616">
        <v>629.9</v>
      </c>
      <c r="M616">
        <v>4900</v>
      </c>
      <c r="N616">
        <v>1370</v>
      </c>
      <c r="O616" t="s">
        <v>76</v>
      </c>
      <c r="P616">
        <v>2018</v>
      </c>
    </row>
    <row r="617" spans="6:16" x14ac:dyDescent="0.25">
      <c r="F617" s="7">
        <v>43350</v>
      </c>
      <c r="G617">
        <v>3.2331891818947064E-2</v>
      </c>
      <c r="I617" s="7">
        <v>43350</v>
      </c>
      <c r="J617">
        <v>17</v>
      </c>
      <c r="K617">
        <v>3580</v>
      </c>
      <c r="L617">
        <v>625.9</v>
      </c>
      <c r="M617">
        <v>5210</v>
      </c>
      <c r="N617">
        <v>1460</v>
      </c>
      <c r="O617" t="s">
        <v>76</v>
      </c>
      <c r="P617">
        <v>2018</v>
      </c>
    </row>
    <row r="618" spans="6:16" x14ac:dyDescent="0.25">
      <c r="F618" s="7">
        <v>43351</v>
      </c>
      <c r="G618">
        <v>4.6689783655060803E-2</v>
      </c>
      <c r="I618" s="7">
        <v>43351</v>
      </c>
      <c r="J618">
        <v>27</v>
      </c>
      <c r="K618">
        <v>6744.5</v>
      </c>
      <c r="L618">
        <v>1400.5</v>
      </c>
      <c r="M618">
        <v>7900</v>
      </c>
      <c r="N618">
        <v>2210</v>
      </c>
      <c r="O618" t="s">
        <v>76</v>
      </c>
      <c r="P618">
        <v>2018</v>
      </c>
    </row>
    <row r="619" spans="6:16" x14ac:dyDescent="0.25">
      <c r="F619" s="7">
        <v>43352</v>
      </c>
      <c r="G619">
        <v>3.5684814893791092E-2</v>
      </c>
      <c r="I619" s="7">
        <v>43352</v>
      </c>
      <c r="J619">
        <v>20</v>
      </c>
      <c r="K619">
        <v>6450.5</v>
      </c>
      <c r="L619">
        <v>791.5</v>
      </c>
      <c r="M619">
        <v>6860</v>
      </c>
      <c r="N619">
        <v>1920</v>
      </c>
      <c r="O619" t="s">
        <v>76</v>
      </c>
      <c r="P619">
        <v>2018</v>
      </c>
    </row>
    <row r="620" spans="6:16" x14ac:dyDescent="0.25">
      <c r="F620" s="7">
        <v>43353</v>
      </c>
      <c r="G620">
        <v>1.9720056294370302E-2</v>
      </c>
      <c r="I620" s="7">
        <v>43353</v>
      </c>
      <c r="J620">
        <v>14</v>
      </c>
      <c r="K620">
        <v>4020</v>
      </c>
      <c r="L620">
        <v>0</v>
      </c>
      <c r="M620">
        <v>4070</v>
      </c>
      <c r="N620">
        <v>1140</v>
      </c>
      <c r="O620" t="s">
        <v>76</v>
      </c>
      <c r="P620">
        <v>2018</v>
      </c>
    </row>
    <row r="621" spans="6:16" x14ac:dyDescent="0.25">
      <c r="F621" s="7">
        <v>43354</v>
      </c>
      <c r="G621">
        <v>2.0289623912036033E-2</v>
      </c>
      <c r="I621" s="7">
        <v>43354</v>
      </c>
      <c r="J621">
        <v>15</v>
      </c>
      <c r="K621">
        <v>3140</v>
      </c>
      <c r="L621">
        <v>59</v>
      </c>
      <c r="M621">
        <v>3880</v>
      </c>
      <c r="N621">
        <v>1080</v>
      </c>
      <c r="O621" t="s">
        <v>76</v>
      </c>
      <c r="P621">
        <v>2018</v>
      </c>
    </row>
    <row r="622" spans="6:16" x14ac:dyDescent="0.25">
      <c r="F622" s="7">
        <v>43355</v>
      </c>
      <c r="G622">
        <v>2.375154429852384E-2</v>
      </c>
      <c r="I622" s="7">
        <v>43355</v>
      </c>
      <c r="J622">
        <v>19</v>
      </c>
      <c r="K622">
        <v>3754.3</v>
      </c>
      <c r="L622">
        <v>1465.95</v>
      </c>
      <c r="M622">
        <v>4510</v>
      </c>
      <c r="N622">
        <v>1260</v>
      </c>
      <c r="O622" t="s">
        <v>76</v>
      </c>
      <c r="P622">
        <v>2018</v>
      </c>
    </row>
    <row r="623" spans="6:16" x14ac:dyDescent="0.25">
      <c r="F623" s="7">
        <v>43356</v>
      </c>
      <c r="G623">
        <v>2.4265115342373935E-2</v>
      </c>
      <c r="I623" s="7">
        <v>43356</v>
      </c>
      <c r="J623">
        <v>21</v>
      </c>
      <c r="K623">
        <v>4846.8900000000003</v>
      </c>
      <c r="L623">
        <v>625.5</v>
      </c>
      <c r="M623">
        <v>5110</v>
      </c>
      <c r="N623">
        <v>1430</v>
      </c>
      <c r="O623" t="s">
        <v>76</v>
      </c>
      <c r="P623">
        <v>2018</v>
      </c>
    </row>
    <row r="624" spans="6:16" x14ac:dyDescent="0.25">
      <c r="F624" s="7">
        <v>43357</v>
      </c>
      <c r="G624">
        <v>3.0894801234889697E-2</v>
      </c>
      <c r="I624" s="7">
        <v>43357</v>
      </c>
      <c r="J624">
        <v>27</v>
      </c>
      <c r="K624">
        <v>5672.72</v>
      </c>
      <c r="L624">
        <v>301.10000000000002</v>
      </c>
      <c r="M624">
        <v>5970</v>
      </c>
      <c r="N624">
        <v>1670</v>
      </c>
      <c r="O624" t="s">
        <v>76</v>
      </c>
      <c r="P624">
        <v>2018</v>
      </c>
    </row>
    <row r="625" spans="6:16" x14ac:dyDescent="0.25">
      <c r="F625" s="7">
        <v>43358</v>
      </c>
      <c r="G625">
        <v>4.5219655510838098E-2</v>
      </c>
      <c r="I625" s="7">
        <v>43358</v>
      </c>
      <c r="J625">
        <v>32</v>
      </c>
      <c r="K625">
        <v>6987.4</v>
      </c>
      <c r="L625">
        <v>1221</v>
      </c>
      <c r="M625">
        <v>7980</v>
      </c>
      <c r="N625">
        <v>2230</v>
      </c>
      <c r="O625" t="s">
        <v>76</v>
      </c>
      <c r="P625">
        <v>2018</v>
      </c>
    </row>
    <row r="626" spans="6:16" x14ac:dyDescent="0.25">
      <c r="F626" s="7">
        <v>43359</v>
      </c>
      <c r="G626">
        <v>3.4221773673910827E-2</v>
      </c>
      <c r="I626" s="7">
        <v>43359</v>
      </c>
      <c r="J626">
        <v>22</v>
      </c>
      <c r="K626">
        <v>5805</v>
      </c>
      <c r="L626">
        <v>163.75</v>
      </c>
      <c r="M626">
        <v>6620</v>
      </c>
      <c r="N626">
        <v>1850</v>
      </c>
      <c r="O626" t="s">
        <v>76</v>
      </c>
      <c r="P626">
        <v>2018</v>
      </c>
    </row>
    <row r="627" spans="6:16" x14ac:dyDescent="0.25">
      <c r="F627" s="7">
        <v>43360</v>
      </c>
      <c r="G627">
        <v>1.8304069580312193E-2</v>
      </c>
      <c r="I627" s="7">
        <v>43360</v>
      </c>
      <c r="J627">
        <v>6</v>
      </c>
      <c r="K627">
        <v>1298.3499999999999</v>
      </c>
      <c r="L627">
        <v>155</v>
      </c>
      <c r="M627">
        <v>3090</v>
      </c>
      <c r="N627">
        <v>860</v>
      </c>
      <c r="O627" t="s">
        <v>76</v>
      </c>
      <c r="P627">
        <v>2018</v>
      </c>
    </row>
    <row r="628" spans="6:16" x14ac:dyDescent="0.25">
      <c r="F628" s="7">
        <v>43361</v>
      </c>
      <c r="G628">
        <v>1.8957684218806434E-2</v>
      </c>
      <c r="I628" s="7">
        <v>43361</v>
      </c>
      <c r="J628">
        <v>11</v>
      </c>
      <c r="K628">
        <v>2174</v>
      </c>
      <c r="L628">
        <v>274</v>
      </c>
      <c r="M628">
        <v>3530</v>
      </c>
      <c r="N628">
        <v>990</v>
      </c>
      <c r="O628" t="s">
        <v>76</v>
      </c>
      <c r="P628">
        <v>2018</v>
      </c>
    </row>
    <row r="629" spans="6:16" x14ac:dyDescent="0.25">
      <c r="F629" s="7">
        <v>43362</v>
      </c>
      <c r="G629">
        <v>2.2540268958496062E-2</v>
      </c>
      <c r="I629" s="7">
        <v>43362</v>
      </c>
      <c r="J629">
        <v>13</v>
      </c>
      <c r="K629">
        <v>3335</v>
      </c>
      <c r="L629">
        <v>287</v>
      </c>
      <c r="M629">
        <v>4350</v>
      </c>
      <c r="N629">
        <v>1220</v>
      </c>
      <c r="O629" t="s">
        <v>76</v>
      </c>
      <c r="P629">
        <v>2018</v>
      </c>
    </row>
    <row r="630" spans="6:16" x14ac:dyDescent="0.25">
      <c r="F630" s="7">
        <v>43363</v>
      </c>
      <c r="G630">
        <v>2.3208061153565988E-2</v>
      </c>
      <c r="I630" s="7">
        <v>43363</v>
      </c>
      <c r="J630">
        <v>11</v>
      </c>
      <c r="K630">
        <v>2174</v>
      </c>
      <c r="L630">
        <v>274</v>
      </c>
      <c r="M630">
        <v>4140</v>
      </c>
      <c r="N630">
        <v>1160</v>
      </c>
      <c r="O630" t="s">
        <v>76</v>
      </c>
      <c r="P630">
        <v>2018</v>
      </c>
    </row>
    <row r="631" spans="6:16" x14ac:dyDescent="0.25">
      <c r="F631" s="7">
        <v>43364</v>
      </c>
      <c r="G631">
        <v>3.0021670200128973E-2</v>
      </c>
      <c r="I631" s="7">
        <v>43364</v>
      </c>
      <c r="J631">
        <v>20</v>
      </c>
      <c r="K631">
        <v>3088.37</v>
      </c>
      <c r="L631">
        <v>113.9</v>
      </c>
      <c r="M631">
        <v>5040</v>
      </c>
      <c r="N631">
        <v>1410</v>
      </c>
      <c r="O631" t="s">
        <v>76</v>
      </c>
      <c r="P631">
        <v>2018</v>
      </c>
    </row>
    <row r="632" spans="6:16" x14ac:dyDescent="0.25">
      <c r="F632" s="7">
        <v>43365</v>
      </c>
      <c r="G632">
        <v>4.4555623356707562E-2</v>
      </c>
      <c r="I632" s="7">
        <v>43365</v>
      </c>
      <c r="J632">
        <v>39</v>
      </c>
      <c r="K632">
        <v>8168.59</v>
      </c>
      <c r="L632">
        <v>772</v>
      </c>
      <c r="M632">
        <v>8410</v>
      </c>
      <c r="N632">
        <v>2350</v>
      </c>
      <c r="O632" t="s">
        <v>76</v>
      </c>
      <c r="P632">
        <v>2018</v>
      </c>
    </row>
    <row r="633" spans="6:16" x14ac:dyDescent="0.25">
      <c r="F633" s="7">
        <v>43366</v>
      </c>
      <c r="G633">
        <v>3.378695721256561E-2</v>
      </c>
      <c r="I633" s="7">
        <v>43366</v>
      </c>
      <c r="J633">
        <v>26</v>
      </c>
      <c r="K633">
        <v>6262.4</v>
      </c>
      <c r="L633">
        <v>53</v>
      </c>
      <c r="M633">
        <v>6790</v>
      </c>
      <c r="N633">
        <v>1900</v>
      </c>
      <c r="O633" t="s">
        <v>76</v>
      </c>
      <c r="P633">
        <v>2018</v>
      </c>
    </row>
    <row r="634" spans="6:16" x14ac:dyDescent="0.25">
      <c r="F634" s="7">
        <v>43367</v>
      </c>
      <c r="G634">
        <v>1.8113144670244163E-2</v>
      </c>
      <c r="I634" s="7">
        <v>43367</v>
      </c>
      <c r="J634">
        <v>11</v>
      </c>
      <c r="K634">
        <v>3158</v>
      </c>
      <c r="L634">
        <v>1266.0999999999999</v>
      </c>
      <c r="M634">
        <v>3760</v>
      </c>
      <c r="N634">
        <v>1050</v>
      </c>
      <c r="O634" t="s">
        <v>76</v>
      </c>
      <c r="P634">
        <v>2018</v>
      </c>
    </row>
    <row r="635" spans="6:16" x14ac:dyDescent="0.25">
      <c r="F635" s="7">
        <v>43368</v>
      </c>
      <c r="G635">
        <v>1.9021449689285704E-2</v>
      </c>
      <c r="I635" s="7">
        <v>43368</v>
      </c>
      <c r="J635">
        <v>9</v>
      </c>
      <c r="K635">
        <v>2582.5</v>
      </c>
      <c r="L635">
        <v>848.9</v>
      </c>
      <c r="M635">
        <v>3680</v>
      </c>
      <c r="N635">
        <v>1030</v>
      </c>
      <c r="O635" t="s">
        <v>76</v>
      </c>
      <c r="P635">
        <v>2018</v>
      </c>
    </row>
    <row r="636" spans="6:16" x14ac:dyDescent="0.25">
      <c r="F636" s="7">
        <v>43369</v>
      </c>
      <c r="G636">
        <v>2.2862006099848082E-2</v>
      </c>
      <c r="I636" s="7">
        <v>43369</v>
      </c>
      <c r="J636">
        <v>10</v>
      </c>
      <c r="K636">
        <v>2350.6</v>
      </c>
      <c r="L636">
        <v>652.5</v>
      </c>
      <c r="M636">
        <v>4000</v>
      </c>
      <c r="N636">
        <v>1120</v>
      </c>
      <c r="O636" t="s">
        <v>76</v>
      </c>
      <c r="P636">
        <v>2018</v>
      </c>
    </row>
    <row r="637" spans="6:16" x14ac:dyDescent="0.25">
      <c r="F637" s="7">
        <v>43370</v>
      </c>
      <c r="G637">
        <v>2.3785415941073633E-2</v>
      </c>
      <c r="I637" s="7">
        <v>43370</v>
      </c>
      <c r="J637">
        <v>12</v>
      </c>
      <c r="K637">
        <v>2905</v>
      </c>
      <c r="L637">
        <v>455</v>
      </c>
      <c r="M637">
        <v>4410</v>
      </c>
      <c r="N637">
        <v>1230</v>
      </c>
      <c r="O637" t="s">
        <v>76</v>
      </c>
      <c r="P637">
        <v>2018</v>
      </c>
    </row>
    <row r="638" spans="6:16" x14ac:dyDescent="0.25">
      <c r="F638" s="7">
        <v>43371</v>
      </c>
      <c r="G638">
        <v>3.0846898587319684E-2</v>
      </c>
      <c r="I638" s="7">
        <v>43371</v>
      </c>
      <c r="J638">
        <v>26</v>
      </c>
      <c r="K638">
        <v>6030.65</v>
      </c>
      <c r="L638">
        <v>1229.0999999999999</v>
      </c>
      <c r="M638">
        <v>6100</v>
      </c>
      <c r="N638">
        <v>1710</v>
      </c>
      <c r="O638" t="s">
        <v>76</v>
      </c>
      <c r="P638">
        <v>2018</v>
      </c>
    </row>
    <row r="639" spans="6:16" x14ac:dyDescent="0.25">
      <c r="F639" s="7">
        <v>43372</v>
      </c>
      <c r="G639">
        <v>4.561597684940031E-2</v>
      </c>
      <c r="I639" s="7">
        <v>43372</v>
      </c>
      <c r="J639">
        <v>27</v>
      </c>
      <c r="K639">
        <v>6811</v>
      </c>
      <c r="L639">
        <v>253</v>
      </c>
      <c r="M639">
        <v>7920</v>
      </c>
      <c r="N639">
        <v>2210</v>
      </c>
      <c r="O639" t="s">
        <v>76</v>
      </c>
      <c r="P639">
        <v>2018</v>
      </c>
    </row>
    <row r="640" spans="6:16" x14ac:dyDescent="0.25">
      <c r="F640" s="7">
        <v>43373</v>
      </c>
      <c r="G640">
        <v>3.5065193985310987E-2</v>
      </c>
      <c r="I640" s="7">
        <v>43373</v>
      </c>
      <c r="J640">
        <v>15</v>
      </c>
      <c r="K640">
        <v>2890.5</v>
      </c>
      <c r="L640">
        <v>871.5</v>
      </c>
      <c r="M640">
        <v>5570</v>
      </c>
      <c r="N640">
        <v>1560</v>
      </c>
      <c r="O640" t="s">
        <v>76</v>
      </c>
      <c r="P640">
        <v>2018</v>
      </c>
    </row>
    <row r="641" spans="6:16" x14ac:dyDescent="0.25">
      <c r="F641" s="7">
        <v>43374</v>
      </c>
      <c r="G641">
        <v>1.9588147905381065E-2</v>
      </c>
      <c r="I641" s="7">
        <v>43374</v>
      </c>
      <c r="J641">
        <v>10</v>
      </c>
      <c r="K641">
        <v>2279</v>
      </c>
      <c r="L641">
        <v>480.3</v>
      </c>
      <c r="M641">
        <v>3440</v>
      </c>
      <c r="N641">
        <v>960</v>
      </c>
      <c r="O641" t="s">
        <v>76</v>
      </c>
      <c r="P641">
        <v>2018</v>
      </c>
    </row>
    <row r="642" spans="6:16" x14ac:dyDescent="0.25">
      <c r="F642" s="7">
        <v>43375</v>
      </c>
      <c r="G642">
        <v>2.0668932309188433E-2</v>
      </c>
      <c r="I642" s="7">
        <v>43375</v>
      </c>
      <c r="J642">
        <v>6</v>
      </c>
      <c r="K642">
        <v>2009.75</v>
      </c>
      <c r="L642">
        <v>115.5</v>
      </c>
      <c r="M642">
        <v>3470</v>
      </c>
      <c r="N642">
        <v>970</v>
      </c>
      <c r="O642" t="s">
        <v>76</v>
      </c>
      <c r="P642">
        <v>2018</v>
      </c>
    </row>
    <row r="643" spans="6:16" x14ac:dyDescent="0.25">
      <c r="F643" s="7">
        <v>43376</v>
      </c>
      <c r="G643">
        <v>2.4655278832877624E-2</v>
      </c>
      <c r="I643" s="7">
        <v>43376</v>
      </c>
      <c r="J643">
        <v>17</v>
      </c>
      <c r="K643">
        <v>3418.2</v>
      </c>
      <c r="L643">
        <v>676.97</v>
      </c>
      <c r="M643">
        <v>4380</v>
      </c>
      <c r="N643">
        <v>1230</v>
      </c>
      <c r="O643" t="s">
        <v>76</v>
      </c>
      <c r="P643">
        <v>2018</v>
      </c>
    </row>
    <row r="644" spans="6:16" x14ac:dyDescent="0.25">
      <c r="F644" s="7">
        <v>43377</v>
      </c>
      <c r="G644">
        <v>2.5696194317054159E-2</v>
      </c>
      <c r="I644" s="7">
        <v>43377</v>
      </c>
      <c r="J644">
        <v>17</v>
      </c>
      <c r="K644">
        <v>4883</v>
      </c>
      <c r="L644">
        <v>517.1</v>
      </c>
      <c r="M644">
        <v>5120</v>
      </c>
      <c r="N644">
        <v>1430</v>
      </c>
      <c r="O644" t="s">
        <v>76</v>
      </c>
      <c r="P644">
        <v>2018</v>
      </c>
    </row>
    <row r="645" spans="6:16" x14ac:dyDescent="0.25">
      <c r="F645" s="7">
        <v>43378</v>
      </c>
      <c r="G645">
        <v>3.284612391249566E-2</v>
      </c>
      <c r="I645" s="7">
        <v>43378</v>
      </c>
      <c r="J645">
        <v>22</v>
      </c>
      <c r="K645">
        <v>5116.2</v>
      </c>
      <c r="L645">
        <v>852.5</v>
      </c>
      <c r="M645">
        <v>5770</v>
      </c>
      <c r="N645">
        <v>1610</v>
      </c>
      <c r="O645" t="s">
        <v>76</v>
      </c>
      <c r="P645">
        <v>2018</v>
      </c>
    </row>
    <row r="646" spans="6:16" x14ac:dyDescent="0.25">
      <c r="F646" s="7">
        <v>43379</v>
      </c>
      <c r="G646">
        <v>4.7674626370595274E-2</v>
      </c>
      <c r="I646" s="7">
        <v>43379</v>
      </c>
      <c r="J646">
        <v>35</v>
      </c>
      <c r="K646">
        <v>8783</v>
      </c>
      <c r="L646">
        <v>5843</v>
      </c>
      <c r="M646">
        <v>8630</v>
      </c>
      <c r="N646">
        <v>2410</v>
      </c>
      <c r="O646" t="s">
        <v>76</v>
      </c>
      <c r="P646">
        <v>2018</v>
      </c>
    </row>
    <row r="647" spans="6:16" x14ac:dyDescent="0.25">
      <c r="F647" s="7">
        <v>43380</v>
      </c>
      <c r="G647">
        <v>3.9914129030431199E-2</v>
      </c>
      <c r="I647" s="7">
        <v>43380</v>
      </c>
      <c r="J647">
        <v>23</v>
      </c>
      <c r="K647">
        <v>5710.5</v>
      </c>
      <c r="L647">
        <v>572</v>
      </c>
      <c r="M647">
        <v>7890</v>
      </c>
      <c r="N647">
        <v>2370</v>
      </c>
      <c r="O647" t="s">
        <v>77</v>
      </c>
      <c r="P647">
        <v>2018</v>
      </c>
    </row>
    <row r="648" spans="6:16" x14ac:dyDescent="0.25">
      <c r="F648" s="7">
        <v>43381</v>
      </c>
      <c r="G648">
        <v>2.3292650073075145E-2</v>
      </c>
      <c r="I648" s="7">
        <v>43381</v>
      </c>
      <c r="J648">
        <v>11</v>
      </c>
      <c r="K648">
        <v>3518</v>
      </c>
      <c r="L648">
        <v>573</v>
      </c>
      <c r="M648">
        <v>4650</v>
      </c>
      <c r="N648">
        <v>1400</v>
      </c>
      <c r="O648" t="s">
        <v>77</v>
      </c>
      <c r="P648">
        <v>2018</v>
      </c>
    </row>
    <row r="649" spans="6:16" x14ac:dyDescent="0.25">
      <c r="F649" s="7">
        <v>43382</v>
      </c>
      <c r="G649">
        <v>2.4432226422930425E-2</v>
      </c>
      <c r="I649" s="7">
        <v>43382</v>
      </c>
      <c r="J649">
        <v>12</v>
      </c>
      <c r="K649">
        <v>3265</v>
      </c>
      <c r="L649">
        <v>165.8</v>
      </c>
      <c r="M649">
        <v>4710</v>
      </c>
      <c r="N649">
        <v>1420</v>
      </c>
      <c r="O649" t="s">
        <v>77</v>
      </c>
      <c r="P649">
        <v>2018</v>
      </c>
    </row>
    <row r="650" spans="6:16" x14ac:dyDescent="0.25">
      <c r="F650" s="7">
        <v>43383</v>
      </c>
      <c r="G650">
        <v>2.8669713047274004E-2</v>
      </c>
      <c r="I650" s="7">
        <v>43383</v>
      </c>
      <c r="J650">
        <v>15</v>
      </c>
      <c r="K650">
        <v>4327.8500000000004</v>
      </c>
      <c r="L650">
        <v>661</v>
      </c>
      <c r="M650">
        <v>5630</v>
      </c>
      <c r="N650">
        <v>1690</v>
      </c>
      <c r="O650" t="s">
        <v>77</v>
      </c>
      <c r="P650">
        <v>2018</v>
      </c>
    </row>
    <row r="651" spans="6:16" x14ac:dyDescent="0.25">
      <c r="F651" s="7">
        <v>43384</v>
      </c>
      <c r="G651">
        <v>2.9723019943822579E-2</v>
      </c>
      <c r="I651" s="7">
        <v>43384</v>
      </c>
      <c r="J651">
        <v>16</v>
      </c>
      <c r="K651">
        <v>3884</v>
      </c>
      <c r="L651">
        <v>5235</v>
      </c>
      <c r="M651">
        <v>5720</v>
      </c>
      <c r="N651">
        <v>1720</v>
      </c>
      <c r="O651" t="s">
        <v>77</v>
      </c>
      <c r="P651">
        <v>2018</v>
      </c>
    </row>
    <row r="652" spans="6:16" x14ac:dyDescent="0.25">
      <c r="F652" s="7">
        <v>43385</v>
      </c>
      <c r="G652">
        <v>3.7322690755557733E-2</v>
      </c>
      <c r="I652" s="7">
        <v>43385</v>
      </c>
      <c r="J652">
        <v>26</v>
      </c>
      <c r="K652">
        <v>5238.99</v>
      </c>
      <c r="L652">
        <v>637.5</v>
      </c>
      <c r="M652">
        <v>6960</v>
      </c>
      <c r="N652">
        <v>2090</v>
      </c>
      <c r="O652" t="s">
        <v>77</v>
      </c>
      <c r="P652">
        <v>2018</v>
      </c>
    </row>
    <row r="653" spans="6:16" x14ac:dyDescent="0.25">
      <c r="F653" s="7">
        <v>43386</v>
      </c>
      <c r="G653">
        <v>5.3158774886673713E-2</v>
      </c>
      <c r="I653" s="7">
        <v>43386</v>
      </c>
      <c r="J653">
        <v>51</v>
      </c>
      <c r="K653">
        <v>7669.5</v>
      </c>
      <c r="L653">
        <v>173.5</v>
      </c>
      <c r="M653">
        <v>9830</v>
      </c>
      <c r="N653">
        <v>2950</v>
      </c>
      <c r="O653" t="s">
        <v>77</v>
      </c>
      <c r="P653">
        <v>2018</v>
      </c>
    </row>
    <row r="654" spans="6:16" x14ac:dyDescent="0.25">
      <c r="F654" s="7">
        <v>43387</v>
      </c>
      <c r="G654">
        <v>4.1756130664806705E-2</v>
      </c>
      <c r="I654" s="7">
        <v>43387</v>
      </c>
      <c r="J654">
        <v>25</v>
      </c>
      <c r="K654">
        <v>7818</v>
      </c>
      <c r="L654">
        <v>2286</v>
      </c>
      <c r="M654">
        <v>8720</v>
      </c>
      <c r="N654">
        <v>2620</v>
      </c>
      <c r="O654" t="s">
        <v>77</v>
      </c>
      <c r="P654">
        <v>2018</v>
      </c>
    </row>
    <row r="655" spans="6:16" x14ac:dyDescent="0.25">
      <c r="F655" s="7">
        <v>43388</v>
      </c>
      <c r="G655">
        <v>2.5028335838501357E-2</v>
      </c>
      <c r="I655" s="7">
        <v>43388</v>
      </c>
      <c r="J655">
        <v>16</v>
      </c>
      <c r="K655">
        <v>3118</v>
      </c>
      <c r="L655">
        <v>1293</v>
      </c>
      <c r="M655">
        <v>4500</v>
      </c>
      <c r="N655">
        <v>1350</v>
      </c>
      <c r="O655" t="s">
        <v>77</v>
      </c>
      <c r="P655">
        <v>2018</v>
      </c>
    </row>
    <row r="656" spans="6:16" x14ac:dyDescent="0.25">
      <c r="F656" s="7">
        <v>43389</v>
      </c>
      <c r="G656">
        <v>2.60609354531985E-2</v>
      </c>
      <c r="I656" s="7">
        <v>43389</v>
      </c>
      <c r="J656">
        <v>19</v>
      </c>
      <c r="K656">
        <v>5505.94</v>
      </c>
      <c r="L656">
        <v>245</v>
      </c>
      <c r="M656">
        <v>5590</v>
      </c>
      <c r="N656">
        <v>1680</v>
      </c>
      <c r="O656" t="s">
        <v>77</v>
      </c>
      <c r="P656">
        <v>2018</v>
      </c>
    </row>
    <row r="657" spans="6:16" x14ac:dyDescent="0.25">
      <c r="F657" s="7">
        <v>43390</v>
      </c>
      <c r="G657">
        <v>3.0194216270663949E-2</v>
      </c>
      <c r="I657" s="7">
        <v>43390</v>
      </c>
      <c r="J657">
        <v>14</v>
      </c>
      <c r="K657">
        <v>2124.6</v>
      </c>
      <c r="L657">
        <v>2431.87</v>
      </c>
      <c r="M657">
        <v>4770</v>
      </c>
      <c r="N657">
        <v>1430</v>
      </c>
      <c r="O657" t="s">
        <v>77</v>
      </c>
      <c r="P657">
        <v>2018</v>
      </c>
    </row>
    <row r="658" spans="6:16" x14ac:dyDescent="0.25">
      <c r="F658" s="7">
        <v>43391</v>
      </c>
      <c r="G658">
        <v>3.1149099040395225E-2</v>
      </c>
      <c r="I658" s="7">
        <v>43391</v>
      </c>
      <c r="J658">
        <v>17</v>
      </c>
      <c r="K658">
        <v>3534</v>
      </c>
      <c r="L658">
        <v>1210.1500000000001</v>
      </c>
      <c r="M658">
        <v>5580</v>
      </c>
      <c r="N658">
        <v>1680</v>
      </c>
      <c r="O658" t="s">
        <v>77</v>
      </c>
      <c r="P658">
        <v>2018</v>
      </c>
    </row>
    <row r="659" spans="6:16" x14ac:dyDescent="0.25">
      <c r="F659" s="7">
        <v>43392</v>
      </c>
      <c r="G659">
        <v>3.8658627795639285E-2</v>
      </c>
      <c r="I659" s="7">
        <v>43392</v>
      </c>
      <c r="J659">
        <v>12</v>
      </c>
      <c r="K659">
        <v>1999</v>
      </c>
      <c r="L659">
        <v>1084.5</v>
      </c>
      <c r="M659">
        <v>5680</v>
      </c>
      <c r="N659">
        <v>1710</v>
      </c>
      <c r="O659" t="s">
        <v>77</v>
      </c>
      <c r="P659">
        <v>2018</v>
      </c>
    </row>
    <row r="660" spans="6:16" x14ac:dyDescent="0.25">
      <c r="F660" s="7">
        <v>43393</v>
      </c>
      <c r="G660">
        <v>5.4414771965993161E-2</v>
      </c>
      <c r="I660" s="7">
        <v>43393</v>
      </c>
      <c r="J660">
        <v>33</v>
      </c>
      <c r="K660">
        <v>7800</v>
      </c>
      <c r="L660">
        <v>563.35</v>
      </c>
      <c r="M660">
        <v>9880</v>
      </c>
      <c r="N660">
        <v>2970</v>
      </c>
      <c r="O660" t="s">
        <v>77</v>
      </c>
      <c r="P660">
        <v>2018</v>
      </c>
    </row>
    <row r="661" spans="6:16" x14ac:dyDescent="0.25">
      <c r="F661" s="7">
        <v>43394</v>
      </c>
      <c r="G661">
        <v>4.2943680961357943E-2</v>
      </c>
      <c r="I661" s="7">
        <v>43394</v>
      </c>
      <c r="J661">
        <v>38</v>
      </c>
      <c r="K661">
        <v>9588.25</v>
      </c>
      <c r="L661">
        <v>18955.650000000001</v>
      </c>
      <c r="M661">
        <v>9420</v>
      </c>
      <c r="N661">
        <v>2830</v>
      </c>
      <c r="O661" t="s">
        <v>77</v>
      </c>
      <c r="P661">
        <v>2018</v>
      </c>
    </row>
    <row r="662" spans="6:16" x14ac:dyDescent="0.25">
      <c r="F662" s="7">
        <v>43395</v>
      </c>
      <c r="G662">
        <v>2.6159568531675809E-2</v>
      </c>
      <c r="I662" s="7">
        <v>43395</v>
      </c>
      <c r="J662">
        <v>14</v>
      </c>
      <c r="K662">
        <v>4040.47</v>
      </c>
      <c r="L662">
        <v>3579.88</v>
      </c>
      <c r="M662">
        <v>4860</v>
      </c>
      <c r="N662">
        <v>1460</v>
      </c>
      <c r="O662" t="s">
        <v>77</v>
      </c>
      <c r="P662">
        <v>2018</v>
      </c>
    </row>
    <row r="663" spans="6:16" x14ac:dyDescent="0.25">
      <c r="F663" s="7">
        <v>43396</v>
      </c>
      <c r="G663">
        <v>2.7146508314818647E-2</v>
      </c>
      <c r="I663" s="7">
        <v>43396</v>
      </c>
      <c r="J663">
        <v>8</v>
      </c>
      <c r="K663">
        <v>1529.2</v>
      </c>
      <c r="L663">
        <v>4158</v>
      </c>
      <c r="M663">
        <v>4030</v>
      </c>
      <c r="N663">
        <v>1210</v>
      </c>
      <c r="O663" t="s">
        <v>77</v>
      </c>
      <c r="P663">
        <v>2018</v>
      </c>
    </row>
    <row r="664" spans="6:16" x14ac:dyDescent="0.25">
      <c r="F664" s="7">
        <v>43397</v>
      </c>
      <c r="G664">
        <v>3.124557636046996E-2</v>
      </c>
      <c r="I664" s="7">
        <v>43397</v>
      </c>
      <c r="J664">
        <v>8</v>
      </c>
      <c r="K664">
        <v>1826</v>
      </c>
      <c r="L664">
        <v>99</v>
      </c>
      <c r="M664">
        <v>4650</v>
      </c>
      <c r="N664">
        <v>1400</v>
      </c>
      <c r="O664" t="s">
        <v>77</v>
      </c>
      <c r="P664">
        <v>2018</v>
      </c>
    </row>
    <row r="665" spans="6:16" x14ac:dyDescent="0.25">
      <c r="F665" s="7">
        <v>43398</v>
      </c>
      <c r="G665">
        <v>3.2176437283901758E-2</v>
      </c>
      <c r="I665" s="7">
        <v>43398</v>
      </c>
      <c r="J665">
        <v>24</v>
      </c>
      <c r="K665">
        <v>5566.72</v>
      </c>
      <c r="L665">
        <v>6556.18</v>
      </c>
      <c r="M665">
        <v>6380</v>
      </c>
      <c r="N665">
        <v>1920</v>
      </c>
      <c r="O665" t="s">
        <v>77</v>
      </c>
      <c r="P665">
        <v>2018</v>
      </c>
    </row>
    <row r="666" spans="6:16" x14ac:dyDescent="0.25">
      <c r="F666" s="7">
        <v>43399</v>
      </c>
      <c r="G666">
        <v>3.9670345366834447E-2</v>
      </c>
      <c r="I666" s="7">
        <v>43399</v>
      </c>
      <c r="J666">
        <v>27</v>
      </c>
      <c r="K666">
        <v>5484.08</v>
      </c>
      <c r="L666">
        <v>1147.92</v>
      </c>
      <c r="M666">
        <v>7050</v>
      </c>
      <c r="N666">
        <v>2120</v>
      </c>
      <c r="O666" t="s">
        <v>77</v>
      </c>
      <c r="P666">
        <v>2018</v>
      </c>
    </row>
    <row r="667" spans="6:16" x14ac:dyDescent="0.25">
      <c r="F667" s="7">
        <v>43400</v>
      </c>
      <c r="G667">
        <v>5.5417027364466888E-2</v>
      </c>
      <c r="I667" s="7">
        <v>43400</v>
      </c>
      <c r="J667">
        <v>30</v>
      </c>
      <c r="K667">
        <v>8592.25</v>
      </c>
      <c r="L667">
        <v>10677.5</v>
      </c>
      <c r="M667">
        <v>10190</v>
      </c>
      <c r="N667">
        <v>3060</v>
      </c>
      <c r="O667" t="s">
        <v>77</v>
      </c>
      <c r="P667">
        <v>2018</v>
      </c>
    </row>
    <row r="668" spans="6:16" x14ac:dyDescent="0.25">
      <c r="F668" s="7">
        <v>43401</v>
      </c>
      <c r="G668">
        <v>4.3940033259111839E-2</v>
      </c>
      <c r="I668" s="7">
        <v>43401</v>
      </c>
      <c r="J668">
        <v>27</v>
      </c>
      <c r="K668">
        <v>6121.24</v>
      </c>
      <c r="L668">
        <v>130</v>
      </c>
      <c r="M668">
        <v>8050</v>
      </c>
      <c r="N668">
        <v>2420</v>
      </c>
      <c r="O668" t="s">
        <v>77</v>
      </c>
      <c r="P668">
        <v>2018</v>
      </c>
    </row>
    <row r="669" spans="6:16" x14ac:dyDescent="0.25">
      <c r="F669" s="7">
        <v>43402</v>
      </c>
      <c r="G669">
        <v>2.7150728961000434E-2</v>
      </c>
      <c r="I669" s="7">
        <v>43402</v>
      </c>
      <c r="J669">
        <v>13</v>
      </c>
      <c r="K669">
        <v>2718</v>
      </c>
      <c r="L669">
        <v>340</v>
      </c>
      <c r="M669">
        <v>4340</v>
      </c>
      <c r="N669">
        <v>1300</v>
      </c>
      <c r="O669" t="s">
        <v>77</v>
      </c>
      <c r="P669">
        <v>2018</v>
      </c>
    </row>
    <row r="670" spans="6:16" x14ac:dyDescent="0.25">
      <c r="F670" s="7">
        <v>43403</v>
      </c>
      <c r="G670">
        <v>2.8131658274922696E-2</v>
      </c>
      <c r="I670" s="7">
        <v>43403</v>
      </c>
      <c r="J670">
        <v>17</v>
      </c>
      <c r="K670">
        <v>3130.25</v>
      </c>
      <c r="L670">
        <v>2442.5</v>
      </c>
      <c r="M670">
        <v>4660</v>
      </c>
      <c r="N670">
        <v>1400</v>
      </c>
      <c r="O670" t="s">
        <v>77</v>
      </c>
      <c r="P670">
        <v>2018</v>
      </c>
    </row>
    <row r="671" spans="6:16" x14ac:dyDescent="0.25">
      <c r="F671" s="7">
        <v>43404</v>
      </c>
      <c r="G671">
        <v>3.2219459071249637E-2</v>
      </c>
      <c r="I671" s="7">
        <v>43404</v>
      </c>
      <c r="J671">
        <v>23</v>
      </c>
      <c r="K671">
        <v>5403.75</v>
      </c>
      <c r="L671">
        <v>118</v>
      </c>
      <c r="M671">
        <v>6060</v>
      </c>
      <c r="N671">
        <v>1820</v>
      </c>
      <c r="O671" t="s">
        <v>77</v>
      </c>
      <c r="P671">
        <v>2018</v>
      </c>
    </row>
    <row r="672" spans="6:16" x14ac:dyDescent="0.25">
      <c r="F672" s="7">
        <v>43405</v>
      </c>
      <c r="G672">
        <v>3.3130920107040426E-2</v>
      </c>
      <c r="I672" s="7">
        <v>43405</v>
      </c>
      <c r="J672">
        <v>23</v>
      </c>
      <c r="K672">
        <v>5536.5</v>
      </c>
      <c r="L672">
        <v>1101.27</v>
      </c>
      <c r="M672">
        <v>6370</v>
      </c>
      <c r="N672">
        <v>1910</v>
      </c>
      <c r="O672" t="s">
        <v>77</v>
      </c>
      <c r="P672">
        <v>2018</v>
      </c>
    </row>
    <row r="673" spans="6:16" x14ac:dyDescent="0.25">
      <c r="F673" s="7">
        <v>43406</v>
      </c>
      <c r="G673">
        <v>4.0594652113365375E-2</v>
      </c>
      <c r="I673" s="7">
        <v>43406</v>
      </c>
      <c r="J673">
        <v>32</v>
      </c>
      <c r="K673">
        <v>6703.1</v>
      </c>
      <c r="L673">
        <v>2602.8000000000002</v>
      </c>
      <c r="M673">
        <v>7530</v>
      </c>
      <c r="N673">
        <v>2260</v>
      </c>
      <c r="O673" t="s">
        <v>77</v>
      </c>
      <c r="P673">
        <v>2018</v>
      </c>
    </row>
    <row r="674" spans="6:16" x14ac:dyDescent="0.25">
      <c r="F674" s="7">
        <v>43407</v>
      </c>
      <c r="G674">
        <v>5.6298082840821301E-2</v>
      </c>
      <c r="I674" s="7">
        <v>43407</v>
      </c>
      <c r="J674">
        <v>37</v>
      </c>
      <c r="K674">
        <v>8364</v>
      </c>
      <c r="L674">
        <v>270</v>
      </c>
      <c r="M674">
        <v>10100</v>
      </c>
      <c r="N674">
        <v>3030</v>
      </c>
      <c r="O674" t="s">
        <v>77</v>
      </c>
      <c r="P674">
        <v>2018</v>
      </c>
    </row>
    <row r="675" spans="6:16" x14ac:dyDescent="0.25">
      <c r="F675" s="7">
        <v>43408</v>
      </c>
      <c r="G675">
        <v>4.3613101919646506E-2</v>
      </c>
      <c r="I675" s="7">
        <v>43408</v>
      </c>
      <c r="J675">
        <v>26</v>
      </c>
      <c r="K675">
        <v>6226.5</v>
      </c>
      <c r="L675">
        <v>1574</v>
      </c>
      <c r="M675">
        <v>8360</v>
      </c>
      <c r="N675">
        <v>2360</v>
      </c>
      <c r="O675" t="s">
        <v>78</v>
      </c>
      <c r="P675">
        <v>2018</v>
      </c>
    </row>
    <row r="676" spans="6:16" x14ac:dyDescent="0.25">
      <c r="F676" s="7">
        <v>43409</v>
      </c>
      <c r="G676">
        <v>2.7182542533758632E-2</v>
      </c>
      <c r="I676" s="7">
        <v>43409</v>
      </c>
      <c r="J676">
        <v>18</v>
      </c>
      <c r="K676">
        <v>4312</v>
      </c>
      <c r="L676">
        <v>1077.2</v>
      </c>
      <c r="M676">
        <v>5110</v>
      </c>
      <c r="N676">
        <v>1450</v>
      </c>
      <c r="O676" t="s">
        <v>78</v>
      </c>
      <c r="P676">
        <v>2018</v>
      </c>
    </row>
    <row r="677" spans="6:16" x14ac:dyDescent="0.25">
      <c r="F677" s="7">
        <v>43410</v>
      </c>
      <c r="G677">
        <v>2.8049232059999922E-2</v>
      </c>
      <c r="I677" s="7">
        <v>43410</v>
      </c>
      <c r="J677">
        <v>20</v>
      </c>
      <c r="K677">
        <v>5142.3599999999997</v>
      </c>
      <c r="L677">
        <v>574</v>
      </c>
      <c r="M677">
        <v>5600</v>
      </c>
      <c r="N677">
        <v>1580</v>
      </c>
      <c r="O677" t="s">
        <v>78</v>
      </c>
      <c r="P677">
        <v>2018</v>
      </c>
    </row>
    <row r="678" spans="6:16" x14ac:dyDescent="0.25">
      <c r="F678" s="7">
        <v>43411</v>
      </c>
      <c r="G678">
        <v>3.1926401335944279E-2</v>
      </c>
      <c r="I678" s="7">
        <v>43411</v>
      </c>
      <c r="J678">
        <v>22</v>
      </c>
      <c r="K678">
        <v>4979.6000000000004</v>
      </c>
      <c r="L678">
        <v>1033.5</v>
      </c>
      <c r="M678">
        <v>6070</v>
      </c>
      <c r="N678">
        <v>1720</v>
      </c>
      <c r="O678" t="s">
        <v>78</v>
      </c>
      <c r="P678">
        <v>2018</v>
      </c>
    </row>
    <row r="679" spans="6:16" x14ac:dyDescent="0.25">
      <c r="F679" s="7">
        <v>43412</v>
      </c>
      <c r="G679">
        <v>3.2692841908250808E-2</v>
      </c>
      <c r="I679" s="7">
        <v>43412</v>
      </c>
      <c r="J679">
        <v>19</v>
      </c>
      <c r="K679">
        <v>5313</v>
      </c>
      <c r="L679">
        <v>680</v>
      </c>
      <c r="M679">
        <v>6470</v>
      </c>
      <c r="N679">
        <v>1830</v>
      </c>
      <c r="O679" t="s">
        <v>78</v>
      </c>
      <c r="P679">
        <v>2018</v>
      </c>
    </row>
    <row r="680" spans="6:16" x14ac:dyDescent="0.25">
      <c r="F680" s="7">
        <v>43413</v>
      </c>
      <c r="G680">
        <v>3.982855305973805E-2</v>
      </c>
      <c r="I680" s="7">
        <v>43413</v>
      </c>
      <c r="J680">
        <v>22</v>
      </c>
      <c r="K680">
        <v>6233</v>
      </c>
      <c r="L680">
        <v>419.4</v>
      </c>
      <c r="M680">
        <v>7570</v>
      </c>
      <c r="N680">
        <v>2140</v>
      </c>
      <c r="O680" t="s">
        <v>78</v>
      </c>
      <c r="P680">
        <v>2018</v>
      </c>
    </row>
    <row r="681" spans="6:16" x14ac:dyDescent="0.25">
      <c r="F681" s="7">
        <v>43414</v>
      </c>
      <c r="G681">
        <v>5.4979562645975359E-2</v>
      </c>
      <c r="I681" s="7">
        <v>43414</v>
      </c>
      <c r="J681">
        <v>30</v>
      </c>
      <c r="K681">
        <v>7934</v>
      </c>
      <c r="L681">
        <v>320</v>
      </c>
      <c r="M681">
        <v>10250</v>
      </c>
      <c r="N681">
        <v>2900</v>
      </c>
      <c r="O681" t="s">
        <v>78</v>
      </c>
      <c r="P681">
        <v>2018</v>
      </c>
    </row>
    <row r="682" spans="6:16" x14ac:dyDescent="0.25">
      <c r="F682" s="7">
        <v>43415</v>
      </c>
      <c r="G682">
        <v>4.3581453996847416E-2</v>
      </c>
      <c r="I682" s="7">
        <v>43415</v>
      </c>
      <c r="J682">
        <v>36</v>
      </c>
      <c r="K682">
        <v>8372</v>
      </c>
      <c r="L682">
        <v>831</v>
      </c>
      <c r="M682">
        <v>9190</v>
      </c>
      <c r="N682">
        <v>2600</v>
      </c>
      <c r="O682" t="s">
        <v>78</v>
      </c>
      <c r="P682">
        <v>2018</v>
      </c>
    </row>
    <row r="683" spans="6:16" x14ac:dyDescent="0.25">
      <c r="F683" s="7">
        <v>43416</v>
      </c>
      <c r="G683">
        <v>2.6984615381477429E-2</v>
      </c>
      <c r="I683" s="7">
        <v>43416</v>
      </c>
      <c r="J683">
        <v>18</v>
      </c>
      <c r="K683">
        <v>5077</v>
      </c>
      <c r="L683">
        <v>2363</v>
      </c>
      <c r="M683">
        <v>5410</v>
      </c>
      <c r="N683">
        <v>1530</v>
      </c>
      <c r="O683" t="s">
        <v>78</v>
      </c>
      <c r="P683">
        <v>2018</v>
      </c>
    </row>
    <row r="684" spans="6:16" x14ac:dyDescent="0.25">
      <c r="F684" s="7">
        <v>43417</v>
      </c>
      <c r="G684">
        <v>2.7681608987276254E-2</v>
      </c>
      <c r="I684" s="7">
        <v>43417</v>
      </c>
      <c r="J684">
        <v>18</v>
      </c>
      <c r="K684">
        <v>4153.84</v>
      </c>
      <c r="L684">
        <v>790</v>
      </c>
      <c r="M684">
        <v>5220</v>
      </c>
      <c r="N684">
        <v>1480</v>
      </c>
      <c r="O684" t="s">
        <v>78</v>
      </c>
      <c r="P684">
        <v>2018</v>
      </c>
    </row>
    <row r="685" spans="6:16" x14ac:dyDescent="0.25">
      <c r="F685" s="7">
        <v>43418</v>
      </c>
      <c r="G685">
        <v>3.1389691263517643E-2</v>
      </c>
      <c r="I685" s="7">
        <v>43418</v>
      </c>
      <c r="J685">
        <v>18</v>
      </c>
      <c r="K685">
        <v>3822</v>
      </c>
      <c r="L685">
        <v>1928.1</v>
      </c>
      <c r="M685">
        <v>5620</v>
      </c>
      <c r="N685">
        <v>1590</v>
      </c>
      <c r="O685" t="s">
        <v>78</v>
      </c>
      <c r="P685">
        <v>2018</v>
      </c>
    </row>
    <row r="686" spans="6:16" x14ac:dyDescent="0.25">
      <c r="F686" s="7">
        <v>43419</v>
      </c>
      <c r="G686">
        <v>3.199196891840575E-2</v>
      </c>
      <c r="I686" s="7">
        <v>43419</v>
      </c>
      <c r="J686">
        <v>20</v>
      </c>
      <c r="K686">
        <v>4692</v>
      </c>
      <c r="L686">
        <v>4683.2</v>
      </c>
      <c r="M686">
        <v>6230</v>
      </c>
      <c r="N686">
        <v>1760</v>
      </c>
      <c r="O686" t="s">
        <v>78</v>
      </c>
      <c r="P686">
        <v>2018</v>
      </c>
    </row>
    <row r="687" spans="6:16" x14ac:dyDescent="0.25">
      <c r="F687" s="7">
        <v>43420</v>
      </c>
      <c r="G687">
        <v>3.8972926348413907E-2</v>
      </c>
      <c r="I687" s="7">
        <v>43420</v>
      </c>
      <c r="J687">
        <v>24</v>
      </c>
      <c r="K687">
        <v>5653.75</v>
      </c>
      <c r="L687">
        <v>1865.4</v>
      </c>
      <c r="M687">
        <v>7350</v>
      </c>
      <c r="N687">
        <v>2080</v>
      </c>
      <c r="O687" t="s">
        <v>78</v>
      </c>
      <c r="P687">
        <v>2018</v>
      </c>
    </row>
    <row r="688" spans="6:16" x14ac:dyDescent="0.25">
      <c r="F688" s="7">
        <v>43421</v>
      </c>
      <c r="G688">
        <v>5.3983118815702703E-2</v>
      </c>
      <c r="I688" s="7">
        <v>43421</v>
      </c>
      <c r="J688">
        <v>33</v>
      </c>
      <c r="K688">
        <v>8560</v>
      </c>
      <c r="L688">
        <v>1400.4</v>
      </c>
      <c r="M688">
        <v>10490</v>
      </c>
      <c r="N688">
        <v>2970</v>
      </c>
      <c r="O688" t="s">
        <v>78</v>
      </c>
      <c r="P688">
        <v>2018</v>
      </c>
    </row>
    <row r="689" spans="6:16" x14ac:dyDescent="0.25">
      <c r="F689" s="7">
        <v>43422</v>
      </c>
      <c r="G689">
        <v>4.246256746818515E-2</v>
      </c>
      <c r="I689" s="7">
        <v>43422</v>
      </c>
      <c r="J689">
        <v>32</v>
      </c>
      <c r="K689">
        <v>7118.88</v>
      </c>
      <c r="L689">
        <v>442.8</v>
      </c>
      <c r="M689">
        <v>8700</v>
      </c>
      <c r="N689">
        <v>2460</v>
      </c>
      <c r="O689" t="s">
        <v>78</v>
      </c>
      <c r="P689">
        <v>2018</v>
      </c>
    </row>
    <row r="690" spans="6:16" x14ac:dyDescent="0.25">
      <c r="F690" s="7">
        <v>43423</v>
      </c>
      <c r="G690">
        <v>2.5765876344645059E-2</v>
      </c>
      <c r="I690" s="7">
        <v>43423</v>
      </c>
      <c r="J690">
        <v>20</v>
      </c>
      <c r="K690">
        <v>5018</v>
      </c>
      <c r="L690">
        <v>2590</v>
      </c>
      <c r="M690">
        <v>5390</v>
      </c>
      <c r="N690">
        <v>1520</v>
      </c>
      <c r="O690" t="s">
        <v>78</v>
      </c>
      <c r="P690">
        <v>2018</v>
      </c>
    </row>
    <row r="691" spans="6:16" x14ac:dyDescent="0.25">
      <c r="F691" s="7">
        <v>43424</v>
      </c>
      <c r="G691">
        <v>2.6389472308073487E-2</v>
      </c>
      <c r="I691" s="7">
        <v>43424</v>
      </c>
      <c r="J691">
        <v>22</v>
      </c>
      <c r="K691">
        <v>4553.1899999999996</v>
      </c>
      <c r="L691">
        <v>10284.75</v>
      </c>
      <c r="M691">
        <v>5370</v>
      </c>
      <c r="N691">
        <v>1520</v>
      </c>
      <c r="O691" t="s">
        <v>78</v>
      </c>
      <c r="P691">
        <v>2018</v>
      </c>
    </row>
    <row r="692" spans="6:16" x14ac:dyDescent="0.25">
      <c r="F692" s="7">
        <v>43425</v>
      </c>
      <c r="G692">
        <v>3.0054003547962296E-2</v>
      </c>
      <c r="I692" s="7">
        <v>43425</v>
      </c>
      <c r="J692">
        <v>28</v>
      </c>
      <c r="K692">
        <v>5944.71</v>
      </c>
      <c r="L692">
        <v>1056</v>
      </c>
      <c r="M692">
        <v>6440</v>
      </c>
      <c r="N692">
        <v>1820</v>
      </c>
      <c r="O692" t="s">
        <v>78</v>
      </c>
      <c r="P692">
        <v>2018</v>
      </c>
    </row>
    <row r="693" spans="6:16" x14ac:dyDescent="0.25">
      <c r="F693" s="7">
        <v>43426</v>
      </c>
      <c r="G693">
        <v>3.0645384361580603E-2</v>
      </c>
      <c r="I693" s="7">
        <v>43426</v>
      </c>
      <c r="J693">
        <v>9</v>
      </c>
      <c r="K693">
        <v>2230.5</v>
      </c>
      <c r="L693">
        <v>47.5</v>
      </c>
      <c r="M693">
        <v>5280</v>
      </c>
      <c r="N693">
        <v>1490</v>
      </c>
      <c r="O693" t="s">
        <v>78</v>
      </c>
      <c r="P693">
        <v>2018</v>
      </c>
    </row>
    <row r="694" spans="6:16" x14ac:dyDescent="0.25">
      <c r="F694" s="7">
        <v>43427</v>
      </c>
      <c r="G694">
        <v>3.7650225490715575E-2</v>
      </c>
      <c r="I694" s="7">
        <v>43427</v>
      </c>
      <c r="J694">
        <v>21</v>
      </c>
      <c r="K694">
        <v>4990.8999999999996</v>
      </c>
      <c r="L694">
        <v>1505.5</v>
      </c>
      <c r="M694">
        <v>7090</v>
      </c>
      <c r="N694">
        <v>2010</v>
      </c>
      <c r="O694" t="s">
        <v>78</v>
      </c>
      <c r="P694">
        <v>2018</v>
      </c>
    </row>
    <row r="695" spans="6:16" x14ac:dyDescent="0.25">
      <c r="F695" s="7">
        <v>43428</v>
      </c>
      <c r="G695">
        <v>5.2720447116699688E-2</v>
      </c>
      <c r="I695" s="7">
        <v>43428</v>
      </c>
      <c r="J695">
        <v>28</v>
      </c>
      <c r="K695">
        <v>6673</v>
      </c>
      <c r="L695">
        <v>1287.75</v>
      </c>
      <c r="M695">
        <v>9760</v>
      </c>
      <c r="N695">
        <v>2760</v>
      </c>
      <c r="O695" t="s">
        <v>78</v>
      </c>
      <c r="P695">
        <v>2018</v>
      </c>
    </row>
    <row r="696" spans="6:16" x14ac:dyDescent="0.25">
      <c r="F696" s="7">
        <v>43429</v>
      </c>
      <c r="G696">
        <v>4.1296612977253795E-2</v>
      </c>
      <c r="I696" s="7">
        <v>43429</v>
      </c>
      <c r="J696">
        <v>28</v>
      </c>
      <c r="K696">
        <v>6199.7</v>
      </c>
      <c r="L696">
        <v>3406</v>
      </c>
      <c r="M696">
        <v>8350</v>
      </c>
      <c r="N696">
        <v>2360</v>
      </c>
      <c r="O696" t="s">
        <v>78</v>
      </c>
      <c r="P696">
        <v>2018</v>
      </c>
    </row>
    <row r="697" spans="6:16" x14ac:dyDescent="0.25">
      <c r="F697" s="7">
        <v>43430</v>
      </c>
      <c r="G697">
        <v>2.4733007754202466E-2</v>
      </c>
      <c r="I697" s="7">
        <v>43430</v>
      </c>
      <c r="J697">
        <v>19</v>
      </c>
      <c r="K697">
        <v>3371</v>
      </c>
      <c r="L697">
        <v>683</v>
      </c>
      <c r="M697">
        <v>4750</v>
      </c>
      <c r="N697">
        <v>1340</v>
      </c>
      <c r="O697" t="s">
        <v>78</v>
      </c>
      <c r="P697">
        <v>2018</v>
      </c>
    </row>
    <row r="698" spans="6:16" x14ac:dyDescent="0.25">
      <c r="F698" s="7">
        <v>43431</v>
      </c>
      <c r="G698">
        <v>2.5524339273374382E-2</v>
      </c>
      <c r="I698" s="7">
        <v>43431</v>
      </c>
      <c r="J698">
        <v>12</v>
      </c>
      <c r="K698">
        <v>3701</v>
      </c>
      <c r="L698">
        <v>1505.5</v>
      </c>
      <c r="M698">
        <v>5040</v>
      </c>
      <c r="N698">
        <v>1430</v>
      </c>
      <c r="O698" t="s">
        <v>78</v>
      </c>
      <c r="P698">
        <v>2018</v>
      </c>
    </row>
    <row r="699" spans="6:16" x14ac:dyDescent="0.25">
      <c r="F699" s="7">
        <v>43432</v>
      </c>
      <c r="G699">
        <v>2.9389704716169134E-2</v>
      </c>
      <c r="I699" s="7">
        <v>43432</v>
      </c>
      <c r="J699">
        <v>20</v>
      </c>
      <c r="K699">
        <v>3433.7</v>
      </c>
      <c r="L699">
        <v>1930.85</v>
      </c>
      <c r="M699">
        <v>5470</v>
      </c>
      <c r="N699">
        <v>1550</v>
      </c>
      <c r="O699" t="s">
        <v>78</v>
      </c>
      <c r="P699">
        <v>2018</v>
      </c>
    </row>
    <row r="700" spans="6:16" x14ac:dyDescent="0.25">
      <c r="F700" s="7">
        <v>43433</v>
      </c>
      <c r="G700">
        <v>3.0212102891546407E-2</v>
      </c>
      <c r="I700" s="7">
        <v>43433</v>
      </c>
      <c r="J700">
        <v>23</v>
      </c>
      <c r="K700">
        <v>5155.6000000000004</v>
      </c>
      <c r="L700">
        <v>1963.27</v>
      </c>
      <c r="M700">
        <v>6410</v>
      </c>
      <c r="N700">
        <v>1810</v>
      </c>
      <c r="O700" t="s">
        <v>78</v>
      </c>
      <c r="P700">
        <v>2018</v>
      </c>
    </row>
    <row r="701" spans="6:16" x14ac:dyDescent="0.25">
      <c r="F701" s="7">
        <v>43434</v>
      </c>
      <c r="G701">
        <v>3.7474436816402903E-2</v>
      </c>
      <c r="I701" s="7">
        <v>43434</v>
      </c>
      <c r="J701">
        <v>25</v>
      </c>
      <c r="K701">
        <v>6112.2</v>
      </c>
      <c r="L701">
        <v>3480.5</v>
      </c>
      <c r="M701">
        <v>7520</v>
      </c>
      <c r="N701">
        <v>2130</v>
      </c>
      <c r="O701" t="s">
        <v>78</v>
      </c>
      <c r="P701">
        <v>2018</v>
      </c>
    </row>
    <row r="702" spans="6:16" x14ac:dyDescent="0.25">
      <c r="F702" s="7">
        <v>43435</v>
      </c>
      <c r="G702">
        <v>5.2824199758234783E-2</v>
      </c>
      <c r="I702" s="7">
        <v>43435</v>
      </c>
      <c r="J702">
        <v>26</v>
      </c>
      <c r="K702">
        <v>5740.4</v>
      </c>
      <c r="L702">
        <v>1820</v>
      </c>
      <c r="M702">
        <v>9400</v>
      </c>
      <c r="N702">
        <v>2660</v>
      </c>
      <c r="O702" t="s">
        <v>78</v>
      </c>
      <c r="P702">
        <v>2018</v>
      </c>
    </row>
    <row r="703" spans="6:16" x14ac:dyDescent="0.25">
      <c r="F703" s="7">
        <v>43436</v>
      </c>
      <c r="G703">
        <v>3.0427048004891457E-2</v>
      </c>
      <c r="I703" s="7">
        <v>43436</v>
      </c>
      <c r="J703">
        <v>36</v>
      </c>
      <c r="K703">
        <v>7025.7</v>
      </c>
      <c r="L703">
        <v>454</v>
      </c>
      <c r="M703">
        <v>8940</v>
      </c>
      <c r="N703">
        <v>2410</v>
      </c>
      <c r="O703" t="s">
        <v>79</v>
      </c>
      <c r="P703">
        <v>2018</v>
      </c>
    </row>
    <row r="704" spans="6:16" x14ac:dyDescent="0.25">
      <c r="F704" s="7">
        <v>43437</v>
      </c>
      <c r="G704">
        <v>1.8564984383959829E-2</v>
      </c>
      <c r="I704" s="7">
        <v>43437</v>
      </c>
      <c r="J704">
        <v>11</v>
      </c>
      <c r="K704">
        <v>2366.65</v>
      </c>
      <c r="L704">
        <v>743.5</v>
      </c>
      <c r="M704">
        <v>4530</v>
      </c>
      <c r="N704">
        <v>1220</v>
      </c>
      <c r="O704" t="s">
        <v>79</v>
      </c>
      <c r="P704">
        <v>2018</v>
      </c>
    </row>
    <row r="705" spans="6:16" x14ac:dyDescent="0.25">
      <c r="F705" s="7">
        <v>43438</v>
      </c>
      <c r="G705">
        <v>1.9371522518114311E-2</v>
      </c>
      <c r="I705" s="7">
        <v>43438</v>
      </c>
      <c r="J705">
        <v>13</v>
      </c>
      <c r="K705">
        <v>3727</v>
      </c>
      <c r="L705">
        <v>1341.5</v>
      </c>
      <c r="M705">
        <v>5230</v>
      </c>
      <c r="N705">
        <v>1410</v>
      </c>
      <c r="O705" t="s">
        <v>79</v>
      </c>
      <c r="P705">
        <v>2018</v>
      </c>
    </row>
    <row r="706" spans="6:16" x14ac:dyDescent="0.25">
      <c r="F706" s="7">
        <v>43439</v>
      </c>
      <c r="G706">
        <v>2.2420686103900644E-2</v>
      </c>
      <c r="I706" s="7">
        <v>43439</v>
      </c>
      <c r="J706">
        <v>27</v>
      </c>
      <c r="K706">
        <v>6240.1</v>
      </c>
      <c r="L706">
        <v>376.5</v>
      </c>
      <c r="M706">
        <v>6740</v>
      </c>
      <c r="N706">
        <v>1820</v>
      </c>
      <c r="O706" t="s">
        <v>79</v>
      </c>
      <c r="P706">
        <v>2018</v>
      </c>
    </row>
    <row r="707" spans="6:16" x14ac:dyDescent="0.25">
      <c r="F707" s="7">
        <v>43440</v>
      </c>
      <c r="G707">
        <v>2.3244153171323556E-2</v>
      </c>
      <c r="I707" s="7">
        <v>43440</v>
      </c>
      <c r="J707">
        <v>23</v>
      </c>
      <c r="K707">
        <v>5249.4</v>
      </c>
      <c r="L707">
        <v>736.5</v>
      </c>
      <c r="M707">
        <v>6650</v>
      </c>
      <c r="N707">
        <v>1790</v>
      </c>
      <c r="O707" t="s">
        <v>79</v>
      </c>
      <c r="P707">
        <v>2018</v>
      </c>
    </row>
    <row r="708" spans="6:16" x14ac:dyDescent="0.25">
      <c r="F708" s="7">
        <v>43441</v>
      </c>
      <c r="G708">
        <v>2.8757180043338573E-2</v>
      </c>
      <c r="I708" s="7">
        <v>43441</v>
      </c>
      <c r="J708">
        <v>30</v>
      </c>
      <c r="K708">
        <v>7281.8</v>
      </c>
      <c r="L708">
        <v>2083</v>
      </c>
      <c r="M708">
        <v>8200</v>
      </c>
      <c r="N708">
        <v>2210</v>
      </c>
      <c r="O708" t="s">
        <v>79</v>
      </c>
      <c r="P708">
        <v>2018</v>
      </c>
    </row>
    <row r="709" spans="6:16" x14ac:dyDescent="0.25">
      <c r="F709" s="7">
        <v>43442</v>
      </c>
      <c r="G709">
        <v>4.015749932158684E-2</v>
      </c>
      <c r="I709" s="7">
        <v>43442</v>
      </c>
      <c r="J709">
        <v>32</v>
      </c>
      <c r="K709">
        <v>8187</v>
      </c>
      <c r="L709">
        <v>700</v>
      </c>
      <c r="M709">
        <v>10680</v>
      </c>
      <c r="N709">
        <v>2880</v>
      </c>
      <c r="O709" t="s">
        <v>79</v>
      </c>
      <c r="P709">
        <v>2018</v>
      </c>
    </row>
    <row r="710" spans="6:16" x14ac:dyDescent="0.25">
      <c r="F710" s="7">
        <v>43443</v>
      </c>
      <c r="G710">
        <v>3.2218481172675E-2</v>
      </c>
      <c r="I710" s="7">
        <v>43443</v>
      </c>
      <c r="J710">
        <v>42</v>
      </c>
      <c r="K710">
        <v>7533</v>
      </c>
      <c r="L710">
        <v>1587</v>
      </c>
      <c r="M710">
        <v>23</v>
      </c>
      <c r="N710">
        <v>2460</v>
      </c>
      <c r="O710" t="s">
        <v>79</v>
      </c>
      <c r="P710">
        <v>2018</v>
      </c>
    </row>
    <row r="711" spans="6:16" x14ac:dyDescent="0.25">
      <c r="F711" s="7">
        <v>43444</v>
      </c>
      <c r="G711">
        <v>2.0514790171141911E-2</v>
      </c>
      <c r="I711" s="7">
        <v>43444</v>
      </c>
      <c r="J711">
        <v>23</v>
      </c>
      <c r="K711">
        <v>4419.1499999999996</v>
      </c>
      <c r="L711">
        <v>794.5</v>
      </c>
      <c r="M711">
        <v>5310</v>
      </c>
      <c r="N711">
        <v>1430</v>
      </c>
      <c r="O711" t="s">
        <v>79</v>
      </c>
      <c r="P711">
        <v>2018</v>
      </c>
    </row>
    <row r="712" spans="6:16" x14ac:dyDescent="0.25">
      <c r="F712" s="7">
        <v>43445</v>
      </c>
      <c r="G712">
        <v>2.1453795637821304E-2</v>
      </c>
      <c r="I712" s="7">
        <v>43445</v>
      </c>
      <c r="J712">
        <v>24</v>
      </c>
      <c r="K712">
        <v>3999.4</v>
      </c>
      <c r="L712">
        <v>379</v>
      </c>
      <c r="M712">
        <v>5330</v>
      </c>
      <c r="N712">
        <v>1440</v>
      </c>
      <c r="O712" t="s">
        <v>79</v>
      </c>
      <c r="P712">
        <v>2018</v>
      </c>
    </row>
    <row r="713" spans="6:16" x14ac:dyDescent="0.25">
      <c r="F713" s="7">
        <v>43446</v>
      </c>
      <c r="G713">
        <v>2.4606537027044025E-2</v>
      </c>
      <c r="I713" s="7">
        <v>43446</v>
      </c>
      <c r="J713">
        <v>27</v>
      </c>
      <c r="K713">
        <v>5126.7</v>
      </c>
      <c r="L713">
        <v>1599.5</v>
      </c>
      <c r="M713">
        <v>6320</v>
      </c>
      <c r="N713">
        <v>1700</v>
      </c>
      <c r="O713" t="s">
        <v>79</v>
      </c>
      <c r="P713">
        <v>2018</v>
      </c>
    </row>
    <row r="714" spans="6:16" x14ac:dyDescent="0.25">
      <c r="F714" s="7">
        <v>43447</v>
      </c>
      <c r="G714">
        <v>2.5502281152843458E-2</v>
      </c>
      <c r="I714" s="7">
        <v>43447</v>
      </c>
      <c r="J714">
        <v>33</v>
      </c>
      <c r="K714">
        <v>4895.3999999999996</v>
      </c>
      <c r="L714">
        <v>2005</v>
      </c>
      <c r="M714">
        <v>6520</v>
      </c>
      <c r="N714">
        <v>1760</v>
      </c>
      <c r="O714" t="s">
        <v>79</v>
      </c>
      <c r="P714">
        <v>2018</v>
      </c>
    </row>
    <row r="715" spans="6:16" x14ac:dyDescent="0.25">
      <c r="F715" s="7">
        <v>43448</v>
      </c>
      <c r="G715">
        <v>3.1054501593251353E-2</v>
      </c>
      <c r="I715" s="7">
        <v>43448</v>
      </c>
      <c r="J715">
        <v>36</v>
      </c>
      <c r="K715">
        <v>7182.25</v>
      </c>
      <c r="L715">
        <v>0</v>
      </c>
      <c r="M715">
        <v>8170</v>
      </c>
      <c r="N715">
        <v>2200</v>
      </c>
      <c r="O715" t="s">
        <v>79</v>
      </c>
      <c r="P715">
        <v>2018</v>
      </c>
    </row>
    <row r="716" spans="6:16" x14ac:dyDescent="0.25">
      <c r="F716" s="7">
        <v>43449</v>
      </c>
      <c r="G716">
        <v>4.2459817223699889E-2</v>
      </c>
      <c r="I716" s="7">
        <v>43449</v>
      </c>
      <c r="J716">
        <v>41</v>
      </c>
      <c r="K716">
        <v>9409</v>
      </c>
      <c r="L716">
        <v>893</v>
      </c>
      <c r="M716">
        <v>11140</v>
      </c>
      <c r="N716">
        <v>3000</v>
      </c>
      <c r="O716" t="s">
        <v>79</v>
      </c>
      <c r="P716">
        <v>2018</v>
      </c>
    </row>
    <row r="717" spans="6:16" x14ac:dyDescent="0.25">
      <c r="F717" s="7">
        <v>43450</v>
      </c>
      <c r="G717">
        <v>3.4491178284408806E-2</v>
      </c>
      <c r="I717" s="7">
        <v>43450</v>
      </c>
      <c r="J717">
        <v>37</v>
      </c>
      <c r="K717">
        <v>8005.6</v>
      </c>
      <c r="L717">
        <v>1684</v>
      </c>
      <c r="M717">
        <v>9310</v>
      </c>
      <c r="N717">
        <v>2510</v>
      </c>
      <c r="O717" t="s">
        <v>79</v>
      </c>
      <c r="P717">
        <v>2018</v>
      </c>
    </row>
    <row r="718" spans="6:16" x14ac:dyDescent="0.25">
      <c r="F718" s="7">
        <v>43451</v>
      </c>
      <c r="G718">
        <v>2.2723531765055073E-2</v>
      </c>
      <c r="I718" s="7">
        <v>43451</v>
      </c>
      <c r="J718">
        <v>25</v>
      </c>
      <c r="K718">
        <v>5221.3999999999996</v>
      </c>
      <c r="L718">
        <v>1364.5</v>
      </c>
      <c r="M718">
        <v>5610</v>
      </c>
      <c r="N718">
        <v>1510</v>
      </c>
      <c r="O718" t="s">
        <v>79</v>
      </c>
      <c r="P718">
        <v>2018</v>
      </c>
    </row>
    <row r="719" spans="6:16" x14ac:dyDescent="0.25">
      <c r="F719" s="7">
        <v>43452</v>
      </c>
      <c r="G719">
        <v>2.3565224030181152E-2</v>
      </c>
      <c r="I719" s="7">
        <v>43452</v>
      </c>
      <c r="J719">
        <v>29</v>
      </c>
      <c r="K719">
        <v>6032.2</v>
      </c>
      <c r="L719">
        <v>3340.5</v>
      </c>
      <c r="M719">
        <v>6100</v>
      </c>
      <c r="N719">
        <v>1640</v>
      </c>
      <c r="O719" t="s">
        <v>79</v>
      </c>
      <c r="P719">
        <v>2018</v>
      </c>
    </row>
    <row r="720" spans="6:16" x14ac:dyDescent="0.25">
      <c r="F720" s="7">
        <v>43453</v>
      </c>
      <c r="G720">
        <v>2.6588942721798486E-2</v>
      </c>
      <c r="I720" s="7">
        <v>43453</v>
      </c>
      <c r="J720">
        <v>25</v>
      </c>
      <c r="K720">
        <v>6027.8</v>
      </c>
      <c r="L720">
        <v>752</v>
      </c>
      <c r="M720">
        <v>6660</v>
      </c>
      <c r="N720">
        <v>1790</v>
      </c>
      <c r="O720" t="s">
        <v>79</v>
      </c>
      <c r="P720">
        <v>2018</v>
      </c>
    </row>
    <row r="721" spans="6:16" x14ac:dyDescent="0.25">
      <c r="F721" s="7">
        <v>43454</v>
      </c>
      <c r="G721">
        <v>2.7326235349640123E-2</v>
      </c>
      <c r="I721" s="7">
        <v>43454</v>
      </c>
      <c r="J721">
        <v>29</v>
      </c>
      <c r="K721">
        <v>5647.7</v>
      </c>
      <c r="L721">
        <v>6622.75</v>
      </c>
      <c r="M721">
        <v>6800</v>
      </c>
      <c r="N721">
        <v>1830</v>
      </c>
      <c r="O721" t="s">
        <v>79</v>
      </c>
      <c r="P721">
        <v>2018</v>
      </c>
    </row>
    <row r="722" spans="6:16" x14ac:dyDescent="0.25">
      <c r="F722" s="7">
        <v>43455</v>
      </c>
      <c r="G722">
        <v>3.2693436209742494E-2</v>
      </c>
      <c r="I722" s="7">
        <v>43455</v>
      </c>
      <c r="J722">
        <v>26</v>
      </c>
      <c r="K722">
        <v>6605.4</v>
      </c>
      <c r="L722">
        <v>1221.5</v>
      </c>
      <c r="M722">
        <v>7950</v>
      </c>
      <c r="N722">
        <v>2140</v>
      </c>
      <c r="O722" t="s">
        <v>79</v>
      </c>
      <c r="P722">
        <v>2018</v>
      </c>
    </row>
    <row r="723" spans="6:16" x14ac:dyDescent="0.25">
      <c r="F723" s="7">
        <v>43456</v>
      </c>
      <c r="G723">
        <v>4.3890540021242486E-2</v>
      </c>
      <c r="I723" s="7">
        <v>43456</v>
      </c>
      <c r="J723">
        <v>30</v>
      </c>
      <c r="K723">
        <v>7689.5</v>
      </c>
      <c r="L723">
        <v>799.5</v>
      </c>
      <c r="M723">
        <v>10490</v>
      </c>
      <c r="N723">
        <v>2830</v>
      </c>
      <c r="O723" t="s">
        <v>79</v>
      </c>
      <c r="P723">
        <v>2018</v>
      </c>
    </row>
    <row r="724" spans="6:16" x14ac:dyDescent="0.25">
      <c r="F724" s="7">
        <v>43457</v>
      </c>
      <c r="G724">
        <v>3.5694312404777814E-2</v>
      </c>
      <c r="I724" s="7">
        <v>43457</v>
      </c>
      <c r="J724">
        <v>26</v>
      </c>
      <c r="K724">
        <v>7208.7</v>
      </c>
      <c r="L724">
        <v>2080</v>
      </c>
      <c r="M724">
        <v>9010</v>
      </c>
      <c r="N724">
        <v>2430</v>
      </c>
      <c r="O724" t="s">
        <v>79</v>
      </c>
      <c r="P724">
        <v>2018</v>
      </c>
    </row>
    <row r="725" spans="6:16" x14ac:dyDescent="0.25">
      <c r="F725" s="7">
        <v>43458</v>
      </c>
      <c r="G725">
        <v>2.3683871111045206E-2</v>
      </c>
      <c r="I725" s="7">
        <v>43458</v>
      </c>
      <c r="J725">
        <v>18</v>
      </c>
      <c r="K725">
        <v>3248.3</v>
      </c>
      <c r="L725">
        <v>1767</v>
      </c>
      <c r="M725">
        <v>4870</v>
      </c>
      <c r="N725">
        <v>1310</v>
      </c>
      <c r="O725" t="s">
        <v>79</v>
      </c>
      <c r="P725">
        <v>2018</v>
      </c>
    </row>
    <row r="726" spans="6:16" x14ac:dyDescent="0.25">
      <c r="F726" s="7">
        <v>43459</v>
      </c>
      <c r="G726">
        <v>1.9807489536769182E-2</v>
      </c>
      <c r="I726" s="7">
        <v>43459</v>
      </c>
      <c r="J726">
        <v>12</v>
      </c>
      <c r="K726">
        <v>3801</v>
      </c>
      <c r="L726">
        <v>192.95</v>
      </c>
      <c r="M726">
        <v>5560</v>
      </c>
      <c r="N726">
        <v>1500</v>
      </c>
      <c r="O726" t="s">
        <v>79</v>
      </c>
      <c r="P726">
        <v>2018</v>
      </c>
    </row>
    <row r="727" spans="6:16" x14ac:dyDescent="0.25">
      <c r="F727" s="7">
        <v>43460</v>
      </c>
      <c r="G727">
        <v>1.8491181360520088E-2</v>
      </c>
      <c r="I727" s="7">
        <v>43460</v>
      </c>
      <c r="J727">
        <v>14</v>
      </c>
      <c r="K727">
        <v>2701.05</v>
      </c>
      <c r="L727">
        <v>208</v>
      </c>
      <c r="M727">
        <v>6350</v>
      </c>
      <c r="N727">
        <v>1710</v>
      </c>
      <c r="O727" t="s">
        <v>79</v>
      </c>
      <c r="P727">
        <v>2018</v>
      </c>
    </row>
    <row r="728" spans="6:16" x14ac:dyDescent="0.25">
      <c r="F728" s="7">
        <v>43461</v>
      </c>
      <c r="G728">
        <v>2.7512060478630283E-2</v>
      </c>
      <c r="I728" s="7">
        <v>43461</v>
      </c>
      <c r="J728">
        <v>28</v>
      </c>
      <c r="K728">
        <v>5702.05</v>
      </c>
      <c r="L728">
        <v>2146</v>
      </c>
      <c r="M728">
        <v>6430</v>
      </c>
      <c r="N728">
        <v>1730</v>
      </c>
      <c r="O728" t="s">
        <v>79</v>
      </c>
      <c r="P728">
        <v>2018</v>
      </c>
    </row>
    <row r="729" spans="6:16" x14ac:dyDescent="0.25">
      <c r="F729" s="7">
        <v>43462</v>
      </c>
      <c r="G729">
        <v>3.2621211133729629E-2</v>
      </c>
      <c r="I729" s="7">
        <v>43462</v>
      </c>
      <c r="J729">
        <v>28</v>
      </c>
      <c r="K729">
        <v>7004.2</v>
      </c>
      <c r="L729">
        <v>1128.5</v>
      </c>
      <c r="M729">
        <v>7230</v>
      </c>
      <c r="N729">
        <v>1950</v>
      </c>
      <c r="O729" t="s">
        <v>79</v>
      </c>
      <c r="P729">
        <v>2018</v>
      </c>
    </row>
    <row r="730" spans="6:16" x14ac:dyDescent="0.25">
      <c r="F730" s="7">
        <v>43463</v>
      </c>
      <c r="G730">
        <v>4.356797027655377E-2</v>
      </c>
      <c r="I730" s="7">
        <v>43463</v>
      </c>
      <c r="J730">
        <v>30</v>
      </c>
      <c r="K730">
        <v>8035</v>
      </c>
      <c r="L730">
        <v>716</v>
      </c>
      <c r="M730">
        <v>9330</v>
      </c>
      <c r="N730">
        <v>2510</v>
      </c>
      <c r="O730" t="s">
        <v>79</v>
      </c>
      <c r="P730">
        <v>2018</v>
      </c>
    </row>
    <row r="731" spans="6:16" x14ac:dyDescent="0.25">
      <c r="F731" s="7">
        <v>43464</v>
      </c>
      <c r="G731">
        <v>3.5133435147330361E-2</v>
      </c>
      <c r="I731" s="7">
        <v>43464</v>
      </c>
      <c r="J731">
        <v>40</v>
      </c>
      <c r="K731">
        <v>7773.2</v>
      </c>
      <c r="L731">
        <v>1662.5</v>
      </c>
      <c r="M731">
        <v>6290</v>
      </c>
      <c r="N731">
        <v>1690</v>
      </c>
      <c r="O731" t="s">
        <v>79</v>
      </c>
      <c r="P731">
        <v>2018</v>
      </c>
    </row>
    <row r="732" spans="6:16" x14ac:dyDescent="0.25">
      <c r="F732" s="7">
        <v>43465</v>
      </c>
      <c r="G732">
        <v>2.290076641187078E-2</v>
      </c>
      <c r="I732" s="7">
        <v>43465</v>
      </c>
      <c r="J732">
        <v>26</v>
      </c>
      <c r="K732">
        <v>5772.55</v>
      </c>
      <c r="L732">
        <v>738</v>
      </c>
      <c r="M732">
        <v>3640</v>
      </c>
      <c r="N732">
        <v>980</v>
      </c>
      <c r="O732" t="s">
        <v>79</v>
      </c>
      <c r="P732">
        <v>2018</v>
      </c>
    </row>
    <row r="733" spans="6:16" x14ac:dyDescent="0.25">
      <c r="F733" s="7">
        <v>43466</v>
      </c>
      <c r="G733">
        <v>2.328642590160537E-2</v>
      </c>
      <c r="I733" s="7">
        <v>43466</v>
      </c>
      <c r="J733">
        <v>18</v>
      </c>
      <c r="K733">
        <v>4615.5</v>
      </c>
      <c r="L733">
        <v>223</v>
      </c>
      <c r="M733">
        <v>3820</v>
      </c>
      <c r="N733">
        <v>1030</v>
      </c>
      <c r="O733" t="s">
        <v>79</v>
      </c>
      <c r="P733">
        <v>2018</v>
      </c>
    </row>
    <row r="734" spans="6:16" x14ac:dyDescent="0.25">
      <c r="F734" s="7">
        <v>43467</v>
      </c>
      <c r="G734">
        <v>2.5870958984631293E-2</v>
      </c>
      <c r="I734" s="7">
        <v>43467</v>
      </c>
      <c r="J734">
        <v>25</v>
      </c>
      <c r="K734">
        <v>5214.37</v>
      </c>
      <c r="L734">
        <v>1676</v>
      </c>
      <c r="M734">
        <v>4380</v>
      </c>
      <c r="N734">
        <v>1180</v>
      </c>
      <c r="O734" t="s">
        <v>79</v>
      </c>
      <c r="P734">
        <v>2018</v>
      </c>
    </row>
    <row r="735" spans="6:16" x14ac:dyDescent="0.25">
      <c r="F735" s="7">
        <v>43468</v>
      </c>
      <c r="G735">
        <v>2.6193362496595055E-2</v>
      </c>
      <c r="I735" s="7">
        <v>43468</v>
      </c>
      <c r="J735">
        <v>25</v>
      </c>
      <c r="K735">
        <v>4670.1499999999996</v>
      </c>
      <c r="L735">
        <v>1264.7</v>
      </c>
      <c r="M735">
        <v>4670</v>
      </c>
      <c r="N735">
        <v>1260</v>
      </c>
      <c r="O735" t="s">
        <v>79</v>
      </c>
      <c r="P735">
        <v>2018</v>
      </c>
    </row>
    <row r="736" spans="6:16" x14ac:dyDescent="0.25">
      <c r="F736" s="7">
        <v>43469</v>
      </c>
      <c r="G736">
        <v>3.1176872932866553E-2</v>
      </c>
      <c r="I736" s="7">
        <v>43469</v>
      </c>
      <c r="J736">
        <v>21</v>
      </c>
      <c r="K736">
        <v>4711.8</v>
      </c>
      <c r="L736">
        <v>68.5</v>
      </c>
      <c r="M736">
        <v>5450</v>
      </c>
      <c r="N736">
        <v>1470</v>
      </c>
      <c r="O736" t="s">
        <v>79</v>
      </c>
      <c r="P736">
        <v>2018</v>
      </c>
    </row>
    <row r="737" spans="6:16" x14ac:dyDescent="0.25">
      <c r="F737" s="7">
        <v>43470</v>
      </c>
      <c r="G737">
        <v>4.2027715915413863E-2</v>
      </c>
      <c r="I737" s="7">
        <v>43470</v>
      </c>
      <c r="J737">
        <v>18</v>
      </c>
      <c r="K737">
        <v>4603</v>
      </c>
      <c r="L737">
        <v>450</v>
      </c>
      <c r="M737">
        <v>7580</v>
      </c>
      <c r="N737">
        <v>2050</v>
      </c>
      <c r="O737" t="s">
        <v>79</v>
      </c>
      <c r="P737">
        <v>2018</v>
      </c>
    </row>
    <row r="738" spans="6:16" x14ac:dyDescent="0.25">
      <c r="F738" s="7">
        <v>43471</v>
      </c>
      <c r="G738">
        <v>4.2553297178911653E-2</v>
      </c>
      <c r="I738" s="7">
        <v>43471</v>
      </c>
      <c r="J738">
        <v>29</v>
      </c>
      <c r="K738">
        <v>5580.05</v>
      </c>
      <c r="L738">
        <v>766.25</v>
      </c>
      <c r="M738">
        <v>4173.0192237912461</v>
      </c>
      <c r="N738">
        <v>616.39573250505498</v>
      </c>
      <c r="O738" t="s">
        <v>68</v>
      </c>
      <c r="P738">
        <v>2019</v>
      </c>
    </row>
    <row r="739" spans="6:16" x14ac:dyDescent="0.25">
      <c r="F739" s="7">
        <v>43472</v>
      </c>
      <c r="G739">
        <v>2.6985053537327421E-2</v>
      </c>
      <c r="I739" s="7">
        <v>43472</v>
      </c>
      <c r="J739">
        <v>10</v>
      </c>
      <c r="K739">
        <v>1931</v>
      </c>
      <c r="L739">
        <v>207</v>
      </c>
      <c r="M739">
        <v>2766.6095748647185</v>
      </c>
      <c r="N739">
        <v>913.85598424907994</v>
      </c>
      <c r="O739" t="s">
        <v>68</v>
      </c>
      <c r="P739">
        <v>2019</v>
      </c>
    </row>
    <row r="740" spans="6:16" x14ac:dyDescent="0.25">
      <c r="F740" s="7">
        <v>43473</v>
      </c>
      <c r="G740">
        <v>2.7471570040490029E-2</v>
      </c>
      <c r="I740" s="7">
        <v>43473</v>
      </c>
      <c r="J740">
        <v>17</v>
      </c>
      <c r="K740">
        <v>3957</v>
      </c>
      <c r="L740">
        <v>739.93</v>
      </c>
      <c r="M740">
        <v>3383.1012815139875</v>
      </c>
      <c r="N740">
        <v>524.82830097680755</v>
      </c>
      <c r="O740" t="s">
        <v>68</v>
      </c>
      <c r="P740">
        <v>2019</v>
      </c>
    </row>
    <row r="741" spans="6:16" x14ac:dyDescent="0.25">
      <c r="F741" s="7">
        <v>43474</v>
      </c>
      <c r="G741">
        <v>3.0787908051195974E-2</v>
      </c>
      <c r="I741" s="7">
        <v>43474</v>
      </c>
      <c r="J741">
        <v>17</v>
      </c>
      <c r="K741">
        <v>3415.3</v>
      </c>
      <c r="L741">
        <v>644.71</v>
      </c>
      <c r="M741">
        <v>3753.5418877358911</v>
      </c>
      <c r="N741">
        <v>767.61627588093847</v>
      </c>
      <c r="O741" t="s">
        <v>68</v>
      </c>
      <c r="P741">
        <v>2019</v>
      </c>
    </row>
    <row r="742" spans="6:16" x14ac:dyDescent="0.25">
      <c r="F742" s="7">
        <v>43475</v>
      </c>
      <c r="G742">
        <v>3.1270818617954957E-2</v>
      </c>
      <c r="I742" s="7">
        <v>43475</v>
      </c>
      <c r="J742">
        <v>9</v>
      </c>
      <c r="K742">
        <v>2520.6</v>
      </c>
      <c r="L742">
        <v>585</v>
      </c>
      <c r="M742">
        <v>3523.0838624168136</v>
      </c>
      <c r="N742">
        <v>928.57065413385158</v>
      </c>
      <c r="O742" t="s">
        <v>68</v>
      </c>
      <c r="P742">
        <v>2019</v>
      </c>
    </row>
    <row r="743" spans="6:16" x14ac:dyDescent="0.25">
      <c r="F743" s="7">
        <v>43476</v>
      </c>
      <c r="G743">
        <v>3.7705103465548645E-2</v>
      </c>
      <c r="I743" s="7">
        <v>43476</v>
      </c>
      <c r="J743">
        <v>25</v>
      </c>
      <c r="K743">
        <v>5096</v>
      </c>
      <c r="L743">
        <v>608</v>
      </c>
      <c r="M743">
        <v>5726.0887235660766</v>
      </c>
      <c r="N743">
        <v>1060.6916527884534</v>
      </c>
      <c r="O743" t="s">
        <v>68</v>
      </c>
      <c r="P743">
        <v>2019</v>
      </c>
    </row>
    <row r="744" spans="6:16" x14ac:dyDescent="0.25">
      <c r="F744" s="7">
        <v>43477</v>
      </c>
      <c r="G744">
        <v>5.1619057389022782E-2</v>
      </c>
      <c r="I744" s="7">
        <v>43477</v>
      </c>
      <c r="J744">
        <v>30</v>
      </c>
      <c r="K744">
        <v>6945.96</v>
      </c>
      <c r="L744">
        <v>727</v>
      </c>
      <c r="M744">
        <v>8338.2005032293018</v>
      </c>
      <c r="N744">
        <v>1383.9195693083391</v>
      </c>
      <c r="O744" t="s">
        <v>68</v>
      </c>
      <c r="P744">
        <v>2019</v>
      </c>
    </row>
    <row r="745" spans="6:16" x14ac:dyDescent="0.25">
      <c r="F745" s="7">
        <v>43478</v>
      </c>
      <c r="G745">
        <v>4.1003567665614811E-2</v>
      </c>
      <c r="I745" s="7">
        <v>43478</v>
      </c>
      <c r="J745">
        <v>31</v>
      </c>
      <c r="K745">
        <v>6872.6</v>
      </c>
      <c r="L745">
        <v>613</v>
      </c>
      <c r="M745">
        <v>6935.1907522761476</v>
      </c>
      <c r="N745">
        <v>677.58877063456066</v>
      </c>
      <c r="O745" t="s">
        <v>68</v>
      </c>
      <c r="P745">
        <v>2019</v>
      </c>
    </row>
    <row r="746" spans="6:16" x14ac:dyDescent="0.25">
      <c r="F746" s="7">
        <v>43479</v>
      </c>
      <c r="G746">
        <v>2.5633615893164822E-2</v>
      </c>
      <c r="I746" s="7">
        <v>43479</v>
      </c>
      <c r="J746">
        <v>12</v>
      </c>
      <c r="K746">
        <v>3787.4</v>
      </c>
      <c r="L746">
        <v>128.5</v>
      </c>
      <c r="M746">
        <v>5995.4053353959371</v>
      </c>
      <c r="N746">
        <v>825.46682571430983</v>
      </c>
      <c r="O746" t="s">
        <v>68</v>
      </c>
      <c r="P746">
        <v>2019</v>
      </c>
    </row>
    <row r="747" spans="6:16" x14ac:dyDescent="0.25">
      <c r="F747" s="7">
        <v>43480</v>
      </c>
      <c r="G747">
        <v>2.6340694842769186E-2</v>
      </c>
      <c r="I747" s="7">
        <v>43480</v>
      </c>
      <c r="J747">
        <v>11</v>
      </c>
      <c r="K747">
        <v>2004.8</v>
      </c>
      <c r="L747">
        <v>0</v>
      </c>
      <c r="M747">
        <v>2940.8566791038893</v>
      </c>
      <c r="N747">
        <v>538.91819144849035</v>
      </c>
      <c r="O747" t="s">
        <v>68</v>
      </c>
      <c r="P747">
        <v>2019</v>
      </c>
    </row>
    <row r="748" spans="6:16" x14ac:dyDescent="0.25">
      <c r="F748" s="7">
        <v>43481</v>
      </c>
      <c r="G748">
        <v>2.9895611417801823E-2</v>
      </c>
      <c r="I748" s="7">
        <v>43481</v>
      </c>
      <c r="J748">
        <v>18</v>
      </c>
      <c r="K748">
        <v>4229.59</v>
      </c>
      <c r="L748">
        <v>3474.5</v>
      </c>
      <c r="M748">
        <v>2881.6624166850206</v>
      </c>
      <c r="N748">
        <v>490.43172018153007</v>
      </c>
      <c r="O748" t="s">
        <v>68</v>
      </c>
      <c r="P748">
        <v>2019</v>
      </c>
    </row>
    <row r="749" spans="6:16" x14ac:dyDescent="0.25">
      <c r="F749" s="7">
        <v>43482</v>
      </c>
      <c r="G749">
        <v>3.0630641464310705E-2</v>
      </c>
      <c r="I749" s="7">
        <v>43482</v>
      </c>
      <c r="J749">
        <v>14</v>
      </c>
      <c r="K749">
        <v>3352.38</v>
      </c>
      <c r="L749">
        <v>122.36</v>
      </c>
      <c r="M749">
        <v>4191.4475791619761</v>
      </c>
      <c r="N749">
        <v>743.7773252723772</v>
      </c>
      <c r="O749" t="s">
        <v>68</v>
      </c>
      <c r="P749">
        <v>2019</v>
      </c>
    </row>
    <row r="750" spans="6:16" x14ac:dyDescent="0.25">
      <c r="F750" s="7">
        <v>43483</v>
      </c>
      <c r="G750">
        <v>3.7325966835585325E-2</v>
      </c>
      <c r="I750" s="7">
        <v>43483</v>
      </c>
      <c r="J750">
        <v>20</v>
      </c>
      <c r="K750">
        <v>4278.7</v>
      </c>
      <c r="L750">
        <v>57</v>
      </c>
      <c r="M750">
        <v>5924.3280761859205</v>
      </c>
      <c r="N750">
        <v>998.10550338276482</v>
      </c>
      <c r="O750" t="s">
        <v>68</v>
      </c>
      <c r="P750">
        <v>2019</v>
      </c>
    </row>
    <row r="751" spans="6:16" x14ac:dyDescent="0.25">
      <c r="F751" s="7">
        <v>43484</v>
      </c>
      <c r="G751">
        <v>5.1505192008156377E-2</v>
      </c>
      <c r="I751" s="7">
        <v>43484</v>
      </c>
      <c r="J751">
        <v>33</v>
      </c>
      <c r="K751">
        <v>8946</v>
      </c>
      <c r="L751">
        <v>118.8</v>
      </c>
      <c r="M751">
        <v>9039.6363784053538</v>
      </c>
      <c r="N751">
        <v>1589.6139173867994</v>
      </c>
      <c r="O751" t="s">
        <v>68</v>
      </c>
      <c r="P751">
        <v>2019</v>
      </c>
    </row>
    <row r="752" spans="6:16" x14ac:dyDescent="0.25">
      <c r="F752" s="7">
        <v>43485</v>
      </c>
      <c r="G752">
        <v>4.1154514902238093E-2</v>
      </c>
      <c r="I752" s="7">
        <v>43485</v>
      </c>
      <c r="J752">
        <v>27</v>
      </c>
      <c r="K752">
        <v>7351.6</v>
      </c>
      <c r="L752">
        <v>474.8</v>
      </c>
      <c r="M752">
        <v>5769.135644865486</v>
      </c>
      <c r="N752">
        <v>906.86432742270983</v>
      </c>
      <c r="O752" t="s">
        <v>68</v>
      </c>
      <c r="P752">
        <v>2019</v>
      </c>
    </row>
    <row r="753" spans="6:16" x14ac:dyDescent="0.25">
      <c r="F753" s="7">
        <v>43486</v>
      </c>
      <c r="G753">
        <v>2.6044296237515776E-2</v>
      </c>
      <c r="I753" s="7">
        <v>43486</v>
      </c>
      <c r="J753">
        <v>26</v>
      </c>
      <c r="K753">
        <v>5761.8</v>
      </c>
      <c r="L753">
        <v>1072.5</v>
      </c>
      <c r="M753">
        <v>2903.0508022140461</v>
      </c>
      <c r="N753">
        <v>501.50918424023337</v>
      </c>
      <c r="O753" t="s">
        <v>68</v>
      </c>
      <c r="P753">
        <v>2019</v>
      </c>
    </row>
    <row r="754" spans="6:16" x14ac:dyDescent="0.25">
      <c r="F754" s="7">
        <v>43487</v>
      </c>
      <c r="G754">
        <v>2.7001539392553255E-2</v>
      </c>
      <c r="I754" s="7">
        <v>43487</v>
      </c>
      <c r="J754">
        <v>18</v>
      </c>
      <c r="K754">
        <v>3531.2</v>
      </c>
      <c r="L754">
        <v>525.5</v>
      </c>
      <c r="M754">
        <v>3714.5320631563332</v>
      </c>
      <c r="N754">
        <v>798.5624756636804</v>
      </c>
      <c r="O754" t="s">
        <v>68</v>
      </c>
      <c r="P754">
        <v>2019</v>
      </c>
    </row>
    <row r="755" spans="6:16" x14ac:dyDescent="0.25">
      <c r="F755" s="7">
        <v>43488</v>
      </c>
      <c r="G755">
        <v>3.0792751304990127E-2</v>
      </c>
      <c r="I755" s="7">
        <v>43488</v>
      </c>
      <c r="J755">
        <v>34</v>
      </c>
      <c r="K755">
        <v>5575</v>
      </c>
      <c r="L755">
        <v>2755.87</v>
      </c>
      <c r="M755">
        <v>3694.7926822194513</v>
      </c>
      <c r="N755">
        <v>756.71009599553645</v>
      </c>
      <c r="O755" t="s">
        <v>68</v>
      </c>
      <c r="P755">
        <v>2019</v>
      </c>
    </row>
    <row r="756" spans="6:16" x14ac:dyDescent="0.25">
      <c r="F756" s="7">
        <v>43489</v>
      </c>
      <c r="G756">
        <v>3.1746149892964863E-2</v>
      </c>
      <c r="I756" s="7">
        <v>43489</v>
      </c>
      <c r="J756">
        <v>14</v>
      </c>
      <c r="K756">
        <v>2734.4</v>
      </c>
      <c r="L756">
        <v>73</v>
      </c>
      <c r="M756">
        <v>3832.9819171820468</v>
      </c>
      <c r="N756">
        <v>944.40003054328167</v>
      </c>
      <c r="O756" t="s">
        <v>68</v>
      </c>
      <c r="P756">
        <v>2019</v>
      </c>
    </row>
    <row r="757" spans="6:16" x14ac:dyDescent="0.25">
      <c r="F757" s="7">
        <v>43490</v>
      </c>
      <c r="G757">
        <v>3.8638148342482817E-2</v>
      </c>
      <c r="I757" s="7">
        <v>43490</v>
      </c>
      <c r="J757">
        <v>24</v>
      </c>
      <c r="K757">
        <v>4861.2</v>
      </c>
      <c r="L757">
        <v>888</v>
      </c>
      <c r="M757">
        <v>5331.907049913606</v>
      </c>
      <c r="N757">
        <v>1212.8509421858835</v>
      </c>
      <c r="O757" t="s">
        <v>68</v>
      </c>
      <c r="P757">
        <v>2019</v>
      </c>
    </row>
    <row r="758" spans="6:16" x14ac:dyDescent="0.25">
      <c r="F758" s="7">
        <v>43491</v>
      </c>
      <c r="G758">
        <v>5.29889135450844E-2</v>
      </c>
      <c r="I758" s="7">
        <v>43491</v>
      </c>
      <c r="J758">
        <v>40</v>
      </c>
      <c r="K758">
        <v>9549</v>
      </c>
      <c r="L758">
        <v>1010.5</v>
      </c>
      <c r="M758">
        <v>9148.7323067989146</v>
      </c>
      <c r="N758">
        <v>1630.8389837236075</v>
      </c>
      <c r="O758" t="s">
        <v>68</v>
      </c>
      <c r="P758">
        <v>2019</v>
      </c>
    </row>
    <row r="759" spans="6:16" x14ac:dyDescent="0.25">
      <c r="F759" s="7">
        <v>43492</v>
      </c>
      <c r="G759">
        <v>4.2781573603395545E-2</v>
      </c>
      <c r="I759" s="7">
        <v>43492</v>
      </c>
      <c r="J759">
        <v>30</v>
      </c>
      <c r="K759">
        <v>6199.11</v>
      </c>
      <c r="L759">
        <v>0</v>
      </c>
      <c r="M759">
        <v>7494.30366225535</v>
      </c>
      <c r="N759">
        <v>802.01666299117812</v>
      </c>
      <c r="O759" t="s">
        <v>68</v>
      </c>
      <c r="P759">
        <v>2019</v>
      </c>
    </row>
    <row r="760" spans="6:16" x14ac:dyDescent="0.25">
      <c r="F760" s="7">
        <v>43493</v>
      </c>
      <c r="G760">
        <v>2.7783818967769582E-2</v>
      </c>
      <c r="I760" s="7">
        <v>43493</v>
      </c>
      <c r="J760">
        <v>15</v>
      </c>
      <c r="K760">
        <v>3640.6000000000004</v>
      </c>
      <c r="L760">
        <v>972</v>
      </c>
      <c r="M760">
        <v>3534.537912303756</v>
      </c>
      <c r="N760">
        <v>539.80899421429081</v>
      </c>
      <c r="O760" t="s">
        <v>68</v>
      </c>
      <c r="P760">
        <v>2019</v>
      </c>
    </row>
    <row r="761" spans="6:16" x14ac:dyDescent="0.25">
      <c r="F761" s="7">
        <v>43494</v>
      </c>
      <c r="G761">
        <v>2.8820409604644187E-2</v>
      </c>
      <c r="I761" s="7">
        <v>43494</v>
      </c>
      <c r="J761">
        <v>11</v>
      </c>
      <c r="K761">
        <v>2142</v>
      </c>
      <c r="L761">
        <v>1580</v>
      </c>
      <c r="M761">
        <v>3430.5152434163292</v>
      </c>
      <c r="N761">
        <v>379.01163732875602</v>
      </c>
      <c r="O761" t="s">
        <v>68</v>
      </c>
      <c r="P761">
        <v>2019</v>
      </c>
    </row>
    <row r="762" spans="6:16" x14ac:dyDescent="0.25">
      <c r="F762" s="7">
        <v>43495</v>
      </c>
      <c r="G762">
        <v>3.265605906933719E-2</v>
      </c>
      <c r="I762" s="7">
        <v>43495</v>
      </c>
      <c r="J762">
        <v>18</v>
      </c>
      <c r="K762">
        <v>3564</v>
      </c>
      <c r="L762">
        <v>751</v>
      </c>
      <c r="M762">
        <v>3386.7621032137172</v>
      </c>
      <c r="N762">
        <v>1153.1372555544197</v>
      </c>
      <c r="O762" t="s">
        <v>68</v>
      </c>
      <c r="P762">
        <v>2019</v>
      </c>
    </row>
    <row r="763" spans="6:16" x14ac:dyDescent="0.25">
      <c r="F763" s="7">
        <v>43496</v>
      </c>
      <c r="G763">
        <v>3.3617661325083578E-2</v>
      </c>
      <c r="I763" s="7">
        <v>43496</v>
      </c>
      <c r="J763">
        <v>22</v>
      </c>
      <c r="K763">
        <v>4556.42</v>
      </c>
      <c r="L763">
        <v>4021.5</v>
      </c>
      <c r="M763">
        <v>4193.9514461824201</v>
      </c>
      <c r="N763">
        <v>1262.1278219427181</v>
      </c>
      <c r="O763" t="s">
        <v>68</v>
      </c>
      <c r="P763">
        <v>2019</v>
      </c>
    </row>
    <row r="764" spans="6:16" x14ac:dyDescent="0.25">
      <c r="F764" s="7">
        <v>43497</v>
      </c>
      <c r="G764">
        <v>4.0480790969227944E-2</v>
      </c>
      <c r="I764" s="7">
        <v>43497</v>
      </c>
      <c r="J764">
        <v>21</v>
      </c>
      <c r="K764">
        <v>4650.8</v>
      </c>
      <c r="L764">
        <v>1005.5</v>
      </c>
      <c r="M764">
        <v>5318.5236391055441</v>
      </c>
      <c r="N764">
        <v>653.81887745460017</v>
      </c>
      <c r="O764" t="s">
        <v>68</v>
      </c>
      <c r="P764">
        <v>2019</v>
      </c>
    </row>
    <row r="765" spans="6:16" x14ac:dyDescent="0.25">
      <c r="F765" s="7">
        <v>43498</v>
      </c>
      <c r="G765">
        <v>5.4765274434858159E-2</v>
      </c>
      <c r="I765" s="7">
        <v>43498</v>
      </c>
      <c r="J765">
        <v>47</v>
      </c>
      <c r="K765">
        <v>8465.98</v>
      </c>
      <c r="L765">
        <v>5035.95</v>
      </c>
      <c r="M765">
        <v>9336.2112528406797</v>
      </c>
      <c r="N765">
        <v>1287.172286875752</v>
      </c>
      <c r="O765" t="s">
        <v>68</v>
      </c>
      <c r="P765">
        <v>2019</v>
      </c>
    </row>
    <row r="766" spans="6:16" x14ac:dyDescent="0.25">
      <c r="F766" s="7">
        <v>43499</v>
      </c>
      <c r="G766">
        <v>4.4281114280343044E-2</v>
      </c>
      <c r="I766" s="7">
        <v>43499</v>
      </c>
      <c r="J766">
        <v>40</v>
      </c>
      <c r="K766">
        <v>8102.75</v>
      </c>
      <c r="L766">
        <v>2551</v>
      </c>
      <c r="M766">
        <v>4924.7649710100914</v>
      </c>
      <c r="N766">
        <v>822.55271953781244</v>
      </c>
      <c r="O766" t="s">
        <v>69</v>
      </c>
      <c r="P766">
        <v>2019</v>
      </c>
    </row>
    <row r="767" spans="6:16" x14ac:dyDescent="0.25">
      <c r="F767" s="7">
        <v>43500</v>
      </c>
      <c r="G767">
        <v>2.9202278986389017E-2</v>
      </c>
      <c r="I767" s="7">
        <v>43500</v>
      </c>
      <c r="J767">
        <v>18</v>
      </c>
      <c r="K767">
        <v>4457.6000000000004</v>
      </c>
      <c r="L767">
        <v>793</v>
      </c>
      <c r="M767">
        <v>3091.3249749198762</v>
      </c>
      <c r="N767">
        <v>965.12272318773159</v>
      </c>
      <c r="O767" t="s">
        <v>69</v>
      </c>
      <c r="P767">
        <v>2019</v>
      </c>
    </row>
    <row r="768" spans="6:16" x14ac:dyDescent="0.25">
      <c r="F768" s="7">
        <v>43501</v>
      </c>
      <c r="G768">
        <v>3.0060057108447398E-2</v>
      </c>
      <c r="I768" s="7">
        <v>43501</v>
      </c>
      <c r="J768">
        <v>18</v>
      </c>
      <c r="K768">
        <v>3401.05</v>
      </c>
      <c r="L768">
        <v>965.5</v>
      </c>
      <c r="M768">
        <v>2441.810670902219</v>
      </c>
      <c r="N768">
        <v>719.24729394124336</v>
      </c>
      <c r="O768" t="s">
        <v>69</v>
      </c>
      <c r="P768">
        <v>2019</v>
      </c>
    </row>
    <row r="769" spans="6:16" x14ac:dyDescent="0.25">
      <c r="F769" s="7">
        <v>43502</v>
      </c>
      <c r="G769">
        <v>3.3672466700034216E-2</v>
      </c>
      <c r="I769" s="7">
        <v>43502</v>
      </c>
      <c r="J769">
        <v>16</v>
      </c>
      <c r="K769">
        <v>3171.3</v>
      </c>
      <c r="L769">
        <v>1979.5</v>
      </c>
      <c r="M769">
        <v>4065.7471796055552</v>
      </c>
      <c r="N769">
        <v>937.54681454257457</v>
      </c>
      <c r="O769" t="s">
        <v>69</v>
      </c>
      <c r="P769">
        <v>2019</v>
      </c>
    </row>
    <row r="770" spans="6:16" x14ac:dyDescent="0.25">
      <c r="F770" s="7">
        <v>43503</v>
      </c>
      <c r="G770">
        <v>3.4390739065946863E-2</v>
      </c>
      <c r="I770" s="7">
        <v>43503</v>
      </c>
      <c r="J770">
        <v>18</v>
      </c>
      <c r="K770">
        <v>3612.7</v>
      </c>
      <c r="L770">
        <v>201</v>
      </c>
      <c r="M770">
        <v>3225.8145669377818</v>
      </c>
      <c r="N770">
        <v>1465.5808778917981</v>
      </c>
      <c r="O770" t="s">
        <v>69</v>
      </c>
      <c r="P770">
        <v>2019</v>
      </c>
    </row>
    <row r="771" spans="6:16" x14ac:dyDescent="0.25">
      <c r="F771" s="7">
        <v>43504</v>
      </c>
      <c r="G771">
        <v>4.0958965614720712E-2</v>
      </c>
      <c r="I771" s="7">
        <v>43504</v>
      </c>
      <c r="J771">
        <v>33</v>
      </c>
      <c r="K771">
        <v>6058.15</v>
      </c>
      <c r="L771">
        <v>265</v>
      </c>
      <c r="M771">
        <v>4926.9812644505137</v>
      </c>
      <c r="N771">
        <v>888.41228203468677</v>
      </c>
      <c r="O771" t="s">
        <v>69</v>
      </c>
      <c r="P771">
        <v>2019</v>
      </c>
    </row>
    <row r="772" spans="6:16" x14ac:dyDescent="0.25">
      <c r="F772" s="7">
        <v>43505</v>
      </c>
      <c r="G772">
        <v>5.489426441964744E-2</v>
      </c>
      <c r="I772" s="7">
        <v>43505</v>
      </c>
      <c r="J772">
        <v>35</v>
      </c>
      <c r="K772">
        <v>8735.99</v>
      </c>
      <c r="L772">
        <v>1450</v>
      </c>
      <c r="M772">
        <v>7896.005190084159</v>
      </c>
      <c r="N772">
        <v>1146.9215158486993</v>
      </c>
      <c r="O772" t="s">
        <v>69</v>
      </c>
      <c r="P772">
        <v>2019</v>
      </c>
    </row>
    <row r="773" spans="6:16" x14ac:dyDescent="0.25">
      <c r="F773" s="7">
        <v>43506</v>
      </c>
      <c r="G773">
        <v>4.4308426727709092E-2</v>
      </c>
      <c r="I773" s="7">
        <v>43506</v>
      </c>
      <c r="J773">
        <v>38</v>
      </c>
      <c r="K773">
        <v>7402.36</v>
      </c>
      <c r="L773">
        <v>504</v>
      </c>
      <c r="M773">
        <v>6094.72608626484</v>
      </c>
      <c r="N773">
        <v>893.60825345149215</v>
      </c>
      <c r="O773" t="s">
        <v>69</v>
      </c>
      <c r="P773">
        <v>2019</v>
      </c>
    </row>
    <row r="774" spans="6:16" x14ac:dyDescent="0.25">
      <c r="F774" s="7">
        <v>43507</v>
      </c>
      <c r="G774">
        <v>2.8896897575124494E-2</v>
      </c>
      <c r="I774" s="7">
        <v>43507</v>
      </c>
      <c r="J774">
        <v>23</v>
      </c>
      <c r="K774">
        <v>4408.6000000000004</v>
      </c>
      <c r="L774">
        <v>2309.5</v>
      </c>
      <c r="M774">
        <v>2807.9541785604588</v>
      </c>
      <c r="N774">
        <v>350.55824166041424</v>
      </c>
      <c r="O774" t="s">
        <v>69</v>
      </c>
      <c r="P774">
        <v>2019</v>
      </c>
    </row>
    <row r="775" spans="6:16" x14ac:dyDescent="0.25">
      <c r="F775" s="7">
        <v>43508</v>
      </c>
      <c r="G775">
        <v>2.9409000888481664E-2</v>
      </c>
      <c r="I775" s="7">
        <v>43508</v>
      </c>
      <c r="J775">
        <v>17</v>
      </c>
      <c r="K775">
        <v>3708.05</v>
      </c>
      <c r="L775">
        <v>962</v>
      </c>
      <c r="M775">
        <v>3164.7895456683796</v>
      </c>
      <c r="N775">
        <v>731.20745115199486</v>
      </c>
      <c r="O775" t="s">
        <v>69</v>
      </c>
      <c r="P775">
        <v>2019</v>
      </c>
    </row>
    <row r="776" spans="6:16" x14ac:dyDescent="0.25">
      <c r="F776" s="7">
        <v>43509</v>
      </c>
      <c r="G776">
        <v>3.2667677858348766E-2</v>
      </c>
      <c r="I776" s="7">
        <v>43509</v>
      </c>
      <c r="J776">
        <v>21</v>
      </c>
      <c r="K776">
        <v>5202.6000000000004</v>
      </c>
      <c r="L776">
        <v>969</v>
      </c>
      <c r="M776">
        <v>5294.4527325048666</v>
      </c>
      <c r="N776">
        <v>1319.5580637649703</v>
      </c>
      <c r="O776" t="s">
        <v>69</v>
      </c>
      <c r="P776">
        <v>2019</v>
      </c>
    </row>
    <row r="777" spans="6:16" x14ac:dyDescent="0.25">
      <c r="F777" s="7">
        <v>43510</v>
      </c>
      <c r="G777">
        <v>5.1815062937402283E-2</v>
      </c>
      <c r="I777" s="7">
        <v>43510</v>
      </c>
      <c r="J777">
        <v>37</v>
      </c>
      <c r="K777">
        <v>8748</v>
      </c>
      <c r="L777">
        <v>6428.49</v>
      </c>
      <c r="M777">
        <v>4099.6637747641862</v>
      </c>
      <c r="N777">
        <v>1104.6511410334322</v>
      </c>
      <c r="O777" t="s">
        <v>69</v>
      </c>
      <c r="P777">
        <v>2019</v>
      </c>
    </row>
    <row r="778" spans="6:16" x14ac:dyDescent="0.25">
      <c r="F778" s="7">
        <v>43511</v>
      </c>
      <c r="G778">
        <v>4.1339695194020719E-2</v>
      </c>
      <c r="I778" s="7">
        <v>43511</v>
      </c>
      <c r="J778">
        <v>35</v>
      </c>
      <c r="K778">
        <v>6919.7</v>
      </c>
      <c r="L778">
        <v>2654.2</v>
      </c>
      <c r="M778">
        <v>5156.421462863922</v>
      </c>
      <c r="N778">
        <v>1345.0562654312607</v>
      </c>
      <c r="O778" t="s">
        <v>69</v>
      </c>
      <c r="P778">
        <v>2019</v>
      </c>
    </row>
    <row r="779" spans="6:16" x14ac:dyDescent="0.25">
      <c r="F779" s="7">
        <v>43512</v>
      </c>
      <c r="G779">
        <v>5.2833715788166917E-2</v>
      </c>
      <c r="I779" s="7">
        <v>43512</v>
      </c>
      <c r="J779">
        <v>38</v>
      </c>
      <c r="K779">
        <v>10224.5</v>
      </c>
      <c r="L779">
        <v>842</v>
      </c>
      <c r="M779">
        <v>9125.8169401367068</v>
      </c>
      <c r="N779">
        <v>2118.2194250053321</v>
      </c>
      <c r="O779" t="s">
        <v>69</v>
      </c>
      <c r="P779">
        <v>2019</v>
      </c>
    </row>
    <row r="780" spans="6:16" x14ac:dyDescent="0.25">
      <c r="F780" s="7">
        <v>43513</v>
      </c>
      <c r="G780">
        <v>4.1916782043402073E-2</v>
      </c>
      <c r="I780" s="7">
        <v>43513</v>
      </c>
      <c r="J780">
        <v>45</v>
      </c>
      <c r="K780">
        <v>9717.73</v>
      </c>
      <c r="L780">
        <v>434</v>
      </c>
      <c r="M780">
        <v>7310.9299659837061</v>
      </c>
      <c r="N780">
        <v>1488.1164443471073</v>
      </c>
      <c r="O780" t="s">
        <v>69</v>
      </c>
      <c r="P780">
        <v>2019</v>
      </c>
    </row>
    <row r="781" spans="6:16" x14ac:dyDescent="0.25">
      <c r="F781" s="7">
        <v>43514</v>
      </c>
      <c r="G781">
        <v>2.6194358250230691E-2</v>
      </c>
      <c r="I781" s="7">
        <v>43514</v>
      </c>
      <c r="J781">
        <v>29</v>
      </c>
      <c r="K781">
        <v>5802.8</v>
      </c>
      <c r="L781">
        <v>795</v>
      </c>
      <c r="M781">
        <v>5741.6168933003573</v>
      </c>
      <c r="N781">
        <v>1579.2612123054946</v>
      </c>
      <c r="O781" t="s">
        <v>69</v>
      </c>
      <c r="P781">
        <v>2019</v>
      </c>
    </row>
    <row r="782" spans="6:16" x14ac:dyDescent="0.25">
      <c r="F782" s="7">
        <v>43515</v>
      </c>
      <c r="G782">
        <v>2.642163498485748E-2</v>
      </c>
      <c r="I782" s="7">
        <v>43515</v>
      </c>
      <c r="J782">
        <v>29</v>
      </c>
      <c r="K782">
        <v>5281.8</v>
      </c>
      <c r="L782">
        <v>591.09</v>
      </c>
      <c r="M782">
        <v>2852.6607538793683</v>
      </c>
      <c r="N782">
        <v>1045.3284888601586</v>
      </c>
      <c r="O782" t="s">
        <v>69</v>
      </c>
      <c r="P782">
        <v>2019</v>
      </c>
    </row>
    <row r="783" spans="6:16" x14ac:dyDescent="0.25">
      <c r="F783" s="7">
        <v>43516</v>
      </c>
      <c r="G783">
        <v>2.9427283670048997E-2</v>
      </c>
      <c r="I783" s="7">
        <v>43516</v>
      </c>
      <c r="J783">
        <v>24</v>
      </c>
      <c r="K783">
        <v>4213.8999999999996</v>
      </c>
      <c r="L783">
        <v>816.65</v>
      </c>
      <c r="M783">
        <v>3129.8993533682324</v>
      </c>
      <c r="N783">
        <v>1150.7332959293926</v>
      </c>
      <c r="O783" t="s">
        <v>69</v>
      </c>
      <c r="P783">
        <v>2019</v>
      </c>
    </row>
    <row r="784" spans="6:16" x14ac:dyDescent="0.25">
      <c r="F784" s="7">
        <v>43517</v>
      </c>
      <c r="G784">
        <v>2.9573277278683439E-2</v>
      </c>
      <c r="I784" s="7">
        <v>43517</v>
      </c>
      <c r="J784">
        <v>21</v>
      </c>
      <c r="K784">
        <v>5217.8999999999996</v>
      </c>
      <c r="L784">
        <v>43.69</v>
      </c>
      <c r="M784">
        <v>3264.9925613134833</v>
      </c>
      <c r="N784">
        <v>1005.1211384853756</v>
      </c>
      <c r="O784" t="s">
        <v>69</v>
      </c>
      <c r="P784">
        <v>2019</v>
      </c>
    </row>
    <row r="785" spans="6:16" x14ac:dyDescent="0.25">
      <c r="F785" s="7">
        <v>43518</v>
      </c>
      <c r="G785">
        <v>3.5614375044692122E-2</v>
      </c>
      <c r="I785" s="7">
        <v>43518</v>
      </c>
      <c r="J785">
        <v>23</v>
      </c>
      <c r="K785">
        <v>4555.6899999999996</v>
      </c>
      <c r="L785">
        <v>1651.5</v>
      </c>
      <c r="M785">
        <v>4607.9008872544027</v>
      </c>
      <c r="N785">
        <v>1692.6376721337085</v>
      </c>
      <c r="O785" t="s">
        <v>69</v>
      </c>
      <c r="P785">
        <v>2019</v>
      </c>
    </row>
    <row r="786" spans="6:16" x14ac:dyDescent="0.25">
      <c r="F786" s="7">
        <v>43519</v>
      </c>
      <c r="G786">
        <v>4.9078115993851958E-2</v>
      </c>
      <c r="I786" s="7">
        <v>43519</v>
      </c>
      <c r="J786">
        <v>30</v>
      </c>
      <c r="K786">
        <v>7461</v>
      </c>
      <c r="L786">
        <v>1657</v>
      </c>
      <c r="M786">
        <v>8305.9294965480713</v>
      </c>
      <c r="N786">
        <v>1750.0375933667112</v>
      </c>
      <c r="O786" t="s">
        <v>69</v>
      </c>
      <c r="P786">
        <v>2019</v>
      </c>
    </row>
    <row r="787" spans="6:16" x14ac:dyDescent="0.25">
      <c r="F787" s="7">
        <v>43520</v>
      </c>
      <c r="G787">
        <v>3.8086283899217303E-2</v>
      </c>
      <c r="I787" s="7">
        <v>43520</v>
      </c>
      <c r="J787">
        <v>40</v>
      </c>
      <c r="K787">
        <v>6497.99</v>
      </c>
      <c r="L787">
        <v>1201.1199999999999</v>
      </c>
      <c r="M787">
        <v>5554.5506213598146</v>
      </c>
      <c r="N787">
        <v>904.66190449461067</v>
      </c>
      <c r="O787" t="s">
        <v>69</v>
      </c>
      <c r="P787">
        <v>2019</v>
      </c>
    </row>
    <row r="788" spans="6:16" x14ac:dyDescent="0.25">
      <c r="F788" s="7">
        <v>43521</v>
      </c>
      <c r="G788">
        <v>2.2343700436006364E-2</v>
      </c>
      <c r="I788" s="7">
        <v>43521</v>
      </c>
      <c r="J788">
        <v>5</v>
      </c>
      <c r="K788">
        <v>1324</v>
      </c>
      <c r="L788">
        <v>1210</v>
      </c>
      <c r="M788">
        <v>2977.1237336808872</v>
      </c>
      <c r="N788">
        <v>604.08166031300186</v>
      </c>
      <c r="O788" t="s">
        <v>69</v>
      </c>
      <c r="P788">
        <v>2019</v>
      </c>
    </row>
    <row r="789" spans="6:16" x14ac:dyDescent="0.25">
      <c r="F789" s="7">
        <v>43522</v>
      </c>
      <c r="G789">
        <v>2.2608260109537752E-2</v>
      </c>
      <c r="I789" s="7">
        <v>43522</v>
      </c>
      <c r="J789">
        <v>9</v>
      </c>
      <c r="K789">
        <v>2009.4</v>
      </c>
      <c r="L789">
        <v>465.5</v>
      </c>
      <c r="M789">
        <v>2855.9795274414982</v>
      </c>
      <c r="N789">
        <v>725.77633192511564</v>
      </c>
      <c r="O789" t="s">
        <v>69</v>
      </c>
      <c r="P789">
        <v>2019</v>
      </c>
    </row>
    <row r="790" spans="6:16" x14ac:dyDescent="0.25">
      <c r="F790" s="7">
        <v>43523</v>
      </c>
      <c r="G790">
        <v>2.5710479323399853E-2</v>
      </c>
      <c r="I790" s="7">
        <v>43523</v>
      </c>
      <c r="J790">
        <v>18</v>
      </c>
      <c r="K790">
        <v>4498.2</v>
      </c>
      <c r="L790">
        <v>1436</v>
      </c>
      <c r="M790">
        <v>2883.9060459481389</v>
      </c>
      <c r="N790">
        <v>744.15080452389668</v>
      </c>
      <c r="O790" t="s">
        <v>69</v>
      </c>
      <c r="P790">
        <v>2019</v>
      </c>
    </row>
    <row r="791" spans="6:16" x14ac:dyDescent="0.25">
      <c r="F791" s="7">
        <v>43524</v>
      </c>
      <c r="G791">
        <v>2.6013234524204964E-2</v>
      </c>
      <c r="I791" s="7">
        <v>43524</v>
      </c>
      <c r="J791">
        <v>20</v>
      </c>
      <c r="K791">
        <v>4728</v>
      </c>
      <c r="L791">
        <v>539.5</v>
      </c>
      <c r="M791">
        <v>3573.3476421962946</v>
      </c>
      <c r="N791">
        <v>1105.3293209494427</v>
      </c>
      <c r="O791" t="s">
        <v>69</v>
      </c>
      <c r="P791">
        <v>2019</v>
      </c>
    </row>
    <row r="792" spans="6:16" x14ac:dyDescent="0.25">
      <c r="F792" s="7">
        <v>43525</v>
      </c>
      <c r="G792">
        <v>3.2271177305772898E-2</v>
      </c>
      <c r="I792" s="7">
        <v>43525</v>
      </c>
      <c r="J792">
        <v>21</v>
      </c>
      <c r="K792">
        <v>5465.5</v>
      </c>
      <c r="L792">
        <v>135</v>
      </c>
      <c r="M792">
        <v>4422.8304764657805</v>
      </c>
      <c r="N792">
        <v>758.46130953552881</v>
      </c>
      <c r="O792" t="s">
        <v>69</v>
      </c>
      <c r="P792">
        <v>2019</v>
      </c>
    </row>
    <row r="793" spans="6:16" x14ac:dyDescent="0.25">
      <c r="F793" s="7">
        <v>43526</v>
      </c>
      <c r="G793">
        <v>4.6010673991311542E-2</v>
      </c>
      <c r="I793" s="7">
        <v>43526</v>
      </c>
      <c r="J793">
        <v>28</v>
      </c>
      <c r="K793">
        <v>6773.22</v>
      </c>
      <c r="L793">
        <v>735.45</v>
      </c>
      <c r="M793">
        <v>6321.8185025863959</v>
      </c>
      <c r="N793">
        <v>1786.3497543470107</v>
      </c>
      <c r="O793" t="s">
        <v>69</v>
      </c>
      <c r="P793">
        <v>2019</v>
      </c>
    </row>
    <row r="794" spans="6:16" x14ac:dyDescent="0.25">
      <c r="F794" s="7">
        <v>43527</v>
      </c>
      <c r="G794">
        <v>2.88767287211344E-2</v>
      </c>
      <c r="I794" s="7">
        <v>43527</v>
      </c>
      <c r="J794">
        <v>36</v>
      </c>
      <c r="K794">
        <v>5807.8000000000011</v>
      </c>
      <c r="L794">
        <v>5842.9</v>
      </c>
      <c r="M794">
        <v>3985.8996080484212</v>
      </c>
      <c r="N794">
        <v>951.96180480998373</v>
      </c>
      <c r="O794" t="s">
        <v>70</v>
      </c>
      <c r="P794">
        <v>2019</v>
      </c>
    </row>
    <row r="795" spans="6:16" x14ac:dyDescent="0.25">
      <c r="F795" s="7">
        <v>43528</v>
      </c>
      <c r="G795">
        <v>1.633237679645996E-2</v>
      </c>
      <c r="I795" s="7">
        <v>43528</v>
      </c>
      <c r="J795">
        <v>21</v>
      </c>
      <c r="K795">
        <v>4145.0200000000004</v>
      </c>
      <c r="L795">
        <v>894</v>
      </c>
      <c r="M795">
        <v>2606.2338643164962</v>
      </c>
      <c r="N795">
        <v>704.00546615014491</v>
      </c>
      <c r="O795" t="s">
        <v>70</v>
      </c>
      <c r="P795">
        <v>2019</v>
      </c>
    </row>
    <row r="796" spans="6:16" x14ac:dyDescent="0.25">
      <c r="F796" s="7">
        <v>43529</v>
      </c>
      <c r="G796">
        <v>1.6903309506305638E-2</v>
      </c>
      <c r="I796" s="7">
        <v>43529</v>
      </c>
      <c r="J796">
        <v>11</v>
      </c>
      <c r="K796">
        <v>1813.5</v>
      </c>
      <c r="L796">
        <v>29.5</v>
      </c>
      <c r="M796">
        <v>2367.1787009863315</v>
      </c>
      <c r="N796">
        <v>641.20644571383093</v>
      </c>
      <c r="O796" t="s">
        <v>70</v>
      </c>
      <c r="P796">
        <v>2019</v>
      </c>
    </row>
    <row r="797" spans="6:16" x14ac:dyDescent="0.25">
      <c r="F797" s="7">
        <v>43530</v>
      </c>
      <c r="G797">
        <v>1.9827445894898182E-2</v>
      </c>
      <c r="I797" s="7">
        <v>43530</v>
      </c>
      <c r="J797">
        <v>21</v>
      </c>
      <c r="K797">
        <v>4159.25</v>
      </c>
      <c r="L797">
        <v>1235.5</v>
      </c>
      <c r="M797">
        <v>2486.6938461602317</v>
      </c>
      <c r="N797">
        <v>1010.7018588552056</v>
      </c>
      <c r="O797" t="s">
        <v>70</v>
      </c>
      <c r="P797">
        <v>2019</v>
      </c>
    </row>
    <row r="798" spans="6:16" x14ac:dyDescent="0.25">
      <c r="F798" s="7">
        <v>43531</v>
      </c>
      <c r="G798">
        <v>2.0494688514981825E-2</v>
      </c>
      <c r="I798" s="7">
        <v>43531</v>
      </c>
      <c r="J798">
        <v>15</v>
      </c>
      <c r="K798">
        <v>2959.8999999999996</v>
      </c>
      <c r="L798">
        <v>5097.0200000000004</v>
      </c>
      <c r="M798">
        <v>3524.0143694538174</v>
      </c>
      <c r="N798">
        <v>969.9824525827969</v>
      </c>
      <c r="O798" t="s">
        <v>70</v>
      </c>
      <c r="P798">
        <v>2019</v>
      </c>
    </row>
    <row r="799" spans="6:16" x14ac:dyDescent="0.25">
      <c r="F799" s="7">
        <v>43532</v>
      </c>
      <c r="G799">
        <v>2.6050114105859612E-2</v>
      </c>
      <c r="I799" s="7">
        <v>43532</v>
      </c>
      <c r="J799">
        <v>22</v>
      </c>
      <c r="K799">
        <v>4677.1499999999996</v>
      </c>
      <c r="L799">
        <v>1038.5</v>
      </c>
      <c r="M799">
        <v>4136.3816162653256</v>
      </c>
      <c r="N799">
        <v>1645.0661798811761</v>
      </c>
      <c r="O799" t="s">
        <v>70</v>
      </c>
      <c r="P799">
        <v>2019</v>
      </c>
    </row>
    <row r="800" spans="6:16" x14ac:dyDescent="0.25">
      <c r="F800" s="7">
        <v>43533</v>
      </c>
      <c r="G800">
        <v>3.7733665733145329E-2</v>
      </c>
      <c r="I800" s="7">
        <v>43533</v>
      </c>
      <c r="J800">
        <v>41</v>
      </c>
      <c r="K800">
        <v>9716.23</v>
      </c>
      <c r="L800">
        <v>3558.27</v>
      </c>
      <c r="M800">
        <v>6612.3944923914023</v>
      </c>
      <c r="N800">
        <v>1781.9495412513063</v>
      </c>
      <c r="O800" t="s">
        <v>70</v>
      </c>
      <c r="P800">
        <v>2019</v>
      </c>
    </row>
    <row r="801" spans="6:16" x14ac:dyDescent="0.25">
      <c r="F801" s="7">
        <v>43534</v>
      </c>
      <c r="G801">
        <v>2.9496235021928056E-2</v>
      </c>
      <c r="I801" s="7">
        <v>43534</v>
      </c>
      <c r="J801">
        <v>38</v>
      </c>
      <c r="K801">
        <v>7447</v>
      </c>
      <c r="L801">
        <v>1448</v>
      </c>
      <c r="M801">
        <v>4959.378391805134</v>
      </c>
      <c r="N801">
        <v>996.19976484026904</v>
      </c>
      <c r="O801" t="s">
        <v>70</v>
      </c>
      <c r="P801">
        <v>2019</v>
      </c>
    </row>
    <row r="802" spans="6:16" x14ac:dyDescent="0.25">
      <c r="F802" s="7">
        <v>43535</v>
      </c>
      <c r="G802">
        <v>1.7423039465238502E-2</v>
      </c>
      <c r="I802" s="7">
        <v>43535</v>
      </c>
      <c r="J802">
        <v>18</v>
      </c>
      <c r="K802">
        <v>4386</v>
      </c>
      <c r="L802">
        <v>1096</v>
      </c>
      <c r="M802">
        <v>2718.3984620574279</v>
      </c>
      <c r="N802">
        <v>984.04780475848997</v>
      </c>
      <c r="O802" t="s">
        <v>70</v>
      </c>
      <c r="P802">
        <v>2019</v>
      </c>
    </row>
    <row r="803" spans="6:16" x14ac:dyDescent="0.25">
      <c r="F803" s="7">
        <v>43536</v>
      </c>
      <c r="G803">
        <v>1.8458256733452392E-2</v>
      </c>
      <c r="I803" s="7">
        <v>43536</v>
      </c>
      <c r="J803">
        <v>16</v>
      </c>
      <c r="K803">
        <v>3332.45</v>
      </c>
      <c r="L803">
        <v>853</v>
      </c>
      <c r="M803">
        <v>3185.5786239444064</v>
      </c>
      <c r="N803">
        <v>706.56262162367466</v>
      </c>
      <c r="O803" t="s">
        <v>70</v>
      </c>
      <c r="P803">
        <v>2019</v>
      </c>
    </row>
    <row r="804" spans="6:16" x14ac:dyDescent="0.25">
      <c r="F804" s="7">
        <v>43537</v>
      </c>
      <c r="G804">
        <v>2.1831344298819031E-2</v>
      </c>
      <c r="I804" s="7">
        <v>43537</v>
      </c>
      <c r="J804">
        <v>19</v>
      </c>
      <c r="K804">
        <v>3362.4</v>
      </c>
      <c r="L804">
        <v>538</v>
      </c>
      <c r="M804">
        <v>2903.8867521447842</v>
      </c>
      <c r="N804">
        <v>853.65156146280992</v>
      </c>
      <c r="O804" t="s">
        <v>70</v>
      </c>
      <c r="P804">
        <v>2019</v>
      </c>
    </row>
    <row r="805" spans="6:16" x14ac:dyDescent="0.25">
      <c r="F805" s="7">
        <v>43538</v>
      </c>
      <c r="G805">
        <v>2.292371544534802E-2</v>
      </c>
      <c r="I805" s="7">
        <v>43538</v>
      </c>
      <c r="J805">
        <v>21</v>
      </c>
      <c r="K805">
        <v>4551.25</v>
      </c>
      <c r="L805">
        <v>967.8</v>
      </c>
      <c r="M805">
        <v>3112.2354051445382</v>
      </c>
      <c r="N805">
        <v>952.48717520736068</v>
      </c>
      <c r="O805" t="s">
        <v>70</v>
      </c>
      <c r="P805">
        <v>2019</v>
      </c>
    </row>
    <row r="806" spans="6:16" x14ac:dyDescent="0.25">
      <c r="F806" s="7">
        <v>43539</v>
      </c>
      <c r="G806">
        <v>2.8872097896835945E-2</v>
      </c>
      <c r="I806" s="7">
        <v>43539</v>
      </c>
      <c r="J806">
        <v>32</v>
      </c>
      <c r="K806">
        <v>5512.8</v>
      </c>
      <c r="L806">
        <v>206.5</v>
      </c>
      <c r="M806">
        <v>5164.3596614168237</v>
      </c>
      <c r="N806">
        <v>1160.3851535432425</v>
      </c>
      <c r="O806" t="s">
        <v>70</v>
      </c>
      <c r="P806">
        <v>2019</v>
      </c>
    </row>
    <row r="807" spans="6:16" x14ac:dyDescent="0.25">
      <c r="F807" s="7">
        <v>43540</v>
      </c>
      <c r="G807">
        <v>4.0908398212071241E-2</v>
      </c>
      <c r="I807" s="7">
        <v>43540</v>
      </c>
      <c r="J807">
        <v>50</v>
      </c>
      <c r="K807">
        <v>10540.25</v>
      </c>
      <c r="L807">
        <v>741</v>
      </c>
      <c r="M807">
        <v>6143.146851017098</v>
      </c>
      <c r="N807">
        <v>962.40215048186485</v>
      </c>
      <c r="O807" t="s">
        <v>70</v>
      </c>
      <c r="P807">
        <v>2019</v>
      </c>
    </row>
    <row r="808" spans="6:16" x14ac:dyDescent="0.25">
      <c r="F808" s="7">
        <v>43541</v>
      </c>
      <c r="G808">
        <v>3.2975956940273977E-2</v>
      </c>
      <c r="I808" s="7">
        <v>43541</v>
      </c>
      <c r="J808">
        <v>35</v>
      </c>
      <c r="K808">
        <v>7538</v>
      </c>
      <c r="L808">
        <v>1094</v>
      </c>
      <c r="M808">
        <v>5024.9858806320626</v>
      </c>
      <c r="N808">
        <v>891.91447953230136</v>
      </c>
      <c r="O808" t="s">
        <v>70</v>
      </c>
      <c r="P808">
        <v>2019</v>
      </c>
    </row>
    <row r="809" spans="6:16" x14ac:dyDescent="0.25">
      <c r="F809" s="7">
        <v>43542</v>
      </c>
      <c r="G809">
        <v>2.1153095470470392E-2</v>
      </c>
      <c r="I809" s="7">
        <v>43542</v>
      </c>
      <c r="J809">
        <v>18</v>
      </c>
      <c r="K809">
        <v>2974</v>
      </c>
      <c r="L809">
        <v>905</v>
      </c>
      <c r="M809">
        <v>3250.8158075292267</v>
      </c>
      <c r="N809">
        <v>594.62721460620128</v>
      </c>
      <c r="O809" t="s">
        <v>70</v>
      </c>
      <c r="P809">
        <v>2019</v>
      </c>
    </row>
    <row r="810" spans="6:16" x14ac:dyDescent="0.25">
      <c r="F810" s="7">
        <v>43543</v>
      </c>
      <c r="G810">
        <v>2.2377912641268243E-2</v>
      </c>
      <c r="I810" s="7">
        <v>43543</v>
      </c>
      <c r="J810">
        <v>24</v>
      </c>
      <c r="K810">
        <v>4216</v>
      </c>
      <c r="L810">
        <v>640</v>
      </c>
      <c r="M810">
        <v>2637.3427590625315</v>
      </c>
      <c r="N810">
        <v>1194.8733616266181</v>
      </c>
      <c r="O810" t="s">
        <v>70</v>
      </c>
      <c r="P810">
        <v>2019</v>
      </c>
    </row>
    <row r="811" spans="6:16" x14ac:dyDescent="0.25">
      <c r="F811" s="7">
        <v>43544</v>
      </c>
      <c r="G811">
        <v>2.5874755224765175E-2</v>
      </c>
      <c r="I811" s="7">
        <v>43544</v>
      </c>
      <c r="J811">
        <v>38</v>
      </c>
      <c r="K811">
        <v>10963.04</v>
      </c>
      <c r="L811">
        <v>24.95</v>
      </c>
      <c r="M811">
        <v>3487.2574480489534</v>
      </c>
      <c r="N811">
        <v>393.79736378141882</v>
      </c>
      <c r="O811" t="s">
        <v>70</v>
      </c>
      <c r="P811">
        <v>2019</v>
      </c>
    </row>
    <row r="812" spans="6:16" x14ac:dyDescent="0.25">
      <c r="F812" s="7">
        <v>43545</v>
      </c>
      <c r="G812">
        <v>2.7021029600665342E-2</v>
      </c>
      <c r="I812" s="7">
        <v>43545</v>
      </c>
      <c r="J812">
        <v>34</v>
      </c>
      <c r="K812">
        <v>5254.05</v>
      </c>
      <c r="L812">
        <v>765</v>
      </c>
      <c r="M812">
        <v>3911.9799125530039</v>
      </c>
      <c r="N812">
        <v>1226.9544377663392</v>
      </c>
      <c r="O812" t="s">
        <v>70</v>
      </c>
      <c r="P812">
        <v>2019</v>
      </c>
    </row>
    <row r="813" spans="6:16" x14ac:dyDescent="0.25">
      <c r="F813" s="7">
        <v>43546</v>
      </c>
      <c r="G813">
        <v>3.2950677030971223E-2</v>
      </c>
      <c r="I813" s="7">
        <v>43546</v>
      </c>
      <c r="J813">
        <v>31</v>
      </c>
      <c r="K813">
        <v>5713.4</v>
      </c>
      <c r="L813">
        <v>440</v>
      </c>
      <c r="M813">
        <v>5058.8727016282264</v>
      </c>
      <c r="N813">
        <v>1391.8765464349842</v>
      </c>
      <c r="O813" t="s">
        <v>70</v>
      </c>
      <c r="P813">
        <v>2019</v>
      </c>
    </row>
    <row r="814" spans="6:16" x14ac:dyDescent="0.25">
      <c r="F814" s="7">
        <v>43547</v>
      </c>
      <c r="G814">
        <v>4.4894132465689164E-2</v>
      </c>
      <c r="I814" s="7">
        <v>43547</v>
      </c>
      <c r="J814">
        <v>39</v>
      </c>
      <c r="K814">
        <v>7472</v>
      </c>
      <c r="L814">
        <v>2434.09</v>
      </c>
      <c r="M814">
        <v>7159.7684038283696</v>
      </c>
      <c r="N814">
        <v>1226.6219625019303</v>
      </c>
      <c r="O814" t="s">
        <v>70</v>
      </c>
      <c r="P814">
        <v>2019</v>
      </c>
    </row>
    <row r="815" spans="6:16" x14ac:dyDescent="0.25">
      <c r="F815" s="7">
        <v>43548</v>
      </c>
      <c r="G815">
        <v>3.6794648717013101E-2</v>
      </c>
      <c r="I815" s="7">
        <v>43548</v>
      </c>
      <c r="J815">
        <v>40</v>
      </c>
      <c r="K815">
        <v>7177.4500000000007</v>
      </c>
      <c r="L815">
        <v>604.9</v>
      </c>
      <c r="M815">
        <v>5655.2956135812992</v>
      </c>
      <c r="N815">
        <v>665.86094106289261</v>
      </c>
      <c r="O815" t="s">
        <v>70</v>
      </c>
      <c r="P815">
        <v>2019</v>
      </c>
    </row>
    <row r="816" spans="6:16" x14ac:dyDescent="0.25">
      <c r="F816" s="7">
        <v>43549</v>
      </c>
      <c r="G816">
        <v>2.4731884641186686E-2</v>
      </c>
      <c r="I816" s="7">
        <v>43549</v>
      </c>
      <c r="J816">
        <v>16</v>
      </c>
      <c r="K816">
        <v>3621</v>
      </c>
      <c r="L816">
        <v>1141.4000000000001</v>
      </c>
      <c r="M816">
        <v>3468.3387043271778</v>
      </c>
      <c r="N816">
        <v>966.5574511918386</v>
      </c>
      <c r="O816" t="s">
        <v>70</v>
      </c>
      <c r="P816">
        <v>2019</v>
      </c>
    </row>
    <row r="817" spans="6:16" x14ac:dyDescent="0.25">
      <c r="F817" s="7">
        <v>43550</v>
      </c>
      <c r="G817">
        <v>2.564671342029605E-2</v>
      </c>
      <c r="I817" s="7">
        <v>43550</v>
      </c>
      <c r="J817">
        <v>15</v>
      </c>
      <c r="K817">
        <v>3292</v>
      </c>
      <c r="L817">
        <v>1088.5</v>
      </c>
      <c r="M817">
        <v>3768.3595000765063</v>
      </c>
      <c r="N817">
        <v>730.24417235678834</v>
      </c>
      <c r="O817" t="s">
        <v>70</v>
      </c>
      <c r="P817">
        <v>2019</v>
      </c>
    </row>
    <row r="818" spans="6:16" x14ac:dyDescent="0.25">
      <c r="F818" s="7">
        <v>43551</v>
      </c>
      <c r="G818">
        <v>2.8767673939353557E-2</v>
      </c>
      <c r="I818" s="7">
        <v>43551</v>
      </c>
      <c r="J818">
        <v>25</v>
      </c>
      <c r="K818">
        <v>4201.8</v>
      </c>
      <c r="L818">
        <v>2404.6999999999998</v>
      </c>
      <c r="M818">
        <v>3501.8676519232608</v>
      </c>
      <c r="N818">
        <v>561.04437678700594</v>
      </c>
      <c r="O818" t="s">
        <v>70</v>
      </c>
      <c r="P818">
        <v>2019</v>
      </c>
    </row>
    <row r="819" spans="6:16" x14ac:dyDescent="0.25">
      <c r="F819" s="7">
        <v>43552</v>
      </c>
      <c r="G819">
        <v>2.947773193942908E-2</v>
      </c>
      <c r="I819" s="7">
        <v>43552</v>
      </c>
      <c r="J819">
        <v>21</v>
      </c>
      <c r="K819">
        <v>3911.17</v>
      </c>
      <c r="L819">
        <v>1753.25</v>
      </c>
      <c r="M819">
        <v>4329.7253706784813</v>
      </c>
      <c r="N819">
        <v>628.40405049153208</v>
      </c>
      <c r="O819" t="s">
        <v>70</v>
      </c>
      <c r="P819">
        <v>2019</v>
      </c>
    </row>
    <row r="820" spans="6:16" x14ac:dyDescent="0.25">
      <c r="F820" s="7">
        <v>43553</v>
      </c>
      <c r="G820">
        <v>3.491767375623888E-2</v>
      </c>
      <c r="I820" s="7">
        <v>43553</v>
      </c>
      <c r="J820">
        <v>39</v>
      </c>
      <c r="K820">
        <v>7025.4000000000005</v>
      </c>
      <c r="L820">
        <v>922.7</v>
      </c>
      <c r="M820">
        <v>5467.4553714748608</v>
      </c>
      <c r="N820">
        <v>1082.9676156332669</v>
      </c>
      <c r="O820" t="s">
        <v>70</v>
      </c>
      <c r="P820">
        <v>2019</v>
      </c>
    </row>
    <row r="821" spans="6:16" x14ac:dyDescent="0.25">
      <c r="F821" s="7">
        <v>43554</v>
      </c>
      <c r="G821">
        <v>4.6325953356965717E-2</v>
      </c>
      <c r="I821" s="7">
        <v>43554</v>
      </c>
      <c r="J821">
        <v>40</v>
      </c>
      <c r="K821">
        <v>9588.6</v>
      </c>
      <c r="L821">
        <v>859.5</v>
      </c>
      <c r="M821">
        <v>6307.0195895991428</v>
      </c>
      <c r="N821">
        <v>1130.927438409977</v>
      </c>
      <c r="O821" t="s">
        <v>70</v>
      </c>
      <c r="P821">
        <v>2019</v>
      </c>
    </row>
    <row r="822" spans="6:16" x14ac:dyDescent="0.25">
      <c r="F822" s="7">
        <v>43555</v>
      </c>
      <c r="G822">
        <v>3.7654876471237129E-2</v>
      </c>
      <c r="I822" s="7">
        <v>43555</v>
      </c>
      <c r="J822">
        <v>42</v>
      </c>
      <c r="K822">
        <v>7777.72</v>
      </c>
      <c r="L822">
        <v>357</v>
      </c>
      <c r="M822">
        <v>3163.9182080877304</v>
      </c>
      <c r="N822">
        <v>917.48874236243114</v>
      </c>
      <c r="O822" t="s">
        <v>70</v>
      </c>
      <c r="P822">
        <v>2019</v>
      </c>
    </row>
    <row r="823" spans="6:16" x14ac:dyDescent="0.25">
      <c r="F823" s="7">
        <v>43556</v>
      </c>
      <c r="G823">
        <v>2.4994022812968267E-2</v>
      </c>
      <c r="I823" s="7">
        <v>43556</v>
      </c>
      <c r="J823">
        <v>12</v>
      </c>
      <c r="K823">
        <v>3257.6</v>
      </c>
      <c r="L823">
        <v>74</v>
      </c>
      <c r="M823">
        <v>3141.6685117610309</v>
      </c>
      <c r="N823">
        <v>944.76516588959146</v>
      </c>
      <c r="O823" t="s">
        <v>70</v>
      </c>
      <c r="P823">
        <v>2019</v>
      </c>
    </row>
    <row r="824" spans="6:16" x14ac:dyDescent="0.25">
      <c r="F824" s="7">
        <v>43557</v>
      </c>
      <c r="G824">
        <v>2.5294865667166776E-2</v>
      </c>
      <c r="I824" s="7">
        <v>43557</v>
      </c>
      <c r="J824">
        <v>14</v>
      </c>
      <c r="K824">
        <v>2043.39</v>
      </c>
      <c r="L824">
        <v>0</v>
      </c>
      <c r="M824">
        <v>3085.0397046518974</v>
      </c>
      <c r="N824">
        <v>770.60118630260899</v>
      </c>
      <c r="O824" t="s">
        <v>70</v>
      </c>
      <c r="P824">
        <v>2019</v>
      </c>
    </row>
    <row r="825" spans="6:16" x14ac:dyDescent="0.25">
      <c r="F825" s="7">
        <v>43558</v>
      </c>
      <c r="G825">
        <v>2.7797015680477589E-2</v>
      </c>
      <c r="I825" s="7">
        <v>43558</v>
      </c>
      <c r="J825">
        <v>24</v>
      </c>
      <c r="K825">
        <v>4335.6000000000004</v>
      </c>
      <c r="L825">
        <v>486.5</v>
      </c>
      <c r="M825">
        <v>3248.1104638960433</v>
      </c>
      <c r="N825">
        <v>983.90402954196327</v>
      </c>
      <c r="O825" t="s">
        <v>70</v>
      </c>
      <c r="P825">
        <v>2019</v>
      </c>
    </row>
    <row r="826" spans="6:16" x14ac:dyDescent="0.25">
      <c r="F826" s="7">
        <v>43559</v>
      </c>
      <c r="G826">
        <v>2.7894759878445415E-2</v>
      </c>
      <c r="I826" s="7">
        <v>43559</v>
      </c>
      <c r="J826">
        <v>28</v>
      </c>
      <c r="K826">
        <v>5857.5</v>
      </c>
      <c r="L826">
        <v>1187</v>
      </c>
      <c r="M826">
        <v>3039.6945724836837</v>
      </c>
      <c r="N826">
        <v>682.62515592895227</v>
      </c>
      <c r="O826" t="s">
        <v>70</v>
      </c>
      <c r="P826">
        <v>2019</v>
      </c>
    </row>
    <row r="827" spans="6:16" x14ac:dyDescent="0.25">
      <c r="F827" s="7">
        <v>43560</v>
      </c>
      <c r="G827">
        <v>3.2740223486422887E-2</v>
      </c>
      <c r="I827" s="7">
        <v>43560</v>
      </c>
      <c r="J827">
        <v>40</v>
      </c>
      <c r="K827">
        <v>7050.1</v>
      </c>
      <c r="L827">
        <v>443</v>
      </c>
      <c r="M827">
        <v>4492.6801148942322</v>
      </c>
      <c r="N827">
        <v>947.0054988868402</v>
      </c>
      <c r="O827" t="s">
        <v>70</v>
      </c>
      <c r="P827">
        <v>2019</v>
      </c>
    </row>
    <row r="828" spans="6:16" x14ac:dyDescent="0.25">
      <c r="F828" s="7">
        <v>43561</v>
      </c>
      <c r="G828">
        <v>4.3582980512217276E-2</v>
      </c>
      <c r="I828" s="7">
        <v>43561</v>
      </c>
      <c r="J828">
        <v>38</v>
      </c>
      <c r="K828">
        <v>8872.39</v>
      </c>
      <c r="L828">
        <v>2577.5</v>
      </c>
      <c r="M828">
        <v>6591.4630641299882</v>
      </c>
      <c r="N828">
        <v>957.80882774236318</v>
      </c>
      <c r="O828" t="s">
        <v>70</v>
      </c>
      <c r="P828">
        <v>2019</v>
      </c>
    </row>
    <row r="829" spans="6:16" x14ac:dyDescent="0.25">
      <c r="F829" s="7">
        <v>43562</v>
      </c>
      <c r="G829">
        <v>5.2576772819936959E-2</v>
      </c>
      <c r="I829" s="7">
        <v>43562</v>
      </c>
      <c r="J829">
        <v>40</v>
      </c>
      <c r="K829">
        <v>7722.2</v>
      </c>
      <c r="L829">
        <v>399.5</v>
      </c>
      <c r="M829">
        <v>4551.7748607773592</v>
      </c>
      <c r="N829">
        <v>1448.7991489611165</v>
      </c>
      <c r="O829" t="s">
        <v>71</v>
      </c>
      <c r="P829">
        <v>2019</v>
      </c>
    </row>
    <row r="830" spans="6:16" x14ac:dyDescent="0.25">
      <c r="F830" s="7">
        <v>43563</v>
      </c>
      <c r="G830">
        <v>3.2489846541763769E-2</v>
      </c>
      <c r="I830" s="7">
        <v>43563</v>
      </c>
      <c r="J830">
        <v>22</v>
      </c>
      <c r="K830">
        <v>4482.6000000000004</v>
      </c>
      <c r="L830">
        <v>248</v>
      </c>
      <c r="M830">
        <v>2588.0064019113447</v>
      </c>
      <c r="N830">
        <v>853.11989054683579</v>
      </c>
      <c r="O830" t="s">
        <v>71</v>
      </c>
      <c r="P830">
        <v>2019</v>
      </c>
    </row>
    <row r="831" spans="6:16" x14ac:dyDescent="0.25">
      <c r="F831" s="7">
        <v>43564</v>
      </c>
      <c r="G831">
        <v>3.2311297154316229E-2</v>
      </c>
      <c r="I831" s="7">
        <v>43564</v>
      </c>
      <c r="J831">
        <v>11</v>
      </c>
      <c r="K831">
        <v>1810.52</v>
      </c>
      <c r="L831">
        <v>158</v>
      </c>
      <c r="M831">
        <v>2677.0463930405504</v>
      </c>
      <c r="N831">
        <v>516.93022626158313</v>
      </c>
      <c r="O831" t="s">
        <v>71</v>
      </c>
      <c r="P831">
        <v>2019</v>
      </c>
    </row>
    <row r="832" spans="6:16" x14ac:dyDescent="0.25">
      <c r="F832" s="7">
        <v>43565</v>
      </c>
      <c r="G832">
        <v>3.5600506156142783E-2</v>
      </c>
      <c r="I832" s="7">
        <v>43565</v>
      </c>
      <c r="J832">
        <v>19</v>
      </c>
      <c r="K832">
        <v>3687.3999999999996</v>
      </c>
      <c r="L832">
        <v>1295</v>
      </c>
      <c r="M832">
        <v>2512.1699608772633</v>
      </c>
      <c r="N832">
        <v>1158.3435830571241</v>
      </c>
      <c r="O832" t="s">
        <v>71</v>
      </c>
      <c r="P832">
        <v>2019</v>
      </c>
    </row>
    <row r="833" spans="6:16" x14ac:dyDescent="0.25">
      <c r="F833" s="7">
        <v>43566</v>
      </c>
      <c r="G833">
        <v>3.5325498641799465E-2</v>
      </c>
      <c r="I833" s="7">
        <v>43566</v>
      </c>
      <c r="J833">
        <v>20</v>
      </c>
      <c r="K833">
        <v>3755.2000000000003</v>
      </c>
      <c r="L833">
        <v>86.1</v>
      </c>
      <c r="M833">
        <v>3522.1591666671743</v>
      </c>
      <c r="N833">
        <v>735.13296900206979</v>
      </c>
      <c r="O833" t="s">
        <v>71</v>
      </c>
      <c r="P833">
        <v>2019</v>
      </c>
    </row>
    <row r="834" spans="6:16" x14ac:dyDescent="0.25">
      <c r="F834" s="7">
        <v>43567</v>
      </c>
      <c r="G834">
        <v>4.2430038148988929E-2</v>
      </c>
      <c r="I834" s="7">
        <v>43567</v>
      </c>
      <c r="J834">
        <v>18</v>
      </c>
      <c r="K834">
        <v>3090.2</v>
      </c>
      <c r="L834">
        <v>105</v>
      </c>
      <c r="M834">
        <v>4491.5058308555899</v>
      </c>
      <c r="N834">
        <v>1643.7826930779975</v>
      </c>
      <c r="O834" t="s">
        <v>71</v>
      </c>
      <c r="P834">
        <v>2019</v>
      </c>
    </row>
    <row r="835" spans="6:16" x14ac:dyDescent="0.25">
      <c r="F835" s="7">
        <v>43568</v>
      </c>
      <c r="G835">
        <v>5.8830408586656474E-2</v>
      </c>
      <c r="I835" s="7">
        <v>43568</v>
      </c>
      <c r="J835">
        <v>33</v>
      </c>
      <c r="K835">
        <v>8878.1999999999989</v>
      </c>
      <c r="L835">
        <v>311.02999999999997</v>
      </c>
      <c r="M835">
        <v>6080.6372637293562</v>
      </c>
      <c r="N835">
        <v>1688.1290888630665</v>
      </c>
      <c r="O835" t="s">
        <v>71</v>
      </c>
      <c r="P835">
        <v>2019</v>
      </c>
    </row>
    <row r="836" spans="6:16" x14ac:dyDescent="0.25">
      <c r="F836" s="7">
        <v>43569</v>
      </c>
      <c r="G836">
        <v>4.4718705668737917E-2</v>
      </c>
      <c r="I836" s="7">
        <v>43569</v>
      </c>
      <c r="J836">
        <v>30</v>
      </c>
      <c r="K836">
        <v>5977.72</v>
      </c>
      <c r="L836">
        <v>164</v>
      </c>
      <c r="M836">
        <v>4740.6563682420056</v>
      </c>
      <c r="N836">
        <v>901.65266167551636</v>
      </c>
      <c r="O836" t="s">
        <v>71</v>
      </c>
      <c r="P836">
        <v>2019</v>
      </c>
    </row>
    <row r="837" spans="6:16" x14ac:dyDescent="0.25">
      <c r="F837" s="7">
        <v>43570</v>
      </c>
      <c r="G837">
        <v>2.471197996762637E-2</v>
      </c>
      <c r="I837" s="7">
        <v>43570</v>
      </c>
      <c r="J837">
        <v>7</v>
      </c>
      <c r="K837">
        <v>1936.2</v>
      </c>
      <c r="L837">
        <v>0</v>
      </c>
      <c r="M837">
        <v>3236.102972147944</v>
      </c>
      <c r="N837">
        <v>616.69938178310417</v>
      </c>
      <c r="O837" t="s">
        <v>71</v>
      </c>
      <c r="P837">
        <v>2019</v>
      </c>
    </row>
    <row r="838" spans="6:16" x14ac:dyDescent="0.25">
      <c r="F838" s="7">
        <v>43571</v>
      </c>
      <c r="G838">
        <v>2.4741133455250773E-2</v>
      </c>
      <c r="I838" s="7">
        <v>43571</v>
      </c>
      <c r="J838">
        <v>8</v>
      </c>
      <c r="K838">
        <v>1433.6</v>
      </c>
      <c r="L838">
        <v>0</v>
      </c>
      <c r="M838">
        <v>2495.6201749228544</v>
      </c>
      <c r="N838">
        <v>390.69442371127616</v>
      </c>
      <c r="O838" t="s">
        <v>71</v>
      </c>
      <c r="P838">
        <v>2019</v>
      </c>
    </row>
    <row r="839" spans="6:16" x14ac:dyDescent="0.25">
      <c r="F839" s="7">
        <v>43572</v>
      </c>
      <c r="G839">
        <v>2.8360896543154161E-2</v>
      </c>
      <c r="I839" s="7">
        <v>43572</v>
      </c>
      <c r="J839">
        <v>17</v>
      </c>
      <c r="K839">
        <v>3529.4</v>
      </c>
      <c r="L839">
        <v>288</v>
      </c>
      <c r="M839">
        <v>2656.2854767368103</v>
      </c>
      <c r="N839">
        <v>1176.165721913995</v>
      </c>
      <c r="O839" t="s">
        <v>71</v>
      </c>
      <c r="P839">
        <v>2019</v>
      </c>
    </row>
    <row r="840" spans="6:16" x14ac:dyDescent="0.25">
      <c r="F840" s="7">
        <v>43573</v>
      </c>
      <c r="G840">
        <v>2.8532153731246696E-2</v>
      </c>
      <c r="I840" s="7">
        <v>43573</v>
      </c>
      <c r="J840">
        <v>16</v>
      </c>
      <c r="K840">
        <v>3086.9700000000003</v>
      </c>
      <c r="L840">
        <v>780.1</v>
      </c>
      <c r="M840">
        <v>3722.0902208225862</v>
      </c>
      <c r="N840">
        <v>680.10123855736686</v>
      </c>
      <c r="O840" t="s">
        <v>71</v>
      </c>
      <c r="P840">
        <v>2019</v>
      </c>
    </row>
    <row r="841" spans="6:16" x14ac:dyDescent="0.25">
      <c r="F841" s="7">
        <v>43574</v>
      </c>
      <c r="G841">
        <v>3.6189189537820271E-2</v>
      </c>
      <c r="I841" s="7">
        <v>43574</v>
      </c>
      <c r="J841">
        <v>22</v>
      </c>
      <c r="K841">
        <v>5276.9</v>
      </c>
      <c r="L841">
        <v>3008.5</v>
      </c>
      <c r="M841">
        <v>5314.3770701971216</v>
      </c>
      <c r="N841">
        <v>1201.4235898033203</v>
      </c>
      <c r="O841" t="s">
        <v>71</v>
      </c>
      <c r="P841">
        <v>2019</v>
      </c>
    </row>
    <row r="842" spans="6:16" x14ac:dyDescent="0.25">
      <c r="F842" s="7">
        <v>43575</v>
      </c>
      <c r="G842">
        <v>5.3236675227270068E-2</v>
      </c>
      <c r="I842" s="7">
        <v>43575</v>
      </c>
      <c r="J842">
        <v>37</v>
      </c>
      <c r="K842">
        <v>8526.4900000000016</v>
      </c>
      <c r="L842">
        <v>840.8</v>
      </c>
      <c r="M842">
        <v>6697.6694148885099</v>
      </c>
      <c r="N842">
        <v>1049.3756550253163</v>
      </c>
      <c r="O842" t="s">
        <v>71</v>
      </c>
      <c r="P842">
        <v>2019</v>
      </c>
    </row>
    <row r="843" spans="6:16" x14ac:dyDescent="0.25">
      <c r="F843" s="7">
        <v>43576</v>
      </c>
      <c r="G843">
        <v>3.985321436075942E-2</v>
      </c>
      <c r="I843" s="7">
        <v>43576</v>
      </c>
      <c r="J843">
        <v>17</v>
      </c>
      <c r="K843">
        <v>4549</v>
      </c>
      <c r="L843">
        <v>820.5</v>
      </c>
      <c r="M843">
        <v>4121.4004197738441</v>
      </c>
      <c r="N843">
        <v>943.52953689994217</v>
      </c>
      <c r="O843" t="s">
        <v>71</v>
      </c>
      <c r="P843">
        <v>2019</v>
      </c>
    </row>
    <row r="844" spans="6:16" x14ac:dyDescent="0.25">
      <c r="F844" s="7">
        <v>43577</v>
      </c>
      <c r="G844">
        <v>2.0640783607950536E-2</v>
      </c>
      <c r="I844" s="7">
        <v>43577</v>
      </c>
      <c r="J844">
        <v>16</v>
      </c>
      <c r="K844">
        <v>3337.5</v>
      </c>
      <c r="L844">
        <v>641.01</v>
      </c>
      <c r="M844">
        <v>3799.0552549060126</v>
      </c>
      <c r="N844">
        <v>784.3737918281588</v>
      </c>
      <c r="O844" t="s">
        <v>71</v>
      </c>
      <c r="P844">
        <v>2019</v>
      </c>
    </row>
    <row r="845" spans="6:16" x14ac:dyDescent="0.25">
      <c r="F845" s="7">
        <v>43578</v>
      </c>
      <c r="G845">
        <v>2.1513963799490353E-2</v>
      </c>
      <c r="I845" s="7">
        <v>43578</v>
      </c>
      <c r="J845">
        <v>21</v>
      </c>
      <c r="K845">
        <v>4077.6000000000004</v>
      </c>
      <c r="L845">
        <v>148.5</v>
      </c>
      <c r="M845">
        <v>2487.4475887101553</v>
      </c>
      <c r="N845">
        <v>603.96284917426908</v>
      </c>
      <c r="O845" t="s">
        <v>71</v>
      </c>
      <c r="P845">
        <v>2019</v>
      </c>
    </row>
    <row r="846" spans="6:16" x14ac:dyDescent="0.25">
      <c r="F846" s="7">
        <v>43579</v>
      </c>
      <c r="G846">
        <v>2.6010280604840407E-2</v>
      </c>
      <c r="I846" s="7">
        <v>43579</v>
      </c>
      <c r="J846">
        <v>23</v>
      </c>
      <c r="K846">
        <v>4324.25</v>
      </c>
      <c r="L846">
        <v>547.5</v>
      </c>
      <c r="M846">
        <v>2830.1037500207422</v>
      </c>
      <c r="N846">
        <v>941.61533042073586</v>
      </c>
      <c r="O846" t="s">
        <v>71</v>
      </c>
      <c r="P846">
        <v>2019</v>
      </c>
    </row>
    <row r="847" spans="6:16" x14ac:dyDescent="0.25">
      <c r="F847" s="7">
        <v>43580</v>
      </c>
      <c r="G847">
        <v>2.7072914314800422E-2</v>
      </c>
      <c r="I847" s="7">
        <v>43580</v>
      </c>
      <c r="J847">
        <v>21</v>
      </c>
      <c r="K847">
        <v>3863.4</v>
      </c>
      <c r="L847">
        <v>724.35</v>
      </c>
      <c r="M847">
        <v>3072.0879859320803</v>
      </c>
      <c r="N847">
        <v>2189.3334291893352</v>
      </c>
      <c r="O847" t="s">
        <v>71</v>
      </c>
      <c r="P847">
        <v>2019</v>
      </c>
    </row>
    <row r="848" spans="6:16" x14ac:dyDescent="0.25">
      <c r="F848" s="7">
        <v>43581</v>
      </c>
      <c r="G848">
        <v>3.5618341313379209E-2</v>
      </c>
      <c r="I848" s="7">
        <v>43581</v>
      </c>
      <c r="J848">
        <v>18</v>
      </c>
      <c r="K848">
        <v>3975.99</v>
      </c>
      <c r="L848">
        <v>432.3</v>
      </c>
      <c r="M848">
        <v>4564.6967798915421</v>
      </c>
      <c r="N848">
        <v>1131.00892448267</v>
      </c>
      <c r="O848" t="s">
        <v>71</v>
      </c>
      <c r="P848">
        <v>2019</v>
      </c>
    </row>
    <row r="849" spans="6:16" x14ac:dyDescent="0.25">
      <c r="F849" s="7">
        <v>43582</v>
      </c>
      <c r="G849">
        <v>5.3533718354424963E-2</v>
      </c>
      <c r="I849" s="7">
        <v>43582</v>
      </c>
      <c r="J849">
        <v>37</v>
      </c>
      <c r="K849">
        <v>7281.74</v>
      </c>
      <c r="L849">
        <v>503.35</v>
      </c>
      <c r="M849">
        <v>6282.3779268324324</v>
      </c>
      <c r="N849">
        <v>1998.8843604651668</v>
      </c>
      <c r="O849" t="s">
        <v>71</v>
      </c>
      <c r="P849">
        <v>2019</v>
      </c>
    </row>
    <row r="850" spans="6:16" x14ac:dyDescent="0.25">
      <c r="F850" s="7">
        <v>43583</v>
      </c>
      <c r="G850">
        <v>4.0980818074540799E-2</v>
      </c>
      <c r="I850" s="7">
        <v>43583</v>
      </c>
      <c r="J850">
        <v>34</v>
      </c>
      <c r="K850">
        <v>8108.3899999999994</v>
      </c>
      <c r="L850">
        <v>1925.5</v>
      </c>
      <c r="M850">
        <v>4752.5124577825954</v>
      </c>
      <c r="N850">
        <v>904.3421034082977</v>
      </c>
      <c r="O850" t="s">
        <v>71</v>
      </c>
      <c r="P850">
        <v>2019</v>
      </c>
    </row>
    <row r="851" spans="6:16" x14ac:dyDescent="0.25">
      <c r="F851" s="7">
        <v>43584</v>
      </c>
      <c r="G851">
        <v>2.2545842859656866E-2</v>
      </c>
      <c r="I851" s="7">
        <v>43584</v>
      </c>
      <c r="J851">
        <v>7</v>
      </c>
      <c r="K851">
        <v>1048</v>
      </c>
      <c r="L851">
        <v>0</v>
      </c>
      <c r="M851">
        <v>3452.4277519098696</v>
      </c>
      <c r="N851">
        <v>913.1195300471154</v>
      </c>
      <c r="O851" t="s">
        <v>71</v>
      </c>
      <c r="P851">
        <v>2019</v>
      </c>
    </row>
    <row r="852" spans="6:16" x14ac:dyDescent="0.25">
      <c r="F852" s="7">
        <v>43585</v>
      </c>
      <c r="G852">
        <v>2.412900290884578E-2</v>
      </c>
      <c r="I852" s="7">
        <v>43585</v>
      </c>
      <c r="J852">
        <v>14</v>
      </c>
      <c r="K852">
        <v>3150.4</v>
      </c>
      <c r="L852">
        <v>130</v>
      </c>
      <c r="M852">
        <v>2773.7136408422134</v>
      </c>
      <c r="N852">
        <v>509.38782233885331</v>
      </c>
      <c r="O852" t="s">
        <v>71</v>
      </c>
      <c r="P852">
        <v>2019</v>
      </c>
    </row>
    <row r="853" spans="6:16" x14ac:dyDescent="0.25">
      <c r="F853" s="7">
        <v>43586</v>
      </c>
      <c r="G853">
        <v>2.9255169514575977E-2</v>
      </c>
      <c r="I853" s="7">
        <v>43586</v>
      </c>
      <c r="J853">
        <v>20</v>
      </c>
      <c r="K853">
        <v>5333.2000000000007</v>
      </c>
      <c r="L853">
        <v>3397.66</v>
      </c>
      <c r="M853">
        <v>2472.0096128976561</v>
      </c>
      <c r="N853">
        <v>1121.00382332922</v>
      </c>
      <c r="O853" t="s">
        <v>71</v>
      </c>
      <c r="P853">
        <v>2019</v>
      </c>
    </row>
    <row r="854" spans="6:16" x14ac:dyDescent="0.25">
      <c r="F854" s="7">
        <v>43587</v>
      </c>
      <c r="G854">
        <v>3.085685546815101E-2</v>
      </c>
      <c r="I854" s="7">
        <v>43587</v>
      </c>
      <c r="J854">
        <v>16</v>
      </c>
      <c r="K854">
        <v>4094.3999999999996</v>
      </c>
      <c r="L854">
        <v>3629.5</v>
      </c>
      <c r="M854">
        <v>3243.5019352987065</v>
      </c>
      <c r="N854">
        <v>1582.6209880046542</v>
      </c>
      <c r="O854" t="s">
        <v>71</v>
      </c>
      <c r="P854">
        <v>2019</v>
      </c>
    </row>
    <row r="855" spans="6:16" x14ac:dyDescent="0.25">
      <c r="F855" s="7">
        <v>43588</v>
      </c>
      <c r="G855">
        <v>3.9842078591856608E-2</v>
      </c>
      <c r="I855" s="7">
        <v>43588</v>
      </c>
      <c r="J855">
        <v>22</v>
      </c>
      <c r="K855">
        <v>5435.6</v>
      </c>
      <c r="L855">
        <v>9549.07</v>
      </c>
      <c r="M855">
        <v>4089.9547689073947</v>
      </c>
      <c r="N855">
        <v>1143.1135117663162</v>
      </c>
      <c r="O855" t="s">
        <v>71</v>
      </c>
      <c r="P855">
        <v>2019</v>
      </c>
    </row>
    <row r="856" spans="6:16" x14ac:dyDescent="0.25">
      <c r="F856" s="7">
        <v>43589</v>
      </c>
      <c r="G856">
        <v>5.8091914046016879E-2</v>
      </c>
      <c r="I856" s="7">
        <v>43589</v>
      </c>
      <c r="J856">
        <v>43</v>
      </c>
      <c r="K856">
        <v>10034.65</v>
      </c>
      <c r="L856">
        <v>3240.93</v>
      </c>
      <c r="M856">
        <v>6181.9685504782747</v>
      </c>
      <c r="N856">
        <v>1548.5737264055688</v>
      </c>
      <c r="O856" t="s">
        <v>71</v>
      </c>
      <c r="P856">
        <v>2019</v>
      </c>
    </row>
    <row r="857" spans="6:16" x14ac:dyDescent="0.25">
      <c r="F857" s="7">
        <v>43590</v>
      </c>
      <c r="G857">
        <v>3.9053638949583226E-2</v>
      </c>
      <c r="I857" s="7">
        <v>43590</v>
      </c>
      <c r="J857">
        <v>41</v>
      </c>
      <c r="K857">
        <v>6134.3099999999995</v>
      </c>
      <c r="L857">
        <v>3202.9</v>
      </c>
      <c r="M857">
        <v>5767.2228834463031</v>
      </c>
      <c r="N857">
        <v>775.54385059408708</v>
      </c>
      <c r="O857" t="s">
        <v>72</v>
      </c>
      <c r="P857">
        <v>2019</v>
      </c>
    </row>
    <row r="858" spans="6:16" x14ac:dyDescent="0.25">
      <c r="F858" s="7">
        <v>43591</v>
      </c>
      <c r="G858">
        <v>2.3420558135198676E-2</v>
      </c>
      <c r="I858" s="7">
        <v>43591</v>
      </c>
      <c r="J858">
        <v>13</v>
      </c>
      <c r="K858">
        <v>2968.7</v>
      </c>
      <c r="L858">
        <v>1118</v>
      </c>
      <c r="M858">
        <v>3245.152728506815</v>
      </c>
      <c r="N858">
        <v>779.66830750503505</v>
      </c>
      <c r="O858" t="s">
        <v>72</v>
      </c>
      <c r="P858">
        <v>2019</v>
      </c>
    </row>
    <row r="859" spans="6:16" x14ac:dyDescent="0.25">
      <c r="F859" s="7">
        <v>43592</v>
      </c>
      <c r="G859">
        <v>2.477754867706055E-2</v>
      </c>
      <c r="I859" s="7">
        <v>43592</v>
      </c>
      <c r="J859">
        <v>12</v>
      </c>
      <c r="K859">
        <v>3390.25</v>
      </c>
      <c r="L859">
        <v>0</v>
      </c>
      <c r="M859">
        <v>3155.8714958291184</v>
      </c>
      <c r="N859">
        <v>715.7799745721793</v>
      </c>
      <c r="O859" t="s">
        <v>72</v>
      </c>
      <c r="P859">
        <v>2019</v>
      </c>
    </row>
    <row r="860" spans="6:16" x14ac:dyDescent="0.25">
      <c r="F860" s="7">
        <v>43593</v>
      </c>
      <c r="G860">
        <v>2.90687342916215E-2</v>
      </c>
      <c r="I860" s="7">
        <v>43593</v>
      </c>
      <c r="J860">
        <v>16</v>
      </c>
      <c r="K860">
        <v>3202.4</v>
      </c>
      <c r="L860">
        <v>467</v>
      </c>
      <c r="M860">
        <v>3825.6962416870174</v>
      </c>
      <c r="N860">
        <v>1016.0636620623454</v>
      </c>
      <c r="O860" t="s">
        <v>72</v>
      </c>
      <c r="P860">
        <v>2019</v>
      </c>
    </row>
    <row r="861" spans="6:16" x14ac:dyDescent="0.25">
      <c r="F861" s="7">
        <v>43594</v>
      </c>
      <c r="G861">
        <v>3.0268324844773941E-2</v>
      </c>
      <c r="I861" s="7">
        <v>43594</v>
      </c>
      <c r="J861">
        <v>23</v>
      </c>
      <c r="K861">
        <v>5082.0499999999993</v>
      </c>
      <c r="L861">
        <v>1451.9</v>
      </c>
      <c r="M861">
        <v>3979.9733003402075</v>
      </c>
      <c r="N861">
        <v>779.51862748540748</v>
      </c>
      <c r="O861" t="s">
        <v>72</v>
      </c>
      <c r="P861">
        <v>2019</v>
      </c>
    </row>
    <row r="862" spans="6:16" x14ac:dyDescent="0.25">
      <c r="F862" s="7">
        <v>43595</v>
      </c>
      <c r="G862">
        <v>3.7691930059207936E-2</v>
      </c>
      <c r="I862" s="7">
        <v>43595</v>
      </c>
      <c r="J862">
        <v>33</v>
      </c>
      <c r="K862">
        <v>5015.1899999999996</v>
      </c>
      <c r="L862">
        <v>832.35</v>
      </c>
      <c r="M862">
        <v>6615.1495540621863</v>
      </c>
      <c r="N862">
        <v>1598.3130790534497</v>
      </c>
      <c r="O862" t="s">
        <v>72</v>
      </c>
      <c r="P862">
        <v>2019</v>
      </c>
    </row>
    <row r="863" spans="6:16" x14ac:dyDescent="0.25">
      <c r="F863" s="7">
        <v>43596</v>
      </c>
      <c r="G863">
        <v>7.1827201340034091E-2</v>
      </c>
      <c r="I863" s="7">
        <v>43596</v>
      </c>
      <c r="J863">
        <v>53</v>
      </c>
      <c r="K863">
        <v>9614.2900000000009</v>
      </c>
      <c r="L863">
        <v>1614</v>
      </c>
      <c r="M863">
        <v>8768.3070872915578</v>
      </c>
      <c r="N863">
        <v>2350.0215530671921</v>
      </c>
      <c r="O863" t="s">
        <v>72</v>
      </c>
      <c r="P863">
        <v>2019</v>
      </c>
    </row>
    <row r="864" spans="6:16" x14ac:dyDescent="0.25">
      <c r="F864" s="7">
        <v>43597</v>
      </c>
      <c r="G864">
        <v>6.3700145419264276E-2</v>
      </c>
      <c r="I864" s="7">
        <v>43597</v>
      </c>
      <c r="J864">
        <v>41</v>
      </c>
      <c r="K864">
        <v>10386.6</v>
      </c>
      <c r="L864">
        <v>1135.49</v>
      </c>
      <c r="M864">
        <v>9056.5219997540662</v>
      </c>
      <c r="N864">
        <v>1507.8978244926448</v>
      </c>
      <c r="O864" t="s">
        <v>72</v>
      </c>
      <c r="P864">
        <v>2019</v>
      </c>
    </row>
    <row r="865" spans="6:16" x14ac:dyDescent="0.25">
      <c r="F865" s="7">
        <v>43598</v>
      </c>
      <c r="G865">
        <v>2.8776726091325585E-2</v>
      </c>
      <c r="I865" s="7">
        <v>43598</v>
      </c>
      <c r="J865">
        <v>13</v>
      </c>
      <c r="K865">
        <v>2778</v>
      </c>
      <c r="L865">
        <v>2259</v>
      </c>
      <c r="M865">
        <v>4292.8377419673434</v>
      </c>
      <c r="N865">
        <v>874.08017839062904</v>
      </c>
      <c r="O865" t="s">
        <v>72</v>
      </c>
      <c r="P865">
        <v>2019</v>
      </c>
    </row>
    <row r="866" spans="6:16" x14ac:dyDescent="0.25">
      <c r="F866" s="7">
        <v>43599</v>
      </c>
      <c r="G866">
        <v>2.6919758222503507E-2</v>
      </c>
      <c r="I866" s="7">
        <v>43599</v>
      </c>
      <c r="J866">
        <v>16</v>
      </c>
      <c r="K866">
        <v>3749</v>
      </c>
      <c r="L866">
        <v>1057.97</v>
      </c>
      <c r="M866">
        <v>3794.5671882804813</v>
      </c>
      <c r="N866">
        <v>576.3037643965024</v>
      </c>
      <c r="O866" t="s">
        <v>72</v>
      </c>
      <c r="P866">
        <v>2019</v>
      </c>
    </row>
    <row r="867" spans="6:16" x14ac:dyDescent="0.25">
      <c r="F867" s="7">
        <v>43600</v>
      </c>
      <c r="G867">
        <v>3.0737476026382042E-2</v>
      </c>
      <c r="I867" s="7">
        <v>43600</v>
      </c>
      <c r="J867">
        <v>20</v>
      </c>
      <c r="K867">
        <v>4946.3899999999994</v>
      </c>
      <c r="L867">
        <v>111.06</v>
      </c>
      <c r="M867">
        <v>4273.2230091063975</v>
      </c>
      <c r="N867">
        <v>1006.5512571139133</v>
      </c>
      <c r="O867" t="s">
        <v>72</v>
      </c>
      <c r="P867">
        <v>2019</v>
      </c>
    </row>
    <row r="868" spans="6:16" x14ac:dyDescent="0.25">
      <c r="F868" s="7">
        <v>43601</v>
      </c>
      <c r="G868">
        <v>3.1454148746718084E-2</v>
      </c>
      <c r="I868" s="7">
        <v>43601</v>
      </c>
      <c r="J868">
        <v>20</v>
      </c>
      <c r="K868">
        <v>3930</v>
      </c>
      <c r="L868">
        <v>2014.95</v>
      </c>
      <c r="M868">
        <v>3825.8627344977426</v>
      </c>
      <c r="N868">
        <v>1332.2192909932344</v>
      </c>
      <c r="O868" t="s">
        <v>72</v>
      </c>
      <c r="P868">
        <v>2019</v>
      </c>
    </row>
    <row r="869" spans="6:16" x14ac:dyDescent="0.25">
      <c r="F869" s="7">
        <v>43602</v>
      </c>
      <c r="G869">
        <v>3.8397911672685497E-2</v>
      </c>
      <c r="I869" s="7">
        <v>43602</v>
      </c>
      <c r="J869">
        <v>34</v>
      </c>
      <c r="K869">
        <v>6608.97</v>
      </c>
      <c r="L869">
        <v>725</v>
      </c>
      <c r="M869">
        <v>5007.9823679781693</v>
      </c>
      <c r="N869">
        <v>1425.0438825076988</v>
      </c>
      <c r="O869" t="s">
        <v>72</v>
      </c>
      <c r="P869">
        <v>2019</v>
      </c>
    </row>
    <row r="870" spans="6:16" x14ac:dyDescent="0.25">
      <c r="F870" s="7">
        <v>43603</v>
      </c>
      <c r="G870">
        <v>5.3194805798087108E-2</v>
      </c>
      <c r="I870" s="7">
        <v>43603</v>
      </c>
      <c r="J870">
        <v>34</v>
      </c>
      <c r="K870">
        <v>8023.5599999999995</v>
      </c>
      <c r="L870">
        <v>4343</v>
      </c>
      <c r="M870">
        <v>7771.5406775497722</v>
      </c>
      <c r="N870">
        <v>1445.6953892897577</v>
      </c>
      <c r="O870" t="s">
        <v>72</v>
      </c>
      <c r="P870">
        <v>2019</v>
      </c>
    </row>
    <row r="871" spans="6:16" x14ac:dyDescent="0.25">
      <c r="F871" s="7">
        <v>43604</v>
      </c>
      <c r="G871">
        <v>4.1866808637083773E-2</v>
      </c>
      <c r="I871" s="7">
        <v>43604</v>
      </c>
      <c r="J871">
        <v>41</v>
      </c>
      <c r="K871">
        <v>7019.4</v>
      </c>
      <c r="L871">
        <v>1562</v>
      </c>
      <c r="M871">
        <v>5955.1819882095824</v>
      </c>
      <c r="N871">
        <v>1637.3252319271319</v>
      </c>
      <c r="O871" t="s">
        <v>72</v>
      </c>
      <c r="P871">
        <v>2019</v>
      </c>
    </row>
    <row r="872" spans="6:16" x14ac:dyDescent="0.25">
      <c r="F872" s="7">
        <v>43605</v>
      </c>
      <c r="G872">
        <v>2.5415357726879733E-2</v>
      </c>
      <c r="I872" s="7">
        <v>43605</v>
      </c>
      <c r="J872">
        <v>21</v>
      </c>
      <c r="K872">
        <v>4856.8</v>
      </c>
      <c r="L872">
        <v>452</v>
      </c>
      <c r="M872">
        <v>3624.3162051585541</v>
      </c>
      <c r="N872">
        <v>1172.3077631200745</v>
      </c>
      <c r="O872" t="s">
        <v>72</v>
      </c>
      <c r="P872">
        <v>2019</v>
      </c>
    </row>
    <row r="873" spans="6:16" x14ac:dyDescent="0.25">
      <c r="F873" s="7">
        <v>43606</v>
      </c>
      <c r="G873">
        <v>2.5964871485712783E-2</v>
      </c>
      <c r="I873" s="7">
        <v>43606</v>
      </c>
      <c r="J873">
        <v>12</v>
      </c>
      <c r="K873">
        <v>2368.4799999999996</v>
      </c>
      <c r="L873">
        <v>570.45000000000005</v>
      </c>
      <c r="M873">
        <v>3915.9501575893851</v>
      </c>
      <c r="N873">
        <v>709.94778049779336</v>
      </c>
      <c r="O873" t="s">
        <v>72</v>
      </c>
      <c r="P873">
        <v>2019</v>
      </c>
    </row>
    <row r="874" spans="6:16" x14ac:dyDescent="0.25">
      <c r="F874" s="7">
        <v>43607</v>
      </c>
      <c r="G874">
        <v>2.9479411340476849E-2</v>
      </c>
      <c r="I874" s="7">
        <v>43607</v>
      </c>
      <c r="J874">
        <v>22</v>
      </c>
      <c r="K874">
        <v>4590.3700000000008</v>
      </c>
      <c r="L874">
        <v>969.4</v>
      </c>
      <c r="M874">
        <v>4079.8765192322076</v>
      </c>
      <c r="N874">
        <v>892.1595006190272</v>
      </c>
      <c r="O874" t="s">
        <v>72</v>
      </c>
      <c r="P874">
        <v>2019</v>
      </c>
    </row>
    <row r="875" spans="6:16" x14ac:dyDescent="0.25">
      <c r="F875" s="7">
        <v>43608</v>
      </c>
      <c r="G875">
        <v>2.9951614718380658E-2</v>
      </c>
      <c r="I875" s="7">
        <v>43608</v>
      </c>
      <c r="J875">
        <v>19</v>
      </c>
      <c r="K875">
        <v>4756.8999999999996</v>
      </c>
      <c r="L875">
        <v>1289.8</v>
      </c>
      <c r="M875">
        <v>4497.4678792832319</v>
      </c>
      <c r="N875">
        <v>1526.0836805428416</v>
      </c>
      <c r="O875" t="s">
        <v>72</v>
      </c>
      <c r="P875">
        <v>2019</v>
      </c>
    </row>
    <row r="876" spans="6:16" x14ac:dyDescent="0.25">
      <c r="F876" s="7">
        <v>43609</v>
      </c>
      <c r="G876">
        <v>3.6713563435389882E-2</v>
      </c>
      <c r="I876" s="7">
        <v>43609</v>
      </c>
      <c r="J876">
        <v>25</v>
      </c>
      <c r="K876">
        <v>6365.91</v>
      </c>
      <c r="L876">
        <v>4077.19</v>
      </c>
      <c r="M876">
        <v>5022.6844887755606</v>
      </c>
      <c r="N876">
        <v>1725.0089486436277</v>
      </c>
      <c r="O876" t="s">
        <v>72</v>
      </c>
      <c r="P876">
        <v>2019</v>
      </c>
    </row>
    <row r="877" spans="6:16" x14ac:dyDescent="0.25">
      <c r="F877" s="7">
        <v>43610</v>
      </c>
      <c r="G877">
        <v>5.1393376297699626E-2</v>
      </c>
      <c r="I877" s="7">
        <v>43610</v>
      </c>
      <c r="J877">
        <v>32</v>
      </c>
      <c r="K877">
        <v>8215.4</v>
      </c>
      <c r="L877">
        <v>1520</v>
      </c>
      <c r="M877">
        <v>6762.2875755404039</v>
      </c>
      <c r="N877">
        <v>1142.792567790664</v>
      </c>
      <c r="O877" t="s">
        <v>72</v>
      </c>
      <c r="P877">
        <v>2019</v>
      </c>
    </row>
    <row r="878" spans="6:16" x14ac:dyDescent="0.25">
      <c r="F878" s="7">
        <v>43611</v>
      </c>
      <c r="G878">
        <v>4.0013217809432226E-2</v>
      </c>
      <c r="I878" s="7">
        <v>43611</v>
      </c>
      <c r="J878">
        <v>45</v>
      </c>
      <c r="K878">
        <v>7887.5</v>
      </c>
      <c r="L878">
        <v>3712.08</v>
      </c>
      <c r="M878">
        <v>6547.8373162964444</v>
      </c>
      <c r="N878">
        <v>1837.1720708533899</v>
      </c>
      <c r="O878" t="s">
        <v>72</v>
      </c>
      <c r="P878">
        <v>2019</v>
      </c>
    </row>
    <row r="879" spans="6:16" x14ac:dyDescent="0.25">
      <c r="F879" s="7">
        <v>43612</v>
      </c>
      <c r="G879">
        <v>2.3572850017722753E-2</v>
      </c>
      <c r="I879" s="7">
        <v>43612</v>
      </c>
      <c r="J879">
        <v>24</v>
      </c>
      <c r="K879">
        <v>4780.2000000000007</v>
      </c>
      <c r="L879">
        <v>1191.5999999999999</v>
      </c>
      <c r="M879">
        <v>4820.334497356228</v>
      </c>
      <c r="N879">
        <v>1506.9459447948707</v>
      </c>
      <c r="O879" t="s">
        <v>72</v>
      </c>
      <c r="P879">
        <v>2019</v>
      </c>
    </row>
    <row r="880" spans="6:16" x14ac:dyDescent="0.25">
      <c r="F880" s="7">
        <v>43613</v>
      </c>
      <c r="G880">
        <v>2.4193231526402084E-2</v>
      </c>
      <c r="I880" s="7">
        <v>43613</v>
      </c>
      <c r="J880">
        <v>15</v>
      </c>
      <c r="K880">
        <v>3350.2</v>
      </c>
      <c r="L880">
        <v>720.5</v>
      </c>
      <c r="M880">
        <v>3866.4504593109987</v>
      </c>
      <c r="N880">
        <v>890.02509549928436</v>
      </c>
      <c r="O880" t="s">
        <v>72</v>
      </c>
      <c r="P880">
        <v>2019</v>
      </c>
    </row>
    <row r="881" spans="6:16" x14ac:dyDescent="0.25">
      <c r="F881" s="7">
        <v>43614</v>
      </c>
      <c r="G881">
        <v>2.7833304735756778E-2</v>
      </c>
      <c r="I881" s="7">
        <v>43614</v>
      </c>
      <c r="J881">
        <v>13</v>
      </c>
      <c r="K881">
        <v>3715.6000000000004</v>
      </c>
      <c r="L881">
        <v>2723.5</v>
      </c>
      <c r="M881">
        <v>3487.2875197328431</v>
      </c>
      <c r="N881">
        <v>1329.1772177117639</v>
      </c>
      <c r="O881" t="s">
        <v>72</v>
      </c>
      <c r="P881">
        <v>2019</v>
      </c>
    </row>
    <row r="882" spans="6:16" x14ac:dyDescent="0.25">
      <c r="F882" s="7">
        <v>43615</v>
      </c>
      <c r="G882">
        <v>2.847909733342209E-2</v>
      </c>
      <c r="I882" s="7">
        <v>43615</v>
      </c>
      <c r="J882">
        <v>16</v>
      </c>
      <c r="K882">
        <v>3184.8500000000004</v>
      </c>
      <c r="L882">
        <v>2117</v>
      </c>
      <c r="M882">
        <v>4142.5607939333777</v>
      </c>
      <c r="N882">
        <v>848.89771359378324</v>
      </c>
      <c r="O882" t="s">
        <v>72</v>
      </c>
      <c r="P882">
        <v>2019</v>
      </c>
    </row>
    <row r="883" spans="6:16" x14ac:dyDescent="0.25">
      <c r="F883" s="7">
        <v>43616</v>
      </c>
      <c r="G883">
        <v>3.5454797944760981E-2</v>
      </c>
      <c r="I883" s="7">
        <v>43616</v>
      </c>
      <c r="J883">
        <v>25</v>
      </c>
      <c r="K883">
        <v>5479.5999999999995</v>
      </c>
      <c r="L883">
        <v>846.72</v>
      </c>
      <c r="M883">
        <v>4167.7562583951076</v>
      </c>
      <c r="N883">
        <v>869.87688645154981</v>
      </c>
      <c r="O883" t="s">
        <v>72</v>
      </c>
      <c r="P883">
        <v>2019</v>
      </c>
    </row>
    <row r="884" spans="6:16" x14ac:dyDescent="0.25">
      <c r="F884" s="7">
        <v>43617</v>
      </c>
      <c r="G884">
        <v>5.0379588716433783E-2</v>
      </c>
      <c r="I884" s="7">
        <v>43617</v>
      </c>
      <c r="J884">
        <v>31</v>
      </c>
      <c r="K884">
        <v>8808.4</v>
      </c>
      <c r="L884">
        <v>1904</v>
      </c>
      <c r="M884">
        <v>6195.0793308888997</v>
      </c>
      <c r="N884">
        <v>1158.198956430125</v>
      </c>
      <c r="O884" t="s">
        <v>72</v>
      </c>
      <c r="P884">
        <v>2019</v>
      </c>
    </row>
    <row r="885" spans="6:16" x14ac:dyDescent="0.25">
      <c r="F885" s="7">
        <v>43618</v>
      </c>
      <c r="G885">
        <v>3.5687394813015333E-2</v>
      </c>
      <c r="I885" s="7">
        <v>43618</v>
      </c>
      <c r="J885">
        <v>29</v>
      </c>
      <c r="K885">
        <v>5536.6</v>
      </c>
      <c r="L885">
        <v>714</v>
      </c>
      <c r="M885">
        <v>6113.9422839346989</v>
      </c>
      <c r="N885">
        <v>1124.984495130444</v>
      </c>
      <c r="O885" t="s">
        <v>73</v>
      </c>
      <c r="P885">
        <v>2019</v>
      </c>
    </row>
    <row r="886" spans="6:16" x14ac:dyDescent="0.25">
      <c r="F886" s="7">
        <v>43619</v>
      </c>
      <c r="G886">
        <v>2.0997809654912051E-2</v>
      </c>
      <c r="I886" s="7">
        <v>43619</v>
      </c>
      <c r="J886">
        <v>7</v>
      </c>
      <c r="K886">
        <v>1714.4</v>
      </c>
      <c r="L886">
        <v>270.89999999999998</v>
      </c>
      <c r="M886">
        <v>3471.7496513790215</v>
      </c>
      <c r="N886">
        <v>493.76760841376495</v>
      </c>
      <c r="O886" t="s">
        <v>73</v>
      </c>
      <c r="P886">
        <v>2019</v>
      </c>
    </row>
    <row r="887" spans="6:16" x14ac:dyDescent="0.25">
      <c r="F887" s="7">
        <v>43620</v>
      </c>
      <c r="G887">
        <v>2.1814952618893029E-2</v>
      </c>
      <c r="I887" s="7">
        <v>43620</v>
      </c>
      <c r="J887">
        <v>11</v>
      </c>
      <c r="K887">
        <v>2179.4</v>
      </c>
      <c r="L887">
        <v>664.5</v>
      </c>
      <c r="M887">
        <v>3220.4212351661063</v>
      </c>
      <c r="N887">
        <v>2684.0449359060685</v>
      </c>
      <c r="O887" t="s">
        <v>73</v>
      </c>
      <c r="P887">
        <v>2019</v>
      </c>
    </row>
    <row r="888" spans="6:16" x14ac:dyDescent="0.25">
      <c r="F888" s="7">
        <v>43621</v>
      </c>
      <c r="G888">
        <v>2.5368046484465223E-2</v>
      </c>
      <c r="I888" s="7">
        <v>43621</v>
      </c>
      <c r="J888">
        <v>17</v>
      </c>
      <c r="K888">
        <v>3859.3999999999996</v>
      </c>
      <c r="L888">
        <v>2142.5</v>
      </c>
      <c r="M888">
        <v>4305.0378443666759</v>
      </c>
      <c r="N888">
        <v>933.22070667423384</v>
      </c>
      <c r="O888" t="s">
        <v>73</v>
      </c>
      <c r="P888">
        <v>2019</v>
      </c>
    </row>
    <row r="889" spans="6:16" x14ac:dyDescent="0.25">
      <c r="F889" s="7">
        <v>43622</v>
      </c>
      <c r="G889">
        <v>2.6182206320994307E-2</v>
      </c>
      <c r="I889" s="7">
        <v>43622</v>
      </c>
      <c r="J889">
        <v>20</v>
      </c>
      <c r="K889">
        <v>4234.2</v>
      </c>
      <c r="L889">
        <v>855.5</v>
      </c>
      <c r="M889">
        <v>3894.323110238372</v>
      </c>
      <c r="N889">
        <v>1475.0996998636781</v>
      </c>
      <c r="O889" t="s">
        <v>73</v>
      </c>
      <c r="P889">
        <v>2019</v>
      </c>
    </row>
    <row r="890" spans="6:16" x14ac:dyDescent="0.25">
      <c r="F890" s="7">
        <v>43623</v>
      </c>
      <c r="G890">
        <v>3.2723470739346353E-2</v>
      </c>
      <c r="I890" s="7">
        <v>43623</v>
      </c>
      <c r="J890">
        <v>27</v>
      </c>
      <c r="K890">
        <v>5727.8700000000008</v>
      </c>
      <c r="L890">
        <v>805.81</v>
      </c>
      <c r="M890">
        <v>5391.1956922734589</v>
      </c>
      <c r="N890">
        <v>1345.6820446444253</v>
      </c>
      <c r="O890" t="s">
        <v>73</v>
      </c>
      <c r="P890">
        <v>2019</v>
      </c>
    </row>
    <row r="891" spans="6:16" x14ac:dyDescent="0.25">
      <c r="F891" s="7">
        <v>43624</v>
      </c>
      <c r="G891">
        <v>4.6455925156506726E-2</v>
      </c>
      <c r="I891" s="7">
        <v>43624</v>
      </c>
      <c r="J891">
        <v>31</v>
      </c>
      <c r="K891">
        <v>8214.23</v>
      </c>
      <c r="L891">
        <v>4499</v>
      </c>
      <c r="M891">
        <v>7358.5923506811887</v>
      </c>
      <c r="N891">
        <v>2307.0332036125014</v>
      </c>
      <c r="O891" t="s">
        <v>73</v>
      </c>
      <c r="P891">
        <v>2019</v>
      </c>
    </row>
    <row r="892" spans="6:16" x14ac:dyDescent="0.25">
      <c r="F892" s="7">
        <v>43625</v>
      </c>
      <c r="G892">
        <v>3.6483030274572843E-2</v>
      </c>
      <c r="I892" s="7">
        <v>43625</v>
      </c>
      <c r="J892">
        <v>37</v>
      </c>
      <c r="K892">
        <v>6280.6900000000005</v>
      </c>
      <c r="L892">
        <v>707.81</v>
      </c>
      <c r="M892">
        <v>6497.649994049737</v>
      </c>
      <c r="N892">
        <v>1394.7717525820094</v>
      </c>
      <c r="O892" t="s">
        <v>73</v>
      </c>
      <c r="P892">
        <v>2019</v>
      </c>
    </row>
    <row r="893" spans="6:16" x14ac:dyDescent="0.25">
      <c r="F893" s="7">
        <v>43626</v>
      </c>
      <c r="G893">
        <v>2.1876222169495762E-2</v>
      </c>
      <c r="I893" s="7">
        <v>43626</v>
      </c>
      <c r="J893">
        <v>21</v>
      </c>
      <c r="K893">
        <v>4304</v>
      </c>
      <c r="L893">
        <v>137</v>
      </c>
      <c r="M893">
        <v>3895.9963928345514</v>
      </c>
      <c r="N893">
        <v>836.52854704294964</v>
      </c>
      <c r="O893" t="s">
        <v>73</v>
      </c>
      <c r="P893">
        <v>2019</v>
      </c>
    </row>
    <row r="894" spans="6:16" x14ac:dyDescent="0.25">
      <c r="F894" s="7">
        <v>43627</v>
      </c>
      <c r="G894">
        <v>2.2727164214390978E-2</v>
      </c>
      <c r="I894" s="7">
        <v>43627</v>
      </c>
      <c r="J894">
        <v>15</v>
      </c>
      <c r="K894">
        <v>2579.8000000000002</v>
      </c>
      <c r="L894">
        <v>315.35000000000002</v>
      </c>
      <c r="M894">
        <v>4048.091334344886</v>
      </c>
      <c r="N894">
        <v>1559.885022210103</v>
      </c>
      <c r="O894" t="s">
        <v>73</v>
      </c>
      <c r="P894">
        <v>2019</v>
      </c>
    </row>
    <row r="895" spans="6:16" x14ac:dyDescent="0.25">
      <c r="F895" s="7">
        <v>43628</v>
      </c>
      <c r="G895">
        <v>2.6262742213089434E-2</v>
      </c>
      <c r="I895" s="7">
        <v>43628</v>
      </c>
      <c r="J895">
        <v>20</v>
      </c>
      <c r="K895">
        <v>4084.6000000000004</v>
      </c>
      <c r="L895">
        <v>979</v>
      </c>
      <c r="M895">
        <v>3749.1514416473842</v>
      </c>
      <c r="N895">
        <v>1125.0416128000761</v>
      </c>
      <c r="O895" t="s">
        <v>73</v>
      </c>
      <c r="P895">
        <v>2019</v>
      </c>
    </row>
    <row r="896" spans="6:16" x14ac:dyDescent="0.25">
      <c r="F896" s="7">
        <v>43629</v>
      </c>
      <c r="G896">
        <v>2.7007294243875251E-2</v>
      </c>
      <c r="I896" s="7">
        <v>43629</v>
      </c>
      <c r="J896">
        <v>24</v>
      </c>
      <c r="K896">
        <v>3263.57</v>
      </c>
      <c r="L896">
        <v>813.02</v>
      </c>
      <c r="M896">
        <v>4592.7524492958391</v>
      </c>
      <c r="N896">
        <v>1623.5697592943375</v>
      </c>
      <c r="O896" t="s">
        <v>73</v>
      </c>
      <c r="P896">
        <v>2019</v>
      </c>
    </row>
    <row r="897" spans="6:16" x14ac:dyDescent="0.25">
      <c r="F897" s="7">
        <v>43630</v>
      </c>
      <c r="G897">
        <v>3.3427662396603837E-2</v>
      </c>
      <c r="I897" s="7">
        <v>43630</v>
      </c>
      <c r="J897">
        <v>25</v>
      </c>
      <c r="K897">
        <v>6085.05</v>
      </c>
      <c r="L897">
        <v>962.2</v>
      </c>
      <c r="M897">
        <v>5406.3642341331479</v>
      </c>
      <c r="N897">
        <v>1443.379621716799</v>
      </c>
      <c r="O897" t="s">
        <v>73</v>
      </c>
      <c r="P897">
        <v>2019</v>
      </c>
    </row>
    <row r="898" spans="6:16" x14ac:dyDescent="0.25">
      <c r="F898" s="7">
        <v>43631</v>
      </c>
      <c r="G898">
        <v>4.6990292619121146E-2</v>
      </c>
      <c r="I898" s="7">
        <v>43631</v>
      </c>
      <c r="J898">
        <v>40</v>
      </c>
      <c r="K898">
        <v>8427.1999999999989</v>
      </c>
      <c r="L898">
        <v>2363.85</v>
      </c>
      <c r="M898">
        <v>8126.7511406408566</v>
      </c>
      <c r="N898">
        <v>1960.3413976681186</v>
      </c>
      <c r="O898" t="s">
        <v>73</v>
      </c>
      <c r="P898">
        <v>2019</v>
      </c>
    </row>
    <row r="899" spans="6:16" x14ac:dyDescent="0.25">
      <c r="F899" s="7">
        <v>43632</v>
      </c>
      <c r="G899">
        <v>3.6802496565532118E-2</v>
      </c>
      <c r="I899" s="7">
        <v>43632</v>
      </c>
      <c r="J899">
        <v>23</v>
      </c>
      <c r="K899">
        <v>4674.6499999999996</v>
      </c>
      <c r="L899">
        <v>883.5</v>
      </c>
      <c r="M899">
        <v>7042.7573799778584</v>
      </c>
      <c r="N899">
        <v>850.48576221204075</v>
      </c>
      <c r="O899" t="s">
        <v>73</v>
      </c>
      <c r="P899">
        <v>2019</v>
      </c>
    </row>
    <row r="900" spans="6:16" x14ac:dyDescent="0.25">
      <c r="F900" s="7">
        <v>43633</v>
      </c>
      <c r="G900">
        <v>2.1940944045905648E-2</v>
      </c>
      <c r="I900" s="7">
        <v>43633</v>
      </c>
      <c r="J900">
        <v>13</v>
      </c>
      <c r="K900">
        <v>2843.4</v>
      </c>
      <c r="L900">
        <v>-39</v>
      </c>
      <c r="M900">
        <v>3972.3280382349853</v>
      </c>
      <c r="N900">
        <v>1473.4176577207922</v>
      </c>
      <c r="O900" t="s">
        <v>73</v>
      </c>
      <c r="P900">
        <v>2019</v>
      </c>
    </row>
    <row r="901" spans="6:16" x14ac:dyDescent="0.25">
      <c r="F901" s="7">
        <v>43634</v>
      </c>
      <c r="G901">
        <v>2.2503769185146887E-2</v>
      </c>
      <c r="I901" s="7">
        <v>43634</v>
      </c>
      <c r="J901">
        <v>10</v>
      </c>
      <c r="K901">
        <v>2074.3999999999996</v>
      </c>
      <c r="L901">
        <v>2209.25</v>
      </c>
      <c r="M901">
        <v>3643.1983654972419</v>
      </c>
      <c r="N901">
        <v>1250.7114701580799</v>
      </c>
      <c r="O901" t="s">
        <v>73</v>
      </c>
      <c r="P901">
        <v>2019</v>
      </c>
    </row>
    <row r="902" spans="6:16" x14ac:dyDescent="0.25">
      <c r="F902" s="7">
        <v>43635</v>
      </c>
      <c r="G902">
        <v>2.5725385838522331E-2</v>
      </c>
      <c r="I902" s="7">
        <v>43635</v>
      </c>
      <c r="J902">
        <v>9</v>
      </c>
      <c r="K902">
        <v>2321.6</v>
      </c>
      <c r="L902">
        <v>762.9</v>
      </c>
      <c r="M902">
        <v>4116.5526656245975</v>
      </c>
      <c r="N902">
        <v>1900.9941178335257</v>
      </c>
      <c r="O902" t="s">
        <v>73</v>
      </c>
      <c r="P902">
        <v>2019</v>
      </c>
    </row>
    <row r="903" spans="6:16" x14ac:dyDescent="0.25">
      <c r="F903" s="7">
        <v>43636</v>
      </c>
      <c r="G903">
        <v>2.6138508925626004E-2</v>
      </c>
      <c r="I903" s="7">
        <v>43636</v>
      </c>
      <c r="J903">
        <v>23</v>
      </c>
      <c r="K903">
        <v>4270.7</v>
      </c>
      <c r="L903">
        <v>277.25</v>
      </c>
      <c r="M903">
        <v>4718.3822450205953</v>
      </c>
      <c r="N903">
        <v>2113.3955162256666</v>
      </c>
      <c r="O903" t="s">
        <v>73</v>
      </c>
      <c r="P903">
        <v>2019</v>
      </c>
    </row>
    <row r="904" spans="6:16" x14ac:dyDescent="0.25">
      <c r="F904" s="7">
        <v>43637</v>
      </c>
      <c r="G904">
        <v>3.2218974370284821E-2</v>
      </c>
      <c r="I904" s="7">
        <v>43637</v>
      </c>
      <c r="J904">
        <v>24</v>
      </c>
      <c r="K904">
        <v>4517.25</v>
      </c>
      <c r="L904">
        <v>3268.05</v>
      </c>
      <c r="M904">
        <v>6312.1769108353437</v>
      </c>
      <c r="N904">
        <v>1806.8010466408805</v>
      </c>
      <c r="O904" t="s">
        <v>73</v>
      </c>
      <c r="P904">
        <v>2019</v>
      </c>
    </row>
    <row r="905" spans="6:16" x14ac:dyDescent="0.25">
      <c r="F905" s="7">
        <v>43638</v>
      </c>
      <c r="G905">
        <v>4.5442590531000186E-2</v>
      </c>
      <c r="I905" s="7">
        <v>43638</v>
      </c>
      <c r="J905">
        <v>32</v>
      </c>
      <c r="K905">
        <v>6330.2</v>
      </c>
      <c r="L905">
        <v>152</v>
      </c>
      <c r="M905">
        <v>7909.5342702849875</v>
      </c>
      <c r="N905">
        <v>1997.0446263514964</v>
      </c>
      <c r="O905" t="s">
        <v>73</v>
      </c>
      <c r="P905">
        <v>2019</v>
      </c>
    </row>
    <row r="906" spans="6:16" x14ac:dyDescent="0.25">
      <c r="F906" s="7">
        <v>43639</v>
      </c>
      <c r="G906">
        <v>3.4926141708056538E-2</v>
      </c>
      <c r="I906" s="7">
        <v>43639</v>
      </c>
      <c r="J906">
        <v>33</v>
      </c>
      <c r="K906">
        <v>5582.95</v>
      </c>
      <c r="L906">
        <v>948</v>
      </c>
      <c r="M906">
        <v>6258.3547001583884</v>
      </c>
      <c r="N906">
        <v>1036.1203853500297</v>
      </c>
      <c r="O906" t="s">
        <v>73</v>
      </c>
      <c r="P906">
        <v>2019</v>
      </c>
    </row>
    <row r="907" spans="6:16" x14ac:dyDescent="0.25">
      <c r="F907" s="7">
        <v>43640</v>
      </c>
      <c r="G907">
        <v>1.9755619394062382E-2</v>
      </c>
      <c r="I907" s="7">
        <v>43640</v>
      </c>
      <c r="J907">
        <v>16</v>
      </c>
      <c r="K907">
        <v>3106.4</v>
      </c>
      <c r="L907">
        <v>1216.4000000000001</v>
      </c>
      <c r="M907">
        <v>4213.5311171969088</v>
      </c>
      <c r="N907">
        <v>1185.2934314838542</v>
      </c>
      <c r="O907" t="s">
        <v>73</v>
      </c>
      <c r="P907">
        <v>2019</v>
      </c>
    </row>
    <row r="908" spans="6:16" x14ac:dyDescent="0.25">
      <c r="F908" s="7">
        <v>43641</v>
      </c>
      <c r="G908">
        <v>2.0038071548684394E-2</v>
      </c>
      <c r="I908" s="7">
        <v>43641</v>
      </c>
      <c r="J908">
        <v>16</v>
      </c>
      <c r="K908">
        <v>3622.3999999999996</v>
      </c>
      <c r="L908">
        <v>4808.49</v>
      </c>
      <c r="M908">
        <v>4027.5404468477964</v>
      </c>
      <c r="N908">
        <v>1571.2455802443781</v>
      </c>
      <c r="O908" t="s">
        <v>73</v>
      </c>
      <c r="P908">
        <v>2019</v>
      </c>
    </row>
    <row r="909" spans="6:16" x14ac:dyDescent="0.25">
      <c r="F909" s="7">
        <v>43642</v>
      </c>
      <c r="G909">
        <v>2.3016172437519269E-2</v>
      </c>
      <c r="I909" s="7">
        <v>43642</v>
      </c>
      <c r="J909">
        <v>19</v>
      </c>
      <c r="K909">
        <v>3511.17</v>
      </c>
      <c r="L909">
        <v>1086.7</v>
      </c>
      <c r="M909">
        <v>4472.9033108482599</v>
      </c>
      <c r="N909">
        <v>1791.1910804415361</v>
      </c>
      <c r="O909" t="s">
        <v>73</v>
      </c>
      <c r="P909">
        <v>2019</v>
      </c>
    </row>
    <row r="910" spans="6:16" x14ac:dyDescent="0.25">
      <c r="F910" s="7">
        <v>43643</v>
      </c>
      <c r="G910">
        <v>2.3230016241036058E-2</v>
      </c>
      <c r="I910" s="7">
        <v>43643</v>
      </c>
      <c r="J910">
        <v>24</v>
      </c>
      <c r="K910">
        <v>3918.32</v>
      </c>
      <c r="L910">
        <v>241.48</v>
      </c>
      <c r="M910">
        <v>4718.3025204077867</v>
      </c>
      <c r="N910">
        <v>2399.1776250965604</v>
      </c>
      <c r="O910" t="s">
        <v>73</v>
      </c>
      <c r="P910">
        <v>2019</v>
      </c>
    </row>
    <row r="911" spans="6:16" x14ac:dyDescent="0.25">
      <c r="F911" s="7">
        <v>43644</v>
      </c>
      <c r="G911">
        <v>2.916173340994159E-2</v>
      </c>
      <c r="I911" s="7">
        <v>43644</v>
      </c>
      <c r="J911">
        <v>29</v>
      </c>
      <c r="K911">
        <v>5597.6</v>
      </c>
      <c r="L911">
        <v>2085.5</v>
      </c>
      <c r="M911">
        <v>5919.1149499588228</v>
      </c>
      <c r="N911">
        <v>1780.2572939183076</v>
      </c>
      <c r="O911" t="s">
        <v>73</v>
      </c>
      <c r="P911">
        <v>2019</v>
      </c>
    </row>
    <row r="912" spans="6:16" x14ac:dyDescent="0.25">
      <c r="F912" s="7">
        <v>43645</v>
      </c>
      <c r="G912">
        <v>4.2292168012658726E-2</v>
      </c>
      <c r="I912" s="7">
        <v>43645</v>
      </c>
      <c r="J912">
        <v>28</v>
      </c>
      <c r="K912">
        <v>7282.4</v>
      </c>
      <c r="L912">
        <v>231</v>
      </c>
      <c r="M912">
        <v>7084.5206201189385</v>
      </c>
      <c r="N912">
        <v>1705.1374529181505</v>
      </c>
      <c r="O912" t="s">
        <v>73</v>
      </c>
      <c r="P912">
        <v>2019</v>
      </c>
    </row>
    <row r="913" spans="6:16" x14ac:dyDescent="0.25">
      <c r="F913" s="7">
        <v>43646</v>
      </c>
      <c r="G913">
        <v>3.1741741343442945E-2</v>
      </c>
      <c r="I913" s="7">
        <v>43646</v>
      </c>
      <c r="J913">
        <v>13</v>
      </c>
      <c r="K913">
        <v>2742.6</v>
      </c>
      <c r="L913">
        <v>271</v>
      </c>
      <c r="M913">
        <v>6215.1666939876168</v>
      </c>
      <c r="N913">
        <v>1485.1765748868609</v>
      </c>
      <c r="O913" t="s">
        <v>73</v>
      </c>
      <c r="P913">
        <v>2019</v>
      </c>
    </row>
    <row r="914" spans="6:16" x14ac:dyDescent="0.25">
      <c r="F914" s="7">
        <v>43647</v>
      </c>
      <c r="G914">
        <v>1.6598581112910009E-2</v>
      </c>
      <c r="I914" s="7">
        <v>43647</v>
      </c>
      <c r="J914">
        <v>13</v>
      </c>
      <c r="K914">
        <v>3122.4</v>
      </c>
      <c r="L914">
        <v>267</v>
      </c>
      <c r="M914">
        <v>4559.2453779445032</v>
      </c>
      <c r="N914">
        <v>1406.454512855235</v>
      </c>
      <c r="O914" t="s">
        <v>73</v>
      </c>
      <c r="P914">
        <v>2019</v>
      </c>
    </row>
    <row r="915" spans="6:16" x14ac:dyDescent="0.25">
      <c r="F915" s="7">
        <v>43648</v>
      </c>
      <c r="G915">
        <v>1.6970309204075051E-2</v>
      </c>
      <c r="I915" s="7">
        <v>43648</v>
      </c>
      <c r="J915">
        <v>13</v>
      </c>
      <c r="K915">
        <v>2216.1</v>
      </c>
      <c r="L915">
        <v>543.1</v>
      </c>
      <c r="M915">
        <v>4754.1094599840953</v>
      </c>
      <c r="N915">
        <v>1708.7109686592401</v>
      </c>
      <c r="O915" t="s">
        <v>73</v>
      </c>
      <c r="P915">
        <v>2019</v>
      </c>
    </row>
    <row r="916" spans="6:16" x14ac:dyDescent="0.25">
      <c r="F916" s="7">
        <v>43649</v>
      </c>
      <c r="G916">
        <v>2.0098592065588269E-2</v>
      </c>
      <c r="I916" s="7">
        <v>43649</v>
      </c>
      <c r="J916">
        <v>17</v>
      </c>
      <c r="K916">
        <v>3353.7000000000003</v>
      </c>
      <c r="L916">
        <v>1263.5999999999999</v>
      </c>
      <c r="M916">
        <v>4439.740363313932</v>
      </c>
      <c r="N916">
        <v>938.52313033842006</v>
      </c>
      <c r="O916" t="s">
        <v>73</v>
      </c>
      <c r="P916">
        <v>2019</v>
      </c>
    </row>
    <row r="917" spans="6:16" x14ac:dyDescent="0.25">
      <c r="F917" s="7">
        <v>43650</v>
      </c>
      <c r="G917">
        <v>2.0520957284335933E-2</v>
      </c>
      <c r="I917" s="7">
        <v>43650</v>
      </c>
      <c r="J917">
        <v>13</v>
      </c>
      <c r="K917">
        <v>2763.6</v>
      </c>
      <c r="L917">
        <v>0</v>
      </c>
      <c r="M917">
        <v>4634.9273923202527</v>
      </c>
      <c r="N917">
        <v>1295.6271945456208</v>
      </c>
      <c r="O917" t="s">
        <v>73</v>
      </c>
      <c r="P917">
        <v>2019</v>
      </c>
    </row>
    <row r="918" spans="6:16" x14ac:dyDescent="0.25">
      <c r="F918" s="7">
        <v>43651</v>
      </c>
      <c r="G918">
        <v>2.6715474691100353E-2</v>
      </c>
      <c r="I918" s="7">
        <v>43651</v>
      </c>
      <c r="J918">
        <v>27</v>
      </c>
      <c r="K918">
        <v>4630.2</v>
      </c>
      <c r="L918">
        <v>1543.5</v>
      </c>
      <c r="M918">
        <v>5892.657901204233</v>
      </c>
      <c r="N918">
        <v>1046.7457364572444</v>
      </c>
      <c r="O918" t="s">
        <v>73</v>
      </c>
      <c r="P918">
        <v>2019</v>
      </c>
    </row>
    <row r="919" spans="6:16" x14ac:dyDescent="0.25">
      <c r="F919" s="7">
        <v>43652</v>
      </c>
      <c r="G919">
        <v>4.0157538165288026E-2</v>
      </c>
      <c r="I919" s="7">
        <v>43652</v>
      </c>
      <c r="J919">
        <v>24</v>
      </c>
      <c r="K919">
        <v>4086.5699999999997</v>
      </c>
      <c r="L919">
        <v>949</v>
      </c>
      <c r="M919">
        <v>7406.4461152468893</v>
      </c>
      <c r="N919">
        <v>1413.3584281025692</v>
      </c>
      <c r="O919" t="s">
        <v>73</v>
      </c>
      <c r="P919">
        <v>2019</v>
      </c>
    </row>
    <row r="920" spans="6:16" x14ac:dyDescent="0.25">
      <c r="F920" s="7">
        <v>43653</v>
      </c>
      <c r="G920">
        <v>3.9629022933316459E-2</v>
      </c>
      <c r="I920" s="7">
        <v>43653</v>
      </c>
      <c r="J920">
        <v>27</v>
      </c>
      <c r="K920">
        <v>4180</v>
      </c>
      <c r="L920">
        <v>348.97</v>
      </c>
      <c r="M920">
        <v>5545.9133216417013</v>
      </c>
      <c r="N920">
        <v>1572.8254775253902</v>
      </c>
      <c r="O920" t="s">
        <v>74</v>
      </c>
      <c r="P920">
        <v>2019</v>
      </c>
    </row>
    <row r="921" spans="6:16" x14ac:dyDescent="0.25">
      <c r="F921" s="7">
        <v>43654</v>
      </c>
      <c r="G921">
        <v>2.0112636013812274E-2</v>
      </c>
      <c r="I921" s="7">
        <v>43654</v>
      </c>
      <c r="J921">
        <v>14</v>
      </c>
      <c r="K921">
        <v>2623</v>
      </c>
      <c r="L921">
        <v>640</v>
      </c>
      <c r="M921">
        <v>3606.47328451774</v>
      </c>
      <c r="N921">
        <v>1406.8531547673226</v>
      </c>
      <c r="O921" t="s">
        <v>74</v>
      </c>
      <c r="P921">
        <v>2019</v>
      </c>
    </row>
    <row r="922" spans="6:16" x14ac:dyDescent="0.25">
      <c r="F922" s="7">
        <v>43655</v>
      </c>
      <c r="G922">
        <v>2.1151689486219455E-2</v>
      </c>
      <c r="I922" s="7">
        <v>43655</v>
      </c>
      <c r="J922">
        <v>20</v>
      </c>
      <c r="K922">
        <v>2928.2</v>
      </c>
      <c r="L922">
        <v>917</v>
      </c>
      <c r="M922">
        <v>3130.7922430574513</v>
      </c>
      <c r="N922">
        <v>611.66859243049896</v>
      </c>
      <c r="O922" t="s">
        <v>74</v>
      </c>
      <c r="P922">
        <v>2019</v>
      </c>
    </row>
    <row r="923" spans="6:16" x14ac:dyDescent="0.25">
      <c r="F923" s="7">
        <v>43656</v>
      </c>
      <c r="G923">
        <v>2.5858541034551236E-2</v>
      </c>
      <c r="I923" s="7">
        <v>43656</v>
      </c>
      <c r="J923">
        <v>19</v>
      </c>
      <c r="K923">
        <v>4047.4399999999996</v>
      </c>
      <c r="L923">
        <v>232.5</v>
      </c>
      <c r="M923">
        <v>3517.6567366770223</v>
      </c>
      <c r="N923">
        <v>1318.1598400974672</v>
      </c>
      <c r="O923" t="s">
        <v>74</v>
      </c>
      <c r="P923">
        <v>2019</v>
      </c>
    </row>
    <row r="924" spans="6:16" x14ac:dyDescent="0.25">
      <c r="F924" s="7">
        <v>43657</v>
      </c>
      <c r="G924">
        <v>2.6995194011451593E-2</v>
      </c>
      <c r="I924" s="7">
        <v>43657</v>
      </c>
      <c r="J924">
        <v>19</v>
      </c>
      <c r="K924">
        <v>3646.4900000000002</v>
      </c>
      <c r="L924">
        <v>197.1</v>
      </c>
      <c r="M924">
        <v>4386.8884657039989</v>
      </c>
      <c r="N924">
        <v>1258.0192981714351</v>
      </c>
      <c r="O924" t="s">
        <v>74</v>
      </c>
      <c r="P924">
        <v>2019</v>
      </c>
    </row>
    <row r="925" spans="6:16" x14ac:dyDescent="0.25">
      <c r="F925" s="7">
        <v>43658</v>
      </c>
      <c r="G925">
        <v>3.5762500330831316E-2</v>
      </c>
      <c r="I925" s="7">
        <v>43658</v>
      </c>
      <c r="J925">
        <v>23</v>
      </c>
      <c r="K925">
        <v>4616.75</v>
      </c>
      <c r="L925">
        <v>774.5</v>
      </c>
      <c r="M925">
        <v>4513.7570071579275</v>
      </c>
      <c r="N925">
        <v>1041.7094941935029</v>
      </c>
      <c r="O925" t="s">
        <v>74</v>
      </c>
      <c r="P925">
        <v>2019</v>
      </c>
    </row>
    <row r="926" spans="6:16" x14ac:dyDescent="0.25">
      <c r="F926" s="7">
        <v>43659</v>
      </c>
      <c r="G926">
        <v>5.4099056304698016E-2</v>
      </c>
      <c r="I926" s="7">
        <v>43659</v>
      </c>
      <c r="J926">
        <v>31</v>
      </c>
      <c r="K926">
        <v>5216</v>
      </c>
      <c r="L926">
        <v>504</v>
      </c>
      <c r="M926">
        <v>6659.4946670341278</v>
      </c>
      <c r="N926">
        <v>1213.1372849023574</v>
      </c>
      <c r="O926" t="s">
        <v>74</v>
      </c>
      <c r="P926">
        <v>2019</v>
      </c>
    </row>
    <row r="927" spans="6:16" x14ac:dyDescent="0.25">
      <c r="F927" s="7">
        <v>43660</v>
      </c>
      <c r="G927">
        <v>4.1139377857586132E-2</v>
      </c>
      <c r="I927" s="7">
        <v>43660</v>
      </c>
      <c r="J927">
        <v>26</v>
      </c>
      <c r="K927">
        <v>4908.53</v>
      </c>
      <c r="L927">
        <v>697.8</v>
      </c>
      <c r="M927">
        <v>5266.5440143573196</v>
      </c>
      <c r="N927">
        <v>1104.0503943331721</v>
      </c>
      <c r="O927" t="s">
        <v>74</v>
      </c>
      <c r="P927">
        <v>2019</v>
      </c>
    </row>
    <row r="928" spans="6:16" x14ac:dyDescent="0.25">
      <c r="F928" s="7">
        <v>43661</v>
      </c>
      <c r="G928">
        <v>2.2109258682273498E-2</v>
      </c>
      <c r="I928" s="7">
        <v>43661</v>
      </c>
      <c r="J928">
        <v>12</v>
      </c>
      <c r="K928">
        <v>2510.8000000000002</v>
      </c>
      <c r="L928">
        <v>0</v>
      </c>
      <c r="M928">
        <v>3364.8218704852798</v>
      </c>
      <c r="N928">
        <v>928.70612095884701</v>
      </c>
      <c r="O928" t="s">
        <v>74</v>
      </c>
      <c r="P928">
        <v>2019</v>
      </c>
    </row>
    <row r="929" spans="6:16" x14ac:dyDescent="0.25">
      <c r="F929" s="7">
        <v>43662</v>
      </c>
      <c r="G929">
        <v>2.3582893180205771E-2</v>
      </c>
      <c r="I929" s="7">
        <v>43662</v>
      </c>
      <c r="J929">
        <v>10</v>
      </c>
      <c r="K929">
        <v>2089.1999999999998</v>
      </c>
      <c r="L929">
        <v>0</v>
      </c>
      <c r="M929">
        <v>3459.1545632217144</v>
      </c>
      <c r="N929">
        <v>846.46579578909405</v>
      </c>
      <c r="O929" t="s">
        <v>74</v>
      </c>
      <c r="P929">
        <v>2019</v>
      </c>
    </row>
    <row r="930" spans="6:16" x14ac:dyDescent="0.25">
      <c r="F930" s="7">
        <v>43663</v>
      </c>
      <c r="G930">
        <v>2.8663404310628374E-2</v>
      </c>
      <c r="I930" s="7">
        <v>43663</v>
      </c>
      <c r="J930">
        <v>29</v>
      </c>
      <c r="K930">
        <v>5710.07</v>
      </c>
      <c r="L930">
        <v>1740.3</v>
      </c>
      <c r="M930">
        <v>3770.9637037479993</v>
      </c>
      <c r="N930">
        <v>950.05049953415369</v>
      </c>
      <c r="O930" t="s">
        <v>74</v>
      </c>
      <c r="P930">
        <v>2019</v>
      </c>
    </row>
    <row r="931" spans="6:16" x14ac:dyDescent="0.25">
      <c r="F931" s="7">
        <v>43664</v>
      </c>
      <c r="G931">
        <v>3.0105129987432446E-2</v>
      </c>
      <c r="I931" s="7">
        <v>43664</v>
      </c>
      <c r="J931">
        <v>19</v>
      </c>
      <c r="K931">
        <v>3563.85</v>
      </c>
      <c r="L931">
        <v>0</v>
      </c>
      <c r="M931">
        <v>4741.1063020484871</v>
      </c>
      <c r="N931">
        <v>1439.5662832119626</v>
      </c>
      <c r="O931" t="s">
        <v>74</v>
      </c>
      <c r="P931">
        <v>2019</v>
      </c>
    </row>
    <row r="932" spans="6:16" x14ac:dyDescent="0.25">
      <c r="F932" s="7">
        <v>43665</v>
      </c>
      <c r="G932">
        <v>3.9103011245761585E-2</v>
      </c>
      <c r="I932" s="7">
        <v>43665</v>
      </c>
      <c r="J932">
        <v>32</v>
      </c>
      <c r="K932">
        <v>5743.5400000000009</v>
      </c>
      <c r="L932">
        <v>1505.35</v>
      </c>
      <c r="M932">
        <v>5051.607510834584</v>
      </c>
      <c r="N932">
        <v>1666.3928503529098</v>
      </c>
      <c r="O932" t="s">
        <v>74</v>
      </c>
      <c r="P932">
        <v>2019</v>
      </c>
    </row>
    <row r="933" spans="6:16" x14ac:dyDescent="0.25">
      <c r="F933" s="7">
        <v>43666</v>
      </c>
      <c r="G933">
        <v>5.7591625856591409E-2</v>
      </c>
      <c r="I933" s="7">
        <v>43666</v>
      </c>
      <c r="J933">
        <v>32</v>
      </c>
      <c r="K933">
        <v>6915.59</v>
      </c>
      <c r="L933">
        <v>863</v>
      </c>
      <c r="M933">
        <v>6790.8748193818674</v>
      </c>
      <c r="N933">
        <v>1653.0720508865415</v>
      </c>
      <c r="O933" t="s">
        <v>74</v>
      </c>
      <c r="P933">
        <v>2019</v>
      </c>
    </row>
    <row r="934" spans="6:16" x14ac:dyDescent="0.25">
      <c r="F934" s="7">
        <v>43667</v>
      </c>
      <c r="G934">
        <v>4.4703450495399616E-2</v>
      </c>
      <c r="I934" s="7">
        <v>43667</v>
      </c>
      <c r="J934">
        <v>22</v>
      </c>
      <c r="K934">
        <v>4789.2</v>
      </c>
      <c r="L934">
        <v>506.5</v>
      </c>
      <c r="M934">
        <v>5375.2511169571035</v>
      </c>
      <c r="N934">
        <v>1333.0348556150716</v>
      </c>
      <c r="O934" t="s">
        <v>74</v>
      </c>
      <c r="P934">
        <v>2019</v>
      </c>
    </row>
    <row r="935" spans="6:16" x14ac:dyDescent="0.25">
      <c r="F935" s="7">
        <v>43668</v>
      </c>
      <c r="G935">
        <v>2.5664252986118831E-2</v>
      </c>
      <c r="I935" s="7">
        <v>43668</v>
      </c>
      <c r="J935">
        <v>18</v>
      </c>
      <c r="K935">
        <v>3477</v>
      </c>
      <c r="L935">
        <v>546.5</v>
      </c>
      <c r="M935">
        <v>3626.9812411140442</v>
      </c>
      <c r="N935">
        <v>1023.105878710007</v>
      </c>
      <c r="O935" t="s">
        <v>74</v>
      </c>
      <c r="P935">
        <v>2019</v>
      </c>
    </row>
    <row r="936" spans="6:16" x14ac:dyDescent="0.25">
      <c r="F936" s="7">
        <v>43669</v>
      </c>
      <c r="G936">
        <v>2.705019597787783E-2</v>
      </c>
      <c r="I936" s="7">
        <v>43669</v>
      </c>
      <c r="J936">
        <v>6</v>
      </c>
      <c r="K936">
        <v>1513.5</v>
      </c>
      <c r="L936">
        <v>375</v>
      </c>
      <c r="M936">
        <v>3675.8718188789762</v>
      </c>
      <c r="N936">
        <v>1371.9272200731414</v>
      </c>
      <c r="O936" t="s">
        <v>74</v>
      </c>
      <c r="P936">
        <v>2019</v>
      </c>
    </row>
    <row r="937" spans="6:16" x14ac:dyDescent="0.25">
      <c r="F937" s="7">
        <v>43670</v>
      </c>
      <c r="G937">
        <v>3.1968293199777766E-2</v>
      </c>
      <c r="I937" s="7">
        <v>43670</v>
      </c>
      <c r="J937">
        <v>21</v>
      </c>
      <c r="K937">
        <v>4363.57</v>
      </c>
      <c r="L937">
        <v>2128.62</v>
      </c>
      <c r="M937">
        <v>3431.794897628798</v>
      </c>
      <c r="N937">
        <v>573.48514619971013</v>
      </c>
      <c r="O937" t="s">
        <v>74</v>
      </c>
      <c r="P937">
        <v>2019</v>
      </c>
    </row>
    <row r="938" spans="6:16" x14ac:dyDescent="0.25">
      <c r="F938" s="7">
        <v>43671</v>
      </c>
      <c r="G938">
        <v>3.3178574123449288E-2</v>
      </c>
      <c r="I938" s="7">
        <v>43671</v>
      </c>
      <c r="J938">
        <v>23</v>
      </c>
      <c r="K938">
        <v>3771.7999999999997</v>
      </c>
      <c r="L938">
        <v>2710.52</v>
      </c>
      <c r="M938">
        <v>4062.5420486293265</v>
      </c>
      <c r="N938">
        <v>1033.1082112938316</v>
      </c>
      <c r="O938" t="s">
        <v>74</v>
      </c>
      <c r="P938">
        <v>2019</v>
      </c>
    </row>
    <row r="939" spans="6:16" x14ac:dyDescent="0.25">
      <c r="F939" s="7">
        <v>43672</v>
      </c>
      <c r="G939">
        <v>4.1883304027462702E-2</v>
      </c>
      <c r="I939" s="7">
        <v>43672</v>
      </c>
      <c r="J939">
        <v>30</v>
      </c>
      <c r="K939">
        <v>5585</v>
      </c>
      <c r="L939">
        <v>1738.1</v>
      </c>
      <c r="M939">
        <v>4851.1629244868991</v>
      </c>
      <c r="N939">
        <v>1110.4635862745051</v>
      </c>
      <c r="O939" t="s">
        <v>74</v>
      </c>
      <c r="P939">
        <v>2019</v>
      </c>
    </row>
    <row r="940" spans="6:16" x14ac:dyDescent="0.25">
      <c r="F940" s="7">
        <v>43673</v>
      </c>
      <c r="G940">
        <v>6.0025808108028343E-2</v>
      </c>
      <c r="I940" s="7">
        <v>43673</v>
      </c>
      <c r="J940">
        <v>35</v>
      </c>
      <c r="K940">
        <v>9174</v>
      </c>
      <c r="L940">
        <v>3911.5</v>
      </c>
      <c r="M940">
        <v>6231.7660986484671</v>
      </c>
      <c r="N940">
        <v>1647.6600090195136</v>
      </c>
      <c r="O940" t="s">
        <v>74</v>
      </c>
      <c r="P940">
        <v>2019</v>
      </c>
    </row>
    <row r="941" spans="6:16" x14ac:dyDescent="0.25">
      <c r="F941" s="7">
        <v>43674</v>
      </c>
      <c r="G941">
        <v>4.6748488573095826E-2</v>
      </c>
      <c r="I941" s="7">
        <v>43674</v>
      </c>
      <c r="J941">
        <v>31</v>
      </c>
      <c r="K941">
        <v>5830.1900000000005</v>
      </c>
      <c r="L941">
        <v>1155.49</v>
      </c>
      <c r="M941">
        <v>5297.1612282514998</v>
      </c>
      <c r="N941">
        <v>1217.1193586449774</v>
      </c>
      <c r="O941" t="s">
        <v>74</v>
      </c>
      <c r="P941">
        <v>2019</v>
      </c>
    </row>
    <row r="942" spans="6:16" x14ac:dyDescent="0.25">
      <c r="F942" s="7">
        <v>43675</v>
      </c>
      <c r="G942">
        <v>2.7287943332122307E-2</v>
      </c>
      <c r="I942" s="7">
        <v>43675</v>
      </c>
      <c r="J942">
        <v>13</v>
      </c>
      <c r="K942">
        <v>2618.86</v>
      </c>
      <c r="L942">
        <v>609</v>
      </c>
      <c r="M942">
        <v>4135.7270537518489</v>
      </c>
      <c r="N942">
        <v>577.82904586560039</v>
      </c>
      <c r="O942" t="s">
        <v>74</v>
      </c>
      <c r="P942">
        <v>2019</v>
      </c>
    </row>
    <row r="943" spans="6:16" x14ac:dyDescent="0.25">
      <c r="F943" s="7">
        <v>43676</v>
      </c>
      <c r="G943">
        <v>2.8231775084235512E-2</v>
      </c>
      <c r="I943" s="7">
        <v>43676</v>
      </c>
      <c r="J943">
        <v>15</v>
      </c>
      <c r="K943">
        <v>3152</v>
      </c>
      <c r="L943">
        <v>595.6</v>
      </c>
      <c r="M943">
        <v>3220.5817849328032</v>
      </c>
      <c r="N943">
        <v>1427.5344817372663</v>
      </c>
      <c r="O943" t="s">
        <v>74</v>
      </c>
      <c r="P943">
        <v>2019</v>
      </c>
    </row>
    <row r="944" spans="6:16" x14ac:dyDescent="0.25">
      <c r="F944" s="7">
        <v>43677</v>
      </c>
      <c r="G944">
        <v>3.2698740251787636E-2</v>
      </c>
      <c r="I944" s="7">
        <v>43677</v>
      </c>
      <c r="J944">
        <v>21</v>
      </c>
      <c r="K944">
        <v>4250.7699999999995</v>
      </c>
      <c r="L944">
        <v>206.26</v>
      </c>
      <c r="M944">
        <v>3666.7433708288631</v>
      </c>
      <c r="N944">
        <v>1216.7425666702422</v>
      </c>
      <c r="O944" t="s">
        <v>74</v>
      </c>
      <c r="P944">
        <v>2019</v>
      </c>
    </row>
    <row r="945" spans="6:16" x14ac:dyDescent="0.25">
      <c r="F945" s="7">
        <v>43678</v>
      </c>
      <c r="G945">
        <v>3.3460601816673326E-2</v>
      </c>
      <c r="I945" s="7">
        <v>43678</v>
      </c>
      <c r="J945">
        <v>23</v>
      </c>
      <c r="K945">
        <v>4679.2</v>
      </c>
      <c r="L945">
        <v>861.8</v>
      </c>
      <c r="M945">
        <v>3864.4333736631229</v>
      </c>
      <c r="N945">
        <v>1361.9029355587822</v>
      </c>
      <c r="O945" t="s">
        <v>74</v>
      </c>
      <c r="P945">
        <v>2019</v>
      </c>
    </row>
    <row r="946" spans="6:16" x14ac:dyDescent="0.25">
      <c r="F946" s="7">
        <v>43679</v>
      </c>
      <c r="G946">
        <v>4.173104166819612E-2</v>
      </c>
      <c r="I946" s="7">
        <v>43679</v>
      </c>
      <c r="J946">
        <v>30</v>
      </c>
      <c r="K946">
        <v>5782.9009999999998</v>
      </c>
      <c r="L946">
        <v>2531.89</v>
      </c>
      <c r="M946">
        <v>5289.7328681718263</v>
      </c>
      <c r="N946">
        <v>1024.7884296210223</v>
      </c>
      <c r="O946" t="s">
        <v>74</v>
      </c>
      <c r="P946">
        <v>2019</v>
      </c>
    </row>
    <row r="947" spans="6:16" x14ac:dyDescent="0.25">
      <c r="F947" s="7">
        <v>43680</v>
      </c>
      <c r="G947">
        <v>5.9464189120415373E-2</v>
      </c>
      <c r="I947" s="7">
        <v>43680</v>
      </c>
      <c r="J947">
        <v>29</v>
      </c>
      <c r="K947">
        <v>8431.19</v>
      </c>
      <c r="L947">
        <v>616</v>
      </c>
      <c r="M947">
        <v>7302.5616641891884</v>
      </c>
      <c r="N947">
        <v>2112.1211375616713</v>
      </c>
      <c r="O947" t="s">
        <v>74</v>
      </c>
      <c r="P947">
        <v>2019</v>
      </c>
    </row>
    <row r="948" spans="6:16" x14ac:dyDescent="0.25">
      <c r="F948" s="7">
        <v>43681</v>
      </c>
      <c r="G948">
        <v>4.4996662185804281E-2</v>
      </c>
      <c r="I948" s="7">
        <v>43681</v>
      </c>
      <c r="J948">
        <v>27</v>
      </c>
      <c r="K948">
        <v>6478.13</v>
      </c>
      <c r="L948">
        <v>1207</v>
      </c>
      <c r="M948">
        <v>6159.9139276354035</v>
      </c>
      <c r="N948">
        <v>1870.2344700081339</v>
      </c>
      <c r="O948" t="s">
        <v>75</v>
      </c>
      <c r="P948">
        <v>2019</v>
      </c>
    </row>
    <row r="949" spans="6:16" x14ac:dyDescent="0.25">
      <c r="F949" s="7">
        <v>43682</v>
      </c>
      <c r="G949">
        <v>2.5557631382269106E-2</v>
      </c>
      <c r="I949" s="7">
        <v>43682</v>
      </c>
      <c r="J949">
        <v>13</v>
      </c>
      <c r="K949">
        <v>3460.2</v>
      </c>
      <c r="L949">
        <v>1459.5</v>
      </c>
      <c r="M949">
        <v>4734.2189161507704</v>
      </c>
      <c r="N949">
        <v>1134.8666347023593</v>
      </c>
      <c r="O949" t="s">
        <v>75</v>
      </c>
      <c r="P949">
        <v>2019</v>
      </c>
    </row>
    <row r="950" spans="6:16" x14ac:dyDescent="0.25">
      <c r="F950" s="7">
        <v>43683</v>
      </c>
      <c r="G950">
        <v>2.620982372221747E-2</v>
      </c>
      <c r="I950" s="7">
        <v>43683</v>
      </c>
      <c r="J950">
        <v>8</v>
      </c>
      <c r="K950">
        <v>2023</v>
      </c>
      <c r="L950">
        <v>968.6</v>
      </c>
      <c r="M950">
        <v>3790.5096329875214</v>
      </c>
      <c r="N950">
        <v>2053.8800435537883</v>
      </c>
      <c r="O950" t="s">
        <v>75</v>
      </c>
      <c r="P950">
        <v>2019</v>
      </c>
    </row>
    <row r="951" spans="6:16" x14ac:dyDescent="0.25">
      <c r="F951" s="7">
        <v>43684</v>
      </c>
      <c r="G951">
        <v>3.0378369911422842E-2</v>
      </c>
      <c r="I951" s="7">
        <v>43684</v>
      </c>
      <c r="J951">
        <v>23</v>
      </c>
      <c r="K951">
        <v>3668.7999999999997</v>
      </c>
      <c r="L951">
        <v>412.3</v>
      </c>
      <c r="M951">
        <v>3969.8099198014634</v>
      </c>
      <c r="N951">
        <v>2635.978038552732</v>
      </c>
      <c r="O951" t="s">
        <v>75</v>
      </c>
      <c r="P951">
        <v>2019</v>
      </c>
    </row>
    <row r="952" spans="6:16" x14ac:dyDescent="0.25">
      <c r="F952" s="7">
        <v>43685</v>
      </c>
      <c r="G952">
        <v>3.096790530328809E-2</v>
      </c>
      <c r="I952" s="7">
        <v>43685</v>
      </c>
      <c r="J952">
        <v>24</v>
      </c>
      <c r="K952">
        <v>4103.3</v>
      </c>
      <c r="L952">
        <v>341</v>
      </c>
      <c r="M952">
        <v>4004.5516440661481</v>
      </c>
      <c r="N952">
        <v>2395.9895137943918</v>
      </c>
      <c r="O952" t="s">
        <v>75</v>
      </c>
      <c r="P952">
        <v>2019</v>
      </c>
    </row>
    <row r="953" spans="6:16" x14ac:dyDescent="0.25">
      <c r="F953" s="7">
        <v>43686</v>
      </c>
      <c r="G953">
        <v>3.8994909680188185E-2</v>
      </c>
      <c r="I953" s="7">
        <v>43686</v>
      </c>
      <c r="J953">
        <v>21</v>
      </c>
      <c r="K953">
        <v>5703.4400000000005</v>
      </c>
      <c r="L953">
        <v>1479.12</v>
      </c>
      <c r="M953">
        <v>5526.8743508216103</v>
      </c>
      <c r="N953">
        <v>2601.1953553363001</v>
      </c>
      <c r="O953" t="s">
        <v>75</v>
      </c>
      <c r="P953">
        <v>2019</v>
      </c>
    </row>
    <row r="954" spans="6:16" x14ac:dyDescent="0.25">
      <c r="F954" s="7">
        <v>43687</v>
      </c>
      <c r="G954">
        <v>5.6379430958818137E-2</v>
      </c>
      <c r="I954" s="7">
        <v>43687</v>
      </c>
      <c r="J954">
        <v>27</v>
      </c>
      <c r="K954">
        <v>7205.4</v>
      </c>
      <c r="L954">
        <v>958</v>
      </c>
      <c r="M954">
        <v>7858.8485970607571</v>
      </c>
      <c r="N954">
        <v>2238.8346635821163</v>
      </c>
      <c r="O954" t="s">
        <v>75</v>
      </c>
      <c r="P954">
        <v>2019</v>
      </c>
    </row>
    <row r="955" spans="6:16" x14ac:dyDescent="0.25">
      <c r="F955" s="7">
        <v>43688</v>
      </c>
      <c r="G955">
        <v>4.3000066615432778E-2</v>
      </c>
      <c r="I955" s="7">
        <v>43688</v>
      </c>
      <c r="J955">
        <v>18</v>
      </c>
      <c r="K955">
        <v>4079.3999999999996</v>
      </c>
      <c r="L955">
        <v>2048.5500000000002</v>
      </c>
      <c r="M955">
        <v>6624.8938053217425</v>
      </c>
      <c r="N955">
        <v>1406.9452153906045</v>
      </c>
      <c r="O955" t="s">
        <v>75</v>
      </c>
      <c r="P955">
        <v>2019</v>
      </c>
    </row>
    <row r="956" spans="6:16" x14ac:dyDescent="0.25">
      <c r="F956" s="7">
        <v>43689</v>
      </c>
      <c r="G956">
        <v>2.3649992250099727E-2</v>
      </c>
      <c r="I956" s="7">
        <v>43689</v>
      </c>
      <c r="J956">
        <v>10</v>
      </c>
      <c r="K956">
        <v>2520.4</v>
      </c>
      <c r="L956">
        <v>584.25</v>
      </c>
      <c r="M956">
        <v>3920.2399270508172</v>
      </c>
      <c r="N956">
        <v>1285.3698462652646</v>
      </c>
      <c r="O956" t="s">
        <v>75</v>
      </c>
      <c r="P956">
        <v>2019</v>
      </c>
    </row>
    <row r="957" spans="6:16" x14ac:dyDescent="0.25">
      <c r="F957" s="7">
        <v>43690</v>
      </c>
      <c r="G957">
        <v>2.4446431769666585E-2</v>
      </c>
      <c r="I957" s="7">
        <v>43690</v>
      </c>
      <c r="J957">
        <v>9</v>
      </c>
      <c r="K957">
        <v>1213</v>
      </c>
      <c r="L957">
        <v>279</v>
      </c>
      <c r="M957">
        <v>3024.8760131666804</v>
      </c>
      <c r="N957">
        <v>1164.0226094455854</v>
      </c>
      <c r="O957" t="s">
        <v>75</v>
      </c>
      <c r="P957">
        <v>2019</v>
      </c>
    </row>
    <row r="958" spans="6:16" x14ac:dyDescent="0.25">
      <c r="F958" s="7">
        <v>43691</v>
      </c>
      <c r="G958">
        <v>2.880880708996314E-2</v>
      </c>
      <c r="I958" s="7">
        <v>43691</v>
      </c>
      <c r="J958">
        <v>21</v>
      </c>
      <c r="K958">
        <v>5230.3999999999996</v>
      </c>
      <c r="L958">
        <v>1273.4000000000001</v>
      </c>
      <c r="M958">
        <v>3705.6947879008217</v>
      </c>
      <c r="N958">
        <v>1197.2833004914021</v>
      </c>
      <c r="O958" t="s">
        <v>75</v>
      </c>
      <c r="P958">
        <v>2019</v>
      </c>
    </row>
    <row r="959" spans="6:16" x14ac:dyDescent="0.25">
      <c r="F959" s="7">
        <v>43692</v>
      </c>
      <c r="G959">
        <v>2.9634794876514312E-2</v>
      </c>
      <c r="I959" s="7">
        <v>43692</v>
      </c>
      <c r="J959">
        <v>7</v>
      </c>
      <c r="K959">
        <v>999.82999999999993</v>
      </c>
      <c r="L959">
        <v>490</v>
      </c>
      <c r="M959">
        <v>4758.0392284062009</v>
      </c>
      <c r="N959">
        <v>567.23932163140205</v>
      </c>
      <c r="O959" t="s">
        <v>75</v>
      </c>
      <c r="P959">
        <v>2019</v>
      </c>
    </row>
    <row r="960" spans="6:16" x14ac:dyDescent="0.25">
      <c r="F960" s="7">
        <v>43693</v>
      </c>
      <c r="G960">
        <v>3.7932878878260773E-2</v>
      </c>
      <c r="I960" s="7">
        <v>43693</v>
      </c>
      <c r="J960">
        <v>29</v>
      </c>
      <c r="K960">
        <v>6024.77</v>
      </c>
      <c r="L960">
        <v>2136.4899999999998</v>
      </c>
      <c r="M960">
        <v>5252.9226387459876</v>
      </c>
      <c r="N960">
        <v>1193.2710027505941</v>
      </c>
      <c r="O960" t="s">
        <v>75</v>
      </c>
      <c r="P960">
        <v>2019</v>
      </c>
    </row>
    <row r="961" spans="6:16" x14ac:dyDescent="0.25">
      <c r="F961" s="7">
        <v>43694</v>
      </c>
      <c r="G961">
        <v>5.5614311367030579E-2</v>
      </c>
      <c r="I961" s="7">
        <v>43694</v>
      </c>
      <c r="J961">
        <v>26</v>
      </c>
      <c r="K961">
        <v>6029.5</v>
      </c>
      <c r="L961">
        <v>483.55</v>
      </c>
      <c r="M961">
        <v>7849.9186829078453</v>
      </c>
      <c r="N961">
        <v>1946.2399947778208</v>
      </c>
      <c r="O961" t="s">
        <v>75</v>
      </c>
      <c r="P961">
        <v>2019</v>
      </c>
    </row>
    <row r="962" spans="6:16" x14ac:dyDescent="0.25">
      <c r="F962" s="7">
        <v>43695</v>
      </c>
      <c r="G962">
        <v>4.2548350586631922E-2</v>
      </c>
      <c r="I962" s="7">
        <v>43695</v>
      </c>
      <c r="J962">
        <v>23</v>
      </c>
      <c r="K962">
        <v>4069.83</v>
      </c>
      <c r="L962">
        <v>45</v>
      </c>
      <c r="M962">
        <v>6808.3991098604965</v>
      </c>
      <c r="N962">
        <v>2101.1426629214343</v>
      </c>
      <c r="O962" t="s">
        <v>75</v>
      </c>
      <c r="P962">
        <v>2019</v>
      </c>
    </row>
    <row r="963" spans="6:16" x14ac:dyDescent="0.25">
      <c r="F963" s="7">
        <v>43696</v>
      </c>
      <c r="G963">
        <v>2.3518556431281468E-2</v>
      </c>
      <c r="I963" s="7">
        <v>43696</v>
      </c>
      <c r="J963">
        <v>14</v>
      </c>
      <c r="K963">
        <v>2531</v>
      </c>
      <c r="L963">
        <v>2012.5</v>
      </c>
      <c r="M963">
        <v>4362.4051395105753</v>
      </c>
      <c r="N963">
        <v>1528.6130030777276</v>
      </c>
      <c r="O963" t="s">
        <v>75</v>
      </c>
      <c r="P963">
        <v>2019</v>
      </c>
    </row>
    <row r="964" spans="6:16" x14ac:dyDescent="0.25">
      <c r="F964" s="7">
        <v>43697</v>
      </c>
      <c r="G964">
        <v>2.4632531277736548E-2</v>
      </c>
      <c r="I964" s="7">
        <v>43697</v>
      </c>
      <c r="J964">
        <v>13</v>
      </c>
      <c r="K964">
        <v>2242.4</v>
      </c>
      <c r="L964">
        <v>732.4</v>
      </c>
      <c r="M964">
        <v>3567.0080832304952</v>
      </c>
      <c r="N964">
        <v>2474.2813572186251</v>
      </c>
      <c r="O964" t="s">
        <v>75</v>
      </c>
      <c r="P964">
        <v>2019</v>
      </c>
    </row>
    <row r="965" spans="6:16" x14ac:dyDescent="0.25">
      <c r="F965" s="7">
        <v>43698</v>
      </c>
      <c r="G965">
        <v>2.9300336437657747E-2</v>
      </c>
      <c r="I965" s="7">
        <v>43698</v>
      </c>
      <c r="J965">
        <v>28</v>
      </c>
      <c r="K965">
        <v>4620</v>
      </c>
      <c r="L965">
        <v>78.400000000000006</v>
      </c>
      <c r="M965">
        <v>4201.3581685740082</v>
      </c>
      <c r="N965">
        <v>1487.4517738989944</v>
      </c>
      <c r="O965" t="s">
        <v>75</v>
      </c>
      <c r="P965">
        <v>2019</v>
      </c>
    </row>
    <row r="966" spans="6:16" x14ac:dyDescent="0.25">
      <c r="F966" s="7">
        <v>43699</v>
      </c>
      <c r="G966">
        <v>3.0410804380197005E-2</v>
      </c>
      <c r="I966" s="7">
        <v>43699</v>
      </c>
      <c r="J966">
        <v>16</v>
      </c>
      <c r="K966">
        <v>2913.07</v>
      </c>
      <c r="L966">
        <v>442</v>
      </c>
      <c r="M966">
        <v>4988.2909782684455</v>
      </c>
      <c r="N966">
        <v>1675.084767107744</v>
      </c>
      <c r="O966" t="s">
        <v>75</v>
      </c>
      <c r="P966">
        <v>2019</v>
      </c>
    </row>
    <row r="967" spans="6:16" x14ac:dyDescent="0.25">
      <c r="F967" s="7">
        <v>43700</v>
      </c>
      <c r="G967">
        <v>3.8964328492451544E-2</v>
      </c>
      <c r="I967" s="7">
        <v>43700</v>
      </c>
      <c r="J967">
        <v>21</v>
      </c>
      <c r="K967">
        <v>4607.8</v>
      </c>
      <c r="L967">
        <v>814.25</v>
      </c>
      <c r="M967">
        <v>5582.9837902722757</v>
      </c>
      <c r="N967">
        <v>2350.9666874125323</v>
      </c>
      <c r="O967" t="s">
        <v>75</v>
      </c>
      <c r="P967">
        <v>2019</v>
      </c>
    </row>
    <row r="968" spans="6:16" x14ac:dyDescent="0.25">
      <c r="F968" s="7">
        <v>43701</v>
      </c>
      <c r="G968">
        <v>5.6865037524309769E-2</v>
      </c>
      <c r="I968" s="7">
        <v>43701</v>
      </c>
      <c r="J968">
        <v>23</v>
      </c>
      <c r="K968">
        <v>5250.35</v>
      </c>
      <c r="L968">
        <v>240.2</v>
      </c>
      <c r="M968">
        <v>7000.2395288406697</v>
      </c>
      <c r="N968">
        <v>2976.1549450805019</v>
      </c>
      <c r="O968" t="s">
        <v>75</v>
      </c>
      <c r="P968">
        <v>2019</v>
      </c>
    </row>
    <row r="969" spans="6:16" x14ac:dyDescent="0.25">
      <c r="F969" s="7">
        <v>43702</v>
      </c>
      <c r="G969">
        <v>4.3976216161335055E-2</v>
      </c>
      <c r="I969" s="7">
        <v>43702</v>
      </c>
      <c r="J969">
        <v>26</v>
      </c>
      <c r="K969">
        <v>5820</v>
      </c>
      <c r="L969">
        <v>3415</v>
      </c>
      <c r="M969">
        <v>5908.6300843393865</v>
      </c>
      <c r="N969">
        <v>2256.3475647400642</v>
      </c>
      <c r="O969" t="s">
        <v>75</v>
      </c>
      <c r="P969">
        <v>2019</v>
      </c>
    </row>
    <row r="970" spans="6:16" x14ac:dyDescent="0.25">
      <c r="F970" s="7">
        <v>43703</v>
      </c>
      <c r="G970">
        <v>2.5076749164671851E-2</v>
      </c>
      <c r="I970" s="7">
        <v>43703</v>
      </c>
      <c r="J970">
        <v>16</v>
      </c>
      <c r="K970">
        <v>3601.0600000000004</v>
      </c>
      <c r="L970">
        <v>547</v>
      </c>
      <c r="M970">
        <v>4038.6991777332296</v>
      </c>
      <c r="N970">
        <v>1998.1462222492107</v>
      </c>
      <c r="O970" t="s">
        <v>75</v>
      </c>
      <c r="P970">
        <v>2019</v>
      </c>
    </row>
    <row r="971" spans="6:16" x14ac:dyDescent="0.25">
      <c r="F971" s="7">
        <v>43704</v>
      </c>
      <c r="G971">
        <v>2.6270972621048133E-2</v>
      </c>
      <c r="I971" s="7">
        <v>43704</v>
      </c>
      <c r="J971">
        <v>16</v>
      </c>
      <c r="K971">
        <v>2929</v>
      </c>
      <c r="L971">
        <v>2691.5</v>
      </c>
      <c r="M971">
        <v>3959.6284837077314</v>
      </c>
      <c r="N971">
        <v>1712.1187997931831</v>
      </c>
      <c r="O971" t="s">
        <v>75</v>
      </c>
      <c r="P971">
        <v>2019</v>
      </c>
    </row>
    <row r="972" spans="6:16" x14ac:dyDescent="0.25">
      <c r="F972" s="7">
        <v>43705</v>
      </c>
      <c r="G972">
        <v>3.096716001097622E-2</v>
      </c>
      <c r="I972" s="7">
        <v>43705</v>
      </c>
      <c r="J972">
        <v>28</v>
      </c>
      <c r="K972">
        <v>4238.3999999999996</v>
      </c>
      <c r="L972">
        <v>173.4</v>
      </c>
      <c r="M972">
        <v>3604.6963959276823</v>
      </c>
      <c r="N972">
        <v>2237.7298038390054</v>
      </c>
      <c r="O972" t="s">
        <v>75</v>
      </c>
      <c r="P972">
        <v>2019</v>
      </c>
    </row>
    <row r="973" spans="6:16" x14ac:dyDescent="0.25">
      <c r="F973" s="7">
        <v>43706</v>
      </c>
      <c r="G973">
        <v>3.2053862177369767E-2</v>
      </c>
      <c r="I973" s="7">
        <v>43706</v>
      </c>
      <c r="J973">
        <v>23</v>
      </c>
      <c r="K973">
        <v>3913.7000000000003</v>
      </c>
      <c r="L973">
        <v>237.1</v>
      </c>
      <c r="M973">
        <v>4977.9311692637939</v>
      </c>
      <c r="N973">
        <v>2522.552587809183</v>
      </c>
      <c r="O973" t="s">
        <v>75</v>
      </c>
      <c r="P973">
        <v>2019</v>
      </c>
    </row>
    <row r="974" spans="6:16" x14ac:dyDescent="0.25">
      <c r="F974" s="7">
        <v>43707</v>
      </c>
      <c r="G974">
        <v>4.0532682573934761E-2</v>
      </c>
      <c r="I974" s="7">
        <v>43707</v>
      </c>
      <c r="J974">
        <v>32</v>
      </c>
      <c r="K974">
        <v>5368.9299999999994</v>
      </c>
      <c r="L974">
        <v>1678.55</v>
      </c>
      <c r="M974">
        <v>5349.9650431162263</v>
      </c>
      <c r="N974">
        <v>3131.1007751902666</v>
      </c>
      <c r="O974" t="s">
        <v>75</v>
      </c>
      <c r="P974">
        <v>2019</v>
      </c>
    </row>
    <row r="975" spans="6:16" x14ac:dyDescent="0.25">
      <c r="F975" s="7">
        <v>43708</v>
      </c>
      <c r="G975">
        <v>5.8310396169422241E-2</v>
      </c>
      <c r="I975" s="7">
        <v>43708</v>
      </c>
      <c r="J975">
        <v>37</v>
      </c>
      <c r="K975">
        <v>8644.4</v>
      </c>
      <c r="L975">
        <v>1405</v>
      </c>
      <c r="M975">
        <v>8262.7027753312177</v>
      </c>
      <c r="N975">
        <v>1524.7890393790387</v>
      </c>
      <c r="O975" t="s">
        <v>75</v>
      </c>
      <c r="P975">
        <v>2019</v>
      </c>
    </row>
    <row r="976" spans="6:16" x14ac:dyDescent="0.25">
      <c r="F976" s="7">
        <v>43709</v>
      </c>
      <c r="G976">
        <v>3.6234489430348606E-2</v>
      </c>
      <c r="I976" s="7">
        <v>43709</v>
      </c>
      <c r="J976">
        <v>25</v>
      </c>
      <c r="K976">
        <v>6078.2</v>
      </c>
      <c r="L976">
        <v>292</v>
      </c>
      <c r="M976">
        <v>6166.9315928959923</v>
      </c>
      <c r="N976">
        <v>1261.3091515266835</v>
      </c>
      <c r="O976" t="s">
        <v>76</v>
      </c>
      <c r="P976">
        <v>2019</v>
      </c>
    </row>
    <row r="977" spans="6:16" x14ac:dyDescent="0.25">
      <c r="F977" s="7">
        <v>43710</v>
      </c>
      <c r="G977">
        <v>2.0936675456650275E-2</v>
      </c>
      <c r="I977" s="7">
        <v>43710</v>
      </c>
      <c r="J977">
        <v>18</v>
      </c>
      <c r="K977">
        <v>4415</v>
      </c>
      <c r="L977">
        <v>851</v>
      </c>
      <c r="M977">
        <v>6981.1160171637221</v>
      </c>
      <c r="N977">
        <v>2334.2618515568884</v>
      </c>
      <c r="O977" t="s">
        <v>76</v>
      </c>
      <c r="P977">
        <v>2019</v>
      </c>
    </row>
    <row r="978" spans="6:16" x14ac:dyDescent="0.25">
      <c r="F978" s="7">
        <v>43711</v>
      </c>
      <c r="G978">
        <v>2.1701301599598467E-2</v>
      </c>
      <c r="I978" s="7">
        <v>43711</v>
      </c>
      <c r="J978">
        <v>10</v>
      </c>
      <c r="K978">
        <v>2413.1999999999998</v>
      </c>
      <c r="L978">
        <v>2565.25</v>
      </c>
      <c r="M978">
        <v>3187.6975058410067</v>
      </c>
      <c r="N978">
        <v>1179.3176458526091</v>
      </c>
      <c r="O978" t="s">
        <v>76</v>
      </c>
      <c r="P978">
        <v>2019</v>
      </c>
    </row>
    <row r="979" spans="6:16" x14ac:dyDescent="0.25">
      <c r="F979" s="7">
        <v>43712</v>
      </c>
      <c r="G979">
        <v>2.5249288402324269E-2</v>
      </c>
      <c r="I979" s="7">
        <v>43712</v>
      </c>
      <c r="J979">
        <v>28</v>
      </c>
      <c r="K979">
        <v>5977.6</v>
      </c>
      <c r="L979">
        <v>1114</v>
      </c>
      <c r="M979">
        <v>3939.2613870427895</v>
      </c>
      <c r="N979">
        <v>1310.5858328435261</v>
      </c>
      <c r="O979" t="s">
        <v>76</v>
      </c>
      <c r="P979">
        <v>2019</v>
      </c>
    </row>
    <row r="980" spans="6:16" x14ac:dyDescent="0.25">
      <c r="F980" s="7">
        <v>43713</v>
      </c>
      <c r="G980">
        <v>2.5892808915897722E-2</v>
      </c>
      <c r="I980" s="7">
        <v>43713</v>
      </c>
      <c r="J980">
        <v>17</v>
      </c>
      <c r="K980">
        <v>3026.17</v>
      </c>
      <c r="L980">
        <v>1823.3</v>
      </c>
      <c r="M980">
        <v>4769.9407085758703</v>
      </c>
      <c r="N980">
        <v>1768.8575658624111</v>
      </c>
      <c r="O980" t="s">
        <v>76</v>
      </c>
      <c r="P980">
        <v>2019</v>
      </c>
    </row>
    <row r="981" spans="6:16" x14ac:dyDescent="0.25">
      <c r="F981" s="7">
        <v>43714</v>
      </c>
      <c r="G981">
        <v>3.2447256339312745E-2</v>
      </c>
      <c r="I981" s="7">
        <v>43714</v>
      </c>
      <c r="J981">
        <v>25</v>
      </c>
      <c r="K981">
        <v>4850.6000000000004</v>
      </c>
      <c r="L981">
        <v>433.9</v>
      </c>
      <c r="M981">
        <v>7342.0610578144588</v>
      </c>
      <c r="N981">
        <v>1363.4029403281161</v>
      </c>
      <c r="O981" t="s">
        <v>76</v>
      </c>
      <c r="P981">
        <v>2019</v>
      </c>
    </row>
    <row r="982" spans="6:16" x14ac:dyDescent="0.25">
      <c r="F982" s="7">
        <v>43715</v>
      </c>
      <c r="G982">
        <v>4.644607379165662E-2</v>
      </c>
      <c r="I982" s="7">
        <v>43715</v>
      </c>
      <c r="J982">
        <v>29</v>
      </c>
      <c r="K982">
        <v>6998.14</v>
      </c>
      <c r="L982">
        <v>745.25</v>
      </c>
      <c r="M982">
        <v>9681.4289430716526</v>
      </c>
      <c r="N982">
        <v>1763.9061254017072</v>
      </c>
      <c r="O982" t="s">
        <v>76</v>
      </c>
      <c r="P982">
        <v>2019</v>
      </c>
    </row>
    <row r="983" spans="6:16" x14ac:dyDescent="0.25">
      <c r="F983" s="7">
        <v>43716</v>
      </c>
      <c r="G983">
        <v>3.5762209901244908E-2</v>
      </c>
      <c r="I983" s="7">
        <v>43716</v>
      </c>
      <c r="J983">
        <v>21</v>
      </c>
      <c r="K983">
        <v>4835.66</v>
      </c>
      <c r="L983">
        <v>324</v>
      </c>
      <c r="M983">
        <v>6382.9999922182005</v>
      </c>
      <c r="N983">
        <v>1200.2240335119113</v>
      </c>
      <c r="O983" t="s">
        <v>76</v>
      </c>
      <c r="P983">
        <v>2019</v>
      </c>
    </row>
    <row r="984" spans="6:16" x14ac:dyDescent="0.25">
      <c r="F984" s="7">
        <v>43717</v>
      </c>
      <c r="G984">
        <v>2.0246417036032843E-2</v>
      </c>
      <c r="I984" s="7">
        <v>43717</v>
      </c>
      <c r="J984">
        <v>6</v>
      </c>
      <c r="K984">
        <v>1900</v>
      </c>
      <c r="L984">
        <v>464.5</v>
      </c>
      <c r="M984">
        <v>4054.4916109646883</v>
      </c>
      <c r="N984">
        <v>771.56134160094132</v>
      </c>
      <c r="O984" t="s">
        <v>76</v>
      </c>
      <c r="P984">
        <v>2019</v>
      </c>
    </row>
    <row r="985" spans="6:16" x14ac:dyDescent="0.25">
      <c r="F985" s="7">
        <v>43718</v>
      </c>
      <c r="G985">
        <v>2.0811171032796182E-2</v>
      </c>
      <c r="I985" s="7">
        <v>43718</v>
      </c>
      <c r="J985">
        <v>9</v>
      </c>
      <c r="K985">
        <v>1631.17</v>
      </c>
      <c r="L985">
        <v>16.5</v>
      </c>
      <c r="M985">
        <v>3345.1417736643461</v>
      </c>
      <c r="N985">
        <v>1052.9160728289148</v>
      </c>
      <c r="O985" t="s">
        <v>76</v>
      </c>
      <c r="P985">
        <v>2019</v>
      </c>
    </row>
    <row r="986" spans="6:16" x14ac:dyDescent="0.25">
      <c r="F986" s="7">
        <v>43719</v>
      </c>
      <c r="G986">
        <v>2.4182926058636915E-2</v>
      </c>
      <c r="I986" s="7">
        <v>43719</v>
      </c>
      <c r="J986">
        <v>28</v>
      </c>
      <c r="K986">
        <v>4682.5200000000004</v>
      </c>
      <c r="L986">
        <v>986.08</v>
      </c>
      <c r="M986">
        <v>3276.022211234003</v>
      </c>
      <c r="N986">
        <v>1240.0530024709717</v>
      </c>
      <c r="O986" t="s">
        <v>76</v>
      </c>
      <c r="P986">
        <v>2019</v>
      </c>
    </row>
    <row r="987" spans="6:16" x14ac:dyDescent="0.25">
      <c r="F987" s="7">
        <v>43720</v>
      </c>
      <c r="G987">
        <v>2.467869807576039E-2</v>
      </c>
      <c r="I987" s="7">
        <v>43720</v>
      </c>
      <c r="J987">
        <v>20</v>
      </c>
      <c r="K987">
        <v>4631.9900000000007</v>
      </c>
      <c r="L987">
        <v>476.15</v>
      </c>
      <c r="M987">
        <v>4327.3007966892528</v>
      </c>
      <c r="N987">
        <v>766.68099801313861</v>
      </c>
      <c r="O987" t="s">
        <v>76</v>
      </c>
      <c r="P987">
        <v>2019</v>
      </c>
    </row>
    <row r="988" spans="6:16" x14ac:dyDescent="0.25">
      <c r="F988" s="7">
        <v>43721</v>
      </c>
      <c r="G988">
        <v>3.111791176442727E-2</v>
      </c>
      <c r="I988" s="7">
        <v>43721</v>
      </c>
      <c r="J988">
        <v>28</v>
      </c>
      <c r="K988">
        <v>8022</v>
      </c>
      <c r="L988">
        <v>972.8</v>
      </c>
      <c r="M988">
        <v>6214.3142472814297</v>
      </c>
      <c r="N988">
        <v>1531.0238471444191</v>
      </c>
      <c r="O988" t="s">
        <v>76</v>
      </c>
      <c r="P988">
        <v>2019</v>
      </c>
    </row>
    <row r="989" spans="6:16" x14ac:dyDescent="0.25">
      <c r="F989" s="7">
        <v>43722</v>
      </c>
      <c r="G989">
        <v>4.5037134410642048E-2</v>
      </c>
      <c r="I989" s="7">
        <v>43722</v>
      </c>
      <c r="J989">
        <v>36</v>
      </c>
      <c r="K989">
        <v>8350.25</v>
      </c>
      <c r="L989">
        <v>2549.8000000000002</v>
      </c>
      <c r="M989">
        <v>9005.0737429467299</v>
      </c>
      <c r="N989">
        <v>1363.3623292660409</v>
      </c>
      <c r="O989" t="s">
        <v>76</v>
      </c>
      <c r="P989">
        <v>2019</v>
      </c>
    </row>
    <row r="990" spans="6:16" x14ac:dyDescent="0.25">
      <c r="F990" s="7">
        <v>43723</v>
      </c>
      <c r="G990">
        <v>3.4311462496546083E-2</v>
      </c>
      <c r="I990" s="7">
        <v>43723</v>
      </c>
      <c r="J990">
        <v>28</v>
      </c>
      <c r="K990">
        <v>4394</v>
      </c>
      <c r="L990">
        <v>2613</v>
      </c>
      <c r="M990">
        <v>6792.7942226241839</v>
      </c>
      <c r="N990">
        <v>1516.8940177548773</v>
      </c>
      <c r="O990" t="s">
        <v>76</v>
      </c>
      <c r="P990">
        <v>2019</v>
      </c>
    </row>
    <row r="991" spans="6:16" x14ac:dyDescent="0.25">
      <c r="F991" s="7">
        <v>43724</v>
      </c>
      <c r="G991">
        <v>1.8792779437058649E-2</v>
      </c>
      <c r="I991" s="7">
        <v>43724</v>
      </c>
      <c r="J991">
        <v>19</v>
      </c>
      <c r="K991">
        <v>3401.7700000000004</v>
      </c>
      <c r="L991">
        <v>1617</v>
      </c>
      <c r="M991">
        <v>4018.2364287085798</v>
      </c>
      <c r="N991">
        <v>683.30863368569715</v>
      </c>
      <c r="O991" t="s">
        <v>76</v>
      </c>
      <c r="P991">
        <v>2019</v>
      </c>
    </row>
    <row r="992" spans="6:16" x14ac:dyDescent="0.25">
      <c r="F992" s="7">
        <v>43725</v>
      </c>
      <c r="G992">
        <v>1.9393663870798373E-2</v>
      </c>
      <c r="I992" s="7">
        <v>43725</v>
      </c>
      <c r="J992">
        <v>13</v>
      </c>
      <c r="K992">
        <v>2794.22</v>
      </c>
      <c r="L992">
        <v>1805.35</v>
      </c>
      <c r="M992">
        <v>3389.5518048192971</v>
      </c>
      <c r="N992">
        <v>854.2967505848585</v>
      </c>
      <c r="O992" t="s">
        <v>76</v>
      </c>
      <c r="P992">
        <v>2019</v>
      </c>
    </row>
    <row r="993" spans="6:16" x14ac:dyDescent="0.25">
      <c r="F993" s="7">
        <v>43726</v>
      </c>
      <c r="G993">
        <v>2.2839661925101493E-2</v>
      </c>
      <c r="I993" s="7">
        <v>43726</v>
      </c>
      <c r="J993">
        <v>16</v>
      </c>
      <c r="K993">
        <v>3435</v>
      </c>
      <c r="L993">
        <v>1256.79</v>
      </c>
      <c r="M993">
        <v>3599.2595551097534</v>
      </c>
      <c r="N993">
        <v>1544.3793974703699</v>
      </c>
      <c r="O993" t="s">
        <v>76</v>
      </c>
      <c r="P993">
        <v>2019</v>
      </c>
    </row>
    <row r="994" spans="6:16" x14ac:dyDescent="0.25">
      <c r="F994" s="7">
        <v>43727</v>
      </c>
      <c r="G994">
        <v>2.3445915850913174E-2</v>
      </c>
      <c r="I994" s="7">
        <v>43727</v>
      </c>
      <c r="J994">
        <v>11</v>
      </c>
      <c r="K994">
        <v>2256.1999999999998</v>
      </c>
      <c r="L994">
        <v>492.8</v>
      </c>
      <c r="M994">
        <v>4159.1611930535</v>
      </c>
      <c r="N994">
        <v>947.60245413026473</v>
      </c>
      <c r="O994" t="s">
        <v>76</v>
      </c>
      <c r="P994">
        <v>2019</v>
      </c>
    </row>
    <row r="995" spans="6:16" x14ac:dyDescent="0.25">
      <c r="F995" s="7">
        <v>43728</v>
      </c>
      <c r="G995">
        <v>3.002908223731483E-2</v>
      </c>
      <c r="I995" s="7">
        <v>43728</v>
      </c>
      <c r="J995">
        <v>20</v>
      </c>
      <c r="K995">
        <v>4759.3500000000004</v>
      </c>
      <c r="L995">
        <v>758.7</v>
      </c>
      <c r="M995">
        <v>6867.9379336639558</v>
      </c>
      <c r="N995">
        <v>1098.2822885648336</v>
      </c>
      <c r="O995" t="s">
        <v>76</v>
      </c>
      <c r="P995">
        <v>2019</v>
      </c>
    </row>
    <row r="996" spans="6:16" x14ac:dyDescent="0.25">
      <c r="F996" s="7">
        <v>43729</v>
      </c>
      <c r="G996">
        <v>4.4122160462399758E-2</v>
      </c>
      <c r="I996" s="7">
        <v>43729</v>
      </c>
      <c r="J996">
        <v>28</v>
      </c>
      <c r="K996">
        <v>7233.75</v>
      </c>
      <c r="L996">
        <v>1270.49</v>
      </c>
      <c r="M996">
        <v>9728.1639507732598</v>
      </c>
      <c r="N996">
        <v>2594.9099831164094</v>
      </c>
      <c r="O996" t="s">
        <v>76</v>
      </c>
      <c r="P996">
        <v>2019</v>
      </c>
    </row>
    <row r="997" spans="6:16" x14ac:dyDescent="0.25">
      <c r="F997" s="7">
        <v>43730</v>
      </c>
      <c r="G997">
        <v>3.3595994313954047E-2</v>
      </c>
      <c r="I997" s="7">
        <v>43730</v>
      </c>
      <c r="J997">
        <v>21</v>
      </c>
      <c r="K997">
        <v>3768.65</v>
      </c>
      <c r="L997">
        <v>212.2</v>
      </c>
      <c r="M997">
        <v>7488.3567842008333</v>
      </c>
      <c r="N997">
        <v>1551.2442077601895</v>
      </c>
      <c r="O997" t="s">
        <v>76</v>
      </c>
      <c r="P997">
        <v>2019</v>
      </c>
    </row>
    <row r="998" spans="6:16" x14ac:dyDescent="0.25">
      <c r="F998" s="7">
        <v>43731</v>
      </c>
      <c r="G998">
        <v>1.8297661259604723E-2</v>
      </c>
      <c r="I998" s="7">
        <v>43731</v>
      </c>
      <c r="J998">
        <v>15</v>
      </c>
      <c r="K998">
        <v>4310</v>
      </c>
      <c r="L998">
        <v>794.8</v>
      </c>
      <c r="M998">
        <v>4284.8012015516442</v>
      </c>
      <c r="N998">
        <v>882.64882979585877</v>
      </c>
      <c r="O998" t="s">
        <v>76</v>
      </c>
      <c r="P998">
        <v>2019</v>
      </c>
    </row>
    <row r="999" spans="6:16" x14ac:dyDescent="0.25">
      <c r="F999" s="7">
        <v>43732</v>
      </c>
      <c r="G999">
        <v>1.9134524791155239E-2</v>
      </c>
      <c r="I999" s="7">
        <v>43732</v>
      </c>
      <c r="J999">
        <v>13</v>
      </c>
      <c r="K999">
        <v>2657.8999999999996</v>
      </c>
      <c r="L999">
        <v>3763.5</v>
      </c>
      <c r="M999">
        <v>4126.415977435091</v>
      </c>
      <c r="N999">
        <v>1177.671962353392</v>
      </c>
      <c r="O999" t="s">
        <v>76</v>
      </c>
      <c r="P999">
        <v>2019</v>
      </c>
    </row>
    <row r="1000" spans="6:16" x14ac:dyDescent="0.25">
      <c r="F1000" s="7">
        <v>43733</v>
      </c>
      <c r="G1000">
        <v>2.2826658903950275E-2</v>
      </c>
      <c r="I1000" s="7">
        <v>43733</v>
      </c>
      <c r="J1000">
        <v>5</v>
      </c>
      <c r="K1000">
        <v>1142</v>
      </c>
      <c r="L1000">
        <v>2100.5</v>
      </c>
      <c r="M1000">
        <v>3730.7700026173893</v>
      </c>
      <c r="N1000">
        <v>847.87423218044535</v>
      </c>
      <c r="O1000" t="s">
        <v>76</v>
      </c>
      <c r="P1000">
        <v>2019</v>
      </c>
    </row>
    <row r="1001" spans="6:16" x14ac:dyDescent="0.25">
      <c r="F1001" s="7">
        <v>43734</v>
      </c>
      <c r="G1001">
        <v>2.3683632437179272E-2</v>
      </c>
      <c r="I1001" s="7">
        <v>43734</v>
      </c>
      <c r="J1001">
        <v>13</v>
      </c>
      <c r="K1001">
        <v>3009.4999999999995</v>
      </c>
      <c r="L1001">
        <v>1816.4</v>
      </c>
      <c r="M1001">
        <v>4992.703240207019</v>
      </c>
      <c r="N1001">
        <v>1211.9341066956677</v>
      </c>
      <c r="O1001" t="s">
        <v>76</v>
      </c>
      <c r="P1001">
        <v>2019</v>
      </c>
    </row>
    <row r="1002" spans="6:16" x14ac:dyDescent="0.25">
      <c r="F1002" s="7">
        <v>43735</v>
      </c>
      <c r="G1002">
        <v>3.0516582015799435E-2</v>
      </c>
      <c r="I1002" s="7">
        <v>43735</v>
      </c>
      <c r="J1002">
        <v>17</v>
      </c>
      <c r="K1002">
        <v>3424.05</v>
      </c>
      <c r="L1002">
        <v>735</v>
      </c>
      <c r="M1002">
        <v>7110.7848398464685</v>
      </c>
      <c r="N1002">
        <v>1670.9725523539757</v>
      </c>
      <c r="O1002" t="s">
        <v>76</v>
      </c>
      <c r="P1002">
        <v>2019</v>
      </c>
    </row>
    <row r="1003" spans="6:16" x14ac:dyDescent="0.25">
      <c r="F1003" s="7">
        <v>43736</v>
      </c>
      <c r="G1003">
        <v>4.4853189749323716E-2</v>
      </c>
      <c r="I1003" s="7">
        <v>43736</v>
      </c>
      <c r="J1003">
        <v>27</v>
      </c>
      <c r="K1003">
        <v>6382.15</v>
      </c>
      <c r="L1003">
        <v>855</v>
      </c>
      <c r="M1003">
        <v>8568.850652235149</v>
      </c>
      <c r="N1003">
        <v>924.99260300537799</v>
      </c>
      <c r="O1003" t="s">
        <v>76</v>
      </c>
      <c r="P1003">
        <v>2019</v>
      </c>
    </row>
    <row r="1004" spans="6:16" x14ac:dyDescent="0.25">
      <c r="F1004" s="7">
        <v>43737</v>
      </c>
      <c r="G1004">
        <v>3.4559324430356697E-2</v>
      </c>
      <c r="I1004" s="7">
        <v>43737</v>
      </c>
      <c r="J1004">
        <v>33</v>
      </c>
      <c r="K1004">
        <v>6304.67</v>
      </c>
      <c r="L1004">
        <v>780.34</v>
      </c>
      <c r="M1004">
        <v>6692.841148300814</v>
      </c>
      <c r="N1004">
        <v>1282.6808605151296</v>
      </c>
      <c r="O1004" t="s">
        <v>76</v>
      </c>
      <c r="P1004">
        <v>2019</v>
      </c>
    </row>
    <row r="1005" spans="6:16" x14ac:dyDescent="0.25">
      <c r="F1005" s="7">
        <v>43738</v>
      </c>
      <c r="G1005">
        <v>1.9477556806951058E-2</v>
      </c>
      <c r="I1005" s="7">
        <v>43738</v>
      </c>
      <c r="J1005">
        <v>18</v>
      </c>
      <c r="K1005">
        <v>2618.98</v>
      </c>
      <c r="L1005">
        <v>329</v>
      </c>
      <c r="M1005">
        <v>3582.1635613998224</v>
      </c>
      <c r="N1005">
        <v>609.76367863787982</v>
      </c>
      <c r="O1005" t="s">
        <v>76</v>
      </c>
      <c r="P1005">
        <v>2019</v>
      </c>
    </row>
    <row r="1006" spans="6:16" x14ac:dyDescent="0.25">
      <c r="F1006" s="7">
        <v>43739</v>
      </c>
      <c r="G1006">
        <v>2.0511321017885588E-2</v>
      </c>
      <c r="I1006" s="7">
        <v>43739</v>
      </c>
      <c r="J1006">
        <v>19</v>
      </c>
      <c r="K1006">
        <v>3118.6000000000004</v>
      </c>
      <c r="L1006">
        <v>590.79999999999995</v>
      </c>
      <c r="M1006">
        <v>3219.5917724370929</v>
      </c>
      <c r="N1006">
        <v>893.94206179368007</v>
      </c>
      <c r="O1006" t="s">
        <v>76</v>
      </c>
      <c r="P1006">
        <v>2019</v>
      </c>
    </row>
    <row r="1007" spans="6:16" x14ac:dyDescent="0.25">
      <c r="F1007" s="7">
        <v>43740</v>
      </c>
      <c r="G1007">
        <v>2.4377428421287931E-2</v>
      </c>
      <c r="I1007" s="7">
        <v>43740</v>
      </c>
      <c r="J1007">
        <v>16</v>
      </c>
      <c r="K1007">
        <v>3574.2</v>
      </c>
      <c r="L1007">
        <v>944.5</v>
      </c>
      <c r="M1007">
        <v>3327.1346148001594</v>
      </c>
      <c r="N1007">
        <v>1123.9785528931693</v>
      </c>
      <c r="O1007" t="s">
        <v>76</v>
      </c>
      <c r="P1007">
        <v>2019</v>
      </c>
    </row>
    <row r="1008" spans="6:16" x14ac:dyDescent="0.25">
      <c r="F1008" s="7">
        <v>43741</v>
      </c>
      <c r="G1008">
        <v>2.5382919262631962E-2</v>
      </c>
      <c r="I1008" s="7">
        <v>43741</v>
      </c>
      <c r="J1008">
        <v>20</v>
      </c>
      <c r="K1008">
        <v>4553.8999999999996</v>
      </c>
      <c r="L1008">
        <v>2902</v>
      </c>
      <c r="M1008">
        <v>4716.9308629997913</v>
      </c>
      <c r="N1008">
        <v>803.4008544962486</v>
      </c>
      <c r="O1008" t="s">
        <v>76</v>
      </c>
      <c r="P1008">
        <v>2019</v>
      </c>
    </row>
    <row r="1009" spans="6:16" x14ac:dyDescent="0.25">
      <c r="F1009" s="7">
        <v>43742</v>
      </c>
      <c r="G1009">
        <v>3.2337179562635064E-2</v>
      </c>
      <c r="I1009" s="7">
        <v>43742</v>
      </c>
      <c r="J1009">
        <v>17</v>
      </c>
      <c r="K1009">
        <v>3048.5999999999995</v>
      </c>
      <c r="L1009">
        <v>2860.3</v>
      </c>
      <c r="M1009">
        <v>6796.5273058770472</v>
      </c>
      <c r="N1009">
        <v>2154.2214367483512</v>
      </c>
      <c r="O1009" t="s">
        <v>76</v>
      </c>
      <c r="P1009">
        <v>2019</v>
      </c>
    </row>
    <row r="1010" spans="6:16" x14ac:dyDescent="0.25">
      <c r="F1010" s="7">
        <v>43743</v>
      </c>
      <c r="G1010">
        <v>4.6766938531822955E-2</v>
      </c>
      <c r="I1010" s="7">
        <v>43743</v>
      </c>
      <c r="J1010">
        <v>31</v>
      </c>
      <c r="K1010">
        <v>7900.1900000000005</v>
      </c>
      <c r="L1010">
        <v>1299</v>
      </c>
      <c r="M1010">
        <v>9432.3813599350487</v>
      </c>
      <c r="N1010">
        <v>3125.2777972550493</v>
      </c>
      <c r="O1010" t="s">
        <v>76</v>
      </c>
      <c r="P1010">
        <v>2019</v>
      </c>
    </row>
    <row r="1011" spans="6:16" x14ac:dyDescent="0.25">
      <c r="F1011" s="7">
        <v>43744</v>
      </c>
      <c r="G1011">
        <v>3.9703127965370025E-2</v>
      </c>
      <c r="I1011" s="7">
        <v>43744</v>
      </c>
      <c r="J1011">
        <v>25</v>
      </c>
      <c r="K1011">
        <v>6338.15</v>
      </c>
      <c r="L1011">
        <v>333</v>
      </c>
      <c r="M1011">
        <v>7142.6551007033859</v>
      </c>
      <c r="N1011">
        <v>1620.9896303749229</v>
      </c>
      <c r="O1011" t="s">
        <v>77</v>
      </c>
      <c r="P1011">
        <v>2019</v>
      </c>
    </row>
    <row r="1012" spans="6:16" x14ac:dyDescent="0.25">
      <c r="F1012" s="7">
        <v>43745</v>
      </c>
      <c r="G1012">
        <v>2.3355183026883098E-2</v>
      </c>
      <c r="I1012" s="7">
        <v>43745</v>
      </c>
      <c r="J1012">
        <v>11</v>
      </c>
      <c r="K1012">
        <v>2256.6</v>
      </c>
      <c r="L1012">
        <v>500.1</v>
      </c>
      <c r="M1012">
        <v>4737.8124259047318</v>
      </c>
      <c r="N1012">
        <v>1189.2326730183961</v>
      </c>
      <c r="O1012" t="s">
        <v>77</v>
      </c>
      <c r="P1012">
        <v>2019</v>
      </c>
    </row>
    <row r="1013" spans="6:16" x14ac:dyDescent="0.25">
      <c r="F1013" s="7">
        <v>43746</v>
      </c>
      <c r="G1013">
        <v>2.4490152742220692E-2</v>
      </c>
      <c r="I1013" s="7">
        <v>43746</v>
      </c>
      <c r="J1013">
        <v>14</v>
      </c>
      <c r="K1013">
        <v>3660.95</v>
      </c>
      <c r="L1013">
        <v>667.5</v>
      </c>
      <c r="M1013">
        <v>3719.9448663515013</v>
      </c>
      <c r="N1013">
        <v>1134.3239802578169</v>
      </c>
      <c r="O1013" t="s">
        <v>77</v>
      </c>
      <c r="P1013">
        <v>2019</v>
      </c>
    </row>
    <row r="1014" spans="6:16" x14ac:dyDescent="0.25">
      <c r="F1014" s="7">
        <v>43747</v>
      </c>
      <c r="G1014">
        <v>2.8676279906075641E-2</v>
      </c>
      <c r="I1014" s="7">
        <v>43747</v>
      </c>
      <c r="J1014">
        <v>18</v>
      </c>
      <c r="K1014">
        <v>4320.2</v>
      </c>
      <c r="L1014">
        <v>84.75</v>
      </c>
      <c r="M1014">
        <v>4858.6320572560153</v>
      </c>
      <c r="N1014">
        <v>1181.3743541110339</v>
      </c>
      <c r="O1014" t="s">
        <v>77</v>
      </c>
      <c r="P1014">
        <v>2019</v>
      </c>
    </row>
    <row r="1015" spans="6:16" x14ac:dyDescent="0.25">
      <c r="F1015" s="7">
        <v>43748</v>
      </c>
      <c r="G1015">
        <v>2.9730170192129684E-2</v>
      </c>
      <c r="I1015" s="7">
        <v>43748</v>
      </c>
      <c r="J1015">
        <v>14</v>
      </c>
      <c r="K1015">
        <v>3114.2</v>
      </c>
      <c r="L1015">
        <v>498</v>
      </c>
      <c r="M1015">
        <v>5139.0228450675586</v>
      </c>
      <c r="N1015">
        <v>2436.2719680887458</v>
      </c>
      <c r="O1015" t="s">
        <v>77</v>
      </c>
      <c r="P1015">
        <v>2019</v>
      </c>
    </row>
    <row r="1016" spans="6:16" x14ac:dyDescent="0.25">
      <c r="F1016" s="7">
        <v>43749</v>
      </c>
      <c r="G1016">
        <v>3.72275836228333E-2</v>
      </c>
      <c r="I1016" s="7">
        <v>43749</v>
      </c>
      <c r="J1016">
        <v>25</v>
      </c>
      <c r="K1016">
        <v>4154.8500000000004</v>
      </c>
      <c r="L1016">
        <v>708.5</v>
      </c>
      <c r="M1016">
        <v>7226.5934707454799</v>
      </c>
      <c r="N1016">
        <v>3130.1986890561207</v>
      </c>
      <c r="O1016" t="s">
        <v>77</v>
      </c>
      <c r="P1016">
        <v>2019</v>
      </c>
    </row>
    <row r="1017" spans="6:16" x14ac:dyDescent="0.25">
      <c r="F1017" s="7">
        <v>43750</v>
      </c>
      <c r="G1017">
        <v>5.2831107007725871E-2</v>
      </c>
      <c r="I1017" s="7">
        <v>43750</v>
      </c>
      <c r="J1017">
        <v>45</v>
      </c>
      <c r="K1017">
        <v>8890.7899999999991</v>
      </c>
      <c r="L1017">
        <v>1340.6</v>
      </c>
      <c r="M1017">
        <v>9501.9678140105971</v>
      </c>
      <c r="N1017">
        <v>3010.5255236558796</v>
      </c>
      <c r="O1017" t="s">
        <v>77</v>
      </c>
      <c r="P1017">
        <v>2019</v>
      </c>
    </row>
    <row r="1018" spans="6:16" x14ac:dyDescent="0.25">
      <c r="F1018" s="7">
        <v>43751</v>
      </c>
      <c r="G1018">
        <v>4.1626541933461055E-2</v>
      </c>
      <c r="I1018" s="7">
        <v>43751</v>
      </c>
      <c r="J1018">
        <v>29</v>
      </c>
      <c r="K1018">
        <v>6491.5999999999995</v>
      </c>
      <c r="L1018">
        <v>1427.8</v>
      </c>
      <c r="M1018">
        <v>8667.4024925362737</v>
      </c>
      <c r="N1018">
        <v>2039.2257932932214</v>
      </c>
      <c r="O1018" t="s">
        <v>77</v>
      </c>
      <c r="P1018">
        <v>2019</v>
      </c>
    </row>
    <row r="1019" spans="6:16" x14ac:dyDescent="0.25">
      <c r="F1019" s="7">
        <v>43752</v>
      </c>
      <c r="G1019">
        <v>2.517998802547472E-2</v>
      </c>
      <c r="I1019" s="7">
        <v>43752</v>
      </c>
      <c r="J1019">
        <v>15</v>
      </c>
      <c r="K1019">
        <v>3990.2</v>
      </c>
      <c r="L1019">
        <v>1174.5</v>
      </c>
      <c r="M1019">
        <v>4273.1788608333864</v>
      </c>
      <c r="N1019">
        <v>1101.8554928824224</v>
      </c>
      <c r="O1019" t="s">
        <v>77</v>
      </c>
      <c r="P1019">
        <v>2019</v>
      </c>
    </row>
    <row r="1020" spans="6:16" x14ac:dyDescent="0.25">
      <c r="F1020" s="7">
        <v>43753</v>
      </c>
      <c r="G1020">
        <v>2.6211054085036722E-2</v>
      </c>
      <c r="I1020" s="7">
        <v>43753</v>
      </c>
      <c r="J1020">
        <v>20</v>
      </c>
      <c r="K1020">
        <v>5401.6</v>
      </c>
      <c r="L1020">
        <v>1294.5</v>
      </c>
      <c r="M1020">
        <v>3928.1523853121685</v>
      </c>
      <c r="N1020">
        <v>1387.3139638956577</v>
      </c>
      <c r="O1020" t="s">
        <v>77</v>
      </c>
      <c r="P1020">
        <v>2019</v>
      </c>
    </row>
    <row r="1021" spans="6:16" x14ac:dyDescent="0.25">
      <c r="F1021" s="7">
        <v>43754</v>
      </c>
      <c r="G1021">
        <v>3.0291729968320181E-2</v>
      </c>
      <c r="I1021" s="7">
        <v>43754</v>
      </c>
      <c r="J1021">
        <v>27</v>
      </c>
      <c r="K1021">
        <v>5229</v>
      </c>
      <c r="L1021">
        <v>1197.75</v>
      </c>
      <c r="M1021">
        <v>4520.3153653113395</v>
      </c>
      <c r="N1021">
        <v>1366.8610730798878</v>
      </c>
      <c r="O1021" t="s">
        <v>77</v>
      </c>
      <c r="P1021">
        <v>2019</v>
      </c>
    </row>
    <row r="1022" spans="6:16" x14ac:dyDescent="0.25">
      <c r="F1022" s="7">
        <v>43755</v>
      </c>
      <c r="G1022">
        <v>3.1242086713848035E-2</v>
      </c>
      <c r="I1022" s="7">
        <v>43755</v>
      </c>
      <c r="J1022">
        <v>23</v>
      </c>
      <c r="K1022">
        <v>5082.2700000000004</v>
      </c>
      <c r="L1022">
        <v>314</v>
      </c>
      <c r="M1022">
        <v>5224.4867237811068</v>
      </c>
      <c r="N1022">
        <v>1116.3497845202039</v>
      </c>
      <c r="O1022" t="s">
        <v>77</v>
      </c>
      <c r="P1022">
        <v>2019</v>
      </c>
    </row>
    <row r="1023" spans="6:16" x14ac:dyDescent="0.25">
      <c r="F1023" s="7">
        <v>43756</v>
      </c>
      <c r="G1023">
        <v>3.8640959943518467E-2</v>
      </c>
      <c r="I1023" s="7">
        <v>43756</v>
      </c>
      <c r="J1023">
        <v>30</v>
      </c>
      <c r="K1023">
        <v>5842.77</v>
      </c>
      <c r="L1023">
        <v>2209.5</v>
      </c>
      <c r="M1023">
        <v>7600.0570009298308</v>
      </c>
      <c r="N1023">
        <v>2129.7783129245918</v>
      </c>
      <c r="O1023" t="s">
        <v>77</v>
      </c>
      <c r="P1023">
        <v>2019</v>
      </c>
    </row>
    <row r="1024" spans="6:16" x14ac:dyDescent="0.25">
      <c r="F1024" s="7">
        <v>43757</v>
      </c>
      <c r="G1024">
        <v>5.4153530081785542E-2</v>
      </c>
      <c r="I1024" s="7">
        <v>43757</v>
      </c>
      <c r="J1024">
        <v>30</v>
      </c>
      <c r="K1024">
        <v>7100.67</v>
      </c>
      <c r="L1024">
        <v>1745.99</v>
      </c>
      <c r="M1024">
        <v>9537.064672588087</v>
      </c>
      <c r="N1024">
        <v>1872.258083423148</v>
      </c>
      <c r="O1024" t="s">
        <v>77</v>
      </c>
      <c r="P1024">
        <v>2019</v>
      </c>
    </row>
    <row r="1025" spans="6:16" x14ac:dyDescent="0.25">
      <c r="F1025" s="7">
        <v>43758</v>
      </c>
      <c r="G1025">
        <v>4.286763648873184E-2</v>
      </c>
      <c r="I1025" s="7">
        <v>43758</v>
      </c>
      <c r="J1025">
        <v>24</v>
      </c>
      <c r="K1025">
        <v>5418.8899999999994</v>
      </c>
      <c r="L1025">
        <v>433.55</v>
      </c>
      <c r="M1025">
        <v>7506.5021912625634</v>
      </c>
      <c r="N1025">
        <v>5122.9708682518267</v>
      </c>
      <c r="O1025" t="s">
        <v>77</v>
      </c>
      <c r="P1025">
        <v>2019</v>
      </c>
    </row>
    <row r="1026" spans="6:16" x14ac:dyDescent="0.25">
      <c r="F1026" s="7">
        <v>43759</v>
      </c>
      <c r="G1026">
        <v>2.6350807458022124E-2</v>
      </c>
      <c r="I1026" s="7">
        <v>43759</v>
      </c>
      <c r="J1026">
        <v>25</v>
      </c>
      <c r="K1026">
        <v>4641.92</v>
      </c>
      <c r="L1026">
        <v>389.5</v>
      </c>
      <c r="M1026">
        <v>5681.1427469428399</v>
      </c>
      <c r="N1026">
        <v>2551.2999193978294</v>
      </c>
      <c r="O1026" t="s">
        <v>77</v>
      </c>
      <c r="P1026">
        <v>2019</v>
      </c>
    </row>
    <row r="1027" spans="6:16" x14ac:dyDescent="0.25">
      <c r="F1027" s="7">
        <v>43760</v>
      </c>
      <c r="G1027">
        <v>2.7323440062930571E-2</v>
      </c>
      <c r="I1027" s="7">
        <v>43760</v>
      </c>
      <c r="J1027">
        <v>14</v>
      </c>
      <c r="K1027">
        <v>4283.6000000000004</v>
      </c>
      <c r="L1027">
        <v>310.89999999999998</v>
      </c>
      <c r="M1027">
        <v>3887.1920678410856</v>
      </c>
      <c r="N1027">
        <v>2071.8064286077602</v>
      </c>
      <c r="O1027" t="s">
        <v>77</v>
      </c>
      <c r="P1027">
        <v>2019</v>
      </c>
    </row>
    <row r="1028" spans="6:16" x14ac:dyDescent="0.25">
      <c r="F1028" s="7">
        <v>43761</v>
      </c>
      <c r="G1028">
        <v>3.1357663406800934E-2</v>
      </c>
      <c r="I1028" s="7">
        <v>43761</v>
      </c>
      <c r="J1028">
        <v>22</v>
      </c>
      <c r="K1028">
        <v>4443.49</v>
      </c>
      <c r="L1028">
        <v>1321</v>
      </c>
      <c r="M1028">
        <v>3837.0082398312011</v>
      </c>
      <c r="N1028">
        <v>875.95437279077066</v>
      </c>
      <c r="O1028" t="s">
        <v>77</v>
      </c>
      <c r="P1028">
        <v>2019</v>
      </c>
    </row>
    <row r="1029" spans="6:16" x14ac:dyDescent="0.25">
      <c r="F1029" s="7">
        <v>43762</v>
      </c>
      <c r="G1029">
        <v>3.2273052840603569E-2</v>
      </c>
      <c r="I1029" s="7">
        <v>43762</v>
      </c>
      <c r="J1029">
        <v>22</v>
      </c>
      <c r="K1029">
        <v>4119.7</v>
      </c>
      <c r="L1029">
        <v>1532.8</v>
      </c>
      <c r="M1029">
        <v>4950.0308365152268</v>
      </c>
      <c r="N1029">
        <v>2750.7077146800111</v>
      </c>
      <c r="O1029" t="s">
        <v>77</v>
      </c>
      <c r="P1029">
        <v>2019</v>
      </c>
    </row>
    <row r="1030" spans="6:16" x14ac:dyDescent="0.25">
      <c r="F1030" s="7">
        <v>43763</v>
      </c>
      <c r="G1030">
        <v>3.9647349370456955E-2</v>
      </c>
      <c r="I1030" s="7">
        <v>43763</v>
      </c>
      <c r="J1030">
        <v>21</v>
      </c>
      <c r="K1030">
        <v>4884.2</v>
      </c>
      <c r="L1030">
        <v>1036</v>
      </c>
      <c r="M1030">
        <v>8040.9562072425297</v>
      </c>
      <c r="N1030">
        <v>1264.4700046413411</v>
      </c>
      <c r="O1030" t="s">
        <v>77</v>
      </c>
      <c r="P1030">
        <v>2019</v>
      </c>
    </row>
    <row r="1031" spans="6:16" x14ac:dyDescent="0.25">
      <c r="F1031" s="7">
        <v>43764</v>
      </c>
      <c r="G1031">
        <v>5.5144096525808865E-2</v>
      </c>
      <c r="I1031" s="7">
        <v>43764</v>
      </c>
      <c r="J1031">
        <v>36</v>
      </c>
      <c r="K1031">
        <v>8977.2000000000007</v>
      </c>
      <c r="L1031">
        <v>1659.5</v>
      </c>
      <c r="M1031">
        <v>9630.9291719856519</v>
      </c>
      <c r="N1031">
        <v>3895.4686201287764</v>
      </c>
      <c r="O1031" t="s">
        <v>77</v>
      </c>
      <c r="P1031">
        <v>2019</v>
      </c>
    </row>
    <row r="1032" spans="6:16" x14ac:dyDescent="0.25">
      <c r="F1032" s="7">
        <v>43765</v>
      </c>
      <c r="G1032">
        <v>4.3849029588152753E-2</v>
      </c>
      <c r="I1032" s="7">
        <v>43765</v>
      </c>
      <c r="J1032">
        <v>36</v>
      </c>
      <c r="K1032">
        <v>4894.2</v>
      </c>
      <c r="L1032">
        <v>1736.5</v>
      </c>
      <c r="M1032">
        <v>6890.065602394372</v>
      </c>
      <c r="N1032">
        <v>1258.1120791683265</v>
      </c>
      <c r="O1032" t="s">
        <v>77</v>
      </c>
      <c r="P1032">
        <v>2019</v>
      </c>
    </row>
    <row r="1033" spans="6:16" x14ac:dyDescent="0.25">
      <c r="F1033" s="7">
        <v>43766</v>
      </c>
      <c r="G1033">
        <v>2.7327196759456437E-2</v>
      </c>
      <c r="I1033" s="7">
        <v>43766</v>
      </c>
      <c r="J1033">
        <v>20</v>
      </c>
      <c r="K1033">
        <v>3865.5699999999997</v>
      </c>
      <c r="L1033">
        <v>808</v>
      </c>
      <c r="M1033">
        <v>4901.5675987669038</v>
      </c>
      <c r="N1033">
        <v>1102.3432368781084</v>
      </c>
      <c r="O1033" t="s">
        <v>77</v>
      </c>
      <c r="P1033">
        <v>2019</v>
      </c>
    </row>
    <row r="1034" spans="6:16" x14ac:dyDescent="0.25">
      <c r="F1034" s="7">
        <v>43767</v>
      </c>
      <c r="G1034">
        <v>2.8296242966741613E-2</v>
      </c>
      <c r="I1034" s="7">
        <v>43767</v>
      </c>
      <c r="J1034">
        <v>12</v>
      </c>
      <c r="K1034">
        <v>3039</v>
      </c>
      <c r="L1034">
        <v>982</v>
      </c>
      <c r="M1034">
        <v>4127.2727227581654</v>
      </c>
      <c r="N1034">
        <v>1837.1923028649583</v>
      </c>
      <c r="O1034" t="s">
        <v>77</v>
      </c>
      <c r="P1034">
        <v>2019</v>
      </c>
    </row>
    <row r="1035" spans="6:16" x14ac:dyDescent="0.25">
      <c r="F1035" s="7">
        <v>43768</v>
      </c>
      <c r="G1035">
        <v>3.2325386473887358E-2</v>
      </c>
      <c r="I1035" s="7">
        <v>43768</v>
      </c>
      <c r="J1035">
        <v>18</v>
      </c>
      <c r="K1035">
        <v>3917.4</v>
      </c>
      <c r="L1035">
        <v>241.1</v>
      </c>
      <c r="M1035">
        <v>3980.6656044362758</v>
      </c>
      <c r="N1035">
        <v>957.32135242480365</v>
      </c>
      <c r="O1035" t="s">
        <v>77</v>
      </c>
      <c r="P1035">
        <v>2019</v>
      </c>
    </row>
    <row r="1036" spans="6:16" x14ac:dyDescent="0.25">
      <c r="F1036" s="7">
        <v>43769</v>
      </c>
      <c r="G1036">
        <v>3.3231252147248383E-2</v>
      </c>
      <c r="I1036" s="7">
        <v>43769</v>
      </c>
      <c r="J1036">
        <v>16</v>
      </c>
      <c r="K1036">
        <v>4076.83</v>
      </c>
      <c r="L1036">
        <v>382.5</v>
      </c>
      <c r="M1036">
        <v>4264.6723885272695</v>
      </c>
      <c r="N1036">
        <v>1723.5839520222298</v>
      </c>
      <c r="O1036" t="s">
        <v>77</v>
      </c>
      <c r="P1036">
        <v>2019</v>
      </c>
    </row>
    <row r="1037" spans="6:16" x14ac:dyDescent="0.25">
      <c r="F1037" s="7">
        <v>43770</v>
      </c>
      <c r="G1037">
        <v>4.0588711677780054E-2</v>
      </c>
      <c r="I1037" s="7">
        <v>43770</v>
      </c>
      <c r="J1037">
        <v>21</v>
      </c>
      <c r="K1037">
        <v>3240.2</v>
      </c>
      <c r="L1037">
        <v>105</v>
      </c>
      <c r="M1037">
        <v>7490.1220623849331</v>
      </c>
      <c r="N1037">
        <v>1880.4395742024819</v>
      </c>
      <c r="O1037" t="s">
        <v>77</v>
      </c>
      <c r="P1037">
        <v>2019</v>
      </c>
    </row>
    <row r="1038" spans="6:16" x14ac:dyDescent="0.25">
      <c r="F1038" s="7">
        <v>43771</v>
      </c>
      <c r="G1038">
        <v>5.6058639018695657E-2</v>
      </c>
      <c r="I1038" s="7">
        <v>43771</v>
      </c>
      <c r="J1038">
        <v>43</v>
      </c>
      <c r="K1038">
        <v>9734.6</v>
      </c>
      <c r="L1038">
        <v>1401.5</v>
      </c>
      <c r="M1038">
        <v>9777.4864777794919</v>
      </c>
      <c r="N1038">
        <v>1545.1802513587252</v>
      </c>
      <c r="O1038" t="s">
        <v>77</v>
      </c>
      <c r="P1038">
        <v>2019</v>
      </c>
    </row>
    <row r="1039" spans="6:16" x14ac:dyDescent="0.25">
      <c r="F1039" s="7">
        <v>43772</v>
      </c>
      <c r="G1039">
        <v>4.3245500105503133E-2</v>
      </c>
      <c r="I1039" s="7">
        <v>43772</v>
      </c>
      <c r="J1039">
        <v>32</v>
      </c>
      <c r="K1039">
        <v>7473.2000000000007</v>
      </c>
      <c r="L1039">
        <v>1219</v>
      </c>
      <c r="M1039">
        <v>7748.8858212982468</v>
      </c>
      <c r="N1039">
        <v>1699.7528999817951</v>
      </c>
      <c r="O1039" t="s">
        <v>78</v>
      </c>
      <c r="P1039">
        <v>2019</v>
      </c>
    </row>
    <row r="1040" spans="6:16" x14ac:dyDescent="0.25">
      <c r="F1040" s="7">
        <v>43773</v>
      </c>
      <c r="G1040">
        <v>2.7218323707693861E-2</v>
      </c>
      <c r="I1040" s="7">
        <v>43773</v>
      </c>
      <c r="J1040">
        <v>24</v>
      </c>
      <c r="K1040">
        <v>4430.97</v>
      </c>
      <c r="L1040">
        <v>257</v>
      </c>
      <c r="M1040">
        <v>3838.0007848971013</v>
      </c>
      <c r="N1040">
        <v>1571.9459215829431</v>
      </c>
      <c r="O1040" t="s">
        <v>78</v>
      </c>
      <c r="P1040">
        <v>2019</v>
      </c>
    </row>
    <row r="1041" spans="6:16" x14ac:dyDescent="0.25">
      <c r="F1041" s="7">
        <v>43774</v>
      </c>
      <c r="G1041">
        <v>2.8088452157298199E-2</v>
      </c>
      <c r="I1041" s="7">
        <v>43774</v>
      </c>
      <c r="J1041">
        <v>16</v>
      </c>
      <c r="K1041">
        <v>3065.79</v>
      </c>
      <c r="L1041">
        <v>739.78</v>
      </c>
      <c r="M1041">
        <v>4150.2154688237906</v>
      </c>
      <c r="N1041">
        <v>876.58068270445278</v>
      </c>
      <c r="O1041" t="s">
        <v>78</v>
      </c>
      <c r="P1041">
        <v>2019</v>
      </c>
    </row>
    <row r="1042" spans="6:16" x14ac:dyDescent="0.25">
      <c r="F1042" s="7">
        <v>43775</v>
      </c>
      <c r="G1042">
        <v>3.1901459587595452E-2</v>
      </c>
      <c r="I1042" s="7">
        <v>43775</v>
      </c>
      <c r="J1042">
        <v>14</v>
      </c>
      <c r="K1042">
        <v>2899.79</v>
      </c>
      <c r="L1042">
        <v>261.75</v>
      </c>
      <c r="M1042">
        <v>4930.0499580206169</v>
      </c>
      <c r="N1042">
        <v>2399.5191406102363</v>
      </c>
      <c r="O1042" t="s">
        <v>78</v>
      </c>
      <c r="P1042">
        <v>2019</v>
      </c>
    </row>
    <row r="1043" spans="6:16" x14ac:dyDescent="0.25">
      <c r="F1043" s="7">
        <v>43776</v>
      </c>
      <c r="G1043">
        <v>3.2678220873598084E-2</v>
      </c>
      <c r="I1043" s="7">
        <v>43776</v>
      </c>
      <c r="J1043">
        <v>16</v>
      </c>
      <c r="K1043">
        <v>2516</v>
      </c>
      <c r="L1043">
        <v>585</v>
      </c>
      <c r="M1043">
        <v>4999.6694656359523</v>
      </c>
      <c r="N1043">
        <v>2039.0675510840551</v>
      </c>
      <c r="O1043" t="s">
        <v>78</v>
      </c>
      <c r="P1043">
        <v>2019</v>
      </c>
    </row>
    <row r="1044" spans="6:16" x14ac:dyDescent="0.25">
      <c r="F1044" s="7">
        <v>43777</v>
      </c>
      <c r="G1044">
        <v>3.9677422993824575E-2</v>
      </c>
      <c r="I1044" s="7">
        <v>43777</v>
      </c>
      <c r="J1044">
        <v>28</v>
      </c>
      <c r="K1044">
        <v>6523</v>
      </c>
      <c r="L1044">
        <v>668</v>
      </c>
      <c r="M1044">
        <v>7447.8257332401317</v>
      </c>
      <c r="N1044">
        <v>2473.9021816123877</v>
      </c>
      <c r="O1044" t="s">
        <v>78</v>
      </c>
      <c r="P1044">
        <v>2019</v>
      </c>
    </row>
    <row r="1045" spans="6:16" x14ac:dyDescent="0.25">
      <c r="F1045" s="7">
        <v>43778</v>
      </c>
      <c r="G1045">
        <v>5.4506108719757383E-2</v>
      </c>
      <c r="I1045" s="7">
        <v>43778</v>
      </c>
      <c r="J1045">
        <v>37</v>
      </c>
      <c r="K1045">
        <v>8726.65</v>
      </c>
      <c r="L1045">
        <v>3559.48</v>
      </c>
      <c r="M1045">
        <v>8937.46129226228</v>
      </c>
      <c r="N1045">
        <v>1641.5697847391298</v>
      </c>
      <c r="O1045" t="s">
        <v>78</v>
      </c>
      <c r="P1045">
        <v>2019</v>
      </c>
    </row>
    <row r="1046" spans="6:16" x14ac:dyDescent="0.25">
      <c r="F1046" s="7">
        <v>43779</v>
      </c>
      <c r="G1046">
        <v>4.340399211368804E-2</v>
      </c>
      <c r="I1046" s="7">
        <v>43779</v>
      </c>
      <c r="J1046">
        <v>37</v>
      </c>
      <c r="K1046">
        <v>7436.4</v>
      </c>
      <c r="L1046">
        <v>1449</v>
      </c>
      <c r="M1046">
        <v>8875.701840786287</v>
      </c>
      <c r="N1046">
        <v>1791.0457825961116</v>
      </c>
      <c r="O1046" t="s">
        <v>78</v>
      </c>
      <c r="P1046">
        <v>2019</v>
      </c>
    </row>
    <row r="1047" spans="6:16" x14ac:dyDescent="0.25">
      <c r="F1047" s="7">
        <v>43780</v>
      </c>
      <c r="G1047">
        <v>2.7223508419598582E-2</v>
      </c>
      <c r="I1047" s="7">
        <v>43780</v>
      </c>
      <c r="J1047">
        <v>13</v>
      </c>
      <c r="K1047">
        <v>2922.2</v>
      </c>
      <c r="L1047">
        <v>647</v>
      </c>
      <c r="M1047">
        <v>5056.2184201155223</v>
      </c>
      <c r="N1047">
        <v>1567.377822561418</v>
      </c>
      <c r="O1047" t="s">
        <v>78</v>
      </c>
      <c r="P1047">
        <v>2019</v>
      </c>
    </row>
    <row r="1048" spans="6:16" x14ac:dyDescent="0.25">
      <c r="F1048" s="7">
        <v>43781</v>
      </c>
      <c r="G1048">
        <v>2.7932634859276852E-2</v>
      </c>
      <c r="I1048" s="7">
        <v>43781</v>
      </c>
      <c r="J1048">
        <v>18</v>
      </c>
      <c r="K1048">
        <v>3883.3999999999996</v>
      </c>
      <c r="L1048">
        <v>579</v>
      </c>
      <c r="M1048">
        <v>3452.6984553218854</v>
      </c>
      <c r="N1048">
        <v>1556.915676724482</v>
      </c>
      <c r="O1048" t="s">
        <v>78</v>
      </c>
      <c r="P1048">
        <v>2019</v>
      </c>
    </row>
    <row r="1049" spans="6:16" x14ac:dyDescent="0.25">
      <c r="F1049" s="7">
        <v>43782</v>
      </c>
      <c r="G1049">
        <v>3.1580377024361006E-2</v>
      </c>
      <c r="I1049" s="7">
        <v>43782</v>
      </c>
      <c r="J1049">
        <v>13</v>
      </c>
      <c r="K1049">
        <v>3218.2</v>
      </c>
      <c r="L1049">
        <v>1511.5</v>
      </c>
      <c r="M1049">
        <v>4178.0490074928339</v>
      </c>
      <c r="N1049">
        <v>1419.24067612096</v>
      </c>
      <c r="O1049" t="s">
        <v>78</v>
      </c>
      <c r="P1049">
        <v>2019</v>
      </c>
    </row>
    <row r="1050" spans="6:16" x14ac:dyDescent="0.25">
      <c r="F1050" s="7">
        <v>43783</v>
      </c>
      <c r="G1050">
        <v>3.2191453961810959E-2</v>
      </c>
      <c r="I1050" s="7">
        <v>43783</v>
      </c>
      <c r="J1050">
        <v>17</v>
      </c>
      <c r="K1050">
        <v>4121.17</v>
      </c>
      <c r="L1050">
        <v>942</v>
      </c>
      <c r="M1050">
        <v>4053.7030472606648</v>
      </c>
      <c r="N1050">
        <v>2649.8625709670168</v>
      </c>
      <c r="O1050" t="s">
        <v>78</v>
      </c>
      <c r="P1050">
        <v>2019</v>
      </c>
    </row>
    <row r="1051" spans="6:16" x14ac:dyDescent="0.25">
      <c r="F1051" s="7">
        <v>43784</v>
      </c>
      <c r="G1051">
        <v>3.9028707211347893E-2</v>
      </c>
      <c r="I1051" s="7">
        <v>43784</v>
      </c>
      <c r="J1051">
        <v>38</v>
      </c>
      <c r="K1051">
        <v>7002.57</v>
      </c>
      <c r="L1051">
        <v>2772.25</v>
      </c>
      <c r="M1051">
        <v>6327.2887682063147</v>
      </c>
      <c r="N1051">
        <v>2697.9997363547245</v>
      </c>
      <c r="O1051" t="s">
        <v>78</v>
      </c>
      <c r="P1051">
        <v>2019</v>
      </c>
    </row>
    <row r="1052" spans="6:16" x14ac:dyDescent="0.25">
      <c r="F1052" s="7">
        <v>43785</v>
      </c>
      <c r="G1052">
        <v>5.3703530138827088E-2</v>
      </c>
      <c r="I1052" s="7">
        <v>43785</v>
      </c>
      <c r="J1052">
        <v>36</v>
      </c>
      <c r="K1052">
        <v>9953.4</v>
      </c>
      <c r="L1052">
        <v>1423</v>
      </c>
      <c r="M1052">
        <v>9927.0318456939312</v>
      </c>
      <c r="N1052">
        <v>1877.8831943915347</v>
      </c>
      <c r="O1052" t="s">
        <v>78</v>
      </c>
      <c r="P1052">
        <v>2019</v>
      </c>
    </row>
    <row r="1053" spans="6:16" x14ac:dyDescent="0.25">
      <c r="F1053" s="7">
        <v>43786</v>
      </c>
      <c r="G1053">
        <v>4.2460060448890662E-2</v>
      </c>
      <c r="I1053" s="7">
        <v>43786</v>
      </c>
      <c r="J1053">
        <v>31</v>
      </c>
      <c r="K1053">
        <v>6890.7999999999993</v>
      </c>
      <c r="L1053">
        <v>5501.5</v>
      </c>
      <c r="M1053">
        <v>7341.2973492457459</v>
      </c>
      <c r="N1053">
        <v>1546.7181015675392</v>
      </c>
      <c r="O1053" t="s">
        <v>78</v>
      </c>
      <c r="P1053">
        <v>2019</v>
      </c>
    </row>
    <row r="1054" spans="6:16" x14ac:dyDescent="0.25">
      <c r="F1054" s="7">
        <v>43787</v>
      </c>
      <c r="G1054">
        <v>2.6155101918636649E-2</v>
      </c>
      <c r="I1054" s="7">
        <v>43787</v>
      </c>
      <c r="J1054">
        <v>15</v>
      </c>
      <c r="K1054">
        <v>3639.0000000000005</v>
      </c>
      <c r="L1054">
        <v>686.35</v>
      </c>
      <c r="M1054">
        <v>4567.7048438941156</v>
      </c>
      <c r="N1054">
        <v>2129.6740661834083</v>
      </c>
      <c r="O1054" t="s">
        <v>78</v>
      </c>
      <c r="P1054">
        <v>2019</v>
      </c>
    </row>
    <row r="1055" spans="6:16" x14ac:dyDescent="0.25">
      <c r="F1055" s="7">
        <v>43788</v>
      </c>
      <c r="G1055">
        <v>2.6760815586995293E-2</v>
      </c>
      <c r="I1055" s="7">
        <v>43788</v>
      </c>
      <c r="J1055">
        <v>11</v>
      </c>
      <c r="K1055">
        <v>3259</v>
      </c>
      <c r="L1055">
        <v>1811.5</v>
      </c>
      <c r="M1055">
        <v>4739.8218778239325</v>
      </c>
      <c r="N1055">
        <v>4176.2856258639204</v>
      </c>
      <c r="O1055" t="s">
        <v>78</v>
      </c>
      <c r="P1055">
        <v>2019</v>
      </c>
    </row>
    <row r="1056" spans="6:16" x14ac:dyDescent="0.25">
      <c r="F1056" s="7">
        <v>43789</v>
      </c>
      <c r="G1056">
        <v>3.033007897632815E-2</v>
      </c>
      <c r="I1056" s="7">
        <v>43789</v>
      </c>
      <c r="J1056">
        <v>17</v>
      </c>
      <c r="K1056">
        <v>3538.2</v>
      </c>
      <c r="L1056">
        <v>684</v>
      </c>
      <c r="M1056">
        <v>5570.4772409145835</v>
      </c>
      <c r="N1056">
        <v>2019.3921877394482</v>
      </c>
      <c r="O1056" t="s">
        <v>78</v>
      </c>
      <c r="P1056">
        <v>2019</v>
      </c>
    </row>
    <row r="1057" spans="6:16" x14ac:dyDescent="0.25">
      <c r="F1057" s="7">
        <v>43790</v>
      </c>
      <c r="G1057">
        <v>3.0891049996109005E-2</v>
      </c>
      <c r="I1057" s="7">
        <v>43790</v>
      </c>
      <c r="J1057">
        <v>13</v>
      </c>
      <c r="K1057">
        <v>3744.5</v>
      </c>
      <c r="L1057">
        <v>542</v>
      </c>
      <c r="M1057">
        <v>3790.8099171360141</v>
      </c>
      <c r="N1057">
        <v>1176.5930034383769</v>
      </c>
      <c r="O1057" t="s">
        <v>78</v>
      </c>
      <c r="P1057">
        <v>2019</v>
      </c>
    </row>
    <row r="1058" spans="6:16" x14ac:dyDescent="0.25">
      <c r="F1058" s="7">
        <v>43791</v>
      </c>
      <c r="G1058">
        <v>3.7709464516526195E-2</v>
      </c>
      <c r="I1058" s="7">
        <v>43791</v>
      </c>
      <c r="J1058">
        <v>18</v>
      </c>
      <c r="K1058">
        <v>5112.6000000000004</v>
      </c>
      <c r="L1058">
        <v>3895</v>
      </c>
      <c r="M1058">
        <v>8641.320617081381</v>
      </c>
      <c r="N1058">
        <v>1893.4488080777437</v>
      </c>
      <c r="O1058" t="s">
        <v>78</v>
      </c>
      <c r="P1058">
        <v>2019</v>
      </c>
    </row>
    <row r="1059" spans="6:16" x14ac:dyDescent="0.25">
      <c r="F1059" s="7">
        <v>43792</v>
      </c>
      <c r="G1059">
        <v>5.2398967134041907E-2</v>
      </c>
      <c r="I1059" s="7">
        <v>43792</v>
      </c>
      <c r="J1059">
        <v>35</v>
      </c>
      <c r="K1059">
        <v>9676.6</v>
      </c>
      <c r="L1059">
        <v>1430.55</v>
      </c>
      <c r="M1059">
        <v>8642.9865459448101</v>
      </c>
      <c r="N1059">
        <v>2797.958716688061</v>
      </c>
      <c r="O1059" t="s">
        <v>78</v>
      </c>
      <c r="P1059">
        <v>2019</v>
      </c>
    </row>
    <row r="1060" spans="6:16" x14ac:dyDescent="0.25">
      <c r="F1060" s="7">
        <v>43793</v>
      </c>
      <c r="G1060">
        <v>4.1205220938529664E-2</v>
      </c>
      <c r="I1060" s="7">
        <v>43793</v>
      </c>
      <c r="J1060">
        <v>23</v>
      </c>
      <c r="K1060">
        <v>5237.8</v>
      </c>
      <c r="L1060">
        <v>1018</v>
      </c>
      <c r="M1060">
        <v>6214.3701326526852</v>
      </c>
      <c r="N1060">
        <v>2976.7790996214499</v>
      </c>
      <c r="O1060" t="s">
        <v>78</v>
      </c>
      <c r="P1060">
        <v>2019</v>
      </c>
    </row>
    <row r="1061" spans="6:16" x14ac:dyDescent="0.25">
      <c r="F1061" s="7">
        <v>43794</v>
      </c>
      <c r="G1061">
        <v>2.4985764936957294E-2</v>
      </c>
      <c r="I1061" s="7">
        <v>43794</v>
      </c>
      <c r="J1061">
        <v>9</v>
      </c>
      <c r="K1061">
        <v>2246</v>
      </c>
      <c r="L1061">
        <v>1753</v>
      </c>
      <c r="M1061">
        <v>3261.1946141655153</v>
      </c>
      <c r="N1061">
        <v>1417.0026557197284</v>
      </c>
      <c r="O1061" t="s">
        <v>78</v>
      </c>
      <c r="P1061">
        <v>2019</v>
      </c>
    </row>
    <row r="1062" spans="6:16" x14ac:dyDescent="0.25">
      <c r="F1062" s="7">
        <v>43795</v>
      </c>
      <c r="G1062">
        <v>2.5712661151292449E-2</v>
      </c>
      <c r="I1062" s="7">
        <v>43795</v>
      </c>
      <c r="J1062">
        <v>14</v>
      </c>
      <c r="K1062">
        <v>2773.99</v>
      </c>
      <c r="L1062">
        <v>2623.5</v>
      </c>
      <c r="M1062">
        <v>3221.0935741482144</v>
      </c>
      <c r="N1062">
        <v>1685.6718604576965</v>
      </c>
      <c r="O1062" t="s">
        <v>78</v>
      </c>
      <c r="P1062">
        <v>2019</v>
      </c>
    </row>
    <row r="1063" spans="6:16" x14ac:dyDescent="0.25">
      <c r="F1063" s="7">
        <v>43796</v>
      </c>
      <c r="G1063">
        <v>2.9437831539167895E-2</v>
      </c>
      <c r="I1063" s="7">
        <v>43796</v>
      </c>
      <c r="J1063">
        <v>18</v>
      </c>
      <c r="K1063">
        <v>3717.85</v>
      </c>
      <c r="L1063">
        <v>3315.65</v>
      </c>
      <c r="M1063">
        <v>3654.8199068872782</v>
      </c>
      <c r="N1063">
        <v>2231.1913214059978</v>
      </c>
      <c r="O1063" t="s">
        <v>78</v>
      </c>
      <c r="P1063">
        <v>2019</v>
      </c>
    </row>
    <row r="1064" spans="6:16" x14ac:dyDescent="0.25">
      <c r="F1064" s="7">
        <v>43797</v>
      </c>
      <c r="G1064">
        <v>3.0187622081305241E-2</v>
      </c>
      <c r="I1064" s="7">
        <v>43797</v>
      </c>
      <c r="J1064">
        <v>11</v>
      </c>
      <c r="K1064">
        <v>2871</v>
      </c>
      <c r="L1064">
        <v>1214</v>
      </c>
      <c r="M1064">
        <v>4121.5960749839542</v>
      </c>
      <c r="N1064">
        <v>2098.4818018909577</v>
      </c>
      <c r="O1064" t="s">
        <v>78</v>
      </c>
      <c r="P1064">
        <v>2019</v>
      </c>
    </row>
    <row r="1065" spans="6:16" x14ac:dyDescent="0.25">
      <c r="F1065" s="7">
        <v>43798</v>
      </c>
      <c r="G1065">
        <v>3.7225123207279519E-2</v>
      </c>
      <c r="I1065" s="7">
        <v>43798</v>
      </c>
      <c r="J1065">
        <v>27</v>
      </c>
      <c r="K1065">
        <v>6695.2000000000007</v>
      </c>
      <c r="L1065">
        <v>4994</v>
      </c>
      <c r="M1065">
        <v>6305.6800870831612</v>
      </c>
      <c r="N1065">
        <v>2273.7026310991719</v>
      </c>
      <c r="O1065" t="s">
        <v>78</v>
      </c>
      <c r="P1065">
        <v>2019</v>
      </c>
    </row>
    <row r="1066" spans="6:16" x14ac:dyDescent="0.25">
      <c r="F1066" s="7">
        <v>43799</v>
      </c>
      <c r="G1066">
        <v>5.2160545693758616E-2</v>
      </c>
      <c r="I1066" s="7">
        <v>43799</v>
      </c>
      <c r="J1066">
        <v>30</v>
      </c>
      <c r="K1066">
        <v>8372.6</v>
      </c>
      <c r="L1066">
        <v>823.5</v>
      </c>
      <c r="M1066">
        <v>7980.477308983076</v>
      </c>
      <c r="N1066">
        <v>2900.5664982152502</v>
      </c>
      <c r="O1066" t="s">
        <v>78</v>
      </c>
      <c r="P1066">
        <v>2019</v>
      </c>
    </row>
    <row r="1067" spans="6:16" x14ac:dyDescent="0.25">
      <c r="F1067" s="7">
        <v>43800</v>
      </c>
      <c r="G1067">
        <v>3.0355835801577202E-2</v>
      </c>
      <c r="I1067" s="7">
        <v>43800</v>
      </c>
      <c r="J1067">
        <v>23</v>
      </c>
      <c r="K1067">
        <v>6889.4</v>
      </c>
      <c r="L1067">
        <v>999</v>
      </c>
      <c r="M1067">
        <v>7624.2827490696636</v>
      </c>
      <c r="N1067">
        <v>1347.1065014242408</v>
      </c>
      <c r="O1067" t="s">
        <v>79</v>
      </c>
      <c r="P1067">
        <v>2019</v>
      </c>
    </row>
    <row r="1068" spans="6:16" x14ac:dyDescent="0.25">
      <c r="F1068" s="7">
        <v>43801</v>
      </c>
      <c r="G1068">
        <v>1.8626623005114824E-2</v>
      </c>
      <c r="I1068" s="7">
        <v>43801</v>
      </c>
      <c r="J1068">
        <v>13</v>
      </c>
      <c r="K1068">
        <v>2658.65</v>
      </c>
      <c r="L1068">
        <v>130</v>
      </c>
      <c r="M1068">
        <v>3543.0380619660409</v>
      </c>
      <c r="N1068">
        <v>976.06841895142475</v>
      </c>
      <c r="O1068" t="s">
        <v>79</v>
      </c>
      <c r="P1068">
        <v>2019</v>
      </c>
    </row>
    <row r="1069" spans="6:16" x14ac:dyDescent="0.25">
      <c r="F1069" s="7">
        <v>43802</v>
      </c>
      <c r="G1069">
        <v>1.9381876661089641E-2</v>
      </c>
      <c r="I1069" s="7">
        <v>43802</v>
      </c>
      <c r="J1069">
        <v>21</v>
      </c>
      <c r="K1069">
        <v>5066.8999999999996</v>
      </c>
      <c r="L1069">
        <v>30</v>
      </c>
      <c r="M1069">
        <v>3436.6532445742059</v>
      </c>
      <c r="N1069">
        <v>1383.2058562002533</v>
      </c>
      <c r="O1069" t="s">
        <v>79</v>
      </c>
      <c r="P1069">
        <v>2019</v>
      </c>
    </row>
    <row r="1070" spans="6:16" x14ac:dyDescent="0.25">
      <c r="F1070" s="7">
        <v>43803</v>
      </c>
      <c r="G1070">
        <v>2.2349357621192813E-2</v>
      </c>
      <c r="I1070" s="7">
        <v>43803</v>
      </c>
      <c r="J1070">
        <v>19</v>
      </c>
      <c r="K1070">
        <v>3450.8</v>
      </c>
      <c r="L1070">
        <v>1528.7</v>
      </c>
      <c r="M1070">
        <v>4257.8995154987288</v>
      </c>
      <c r="N1070">
        <v>1021.8706597317995</v>
      </c>
      <c r="O1070" t="s">
        <v>79</v>
      </c>
      <c r="P1070">
        <v>2019</v>
      </c>
    </row>
    <row r="1071" spans="6:16" x14ac:dyDescent="0.25">
      <c r="F1071" s="7">
        <v>43804</v>
      </c>
      <c r="G1071">
        <v>2.3127065224825463E-2</v>
      </c>
      <c r="I1071" s="7">
        <v>43804</v>
      </c>
      <c r="J1071">
        <v>9</v>
      </c>
      <c r="K1071">
        <v>2820.7</v>
      </c>
      <c r="L1071">
        <v>710.55</v>
      </c>
      <c r="M1071">
        <v>4833.7509969490129</v>
      </c>
      <c r="N1071">
        <v>1434.5597317713737</v>
      </c>
      <c r="O1071" t="s">
        <v>79</v>
      </c>
      <c r="P1071">
        <v>2019</v>
      </c>
    </row>
    <row r="1072" spans="6:16" x14ac:dyDescent="0.25">
      <c r="F1072" s="7">
        <v>43805</v>
      </c>
      <c r="G1072">
        <v>2.8529565900164935E-2</v>
      </c>
      <c r="I1072" s="7">
        <v>43805</v>
      </c>
      <c r="J1072">
        <v>37</v>
      </c>
      <c r="K1072">
        <v>7597.4</v>
      </c>
      <c r="L1072">
        <v>564</v>
      </c>
      <c r="M1072">
        <v>6684.766665289093</v>
      </c>
      <c r="N1072">
        <v>1990.3152096976191</v>
      </c>
      <c r="O1072" t="s">
        <v>79</v>
      </c>
      <c r="P1072">
        <v>2019</v>
      </c>
    </row>
    <row r="1073" spans="6:16" x14ac:dyDescent="0.25">
      <c r="F1073" s="7">
        <v>43806</v>
      </c>
      <c r="G1073">
        <v>3.9737679862477567E-2</v>
      </c>
      <c r="I1073" s="7">
        <v>43806</v>
      </c>
      <c r="J1073">
        <v>34</v>
      </c>
      <c r="K1073">
        <v>8137.6</v>
      </c>
      <c r="L1073">
        <v>3225</v>
      </c>
      <c r="M1073">
        <v>9785.7066127542876</v>
      </c>
      <c r="N1073">
        <v>1694.9242570439692</v>
      </c>
      <c r="O1073" t="s">
        <v>79</v>
      </c>
      <c r="P1073">
        <v>2019</v>
      </c>
    </row>
    <row r="1074" spans="6:16" x14ac:dyDescent="0.25">
      <c r="F1074" s="7">
        <v>43807</v>
      </c>
      <c r="G1074">
        <v>3.1895314894736543E-2</v>
      </c>
      <c r="I1074" s="7">
        <v>43807</v>
      </c>
      <c r="J1074">
        <v>17</v>
      </c>
      <c r="K1074">
        <v>4459.2</v>
      </c>
      <c r="L1074">
        <v>516.21</v>
      </c>
      <c r="M1074">
        <v>7136.0050091476396</v>
      </c>
      <c r="N1074">
        <v>1620.7162769599549</v>
      </c>
      <c r="O1074" t="s">
        <v>79</v>
      </c>
      <c r="P1074">
        <v>2019</v>
      </c>
    </row>
    <row r="1075" spans="6:16" x14ac:dyDescent="0.25">
      <c r="F1075" s="7">
        <v>43808</v>
      </c>
      <c r="G1075">
        <v>2.0349174681764254E-2</v>
      </c>
      <c r="I1075" s="7">
        <v>43808</v>
      </c>
      <c r="J1075">
        <v>8</v>
      </c>
      <c r="K1075">
        <v>1984.3999999999999</v>
      </c>
      <c r="L1075">
        <v>2030.8</v>
      </c>
      <c r="M1075">
        <v>4009.1470056261242</v>
      </c>
      <c r="N1075">
        <v>833.21537738469146</v>
      </c>
      <c r="O1075" t="s">
        <v>79</v>
      </c>
      <c r="P1075">
        <v>2019</v>
      </c>
    </row>
    <row r="1076" spans="6:16" x14ac:dyDescent="0.25">
      <c r="F1076" s="7">
        <v>43809</v>
      </c>
      <c r="G1076">
        <v>2.1266340288268609E-2</v>
      </c>
      <c r="I1076" s="7">
        <v>43809</v>
      </c>
      <c r="J1076">
        <v>19</v>
      </c>
      <c r="K1076">
        <v>5069.2</v>
      </c>
      <c r="L1076">
        <v>1802.08</v>
      </c>
      <c r="M1076">
        <v>4546.6909293762646</v>
      </c>
      <c r="N1076">
        <v>1433.1943906947877</v>
      </c>
      <c r="O1076" t="s">
        <v>79</v>
      </c>
      <c r="P1076">
        <v>2019</v>
      </c>
    </row>
    <row r="1077" spans="6:16" x14ac:dyDescent="0.25">
      <c r="F1077" s="7">
        <v>43810</v>
      </c>
      <c r="G1077">
        <v>2.4371023472707403E-2</v>
      </c>
      <c r="I1077" s="7">
        <v>43810</v>
      </c>
      <c r="J1077">
        <v>32</v>
      </c>
      <c r="K1077">
        <v>6966.91</v>
      </c>
      <c r="L1077">
        <v>3617</v>
      </c>
      <c r="M1077">
        <v>4394.4999929847099</v>
      </c>
      <c r="N1077">
        <v>1471.4461072581344</v>
      </c>
      <c r="O1077" t="s">
        <v>79</v>
      </c>
      <c r="P1077">
        <v>2019</v>
      </c>
    </row>
    <row r="1078" spans="6:16" x14ac:dyDescent="0.25">
      <c r="F1078" s="7">
        <v>43811</v>
      </c>
      <c r="G1078">
        <v>2.5258152093601993E-2</v>
      </c>
      <c r="I1078" s="7">
        <v>43811</v>
      </c>
      <c r="J1078">
        <v>24</v>
      </c>
      <c r="K1078">
        <v>4779</v>
      </c>
      <c r="L1078">
        <v>530</v>
      </c>
      <c r="M1078">
        <v>5523.4219005116902</v>
      </c>
      <c r="N1078">
        <v>1710.7134423956511</v>
      </c>
      <c r="O1078" t="s">
        <v>79</v>
      </c>
      <c r="P1078">
        <v>2019</v>
      </c>
    </row>
    <row r="1079" spans="6:16" x14ac:dyDescent="0.25">
      <c r="F1079" s="7">
        <v>43812</v>
      </c>
      <c r="G1079">
        <v>3.0739769899572517E-2</v>
      </c>
      <c r="I1079" s="7">
        <v>43812</v>
      </c>
      <c r="J1079">
        <v>31</v>
      </c>
      <c r="K1079">
        <v>5327.27</v>
      </c>
      <c r="L1079">
        <v>1174.5</v>
      </c>
      <c r="M1079">
        <v>6750.8765649958204</v>
      </c>
      <c r="N1079">
        <v>2030.2201800325265</v>
      </c>
      <c r="O1079" t="s">
        <v>79</v>
      </c>
      <c r="P1079">
        <v>2019</v>
      </c>
    </row>
    <row r="1080" spans="6:16" x14ac:dyDescent="0.25">
      <c r="F1080" s="7">
        <v>43813</v>
      </c>
      <c r="G1080">
        <v>4.1994781351114251E-2</v>
      </c>
      <c r="I1080" s="7">
        <v>43813</v>
      </c>
      <c r="J1080">
        <v>48</v>
      </c>
      <c r="K1080">
        <v>10745.369999999999</v>
      </c>
      <c r="L1080">
        <v>3755.19</v>
      </c>
      <c r="M1080">
        <v>9846.0117577350647</v>
      </c>
      <c r="N1080">
        <v>2044.9398670139005</v>
      </c>
      <c r="O1080" t="s">
        <v>79</v>
      </c>
      <c r="P1080">
        <v>2019</v>
      </c>
    </row>
    <row r="1081" spans="6:16" x14ac:dyDescent="0.25">
      <c r="F1081" s="7">
        <v>43814</v>
      </c>
      <c r="G1081">
        <v>3.4165829146611502E-2</v>
      </c>
      <c r="I1081" s="7">
        <v>43814</v>
      </c>
      <c r="J1081">
        <v>39</v>
      </c>
      <c r="K1081">
        <v>7117.8</v>
      </c>
      <c r="L1081">
        <v>4470.45</v>
      </c>
      <c r="M1081">
        <v>7730.5060900030858</v>
      </c>
      <c r="N1081">
        <v>1508.1119970867426</v>
      </c>
      <c r="O1081" t="s">
        <v>79</v>
      </c>
      <c r="P1081">
        <v>2019</v>
      </c>
    </row>
    <row r="1082" spans="6:16" x14ac:dyDescent="0.25">
      <c r="F1082" s="7">
        <v>43815</v>
      </c>
      <c r="G1082">
        <v>2.2599030866744745E-2</v>
      </c>
      <c r="I1082" s="7">
        <v>43815</v>
      </c>
      <c r="J1082">
        <v>23</v>
      </c>
      <c r="K1082">
        <v>4783.0999999999995</v>
      </c>
      <c r="L1082">
        <v>156.30000000000001</v>
      </c>
      <c r="M1082">
        <v>4562.2178349073429</v>
      </c>
      <c r="N1082">
        <v>1518.4949834281056</v>
      </c>
      <c r="O1082" t="s">
        <v>79</v>
      </c>
      <c r="P1082">
        <v>2019</v>
      </c>
    </row>
    <row r="1083" spans="6:16" x14ac:dyDescent="0.25">
      <c r="F1083" s="7">
        <v>43816</v>
      </c>
      <c r="G1083">
        <v>2.3461572916858783E-2</v>
      </c>
      <c r="I1083" s="7">
        <v>43816</v>
      </c>
      <c r="J1083">
        <v>21</v>
      </c>
      <c r="K1083">
        <v>5565.6</v>
      </c>
      <c r="L1083">
        <v>1066.9000000000001</v>
      </c>
      <c r="M1083">
        <v>4670.5616388385515</v>
      </c>
      <c r="N1083">
        <v>2107.3055067317309</v>
      </c>
      <c r="O1083" t="s">
        <v>79</v>
      </c>
      <c r="P1083">
        <v>2019</v>
      </c>
    </row>
    <row r="1084" spans="6:16" x14ac:dyDescent="0.25">
      <c r="F1084" s="7">
        <v>43817</v>
      </c>
      <c r="G1084">
        <v>2.6478460258834647E-2</v>
      </c>
      <c r="I1084" s="7">
        <v>43817</v>
      </c>
      <c r="J1084">
        <v>35</v>
      </c>
      <c r="K1084">
        <v>6996.67</v>
      </c>
      <c r="L1084">
        <v>2967</v>
      </c>
      <c r="M1084">
        <v>5458.6665802931257</v>
      </c>
      <c r="N1084">
        <v>2152.6915253536072</v>
      </c>
      <c r="O1084" t="s">
        <v>79</v>
      </c>
      <c r="P1084">
        <v>2019</v>
      </c>
    </row>
    <row r="1085" spans="6:16" x14ac:dyDescent="0.25">
      <c r="F1085" s="7">
        <v>43818</v>
      </c>
      <c r="G1085">
        <v>2.7246082429555996E-2</v>
      </c>
      <c r="I1085" s="7">
        <v>43818</v>
      </c>
      <c r="J1085">
        <v>25</v>
      </c>
      <c r="K1085">
        <v>5795</v>
      </c>
      <c r="L1085">
        <v>9838.25</v>
      </c>
      <c r="M1085">
        <v>6046.561565246554</v>
      </c>
      <c r="N1085">
        <v>3339.3637176054021</v>
      </c>
      <c r="O1085" t="s">
        <v>79</v>
      </c>
      <c r="P1085">
        <v>2019</v>
      </c>
    </row>
    <row r="1086" spans="6:16" x14ac:dyDescent="0.25">
      <c r="F1086" s="7">
        <v>43819</v>
      </c>
      <c r="G1086">
        <v>3.2578578958846062E-2</v>
      </c>
      <c r="I1086" s="7">
        <v>43819</v>
      </c>
      <c r="J1086">
        <v>39</v>
      </c>
      <c r="K1086">
        <v>7591.3700000000008</v>
      </c>
      <c r="L1086">
        <v>4268.75</v>
      </c>
      <c r="M1086">
        <v>7213.6708894303547</v>
      </c>
      <c r="N1086">
        <v>2552.58851749933</v>
      </c>
      <c r="O1086" t="s">
        <v>79</v>
      </c>
      <c r="P1086">
        <v>2019</v>
      </c>
    </row>
    <row r="1087" spans="6:16" x14ac:dyDescent="0.25">
      <c r="F1087" s="7">
        <v>43820</v>
      </c>
      <c r="G1087">
        <v>4.3657535736655179E-2</v>
      </c>
      <c r="I1087" s="7">
        <v>43820</v>
      </c>
      <c r="J1087">
        <v>48</v>
      </c>
      <c r="K1087">
        <v>9231</v>
      </c>
      <c r="L1087">
        <v>1643.8</v>
      </c>
      <c r="M1087">
        <v>9070.1293530181665</v>
      </c>
      <c r="N1087">
        <v>2525.2516810315524</v>
      </c>
      <c r="O1087" t="s">
        <v>79</v>
      </c>
      <c r="P1087">
        <v>2019</v>
      </c>
    </row>
    <row r="1088" spans="6:16" x14ac:dyDescent="0.25">
      <c r="F1088" s="7">
        <v>43821</v>
      </c>
      <c r="G1088">
        <v>3.562880148989972E-2</v>
      </c>
      <c r="I1088" s="7">
        <v>43821</v>
      </c>
      <c r="J1088">
        <v>38</v>
      </c>
      <c r="K1088">
        <v>7488.7999999999993</v>
      </c>
      <c r="L1088">
        <v>949.1</v>
      </c>
      <c r="M1088">
        <v>7810.2586927122547</v>
      </c>
      <c r="N1088">
        <v>2395.3429505005606</v>
      </c>
      <c r="O1088" t="s">
        <v>79</v>
      </c>
      <c r="P1088">
        <v>2019</v>
      </c>
    </row>
    <row r="1089" spans="6:16" x14ac:dyDescent="0.25">
      <c r="F1089" s="7">
        <v>43822</v>
      </c>
      <c r="G1089">
        <v>2.3842152446355121E-2</v>
      </c>
      <c r="I1089" s="7">
        <v>43822</v>
      </c>
      <c r="J1089">
        <v>29</v>
      </c>
      <c r="K1089">
        <v>6580.3200000000006</v>
      </c>
      <c r="L1089">
        <v>3346.2</v>
      </c>
      <c r="M1089">
        <v>5660.0209876372573</v>
      </c>
      <c r="N1089">
        <v>1842.5386654607735</v>
      </c>
      <c r="O1089" t="s">
        <v>79</v>
      </c>
      <c r="P1089">
        <v>2019</v>
      </c>
    </row>
    <row r="1090" spans="6:16" x14ac:dyDescent="0.25">
      <c r="F1090" s="7">
        <v>43823</v>
      </c>
      <c r="G1090">
        <v>2.4468805233818475E-2</v>
      </c>
      <c r="I1090" s="7">
        <v>43823</v>
      </c>
      <c r="J1090">
        <v>21</v>
      </c>
      <c r="K1090">
        <v>4336.6000000000004</v>
      </c>
      <c r="L1090">
        <v>2246.15</v>
      </c>
      <c r="M1090">
        <v>4756.3782811112651</v>
      </c>
      <c r="N1090">
        <v>785.39082700235815</v>
      </c>
      <c r="O1090" t="s">
        <v>79</v>
      </c>
      <c r="P1090">
        <v>2019</v>
      </c>
    </row>
    <row r="1091" spans="6:16" x14ac:dyDescent="0.25">
      <c r="F1091" s="7">
        <v>43824</v>
      </c>
      <c r="G1091">
        <v>2.2839046960438664E-2</v>
      </c>
      <c r="I1091" s="7">
        <v>43824</v>
      </c>
      <c r="J1091">
        <v>15</v>
      </c>
      <c r="K1091">
        <v>3774</v>
      </c>
      <c r="L1091">
        <v>361</v>
      </c>
      <c r="M1091">
        <v>8047.8728688975534</v>
      </c>
      <c r="N1091">
        <v>1575.4594203561778</v>
      </c>
      <c r="O1091" t="s">
        <v>79</v>
      </c>
      <c r="P1091">
        <v>2019</v>
      </c>
    </row>
    <row r="1092" spans="6:16" x14ac:dyDescent="0.25">
      <c r="F1092" s="7">
        <v>43825</v>
      </c>
      <c r="G1092">
        <v>1.9331381123060338E-2</v>
      </c>
      <c r="I1092" s="7">
        <v>43825</v>
      </c>
      <c r="J1092">
        <v>24</v>
      </c>
      <c r="K1092">
        <v>5242.8</v>
      </c>
      <c r="L1092">
        <v>156.30000000000001</v>
      </c>
      <c r="M1092">
        <v>9474.2508329767643</v>
      </c>
      <c r="N1092">
        <v>1857.5954312072035</v>
      </c>
      <c r="O1092" t="s">
        <v>79</v>
      </c>
      <c r="P1092">
        <v>2019</v>
      </c>
    </row>
    <row r="1093" spans="6:16" x14ac:dyDescent="0.25">
      <c r="F1093" s="7">
        <v>43826</v>
      </c>
      <c r="G1093">
        <v>3.2825910397925602E-2</v>
      </c>
      <c r="I1093" s="7">
        <v>43826</v>
      </c>
      <c r="J1093">
        <v>34</v>
      </c>
      <c r="K1093">
        <v>6646.0999999999995</v>
      </c>
      <c r="L1093">
        <v>2846.8</v>
      </c>
      <c r="M1093">
        <v>12479.250326144289</v>
      </c>
      <c r="N1093">
        <v>1854.4133966320205</v>
      </c>
      <c r="O1093" t="s">
        <v>79</v>
      </c>
      <c r="P1093">
        <v>2019</v>
      </c>
    </row>
    <row r="1094" spans="6:16" x14ac:dyDescent="0.25">
      <c r="F1094" s="7">
        <v>43827</v>
      </c>
      <c r="G1094">
        <v>4.3649395991948392E-2</v>
      </c>
      <c r="I1094" s="7">
        <v>43827</v>
      </c>
      <c r="J1094">
        <v>43</v>
      </c>
      <c r="K1094">
        <v>10632.77</v>
      </c>
      <c r="L1094">
        <v>1803</v>
      </c>
      <c r="M1094">
        <v>11014.031990447311</v>
      </c>
      <c r="N1094">
        <v>1693.4794027157059</v>
      </c>
      <c r="O1094" t="s">
        <v>79</v>
      </c>
      <c r="P1094">
        <v>2019</v>
      </c>
    </row>
    <row r="1095" spans="6:16" x14ac:dyDescent="0.25">
      <c r="F1095" s="7">
        <v>43828</v>
      </c>
      <c r="G1095">
        <v>3.5371681006493086E-2</v>
      </c>
      <c r="I1095" s="7">
        <v>43828</v>
      </c>
      <c r="J1095">
        <v>32</v>
      </c>
      <c r="K1095">
        <v>6952</v>
      </c>
      <c r="L1095">
        <v>392.5</v>
      </c>
      <c r="M1095">
        <v>9314.348766557925</v>
      </c>
      <c r="N1095">
        <v>1749.5810920266695</v>
      </c>
      <c r="O1095" t="s">
        <v>79</v>
      </c>
      <c r="P1095">
        <v>2019</v>
      </c>
    </row>
    <row r="1096" spans="6:16" x14ac:dyDescent="0.25">
      <c r="F1096" s="7">
        <v>43829</v>
      </c>
      <c r="G1096">
        <v>2.3346868435674774E-2</v>
      </c>
      <c r="I1096" s="7">
        <v>43829</v>
      </c>
      <c r="J1096">
        <v>37</v>
      </c>
      <c r="K1096">
        <v>7094</v>
      </c>
      <c r="L1096">
        <v>1154.25</v>
      </c>
      <c r="M1096">
        <v>5632.2426293478047</v>
      </c>
      <c r="N1096">
        <v>1155.4797529443856</v>
      </c>
      <c r="O1096" t="s">
        <v>79</v>
      </c>
      <c r="P1096">
        <v>2019</v>
      </c>
    </row>
    <row r="1097" spans="6:16" x14ac:dyDescent="0.25">
      <c r="F1097" s="7">
        <v>43830</v>
      </c>
      <c r="G1097">
        <v>2.3750236846657845E-2</v>
      </c>
      <c r="I1097" s="7">
        <v>43830</v>
      </c>
      <c r="J1097">
        <v>19</v>
      </c>
      <c r="K1097">
        <v>4270.8</v>
      </c>
      <c r="L1097">
        <v>439.9</v>
      </c>
      <c r="M1097">
        <v>6377.4904097153831</v>
      </c>
      <c r="N1097">
        <v>990.08416541161887</v>
      </c>
      <c r="O1097" s="52" t="s">
        <v>79</v>
      </c>
      <c r="P1097">
        <v>2019</v>
      </c>
    </row>
    <row r="1098" spans="6:16" x14ac:dyDescent="0.25">
      <c r="F1098" s="7">
        <v>43831</v>
      </c>
      <c r="G1098">
        <v>2.6314826827779469E-2</v>
      </c>
      <c r="I1098" s="7">
        <v>43831</v>
      </c>
      <c r="J1098">
        <v>15</v>
      </c>
      <c r="K1098">
        <v>4734</v>
      </c>
      <c r="L1098">
        <v>188</v>
      </c>
      <c r="M1098">
        <v>4191.2880432728671</v>
      </c>
      <c r="N1098">
        <v>600.80461211535942</v>
      </c>
      <c r="O1098" s="52" t="s">
        <v>79</v>
      </c>
      <c r="P1098">
        <v>2019</v>
      </c>
    </row>
    <row r="1099" spans="6:16" x14ac:dyDescent="0.25">
      <c r="F1099" s="7">
        <v>43832</v>
      </c>
      <c r="G1099">
        <v>2.664484820702033E-2</v>
      </c>
      <c r="I1099" s="7">
        <v>43832</v>
      </c>
      <c r="J1099">
        <v>24</v>
      </c>
      <c r="K1099">
        <v>4033.8</v>
      </c>
      <c r="L1099">
        <v>234</v>
      </c>
      <c r="M1099">
        <v>3810.85241310638</v>
      </c>
      <c r="N1099">
        <v>313.86859363191081</v>
      </c>
      <c r="O1099" s="52" t="s">
        <v>79</v>
      </c>
      <c r="P1099">
        <v>2019</v>
      </c>
    </row>
    <row r="1100" spans="6:16" x14ac:dyDescent="0.25">
      <c r="F1100" s="7">
        <v>43833</v>
      </c>
      <c r="G1100">
        <v>3.1561894510251133E-2</v>
      </c>
      <c r="I1100" s="7">
        <v>43833</v>
      </c>
      <c r="J1100">
        <v>31</v>
      </c>
      <c r="K1100">
        <v>6731.5300000000007</v>
      </c>
      <c r="L1100">
        <v>615.26</v>
      </c>
      <c r="M1100">
        <v>4814.7658757688887</v>
      </c>
      <c r="N1100">
        <v>1346.2005242751575</v>
      </c>
      <c r="O1100" s="52" t="s">
        <v>79</v>
      </c>
      <c r="P1100">
        <v>2019</v>
      </c>
    </row>
    <row r="1101" spans="6:16" x14ac:dyDescent="0.25">
      <c r="F1101" s="7">
        <v>43834</v>
      </c>
      <c r="G1101">
        <v>4.2254499450362248E-2</v>
      </c>
      <c r="I1101" s="7">
        <v>43834</v>
      </c>
      <c r="J1101">
        <v>36</v>
      </c>
      <c r="K1101">
        <v>9217.33</v>
      </c>
      <c r="L1101">
        <v>1384</v>
      </c>
      <c r="M1101">
        <v>5693.2929240885396</v>
      </c>
      <c r="N1101">
        <v>1228.3869604232962</v>
      </c>
      <c r="O1101" s="52" t="s">
        <v>79</v>
      </c>
      <c r="P1101">
        <v>2019</v>
      </c>
    </row>
    <row r="1102" spans="6:16" x14ac:dyDescent="0.25">
      <c r="F1102" s="7">
        <v>43835</v>
      </c>
      <c r="G1102">
        <v>4.2866570133891238E-2</v>
      </c>
      <c r="I1102" s="7">
        <v>43835</v>
      </c>
      <c r="O1102" s="52" t="s">
        <v>68</v>
      </c>
      <c r="P1102">
        <v>2020</v>
      </c>
    </row>
    <row r="1103" spans="6:16" x14ac:dyDescent="0.25">
      <c r="F1103" s="7">
        <v>43836</v>
      </c>
      <c r="G1103">
        <v>2.7559045425720859E-2</v>
      </c>
      <c r="I1103" s="7">
        <v>43836</v>
      </c>
      <c r="O1103" s="52" t="s">
        <v>68</v>
      </c>
      <c r="P1103">
        <v>2020</v>
      </c>
    </row>
    <row r="1104" spans="6:16" x14ac:dyDescent="0.25">
      <c r="F1104" s="7">
        <v>43837</v>
      </c>
      <c r="G1104">
        <v>2.8017675489419323E-2</v>
      </c>
      <c r="I1104" s="7">
        <v>43837</v>
      </c>
      <c r="O1104" s="52" t="s">
        <v>68</v>
      </c>
      <c r="P1104">
        <v>2020</v>
      </c>
    </row>
    <row r="1105" spans="6:16" x14ac:dyDescent="0.25">
      <c r="F1105" s="7">
        <v>43838</v>
      </c>
      <c r="G1105">
        <v>3.1250374917623218E-2</v>
      </c>
      <c r="I1105" s="7">
        <v>43838</v>
      </c>
      <c r="O1105" s="52" t="s">
        <v>68</v>
      </c>
      <c r="P1105">
        <v>2020</v>
      </c>
    </row>
    <row r="1106" spans="6:16" x14ac:dyDescent="0.25">
      <c r="F1106" s="7">
        <v>43839</v>
      </c>
      <c r="G1106">
        <v>3.1693971239000231E-2</v>
      </c>
      <c r="I1106" s="7">
        <v>43839</v>
      </c>
      <c r="O1106" s="52" t="s">
        <v>68</v>
      </c>
      <c r="P1106">
        <v>2020</v>
      </c>
    </row>
    <row r="1107" spans="6:16" x14ac:dyDescent="0.25">
      <c r="F1107" s="7">
        <v>43840</v>
      </c>
      <c r="G1107">
        <v>3.7979549525369215E-2</v>
      </c>
      <c r="I1107" s="7">
        <v>43840</v>
      </c>
      <c r="O1107" s="52" t="s">
        <v>68</v>
      </c>
      <c r="P1107">
        <v>2020</v>
      </c>
    </row>
    <row r="1108" spans="6:16" x14ac:dyDescent="0.25">
      <c r="F1108" s="7">
        <v>43841</v>
      </c>
      <c r="G1108">
        <v>5.1609263798818326E-2</v>
      </c>
      <c r="I1108" s="7">
        <v>43841</v>
      </c>
      <c r="O1108" s="52" t="s">
        <v>68</v>
      </c>
      <c r="P1108">
        <v>2020</v>
      </c>
    </row>
    <row r="1109" spans="6:16" x14ac:dyDescent="0.25">
      <c r="F1109" s="7">
        <v>43842</v>
      </c>
      <c r="G1109">
        <v>4.1137218438401964E-2</v>
      </c>
      <c r="I1109" s="7">
        <v>43842</v>
      </c>
      <c r="O1109" s="52" t="s">
        <v>68</v>
      </c>
      <c r="P1109">
        <v>2020</v>
      </c>
    </row>
    <row r="1110" spans="6:16" x14ac:dyDescent="0.25">
      <c r="F1110" s="7">
        <v>43843</v>
      </c>
      <c r="G1110">
        <v>2.5991726411192882E-2</v>
      </c>
      <c r="I1110" s="7">
        <v>43843</v>
      </c>
      <c r="O1110" s="52" t="s">
        <v>68</v>
      </c>
      <c r="P1110">
        <v>2020</v>
      </c>
    </row>
    <row r="1111" spans="6:16" x14ac:dyDescent="0.25">
      <c r="F1111" s="7">
        <v>43844</v>
      </c>
      <c r="G1111">
        <v>2.6639073734505699E-2</v>
      </c>
      <c r="I1111" s="7">
        <v>43844</v>
      </c>
      <c r="O1111" s="52" t="s">
        <v>68</v>
      </c>
      <c r="P1111">
        <v>2020</v>
      </c>
    </row>
    <row r="1112" spans="6:16" x14ac:dyDescent="0.25">
      <c r="F1112" s="7">
        <v>43845</v>
      </c>
      <c r="G1112">
        <v>3.008337190149268E-2</v>
      </c>
      <c r="I1112" s="7">
        <v>43845</v>
      </c>
      <c r="O1112" s="52" t="s">
        <v>68</v>
      </c>
      <c r="P1112">
        <v>2020</v>
      </c>
    </row>
    <row r="1113" spans="6:16" x14ac:dyDescent="0.25">
      <c r="F1113" s="7">
        <v>43846</v>
      </c>
      <c r="G1113">
        <v>3.0757334695731095E-2</v>
      </c>
      <c r="I1113" s="7">
        <v>43846</v>
      </c>
      <c r="O1113" s="52" t="s">
        <v>68</v>
      </c>
      <c r="P1113">
        <v>2020</v>
      </c>
    </row>
    <row r="1114" spans="6:16" x14ac:dyDescent="0.25">
      <c r="F1114" s="7">
        <v>43847</v>
      </c>
      <c r="G1114">
        <v>3.7287697808216738E-2</v>
      </c>
      <c r="I1114" s="7">
        <v>43847</v>
      </c>
      <c r="O1114" s="52" t="s">
        <v>68</v>
      </c>
      <c r="P1114">
        <v>2020</v>
      </c>
    </row>
    <row r="1115" spans="6:16" x14ac:dyDescent="0.25">
      <c r="F1115" s="7">
        <v>43848</v>
      </c>
      <c r="G1115">
        <v>5.11721051656015E-2</v>
      </c>
      <c r="I1115" s="7">
        <v>43848</v>
      </c>
      <c r="O1115" s="52" t="s">
        <v>68</v>
      </c>
      <c r="P1115">
        <v>2020</v>
      </c>
    </row>
    <row r="1116" spans="6:16" x14ac:dyDescent="0.25">
      <c r="F1116" s="7">
        <v>43849</v>
      </c>
      <c r="G1116">
        <v>4.0960063837944545E-2</v>
      </c>
      <c r="I1116" s="7">
        <v>43849</v>
      </c>
      <c r="O1116" s="52" t="s">
        <v>68</v>
      </c>
      <c r="P1116">
        <v>2020</v>
      </c>
    </row>
    <row r="1117" spans="6:16" x14ac:dyDescent="0.25">
      <c r="F1117" s="7">
        <v>43850</v>
      </c>
      <c r="G1117">
        <v>2.6075273222308713E-2</v>
      </c>
      <c r="I1117" s="7">
        <v>43850</v>
      </c>
      <c r="O1117" s="52" t="s">
        <v>68</v>
      </c>
      <c r="P1117">
        <v>2020</v>
      </c>
    </row>
    <row r="1118" spans="6:16" x14ac:dyDescent="0.25">
      <c r="F1118" s="7">
        <v>43851</v>
      </c>
      <c r="G1118">
        <v>2.6979456856648709E-2</v>
      </c>
      <c r="I1118" s="7">
        <v>43851</v>
      </c>
      <c r="O1118" s="52" t="s">
        <v>68</v>
      </c>
      <c r="P1118">
        <v>2020</v>
      </c>
    </row>
    <row r="1119" spans="6:16" x14ac:dyDescent="0.25">
      <c r="F1119" s="7">
        <v>43852</v>
      </c>
      <c r="G1119">
        <v>3.0672277886159251E-2</v>
      </c>
      <c r="I1119" s="7">
        <v>43852</v>
      </c>
      <c r="O1119" s="52" t="s">
        <v>68</v>
      </c>
      <c r="P1119">
        <v>2020</v>
      </c>
    </row>
    <row r="1120" spans="6:16" x14ac:dyDescent="0.25">
      <c r="F1120" s="7">
        <v>43853</v>
      </c>
      <c r="G1120">
        <v>3.1582174106875929E-2</v>
      </c>
      <c r="I1120" s="7">
        <v>43853</v>
      </c>
      <c r="O1120" s="52" t="s">
        <v>68</v>
      </c>
      <c r="P1120">
        <v>2020</v>
      </c>
    </row>
    <row r="1121" spans="6:16" x14ac:dyDescent="0.25">
      <c r="F1121" s="7">
        <v>43854</v>
      </c>
      <c r="G1121">
        <v>3.8331830581531418E-2</v>
      </c>
      <c r="I1121" s="7">
        <v>43854</v>
      </c>
      <c r="O1121" s="52" t="s">
        <v>68</v>
      </c>
      <c r="P1121">
        <v>2020</v>
      </c>
    </row>
    <row r="1122" spans="6:16" x14ac:dyDescent="0.25">
      <c r="F1122" s="7">
        <v>43855</v>
      </c>
      <c r="G1122">
        <v>5.241511370480683E-2</v>
      </c>
      <c r="I1122" s="7">
        <v>43855</v>
      </c>
      <c r="O1122" s="52" t="s">
        <v>68</v>
      </c>
      <c r="P1122">
        <v>2020</v>
      </c>
    </row>
    <row r="1123" spans="6:16" x14ac:dyDescent="0.25">
      <c r="F1123" s="7">
        <v>43856</v>
      </c>
      <c r="G1123">
        <v>4.237806845945636E-2</v>
      </c>
      <c r="I1123" s="7">
        <v>43856</v>
      </c>
      <c r="O1123" s="52" t="s">
        <v>68</v>
      </c>
      <c r="P1123">
        <v>2020</v>
      </c>
    </row>
    <row r="1124" spans="6:16" x14ac:dyDescent="0.25">
      <c r="F1124" s="7">
        <v>43857</v>
      </c>
      <c r="G1124">
        <v>2.7641284946351045E-2</v>
      </c>
      <c r="I1124" s="7">
        <v>43857</v>
      </c>
      <c r="O1124" s="52" t="s">
        <v>68</v>
      </c>
      <c r="P1124">
        <v>2020</v>
      </c>
    </row>
    <row r="1125" spans="6:16" x14ac:dyDescent="0.25">
      <c r="F1125" s="7">
        <v>43858</v>
      </c>
      <c r="G1125">
        <v>2.8663762523869398E-2</v>
      </c>
      <c r="I1125" s="7">
        <v>43858</v>
      </c>
      <c r="O1125" s="52" t="s">
        <v>68</v>
      </c>
      <c r="P1125">
        <v>2020</v>
      </c>
    </row>
    <row r="1126" spans="6:16" x14ac:dyDescent="0.25">
      <c r="F1126" s="7">
        <v>43859</v>
      </c>
      <c r="G1126">
        <v>3.2442853238119122E-2</v>
      </c>
      <c r="I1126" s="7">
        <v>43859</v>
      </c>
      <c r="O1126" s="52" t="s">
        <v>68</v>
      </c>
      <c r="P1126">
        <v>2020</v>
      </c>
    </row>
    <row r="1127" spans="6:16" x14ac:dyDescent="0.25">
      <c r="F1127" s="7">
        <v>43860</v>
      </c>
      <c r="G1127">
        <v>3.3405120551197175E-2</v>
      </c>
      <c r="I1127" s="7">
        <v>43860</v>
      </c>
      <c r="O1127" s="52" t="s">
        <v>68</v>
      </c>
      <c r="P1127">
        <v>2020</v>
      </c>
    </row>
    <row r="1128" spans="6:16" x14ac:dyDescent="0.25">
      <c r="F1128" s="7">
        <v>43861</v>
      </c>
      <c r="G1128">
        <v>4.0171831945731776E-2</v>
      </c>
      <c r="I1128" s="7">
        <v>43861</v>
      </c>
      <c r="O1128" s="52" t="s">
        <v>68</v>
      </c>
      <c r="P1128">
        <v>2020</v>
      </c>
    </row>
    <row r="1129" spans="6:16" x14ac:dyDescent="0.25">
      <c r="F1129" s="7">
        <v>43862</v>
      </c>
      <c r="G1129">
        <v>5.4235909454014991E-2</v>
      </c>
      <c r="I1129" s="7">
        <v>43862</v>
      </c>
      <c r="O1129" s="52" t="s">
        <v>68</v>
      </c>
      <c r="P1129">
        <v>2020</v>
      </c>
    </row>
    <row r="1130" spans="6:16" x14ac:dyDescent="0.25">
      <c r="F1130" s="7">
        <v>43863</v>
      </c>
      <c r="G1130">
        <v>4.3448870017610268E-2</v>
      </c>
      <c r="I1130" s="7">
        <v>43863</v>
      </c>
      <c r="O1130" s="52" t="s">
        <v>69</v>
      </c>
      <c r="P1130">
        <v>2020</v>
      </c>
    </row>
    <row r="1131" spans="6:16" x14ac:dyDescent="0.25">
      <c r="F1131" s="7">
        <v>43864</v>
      </c>
      <c r="G1131">
        <v>2.8852649180599935E-2</v>
      </c>
      <c r="I1131" s="7">
        <v>43864</v>
      </c>
      <c r="O1131" s="52" t="s">
        <v>69</v>
      </c>
      <c r="P1131">
        <v>2020</v>
      </c>
    </row>
    <row r="1132" spans="6:16" x14ac:dyDescent="0.25">
      <c r="F1132" s="7">
        <v>43865</v>
      </c>
      <c r="G1132">
        <v>2.9732334453975082E-2</v>
      </c>
      <c r="I1132" s="7">
        <v>43865</v>
      </c>
      <c r="O1132" s="52" t="s">
        <v>69</v>
      </c>
      <c r="P1132">
        <v>2020</v>
      </c>
    </row>
    <row r="1133" spans="6:16" x14ac:dyDescent="0.25">
      <c r="F1133" s="7">
        <v>43866</v>
      </c>
      <c r="G1133">
        <v>3.3290756282864674E-2</v>
      </c>
      <c r="I1133" s="7">
        <v>43866</v>
      </c>
      <c r="O1133" s="52" t="s">
        <v>69</v>
      </c>
      <c r="P1133">
        <v>2020</v>
      </c>
    </row>
    <row r="1134" spans="6:16" x14ac:dyDescent="0.25">
      <c r="F1134" s="7">
        <v>43867</v>
      </c>
      <c r="G1134">
        <v>3.4043646189256413E-2</v>
      </c>
      <c r="I1134" s="7">
        <v>43867</v>
      </c>
      <c r="O1134" s="52" t="s">
        <v>69</v>
      </c>
      <c r="P1134">
        <v>2020</v>
      </c>
    </row>
    <row r="1135" spans="6:16" x14ac:dyDescent="0.25">
      <c r="F1135" s="7">
        <v>43868</v>
      </c>
      <c r="G1135">
        <v>4.0478751096946895E-2</v>
      </c>
      <c r="I1135" s="7">
        <v>43868</v>
      </c>
      <c r="O1135" s="52" t="s">
        <v>69</v>
      </c>
      <c r="P1135">
        <v>2020</v>
      </c>
    </row>
    <row r="1136" spans="6:16" x14ac:dyDescent="0.25">
      <c r="F1136" s="7">
        <v>43869</v>
      </c>
      <c r="G1136">
        <v>5.4068044454491773E-2</v>
      </c>
      <c r="I1136" s="7">
        <v>43869</v>
      </c>
      <c r="O1136" s="52" t="s">
        <v>69</v>
      </c>
      <c r="P1136">
        <v>2020</v>
      </c>
    </row>
    <row r="1137" spans="6:16" x14ac:dyDescent="0.25">
      <c r="F1137" s="7">
        <v>43870</v>
      </c>
      <c r="G1137">
        <v>4.3854683547545514E-2</v>
      </c>
      <c r="I1137" s="7">
        <v>43870</v>
      </c>
      <c r="O1137" s="52" t="s">
        <v>69</v>
      </c>
      <c r="P1137">
        <v>2020</v>
      </c>
    </row>
    <row r="1138" spans="6:16" x14ac:dyDescent="0.25">
      <c r="F1138" s="7">
        <v>43871</v>
      </c>
      <c r="G1138">
        <v>2.8957409720025827E-2</v>
      </c>
      <c r="I1138" s="7">
        <v>43871</v>
      </c>
      <c r="O1138" s="52" t="s">
        <v>69</v>
      </c>
      <c r="P1138">
        <v>2020</v>
      </c>
    </row>
    <row r="1139" spans="6:16" x14ac:dyDescent="0.25">
      <c r="F1139" s="7">
        <v>43872</v>
      </c>
      <c r="G1139">
        <v>2.9517982595729089E-2</v>
      </c>
      <c r="I1139" s="7">
        <v>43872</v>
      </c>
      <c r="O1139" s="52" t="s">
        <v>69</v>
      </c>
      <c r="P1139">
        <v>2020</v>
      </c>
    </row>
    <row r="1140" spans="6:16" x14ac:dyDescent="0.25">
      <c r="F1140" s="7">
        <v>43873</v>
      </c>
      <c r="G1140">
        <v>3.2743550941302574E-2</v>
      </c>
      <c r="I1140" s="7">
        <v>43873</v>
      </c>
      <c r="O1140" s="52" t="s">
        <v>69</v>
      </c>
      <c r="P1140">
        <v>2020</v>
      </c>
    </row>
    <row r="1141" spans="6:16" x14ac:dyDescent="0.25">
      <c r="F1141" s="7">
        <v>43874</v>
      </c>
      <c r="G1141">
        <v>3.3154538632227511E-2</v>
      </c>
      <c r="I1141" s="7">
        <v>43874</v>
      </c>
      <c r="O1141" s="52" t="s">
        <v>69</v>
      </c>
      <c r="P1141">
        <v>2020</v>
      </c>
    </row>
    <row r="1142" spans="6:16" x14ac:dyDescent="0.25">
      <c r="F1142" s="7">
        <v>43875</v>
      </c>
      <c r="G1142">
        <v>5.7480183452383517E-2</v>
      </c>
      <c r="I1142" s="7">
        <v>43875</v>
      </c>
      <c r="O1142" s="52" t="s">
        <v>69</v>
      </c>
      <c r="P1142">
        <v>2020</v>
      </c>
    </row>
    <row r="1143" spans="6:16" x14ac:dyDescent="0.25">
      <c r="F1143" s="7">
        <v>43876</v>
      </c>
      <c r="G1143">
        <v>5.4522966400981678E-2</v>
      </c>
      <c r="I1143" s="7">
        <v>43876</v>
      </c>
      <c r="O1143" s="52" t="s">
        <v>69</v>
      </c>
      <c r="P1143">
        <v>2020</v>
      </c>
    </row>
    <row r="1144" spans="6:16" x14ac:dyDescent="0.25">
      <c r="F1144" s="7">
        <v>43877</v>
      </c>
      <c r="G1144">
        <v>4.1937119090284622E-2</v>
      </c>
      <c r="I1144" s="7">
        <v>43877</v>
      </c>
      <c r="O1144" s="52" t="s">
        <v>69</v>
      </c>
      <c r="P1144">
        <v>2020</v>
      </c>
    </row>
    <row r="1145" spans="6:16" x14ac:dyDescent="0.25">
      <c r="F1145" s="7">
        <v>43878</v>
      </c>
      <c r="G1145">
        <v>2.6714422237692249E-2</v>
      </c>
      <c r="I1145" s="7">
        <v>43878</v>
      </c>
      <c r="O1145" s="52" t="s">
        <v>69</v>
      </c>
      <c r="P1145">
        <v>2020</v>
      </c>
    </row>
    <row r="1146" spans="6:16" x14ac:dyDescent="0.25">
      <c r="F1146" s="7">
        <v>43879</v>
      </c>
      <c r="G1146">
        <v>2.6967749535638758E-2</v>
      </c>
      <c r="I1146" s="7">
        <v>43879</v>
      </c>
      <c r="O1146" s="52" t="s">
        <v>69</v>
      </c>
      <c r="P1146">
        <v>2020</v>
      </c>
    </row>
    <row r="1147" spans="6:16" x14ac:dyDescent="0.25">
      <c r="F1147" s="7">
        <v>43880</v>
      </c>
      <c r="G1147">
        <v>2.9909963169999582E-2</v>
      </c>
      <c r="I1147" s="7">
        <v>43880</v>
      </c>
      <c r="O1147" s="52" t="s">
        <v>69</v>
      </c>
      <c r="P1147">
        <v>2020</v>
      </c>
    </row>
    <row r="1148" spans="6:16" x14ac:dyDescent="0.25">
      <c r="F1148" s="7">
        <v>43881</v>
      </c>
      <c r="G1148">
        <v>3.0067091904935495E-2</v>
      </c>
      <c r="I1148" s="7">
        <v>43881</v>
      </c>
      <c r="O1148" s="52" t="s">
        <v>69</v>
      </c>
      <c r="P1148">
        <v>2020</v>
      </c>
    </row>
    <row r="1149" spans="6:16" x14ac:dyDescent="0.25">
      <c r="F1149" s="7">
        <v>43882</v>
      </c>
      <c r="G1149">
        <v>3.5937303200563819E-2</v>
      </c>
      <c r="I1149" s="7">
        <v>43882</v>
      </c>
      <c r="O1149" s="52" t="s">
        <v>69</v>
      </c>
      <c r="P1149">
        <v>2020</v>
      </c>
    </row>
    <row r="1150" spans="6:16" x14ac:dyDescent="0.25">
      <c r="F1150" s="7">
        <v>43883</v>
      </c>
      <c r="G1150">
        <v>4.9002959754911576E-2</v>
      </c>
      <c r="I1150" s="7">
        <v>43883</v>
      </c>
      <c r="O1150" s="52" t="s">
        <v>69</v>
      </c>
      <c r="P1150">
        <v>2020</v>
      </c>
    </row>
    <row r="1151" spans="6:16" x14ac:dyDescent="0.25">
      <c r="F1151" s="7">
        <v>43884</v>
      </c>
      <c r="G1151">
        <v>3.8317411309196601E-2</v>
      </c>
      <c r="I1151" s="7">
        <v>43884</v>
      </c>
      <c r="O1151" s="52" t="s">
        <v>69</v>
      </c>
      <c r="P1151">
        <v>2020</v>
      </c>
    </row>
    <row r="1152" spans="6:16" x14ac:dyDescent="0.25">
      <c r="F1152" s="7">
        <v>43885</v>
      </c>
      <c r="G1152">
        <v>2.3009220463838482E-2</v>
      </c>
      <c r="I1152" s="7">
        <v>43885</v>
      </c>
      <c r="O1152" s="52" t="s">
        <v>69</v>
      </c>
      <c r="P1152">
        <v>2020</v>
      </c>
    </row>
    <row r="1153" spans="6:16" x14ac:dyDescent="0.25">
      <c r="F1153" s="7">
        <v>43886</v>
      </c>
      <c r="G1153">
        <v>2.3229416099024992E-2</v>
      </c>
      <c r="I1153" s="7">
        <v>43886</v>
      </c>
      <c r="O1153" s="52" t="s">
        <v>69</v>
      </c>
      <c r="P1153">
        <v>2020</v>
      </c>
    </row>
    <row r="1154" spans="6:16" x14ac:dyDescent="0.25">
      <c r="F1154" s="7">
        <v>43887</v>
      </c>
      <c r="G1154">
        <v>2.6193679961011979E-2</v>
      </c>
      <c r="I1154" s="7">
        <v>43887</v>
      </c>
      <c r="O1154" s="52" t="s">
        <v>69</v>
      </c>
      <c r="P1154">
        <v>2020</v>
      </c>
    </row>
    <row r="1155" spans="6:16" x14ac:dyDescent="0.25">
      <c r="F1155" s="7">
        <v>43888</v>
      </c>
      <c r="G1155">
        <v>2.6430048282795222E-2</v>
      </c>
      <c r="I1155" s="7">
        <v>43888</v>
      </c>
      <c r="O1155" s="52" t="s">
        <v>69</v>
      </c>
      <c r="P1155">
        <v>2020</v>
      </c>
    </row>
    <row r="1156" spans="6:16" x14ac:dyDescent="0.25">
      <c r="F1156" s="7">
        <v>43889</v>
      </c>
      <c r="G1156">
        <v>3.2437800942335664E-2</v>
      </c>
      <c r="I1156" s="7">
        <v>43889</v>
      </c>
      <c r="O1156" s="52" t="s">
        <v>69</v>
      </c>
      <c r="P1156">
        <v>2020</v>
      </c>
    </row>
    <row r="1157" spans="6:16" x14ac:dyDescent="0.25">
      <c r="F1157" s="7">
        <v>43890</v>
      </c>
      <c r="G1157">
        <v>4.5699447081830123E-2</v>
      </c>
      <c r="I1157" s="7">
        <v>43890</v>
      </c>
      <c r="O1157" s="52" t="s">
        <v>69</v>
      </c>
      <c r="P1157">
        <v>2020</v>
      </c>
    </row>
    <row r="1158" spans="6:16" x14ac:dyDescent="0.25">
      <c r="F1158" s="7">
        <v>43891</v>
      </c>
      <c r="G1158">
        <v>2.9313554029260579E-2</v>
      </c>
      <c r="I1158" s="7">
        <v>43891</v>
      </c>
      <c r="O1158" s="52" t="s">
        <v>70</v>
      </c>
      <c r="P1158">
        <v>2020</v>
      </c>
    </row>
    <row r="1159" spans="6:16" x14ac:dyDescent="0.25">
      <c r="F1159" s="7">
        <v>43892</v>
      </c>
      <c r="G1159">
        <v>1.6846712593358251E-2</v>
      </c>
      <c r="I1159" s="7">
        <v>43892</v>
      </c>
      <c r="O1159" s="52" t="s">
        <v>70</v>
      </c>
      <c r="P1159">
        <v>2020</v>
      </c>
    </row>
    <row r="1160" spans="6:16" x14ac:dyDescent="0.25">
      <c r="F1160" s="7">
        <v>43893</v>
      </c>
      <c r="G1160">
        <v>1.7330463480697503E-2</v>
      </c>
      <c r="I1160" s="7">
        <v>43893</v>
      </c>
      <c r="O1160" s="52" t="s">
        <v>70</v>
      </c>
      <c r="P1160">
        <v>2020</v>
      </c>
    </row>
    <row r="1161" spans="6:16" x14ac:dyDescent="0.25">
      <c r="F1161" s="7">
        <v>43894</v>
      </c>
      <c r="G1161">
        <v>2.0135346719583242E-2</v>
      </c>
      <c r="I1161" s="7">
        <v>43894</v>
      </c>
      <c r="O1161" s="52" t="s">
        <v>70</v>
      </c>
      <c r="P1161">
        <v>2020</v>
      </c>
    </row>
    <row r="1162" spans="6:16" x14ac:dyDescent="0.25">
      <c r="F1162" s="7">
        <v>43895</v>
      </c>
      <c r="G1162">
        <v>2.0708893331048868E-2</v>
      </c>
      <c r="I1162" s="7">
        <v>43895</v>
      </c>
      <c r="O1162" s="52" t="s">
        <v>70</v>
      </c>
      <c r="P1162">
        <v>2020</v>
      </c>
    </row>
    <row r="1163" spans="6:16" x14ac:dyDescent="0.25">
      <c r="F1163" s="7">
        <v>43896</v>
      </c>
      <c r="G1163">
        <v>2.6110388690896782E-2</v>
      </c>
      <c r="I1163" s="7">
        <v>43896</v>
      </c>
      <c r="O1163" s="52" t="s">
        <v>70</v>
      </c>
      <c r="P1163">
        <v>2020</v>
      </c>
    </row>
    <row r="1164" spans="6:16" x14ac:dyDescent="0.25">
      <c r="F1164" s="7">
        <v>43897</v>
      </c>
      <c r="G1164">
        <v>3.7566144404189636E-2</v>
      </c>
      <c r="I1164" s="7">
        <v>43897</v>
      </c>
      <c r="O1164" s="52" t="s">
        <v>70</v>
      </c>
      <c r="P1164">
        <v>2020</v>
      </c>
    </row>
    <row r="1165" spans="6:16" x14ac:dyDescent="0.25">
      <c r="F1165" s="7">
        <v>43898</v>
      </c>
      <c r="G1165">
        <v>2.934661698618261E-2</v>
      </c>
      <c r="I1165" s="7">
        <v>43898</v>
      </c>
      <c r="O1165" s="52" t="s">
        <v>70</v>
      </c>
      <c r="P1165">
        <v>2020</v>
      </c>
    </row>
    <row r="1166" spans="6:16" x14ac:dyDescent="0.25">
      <c r="F1166" s="7">
        <v>43899</v>
      </c>
      <c r="G1166">
        <v>1.734220768486823E-2</v>
      </c>
      <c r="I1166" s="7">
        <v>43899</v>
      </c>
      <c r="O1166" s="52" t="s">
        <v>70</v>
      </c>
      <c r="P1166">
        <v>2020</v>
      </c>
    </row>
    <row r="1167" spans="6:16" x14ac:dyDescent="0.25">
      <c r="F1167" s="7">
        <v>43900</v>
      </c>
      <c r="G1167">
        <v>1.8291772269044864E-2</v>
      </c>
      <c r="I1167" s="7">
        <v>43900</v>
      </c>
      <c r="O1167" s="52" t="s">
        <v>70</v>
      </c>
      <c r="P1167">
        <v>2020</v>
      </c>
    </row>
    <row r="1168" spans="6:16" x14ac:dyDescent="0.25">
      <c r="F1168" s="7">
        <v>43901</v>
      </c>
      <c r="G1168">
        <v>2.1557747853092332E-2</v>
      </c>
      <c r="I1168" s="7">
        <v>43901</v>
      </c>
      <c r="O1168" s="52" t="s">
        <v>70</v>
      </c>
      <c r="P1168">
        <v>2020</v>
      </c>
    </row>
    <row r="1169" spans="6:16" x14ac:dyDescent="0.25">
      <c r="F1169" s="7">
        <v>43902</v>
      </c>
      <c r="G1169">
        <v>2.2579339079914214E-2</v>
      </c>
      <c r="I1169" s="7">
        <v>43902</v>
      </c>
      <c r="O1169" s="52" t="s">
        <v>70</v>
      </c>
      <c r="P1169">
        <v>2020</v>
      </c>
    </row>
    <row r="1170" spans="6:16" x14ac:dyDescent="0.25">
      <c r="F1170" s="7">
        <v>43903</v>
      </c>
      <c r="G1170">
        <v>2.8407437248202827E-2</v>
      </c>
      <c r="I1170" s="7">
        <v>43903</v>
      </c>
      <c r="O1170" s="52" t="s">
        <v>70</v>
      </c>
      <c r="P1170">
        <v>2020</v>
      </c>
    </row>
    <row r="1171" spans="6:16" x14ac:dyDescent="0.25">
      <c r="F1171" s="7">
        <v>43904</v>
      </c>
      <c r="G1171">
        <v>4.0260056385353543E-2</v>
      </c>
      <c r="I1171" s="7">
        <v>43904</v>
      </c>
      <c r="O1171" s="52" t="s">
        <v>70</v>
      </c>
      <c r="P1171">
        <v>2020</v>
      </c>
    </row>
    <row r="1172" spans="6:16" x14ac:dyDescent="0.25">
      <c r="F1172" s="7">
        <v>43905</v>
      </c>
      <c r="G1172">
        <v>3.239962138589976E-2</v>
      </c>
      <c r="I1172" s="7">
        <v>43905</v>
      </c>
      <c r="O1172" s="52" t="s">
        <v>70</v>
      </c>
      <c r="P1172">
        <v>2020</v>
      </c>
    </row>
    <row r="1173" spans="6:16" x14ac:dyDescent="0.25">
      <c r="F1173" s="7">
        <v>43906</v>
      </c>
      <c r="G1173">
        <v>2.0708938831941685E-2</v>
      </c>
      <c r="I1173" s="7">
        <v>43906</v>
      </c>
      <c r="O1173" s="52" t="s">
        <v>70</v>
      </c>
      <c r="P1173">
        <v>2020</v>
      </c>
    </row>
    <row r="1174" spans="6:16" x14ac:dyDescent="0.25">
      <c r="F1174" s="7">
        <v>43907</v>
      </c>
      <c r="G1174">
        <v>2.1919875465933651E-2</v>
      </c>
      <c r="I1174" s="7">
        <v>43907</v>
      </c>
      <c r="O1174" s="52" t="s">
        <v>70</v>
      </c>
      <c r="P1174">
        <v>2020</v>
      </c>
    </row>
    <row r="1175" spans="6:16" x14ac:dyDescent="0.25">
      <c r="F1175" s="7">
        <v>43908</v>
      </c>
      <c r="G1175">
        <v>2.5388647471229195E-2</v>
      </c>
      <c r="I1175" s="7">
        <v>43908</v>
      </c>
      <c r="O1175" s="52" t="s">
        <v>70</v>
      </c>
      <c r="P1175">
        <v>2020</v>
      </c>
    </row>
    <row r="1176" spans="6:16" x14ac:dyDescent="0.25">
      <c r="F1176" s="7">
        <v>43909</v>
      </c>
      <c r="G1176">
        <v>2.6549158909008282E-2</v>
      </c>
      <c r="I1176" s="7">
        <v>43909</v>
      </c>
      <c r="O1176" s="52" t="s">
        <v>70</v>
      </c>
      <c r="P1176">
        <v>2020</v>
      </c>
    </row>
    <row r="1177" spans="6:16" x14ac:dyDescent="0.25">
      <c r="F1177" s="7">
        <v>43910</v>
      </c>
      <c r="G1177">
        <v>3.2448058883415544E-2</v>
      </c>
      <c r="I1177" s="7">
        <v>43910</v>
      </c>
      <c r="O1177" s="52" t="s">
        <v>70</v>
      </c>
      <c r="P1177">
        <v>2020</v>
      </c>
    </row>
    <row r="1178" spans="6:16" x14ac:dyDescent="0.25">
      <c r="F1178" s="7">
        <v>43911</v>
      </c>
      <c r="G1178">
        <v>4.4300297971675014E-2</v>
      </c>
      <c r="I1178" s="7">
        <v>43911</v>
      </c>
      <c r="O1178" s="52" t="s">
        <v>70</v>
      </c>
      <c r="P1178">
        <v>2020</v>
      </c>
    </row>
    <row r="1179" spans="6:16" x14ac:dyDescent="0.25">
      <c r="F1179" s="7">
        <v>43912</v>
      </c>
      <c r="G1179">
        <v>3.6366515294421781E-2</v>
      </c>
      <c r="I1179" s="7">
        <v>43912</v>
      </c>
      <c r="O1179" s="52" t="s">
        <v>70</v>
      </c>
      <c r="P1179">
        <v>2020</v>
      </c>
    </row>
    <row r="1180" spans="6:16" x14ac:dyDescent="0.25">
      <c r="F1180" s="7">
        <v>43913</v>
      </c>
      <c r="G1180">
        <v>2.4529084088709047E-2</v>
      </c>
      <c r="I1180" s="7">
        <v>43913</v>
      </c>
      <c r="O1180" s="52" t="s">
        <v>70</v>
      </c>
      <c r="P1180">
        <v>2020</v>
      </c>
    </row>
    <row r="1181" spans="6:16" x14ac:dyDescent="0.25">
      <c r="F1181" s="7">
        <v>43914</v>
      </c>
      <c r="G1181">
        <v>2.5520838036345115E-2</v>
      </c>
      <c r="I1181" s="7">
        <v>43914</v>
      </c>
      <c r="O1181" s="52" t="s">
        <v>70</v>
      </c>
      <c r="P1181">
        <v>2020</v>
      </c>
    </row>
    <row r="1182" spans="6:16" x14ac:dyDescent="0.25">
      <c r="F1182" s="7">
        <v>43915</v>
      </c>
      <c r="G1182">
        <v>2.8700379532101628E-2</v>
      </c>
      <c r="I1182" s="7">
        <v>43915</v>
      </c>
      <c r="O1182" s="52" t="s">
        <v>70</v>
      </c>
      <c r="P1182">
        <v>2020</v>
      </c>
    </row>
    <row r="1183" spans="6:16" x14ac:dyDescent="0.25">
      <c r="F1183" s="7">
        <v>43916</v>
      </c>
      <c r="G1183">
        <v>2.9505406907494744E-2</v>
      </c>
      <c r="I1183" s="7">
        <v>43916</v>
      </c>
      <c r="O1183" s="52" t="s">
        <v>70</v>
      </c>
      <c r="P1183">
        <v>2020</v>
      </c>
    </row>
    <row r="1184" spans="6:16" x14ac:dyDescent="0.25">
      <c r="F1184" s="7">
        <v>43917</v>
      </c>
      <c r="G1184">
        <v>3.4987729502540713E-2</v>
      </c>
      <c r="I1184" s="7">
        <v>43917</v>
      </c>
      <c r="O1184" s="52" t="s">
        <v>70</v>
      </c>
      <c r="P1184">
        <v>2020</v>
      </c>
    </row>
    <row r="1185" spans="6:16" x14ac:dyDescent="0.25">
      <c r="F1185" s="7">
        <v>43918</v>
      </c>
      <c r="G1185">
        <v>4.6368751085946028E-2</v>
      </c>
      <c r="I1185" s="7">
        <v>43918</v>
      </c>
      <c r="O1185" s="52" t="s">
        <v>70</v>
      </c>
      <c r="P1185">
        <v>2020</v>
      </c>
    </row>
    <row r="1186" spans="6:16" x14ac:dyDescent="0.25">
      <c r="F1186" s="7">
        <v>43919</v>
      </c>
      <c r="G1186">
        <v>3.7916753916977679E-2</v>
      </c>
      <c r="I1186" s="7">
        <v>43919</v>
      </c>
      <c r="O1186" s="52" t="s">
        <v>70</v>
      </c>
      <c r="P1186">
        <v>2020</v>
      </c>
    </row>
    <row r="1187" spans="6:16" x14ac:dyDescent="0.25">
      <c r="F1187" s="7">
        <v>43920</v>
      </c>
      <c r="G1187">
        <v>2.5522812732564348E-2</v>
      </c>
      <c r="I1187" s="7">
        <v>43920</v>
      </c>
      <c r="O1187" s="52" t="s">
        <v>70</v>
      </c>
      <c r="P1187">
        <v>2020</v>
      </c>
    </row>
    <row r="1188" spans="6:16" x14ac:dyDescent="0.25">
      <c r="F1188" s="7">
        <v>43921</v>
      </c>
      <c r="G1188">
        <v>2.5929363261753727E-2</v>
      </c>
      <c r="I1188" s="7">
        <v>43921</v>
      </c>
      <c r="O1188" s="52" t="s">
        <v>70</v>
      </c>
      <c r="P1188">
        <v>2020</v>
      </c>
    </row>
    <row r="1189" spans="6:16" x14ac:dyDescent="0.25">
      <c r="F1189" s="7">
        <v>43922</v>
      </c>
      <c r="G1189">
        <v>2.8505329423913889E-2</v>
      </c>
      <c r="I1189" s="7">
        <v>43922</v>
      </c>
      <c r="O1189" s="52" t="s">
        <v>70</v>
      </c>
      <c r="P1189">
        <v>2020</v>
      </c>
    </row>
    <row r="1190" spans="6:16" x14ac:dyDescent="0.25">
      <c r="F1190" s="7">
        <v>43923</v>
      </c>
      <c r="G1190">
        <v>2.8699249758365925E-2</v>
      </c>
      <c r="I1190" s="7">
        <v>43923</v>
      </c>
      <c r="O1190" s="52" t="s">
        <v>70</v>
      </c>
      <c r="P1190">
        <v>2020</v>
      </c>
    </row>
    <row r="1191" spans="6:16" x14ac:dyDescent="0.25">
      <c r="F1191" s="7">
        <v>43924</v>
      </c>
      <c r="G1191">
        <v>3.3574076235940262E-2</v>
      </c>
      <c r="I1191" s="7">
        <v>43924</v>
      </c>
      <c r="O1191" s="52" t="s">
        <v>70</v>
      </c>
      <c r="P1191">
        <v>2020</v>
      </c>
    </row>
    <row r="1192" spans="6:16" x14ac:dyDescent="0.25">
      <c r="F1192" s="7">
        <v>43925</v>
      </c>
      <c r="G1192">
        <v>4.4362430548128495E-2</v>
      </c>
      <c r="I1192" s="7">
        <v>43925</v>
      </c>
      <c r="O1192" s="52" t="s">
        <v>70</v>
      </c>
      <c r="P1192">
        <v>2020</v>
      </c>
    </row>
    <row r="1193" spans="6:16" x14ac:dyDescent="0.25">
      <c r="F1193" s="7">
        <v>43926</v>
      </c>
      <c r="G1193">
        <v>5.2842703372439633E-2</v>
      </c>
      <c r="I1193" s="7">
        <v>43926</v>
      </c>
      <c r="O1193" s="52" t="s">
        <v>71</v>
      </c>
      <c r="P1193">
        <v>2020</v>
      </c>
    </row>
    <row r="1194" spans="6:16" x14ac:dyDescent="0.25">
      <c r="F1194" s="7">
        <v>43927</v>
      </c>
      <c r="G1194">
        <v>3.3519642191584875E-2</v>
      </c>
      <c r="I1194" s="7">
        <v>43927</v>
      </c>
      <c r="O1194" s="52" t="s">
        <v>71</v>
      </c>
      <c r="P1194">
        <v>2020</v>
      </c>
    </row>
    <row r="1195" spans="6:16" x14ac:dyDescent="0.25">
      <c r="F1195" s="7">
        <v>43928</v>
      </c>
      <c r="G1195">
        <v>3.3404425923268657E-2</v>
      </c>
      <c r="I1195" s="7">
        <v>43928</v>
      </c>
      <c r="O1195" s="52" t="s">
        <v>71</v>
      </c>
      <c r="P1195">
        <v>2020</v>
      </c>
    </row>
    <row r="1196" spans="6:16" x14ac:dyDescent="0.25">
      <c r="F1196" s="7">
        <v>43929</v>
      </c>
      <c r="G1196">
        <v>3.6616182245608989E-2</v>
      </c>
      <c r="I1196" s="7">
        <v>43929</v>
      </c>
      <c r="O1196" s="52" t="s">
        <v>71</v>
      </c>
      <c r="P1196">
        <v>2020</v>
      </c>
    </row>
    <row r="1197" spans="6:16" x14ac:dyDescent="0.25">
      <c r="F1197" s="7">
        <v>43930</v>
      </c>
      <c r="G1197">
        <v>3.6362183194931251E-2</v>
      </c>
      <c r="I1197" s="7">
        <v>43930</v>
      </c>
      <c r="O1197" s="52" t="s">
        <v>71</v>
      </c>
      <c r="P1197">
        <v>2020</v>
      </c>
    </row>
    <row r="1198" spans="6:16" x14ac:dyDescent="0.25">
      <c r="F1198" s="7">
        <v>43931</v>
      </c>
      <c r="G1198">
        <v>4.3212713132108047E-2</v>
      </c>
      <c r="I1198" s="7">
        <v>43931</v>
      </c>
      <c r="O1198" s="52" t="s">
        <v>71</v>
      </c>
      <c r="P1198">
        <v>2020</v>
      </c>
    </row>
    <row r="1199" spans="6:16" x14ac:dyDescent="0.25">
      <c r="F1199" s="7">
        <v>43932</v>
      </c>
      <c r="G1199">
        <v>5.9018997121240806E-2</v>
      </c>
      <c r="I1199" s="7">
        <v>43932</v>
      </c>
      <c r="O1199" s="52" t="s">
        <v>71</v>
      </c>
      <c r="P1199">
        <v>2020</v>
      </c>
    </row>
    <row r="1200" spans="6:16" x14ac:dyDescent="0.25">
      <c r="F1200" s="7">
        <v>43933</v>
      </c>
      <c r="G1200">
        <v>4.5331845998164852E-2</v>
      </c>
      <c r="I1200" s="7">
        <v>43933</v>
      </c>
      <c r="O1200" s="52" t="s">
        <v>71</v>
      </c>
      <c r="P1200">
        <v>2020</v>
      </c>
    </row>
    <row r="1201" spans="6:16" x14ac:dyDescent="0.25">
      <c r="F1201" s="7">
        <v>43934</v>
      </c>
      <c r="G1201">
        <v>2.5929796984755123E-2</v>
      </c>
      <c r="I1201" s="7">
        <v>43934</v>
      </c>
      <c r="O1201" s="52" t="s">
        <v>71</v>
      </c>
      <c r="P1201">
        <v>2020</v>
      </c>
    </row>
    <row r="1202" spans="6:16" x14ac:dyDescent="0.25">
      <c r="F1202" s="7">
        <v>43935</v>
      </c>
      <c r="G1202">
        <v>2.5860846560150124E-2</v>
      </c>
      <c r="I1202" s="7">
        <v>43935</v>
      </c>
      <c r="O1202" s="52" t="s">
        <v>71</v>
      </c>
      <c r="P1202">
        <v>2020</v>
      </c>
    </row>
    <row r="1203" spans="6:16" x14ac:dyDescent="0.25">
      <c r="F1203" s="7">
        <v>43936</v>
      </c>
      <c r="G1203">
        <v>2.9242757125222254E-2</v>
      </c>
      <c r="I1203" s="7">
        <v>43936</v>
      </c>
      <c r="O1203" s="52" t="s">
        <v>71</v>
      </c>
      <c r="P1203">
        <v>2020</v>
      </c>
    </row>
    <row r="1204" spans="6:16" x14ac:dyDescent="0.25">
      <c r="F1204" s="7">
        <v>43937</v>
      </c>
      <c r="G1204">
        <v>2.9278925836986002E-2</v>
      </c>
      <c r="I1204" s="7">
        <v>43937</v>
      </c>
      <c r="O1204" s="52" t="s">
        <v>71</v>
      </c>
      <c r="P1204">
        <v>2020</v>
      </c>
    </row>
    <row r="1205" spans="6:16" x14ac:dyDescent="0.25">
      <c r="F1205" s="7">
        <v>43938</v>
      </c>
      <c r="G1205">
        <v>3.6533329629905791E-2</v>
      </c>
      <c r="I1205" s="7">
        <v>43938</v>
      </c>
      <c r="O1205" s="52" t="s">
        <v>71</v>
      </c>
      <c r="P1205">
        <v>2020</v>
      </c>
    </row>
    <row r="1206" spans="6:16" x14ac:dyDescent="0.25">
      <c r="F1206" s="7">
        <v>43939</v>
      </c>
      <c r="G1206">
        <v>5.2848585961318383E-2</v>
      </c>
      <c r="I1206" s="7">
        <v>43939</v>
      </c>
      <c r="O1206" s="52" t="s">
        <v>71</v>
      </c>
      <c r="P1206">
        <v>2020</v>
      </c>
    </row>
    <row r="1207" spans="6:16" x14ac:dyDescent="0.25">
      <c r="F1207" s="7">
        <v>43940</v>
      </c>
      <c r="G1207">
        <v>3.9764783139094546E-2</v>
      </c>
      <c r="I1207" s="7">
        <v>43940</v>
      </c>
      <c r="O1207" s="52" t="s">
        <v>71</v>
      </c>
      <c r="P1207">
        <v>2020</v>
      </c>
    </row>
    <row r="1208" spans="6:16" x14ac:dyDescent="0.25">
      <c r="F1208" s="7">
        <v>43941</v>
      </c>
      <c r="G1208">
        <v>2.1047854923431874E-2</v>
      </c>
      <c r="I1208" s="7">
        <v>43941</v>
      </c>
      <c r="O1208" s="52" t="s">
        <v>71</v>
      </c>
      <c r="P1208">
        <v>2020</v>
      </c>
    </row>
    <row r="1209" spans="6:16" x14ac:dyDescent="0.25">
      <c r="F1209" s="7">
        <v>43942</v>
      </c>
      <c r="G1209">
        <v>2.1731591003779863E-2</v>
      </c>
      <c r="I1209" s="7">
        <v>43942</v>
      </c>
      <c r="O1209" s="52" t="s">
        <v>71</v>
      </c>
      <c r="P1209">
        <v>2020</v>
      </c>
    </row>
    <row r="1210" spans="6:16" x14ac:dyDescent="0.25">
      <c r="F1210" s="7">
        <v>43943</v>
      </c>
      <c r="G1210">
        <v>2.5918258590694233E-2</v>
      </c>
      <c r="I1210" s="7">
        <v>43943</v>
      </c>
      <c r="O1210" s="52" t="s">
        <v>71</v>
      </c>
      <c r="P1210">
        <v>2020</v>
      </c>
    </row>
    <row r="1211" spans="6:16" x14ac:dyDescent="0.25">
      <c r="F1211" s="7">
        <v>43944</v>
      </c>
      <c r="G1211">
        <v>2.6794816217977781E-2</v>
      </c>
      <c r="I1211" s="7">
        <v>43944</v>
      </c>
      <c r="O1211" s="52" t="s">
        <v>71</v>
      </c>
      <c r="P1211">
        <v>2020</v>
      </c>
    </row>
    <row r="1212" spans="6:16" x14ac:dyDescent="0.25">
      <c r="F1212" s="7">
        <v>43945</v>
      </c>
      <c r="G1212">
        <v>3.4908225591231357E-2</v>
      </c>
      <c r="I1212" s="7">
        <v>43945</v>
      </c>
      <c r="O1212" s="52" t="s">
        <v>71</v>
      </c>
      <c r="P1212">
        <v>2020</v>
      </c>
    </row>
    <row r="1213" spans="6:16" x14ac:dyDescent="0.25">
      <c r="F1213" s="7">
        <v>43946</v>
      </c>
      <c r="G1213">
        <v>5.2083892536771703E-2</v>
      </c>
      <c r="I1213" s="7">
        <v>43946</v>
      </c>
      <c r="O1213" s="52" t="s">
        <v>71</v>
      </c>
      <c r="P1213">
        <v>2020</v>
      </c>
    </row>
    <row r="1214" spans="6:16" x14ac:dyDescent="0.25">
      <c r="F1214" s="7">
        <v>43947</v>
      </c>
      <c r="G1214">
        <v>3.984488164259363E-2</v>
      </c>
      <c r="I1214" s="7">
        <v>43947</v>
      </c>
      <c r="O1214" s="52" t="s">
        <v>71</v>
      </c>
      <c r="P1214">
        <v>2020</v>
      </c>
    </row>
    <row r="1215" spans="6:16" x14ac:dyDescent="0.25">
      <c r="F1215" s="7">
        <v>43948</v>
      </c>
      <c r="G1215">
        <v>2.1940670264960348E-2</v>
      </c>
      <c r="I1215" s="7">
        <v>43948</v>
      </c>
      <c r="O1215" s="52" t="s">
        <v>71</v>
      </c>
      <c r="P1215">
        <v>2020</v>
      </c>
    </row>
    <row r="1216" spans="6:16" x14ac:dyDescent="0.25">
      <c r="F1216" s="7">
        <v>43949</v>
      </c>
      <c r="G1216">
        <v>2.3389524188649584E-2</v>
      </c>
      <c r="I1216" s="7">
        <v>43949</v>
      </c>
      <c r="O1216" s="52" t="s">
        <v>71</v>
      </c>
      <c r="P1216">
        <v>2020</v>
      </c>
    </row>
    <row r="1217" spans="6:16" x14ac:dyDescent="0.25">
      <c r="F1217" s="7">
        <v>43950</v>
      </c>
      <c r="G1217">
        <v>2.8279461542307555E-2</v>
      </c>
      <c r="I1217" s="7">
        <v>43950</v>
      </c>
      <c r="O1217" s="52" t="s">
        <v>71</v>
      </c>
      <c r="P1217">
        <v>2020</v>
      </c>
    </row>
    <row r="1218" spans="6:16" x14ac:dyDescent="0.25">
      <c r="F1218" s="7">
        <v>43951</v>
      </c>
      <c r="G1218">
        <v>2.9784777503466493E-2</v>
      </c>
      <c r="I1218" s="7">
        <v>43951</v>
      </c>
      <c r="O1218" s="52" t="s">
        <v>71</v>
      </c>
      <c r="P1218">
        <v>2020</v>
      </c>
    </row>
    <row r="1219" spans="6:16" x14ac:dyDescent="0.25">
      <c r="F1219" s="7">
        <v>43952</v>
      </c>
      <c r="G1219">
        <v>3.84416283712785E-2</v>
      </c>
      <c r="I1219" s="7">
        <v>43952</v>
      </c>
      <c r="O1219" s="52" t="s">
        <v>71</v>
      </c>
      <c r="P1219">
        <v>2020</v>
      </c>
    </row>
    <row r="1220" spans="6:16" x14ac:dyDescent="0.25">
      <c r="F1220" s="7">
        <v>43953</v>
      </c>
      <c r="G1220">
        <v>5.6066699206077812E-2</v>
      </c>
      <c r="I1220" s="7">
        <v>43953</v>
      </c>
      <c r="O1220" s="52" t="s">
        <v>71</v>
      </c>
      <c r="P1220">
        <v>2020</v>
      </c>
    </row>
    <row r="1221" spans="6:16" x14ac:dyDescent="0.25">
      <c r="F1221" s="7">
        <v>43954</v>
      </c>
      <c r="G1221">
        <v>3.9972689824315427E-2</v>
      </c>
      <c r="I1221" s="7">
        <v>43954</v>
      </c>
      <c r="O1221" s="52" t="s">
        <v>72</v>
      </c>
      <c r="P1221">
        <v>2020</v>
      </c>
    </row>
    <row r="1222" spans="6:16" x14ac:dyDescent="0.25">
      <c r="F1222" s="7">
        <v>43955</v>
      </c>
      <c r="G1222">
        <v>2.3993345622350174E-2</v>
      </c>
      <c r="I1222" s="7">
        <v>43955</v>
      </c>
      <c r="O1222" s="52" t="s">
        <v>72</v>
      </c>
      <c r="P1222">
        <v>2020</v>
      </c>
    </row>
    <row r="1223" spans="6:16" x14ac:dyDescent="0.25">
      <c r="F1223" s="7">
        <v>43956</v>
      </c>
      <c r="G1223">
        <v>2.5429297581051381E-2</v>
      </c>
      <c r="I1223" s="7">
        <v>43956</v>
      </c>
      <c r="O1223" s="52" t="s">
        <v>72</v>
      </c>
      <c r="P1223">
        <v>2020</v>
      </c>
    </row>
    <row r="1224" spans="6:16" x14ac:dyDescent="0.25">
      <c r="F1224" s="7">
        <v>43957</v>
      </c>
      <c r="G1224">
        <v>2.9883503777548122E-2</v>
      </c>
      <c r="I1224" s="7">
        <v>43957</v>
      </c>
      <c r="O1224" s="52" t="s">
        <v>72</v>
      </c>
      <c r="P1224">
        <v>2020</v>
      </c>
    </row>
    <row r="1225" spans="6:16" x14ac:dyDescent="0.25">
      <c r="F1225" s="7">
        <v>43958</v>
      </c>
      <c r="G1225">
        <v>3.1182700278232618E-2</v>
      </c>
      <c r="I1225" s="7">
        <v>43958</v>
      </c>
      <c r="O1225" s="52" t="s">
        <v>72</v>
      </c>
      <c r="P1225">
        <v>2020</v>
      </c>
    </row>
    <row r="1226" spans="6:16" x14ac:dyDescent="0.25">
      <c r="F1226" s="7">
        <v>43959</v>
      </c>
      <c r="G1226">
        <v>3.8865366378491986E-2</v>
      </c>
      <c r="I1226" s="7">
        <v>43959</v>
      </c>
      <c r="O1226" s="52" t="s">
        <v>72</v>
      </c>
      <c r="P1226">
        <v>2020</v>
      </c>
    </row>
    <row r="1227" spans="6:16" x14ac:dyDescent="0.25">
      <c r="F1227" s="7">
        <v>43960</v>
      </c>
      <c r="G1227">
        <v>5.4582174708647686E-2</v>
      </c>
      <c r="I1227" s="7">
        <v>43960</v>
      </c>
      <c r="O1227" s="52" t="s">
        <v>72</v>
      </c>
      <c r="P1227">
        <v>2020</v>
      </c>
    </row>
    <row r="1228" spans="6:16" x14ac:dyDescent="0.25">
      <c r="F1228" s="7">
        <v>43961</v>
      </c>
      <c r="G1228">
        <v>4.3520437282306847E-2</v>
      </c>
      <c r="I1228" s="7">
        <v>43961</v>
      </c>
      <c r="O1228" s="52" t="s">
        <v>72</v>
      </c>
      <c r="P1228">
        <v>2020</v>
      </c>
    </row>
    <row r="1229" spans="6:16" x14ac:dyDescent="0.25">
      <c r="F1229" s="7">
        <v>43962</v>
      </c>
      <c r="G1229">
        <v>2.7175955503025481E-2</v>
      </c>
      <c r="I1229" s="7">
        <v>43962</v>
      </c>
      <c r="O1229" s="52" t="s">
        <v>72</v>
      </c>
      <c r="P1229">
        <v>2020</v>
      </c>
    </row>
    <row r="1230" spans="6:16" x14ac:dyDescent="0.25">
      <c r="F1230" s="7">
        <v>43963</v>
      </c>
      <c r="G1230">
        <v>2.8195990254535577E-2</v>
      </c>
      <c r="I1230" s="7">
        <v>43963</v>
      </c>
      <c r="O1230" s="52" t="s">
        <v>72</v>
      </c>
      <c r="P1230">
        <v>2020</v>
      </c>
    </row>
    <row r="1231" spans="6:16" x14ac:dyDescent="0.25">
      <c r="F1231" s="7">
        <v>43964</v>
      </c>
      <c r="G1231">
        <v>3.2195646690481673E-2</v>
      </c>
      <c r="I1231" s="7">
        <v>43964</v>
      </c>
      <c r="O1231" s="52" t="s">
        <v>72</v>
      </c>
      <c r="P1231">
        <v>2020</v>
      </c>
    </row>
    <row r="1232" spans="6:16" x14ac:dyDescent="0.25">
      <c r="F1232" s="7">
        <v>43965</v>
      </c>
      <c r="G1232">
        <v>3.3014389433792084E-2</v>
      </c>
      <c r="I1232" s="7">
        <v>43965</v>
      </c>
      <c r="O1232" s="52" t="s">
        <v>72</v>
      </c>
      <c r="P1232">
        <v>2020</v>
      </c>
    </row>
    <row r="1233" spans="6:16" x14ac:dyDescent="0.25">
      <c r="F1233" s="7">
        <v>43966</v>
      </c>
      <c r="G1233">
        <v>4.0203678100104882E-2</v>
      </c>
      <c r="I1233" s="7">
        <v>43966</v>
      </c>
      <c r="O1233" s="52" t="s">
        <v>72</v>
      </c>
      <c r="P1233">
        <v>2020</v>
      </c>
    </row>
    <row r="1234" spans="6:16" x14ac:dyDescent="0.25">
      <c r="F1234" s="7">
        <v>43967</v>
      </c>
      <c r="G1234">
        <v>5.542708500712331E-2</v>
      </c>
      <c r="I1234" s="7">
        <v>43967</v>
      </c>
      <c r="O1234" s="52" t="s">
        <v>72</v>
      </c>
      <c r="P1234">
        <v>2020</v>
      </c>
    </row>
    <row r="1235" spans="6:16" x14ac:dyDescent="0.25">
      <c r="F1235" s="7">
        <v>43968</v>
      </c>
      <c r="G1235">
        <v>4.3884414804385645E-2</v>
      </c>
      <c r="I1235" s="7">
        <v>43968</v>
      </c>
      <c r="O1235" s="52" t="s">
        <v>72</v>
      </c>
      <c r="P1235">
        <v>2020</v>
      </c>
    </row>
    <row r="1236" spans="6:16" x14ac:dyDescent="0.25">
      <c r="F1236" s="7">
        <v>43969</v>
      </c>
      <c r="G1236">
        <v>2.7083242262611083E-2</v>
      </c>
      <c r="I1236" s="7">
        <v>43969</v>
      </c>
      <c r="O1236" s="52" t="s">
        <v>72</v>
      </c>
      <c r="P1236">
        <v>2020</v>
      </c>
    </row>
    <row r="1237" spans="6:16" x14ac:dyDescent="0.25">
      <c r="F1237" s="7">
        <v>43970</v>
      </c>
      <c r="G1237">
        <v>2.7681592381691409E-2</v>
      </c>
      <c r="I1237" s="7">
        <v>43970</v>
      </c>
      <c r="O1237" s="52" t="s">
        <v>72</v>
      </c>
      <c r="P1237">
        <v>2020</v>
      </c>
    </row>
    <row r="1238" spans="6:16" x14ac:dyDescent="0.25">
      <c r="F1238" s="7">
        <v>43971</v>
      </c>
      <c r="G1238">
        <v>3.1304064723350025E-2</v>
      </c>
      <c r="I1238" s="7">
        <v>43971</v>
      </c>
      <c r="O1238" s="52" t="s">
        <v>72</v>
      </c>
      <c r="P1238">
        <v>2020</v>
      </c>
    </row>
    <row r="1239" spans="6:16" x14ac:dyDescent="0.25">
      <c r="F1239" s="7">
        <v>43972</v>
      </c>
      <c r="G1239">
        <v>3.1798124337190037E-2</v>
      </c>
      <c r="I1239" s="7">
        <v>43972</v>
      </c>
      <c r="O1239" s="52" t="s">
        <v>72</v>
      </c>
      <c r="P1239">
        <v>2020</v>
      </c>
    </row>
    <row r="1240" spans="6:16" x14ac:dyDescent="0.25">
      <c r="F1240" s="7">
        <v>43973</v>
      </c>
      <c r="G1240">
        <v>3.8721554625272131E-2</v>
      </c>
      <c r="I1240" s="7">
        <v>43973</v>
      </c>
      <c r="O1240" s="52" t="s">
        <v>72</v>
      </c>
      <c r="P1240">
        <v>2020</v>
      </c>
    </row>
    <row r="1241" spans="6:16" x14ac:dyDescent="0.25">
      <c r="F1241" s="7">
        <v>43974</v>
      </c>
      <c r="G1241">
        <v>5.3742438616894581E-2</v>
      </c>
      <c r="I1241" s="7">
        <v>43974</v>
      </c>
      <c r="O1241" s="52" t="s">
        <v>72</v>
      </c>
      <c r="P1241">
        <v>2020</v>
      </c>
    </row>
    <row r="1242" spans="6:16" x14ac:dyDescent="0.25">
      <c r="F1242" s="7">
        <v>43975</v>
      </c>
      <c r="G1242">
        <v>4.2063191566505412E-2</v>
      </c>
      <c r="I1242" s="7">
        <v>43975</v>
      </c>
      <c r="O1242" s="52" t="s">
        <v>72</v>
      </c>
      <c r="P1242">
        <v>2020</v>
      </c>
    </row>
    <row r="1243" spans="6:16" x14ac:dyDescent="0.25">
      <c r="F1243" s="7">
        <v>43976</v>
      </c>
      <c r="G1243">
        <v>2.5192063134641469E-2</v>
      </c>
      <c r="I1243" s="7">
        <v>43976</v>
      </c>
      <c r="O1243" s="52" t="s">
        <v>72</v>
      </c>
      <c r="P1243">
        <v>2020</v>
      </c>
    </row>
    <row r="1244" spans="6:16" x14ac:dyDescent="0.25">
      <c r="F1244" s="7">
        <v>43977</v>
      </c>
      <c r="G1244">
        <v>2.5785833689851708E-2</v>
      </c>
      <c r="I1244" s="7">
        <v>43977</v>
      </c>
      <c r="O1244" s="52" t="s">
        <v>72</v>
      </c>
      <c r="P1244">
        <v>2020</v>
      </c>
    </row>
    <row r="1245" spans="6:16" x14ac:dyDescent="0.25">
      <c r="F1245" s="7">
        <v>43978</v>
      </c>
      <c r="G1245">
        <v>2.946600612542645E-2</v>
      </c>
      <c r="I1245" s="7">
        <v>43978</v>
      </c>
      <c r="O1245" s="52" t="s">
        <v>72</v>
      </c>
      <c r="P1245">
        <v>2020</v>
      </c>
    </row>
    <row r="1246" spans="6:16" x14ac:dyDescent="0.25">
      <c r="F1246" s="7">
        <v>43979</v>
      </c>
      <c r="G1246">
        <v>3.0075213089869386E-2</v>
      </c>
      <c r="I1246" s="7">
        <v>43979</v>
      </c>
      <c r="O1246" s="52" t="s">
        <v>72</v>
      </c>
      <c r="P1246">
        <v>2020</v>
      </c>
    </row>
    <row r="1247" spans="6:16" x14ac:dyDescent="0.25">
      <c r="F1247" s="7">
        <v>43980</v>
      </c>
      <c r="G1247">
        <v>3.7164831846922888E-2</v>
      </c>
      <c r="I1247" s="7">
        <v>43980</v>
      </c>
      <c r="O1247" s="52" t="s">
        <v>72</v>
      </c>
      <c r="P1247">
        <v>2020</v>
      </c>
    </row>
    <row r="1248" spans="6:16" x14ac:dyDescent="0.25">
      <c r="F1248" s="7">
        <v>43981</v>
      </c>
      <c r="G1248">
        <v>5.2395168353380615E-2</v>
      </c>
      <c r="I1248" s="7">
        <v>43981</v>
      </c>
      <c r="O1248" s="52" t="s">
        <v>72</v>
      </c>
      <c r="P1248">
        <v>2020</v>
      </c>
    </row>
    <row r="1249" spans="6:16" x14ac:dyDescent="0.25">
      <c r="F1249" s="7">
        <v>43982</v>
      </c>
      <c r="G1249">
        <v>3.526805734055552E-2</v>
      </c>
      <c r="I1249" s="7">
        <v>43982</v>
      </c>
      <c r="O1249" s="52" t="s">
        <v>73</v>
      </c>
      <c r="P1249">
        <v>2020</v>
      </c>
    </row>
    <row r="1250" spans="6:16" x14ac:dyDescent="0.25">
      <c r="F1250" s="7">
        <v>43983</v>
      </c>
      <c r="G1250">
        <v>2.0972392764056269E-2</v>
      </c>
      <c r="I1250" s="7">
        <v>43983</v>
      </c>
      <c r="O1250" s="52" t="s">
        <v>73</v>
      </c>
      <c r="P1250">
        <v>2020</v>
      </c>
    </row>
    <row r="1251" spans="6:16" x14ac:dyDescent="0.25">
      <c r="F1251" s="7">
        <v>43984</v>
      </c>
      <c r="G1251">
        <v>2.1726991222753733E-2</v>
      </c>
      <c r="I1251" s="7">
        <v>43984</v>
      </c>
      <c r="O1251" s="52" t="s">
        <v>73</v>
      </c>
      <c r="P1251">
        <v>2020</v>
      </c>
    </row>
    <row r="1252" spans="6:16" x14ac:dyDescent="0.25">
      <c r="F1252" s="7">
        <v>43985</v>
      </c>
      <c r="G1252">
        <v>2.5142204220360429E-2</v>
      </c>
      <c r="I1252" s="7">
        <v>43985</v>
      </c>
      <c r="O1252" s="52" t="s">
        <v>73</v>
      </c>
      <c r="P1252">
        <v>2020</v>
      </c>
    </row>
    <row r="1253" spans="6:16" x14ac:dyDescent="0.25">
      <c r="F1253" s="7">
        <v>43986</v>
      </c>
      <c r="G1253">
        <v>2.5907148560428226E-2</v>
      </c>
      <c r="I1253" s="7">
        <v>43986</v>
      </c>
      <c r="O1253" s="52" t="s">
        <v>73</v>
      </c>
      <c r="P1253">
        <v>2020</v>
      </c>
    </row>
    <row r="1254" spans="6:16" x14ac:dyDescent="0.25">
      <c r="F1254" s="7">
        <v>43987</v>
      </c>
      <c r="G1254">
        <v>3.2237120253448513E-2</v>
      </c>
      <c r="I1254" s="7">
        <v>43987</v>
      </c>
      <c r="O1254" s="52" t="s">
        <v>73</v>
      </c>
      <c r="P1254">
        <v>2020</v>
      </c>
    </row>
    <row r="1255" spans="6:16" x14ac:dyDescent="0.25">
      <c r="F1255" s="7">
        <v>43988</v>
      </c>
      <c r="G1255">
        <v>4.5553406486776547E-2</v>
      </c>
      <c r="I1255" s="7">
        <v>43988</v>
      </c>
      <c r="O1255" s="52" t="s">
        <v>73</v>
      </c>
      <c r="P1255">
        <v>2020</v>
      </c>
    </row>
    <row r="1256" spans="6:16" x14ac:dyDescent="0.25">
      <c r="F1256" s="7">
        <v>43989</v>
      </c>
      <c r="G1256">
        <v>3.5878609191139117E-2</v>
      </c>
      <c r="I1256" s="7">
        <v>43989</v>
      </c>
      <c r="O1256" s="52" t="s">
        <v>73</v>
      </c>
      <c r="P1256">
        <v>2020</v>
      </c>
    </row>
    <row r="1257" spans="6:16" x14ac:dyDescent="0.25">
      <c r="F1257" s="7">
        <v>43990</v>
      </c>
      <c r="G1257">
        <v>2.1717271803191402E-2</v>
      </c>
      <c r="I1257" s="7">
        <v>43990</v>
      </c>
      <c r="O1257" s="52" t="s">
        <v>73</v>
      </c>
      <c r="P1257">
        <v>2020</v>
      </c>
    </row>
    <row r="1258" spans="6:16" x14ac:dyDescent="0.25">
      <c r="F1258" s="7">
        <v>43991</v>
      </c>
      <c r="G1258">
        <v>2.2563540091894905E-2</v>
      </c>
      <c r="I1258" s="7">
        <v>43991</v>
      </c>
      <c r="O1258" s="52" t="s">
        <v>73</v>
      </c>
      <c r="P1258">
        <v>2020</v>
      </c>
    </row>
    <row r="1259" spans="6:16" x14ac:dyDescent="0.25">
      <c r="F1259" s="7">
        <v>43992</v>
      </c>
      <c r="G1259">
        <v>2.6023698265497355E-2</v>
      </c>
      <c r="I1259" s="7">
        <v>43992</v>
      </c>
      <c r="O1259" s="52" t="s">
        <v>73</v>
      </c>
      <c r="P1259">
        <v>2020</v>
      </c>
    </row>
    <row r="1260" spans="6:16" x14ac:dyDescent="0.25">
      <c r="F1260" s="7">
        <v>43993</v>
      </c>
      <c r="G1260">
        <v>2.6784225310949761E-2</v>
      </c>
      <c r="I1260" s="7">
        <v>43993</v>
      </c>
      <c r="O1260" s="52" t="s">
        <v>73</v>
      </c>
      <c r="P1260">
        <v>2020</v>
      </c>
    </row>
    <row r="1261" spans="6:16" x14ac:dyDescent="0.25">
      <c r="F1261" s="7">
        <v>43994</v>
      </c>
      <c r="G1261">
        <v>3.3059281422536682E-2</v>
      </c>
      <c r="I1261" s="7">
        <v>43994</v>
      </c>
      <c r="O1261" s="52" t="s">
        <v>73</v>
      </c>
      <c r="P1261">
        <v>2020</v>
      </c>
    </row>
    <row r="1262" spans="6:16" x14ac:dyDescent="0.25">
      <c r="F1262" s="7">
        <v>43995</v>
      </c>
      <c r="G1262">
        <v>4.627055050527383E-2</v>
      </c>
      <c r="I1262" s="7">
        <v>43995</v>
      </c>
      <c r="O1262" s="52" t="s">
        <v>73</v>
      </c>
      <c r="P1262">
        <v>2020</v>
      </c>
    </row>
    <row r="1263" spans="6:16" x14ac:dyDescent="0.25">
      <c r="F1263" s="7">
        <v>43996</v>
      </c>
      <c r="G1263">
        <v>3.6442551549775659E-2</v>
      </c>
      <c r="I1263" s="7">
        <v>43996</v>
      </c>
      <c r="O1263" s="52" t="s">
        <v>73</v>
      </c>
      <c r="P1263">
        <v>2020</v>
      </c>
    </row>
    <row r="1264" spans="6:16" x14ac:dyDescent="0.25">
      <c r="F1264" s="7">
        <v>43997</v>
      </c>
      <c r="G1264">
        <v>2.208321122115673E-2</v>
      </c>
      <c r="I1264" s="7">
        <v>43997</v>
      </c>
      <c r="O1264" s="52" t="s">
        <v>73</v>
      </c>
      <c r="P1264">
        <v>2020</v>
      </c>
    </row>
    <row r="1265" spans="6:16" x14ac:dyDescent="0.25">
      <c r="F1265" s="7">
        <v>43998</v>
      </c>
      <c r="G1265">
        <v>2.269142985885711E-2</v>
      </c>
      <c r="I1265" s="7">
        <v>43998</v>
      </c>
      <c r="O1265" s="52" t="s">
        <v>73</v>
      </c>
      <c r="P1265">
        <v>2020</v>
      </c>
    </row>
    <row r="1266" spans="6:16" x14ac:dyDescent="0.25">
      <c r="F1266" s="7">
        <v>43999</v>
      </c>
      <c r="G1266">
        <v>2.5879485082606065E-2</v>
      </c>
      <c r="I1266" s="7">
        <v>43999</v>
      </c>
      <c r="O1266" s="52" t="s">
        <v>73</v>
      </c>
      <c r="P1266">
        <v>2020</v>
      </c>
    </row>
    <row r="1267" spans="6:16" x14ac:dyDescent="0.25">
      <c r="F1267" s="7">
        <v>44000</v>
      </c>
      <c r="G1267">
        <v>2.6340921617476178E-2</v>
      </c>
      <c r="I1267" s="7">
        <v>44000</v>
      </c>
      <c r="O1267" s="52" t="s">
        <v>73</v>
      </c>
      <c r="P1267">
        <v>2020</v>
      </c>
    </row>
    <row r="1268" spans="6:16" x14ac:dyDescent="0.25">
      <c r="F1268" s="7">
        <v>44001</v>
      </c>
      <c r="G1268">
        <v>3.2297841834635202E-2</v>
      </c>
      <c r="I1268" s="7">
        <v>44001</v>
      </c>
      <c r="O1268" s="52" t="s">
        <v>73</v>
      </c>
      <c r="P1268">
        <v>2020</v>
      </c>
    </row>
    <row r="1269" spans="6:16" x14ac:dyDescent="0.25">
      <c r="F1269" s="7">
        <v>44002</v>
      </c>
      <c r="G1269">
        <v>4.5180528436693637E-2</v>
      </c>
      <c r="I1269" s="7">
        <v>44002</v>
      </c>
      <c r="O1269" s="52" t="s">
        <v>73</v>
      </c>
      <c r="P1269">
        <v>2020</v>
      </c>
    </row>
    <row r="1270" spans="6:16" x14ac:dyDescent="0.25">
      <c r="F1270" s="7">
        <v>44003</v>
      </c>
      <c r="G1270">
        <v>3.5022518307040965E-2</v>
      </c>
      <c r="I1270" s="7">
        <v>44003</v>
      </c>
      <c r="O1270" s="52" t="s">
        <v>73</v>
      </c>
      <c r="P1270">
        <v>2020</v>
      </c>
    </row>
    <row r="1271" spans="6:16" x14ac:dyDescent="0.25">
      <c r="F1271" s="7">
        <v>44004</v>
      </c>
      <c r="G1271">
        <v>2.0340926118632113E-2</v>
      </c>
      <c r="I1271" s="7">
        <v>44004</v>
      </c>
      <c r="O1271" s="52" t="s">
        <v>73</v>
      </c>
      <c r="P1271">
        <v>2020</v>
      </c>
    </row>
    <row r="1272" spans="6:16" x14ac:dyDescent="0.25">
      <c r="F1272" s="7">
        <v>44005</v>
      </c>
      <c r="G1272">
        <v>2.0643756985731888E-2</v>
      </c>
      <c r="I1272" s="7">
        <v>44005</v>
      </c>
      <c r="O1272" s="52" t="s">
        <v>73</v>
      </c>
      <c r="P1272">
        <v>2020</v>
      </c>
    </row>
    <row r="1273" spans="6:16" x14ac:dyDescent="0.25">
      <c r="F1273" s="7">
        <v>44006</v>
      </c>
      <c r="G1273">
        <v>2.3552059132334862E-2</v>
      </c>
      <c r="I1273" s="7">
        <v>44006</v>
      </c>
      <c r="O1273" s="52" t="s">
        <v>73</v>
      </c>
      <c r="P1273">
        <v>2020</v>
      </c>
    </row>
    <row r="1274" spans="6:16" x14ac:dyDescent="0.25">
      <c r="F1274" s="7">
        <v>44007</v>
      </c>
      <c r="G1274">
        <v>2.3767572071421366E-2</v>
      </c>
      <c r="I1274" s="7">
        <v>44007</v>
      </c>
      <c r="O1274" s="52" t="s">
        <v>73</v>
      </c>
      <c r="P1274">
        <v>2020</v>
      </c>
    </row>
    <row r="1275" spans="6:16" x14ac:dyDescent="0.25">
      <c r="F1275" s="7">
        <v>44008</v>
      </c>
      <c r="G1275">
        <v>2.9519791280170776E-2</v>
      </c>
      <c r="I1275" s="7">
        <v>44008</v>
      </c>
      <c r="O1275" s="52" t="s">
        <v>73</v>
      </c>
      <c r="P1275">
        <v>2020</v>
      </c>
    </row>
    <row r="1276" spans="6:16" x14ac:dyDescent="0.25">
      <c r="F1276" s="7">
        <v>44009</v>
      </c>
      <c r="G1276">
        <v>4.2245386998554804E-2</v>
      </c>
      <c r="I1276" s="7">
        <v>44009</v>
      </c>
      <c r="O1276" s="52" t="s">
        <v>73</v>
      </c>
      <c r="P1276">
        <v>2020</v>
      </c>
    </row>
    <row r="1277" spans="6:16" x14ac:dyDescent="0.25">
      <c r="F1277" s="7">
        <v>44010</v>
      </c>
      <c r="G1277">
        <v>3.1983101529467317E-2</v>
      </c>
      <c r="I1277" s="7">
        <v>44010</v>
      </c>
      <c r="O1277" s="52" t="s">
        <v>73</v>
      </c>
      <c r="P1277">
        <v>2020</v>
      </c>
    </row>
    <row r="1278" spans="6:16" x14ac:dyDescent="0.25">
      <c r="F1278" s="7">
        <v>44011</v>
      </c>
      <c r="G1278">
        <v>1.7253928432761075E-2</v>
      </c>
      <c r="I1278" s="7">
        <v>44011</v>
      </c>
      <c r="O1278" s="52" t="s">
        <v>73</v>
      </c>
      <c r="P1278">
        <v>2020</v>
      </c>
    </row>
    <row r="1279" spans="6:16" x14ac:dyDescent="0.25">
      <c r="F1279" s="7">
        <v>44012</v>
      </c>
      <c r="G1279">
        <v>1.75683167269765E-2</v>
      </c>
      <c r="I1279" s="7">
        <v>44012</v>
      </c>
      <c r="O1279" s="52" t="s">
        <v>73</v>
      </c>
      <c r="P1279">
        <v>2020</v>
      </c>
    </row>
    <row r="1280" spans="6:16" x14ac:dyDescent="0.25">
      <c r="F1280" s="7">
        <v>44013</v>
      </c>
      <c r="G1280">
        <v>2.054825383946297E-2</v>
      </c>
      <c r="I1280" s="7">
        <v>44013</v>
      </c>
      <c r="O1280" s="52" t="s">
        <v>73</v>
      </c>
      <c r="P1280">
        <v>2020</v>
      </c>
    </row>
    <row r="1281" spans="6:16" x14ac:dyDescent="0.25">
      <c r="F1281" s="7">
        <v>44014</v>
      </c>
      <c r="G1281">
        <v>2.0894884617528513E-2</v>
      </c>
      <c r="I1281" s="7">
        <v>44014</v>
      </c>
      <c r="O1281" s="52" t="s">
        <v>73</v>
      </c>
      <c r="P1281">
        <v>2020</v>
      </c>
    </row>
    <row r="1282" spans="6:16" x14ac:dyDescent="0.25">
      <c r="F1282" s="7">
        <v>44015</v>
      </c>
      <c r="G1282">
        <v>2.6835588056339926E-2</v>
      </c>
      <c r="I1282" s="7">
        <v>44015</v>
      </c>
      <c r="O1282" s="52" t="s">
        <v>73</v>
      </c>
      <c r="P1282">
        <v>2020</v>
      </c>
    </row>
    <row r="1283" spans="6:16" x14ac:dyDescent="0.25">
      <c r="F1283" s="7">
        <v>44016</v>
      </c>
      <c r="G1283">
        <v>3.9803448863514411E-2</v>
      </c>
      <c r="I1283" s="7">
        <v>44016</v>
      </c>
      <c r="O1283" s="52" t="s">
        <v>73</v>
      </c>
      <c r="P1283">
        <v>2020</v>
      </c>
    </row>
    <row r="1284" spans="6:16" x14ac:dyDescent="0.25">
      <c r="F1284" s="7">
        <v>44017</v>
      </c>
      <c r="G1284">
        <v>3.9986281733396856E-2</v>
      </c>
      <c r="I1284" s="7">
        <v>44017</v>
      </c>
      <c r="O1284" s="52" t="s">
        <v>74</v>
      </c>
      <c r="P1284">
        <v>2020</v>
      </c>
    </row>
    <row r="1285" spans="6:16" x14ac:dyDescent="0.25">
      <c r="F1285" s="7">
        <v>44018</v>
      </c>
      <c r="G1285">
        <v>2.0690992719045793E-2</v>
      </c>
      <c r="I1285" s="7">
        <v>44018</v>
      </c>
      <c r="O1285" s="52" t="s">
        <v>74</v>
      </c>
      <c r="P1285">
        <v>2020</v>
      </c>
    </row>
    <row r="1286" spans="6:16" x14ac:dyDescent="0.25">
      <c r="F1286" s="7">
        <v>44019</v>
      </c>
      <c r="G1286">
        <v>2.1606986002941361E-2</v>
      </c>
      <c r="I1286" s="7">
        <v>44019</v>
      </c>
      <c r="O1286" s="52" t="s">
        <v>74</v>
      </c>
      <c r="P1286">
        <v>2020</v>
      </c>
    </row>
    <row r="1287" spans="6:16" x14ac:dyDescent="0.25">
      <c r="F1287" s="7">
        <v>44020</v>
      </c>
      <c r="G1287">
        <v>2.613214660775447E-2</v>
      </c>
      <c r="I1287" s="7">
        <v>44020</v>
      </c>
      <c r="O1287" s="52" t="s">
        <v>74</v>
      </c>
      <c r="P1287">
        <v>2020</v>
      </c>
    </row>
    <row r="1288" spans="6:16" x14ac:dyDescent="0.25">
      <c r="F1288" s="7">
        <v>44021</v>
      </c>
      <c r="G1288">
        <v>2.7152141232495014E-2</v>
      </c>
      <c r="I1288" s="7">
        <v>44021</v>
      </c>
      <c r="O1288" s="52" t="s">
        <v>74</v>
      </c>
      <c r="P1288">
        <v>2020</v>
      </c>
    </row>
    <row r="1289" spans="6:16" x14ac:dyDescent="0.25">
      <c r="F1289" s="7">
        <v>44022</v>
      </c>
      <c r="G1289">
        <v>3.5682202892780276E-2</v>
      </c>
      <c r="I1289" s="7">
        <v>44022</v>
      </c>
      <c r="O1289" s="52" t="s">
        <v>74</v>
      </c>
      <c r="P1289">
        <v>2020</v>
      </c>
    </row>
    <row r="1290" spans="6:16" x14ac:dyDescent="0.25">
      <c r="F1290" s="7">
        <v>44023</v>
      </c>
      <c r="G1290">
        <v>5.3630405943839811E-2</v>
      </c>
      <c r="I1290" s="7">
        <v>44023</v>
      </c>
      <c r="O1290" s="52" t="s">
        <v>74</v>
      </c>
      <c r="P1290">
        <v>2020</v>
      </c>
    </row>
    <row r="1291" spans="6:16" x14ac:dyDescent="0.25">
      <c r="F1291" s="7">
        <v>44024</v>
      </c>
      <c r="G1291">
        <v>4.0818150862356864E-2</v>
      </c>
      <c r="I1291" s="7">
        <v>44024</v>
      </c>
      <c r="O1291" s="52" t="s">
        <v>74</v>
      </c>
      <c r="P1291">
        <v>2020</v>
      </c>
    </row>
    <row r="1292" spans="6:16" x14ac:dyDescent="0.25">
      <c r="F1292" s="7">
        <v>44025</v>
      </c>
      <c r="G1292">
        <v>2.2049748945284685E-2</v>
      </c>
      <c r="I1292" s="7">
        <v>44025</v>
      </c>
      <c r="O1292" s="52" t="s">
        <v>74</v>
      </c>
      <c r="P1292">
        <v>2020</v>
      </c>
    </row>
    <row r="1293" spans="6:16" x14ac:dyDescent="0.25">
      <c r="F1293" s="7">
        <v>44026</v>
      </c>
      <c r="G1293">
        <v>2.3454983560146199E-2</v>
      </c>
      <c r="I1293" s="7">
        <v>44026</v>
      </c>
      <c r="O1293" s="52" t="s">
        <v>74</v>
      </c>
      <c r="P1293">
        <v>2020</v>
      </c>
    </row>
    <row r="1294" spans="6:16" x14ac:dyDescent="0.25">
      <c r="F1294" s="7">
        <v>44027</v>
      </c>
      <c r="G1294">
        <v>2.8421050958219382E-2</v>
      </c>
      <c r="I1294" s="7">
        <v>44027</v>
      </c>
      <c r="O1294" s="52" t="s">
        <v>74</v>
      </c>
      <c r="P1294">
        <v>2020</v>
      </c>
    </row>
    <row r="1295" spans="6:16" x14ac:dyDescent="0.25">
      <c r="F1295" s="7">
        <v>44028</v>
      </c>
      <c r="G1295">
        <v>2.9824185737471944E-2</v>
      </c>
      <c r="I1295" s="7">
        <v>44028</v>
      </c>
      <c r="O1295" s="52" t="s">
        <v>74</v>
      </c>
      <c r="P1295">
        <v>2020</v>
      </c>
    </row>
    <row r="1296" spans="6:16" x14ac:dyDescent="0.25">
      <c r="F1296" s="7">
        <v>44029</v>
      </c>
      <c r="G1296">
        <v>3.8671679452018132E-2</v>
      </c>
      <c r="I1296" s="7">
        <v>44029</v>
      </c>
      <c r="O1296" s="52" t="s">
        <v>74</v>
      </c>
      <c r="P1296">
        <v>2020</v>
      </c>
    </row>
    <row r="1297" spans="6:16" x14ac:dyDescent="0.25">
      <c r="F1297" s="7">
        <v>44030</v>
      </c>
      <c r="G1297">
        <v>5.6865348775299855E-2</v>
      </c>
      <c r="I1297" s="7">
        <v>44030</v>
      </c>
      <c r="O1297" s="52" t="s">
        <v>74</v>
      </c>
      <c r="P1297">
        <v>2020</v>
      </c>
    </row>
    <row r="1298" spans="6:16" x14ac:dyDescent="0.25">
      <c r="F1298" s="7">
        <v>44031</v>
      </c>
      <c r="G1298">
        <v>4.422216788018369E-2</v>
      </c>
      <c r="I1298" s="7">
        <v>44031</v>
      </c>
      <c r="O1298" s="52" t="s">
        <v>74</v>
      </c>
      <c r="P1298">
        <v>2020</v>
      </c>
    </row>
    <row r="1299" spans="6:16" x14ac:dyDescent="0.25">
      <c r="F1299" s="7">
        <v>44032</v>
      </c>
      <c r="G1299">
        <v>2.5543951274785957E-2</v>
      </c>
      <c r="I1299" s="7">
        <v>44032</v>
      </c>
      <c r="O1299" s="52" t="s">
        <v>74</v>
      </c>
      <c r="P1299">
        <v>2020</v>
      </c>
    </row>
    <row r="1300" spans="6:16" x14ac:dyDescent="0.25">
      <c r="F1300" s="7">
        <v>44033</v>
      </c>
      <c r="G1300">
        <v>2.6959961695991311E-2</v>
      </c>
      <c r="I1300" s="7">
        <v>44033</v>
      </c>
      <c r="O1300" s="52" t="s">
        <v>74</v>
      </c>
      <c r="P1300">
        <v>2020</v>
      </c>
    </row>
    <row r="1301" spans="6:16" x14ac:dyDescent="0.25">
      <c r="F1301" s="7">
        <v>44034</v>
      </c>
      <c r="G1301">
        <v>3.1858845124626917E-2</v>
      </c>
      <c r="I1301" s="7">
        <v>44034</v>
      </c>
      <c r="O1301" s="52" t="s">
        <v>74</v>
      </c>
      <c r="P1301">
        <v>2020</v>
      </c>
    </row>
    <row r="1302" spans="6:16" x14ac:dyDescent="0.25">
      <c r="F1302" s="7">
        <v>44035</v>
      </c>
      <c r="G1302">
        <v>3.3120198454533623E-2</v>
      </c>
      <c r="I1302" s="7">
        <v>44035</v>
      </c>
      <c r="O1302" s="52" t="s">
        <v>74</v>
      </c>
      <c r="P1302">
        <v>2020</v>
      </c>
    </row>
    <row r="1303" spans="6:16" x14ac:dyDescent="0.25">
      <c r="F1303" s="7">
        <v>44036</v>
      </c>
      <c r="G1303">
        <v>4.1756480514903487E-2</v>
      </c>
      <c r="I1303" s="7">
        <v>44036</v>
      </c>
      <c r="O1303" s="52" t="s">
        <v>74</v>
      </c>
      <c r="P1303">
        <v>2020</v>
      </c>
    </row>
    <row r="1304" spans="6:16" x14ac:dyDescent="0.25">
      <c r="F1304" s="7">
        <v>44037</v>
      </c>
      <c r="G1304">
        <v>5.9676325914047076E-2</v>
      </c>
      <c r="I1304" s="7">
        <v>44037</v>
      </c>
      <c r="O1304" s="52" t="s">
        <v>74</v>
      </c>
      <c r="P1304">
        <v>2020</v>
      </c>
    </row>
    <row r="1305" spans="6:16" x14ac:dyDescent="0.25">
      <c r="F1305" s="7">
        <v>44038</v>
      </c>
      <c r="G1305">
        <v>4.6704981088788448E-2</v>
      </c>
      <c r="I1305" s="7">
        <v>44038</v>
      </c>
      <c r="O1305" s="52" t="s">
        <v>74</v>
      </c>
      <c r="P1305">
        <v>2020</v>
      </c>
    </row>
    <row r="1306" spans="6:16" x14ac:dyDescent="0.25">
      <c r="F1306" s="7">
        <v>44039</v>
      </c>
      <c r="G1306">
        <v>2.7653754329084523E-2</v>
      </c>
      <c r="I1306" s="7">
        <v>44039</v>
      </c>
      <c r="O1306" s="52" t="s">
        <v>74</v>
      </c>
      <c r="P1306">
        <v>2020</v>
      </c>
    </row>
    <row r="1307" spans="6:16" x14ac:dyDescent="0.25">
      <c r="F1307" s="7">
        <v>44040</v>
      </c>
      <c r="G1307">
        <v>2.8662361011916885E-2</v>
      </c>
      <c r="I1307" s="7">
        <v>44040</v>
      </c>
      <c r="O1307" s="52" t="s">
        <v>74</v>
      </c>
      <c r="P1307">
        <v>2020</v>
      </c>
    </row>
    <row r="1308" spans="6:16" x14ac:dyDescent="0.25">
      <c r="F1308" s="7">
        <v>44041</v>
      </c>
      <c r="G1308">
        <v>3.3130573420714564E-2</v>
      </c>
      <c r="I1308" s="7">
        <v>44041</v>
      </c>
      <c r="O1308" s="52" t="s">
        <v>74</v>
      </c>
      <c r="P1308">
        <v>2020</v>
      </c>
    </row>
    <row r="1309" spans="6:16" x14ac:dyDescent="0.25">
      <c r="F1309" s="7">
        <v>44042</v>
      </c>
      <c r="G1309">
        <v>3.394948856978771E-2</v>
      </c>
      <c r="I1309" s="7">
        <v>44042</v>
      </c>
      <c r="O1309" s="52" t="s">
        <v>74</v>
      </c>
      <c r="P1309">
        <v>2020</v>
      </c>
    </row>
    <row r="1310" spans="6:16" x14ac:dyDescent="0.25">
      <c r="F1310" s="7">
        <v>44043</v>
      </c>
      <c r="G1310">
        <v>4.2143133009074074E-2</v>
      </c>
      <c r="I1310" s="7">
        <v>44043</v>
      </c>
      <c r="O1310" s="52" t="s">
        <v>74</v>
      </c>
      <c r="P1310">
        <v>2020</v>
      </c>
    </row>
    <row r="1311" spans="6:16" x14ac:dyDescent="0.25">
      <c r="F1311" s="7">
        <v>44044</v>
      </c>
      <c r="G1311">
        <v>5.9631472288511442E-2</v>
      </c>
      <c r="I1311" s="7">
        <v>44044</v>
      </c>
      <c r="O1311" s="52" t="s">
        <v>74</v>
      </c>
      <c r="P1311">
        <v>2020</v>
      </c>
    </row>
    <row r="1312" spans="6:16" x14ac:dyDescent="0.25">
      <c r="F1312" s="7">
        <v>44045</v>
      </c>
      <c r="G1312">
        <v>4.5086718294680049E-2</v>
      </c>
      <c r="I1312" s="7">
        <v>44045</v>
      </c>
      <c r="O1312" s="52" t="s">
        <v>75</v>
      </c>
      <c r="P1312">
        <v>2020</v>
      </c>
    </row>
    <row r="1313" spans="6:16" x14ac:dyDescent="0.25">
      <c r="F1313" s="7">
        <v>44046</v>
      </c>
      <c r="G1313">
        <v>2.6146742540208708E-2</v>
      </c>
      <c r="I1313" s="7">
        <v>44046</v>
      </c>
      <c r="O1313" s="52" t="s">
        <v>75</v>
      </c>
      <c r="P1313">
        <v>2020</v>
      </c>
    </row>
    <row r="1314" spans="6:16" x14ac:dyDescent="0.25">
      <c r="F1314" s="7">
        <v>44047</v>
      </c>
      <c r="G1314">
        <v>2.680164997678328E-2</v>
      </c>
      <c r="I1314" s="7">
        <v>44047</v>
      </c>
      <c r="O1314" s="52" t="s">
        <v>75</v>
      </c>
      <c r="P1314">
        <v>2020</v>
      </c>
    </row>
    <row r="1315" spans="6:16" x14ac:dyDescent="0.25">
      <c r="F1315" s="7">
        <v>44048</v>
      </c>
      <c r="G1315">
        <v>3.087639835515002E-2</v>
      </c>
      <c r="I1315" s="7">
        <v>44048</v>
      </c>
      <c r="O1315" s="52" t="s">
        <v>75</v>
      </c>
      <c r="P1315">
        <v>2020</v>
      </c>
    </row>
    <row r="1316" spans="6:16" x14ac:dyDescent="0.25">
      <c r="F1316" s="7">
        <v>44049</v>
      </c>
      <c r="G1316">
        <v>3.1447009571025544E-2</v>
      </c>
      <c r="I1316" s="7">
        <v>44049</v>
      </c>
      <c r="O1316" s="52" t="s">
        <v>75</v>
      </c>
      <c r="P1316">
        <v>2020</v>
      </c>
    </row>
    <row r="1317" spans="6:16" x14ac:dyDescent="0.25">
      <c r="F1317" s="7">
        <v>44050</v>
      </c>
      <c r="G1317">
        <v>3.9264582716494766E-2</v>
      </c>
      <c r="I1317" s="7">
        <v>44050</v>
      </c>
      <c r="O1317" s="52" t="s">
        <v>75</v>
      </c>
      <c r="P1317">
        <v>2020</v>
      </c>
    </row>
    <row r="1318" spans="6:16" x14ac:dyDescent="0.25">
      <c r="F1318" s="7">
        <v>44051</v>
      </c>
      <c r="G1318">
        <v>5.6203593564507735E-2</v>
      </c>
      <c r="I1318" s="7">
        <v>44051</v>
      </c>
      <c r="O1318" s="52" t="s">
        <v>75</v>
      </c>
      <c r="P1318">
        <v>2020</v>
      </c>
    </row>
    <row r="1319" spans="6:16" x14ac:dyDescent="0.25">
      <c r="F1319" s="7">
        <v>44052</v>
      </c>
      <c r="G1319">
        <v>4.3111883859421066E-2</v>
      </c>
      <c r="I1319" s="7">
        <v>44052</v>
      </c>
      <c r="O1319" s="52" t="s">
        <v>75</v>
      </c>
      <c r="P1319">
        <v>2020</v>
      </c>
    </row>
    <row r="1320" spans="6:16" x14ac:dyDescent="0.25">
      <c r="F1320" s="7">
        <v>44053</v>
      </c>
      <c r="G1320">
        <v>2.4185579426929959E-2</v>
      </c>
      <c r="I1320" s="7">
        <v>44053</v>
      </c>
      <c r="O1320" s="52" t="s">
        <v>75</v>
      </c>
      <c r="P1320">
        <v>2020</v>
      </c>
    </row>
    <row r="1321" spans="6:16" x14ac:dyDescent="0.25">
      <c r="F1321" s="7">
        <v>44054</v>
      </c>
      <c r="G1321">
        <v>2.4913097255989097E-2</v>
      </c>
      <c r="I1321" s="7">
        <v>44054</v>
      </c>
      <c r="O1321" s="52" t="s">
        <v>75</v>
      </c>
      <c r="P1321">
        <v>2020</v>
      </c>
    </row>
    <row r="1322" spans="6:16" x14ac:dyDescent="0.25">
      <c r="F1322" s="7">
        <v>44055</v>
      </c>
      <c r="G1322">
        <v>2.9115593199529968E-2</v>
      </c>
      <c r="I1322" s="7">
        <v>44055</v>
      </c>
      <c r="O1322" s="52" t="s">
        <v>75</v>
      </c>
      <c r="P1322">
        <v>2020</v>
      </c>
    </row>
    <row r="1323" spans="6:16" x14ac:dyDescent="0.25">
      <c r="F1323" s="7">
        <v>44056</v>
      </c>
      <c r="G1323">
        <v>2.9863851990047027E-2</v>
      </c>
      <c r="I1323" s="7">
        <v>44056</v>
      </c>
      <c r="O1323" s="52" t="s">
        <v>75</v>
      </c>
      <c r="P1323">
        <v>2020</v>
      </c>
    </row>
    <row r="1324" spans="6:16" x14ac:dyDescent="0.25">
      <c r="F1324" s="7">
        <v>44057</v>
      </c>
      <c r="G1324">
        <v>3.7902468559735163E-2</v>
      </c>
      <c r="I1324" s="7">
        <v>44057</v>
      </c>
      <c r="O1324" s="52" t="s">
        <v>75</v>
      </c>
      <c r="P1324">
        <v>2020</v>
      </c>
    </row>
    <row r="1325" spans="6:16" x14ac:dyDescent="0.25">
      <c r="F1325" s="7">
        <v>44058</v>
      </c>
      <c r="G1325">
        <v>5.5098347772364976E-2</v>
      </c>
      <c r="I1325" s="7">
        <v>44058</v>
      </c>
      <c r="O1325" s="52" t="s">
        <v>75</v>
      </c>
      <c r="P1325">
        <v>2020</v>
      </c>
    </row>
    <row r="1326" spans="6:16" x14ac:dyDescent="0.25">
      <c r="F1326" s="7">
        <v>44059</v>
      </c>
      <c r="G1326">
        <v>4.2290920208789183E-2</v>
      </c>
      <c r="I1326" s="7">
        <v>44059</v>
      </c>
      <c r="O1326" s="52" t="s">
        <v>75</v>
      </c>
      <c r="P1326">
        <v>2020</v>
      </c>
    </row>
    <row r="1327" spans="6:16" x14ac:dyDescent="0.25">
      <c r="F1327" s="7">
        <v>44060</v>
      </c>
      <c r="G1327">
        <v>2.3667306341093264E-2</v>
      </c>
      <c r="I1327" s="7">
        <v>44060</v>
      </c>
      <c r="O1327" s="52" t="s">
        <v>75</v>
      </c>
      <c r="P1327">
        <v>2020</v>
      </c>
    </row>
    <row r="1328" spans="6:16" x14ac:dyDescent="0.25">
      <c r="F1328" s="7">
        <v>44061</v>
      </c>
      <c r="G1328">
        <v>2.4706582198636289E-2</v>
      </c>
      <c r="I1328" s="7">
        <v>44061</v>
      </c>
      <c r="O1328" s="52" t="s">
        <v>75</v>
      </c>
      <c r="P1328">
        <v>2020</v>
      </c>
    </row>
    <row r="1329" spans="6:16" x14ac:dyDescent="0.25">
      <c r="F1329" s="7">
        <v>44062</v>
      </c>
      <c r="G1329">
        <v>2.9220491020815826E-2</v>
      </c>
      <c r="I1329" s="7">
        <v>44062</v>
      </c>
      <c r="O1329" s="52" t="s">
        <v>75</v>
      </c>
      <c r="P1329">
        <v>2020</v>
      </c>
    </row>
    <row r="1330" spans="6:16" x14ac:dyDescent="0.25">
      <c r="F1330" s="7">
        <v>44063</v>
      </c>
      <c r="G1330">
        <v>3.0270595259092887E-2</v>
      </c>
      <c r="I1330" s="7">
        <v>44063</v>
      </c>
      <c r="O1330" s="52" t="s">
        <v>75</v>
      </c>
      <c r="P1330">
        <v>2020</v>
      </c>
    </row>
    <row r="1331" spans="6:16" x14ac:dyDescent="0.25">
      <c r="F1331" s="7">
        <v>44064</v>
      </c>
      <c r="G1331">
        <v>3.8592710552847104E-2</v>
      </c>
      <c r="I1331" s="7">
        <v>44064</v>
      </c>
      <c r="O1331" s="52" t="s">
        <v>75</v>
      </c>
      <c r="P1331">
        <v>2020</v>
      </c>
    </row>
    <row r="1332" spans="6:16" x14ac:dyDescent="0.25">
      <c r="F1332" s="7">
        <v>44065</v>
      </c>
      <c r="G1332">
        <v>5.6045642234219491E-2</v>
      </c>
      <c r="I1332" s="7">
        <v>44065</v>
      </c>
      <c r="O1332" s="52" t="s">
        <v>75</v>
      </c>
      <c r="P1332">
        <v>2020</v>
      </c>
    </row>
    <row r="1333" spans="6:16" x14ac:dyDescent="0.25">
      <c r="F1333" s="7">
        <v>44066</v>
      </c>
      <c r="G1333">
        <v>4.3461615420230949E-2</v>
      </c>
      <c r="I1333" s="7">
        <v>44066</v>
      </c>
      <c r="O1333" s="52" t="s">
        <v>75</v>
      </c>
      <c r="P1333">
        <v>2020</v>
      </c>
    </row>
    <row r="1334" spans="6:16" x14ac:dyDescent="0.25">
      <c r="F1334" s="7">
        <v>44067</v>
      </c>
      <c r="G1334">
        <v>2.5021625635579837E-2</v>
      </c>
      <c r="I1334" s="7">
        <v>44067</v>
      </c>
      <c r="O1334" s="52" t="s">
        <v>75</v>
      </c>
      <c r="P1334">
        <v>2020</v>
      </c>
    </row>
    <row r="1335" spans="6:16" x14ac:dyDescent="0.25">
      <c r="F1335" s="7">
        <v>44068</v>
      </c>
      <c r="G1335">
        <v>2.6199858222442134E-2</v>
      </c>
      <c r="I1335" s="7">
        <v>44068</v>
      </c>
      <c r="O1335" s="52" t="s">
        <v>75</v>
      </c>
      <c r="P1335">
        <v>2020</v>
      </c>
    </row>
    <row r="1336" spans="6:16" x14ac:dyDescent="0.25">
      <c r="F1336" s="7">
        <v>44069</v>
      </c>
      <c r="G1336">
        <v>3.0804517298240547E-2</v>
      </c>
      <c r="I1336" s="7">
        <v>44069</v>
      </c>
      <c r="O1336" s="52" t="s">
        <v>75</v>
      </c>
      <c r="P1336">
        <v>2020</v>
      </c>
    </row>
    <row r="1337" spans="6:16" x14ac:dyDescent="0.25">
      <c r="F1337" s="7">
        <v>44070</v>
      </c>
      <c r="G1337">
        <v>3.1895055782074674E-2</v>
      </c>
      <c r="I1337" s="7">
        <v>44070</v>
      </c>
      <c r="O1337" s="52" t="s">
        <v>75</v>
      </c>
      <c r="P1337">
        <v>2020</v>
      </c>
    </row>
    <row r="1338" spans="6:16" x14ac:dyDescent="0.25">
      <c r="F1338" s="7">
        <v>44071</v>
      </c>
      <c r="G1338">
        <v>4.0206646740824525E-2</v>
      </c>
      <c r="I1338" s="7">
        <v>44071</v>
      </c>
      <c r="O1338" s="52" t="s">
        <v>75</v>
      </c>
      <c r="P1338">
        <v>2020</v>
      </c>
    </row>
    <row r="1339" spans="6:16" x14ac:dyDescent="0.25">
      <c r="F1339" s="7">
        <v>44072</v>
      </c>
      <c r="G1339">
        <v>5.7598916002245849E-2</v>
      </c>
      <c r="I1339" s="7">
        <v>44072</v>
      </c>
      <c r="O1339" s="52" t="s">
        <v>75</v>
      </c>
      <c r="P1339">
        <v>2020</v>
      </c>
    </row>
    <row r="1340" spans="6:16" x14ac:dyDescent="0.25">
      <c r="F1340" s="7">
        <v>44073</v>
      </c>
      <c r="G1340">
        <v>3.5963631430194661E-2</v>
      </c>
      <c r="I1340" s="7">
        <v>44073</v>
      </c>
      <c r="O1340" s="52" t="s">
        <v>76</v>
      </c>
      <c r="P1340">
        <v>2020</v>
      </c>
    </row>
    <row r="1341" spans="6:16" x14ac:dyDescent="0.25">
      <c r="F1341" s="7">
        <v>44074</v>
      </c>
      <c r="G1341">
        <v>2.1073362279166733E-2</v>
      </c>
      <c r="I1341" s="7">
        <v>44074</v>
      </c>
      <c r="O1341" s="52" t="s">
        <v>76</v>
      </c>
      <c r="P1341">
        <v>2020</v>
      </c>
    </row>
    <row r="1342" spans="6:16" x14ac:dyDescent="0.25">
      <c r="F1342" s="7">
        <v>44075</v>
      </c>
      <c r="G1342">
        <v>2.1862861002444264E-2</v>
      </c>
      <c r="I1342" s="7">
        <v>44075</v>
      </c>
      <c r="O1342" s="52" t="s">
        <v>76</v>
      </c>
      <c r="P1342">
        <v>2020</v>
      </c>
    </row>
    <row r="1343" spans="6:16" x14ac:dyDescent="0.25">
      <c r="F1343" s="7">
        <v>44076</v>
      </c>
      <c r="G1343">
        <v>2.5369475629615817E-2</v>
      </c>
      <c r="I1343" s="7">
        <v>44076</v>
      </c>
      <c r="O1343" s="52" t="s">
        <v>76</v>
      </c>
      <c r="P1343">
        <v>2020</v>
      </c>
    </row>
    <row r="1344" spans="6:16" x14ac:dyDescent="0.25">
      <c r="F1344" s="7">
        <v>44077</v>
      </c>
      <c r="G1344">
        <v>2.6040210456627376E-2</v>
      </c>
      <c r="I1344" s="7">
        <v>44077</v>
      </c>
      <c r="O1344" s="52" t="s">
        <v>76</v>
      </c>
      <c r="P1344">
        <v>2020</v>
      </c>
    </row>
    <row r="1345" spans="6:16" x14ac:dyDescent="0.25">
      <c r="F1345" s="7">
        <v>44078</v>
      </c>
      <c r="G1345">
        <v>3.247837887288197E-2</v>
      </c>
      <c r="I1345" s="7">
        <v>44078</v>
      </c>
      <c r="O1345" s="52" t="s">
        <v>76</v>
      </c>
      <c r="P1345">
        <v>2020</v>
      </c>
    </row>
    <row r="1346" spans="6:16" x14ac:dyDescent="0.25">
      <c r="F1346" s="7">
        <v>44079</v>
      </c>
      <c r="G1346">
        <v>4.6179612451727824E-2</v>
      </c>
      <c r="I1346" s="7">
        <v>44079</v>
      </c>
      <c r="O1346" s="52" t="s">
        <v>76</v>
      </c>
      <c r="P1346">
        <v>2020</v>
      </c>
    </row>
    <row r="1347" spans="6:16" x14ac:dyDescent="0.25">
      <c r="F1347" s="7">
        <v>44080</v>
      </c>
      <c r="G1347">
        <v>3.5784376519292123E-2</v>
      </c>
      <c r="I1347" s="7">
        <v>44080</v>
      </c>
      <c r="O1347" s="52" t="s">
        <v>76</v>
      </c>
      <c r="P1347">
        <v>2020</v>
      </c>
    </row>
    <row r="1348" spans="6:16" x14ac:dyDescent="0.25">
      <c r="F1348" s="7">
        <v>44081</v>
      </c>
      <c r="G1348">
        <v>2.0667647165508781E-2</v>
      </c>
      <c r="I1348" s="7">
        <v>44081</v>
      </c>
      <c r="O1348" s="52" t="s">
        <v>76</v>
      </c>
      <c r="P1348">
        <v>2020</v>
      </c>
    </row>
    <row r="1349" spans="6:16" x14ac:dyDescent="0.25">
      <c r="F1349" s="7">
        <v>44082</v>
      </c>
      <c r="G1349">
        <v>2.124087310323209E-2</v>
      </c>
      <c r="I1349" s="7">
        <v>44082</v>
      </c>
      <c r="O1349" s="52" t="s">
        <v>76</v>
      </c>
      <c r="P1349">
        <v>2020</v>
      </c>
    </row>
    <row r="1350" spans="6:16" x14ac:dyDescent="0.25">
      <c r="F1350" s="7">
        <v>44083</v>
      </c>
      <c r="G1350">
        <v>2.4547448743794647E-2</v>
      </c>
      <c r="I1350" s="7">
        <v>44083</v>
      </c>
      <c r="O1350" s="52" t="s">
        <v>76</v>
      </c>
      <c r="P1350">
        <v>2020</v>
      </c>
    </row>
    <row r="1351" spans="6:16" x14ac:dyDescent="0.25">
      <c r="F1351" s="7">
        <v>44084</v>
      </c>
      <c r="G1351">
        <v>2.503992723700816E-2</v>
      </c>
      <c r="I1351" s="7">
        <v>44084</v>
      </c>
      <c r="O1351" s="52" t="s">
        <v>76</v>
      </c>
      <c r="P1351">
        <v>2020</v>
      </c>
    </row>
    <row r="1352" spans="6:16" x14ac:dyDescent="0.25">
      <c r="F1352" s="7">
        <v>44085</v>
      </c>
      <c r="G1352">
        <v>3.132652949830466E-2</v>
      </c>
      <c r="I1352" s="7">
        <v>44085</v>
      </c>
      <c r="O1352" s="52" t="s">
        <v>76</v>
      </c>
      <c r="P1352">
        <v>2020</v>
      </c>
    </row>
    <row r="1353" spans="6:16" x14ac:dyDescent="0.25">
      <c r="F1353" s="7">
        <v>44086</v>
      </c>
      <c r="G1353">
        <v>4.4907029900324393E-2</v>
      </c>
      <c r="I1353" s="7">
        <v>44086</v>
      </c>
      <c r="O1353" s="52" t="s">
        <v>76</v>
      </c>
      <c r="P1353">
        <v>2020</v>
      </c>
    </row>
    <row r="1354" spans="6:16" x14ac:dyDescent="0.25">
      <c r="F1354" s="7">
        <v>44087</v>
      </c>
      <c r="G1354">
        <v>3.4425171979613707E-2</v>
      </c>
      <c r="I1354" s="7">
        <v>44087</v>
      </c>
      <c r="O1354" s="52" t="s">
        <v>76</v>
      </c>
      <c r="P1354">
        <v>2020</v>
      </c>
    </row>
    <row r="1355" spans="6:16" x14ac:dyDescent="0.25">
      <c r="F1355" s="7">
        <v>44088</v>
      </c>
      <c r="G1355">
        <v>1.9258271347621567E-2</v>
      </c>
      <c r="I1355" s="7">
        <v>44088</v>
      </c>
      <c r="O1355" s="52" t="s">
        <v>76</v>
      </c>
      <c r="P1355">
        <v>2020</v>
      </c>
    </row>
    <row r="1356" spans="6:16" x14ac:dyDescent="0.25">
      <c r="F1356" s="7">
        <v>44089</v>
      </c>
      <c r="G1356">
        <v>1.9819130988365286E-2</v>
      </c>
      <c r="I1356" s="7">
        <v>44089</v>
      </c>
      <c r="O1356" s="52" t="s">
        <v>76</v>
      </c>
      <c r="P1356">
        <v>2020</v>
      </c>
    </row>
    <row r="1357" spans="6:16" x14ac:dyDescent="0.25">
      <c r="F1357" s="7">
        <v>44090</v>
      </c>
      <c r="G1357">
        <v>2.3151496063440736E-2</v>
      </c>
      <c r="I1357" s="7">
        <v>44090</v>
      </c>
      <c r="O1357" s="52" t="s">
        <v>76</v>
      </c>
      <c r="P1357">
        <v>2020</v>
      </c>
    </row>
    <row r="1358" spans="6:16" x14ac:dyDescent="0.25">
      <c r="F1358" s="7">
        <v>44091</v>
      </c>
      <c r="G1358">
        <v>2.3707276953409476E-2</v>
      </c>
      <c r="I1358" s="7">
        <v>44091</v>
      </c>
      <c r="O1358" s="52" t="s">
        <v>76</v>
      </c>
      <c r="P1358">
        <v>2020</v>
      </c>
    </row>
    <row r="1359" spans="6:16" x14ac:dyDescent="0.25">
      <c r="F1359" s="7">
        <v>44092</v>
      </c>
      <c r="G1359">
        <v>3.0093095786977841E-2</v>
      </c>
      <c r="I1359" s="7">
        <v>44092</v>
      </c>
      <c r="O1359" s="52" t="s">
        <v>76</v>
      </c>
      <c r="P1359">
        <v>2020</v>
      </c>
    </row>
    <row r="1360" spans="6:16" x14ac:dyDescent="0.25">
      <c r="F1360" s="7">
        <v>44093</v>
      </c>
      <c r="G1360">
        <v>4.3806235478913061E-2</v>
      </c>
      <c r="I1360" s="7">
        <v>44093</v>
      </c>
      <c r="O1360" s="52" t="s">
        <v>76</v>
      </c>
      <c r="P1360">
        <v>2020</v>
      </c>
    </row>
    <row r="1361" spans="6:16" x14ac:dyDescent="0.25">
      <c r="F1361" s="7">
        <v>44094</v>
      </c>
      <c r="G1361">
        <v>3.3487142395697757E-2</v>
      </c>
      <c r="I1361" s="7">
        <v>44094</v>
      </c>
      <c r="O1361" s="52" t="s">
        <v>76</v>
      </c>
      <c r="P1361">
        <v>2020</v>
      </c>
    </row>
    <row r="1362" spans="6:16" x14ac:dyDescent="0.25">
      <c r="F1362" s="7">
        <v>44095</v>
      </c>
      <c r="G1362">
        <v>1.8509136790912789E-2</v>
      </c>
      <c r="I1362" s="7">
        <v>44095</v>
      </c>
      <c r="O1362" s="52" t="s">
        <v>76</v>
      </c>
      <c r="P1362">
        <v>2020</v>
      </c>
    </row>
    <row r="1363" spans="6:16" x14ac:dyDescent="0.25">
      <c r="F1363" s="7">
        <v>44096</v>
      </c>
      <c r="G1363">
        <v>1.9280452911606818E-2</v>
      </c>
      <c r="I1363" s="7">
        <v>44096</v>
      </c>
      <c r="O1363" s="52" t="s">
        <v>76</v>
      </c>
      <c r="P1363">
        <v>2020</v>
      </c>
    </row>
    <row r="1364" spans="6:16" x14ac:dyDescent="0.25">
      <c r="F1364" s="7">
        <v>44097</v>
      </c>
      <c r="G1364">
        <v>2.2839831692205284E-2</v>
      </c>
      <c r="I1364" s="7">
        <v>44097</v>
      </c>
      <c r="O1364" s="52" t="s">
        <v>76</v>
      </c>
      <c r="P1364">
        <v>2020</v>
      </c>
    </row>
    <row r="1365" spans="6:16" x14ac:dyDescent="0.25">
      <c r="F1365" s="7">
        <v>44098</v>
      </c>
      <c r="G1365">
        <v>2.3633890807426193E-2</v>
      </c>
      <c r="I1365" s="7">
        <v>44098</v>
      </c>
      <c r="O1365" s="52" t="s">
        <v>76</v>
      </c>
      <c r="P1365">
        <v>2020</v>
      </c>
    </row>
    <row r="1366" spans="6:16" x14ac:dyDescent="0.25">
      <c r="F1366" s="7">
        <v>44099</v>
      </c>
      <c r="G1366">
        <v>3.0263822733209895E-2</v>
      </c>
      <c r="I1366" s="7">
        <v>44099</v>
      </c>
      <c r="O1366" s="52" t="s">
        <v>76</v>
      </c>
      <c r="P1366">
        <v>2020</v>
      </c>
    </row>
    <row r="1367" spans="6:16" x14ac:dyDescent="0.25">
      <c r="F1367" s="7">
        <v>44100</v>
      </c>
      <c r="G1367">
        <v>4.4221495499723588E-2</v>
      </c>
      <c r="I1367" s="7">
        <v>44100</v>
      </c>
      <c r="O1367" s="52" t="s">
        <v>76</v>
      </c>
      <c r="P1367">
        <v>2020</v>
      </c>
    </row>
    <row r="1368" spans="6:16" x14ac:dyDescent="0.25">
      <c r="F1368" s="7">
        <v>44101</v>
      </c>
      <c r="G1368">
        <v>3.4142102722575875E-2</v>
      </c>
      <c r="I1368" s="7">
        <v>44101</v>
      </c>
      <c r="O1368" s="52" t="s">
        <v>76</v>
      </c>
      <c r="P1368">
        <v>2020</v>
      </c>
    </row>
    <row r="1369" spans="6:16" x14ac:dyDescent="0.25">
      <c r="F1369" s="7">
        <v>44102</v>
      </c>
      <c r="G1369">
        <v>1.9394013052412326E-2</v>
      </c>
      <c r="I1369" s="7">
        <v>44102</v>
      </c>
      <c r="O1369" s="52" t="s">
        <v>76</v>
      </c>
      <c r="P1369">
        <v>2020</v>
      </c>
    </row>
    <row r="1370" spans="6:16" x14ac:dyDescent="0.25">
      <c r="F1370" s="7">
        <v>44103</v>
      </c>
      <c r="G1370">
        <v>2.0380936872789811E-2</v>
      </c>
      <c r="I1370" s="7">
        <v>44103</v>
      </c>
      <c r="O1370" s="52" t="s">
        <v>76</v>
      </c>
      <c r="P1370">
        <v>2020</v>
      </c>
    </row>
    <row r="1371" spans="6:16" x14ac:dyDescent="0.25">
      <c r="F1371" s="7">
        <v>44104</v>
      </c>
      <c r="G1371">
        <v>2.4137629913379744E-2</v>
      </c>
      <c r="I1371" s="7">
        <v>44104</v>
      </c>
      <c r="O1371" s="52" t="s">
        <v>76</v>
      </c>
      <c r="P1371">
        <v>2020</v>
      </c>
    </row>
    <row r="1372" spans="6:16" x14ac:dyDescent="0.25">
      <c r="F1372" s="7">
        <v>44105</v>
      </c>
      <c r="G1372">
        <v>2.5107355521735236E-2</v>
      </c>
      <c r="I1372" s="7">
        <v>44105</v>
      </c>
      <c r="O1372" s="52" t="s">
        <v>76</v>
      </c>
      <c r="P1372">
        <v>2020</v>
      </c>
    </row>
    <row r="1373" spans="6:16" x14ac:dyDescent="0.25">
      <c r="F1373" s="7">
        <v>44106</v>
      </c>
      <c r="G1373">
        <v>3.1888654029933079E-2</v>
      </c>
      <c r="I1373" s="7">
        <v>44106</v>
      </c>
      <c r="O1373" s="52" t="s">
        <v>76</v>
      </c>
      <c r="P1373">
        <v>2020</v>
      </c>
    </row>
    <row r="1374" spans="6:16" x14ac:dyDescent="0.25">
      <c r="F1374" s="7">
        <v>44107</v>
      </c>
      <c r="G1374">
        <v>4.5971492167926412E-2</v>
      </c>
      <c r="I1374" s="7">
        <v>44107</v>
      </c>
      <c r="O1374" s="52" t="s">
        <v>76</v>
      </c>
      <c r="P1374">
        <v>2020</v>
      </c>
    </row>
    <row r="1375" spans="6:16" x14ac:dyDescent="0.25">
      <c r="F1375" s="7">
        <v>44108</v>
      </c>
      <c r="G1375">
        <v>3.9482627115784139E-2</v>
      </c>
      <c r="I1375" s="7">
        <v>44108</v>
      </c>
      <c r="O1375" s="52" t="s">
        <v>77</v>
      </c>
      <c r="P1375">
        <v>2020</v>
      </c>
    </row>
    <row r="1376" spans="6:16" x14ac:dyDescent="0.25">
      <c r="F1376" s="7">
        <v>44109</v>
      </c>
      <c r="G1376">
        <v>2.3380264321731882E-2</v>
      </c>
      <c r="I1376" s="7">
        <v>44109</v>
      </c>
      <c r="O1376" s="52" t="s">
        <v>77</v>
      </c>
      <c r="P1376">
        <v>2020</v>
      </c>
    </row>
    <row r="1377" spans="6:16" x14ac:dyDescent="0.25">
      <c r="F1377" s="7">
        <v>44110</v>
      </c>
      <c r="G1377">
        <v>2.4510026524682597E-2</v>
      </c>
      <c r="I1377" s="7">
        <v>44110</v>
      </c>
      <c r="O1377" s="52" t="s">
        <v>77</v>
      </c>
      <c r="P1377">
        <v>2020</v>
      </c>
    </row>
    <row r="1378" spans="6:16" x14ac:dyDescent="0.25">
      <c r="F1378" s="7">
        <v>44111</v>
      </c>
      <c r="G1378">
        <v>2.8649669120591133E-2</v>
      </c>
      <c r="I1378" s="7">
        <v>44111</v>
      </c>
      <c r="O1378" s="52" t="s">
        <v>77</v>
      </c>
      <c r="P1378">
        <v>2020</v>
      </c>
    </row>
    <row r="1379" spans="6:16" x14ac:dyDescent="0.25">
      <c r="F1379" s="7">
        <v>44112</v>
      </c>
      <c r="G1379">
        <v>2.9705133413869472E-2</v>
      </c>
      <c r="I1379" s="7">
        <v>44112</v>
      </c>
      <c r="O1379" s="52" t="s">
        <v>77</v>
      </c>
      <c r="P1379">
        <v>2020</v>
      </c>
    </row>
    <row r="1380" spans="6:16" x14ac:dyDescent="0.25">
      <c r="F1380" s="7">
        <v>44113</v>
      </c>
      <c r="G1380">
        <v>3.7111974785398287E-2</v>
      </c>
      <c r="I1380" s="7">
        <v>44113</v>
      </c>
      <c r="O1380" s="52" t="s">
        <v>77</v>
      </c>
      <c r="P1380">
        <v>2020</v>
      </c>
    </row>
    <row r="1381" spans="6:16" x14ac:dyDescent="0.25">
      <c r="F1381" s="7">
        <v>44114</v>
      </c>
      <c r="G1381">
        <v>5.2507828634513073E-2</v>
      </c>
      <c r="I1381" s="7">
        <v>44114</v>
      </c>
      <c r="O1381" s="52" t="s">
        <v>77</v>
      </c>
      <c r="P1381">
        <v>2020</v>
      </c>
    </row>
    <row r="1382" spans="6:16" x14ac:dyDescent="0.25">
      <c r="F1382" s="7">
        <v>44115</v>
      </c>
      <c r="G1382">
        <v>4.1486284984889925E-2</v>
      </c>
      <c r="I1382" s="7">
        <v>44115</v>
      </c>
      <c r="O1382" s="52" t="s">
        <v>77</v>
      </c>
      <c r="P1382">
        <v>2020</v>
      </c>
    </row>
    <row r="1383" spans="6:16" x14ac:dyDescent="0.25">
      <c r="F1383" s="7">
        <v>44116</v>
      </c>
      <c r="G1383">
        <v>2.5298693668029872E-2</v>
      </c>
      <c r="I1383" s="7">
        <v>44116</v>
      </c>
      <c r="O1383" s="52" t="s">
        <v>77</v>
      </c>
      <c r="P1383">
        <v>2020</v>
      </c>
    </row>
    <row r="1384" spans="6:16" x14ac:dyDescent="0.25">
      <c r="F1384" s="7">
        <v>44117</v>
      </c>
      <c r="G1384">
        <v>2.6333185750055135E-2</v>
      </c>
      <c r="I1384" s="7">
        <v>44117</v>
      </c>
      <c r="O1384" s="52" t="s">
        <v>77</v>
      </c>
      <c r="P1384">
        <v>2020</v>
      </c>
    </row>
    <row r="1385" spans="6:16" x14ac:dyDescent="0.25">
      <c r="F1385" s="7">
        <v>44118</v>
      </c>
      <c r="G1385">
        <v>3.0371387871434875E-2</v>
      </c>
      <c r="I1385" s="7">
        <v>44118</v>
      </c>
      <c r="O1385" s="52" t="s">
        <v>77</v>
      </c>
      <c r="P1385">
        <v>2020</v>
      </c>
    </row>
    <row r="1386" spans="6:16" x14ac:dyDescent="0.25">
      <c r="F1386" s="7">
        <v>44119</v>
      </c>
      <c r="G1386">
        <v>3.1322985057795606E-2</v>
      </c>
      <c r="I1386" s="7">
        <v>44119</v>
      </c>
      <c r="O1386" s="52" t="s">
        <v>77</v>
      </c>
      <c r="P1386">
        <v>2020</v>
      </c>
    </row>
    <row r="1387" spans="6:16" x14ac:dyDescent="0.25">
      <c r="F1387" s="7">
        <v>44120</v>
      </c>
      <c r="G1387">
        <v>3.8627027481756601E-2</v>
      </c>
      <c r="I1387" s="7">
        <v>44120</v>
      </c>
      <c r="O1387" s="52" t="s">
        <v>77</v>
      </c>
      <c r="P1387">
        <v>2020</v>
      </c>
    </row>
    <row r="1388" spans="6:16" x14ac:dyDescent="0.25">
      <c r="F1388" s="7">
        <v>44121</v>
      </c>
      <c r="G1388">
        <v>5.3924286587983969E-2</v>
      </c>
      <c r="I1388" s="7">
        <v>44121</v>
      </c>
      <c r="O1388" s="52" t="s">
        <v>77</v>
      </c>
      <c r="P1388">
        <v>2020</v>
      </c>
    </row>
    <row r="1389" spans="6:16" x14ac:dyDescent="0.25">
      <c r="F1389" s="7">
        <v>44122</v>
      </c>
      <c r="G1389">
        <v>4.2811034523015039E-2</v>
      </c>
      <c r="I1389" s="7">
        <v>44122</v>
      </c>
      <c r="O1389" s="52" t="s">
        <v>77</v>
      </c>
      <c r="P1389">
        <v>2020</v>
      </c>
    </row>
    <row r="1390" spans="6:16" x14ac:dyDescent="0.25">
      <c r="F1390" s="7">
        <v>44123</v>
      </c>
      <c r="G1390">
        <v>2.6540771904533019E-2</v>
      </c>
      <c r="I1390" s="7">
        <v>44123</v>
      </c>
      <c r="O1390" s="52" t="s">
        <v>77</v>
      </c>
      <c r="P1390">
        <v>2020</v>
      </c>
    </row>
    <row r="1391" spans="6:16" x14ac:dyDescent="0.25">
      <c r="F1391" s="7">
        <v>44124</v>
      </c>
      <c r="G1391">
        <v>2.7503191468394438E-2</v>
      </c>
      <c r="I1391" s="7">
        <v>44124</v>
      </c>
      <c r="O1391" s="52" t="s">
        <v>77</v>
      </c>
      <c r="P1391">
        <v>2020</v>
      </c>
    </row>
    <row r="1392" spans="6:16" x14ac:dyDescent="0.25">
      <c r="F1392" s="7">
        <v>44125</v>
      </c>
      <c r="G1392">
        <v>3.1480856087066959E-2</v>
      </c>
      <c r="I1392" s="7">
        <v>44125</v>
      </c>
      <c r="O1392" s="52" t="s">
        <v>77</v>
      </c>
      <c r="P1392">
        <v>2020</v>
      </c>
    </row>
    <row r="1393" spans="6:16" x14ac:dyDescent="0.25">
      <c r="F1393" s="7">
        <v>44126</v>
      </c>
      <c r="G1393">
        <v>3.2383747466668389E-2</v>
      </c>
      <c r="I1393" s="7">
        <v>44126</v>
      </c>
      <c r="O1393" s="52" t="s">
        <v>77</v>
      </c>
      <c r="P1393">
        <v>2020</v>
      </c>
    </row>
    <row r="1394" spans="6:16" x14ac:dyDescent="0.25">
      <c r="F1394" s="7">
        <v>44127</v>
      </c>
      <c r="G1394">
        <v>3.9650581238354646E-2</v>
      </c>
      <c r="I1394" s="7">
        <v>44127</v>
      </c>
      <c r="O1394" s="52" t="s">
        <v>77</v>
      </c>
      <c r="P1394">
        <v>2020</v>
      </c>
    </row>
    <row r="1395" spans="6:16" x14ac:dyDescent="0.25">
      <c r="F1395" s="7">
        <v>44128</v>
      </c>
      <c r="G1395">
        <v>5.4921193245925128E-2</v>
      </c>
      <c r="I1395" s="7">
        <v>44128</v>
      </c>
      <c r="O1395" s="52" t="s">
        <v>77</v>
      </c>
      <c r="P1395">
        <v>2020</v>
      </c>
    </row>
    <row r="1396" spans="6:16" x14ac:dyDescent="0.25">
      <c r="F1396" s="7">
        <v>44129</v>
      </c>
      <c r="G1396">
        <v>4.3790369910063437E-2</v>
      </c>
      <c r="I1396" s="7">
        <v>44129</v>
      </c>
      <c r="O1396" s="52" t="s">
        <v>77</v>
      </c>
      <c r="P1396">
        <v>2020</v>
      </c>
    </row>
    <row r="1397" spans="6:16" x14ac:dyDescent="0.25">
      <c r="F1397" s="7">
        <v>44130</v>
      </c>
      <c r="G1397">
        <v>2.7509645657916765E-2</v>
      </c>
      <c r="I1397" s="7">
        <v>44130</v>
      </c>
      <c r="O1397" s="52" t="s">
        <v>77</v>
      </c>
      <c r="P1397">
        <v>2020</v>
      </c>
    </row>
    <row r="1398" spans="6:16" x14ac:dyDescent="0.25">
      <c r="F1398" s="7">
        <v>44131</v>
      </c>
      <c r="G1398">
        <v>2.8466352736951844E-2</v>
      </c>
      <c r="I1398" s="7">
        <v>44131</v>
      </c>
      <c r="O1398" s="52" t="s">
        <v>77</v>
      </c>
      <c r="P1398">
        <v>2020</v>
      </c>
    </row>
    <row r="1399" spans="6:16" x14ac:dyDescent="0.25">
      <c r="F1399" s="7">
        <v>44132</v>
      </c>
      <c r="G1399">
        <v>3.2440398785763706E-2</v>
      </c>
      <c r="I1399" s="7">
        <v>44132</v>
      </c>
      <c r="O1399" s="52" t="s">
        <v>77</v>
      </c>
      <c r="P1399">
        <v>2020</v>
      </c>
    </row>
    <row r="1400" spans="6:16" x14ac:dyDescent="0.25">
      <c r="F1400" s="7">
        <v>44133</v>
      </c>
      <c r="G1400">
        <v>3.3338925327240143E-2</v>
      </c>
      <c r="I1400" s="7">
        <v>44133</v>
      </c>
      <c r="O1400" s="52" t="s">
        <v>77</v>
      </c>
      <c r="P1400">
        <v>2020</v>
      </c>
    </row>
    <row r="1401" spans="6:16" x14ac:dyDescent="0.25">
      <c r="F1401" s="7">
        <v>44134</v>
      </c>
      <c r="G1401">
        <v>4.0597739078361242E-2</v>
      </c>
      <c r="I1401" s="7">
        <v>44134</v>
      </c>
      <c r="O1401" s="52" t="s">
        <v>77</v>
      </c>
      <c r="P1401">
        <v>2020</v>
      </c>
    </row>
    <row r="1402" spans="6:16" x14ac:dyDescent="0.25">
      <c r="F1402" s="7">
        <v>44135</v>
      </c>
      <c r="G1402">
        <v>5.5853817251228594E-2</v>
      </c>
      <c r="I1402" s="7">
        <v>44135</v>
      </c>
      <c r="O1402" s="52" t="s">
        <v>77</v>
      </c>
      <c r="P1402">
        <v>2020</v>
      </c>
    </row>
    <row r="1403" spans="6:16" x14ac:dyDescent="0.25">
      <c r="F1403" s="7">
        <v>44136</v>
      </c>
      <c r="G1403">
        <v>4.2865032510826351E-2</v>
      </c>
      <c r="I1403" s="7">
        <v>44136</v>
      </c>
      <c r="O1403" s="52" t="s">
        <v>78</v>
      </c>
      <c r="P1403">
        <v>2020</v>
      </c>
    </row>
    <row r="1404" spans="6:16" x14ac:dyDescent="0.25">
      <c r="F1404" s="7">
        <v>44137</v>
      </c>
      <c r="G1404">
        <v>2.7218482123853867E-2</v>
      </c>
      <c r="I1404" s="7">
        <v>44137</v>
      </c>
      <c r="O1404" s="52" t="s">
        <v>78</v>
      </c>
      <c r="P1404">
        <v>2020</v>
      </c>
    </row>
    <row r="1405" spans="6:16" x14ac:dyDescent="0.25">
      <c r="F1405" s="7">
        <v>44138</v>
      </c>
      <c r="G1405">
        <v>2.8088949851691223E-2</v>
      </c>
      <c r="I1405" s="7">
        <v>44138</v>
      </c>
      <c r="O1405" s="52" t="s">
        <v>78</v>
      </c>
      <c r="P1405">
        <v>2020</v>
      </c>
    </row>
    <row r="1406" spans="6:16" x14ac:dyDescent="0.25">
      <c r="F1406" s="7">
        <v>44139</v>
      </c>
      <c r="G1406">
        <v>3.1838376867247282E-2</v>
      </c>
      <c r="I1406" s="7">
        <v>44139</v>
      </c>
      <c r="O1406" s="52" t="s">
        <v>78</v>
      </c>
      <c r="P1406">
        <v>2020</v>
      </c>
    </row>
    <row r="1407" spans="6:16" x14ac:dyDescent="0.25">
      <c r="F1407" s="7">
        <v>44140</v>
      </c>
      <c r="G1407">
        <v>3.262297014220529E-2</v>
      </c>
      <c r="I1407" s="7">
        <v>44140</v>
      </c>
      <c r="O1407" s="52" t="s">
        <v>78</v>
      </c>
      <c r="P1407">
        <v>2020</v>
      </c>
    </row>
    <row r="1408" spans="6:16" x14ac:dyDescent="0.25">
      <c r="F1408" s="7">
        <v>44141</v>
      </c>
      <c r="G1408">
        <v>3.9490974601085298E-2</v>
      </c>
      <c r="I1408" s="7">
        <v>44141</v>
      </c>
      <c r="O1408" s="52" t="s">
        <v>78</v>
      </c>
      <c r="P1408">
        <v>2020</v>
      </c>
    </row>
    <row r="1409" spans="6:16" x14ac:dyDescent="0.25">
      <c r="F1409" s="7">
        <v>44142</v>
      </c>
      <c r="G1409">
        <v>5.4012454448818067E-2</v>
      </c>
      <c r="I1409" s="7">
        <v>44142</v>
      </c>
      <c r="O1409" s="52" t="s">
        <v>78</v>
      </c>
      <c r="P1409">
        <v>2020</v>
      </c>
    </row>
    <row r="1410" spans="6:16" x14ac:dyDescent="0.25">
      <c r="F1410" s="7">
        <v>44143</v>
      </c>
      <c r="G1410">
        <v>4.3192328954431286E-2</v>
      </c>
      <c r="I1410" s="7">
        <v>44143</v>
      </c>
      <c r="O1410" s="52" t="s">
        <v>78</v>
      </c>
      <c r="P1410">
        <v>2020</v>
      </c>
    </row>
    <row r="1411" spans="6:16" x14ac:dyDescent="0.25">
      <c r="F1411" s="7">
        <v>44144</v>
      </c>
      <c r="G1411">
        <v>2.7409313741066782E-2</v>
      </c>
      <c r="I1411" s="7">
        <v>44144</v>
      </c>
      <c r="O1411" s="52" t="s">
        <v>78</v>
      </c>
      <c r="P1411">
        <v>2020</v>
      </c>
    </row>
    <row r="1412" spans="6:16" x14ac:dyDescent="0.25">
      <c r="F1412" s="7">
        <v>44145</v>
      </c>
      <c r="G1412">
        <v>2.8132300229772981E-2</v>
      </c>
      <c r="I1412" s="7">
        <v>44145</v>
      </c>
      <c r="O1412" s="52" t="s">
        <v>78</v>
      </c>
      <c r="P1412">
        <v>2020</v>
      </c>
    </row>
    <row r="1413" spans="6:16" x14ac:dyDescent="0.25">
      <c r="F1413" s="7">
        <v>44146</v>
      </c>
      <c r="G1413">
        <v>3.1725960832453416E-2</v>
      </c>
      <c r="I1413" s="7">
        <v>44146</v>
      </c>
      <c r="O1413" s="52" t="s">
        <v>78</v>
      </c>
      <c r="P1413">
        <v>2020</v>
      </c>
    </row>
    <row r="1414" spans="6:16" x14ac:dyDescent="0.25">
      <c r="F1414" s="7">
        <v>44147</v>
      </c>
      <c r="G1414">
        <v>3.2349741317870231E-2</v>
      </c>
      <c r="I1414" s="7">
        <v>44147</v>
      </c>
      <c r="O1414" s="52" t="s">
        <v>78</v>
      </c>
      <c r="P1414">
        <v>2020</v>
      </c>
    </row>
    <row r="1415" spans="6:16" x14ac:dyDescent="0.25">
      <c r="F1415" s="7">
        <v>44148</v>
      </c>
      <c r="G1415">
        <v>3.9055551611689207E-2</v>
      </c>
      <c r="I1415" s="7">
        <v>44148</v>
      </c>
      <c r="O1415" s="52" t="s">
        <v>78</v>
      </c>
      <c r="P1415">
        <v>2020</v>
      </c>
    </row>
    <row r="1416" spans="6:16" x14ac:dyDescent="0.25">
      <c r="F1416" s="7">
        <v>44149</v>
      </c>
      <c r="G1416">
        <v>5.3417450439672373E-2</v>
      </c>
      <c r="I1416" s="7">
        <v>44149</v>
      </c>
      <c r="O1416" s="52" t="s">
        <v>78</v>
      </c>
      <c r="P1416">
        <v>2020</v>
      </c>
    </row>
    <row r="1417" spans="6:16" x14ac:dyDescent="0.25">
      <c r="F1417" s="7">
        <v>44150</v>
      </c>
      <c r="G1417">
        <v>4.2444572102833672E-2</v>
      </c>
      <c r="I1417" s="7">
        <v>44150</v>
      </c>
      <c r="O1417" s="52" t="s">
        <v>78</v>
      </c>
      <c r="P1417">
        <v>2020</v>
      </c>
    </row>
    <row r="1418" spans="6:16" x14ac:dyDescent="0.25">
      <c r="F1418" s="7">
        <v>44151</v>
      </c>
      <c r="G1418">
        <v>2.6519949268067035E-2</v>
      </c>
      <c r="I1418" s="7">
        <v>44151</v>
      </c>
      <c r="O1418" s="52" t="s">
        <v>78</v>
      </c>
      <c r="P1418">
        <v>2020</v>
      </c>
    </row>
    <row r="1419" spans="6:16" x14ac:dyDescent="0.25">
      <c r="F1419" s="7">
        <v>44152</v>
      </c>
      <c r="G1419">
        <v>2.7116768146204468E-2</v>
      </c>
      <c r="I1419" s="7">
        <v>44152</v>
      </c>
      <c r="O1419" s="52" t="s">
        <v>78</v>
      </c>
      <c r="P1419">
        <v>2020</v>
      </c>
    </row>
    <row r="1420" spans="6:16" x14ac:dyDescent="0.25">
      <c r="F1420" s="7">
        <v>44153</v>
      </c>
      <c r="G1420">
        <v>3.0603846991645665E-2</v>
      </c>
      <c r="I1420" s="7">
        <v>44153</v>
      </c>
      <c r="O1420" s="52" t="s">
        <v>78</v>
      </c>
      <c r="P1420">
        <v>2020</v>
      </c>
    </row>
    <row r="1421" spans="6:16" x14ac:dyDescent="0.25">
      <c r="F1421" s="7">
        <v>44154</v>
      </c>
      <c r="G1421">
        <v>3.1144503271498748E-2</v>
      </c>
      <c r="I1421" s="7">
        <v>44154</v>
      </c>
      <c r="O1421" s="52" t="s">
        <v>78</v>
      </c>
      <c r="P1421">
        <v>2020</v>
      </c>
    </row>
    <row r="1422" spans="6:16" x14ac:dyDescent="0.25">
      <c r="F1422" s="7">
        <v>44155</v>
      </c>
      <c r="G1422">
        <v>3.7794124217044964E-2</v>
      </c>
      <c r="I1422" s="7">
        <v>44155</v>
      </c>
      <c r="O1422" s="52" t="s">
        <v>78</v>
      </c>
      <c r="P1422">
        <v>2020</v>
      </c>
    </row>
    <row r="1423" spans="6:16" x14ac:dyDescent="0.25">
      <c r="F1423" s="7">
        <v>44156</v>
      </c>
      <c r="G1423">
        <v>5.2129739857892175E-2</v>
      </c>
      <c r="I1423" s="7">
        <v>44156</v>
      </c>
      <c r="O1423" s="52" t="s">
        <v>78</v>
      </c>
      <c r="P1423">
        <v>2020</v>
      </c>
    </row>
    <row r="1424" spans="6:16" x14ac:dyDescent="0.25">
      <c r="F1424" s="7">
        <v>44157</v>
      </c>
      <c r="G1424">
        <v>4.1162850000120058E-2</v>
      </c>
      <c r="I1424" s="7">
        <v>44157</v>
      </c>
      <c r="O1424" s="52" t="s">
        <v>78</v>
      </c>
      <c r="P1424">
        <v>2020</v>
      </c>
    </row>
    <row r="1425" spans="6:16" x14ac:dyDescent="0.25">
      <c r="F1425" s="7">
        <v>44158</v>
      </c>
      <c r="G1425">
        <v>2.5278162084697409E-2</v>
      </c>
      <c r="I1425" s="7">
        <v>44158</v>
      </c>
      <c r="O1425" s="52" t="s">
        <v>78</v>
      </c>
      <c r="P1425">
        <v>2020</v>
      </c>
    </row>
    <row r="1426" spans="6:16" x14ac:dyDescent="0.25">
      <c r="F1426" s="7">
        <v>44159</v>
      </c>
      <c r="G1426">
        <v>2.5949778758968367E-2</v>
      </c>
      <c r="I1426" s="7">
        <v>44159</v>
      </c>
      <c r="O1426" s="52" t="s">
        <v>78</v>
      </c>
      <c r="P1426">
        <v>2020</v>
      </c>
    </row>
    <row r="1427" spans="6:16" x14ac:dyDescent="0.25">
      <c r="F1427" s="7">
        <v>44160</v>
      </c>
      <c r="G1427">
        <v>2.9546628250246124E-2</v>
      </c>
      <c r="I1427" s="7">
        <v>44160</v>
      </c>
      <c r="O1427" s="52" t="s">
        <v>78</v>
      </c>
      <c r="P1427">
        <v>2020</v>
      </c>
    </row>
    <row r="1428" spans="6:16" x14ac:dyDescent="0.25">
      <c r="F1428" s="7">
        <v>44161</v>
      </c>
      <c r="G1428">
        <v>3.0231304252891989E-2</v>
      </c>
      <c r="I1428" s="7">
        <v>44161</v>
      </c>
      <c r="O1428" s="52" t="s">
        <v>78</v>
      </c>
      <c r="P1428">
        <v>2020</v>
      </c>
    </row>
    <row r="1429" spans="6:16" x14ac:dyDescent="0.25">
      <c r="F1429" s="7">
        <v>44162</v>
      </c>
      <c r="G1429">
        <v>3.7057631165697325E-2</v>
      </c>
      <c r="I1429" s="7">
        <v>44162</v>
      </c>
      <c r="O1429" s="52" t="s">
        <v>78</v>
      </c>
      <c r="P1429">
        <v>2020</v>
      </c>
    </row>
    <row r="1430" spans="6:16" x14ac:dyDescent="0.25">
      <c r="F1430" s="7">
        <v>44163</v>
      </c>
      <c r="G1430">
        <v>5.160025395950809E-2</v>
      </c>
      <c r="I1430" s="7">
        <v>44163</v>
      </c>
      <c r="O1430" s="52" t="s">
        <v>78</v>
      </c>
      <c r="P1430">
        <v>2020</v>
      </c>
    </row>
    <row r="1431" spans="6:16" x14ac:dyDescent="0.25">
      <c r="F1431" s="7">
        <v>44164</v>
      </c>
      <c r="G1431">
        <v>3.0354108858577703E-2</v>
      </c>
      <c r="I1431" s="7">
        <v>44164</v>
      </c>
      <c r="O1431" s="52" t="s">
        <v>79</v>
      </c>
      <c r="P1431">
        <v>2020</v>
      </c>
    </row>
    <row r="1432" spans="6:16" x14ac:dyDescent="0.25">
      <c r="F1432" s="7">
        <v>44165</v>
      </c>
      <c r="G1432">
        <v>1.8747013657944241E-2</v>
      </c>
      <c r="I1432" s="7">
        <v>44165</v>
      </c>
      <c r="O1432" s="52" t="s">
        <v>79</v>
      </c>
      <c r="P1432">
        <v>2020</v>
      </c>
    </row>
    <row r="1433" spans="6:16" x14ac:dyDescent="0.25">
      <c r="F1433" s="7">
        <v>44166</v>
      </c>
      <c r="G1433">
        <v>1.9450912329462198E-2</v>
      </c>
      <c r="I1433" s="7">
        <v>44166</v>
      </c>
      <c r="O1433" s="52" t="s">
        <v>79</v>
      </c>
      <c r="P1433">
        <v>2020</v>
      </c>
    </row>
    <row r="1434" spans="6:16" x14ac:dyDescent="0.25">
      <c r="F1434" s="7">
        <v>44167</v>
      </c>
      <c r="G1434">
        <v>2.2337626094592698E-2</v>
      </c>
      <c r="I1434" s="7">
        <v>44167</v>
      </c>
      <c r="O1434" s="52" t="s">
        <v>79</v>
      </c>
      <c r="P1434">
        <v>2020</v>
      </c>
    </row>
    <row r="1435" spans="6:16" x14ac:dyDescent="0.25">
      <c r="F1435" s="7">
        <v>44168</v>
      </c>
      <c r="G1435">
        <v>2.3067353404250764E-2</v>
      </c>
      <c r="I1435" s="7">
        <v>44168</v>
      </c>
      <c r="O1435" s="52" t="s">
        <v>79</v>
      </c>
      <c r="P1435">
        <v>2020</v>
      </c>
    </row>
    <row r="1436" spans="6:16" x14ac:dyDescent="0.25">
      <c r="F1436" s="7">
        <v>44169</v>
      </c>
      <c r="G1436">
        <v>2.8360438610715084E-2</v>
      </c>
      <c r="I1436" s="7">
        <v>44169</v>
      </c>
      <c r="O1436" s="52" t="s">
        <v>79</v>
      </c>
      <c r="P1436">
        <v>2020</v>
      </c>
    </row>
    <row r="1437" spans="6:16" x14ac:dyDescent="0.25">
      <c r="F1437" s="7">
        <v>44170</v>
      </c>
      <c r="G1437">
        <v>3.9381974112984372E-2</v>
      </c>
      <c r="I1437" s="7">
        <v>44170</v>
      </c>
      <c r="O1437" s="52" t="s">
        <v>79</v>
      </c>
      <c r="P1437">
        <v>2020</v>
      </c>
    </row>
    <row r="1438" spans="6:16" x14ac:dyDescent="0.25">
      <c r="F1438" s="7">
        <v>44171</v>
      </c>
      <c r="G1438">
        <v>3.1623086204241271E-2</v>
      </c>
      <c r="I1438" s="7">
        <v>44171</v>
      </c>
      <c r="O1438" s="52" t="s">
        <v>79</v>
      </c>
      <c r="P1438">
        <v>2020</v>
      </c>
    </row>
    <row r="1439" spans="6:16" x14ac:dyDescent="0.25">
      <c r="F1439" s="7">
        <v>44172</v>
      </c>
      <c r="G1439">
        <v>2.0217086891709327E-2</v>
      </c>
      <c r="I1439" s="7">
        <v>44172</v>
      </c>
      <c r="O1439" s="52" t="s">
        <v>79</v>
      </c>
      <c r="P1439">
        <v>2020</v>
      </c>
    </row>
    <row r="1440" spans="6:16" x14ac:dyDescent="0.25">
      <c r="F1440" s="7">
        <v>44173</v>
      </c>
      <c r="G1440">
        <v>2.1106127686404918E-2</v>
      </c>
      <c r="I1440" s="7">
        <v>44173</v>
      </c>
      <c r="O1440" s="52" t="s">
        <v>79</v>
      </c>
      <c r="P1440">
        <v>2020</v>
      </c>
    </row>
    <row r="1441" spans="6:16" x14ac:dyDescent="0.25">
      <c r="F1441" s="7">
        <v>44174</v>
      </c>
      <c r="G1441">
        <v>2.4158057131878893E-2</v>
      </c>
      <c r="I1441" s="7">
        <v>44174</v>
      </c>
      <c r="O1441" s="52" t="s">
        <v>79</v>
      </c>
      <c r="P1441">
        <v>2020</v>
      </c>
    </row>
    <row r="1442" spans="6:16" x14ac:dyDescent="0.25">
      <c r="F1442" s="7">
        <v>44175</v>
      </c>
      <c r="G1442">
        <v>2.5029468660460946E-2</v>
      </c>
      <c r="I1442" s="7">
        <v>44175</v>
      </c>
      <c r="O1442" s="52" t="s">
        <v>79</v>
      </c>
      <c r="P1442">
        <v>2020</v>
      </c>
    </row>
    <row r="1443" spans="6:16" x14ac:dyDescent="0.25">
      <c r="F1443" s="7">
        <v>44176</v>
      </c>
      <c r="G1443">
        <v>3.0437553184721862E-2</v>
      </c>
      <c r="I1443" s="7">
        <v>44176</v>
      </c>
      <c r="O1443" s="52" t="s">
        <v>79</v>
      </c>
      <c r="P1443">
        <v>2020</v>
      </c>
    </row>
    <row r="1444" spans="6:16" x14ac:dyDescent="0.25">
      <c r="F1444" s="7">
        <v>44177</v>
      </c>
      <c r="G1444">
        <v>4.1544774408151991E-2</v>
      </c>
      <c r="I1444" s="7">
        <v>44177</v>
      </c>
      <c r="O1444" s="52" t="s">
        <v>79</v>
      </c>
      <c r="P1444">
        <v>2020</v>
      </c>
    </row>
    <row r="1445" spans="6:16" x14ac:dyDescent="0.25">
      <c r="F1445" s="7">
        <v>44178</v>
      </c>
      <c r="G1445">
        <v>3.3840215334981147E-2</v>
      </c>
      <c r="I1445" s="7">
        <v>44178</v>
      </c>
      <c r="O1445" s="52" t="s">
        <v>79</v>
      </c>
      <c r="P1445">
        <v>2020</v>
      </c>
    </row>
    <row r="1446" spans="6:16" x14ac:dyDescent="0.25">
      <c r="F1446" s="7">
        <v>44179</v>
      </c>
      <c r="G1446">
        <v>2.2455776915644141E-2</v>
      </c>
      <c r="I1446" s="7">
        <v>44179</v>
      </c>
      <c r="O1446" s="52" t="s">
        <v>79</v>
      </c>
      <c r="P1446">
        <v>2020</v>
      </c>
    </row>
    <row r="1447" spans="6:16" x14ac:dyDescent="0.25">
      <c r="F1447" s="7">
        <v>44180</v>
      </c>
      <c r="G1447">
        <v>2.3332863570651223E-2</v>
      </c>
      <c r="I1447" s="7">
        <v>44180</v>
      </c>
      <c r="O1447" s="52" t="s">
        <v>79</v>
      </c>
      <c r="P1447">
        <v>2020</v>
      </c>
    </row>
    <row r="1448" spans="6:16" x14ac:dyDescent="0.25">
      <c r="F1448" s="7">
        <v>44181</v>
      </c>
      <c r="G1448">
        <v>2.6339256986523379E-2</v>
      </c>
      <c r="I1448" s="7">
        <v>44181</v>
      </c>
      <c r="O1448" s="52" t="s">
        <v>79</v>
      </c>
      <c r="P1448">
        <v>2020</v>
      </c>
    </row>
    <row r="1449" spans="6:16" x14ac:dyDescent="0.25">
      <c r="F1449" s="7">
        <v>44182</v>
      </c>
      <c r="G1449">
        <v>2.7132164367231239E-2</v>
      </c>
      <c r="I1449" s="7">
        <v>44182</v>
      </c>
      <c r="O1449" s="52" t="s">
        <v>79</v>
      </c>
      <c r="P1449">
        <v>2020</v>
      </c>
    </row>
    <row r="1450" spans="6:16" x14ac:dyDescent="0.25">
      <c r="F1450" s="7">
        <v>44183</v>
      </c>
      <c r="G1450">
        <v>3.2430055736570013E-2</v>
      </c>
      <c r="I1450" s="7">
        <v>44183</v>
      </c>
      <c r="O1450" s="52" t="s">
        <v>79</v>
      </c>
      <c r="P1450">
        <v>2020</v>
      </c>
    </row>
    <row r="1451" spans="6:16" x14ac:dyDescent="0.25">
      <c r="F1451" s="7">
        <v>44184</v>
      </c>
      <c r="G1451">
        <v>4.3397309011518614E-2</v>
      </c>
      <c r="I1451" s="7">
        <v>44184</v>
      </c>
      <c r="O1451" s="52" t="s">
        <v>79</v>
      </c>
      <c r="P1451">
        <v>2020</v>
      </c>
    </row>
    <row r="1452" spans="6:16" x14ac:dyDescent="0.25">
      <c r="F1452" s="7">
        <v>44185</v>
      </c>
      <c r="G1452">
        <v>3.5525512057618072E-2</v>
      </c>
      <c r="I1452" s="7">
        <v>44185</v>
      </c>
      <c r="O1452" s="52" t="s">
        <v>79</v>
      </c>
      <c r="P1452">
        <v>2020</v>
      </c>
    </row>
    <row r="1453" spans="6:16" x14ac:dyDescent="0.25">
      <c r="F1453" s="7">
        <v>44186</v>
      </c>
      <c r="G1453">
        <v>2.3949604090513471E-2</v>
      </c>
      <c r="I1453" s="7">
        <v>44186</v>
      </c>
      <c r="O1453" s="52" t="s">
        <v>79</v>
      </c>
      <c r="P1453">
        <v>2020</v>
      </c>
    </row>
    <row r="1454" spans="6:16" x14ac:dyDescent="0.25">
      <c r="F1454" s="7">
        <v>44187</v>
      </c>
      <c r="G1454">
        <v>2.4614492771896354E-2</v>
      </c>
      <c r="I1454" s="7">
        <v>44187</v>
      </c>
      <c r="O1454" s="52" t="s">
        <v>79</v>
      </c>
      <c r="P1454">
        <v>2020</v>
      </c>
    </row>
    <row r="1455" spans="6:16" x14ac:dyDescent="0.25">
      <c r="F1455" s="7">
        <v>44188</v>
      </c>
      <c r="G1455">
        <v>2.7391850117543654E-2</v>
      </c>
      <c r="I1455" s="7">
        <v>44188</v>
      </c>
      <c r="O1455" s="52" t="s">
        <v>79</v>
      </c>
      <c r="P1455">
        <v>2020</v>
      </c>
    </row>
    <row r="1456" spans="6:16" x14ac:dyDescent="0.25">
      <c r="F1456" s="7">
        <v>44189</v>
      </c>
      <c r="G1456">
        <v>2.7943075515182412E-2</v>
      </c>
      <c r="I1456" s="7">
        <v>44189</v>
      </c>
      <c r="O1456" s="52" t="s">
        <v>79</v>
      </c>
      <c r="P1456">
        <v>2020</v>
      </c>
    </row>
    <row r="1457" spans="6:16" x14ac:dyDescent="0.25">
      <c r="F1457" s="7">
        <v>44190</v>
      </c>
      <c r="G1457">
        <v>2.8653344060119761E-2</v>
      </c>
      <c r="I1457" s="7">
        <v>44190</v>
      </c>
      <c r="O1457" s="52" t="s">
        <v>79</v>
      </c>
      <c r="P1457">
        <v>2020</v>
      </c>
    </row>
    <row r="1458" spans="6:16" x14ac:dyDescent="0.25">
      <c r="F1458" s="7">
        <v>44191</v>
      </c>
      <c r="G1458">
        <v>3.5402553147118987E-2</v>
      </c>
      <c r="I1458" s="7">
        <v>44191</v>
      </c>
      <c r="O1458" s="52" t="s">
        <v>79</v>
      </c>
      <c r="P1458">
        <v>2020</v>
      </c>
    </row>
    <row r="1459" spans="6:16" x14ac:dyDescent="0.25">
      <c r="F1459" s="7">
        <v>44192</v>
      </c>
      <c r="G1459">
        <v>3.5580034385358374E-2</v>
      </c>
      <c r="I1459" s="7">
        <v>44192</v>
      </c>
      <c r="O1459" s="52" t="s">
        <v>79</v>
      </c>
      <c r="P1459">
        <v>2020</v>
      </c>
    </row>
    <row r="1460" spans="6:16" x14ac:dyDescent="0.25">
      <c r="F1460" s="7">
        <v>44193</v>
      </c>
      <c r="G1460">
        <v>2.3756608652314763E-2</v>
      </c>
      <c r="I1460" s="7">
        <v>44193</v>
      </c>
      <c r="O1460" s="52" t="s">
        <v>79</v>
      </c>
      <c r="P1460">
        <v>2020</v>
      </c>
    </row>
    <row r="1461" spans="6:16" x14ac:dyDescent="0.25">
      <c r="F1461" s="7">
        <v>44194</v>
      </c>
      <c r="G1461">
        <v>2.4183600745864387E-2</v>
      </c>
      <c r="I1461" s="7">
        <v>44194</v>
      </c>
      <c r="O1461" s="52" t="s">
        <v>79</v>
      </c>
      <c r="P1461">
        <v>2020</v>
      </c>
    </row>
    <row r="1462" spans="6:16" x14ac:dyDescent="0.25">
      <c r="F1462" s="7">
        <v>44195</v>
      </c>
      <c r="G1462">
        <v>2.6736760565410779E-2</v>
      </c>
      <c r="I1462" s="7">
        <v>44195</v>
      </c>
      <c r="O1462" s="52" t="s">
        <v>79</v>
      </c>
      <c r="P1462">
        <v>2020</v>
      </c>
    </row>
    <row r="1463" spans="6:16" x14ac:dyDescent="0.25">
      <c r="F1463" s="7">
        <v>44196</v>
      </c>
      <c r="G1463">
        <v>2.7081247754606574E-2</v>
      </c>
      <c r="I1463" s="7">
        <v>44196</v>
      </c>
      <c r="O1463" s="52" t="s">
        <v>79</v>
      </c>
      <c r="P1463">
        <v>2020</v>
      </c>
    </row>
    <row r="1464" spans="6:16" x14ac:dyDescent="0.25">
      <c r="F1464" s="7">
        <v>44197</v>
      </c>
      <c r="G1464">
        <v>3.194331100002664E-2</v>
      </c>
      <c r="I1464" s="7">
        <v>44197</v>
      </c>
      <c r="O1464" s="52" t="s">
        <v>79</v>
      </c>
      <c r="P1464">
        <v>2020</v>
      </c>
    </row>
    <row r="1465" spans="6:16" x14ac:dyDescent="0.25">
      <c r="F1465" s="7">
        <v>44198</v>
      </c>
      <c r="G1465">
        <v>4.2494781977209781E-2</v>
      </c>
      <c r="I1465" s="7">
        <v>44198</v>
      </c>
      <c r="O1465" s="52" t="s">
        <v>79</v>
      </c>
      <c r="P1465">
        <v>2020</v>
      </c>
    </row>
    <row r="1466" spans="6:16" x14ac:dyDescent="0.25">
      <c r="F1466" s="7">
        <v>44199</v>
      </c>
      <c r="G1466">
        <v>1.0375316105248576E-2</v>
      </c>
    </row>
    <row r="1467" spans="6:16" x14ac:dyDescent="0.25">
      <c r="F1467" s="7">
        <v>44200</v>
      </c>
      <c r="G1467">
        <v>6.7593374807353983E-3</v>
      </c>
    </row>
    <row r="1468" spans="6:16" x14ac:dyDescent="0.25">
      <c r="F1468" s="7">
        <v>44201</v>
      </c>
      <c r="G1468">
        <v>6.8650124942151404E-3</v>
      </c>
    </row>
    <row r="1469" spans="6:16" x14ac:dyDescent="0.25">
      <c r="F1469" s="7">
        <v>44202</v>
      </c>
      <c r="G1469">
        <v>7.6242454537702037E-3</v>
      </c>
    </row>
    <row r="1470" spans="6:16" x14ac:dyDescent="0.25">
      <c r="F1470" s="7">
        <v>44203</v>
      </c>
      <c r="G1470">
        <v>7.7233579295884758E-3</v>
      </c>
    </row>
    <row r="1471" spans="6:16" x14ac:dyDescent="0.25">
      <c r="F1471" s="7">
        <v>44204</v>
      </c>
      <c r="G1471">
        <v>9.2007714832441512E-3</v>
      </c>
    </row>
    <row r="1472" spans="6:16" x14ac:dyDescent="0.25">
      <c r="F1472" s="7">
        <v>44205</v>
      </c>
      <c r="G1472">
        <v>1.2411378711600418E-2</v>
      </c>
    </row>
    <row r="1473" spans="6:7" x14ac:dyDescent="0.25">
      <c r="F1473" s="7">
        <v>44206</v>
      </c>
      <c r="G1473">
        <v>9.9291674949947163E-3</v>
      </c>
    </row>
    <row r="1474" spans="6:7" x14ac:dyDescent="0.25">
      <c r="F1474" s="7">
        <v>44207</v>
      </c>
      <c r="G1474">
        <v>6.3424536999796468E-3</v>
      </c>
    </row>
    <row r="1475" spans="6:7" x14ac:dyDescent="0.25">
      <c r="F1475" s="7">
        <v>44208</v>
      </c>
      <c r="G1475">
        <v>6.4846884007814833E-3</v>
      </c>
    </row>
    <row r="1476" spans="6:7" x14ac:dyDescent="0.25">
      <c r="F1476" s="7">
        <v>44209</v>
      </c>
      <c r="G1476">
        <v>7.2869938219772279E-3</v>
      </c>
    </row>
    <row r="1477" spans="6:7" x14ac:dyDescent="0.25">
      <c r="F1477" s="7">
        <v>44210</v>
      </c>
      <c r="G1477">
        <v>7.4348144838434606E-3</v>
      </c>
    </row>
    <row r="1478" spans="6:7" x14ac:dyDescent="0.25">
      <c r="F1478" s="7">
        <v>44211</v>
      </c>
      <c r="G1478">
        <v>8.9656171487147943E-3</v>
      </c>
    </row>
    <row r="1479" spans="6:7" x14ac:dyDescent="0.25">
      <c r="F1479" s="7">
        <v>44212</v>
      </c>
      <c r="G1479">
        <v>1.2233279513139687E-2</v>
      </c>
    </row>
    <row r="1480" spans="6:7" x14ac:dyDescent="0.25">
      <c r="F1480" s="7">
        <v>44213</v>
      </c>
      <c r="G1480">
        <v>9.8107322136098459E-3</v>
      </c>
    </row>
    <row r="1481" spans="6:7" x14ac:dyDescent="0.25">
      <c r="F1481" s="7">
        <v>44214</v>
      </c>
      <c r="G1481">
        <v>6.2852089799321784E-3</v>
      </c>
    </row>
    <row r="1482" spans="6:7" x14ac:dyDescent="0.25">
      <c r="F1482" s="7">
        <v>44215</v>
      </c>
      <c r="G1482">
        <v>6.489070787811713E-3</v>
      </c>
    </row>
    <row r="1483" spans="6:7" x14ac:dyDescent="0.25">
      <c r="F1483" s="7">
        <v>44216</v>
      </c>
      <c r="G1483">
        <v>7.352357946656056E-3</v>
      </c>
    </row>
    <row r="1484" spans="6:7" x14ac:dyDescent="0.25">
      <c r="F1484" s="7">
        <v>44217</v>
      </c>
      <c r="G1484">
        <v>7.5594563944554162E-3</v>
      </c>
    </row>
    <row r="1485" spans="6:7" x14ac:dyDescent="0.25">
      <c r="F1485" s="7">
        <v>44218</v>
      </c>
      <c r="G1485">
        <v>9.1468116842935814E-3</v>
      </c>
    </row>
    <row r="1486" spans="6:7" x14ac:dyDescent="0.25">
      <c r="F1486" s="7">
        <v>44219</v>
      </c>
      <c r="G1486">
        <v>1.2467330524935044E-2</v>
      </c>
    </row>
    <row r="1487" spans="6:7" x14ac:dyDescent="0.25">
      <c r="F1487" s="7">
        <v>44220</v>
      </c>
      <c r="G1487">
        <v>1.0093034342956343E-2</v>
      </c>
    </row>
    <row r="1488" spans="6:7" x14ac:dyDescent="0.25">
      <c r="F1488" s="7">
        <v>44221</v>
      </c>
      <c r="G1488">
        <v>6.6103197813359481E-3</v>
      </c>
    </row>
    <row r="1489" spans="6:7" x14ac:dyDescent="0.25">
      <c r="F1489" s="7">
        <v>44222</v>
      </c>
      <c r="G1489">
        <v>6.8507919381627725E-3</v>
      </c>
    </row>
    <row r="1490" spans="6:7" x14ac:dyDescent="0.25">
      <c r="F1490" s="7">
        <v>44223</v>
      </c>
      <c r="G1490">
        <v>7.7438243982505192E-3</v>
      </c>
    </row>
    <row r="1491" spans="6:7" x14ac:dyDescent="0.25">
      <c r="F1491" s="7">
        <v>44224</v>
      </c>
      <c r="G1491">
        <v>7.9732323639460922E-3</v>
      </c>
    </row>
    <row r="1492" spans="6:7" x14ac:dyDescent="0.25">
      <c r="F1492" s="7">
        <v>44225</v>
      </c>
      <c r="G1492">
        <v>9.5749924894584226E-3</v>
      </c>
    </row>
    <row r="1493" spans="6:7" x14ac:dyDescent="0.25">
      <c r="F1493" s="7">
        <v>44226</v>
      </c>
      <c r="G1493">
        <v>1.2901649347026929E-2</v>
      </c>
    </row>
    <row r="1494" spans="6:7" x14ac:dyDescent="0.25">
      <c r="F1494" s="7">
        <v>44227</v>
      </c>
      <c r="G1494">
        <v>1.052497308821447E-2</v>
      </c>
    </row>
    <row r="1495" spans="6:7" x14ac:dyDescent="0.25">
      <c r="F1495" s="7">
        <v>44228</v>
      </c>
      <c r="G1495">
        <v>7.0312232556618238E-3</v>
      </c>
    </row>
    <row r="1496" spans="6:7" x14ac:dyDescent="0.25">
      <c r="F1496" s="7">
        <v>44229</v>
      </c>
      <c r="G1496">
        <v>7.2519846268148912E-3</v>
      </c>
    </row>
    <row r="1497" spans="6:7" x14ac:dyDescent="0.25">
      <c r="F1497" s="7">
        <v>44230</v>
      </c>
      <c r="G1497">
        <v>8.11672913342904E-3</v>
      </c>
    </row>
    <row r="1498" spans="6:7" x14ac:dyDescent="0.25">
      <c r="F1498" s="7">
        <v>44231</v>
      </c>
      <c r="G1498">
        <v>8.3094901541559806E-3</v>
      </c>
    </row>
    <row r="1499" spans="6:7" x14ac:dyDescent="0.25">
      <c r="F1499" s="7">
        <v>44232</v>
      </c>
      <c r="G1499">
        <v>9.8665827516024682E-3</v>
      </c>
    </row>
    <row r="1500" spans="6:7" x14ac:dyDescent="0.25">
      <c r="F1500" s="7">
        <v>44233</v>
      </c>
      <c r="G1500">
        <v>1.3141009680374819E-2</v>
      </c>
    </row>
    <row r="1501" spans="6:7" x14ac:dyDescent="0.25">
      <c r="F1501" s="7">
        <v>44234</v>
      </c>
      <c r="G1501">
        <v>1.0705117662022798E-2</v>
      </c>
    </row>
    <row r="1502" spans="6:7" x14ac:dyDescent="0.25">
      <c r="F1502" s="7">
        <v>44235</v>
      </c>
      <c r="G1502">
        <v>7.1458587115463892E-3</v>
      </c>
    </row>
    <row r="1503" spans="6:7" x14ac:dyDescent="0.25">
      <c r="F1503" s="7">
        <v>44236</v>
      </c>
      <c r="G1503">
        <v>7.2956222757084672E-3</v>
      </c>
    </row>
    <row r="1504" spans="6:7" x14ac:dyDescent="0.25">
      <c r="F1504" s="7">
        <v>44237</v>
      </c>
      <c r="G1504">
        <v>8.0847920502956101E-3</v>
      </c>
    </row>
    <row r="1505" spans="6:7" x14ac:dyDescent="0.25">
      <c r="F1505" s="7">
        <v>44238</v>
      </c>
      <c r="G1505">
        <v>8.1984136343986914E-3</v>
      </c>
    </row>
    <row r="1506" spans="6:7" x14ac:dyDescent="0.25">
      <c r="F1506" s="7">
        <v>44239</v>
      </c>
      <c r="G1506">
        <v>9.6739064119489744E-3</v>
      </c>
    </row>
    <row r="1507" spans="6:7" x14ac:dyDescent="0.25">
      <c r="F1507" s="7">
        <v>44240</v>
      </c>
      <c r="G1507">
        <v>1.2865459377732612E-2</v>
      </c>
    </row>
    <row r="1508" spans="6:7" x14ac:dyDescent="0.25">
      <c r="F1508" s="7">
        <v>44241</v>
      </c>
      <c r="G1508">
        <v>1.0346675267557708E-2</v>
      </c>
    </row>
    <row r="1509" spans="6:7" x14ac:dyDescent="0.25">
      <c r="F1509" s="7">
        <v>44242</v>
      </c>
      <c r="G1509">
        <v>6.7058177607688795E-3</v>
      </c>
    </row>
    <row r="1510" spans="6:7" x14ac:dyDescent="0.25">
      <c r="F1510" s="7">
        <v>44243</v>
      </c>
      <c r="G1510">
        <v>6.7766274464840532E-3</v>
      </c>
    </row>
    <row r="1511" spans="6:7" x14ac:dyDescent="0.25">
      <c r="F1511" s="7">
        <v>44244</v>
      </c>
      <c r="G1511">
        <v>7.4908605060325728E-3</v>
      </c>
    </row>
    <row r="1512" spans="6:7" x14ac:dyDescent="0.25">
      <c r="F1512" s="7">
        <v>44245</v>
      </c>
      <c r="G1512">
        <v>7.5349363520087588E-3</v>
      </c>
    </row>
    <row r="1513" spans="6:7" x14ac:dyDescent="0.25">
      <c r="F1513" s="7">
        <v>44246</v>
      </c>
      <c r="G1513">
        <v>8.9476278088045109E-3</v>
      </c>
    </row>
    <row r="1514" spans="6:7" x14ac:dyDescent="0.25">
      <c r="F1514" s="7">
        <v>44247</v>
      </c>
      <c r="G1514">
        <v>1.2084433803362885E-2</v>
      </c>
    </row>
    <row r="1515" spans="6:7" x14ac:dyDescent="0.25">
      <c r="F1515" s="7">
        <v>44248</v>
      </c>
      <c r="G1515">
        <v>9.5201992477113272E-3</v>
      </c>
    </row>
    <row r="1516" spans="6:7" x14ac:dyDescent="0.25">
      <c r="F1516" s="7">
        <v>44249</v>
      </c>
      <c r="G1516">
        <v>5.844337282702213E-3</v>
      </c>
    </row>
    <row r="1517" spans="6:7" x14ac:dyDescent="0.25">
      <c r="F1517" s="7">
        <v>44250</v>
      </c>
      <c r="G1517">
        <v>5.8916200519222445E-3</v>
      </c>
    </row>
    <row r="1518" spans="6:7" x14ac:dyDescent="0.25">
      <c r="F1518" s="7">
        <v>44251</v>
      </c>
      <c r="G1518">
        <v>6.5946924582935612E-3</v>
      </c>
    </row>
    <row r="1519" spans="6:7" x14ac:dyDescent="0.25">
      <c r="F1519" s="7">
        <v>44252</v>
      </c>
      <c r="G1519">
        <v>6.6406957411384729E-3</v>
      </c>
    </row>
    <row r="1520" spans="6:7" x14ac:dyDescent="0.25">
      <c r="F1520" s="7">
        <v>44253</v>
      </c>
      <c r="G1520">
        <v>8.0689350499405701E-3</v>
      </c>
    </row>
    <row r="1521" spans="6:7" x14ac:dyDescent="0.25">
      <c r="F1521" s="7">
        <v>44254</v>
      </c>
      <c r="G1521">
        <v>1.1235231616833182E-2</v>
      </c>
    </row>
    <row r="1522" spans="6:7" x14ac:dyDescent="0.25">
      <c r="F1522" s="7">
        <v>44255</v>
      </c>
      <c r="G1522">
        <v>8.7145248516457205E-3</v>
      </c>
    </row>
    <row r="1523" spans="6:7" x14ac:dyDescent="0.25">
      <c r="F1523" s="7">
        <v>44256</v>
      </c>
      <c r="G1523">
        <v>5.0960801098247771E-3</v>
      </c>
    </row>
    <row r="1524" spans="6:7" x14ac:dyDescent="0.25">
      <c r="F1524" s="7">
        <v>44257</v>
      </c>
      <c r="G1524">
        <v>5.2142689294920174E-3</v>
      </c>
    </row>
    <row r="1525" spans="6:7" x14ac:dyDescent="0.25">
      <c r="F1525" s="7">
        <v>44258</v>
      </c>
      <c r="G1525">
        <v>6.0010766752341656E-3</v>
      </c>
    </row>
    <row r="1526" spans="6:7" x14ac:dyDescent="0.25">
      <c r="F1526" s="7">
        <v>44259</v>
      </c>
      <c r="G1526">
        <v>6.1427249129665726E-3</v>
      </c>
    </row>
    <row r="1527" spans="6:7" x14ac:dyDescent="0.25">
      <c r="F1527" s="7">
        <v>44260</v>
      </c>
      <c r="G1527">
        <v>7.6773430394389691E-3</v>
      </c>
    </row>
    <row r="1528" spans="6:7" x14ac:dyDescent="0.25">
      <c r="F1528" s="7">
        <v>44261</v>
      </c>
      <c r="G1528">
        <v>1.0959330022927668E-2</v>
      </c>
    </row>
    <row r="1529" spans="6:7" x14ac:dyDescent="0.25">
      <c r="F1529" s="7">
        <v>44262</v>
      </c>
      <c r="G1529">
        <v>8.5619717226699324E-3</v>
      </c>
    </row>
    <row r="1530" spans="6:7" x14ac:dyDescent="0.25">
      <c r="F1530" s="7">
        <v>44263</v>
      </c>
      <c r="G1530">
        <v>5.0726695463402223E-3</v>
      </c>
    </row>
    <row r="1531" spans="6:7" x14ac:dyDescent="0.25">
      <c r="F1531" s="7">
        <v>44264</v>
      </c>
      <c r="G1531">
        <v>5.3237470831337917E-3</v>
      </c>
    </row>
    <row r="1532" spans="6:7" x14ac:dyDescent="0.25">
      <c r="F1532" s="7">
        <v>44265</v>
      </c>
      <c r="G1532">
        <v>6.2449893880539287E-3</v>
      </c>
    </row>
    <row r="1533" spans="6:7" x14ac:dyDescent="0.25">
      <c r="F1533" s="7">
        <v>44266</v>
      </c>
      <c r="G1533">
        <v>6.5203017970946135E-3</v>
      </c>
    </row>
    <row r="1534" spans="6:7" x14ac:dyDescent="0.25">
      <c r="F1534" s="7">
        <v>44267</v>
      </c>
      <c r="G1534">
        <v>8.1854222249807419E-3</v>
      </c>
    </row>
    <row r="1535" spans="6:7" x14ac:dyDescent="0.25">
      <c r="F1535" s="7">
        <v>44268</v>
      </c>
      <c r="G1535">
        <v>1.1592327108835723E-2</v>
      </c>
    </row>
    <row r="1536" spans="6:7" x14ac:dyDescent="0.25">
      <c r="F1536" s="7">
        <v>44269</v>
      </c>
      <c r="G1536">
        <v>9.3118956014839552E-3</v>
      </c>
    </row>
    <row r="1537" spans="6:7" x14ac:dyDescent="0.25">
      <c r="F1537" s="7">
        <v>44270</v>
      </c>
      <c r="G1537">
        <v>5.9291868664228062E-3</v>
      </c>
    </row>
    <row r="1538" spans="6:7" x14ac:dyDescent="0.25">
      <c r="F1538" s="7">
        <v>44271</v>
      </c>
      <c r="G1538">
        <v>6.2742960580449399E-3</v>
      </c>
    </row>
    <row r="1539" spans="6:7" x14ac:dyDescent="0.25">
      <c r="F1539" s="7">
        <v>44272</v>
      </c>
      <c r="G1539">
        <v>7.2749425683000602E-3</v>
      </c>
    </row>
    <row r="1540" spans="6:7" x14ac:dyDescent="0.25">
      <c r="F1540" s="7">
        <v>44273</v>
      </c>
      <c r="G1540">
        <v>7.6131763056177344E-3</v>
      </c>
    </row>
    <row r="1541" spans="6:7" x14ac:dyDescent="0.25">
      <c r="F1541" s="7">
        <v>44274</v>
      </c>
      <c r="G1541">
        <v>9.3231347705236764E-3</v>
      </c>
    </row>
    <row r="1542" spans="6:7" x14ac:dyDescent="0.25">
      <c r="F1542" s="7">
        <v>44275</v>
      </c>
      <c r="G1542">
        <v>1.2755489987929185E-2</v>
      </c>
    </row>
    <row r="1543" spans="6:7" x14ac:dyDescent="0.25">
      <c r="F1543" s="7">
        <v>44276</v>
      </c>
      <c r="G1543">
        <v>1.0480148809885384E-2</v>
      </c>
    </row>
    <row r="1544" spans="6:7" x14ac:dyDescent="0.25">
      <c r="F1544" s="7">
        <v>44277</v>
      </c>
      <c r="G1544">
        <v>7.0815604018236705E-3</v>
      </c>
    </row>
    <row r="1545" spans="6:7" x14ac:dyDescent="0.25">
      <c r="F1545" s="7">
        <v>44278</v>
      </c>
      <c r="G1545">
        <v>7.3895956170436832E-3</v>
      </c>
    </row>
    <row r="1546" spans="6:7" x14ac:dyDescent="0.25">
      <c r="F1546" s="7">
        <v>44279</v>
      </c>
      <c r="G1546">
        <v>8.3321510696122408E-3</v>
      </c>
    </row>
    <row r="1547" spans="6:7" x14ac:dyDescent="0.25">
      <c r="F1547" s="7">
        <v>44280</v>
      </c>
      <c r="G1547">
        <v>8.5918630067659471E-3</v>
      </c>
    </row>
    <row r="1548" spans="6:7" x14ac:dyDescent="0.25">
      <c r="F1548" s="7">
        <v>44281</v>
      </c>
      <c r="G1548">
        <v>1.0203863372462754E-2</v>
      </c>
    </row>
    <row r="1549" spans="6:7" x14ac:dyDescent="0.25">
      <c r="F1549" s="7">
        <v>44282</v>
      </c>
      <c r="G1549">
        <v>1.3520216809160449E-2</v>
      </c>
    </row>
    <row r="1550" spans="6:7" x14ac:dyDescent="0.25">
      <c r="F1550" s="7">
        <v>44283</v>
      </c>
      <c r="G1550">
        <v>1.1112602110116599E-2</v>
      </c>
    </row>
    <row r="1551" spans="6:7" x14ac:dyDescent="0.25">
      <c r="F1551" s="7">
        <v>44284</v>
      </c>
      <c r="G1551">
        <v>7.5675920969221714E-3</v>
      </c>
    </row>
    <row r="1552" spans="6:7" x14ac:dyDescent="0.25">
      <c r="F1552" s="7">
        <v>44285</v>
      </c>
      <c r="G1552">
        <v>7.7174970282629192E-3</v>
      </c>
    </row>
    <row r="1553" spans="6:7" x14ac:dyDescent="0.25">
      <c r="F1553" s="7">
        <v>44286</v>
      </c>
      <c r="G1553">
        <v>8.4929249339554657E-3</v>
      </c>
    </row>
    <row r="1554" spans="6:7" x14ac:dyDescent="0.25">
      <c r="F1554" s="7">
        <v>44287</v>
      </c>
      <c r="G1554">
        <v>8.5794448032676541E-3</v>
      </c>
    </row>
    <row r="1555" spans="6:7" x14ac:dyDescent="0.25">
      <c r="F1555" s="7">
        <v>44288</v>
      </c>
      <c r="G1555">
        <v>1.0015286007279004E-2</v>
      </c>
    </row>
    <row r="1556" spans="6:7" x14ac:dyDescent="0.25">
      <c r="F1556" s="7">
        <v>44289</v>
      </c>
      <c r="G1556">
        <v>1.3155713865634803E-2</v>
      </c>
    </row>
    <row r="1557" spans="6:7" x14ac:dyDescent="0.25">
      <c r="F1557" s="7">
        <v>44290</v>
      </c>
      <c r="G1557">
        <v>1.0575646190463443E-2</v>
      </c>
    </row>
    <row r="1558" spans="6:7" x14ac:dyDescent="0.25">
      <c r="F1558" s="7">
        <v>44291</v>
      </c>
      <c r="G1558">
        <v>6.8648662074436801E-3</v>
      </c>
    </row>
    <row r="1559" spans="6:7" x14ac:dyDescent="0.25">
      <c r="F1559" s="7">
        <v>44292</v>
      </c>
      <c r="G1559">
        <v>6.8587984361933446E-3</v>
      </c>
    </row>
    <row r="1560" spans="6:7" x14ac:dyDescent="0.25">
      <c r="F1560" s="7">
        <v>44293</v>
      </c>
      <c r="G1560">
        <v>7.4910025139859598E-3</v>
      </c>
    </row>
    <row r="1561" spans="6:7" x14ac:dyDescent="0.25">
      <c r="F1561" s="7">
        <v>44294</v>
      </c>
      <c r="G1561">
        <v>7.4497724428390878E-3</v>
      </c>
    </row>
    <row r="1562" spans="6:7" x14ac:dyDescent="0.25">
      <c r="F1562" s="7">
        <v>44295</v>
      </c>
      <c r="G1562">
        <v>8.7757761353702002E-3</v>
      </c>
    </row>
    <row r="1563" spans="6:7" x14ac:dyDescent="0.25">
      <c r="F1563" s="7">
        <v>44296</v>
      </c>
      <c r="G1563">
        <v>1.1826376671402284E-2</v>
      </c>
    </row>
    <row r="1564" spans="6:7" x14ac:dyDescent="0.25">
      <c r="F1564" s="7">
        <v>44297</v>
      </c>
      <c r="G1564">
        <v>9.1782014125751238E-3</v>
      </c>
    </row>
    <row r="1565" spans="6:7" x14ac:dyDescent="0.25">
      <c r="F1565" s="7">
        <v>44298</v>
      </c>
      <c r="G1565">
        <v>5.4223155966130364E-3</v>
      </c>
    </row>
    <row r="1566" spans="6:7" x14ac:dyDescent="0.25">
      <c r="F1566" s="7">
        <v>44299</v>
      </c>
      <c r="G1566">
        <v>5.3949680114737013E-3</v>
      </c>
    </row>
    <row r="1567" spans="6:7" x14ac:dyDescent="0.25">
      <c r="F1567" s="7">
        <v>44300</v>
      </c>
      <c r="G1567">
        <v>6.0300645807643428E-3</v>
      </c>
    </row>
    <row r="1568" spans="6:7" x14ac:dyDescent="0.25">
      <c r="F1568" s="7">
        <v>44301</v>
      </c>
      <c r="G1568">
        <v>6.0157578749469526E-3</v>
      </c>
    </row>
    <row r="1569" spans="6:7" x14ac:dyDescent="0.25">
      <c r="F1569" s="7">
        <v>44302</v>
      </c>
      <c r="G1569">
        <v>7.3920878504125011E-3</v>
      </c>
    </row>
    <row r="1570" spans="6:7" x14ac:dyDescent="0.25">
      <c r="F1570" s="7">
        <v>44303</v>
      </c>
      <c r="G1570">
        <v>1.0515315231400592E-2</v>
      </c>
    </row>
    <row r="1571" spans="6:7" x14ac:dyDescent="0.25">
      <c r="F1571" s="7">
        <v>44304</v>
      </c>
      <c r="G1571">
        <v>7.9605135667409812E-3</v>
      </c>
    </row>
    <row r="1572" spans="6:7" x14ac:dyDescent="0.25">
      <c r="F1572" s="7">
        <v>44305</v>
      </c>
      <c r="G1572">
        <v>4.3167760845209896E-3</v>
      </c>
    </row>
    <row r="1573" spans="6:7" x14ac:dyDescent="0.25">
      <c r="F1573" s="7">
        <v>44306</v>
      </c>
      <c r="G1573">
        <v>4.4180042906545773E-3</v>
      </c>
    </row>
    <row r="1574" spans="6:7" x14ac:dyDescent="0.25">
      <c r="F1574" s="7">
        <v>44307</v>
      </c>
      <c r="G1574">
        <v>5.1954331366630734E-3</v>
      </c>
    </row>
    <row r="1575" spans="6:7" x14ac:dyDescent="0.25">
      <c r="F1575" s="7">
        <v>44308</v>
      </c>
      <c r="G1575">
        <v>5.3342796797762985E-3</v>
      </c>
    </row>
    <row r="1576" spans="6:7" x14ac:dyDescent="0.25">
      <c r="F1576" s="7">
        <v>44309</v>
      </c>
      <c r="G1576">
        <v>6.8714490882052165E-3</v>
      </c>
    </row>
    <row r="1577" spans="6:7" x14ac:dyDescent="0.25">
      <c r="F1577" s="7">
        <v>44310</v>
      </c>
      <c r="G1577">
        <v>1.0159937970807992E-2</v>
      </c>
    </row>
    <row r="1578" spans="6:7" x14ac:dyDescent="0.25">
      <c r="F1578" s="7">
        <v>44311</v>
      </c>
      <c r="G1578">
        <v>7.7714993369267142E-3</v>
      </c>
    </row>
    <row r="1579" spans="6:7" x14ac:dyDescent="0.25">
      <c r="F1579" s="7">
        <v>44312</v>
      </c>
      <c r="G1579">
        <v>4.2919236312080611E-3</v>
      </c>
    </row>
    <row r="1580" spans="6:7" x14ac:dyDescent="0.25">
      <c r="F1580" s="7">
        <v>44313</v>
      </c>
      <c r="G1580">
        <v>4.5519009793447453E-3</v>
      </c>
    </row>
    <row r="1581" spans="6:7" x14ac:dyDescent="0.25">
      <c r="F1581" s="7">
        <v>44314</v>
      </c>
      <c r="G1581">
        <v>5.4796177183973043E-3</v>
      </c>
    </row>
    <row r="1582" spans="6:7" x14ac:dyDescent="0.25">
      <c r="F1582" s="7">
        <v>44315</v>
      </c>
      <c r="G1582">
        <v>5.7574723996229316E-3</v>
      </c>
    </row>
    <row r="1583" spans="6:7" x14ac:dyDescent="0.25">
      <c r="F1583" s="7">
        <v>44316</v>
      </c>
      <c r="G1583">
        <v>7.4198434907715039E-3</v>
      </c>
    </row>
    <row r="1584" spans="6:7" x14ac:dyDescent="0.25">
      <c r="F1584" s="7">
        <v>44317</v>
      </c>
      <c r="G1584">
        <v>1.0817547246459287E-2</v>
      </c>
    </row>
    <row r="1585" spans="6:7" x14ac:dyDescent="0.25">
      <c r="F1585" s="7">
        <v>44318</v>
      </c>
      <c r="G1585">
        <v>8.5205487498882133E-3</v>
      </c>
    </row>
    <row r="1586" spans="6:7" x14ac:dyDescent="0.25">
      <c r="F1586" s="7">
        <v>44319</v>
      </c>
      <c r="G1586">
        <v>5.1132794343968545E-3</v>
      </c>
    </row>
    <row r="1587" spans="6:7" x14ac:dyDescent="0.25">
      <c r="F1587" s="7">
        <v>44320</v>
      </c>
      <c r="G1587">
        <v>5.4255253374690627E-3</v>
      </c>
    </row>
    <row r="1588" spans="6:7" x14ac:dyDescent="0.25">
      <c r="F1588" s="7">
        <v>44321</v>
      </c>
      <c r="G1588">
        <v>6.3850385769762671E-3</v>
      </c>
    </row>
  </sheetData>
  <pageMargins left="0.7" right="0.7" top="0.75" bottom="0.75" header="0.3" footer="0.3"/>
  <pageSetup orientation="portrait" horizontalDpi="360" verticalDpi="360"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1B6872A209D9C4EB68E943B359C4433" ma:contentTypeVersion="" ma:contentTypeDescription="Create a new document." ma:contentTypeScope="" ma:versionID="b002a93983fd989b70e498772e4e7025">
  <xsd:schema xmlns:xsd="http://www.w3.org/2001/XMLSchema" xmlns:xs="http://www.w3.org/2001/XMLSchema" xmlns:p="http://schemas.microsoft.com/office/2006/metadata/properties" xmlns:ns2="657f03f5-f594-4b6f-bb1c-1e8a258be60c" xmlns:ns3="65e338af-b9c7-4b5f-b9c0-6fb2fedea534" targetNamespace="http://schemas.microsoft.com/office/2006/metadata/properties" ma:root="true" ma:fieldsID="545b4c914780f16424aa19485a7b04b8" ns2:_="" ns3:_="">
    <xsd:import namespace="657f03f5-f594-4b6f-bb1c-1e8a258be60c"/>
    <xsd:import namespace="65e338af-b9c7-4b5f-b9c0-6fb2fedea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f03f5-f594-4b6f-bb1c-1e8a258be60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e338af-b9c7-4b5f-b9c0-6fb2fedea534"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57f03f5-f594-4b6f-bb1c-1e8a258be60c">
      <UserInfo>
        <DisplayName>Steven  Morales</DisplayName>
        <AccountId>222</AccountId>
        <AccountType/>
      </UserInfo>
      <UserInfo>
        <DisplayName>Jennifer Kirby</DisplayName>
        <AccountId>252</AccountId>
        <AccountType/>
      </UserInfo>
      <UserInfo>
        <DisplayName>Gabrielle Komis</DisplayName>
        <AccountId>203</AccountId>
        <AccountType/>
      </UserInfo>
    </SharedWithUsers>
  </documentManagement>
</p:properties>
</file>

<file path=customXml/itemProps1.xml><?xml version="1.0" encoding="utf-8"?>
<ds:datastoreItem xmlns:ds="http://schemas.openxmlformats.org/officeDocument/2006/customXml" ds:itemID="{1CB21ABA-D7F4-4E1D-9A24-82DF8DCD0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f03f5-f594-4b6f-bb1c-1e8a258be60c"/>
    <ds:schemaRef ds:uri="65e338af-b9c7-4b5f-b9c0-6fb2fedea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AF5AB8-7365-4B30-98CB-95AC336DE801}">
  <ds:schemaRefs>
    <ds:schemaRef ds:uri="http://schemas.microsoft.com/sharepoint/v3/contenttype/forms"/>
  </ds:schemaRefs>
</ds:datastoreItem>
</file>

<file path=customXml/itemProps3.xml><?xml version="1.0" encoding="utf-8"?>
<ds:datastoreItem xmlns:ds="http://schemas.openxmlformats.org/officeDocument/2006/customXml" ds:itemID="{5BFD3DAD-646B-4BC8-80D4-0BACB8A60CE2}">
  <ds:schemaRefs>
    <ds:schemaRef ds:uri="http://schemas.microsoft.com/office/infopath/2007/PartnerControls"/>
    <ds:schemaRef ds:uri="http://schemas.microsoft.com/office/2006/metadata/properties"/>
    <ds:schemaRef ds:uri="http://purl.org/dc/elements/1.1/"/>
    <ds:schemaRef ds:uri="http://schemas.microsoft.com/office/2006/documentManagement/types"/>
    <ds:schemaRef ds:uri="657f03f5-f594-4b6f-bb1c-1e8a258be60c"/>
    <ds:schemaRef ds:uri="http://schemas.openxmlformats.org/package/2006/metadata/core-properties"/>
    <ds:schemaRef ds:uri="http://purl.org/dc/dcmitype/"/>
    <ds:schemaRef ds:uri="65e338af-b9c7-4b5f-b9c0-6fb2fedea534"/>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vt:i4>
      </vt:variant>
    </vt:vector>
  </HeadingPairs>
  <TitlesOfParts>
    <vt:vector size="24" baseType="lpstr">
      <vt:lpstr>DaybyDays</vt:lpstr>
      <vt:lpstr>Summary Page</vt:lpstr>
      <vt:lpstr>Tools</vt:lpstr>
      <vt:lpstr>FiscalLYmindate</vt:lpstr>
      <vt:lpstr>maxBudget</vt:lpstr>
      <vt:lpstr>maxDate</vt:lpstr>
      <vt:lpstr>maxDateLY</vt:lpstr>
      <vt:lpstr>maxMonth</vt:lpstr>
      <vt:lpstr>maxYear</vt:lpstr>
      <vt:lpstr>minDate</vt:lpstr>
      <vt:lpstr>minDateLY</vt:lpstr>
      <vt:lpstr>minMonth</vt:lpstr>
      <vt:lpstr>minYear</vt:lpstr>
      <vt:lpstr>ret_act</vt:lpstr>
      <vt:lpstr>ret_bud</vt:lpstr>
      <vt:lpstr>ret_LY</vt:lpstr>
      <vt:lpstr>Retail_Actuals</vt:lpstr>
      <vt:lpstr>serv_act</vt:lpstr>
      <vt:lpstr>serv_bud</vt:lpstr>
      <vt:lpstr>serv_LY</vt:lpstr>
      <vt:lpstr>Service_Actuals</vt:lpstr>
      <vt:lpstr>simple_forecast_scaler</vt:lpstr>
      <vt:lpstr>trmnts_LY</vt:lpstr>
      <vt:lpstr>trmnts_TY</vt:lpstr>
    </vt:vector>
  </TitlesOfParts>
  <Manager>John Grunbeck</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DaybyDay Workbook</dc:title>
  <dc:subject/>
  <dc:creator>Bryan Wammack</dc:creator>
  <cp:keywords>Example</cp:keywords>
  <dc:description/>
  <cp:lastModifiedBy>Bryan Wammack</cp:lastModifiedBy>
  <cp:revision/>
  <dcterms:created xsi:type="dcterms:W3CDTF">2019-12-30T20:30:43Z</dcterms:created>
  <dcterms:modified xsi:type="dcterms:W3CDTF">2020-04-01T22:28:07Z</dcterms:modified>
  <cp:category>Data Entry and Reporting</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0x010100F1B6872A209D9C4EB68E943B359C4433</vt:lpwstr>
  </property>
  <property fmtid="{D5CDD505-2E9C-101B-9397-08002B2CF9AE}" pid="3" name="Order">
    <vt:r8>392500</vt:r8>
  </property>
  <property fmtid="{D5CDD505-2E9C-101B-9397-08002B2CF9AE}" pid="4" name="xd_ProgID">
    <vt:lpwstr/>
  </property>
  <property fmtid="{D5CDD505-2E9C-101B-9397-08002B2CF9AE}" pid="5" name="TemplateUrl">
    <vt:lpwstr/>
  </property>
  <property fmtid="{D5CDD505-2E9C-101B-9397-08002B2CF9AE}" pid="6" name="_CopySource">
    <vt:lpwstr>https://appriver3651000397.sharepoint.com/corporate/finance/flashreports/Shared Documents/Linked DaybyDays/DaybyDaySheets/2020_GNY_DaybyDay_Payroll.xlsx</vt:lpwstr>
  </property>
  <property fmtid="{D5CDD505-2E9C-101B-9397-08002B2CF9AE}" pid="7" name="PROP_SLICER_Slicer_Month">
    <vt:lpwstr/>
  </property>
  <property fmtid="{D5CDD505-2E9C-101B-9397-08002B2CF9AE}" pid="8" name="PROP_SLICER_Slicer_Year">
    <vt:lpwstr/>
  </property>
</Properties>
</file>